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uly/Downloads/"/>
    </mc:Choice>
  </mc:AlternateContent>
  <xr:revisionPtr revIDLastSave="0" documentId="8_{85A5DC2D-258F-A343-B208-B201E5D56546}" xr6:coauthVersionLast="47" xr6:coauthVersionMax="47" xr10:uidLastSave="{00000000-0000-0000-0000-000000000000}"/>
  <bookViews>
    <workbookView xWindow="0" yWindow="600" windowWidth="34560" windowHeight="21000" xr2:uid="{00000000-000D-0000-FFFF-FFFF00000000}"/>
  </bookViews>
  <sheets>
    <sheet name="koronahun" sheetId="2" r:id="rId1"/>
    <sheet name="tabla" sheetId="1" r:id="rId2"/>
    <sheet name="megyei" sheetId="3" r:id="rId3"/>
    <sheet name="widget" sheetId="4" r:id="rId4"/>
    <sheet name="hullámok2" sheetId="5" state="hidden" r:id="rId5"/>
    <sheet name="hullámok" sheetId="6" state="hidden" r:id="rId6"/>
    <sheet name="megyei2" sheetId="7" state="hidden" r:id="rId7"/>
    <sheet name="napi adatok" sheetId="8" state="hidden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G3" i="8" a="1"/>
  <c r="G3" i="8" s="1"/>
  <c r="F3" i="8"/>
  <c r="E3" i="8"/>
  <c r="C3" i="8"/>
  <c r="A3" i="8"/>
  <c r="I2" i="8" a="1"/>
  <c r="I2" i="8" s="1"/>
  <c r="D3" i="8" s="1"/>
  <c r="G2" i="8" a="1"/>
  <c r="G2" i="8" s="1"/>
  <c r="F2" i="8"/>
  <c r="E2" i="8"/>
  <c r="D2" i="8"/>
  <c r="C2" i="8"/>
  <c r="B2" i="8"/>
  <c r="E21" i="7" a="1"/>
  <c r="E21" i="7" s="1"/>
  <c r="G21" i="7" s="1"/>
  <c r="D21" i="7" a="1"/>
  <c r="D21" i="7" s="1"/>
  <c r="F21" i="7" s="1"/>
  <c r="C21" i="7" a="1"/>
  <c r="C21" i="7" s="1"/>
  <c r="B21" i="7" a="1"/>
  <c r="B21" i="7" s="1"/>
  <c r="E20" i="7" a="1"/>
  <c r="E20" i="7" s="1"/>
  <c r="G20" i="7" s="1"/>
  <c r="D20" i="7" a="1"/>
  <c r="D20" i="7" s="1"/>
  <c r="F20" i="7" s="1"/>
  <c r="C20" i="7" a="1"/>
  <c r="C20" i="7" s="1"/>
  <c r="B20" i="7" a="1"/>
  <c r="B20" i="7" s="1"/>
  <c r="E19" i="7" a="1"/>
  <c r="E19" i="7" s="1"/>
  <c r="G19" i="7" s="1"/>
  <c r="D19" i="7" a="1"/>
  <c r="D19" i="7" s="1"/>
  <c r="F19" i="7" s="1"/>
  <c r="C19" i="7" a="1"/>
  <c r="C19" i="7" s="1"/>
  <c r="B19" i="7" a="1"/>
  <c r="B19" i="7" s="1"/>
  <c r="E18" i="7" a="1"/>
  <c r="E18" i="7" s="1"/>
  <c r="G18" i="7" s="1"/>
  <c r="D18" i="7" a="1"/>
  <c r="D18" i="7" s="1"/>
  <c r="F18" i="7" s="1"/>
  <c r="C18" i="7" a="1"/>
  <c r="C18" i="7" s="1"/>
  <c r="B18" i="7" a="1"/>
  <c r="B18" i="7" s="1"/>
  <c r="E17" i="7" a="1"/>
  <c r="E17" i="7" s="1"/>
  <c r="G17" i="7" s="1"/>
  <c r="D17" i="7" a="1"/>
  <c r="D17" i="7" s="1"/>
  <c r="F17" i="7" s="1"/>
  <c r="C17" i="7" a="1"/>
  <c r="C17" i="7" s="1"/>
  <c r="B17" i="7" a="1"/>
  <c r="B17" i="7" s="1"/>
  <c r="E16" i="7" a="1"/>
  <c r="E16" i="7" s="1"/>
  <c r="G16" i="7" s="1"/>
  <c r="D16" i="7" a="1"/>
  <c r="D16" i="7" s="1"/>
  <c r="F16" i="7" s="1"/>
  <c r="C16" i="7" a="1"/>
  <c r="C16" i="7" s="1"/>
  <c r="B16" i="7" a="1"/>
  <c r="B16" i="7"/>
  <c r="E15" i="7" a="1"/>
  <c r="E15" i="7" s="1"/>
  <c r="G15" i="7" s="1"/>
  <c r="D15" i="7" a="1"/>
  <c r="D15" i="7" s="1"/>
  <c r="F15" i="7" s="1"/>
  <c r="C15" i="7" a="1"/>
  <c r="C15" i="7" s="1"/>
  <c r="B15" i="7" a="1"/>
  <c r="B15" i="7" s="1"/>
  <c r="E14" i="7" a="1"/>
  <c r="E14" i="7" s="1"/>
  <c r="G14" i="7" s="1"/>
  <c r="D14" i="7" a="1"/>
  <c r="D14" i="7" s="1"/>
  <c r="F14" i="7" s="1"/>
  <c r="C14" i="7" a="1"/>
  <c r="C14" i="7" s="1"/>
  <c r="B14" i="7" a="1"/>
  <c r="B14" i="7" s="1"/>
  <c r="E13" i="7" a="1"/>
  <c r="E13" i="7" s="1"/>
  <c r="G13" i="7" s="1"/>
  <c r="D13" i="7" a="1"/>
  <c r="D13" i="7" s="1"/>
  <c r="F13" i="7" s="1"/>
  <c r="C13" i="7" a="1"/>
  <c r="C13" i="7" s="1"/>
  <c r="B13" i="7" a="1"/>
  <c r="B13" i="7" s="1"/>
  <c r="E12" i="7" a="1"/>
  <c r="E12" i="7" s="1"/>
  <c r="G12" i="7" s="1"/>
  <c r="D12" i="7" a="1"/>
  <c r="D12" i="7" s="1"/>
  <c r="F12" i="7" s="1"/>
  <c r="C12" i="7" a="1"/>
  <c r="C12" i="7" s="1"/>
  <c r="B12" i="7" a="1"/>
  <c r="B12" i="7" s="1"/>
  <c r="E11" i="7" a="1"/>
  <c r="E11" i="7" s="1"/>
  <c r="G11" i="7" s="1"/>
  <c r="D11" i="7" a="1"/>
  <c r="D11" i="7" s="1"/>
  <c r="F11" i="7" s="1"/>
  <c r="C11" i="7" a="1"/>
  <c r="C11" i="7" s="1"/>
  <c r="B11" i="7" a="1"/>
  <c r="B11" i="7" s="1"/>
  <c r="E10" i="7" a="1"/>
  <c r="E10" i="7"/>
  <c r="G10" i="7" s="1"/>
  <c r="D10" i="7" a="1"/>
  <c r="D10" i="7" s="1"/>
  <c r="F10" i="7" s="1"/>
  <c r="C10" i="7" a="1"/>
  <c r="C10" i="7" s="1"/>
  <c r="B10" i="7" a="1"/>
  <c r="B10" i="7" s="1"/>
  <c r="E9" i="7" a="1"/>
  <c r="E9" i="7" s="1"/>
  <c r="G9" i="7" s="1"/>
  <c r="D9" i="7" a="1"/>
  <c r="D9" i="7" s="1"/>
  <c r="F9" i="7" s="1"/>
  <c r="C9" i="7" a="1"/>
  <c r="C9" i="7" s="1"/>
  <c r="B9" i="7" a="1"/>
  <c r="B9" i="7" s="1"/>
  <c r="E8" i="7" a="1"/>
  <c r="E8" i="7" s="1"/>
  <c r="G8" i="7" s="1"/>
  <c r="D8" i="7" a="1"/>
  <c r="D8" i="7" s="1"/>
  <c r="F8" i="7" s="1"/>
  <c r="C8" i="7" a="1"/>
  <c r="C8" i="7" s="1"/>
  <c r="B8" i="7" a="1"/>
  <c r="B8" i="7"/>
  <c r="E7" i="7" a="1"/>
  <c r="E7" i="7" s="1"/>
  <c r="G7" i="7" s="1"/>
  <c r="D7" i="7" a="1"/>
  <c r="D7" i="7" s="1"/>
  <c r="F7" i="7" s="1"/>
  <c r="C7" i="7" a="1"/>
  <c r="C7" i="7" s="1"/>
  <c r="B7" i="7" a="1"/>
  <c r="B7" i="7" s="1"/>
  <c r="E6" i="7" a="1"/>
  <c r="E6" i="7"/>
  <c r="G6" i="7" s="1"/>
  <c r="D6" i="7" a="1"/>
  <c r="D6" i="7"/>
  <c r="F6" i="7" s="1"/>
  <c r="C6" i="7" a="1"/>
  <c r="C6" i="7" s="1"/>
  <c r="B6" i="7" a="1"/>
  <c r="B6" i="7" s="1"/>
  <c r="E5" i="7" a="1"/>
  <c r="E5" i="7" s="1"/>
  <c r="G5" i="7" s="1"/>
  <c r="D5" i="7" a="1"/>
  <c r="D5" i="7" s="1"/>
  <c r="F5" i="7" s="1"/>
  <c r="C5" i="7" a="1"/>
  <c r="C5" i="7" s="1"/>
  <c r="B5" i="7" a="1"/>
  <c r="B5" i="7" s="1"/>
  <c r="E4" i="7" a="1"/>
  <c r="E4" i="7" s="1"/>
  <c r="G4" i="7" s="1"/>
  <c r="D4" i="7" a="1"/>
  <c r="D4" i="7" s="1"/>
  <c r="F4" i="7" s="1"/>
  <c r="C4" i="7" a="1"/>
  <c r="C4" i="7" s="1"/>
  <c r="B4" i="7" a="1"/>
  <c r="B4" i="7" s="1"/>
  <c r="E3" i="7" a="1"/>
  <c r="E3" i="7" s="1"/>
  <c r="G3" i="7" s="1"/>
  <c r="D3" i="7" a="1"/>
  <c r="D3" i="7" s="1"/>
  <c r="F3" i="7" s="1"/>
  <c r="C3" i="7" a="1"/>
  <c r="C3" i="7" s="1"/>
  <c r="B3" i="7" a="1"/>
  <c r="B3" i="7" s="1"/>
  <c r="E2" i="7" a="1"/>
  <c r="E2" i="7" s="1"/>
  <c r="G2" i="7" s="1"/>
  <c r="D2" i="7" a="1"/>
  <c r="D2" i="7" s="1"/>
  <c r="F2" i="7" s="1"/>
  <c r="C2" i="7" a="1"/>
  <c r="C2" i="7" s="1"/>
  <c r="B2" i="7" a="1"/>
  <c r="B2" i="7" s="1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J324" i="6"/>
  <c r="AI324" i="6"/>
  <c r="AH324" i="6"/>
  <c r="AG324" i="6"/>
  <c r="AF324" i="6"/>
  <c r="AE324" i="6"/>
  <c r="AD324" i="6"/>
  <c r="A324" i="6"/>
  <c r="A323" i="6"/>
  <c r="A322" i="6"/>
  <c r="A321" i="6"/>
  <c r="A320" i="6"/>
  <c r="A319" i="6"/>
  <c r="A318" i="6"/>
  <c r="AJ317" i="6"/>
  <c r="AI317" i="6"/>
  <c r="AH317" i="6"/>
  <c r="AG317" i="6"/>
  <c r="AF317" i="6"/>
  <c r="AE317" i="6"/>
  <c r="AD317" i="6"/>
  <c r="A317" i="6"/>
  <c r="A316" i="6"/>
  <c r="A315" i="6"/>
  <c r="A314" i="6"/>
  <c r="A313" i="6"/>
  <c r="A312" i="6"/>
  <c r="A311" i="6"/>
  <c r="AJ310" i="6"/>
  <c r="AI310" i="6"/>
  <c r="AH310" i="6"/>
  <c r="AG310" i="6"/>
  <c r="AF310" i="6"/>
  <c r="AE310" i="6"/>
  <c r="AD310" i="6"/>
  <c r="A310" i="6"/>
  <c r="A309" i="6"/>
  <c r="A308" i="6"/>
  <c r="A307" i="6"/>
  <c r="A306" i="6"/>
  <c r="A305" i="6"/>
  <c r="A304" i="6"/>
  <c r="AE303" i="6"/>
  <c r="A303" i="6"/>
  <c r="A302" i="6"/>
  <c r="A301" i="6"/>
  <c r="A300" i="6"/>
  <c r="A299" i="6"/>
  <c r="A298" i="6"/>
  <c r="A297" i="6"/>
  <c r="AJ296" i="6"/>
  <c r="AI296" i="6"/>
  <c r="AH296" i="6"/>
  <c r="AG296" i="6"/>
  <c r="AF296" i="6"/>
  <c r="AE296" i="6"/>
  <c r="AD296" i="6"/>
  <c r="A296" i="6"/>
  <c r="A295" i="6"/>
  <c r="A294" i="6"/>
  <c r="A293" i="6"/>
  <c r="A292" i="6"/>
  <c r="A291" i="6"/>
  <c r="A290" i="6"/>
  <c r="AJ289" i="6"/>
  <c r="AI289" i="6"/>
  <c r="AH289" i="6"/>
  <c r="AG289" i="6"/>
  <c r="AF289" i="6"/>
  <c r="AE289" i="6"/>
  <c r="AD289" i="6"/>
  <c r="A289" i="6"/>
  <c r="A288" i="6"/>
  <c r="A287" i="6"/>
  <c r="A286" i="6"/>
  <c r="A285" i="6"/>
  <c r="A284" i="6"/>
  <c r="A283" i="6"/>
  <c r="AJ282" i="6"/>
  <c r="AI282" i="6"/>
  <c r="AH282" i="6"/>
  <c r="AG282" i="6"/>
  <c r="AF282" i="6"/>
  <c r="AE282" i="6"/>
  <c r="AD282" i="6"/>
  <c r="A282" i="6"/>
  <c r="A281" i="6"/>
  <c r="A280" i="6"/>
  <c r="A279" i="6"/>
  <c r="A278" i="6"/>
  <c r="A277" i="6"/>
  <c r="A276" i="6"/>
  <c r="AJ275" i="6"/>
  <c r="AI275" i="6"/>
  <c r="AH275" i="6"/>
  <c r="AG275" i="6"/>
  <c r="AF275" i="6"/>
  <c r="AE275" i="6"/>
  <c r="AD275" i="6"/>
  <c r="A275" i="6"/>
  <c r="A274" i="6"/>
  <c r="A273" i="6"/>
  <c r="A272" i="6"/>
  <c r="A271" i="6"/>
  <c r="A270" i="6"/>
  <c r="A269" i="6"/>
  <c r="AJ268" i="6"/>
  <c r="AI268" i="6"/>
  <c r="AH268" i="6"/>
  <c r="AG268" i="6"/>
  <c r="AF268" i="6"/>
  <c r="AE268" i="6"/>
  <c r="AD268" i="6"/>
  <c r="A268" i="6"/>
  <c r="A267" i="6"/>
  <c r="A266" i="6"/>
  <c r="A265" i="6"/>
  <c r="A264" i="6"/>
  <c r="A263" i="6"/>
  <c r="A262" i="6"/>
  <c r="AJ261" i="6"/>
  <c r="AI261" i="6"/>
  <c r="AH261" i="6"/>
  <c r="AG261" i="6"/>
  <c r="AF261" i="6"/>
  <c r="AE261" i="6"/>
  <c r="AD261" i="6"/>
  <c r="A261" i="6"/>
  <c r="A260" i="6"/>
  <c r="A259" i="6"/>
  <c r="A258" i="6"/>
  <c r="A257" i="6"/>
  <c r="A256" i="6"/>
  <c r="A255" i="6"/>
  <c r="AJ254" i="6"/>
  <c r="AI254" i="6"/>
  <c r="AH254" i="6"/>
  <c r="AG254" i="6"/>
  <c r="AF254" i="6"/>
  <c r="AE254" i="6"/>
  <c r="AD254" i="6"/>
  <c r="A254" i="6"/>
  <c r="A253" i="6"/>
  <c r="A252" i="6"/>
  <c r="A251" i="6"/>
  <c r="A250" i="6"/>
  <c r="A249" i="6"/>
  <c r="A248" i="6"/>
  <c r="AJ247" i="6"/>
  <c r="AI247" i="6"/>
  <c r="AH247" i="6"/>
  <c r="AG247" i="6"/>
  <c r="AF247" i="6"/>
  <c r="AE247" i="6"/>
  <c r="AD247" i="6"/>
  <c r="A247" i="6"/>
  <c r="A246" i="6"/>
  <c r="A245" i="6"/>
  <c r="A244" i="6"/>
  <c r="A243" i="6"/>
  <c r="A242" i="6"/>
  <c r="A241" i="6"/>
  <c r="AJ240" i="6"/>
  <c r="AI240" i="6"/>
  <c r="AH240" i="6"/>
  <c r="AG240" i="6"/>
  <c r="AF240" i="6"/>
  <c r="AE240" i="6"/>
  <c r="AD240" i="6"/>
  <c r="A240" i="6"/>
  <c r="A239" i="6"/>
  <c r="A238" i="6"/>
  <c r="A237" i="6"/>
  <c r="A236" i="6"/>
  <c r="A235" i="6"/>
  <c r="A234" i="6"/>
  <c r="AJ233" i="6"/>
  <c r="AI233" i="6"/>
  <c r="AH233" i="6"/>
  <c r="AG233" i="6"/>
  <c r="AF233" i="6"/>
  <c r="AE233" i="6"/>
  <c r="AD233" i="6"/>
  <c r="A233" i="6"/>
  <c r="A232" i="6"/>
  <c r="A231" i="6"/>
  <c r="A230" i="6"/>
  <c r="A229" i="6"/>
  <c r="A228" i="6"/>
  <c r="A227" i="6"/>
  <c r="AJ226" i="6"/>
  <c r="AI226" i="6"/>
  <c r="AH226" i="6"/>
  <c r="AG226" i="6"/>
  <c r="AF226" i="6"/>
  <c r="AE226" i="6"/>
  <c r="AD226" i="6"/>
  <c r="A226" i="6"/>
  <c r="A225" i="6"/>
  <c r="A224" i="6"/>
  <c r="A223" i="6"/>
  <c r="A222" i="6"/>
  <c r="A221" i="6"/>
  <c r="A220" i="6"/>
  <c r="AJ219" i="6"/>
  <c r="AI219" i="6"/>
  <c r="AH219" i="6"/>
  <c r="AG219" i="6"/>
  <c r="AF219" i="6"/>
  <c r="AE219" i="6"/>
  <c r="AD219" i="6"/>
  <c r="A219" i="6"/>
  <c r="A218" i="6"/>
  <c r="A217" i="6"/>
  <c r="A216" i="6"/>
  <c r="A215" i="6"/>
  <c r="A214" i="6"/>
  <c r="A213" i="6"/>
  <c r="AJ212" i="6"/>
  <c r="AI212" i="6"/>
  <c r="AH212" i="6"/>
  <c r="AG212" i="6"/>
  <c r="AF212" i="6"/>
  <c r="AE212" i="6"/>
  <c r="AD212" i="6"/>
  <c r="A212" i="6"/>
  <c r="A211" i="6"/>
  <c r="A210" i="6"/>
  <c r="A209" i="6"/>
  <c r="A208" i="6"/>
  <c r="A207" i="6"/>
  <c r="A206" i="6"/>
  <c r="AJ205" i="6"/>
  <c r="AI205" i="6"/>
  <c r="AH205" i="6"/>
  <c r="AG205" i="6"/>
  <c r="AF205" i="6"/>
  <c r="AE205" i="6"/>
  <c r="AD205" i="6"/>
  <c r="A205" i="6"/>
  <c r="A204" i="6"/>
  <c r="A203" i="6"/>
  <c r="A202" i="6"/>
  <c r="A201" i="6"/>
  <c r="A200" i="6"/>
  <c r="A199" i="6"/>
  <c r="AJ198" i="6"/>
  <c r="AI198" i="6"/>
  <c r="AH198" i="6"/>
  <c r="AG198" i="6"/>
  <c r="AF198" i="6"/>
  <c r="AE198" i="6"/>
  <c r="AD198" i="6"/>
  <c r="A198" i="6"/>
  <c r="A197" i="6"/>
  <c r="A196" i="6"/>
  <c r="A195" i="6"/>
  <c r="A194" i="6"/>
  <c r="A193" i="6"/>
  <c r="A192" i="6"/>
  <c r="AJ191" i="6"/>
  <c r="AI191" i="6"/>
  <c r="AH191" i="6"/>
  <c r="AG191" i="6"/>
  <c r="AF191" i="6"/>
  <c r="AE191" i="6"/>
  <c r="AD191" i="6"/>
  <c r="A191" i="6"/>
  <c r="A190" i="6"/>
  <c r="A189" i="6"/>
  <c r="AB188" i="6"/>
  <c r="X188" i="6"/>
  <c r="T188" i="6"/>
  <c r="M188" i="6"/>
  <c r="L188" i="6"/>
  <c r="K188" i="6"/>
  <c r="J188" i="6"/>
  <c r="AB187" i="6"/>
  <c r="X187" i="6"/>
  <c r="T187" i="6"/>
  <c r="M187" i="6"/>
  <c r="L187" i="6"/>
  <c r="K187" i="6"/>
  <c r="J187" i="6"/>
  <c r="AB186" i="6"/>
  <c r="X186" i="6"/>
  <c r="T186" i="6"/>
  <c r="M186" i="6"/>
  <c r="L186" i="6"/>
  <c r="K186" i="6"/>
  <c r="J186" i="6"/>
  <c r="AB185" i="6"/>
  <c r="X185" i="6"/>
  <c r="T185" i="6"/>
  <c r="M185" i="6"/>
  <c r="L185" i="6"/>
  <c r="K185" i="6"/>
  <c r="J185" i="6"/>
  <c r="AJ184" i="6"/>
  <c r="AI184" i="6"/>
  <c r="AH184" i="6"/>
  <c r="AG184" i="6"/>
  <c r="AF184" i="6"/>
  <c r="AE184" i="6"/>
  <c r="AD184" i="6"/>
  <c r="AB184" i="6"/>
  <c r="X184" i="6"/>
  <c r="T184" i="6"/>
  <c r="M184" i="6"/>
  <c r="L184" i="6"/>
  <c r="K184" i="6"/>
  <c r="J184" i="6"/>
  <c r="AB181" i="6"/>
  <c r="X181" i="6"/>
  <c r="T181" i="6"/>
  <c r="M181" i="6"/>
  <c r="L181" i="6"/>
  <c r="K181" i="6"/>
  <c r="J181" i="6"/>
  <c r="AB180" i="6"/>
  <c r="AA180" i="6"/>
  <c r="X180" i="6"/>
  <c r="W180" i="6"/>
  <c r="T180" i="6"/>
  <c r="S180" i="6"/>
  <c r="M180" i="6"/>
  <c r="L180" i="6"/>
  <c r="K180" i="6"/>
  <c r="J180" i="6"/>
  <c r="I180" i="6"/>
  <c r="G180" i="6"/>
  <c r="E180" i="6"/>
  <c r="C180" i="6"/>
  <c r="AB179" i="6"/>
  <c r="AA179" i="6"/>
  <c r="X179" i="6"/>
  <c r="W179" i="6"/>
  <c r="T179" i="6"/>
  <c r="S179" i="6"/>
  <c r="M179" i="6"/>
  <c r="L179" i="6"/>
  <c r="K179" i="6"/>
  <c r="J179" i="6"/>
  <c r="I179" i="6"/>
  <c r="G179" i="6"/>
  <c r="E179" i="6"/>
  <c r="C179" i="6"/>
  <c r="AB178" i="6"/>
  <c r="AA178" i="6"/>
  <c r="X178" i="6"/>
  <c r="W178" i="6"/>
  <c r="T178" i="6"/>
  <c r="S178" i="6"/>
  <c r="M178" i="6"/>
  <c r="L178" i="6"/>
  <c r="K178" i="6"/>
  <c r="J178" i="6"/>
  <c r="I178" i="6"/>
  <c r="G178" i="6"/>
  <c r="E178" i="6"/>
  <c r="C178" i="6"/>
  <c r="AJ177" i="6"/>
  <c r="AI177" i="6"/>
  <c r="AH177" i="6"/>
  <c r="AG177" i="6"/>
  <c r="AF177" i="6"/>
  <c r="AE177" i="6"/>
  <c r="AD177" i="6"/>
  <c r="AB177" i="6"/>
  <c r="AA177" i="6"/>
  <c r="X177" i="6"/>
  <c r="W177" i="6"/>
  <c r="T177" i="6"/>
  <c r="S177" i="6"/>
  <c r="M177" i="6"/>
  <c r="L177" i="6"/>
  <c r="K177" i="6"/>
  <c r="J177" i="6"/>
  <c r="I177" i="6"/>
  <c r="G177" i="6"/>
  <c r="E177" i="6"/>
  <c r="C177" i="6"/>
  <c r="AA176" i="6"/>
  <c r="W176" i="6"/>
  <c r="S176" i="6"/>
  <c r="I176" i="6"/>
  <c r="G176" i="6"/>
  <c r="E176" i="6"/>
  <c r="C176" i="6"/>
  <c r="AA175" i="6"/>
  <c r="W175" i="6"/>
  <c r="S175" i="6"/>
  <c r="I175" i="6"/>
  <c r="G175" i="6"/>
  <c r="E175" i="6"/>
  <c r="C175" i="6"/>
  <c r="AB174" i="6"/>
  <c r="AA174" i="6"/>
  <c r="X174" i="6"/>
  <c r="W174" i="6"/>
  <c r="T174" i="6"/>
  <c r="S174" i="6"/>
  <c r="M174" i="6"/>
  <c r="L174" i="6"/>
  <c r="K174" i="6"/>
  <c r="J174" i="6"/>
  <c r="I174" i="6"/>
  <c r="G174" i="6"/>
  <c r="E174" i="6"/>
  <c r="C174" i="6"/>
  <c r="AB173" i="6"/>
  <c r="AA173" i="6"/>
  <c r="X173" i="6"/>
  <c r="W173" i="6"/>
  <c r="T173" i="6"/>
  <c r="S173" i="6"/>
  <c r="M173" i="6"/>
  <c r="L173" i="6"/>
  <c r="K173" i="6"/>
  <c r="J173" i="6"/>
  <c r="I173" i="6"/>
  <c r="G173" i="6"/>
  <c r="E173" i="6"/>
  <c r="C173" i="6"/>
  <c r="AB172" i="6"/>
  <c r="AA172" i="6"/>
  <c r="X172" i="6"/>
  <c r="W172" i="6"/>
  <c r="T172" i="6"/>
  <c r="S172" i="6"/>
  <c r="M172" i="6"/>
  <c r="L172" i="6"/>
  <c r="K172" i="6"/>
  <c r="J172" i="6"/>
  <c r="I172" i="6"/>
  <c r="G172" i="6"/>
  <c r="E172" i="6"/>
  <c r="C172" i="6"/>
  <c r="AB171" i="6"/>
  <c r="AA171" i="6"/>
  <c r="X171" i="6"/>
  <c r="W171" i="6"/>
  <c r="T171" i="6"/>
  <c r="S171" i="6"/>
  <c r="M171" i="6"/>
  <c r="L171" i="6"/>
  <c r="K171" i="6"/>
  <c r="J171" i="6"/>
  <c r="I171" i="6"/>
  <c r="G171" i="6"/>
  <c r="E171" i="6"/>
  <c r="C171" i="6"/>
  <c r="AJ170" i="6"/>
  <c r="AI170" i="6"/>
  <c r="AH170" i="6"/>
  <c r="AG170" i="6"/>
  <c r="AF170" i="6"/>
  <c r="AE170" i="6"/>
  <c r="AD170" i="6"/>
  <c r="AB170" i="6"/>
  <c r="AA170" i="6"/>
  <c r="X170" i="6"/>
  <c r="W170" i="6"/>
  <c r="T170" i="6"/>
  <c r="S170" i="6"/>
  <c r="M170" i="6"/>
  <c r="L170" i="6"/>
  <c r="K170" i="6"/>
  <c r="J170" i="6"/>
  <c r="I170" i="6"/>
  <c r="G170" i="6"/>
  <c r="E170" i="6"/>
  <c r="C170" i="6"/>
  <c r="AA169" i="6"/>
  <c r="W169" i="6"/>
  <c r="S169" i="6"/>
  <c r="I169" i="6"/>
  <c r="G169" i="6"/>
  <c r="E169" i="6"/>
  <c r="C169" i="6"/>
  <c r="AA168" i="6"/>
  <c r="W168" i="6"/>
  <c r="S168" i="6"/>
  <c r="I168" i="6"/>
  <c r="G168" i="6"/>
  <c r="E168" i="6"/>
  <c r="C168" i="6"/>
  <c r="AB167" i="6"/>
  <c r="AA167" i="6"/>
  <c r="X167" i="6"/>
  <c r="W167" i="6"/>
  <c r="T167" i="6"/>
  <c r="S167" i="6"/>
  <c r="M167" i="6"/>
  <c r="L167" i="6"/>
  <c r="K167" i="6"/>
  <c r="J167" i="6"/>
  <c r="I167" i="6"/>
  <c r="G167" i="6"/>
  <c r="E167" i="6"/>
  <c r="C167" i="6"/>
  <c r="AB166" i="6"/>
  <c r="AA166" i="6"/>
  <c r="X166" i="6"/>
  <c r="W166" i="6"/>
  <c r="T166" i="6"/>
  <c r="S166" i="6"/>
  <c r="M166" i="6"/>
  <c r="L166" i="6"/>
  <c r="K166" i="6"/>
  <c r="J166" i="6"/>
  <c r="I166" i="6"/>
  <c r="G166" i="6"/>
  <c r="E166" i="6"/>
  <c r="C166" i="6"/>
  <c r="AB165" i="6"/>
  <c r="AA165" i="6"/>
  <c r="X165" i="6"/>
  <c r="W165" i="6"/>
  <c r="T165" i="6"/>
  <c r="S165" i="6"/>
  <c r="M165" i="6"/>
  <c r="L165" i="6"/>
  <c r="K165" i="6"/>
  <c r="J165" i="6"/>
  <c r="I165" i="6"/>
  <c r="G165" i="6"/>
  <c r="E165" i="6"/>
  <c r="C165" i="6"/>
  <c r="AB164" i="6"/>
  <c r="AA164" i="6"/>
  <c r="X164" i="6"/>
  <c r="W164" i="6"/>
  <c r="T164" i="6"/>
  <c r="S164" i="6"/>
  <c r="M164" i="6"/>
  <c r="L164" i="6"/>
  <c r="K164" i="6"/>
  <c r="J164" i="6"/>
  <c r="I164" i="6"/>
  <c r="G164" i="6"/>
  <c r="E164" i="6"/>
  <c r="C164" i="6"/>
  <c r="AJ163" i="6"/>
  <c r="AI163" i="6"/>
  <c r="AH163" i="6"/>
  <c r="AG163" i="6"/>
  <c r="AF163" i="6"/>
  <c r="AE163" i="6"/>
  <c r="AD163" i="6"/>
  <c r="AB163" i="6"/>
  <c r="AA163" i="6"/>
  <c r="X163" i="6"/>
  <c r="W163" i="6"/>
  <c r="T163" i="6"/>
  <c r="S163" i="6"/>
  <c r="M163" i="6"/>
  <c r="L163" i="6"/>
  <c r="K163" i="6"/>
  <c r="J163" i="6"/>
  <c r="I163" i="6"/>
  <c r="G163" i="6"/>
  <c r="E163" i="6"/>
  <c r="C163" i="6"/>
  <c r="AA162" i="6"/>
  <c r="W162" i="6"/>
  <c r="S162" i="6"/>
  <c r="I162" i="6"/>
  <c r="G162" i="6"/>
  <c r="E162" i="6"/>
  <c r="C162" i="6"/>
  <c r="AA161" i="6"/>
  <c r="W161" i="6"/>
  <c r="S161" i="6"/>
  <c r="I161" i="6"/>
  <c r="G161" i="6"/>
  <c r="E161" i="6"/>
  <c r="C161" i="6"/>
  <c r="AB160" i="6"/>
  <c r="AA160" i="6"/>
  <c r="X160" i="6"/>
  <c r="W160" i="6"/>
  <c r="T160" i="6"/>
  <c r="S160" i="6"/>
  <c r="M160" i="6"/>
  <c r="L160" i="6"/>
  <c r="K160" i="6"/>
  <c r="J160" i="6"/>
  <c r="I160" i="6"/>
  <c r="G160" i="6"/>
  <c r="E160" i="6"/>
  <c r="C160" i="6"/>
  <c r="AB159" i="6"/>
  <c r="AA159" i="6"/>
  <c r="X159" i="6"/>
  <c r="W159" i="6"/>
  <c r="T159" i="6"/>
  <c r="S159" i="6"/>
  <c r="M159" i="6"/>
  <c r="L159" i="6"/>
  <c r="K159" i="6"/>
  <c r="J159" i="6"/>
  <c r="I159" i="6"/>
  <c r="G159" i="6"/>
  <c r="E159" i="6"/>
  <c r="C159" i="6"/>
  <c r="AB158" i="6"/>
  <c r="AA158" i="6"/>
  <c r="X158" i="6"/>
  <c r="W158" i="6"/>
  <c r="T158" i="6"/>
  <c r="S158" i="6"/>
  <c r="M158" i="6"/>
  <c r="L158" i="6"/>
  <c r="K158" i="6"/>
  <c r="J158" i="6"/>
  <c r="I158" i="6"/>
  <c r="G158" i="6"/>
  <c r="E158" i="6"/>
  <c r="C158" i="6"/>
  <c r="AB157" i="6"/>
  <c r="AA157" i="6"/>
  <c r="X157" i="6"/>
  <c r="W157" i="6"/>
  <c r="T157" i="6"/>
  <c r="S157" i="6"/>
  <c r="M157" i="6"/>
  <c r="L157" i="6"/>
  <c r="K157" i="6"/>
  <c r="J157" i="6"/>
  <c r="I157" i="6"/>
  <c r="G157" i="6"/>
  <c r="E157" i="6"/>
  <c r="C157" i="6"/>
  <c r="AJ156" i="6"/>
  <c r="AI156" i="6"/>
  <c r="AH156" i="6"/>
  <c r="AG156" i="6"/>
  <c r="AF156" i="6"/>
  <c r="AE156" i="6"/>
  <c r="AD156" i="6"/>
  <c r="AB156" i="6"/>
  <c r="AA156" i="6"/>
  <c r="Z156" i="6"/>
  <c r="X156" i="6"/>
  <c r="W156" i="6"/>
  <c r="V156" i="6"/>
  <c r="T156" i="6"/>
  <c r="S156" i="6"/>
  <c r="R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AA155" i="6"/>
  <c r="Z155" i="6"/>
  <c r="W155" i="6"/>
  <c r="V155" i="6"/>
  <c r="S155" i="6"/>
  <c r="R155" i="6"/>
  <c r="I155" i="6"/>
  <c r="H155" i="6"/>
  <c r="G155" i="6"/>
  <c r="F155" i="6"/>
  <c r="E155" i="6"/>
  <c r="D155" i="6"/>
  <c r="C155" i="6"/>
  <c r="B155" i="6"/>
  <c r="AA154" i="6"/>
  <c r="Z154" i="6"/>
  <c r="W154" i="6"/>
  <c r="V154" i="6"/>
  <c r="S154" i="6"/>
  <c r="R154" i="6"/>
  <c r="I154" i="6"/>
  <c r="H154" i="6"/>
  <c r="G154" i="6"/>
  <c r="F154" i="6"/>
  <c r="E154" i="6"/>
  <c r="D154" i="6"/>
  <c r="C154" i="6"/>
  <c r="B154" i="6"/>
  <c r="AB153" i="6"/>
  <c r="AA153" i="6"/>
  <c r="Z153" i="6"/>
  <c r="X153" i="6"/>
  <c r="W153" i="6"/>
  <c r="V153" i="6"/>
  <c r="T153" i="6"/>
  <c r="S153" i="6"/>
  <c r="R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AB152" i="6"/>
  <c r="AA152" i="6"/>
  <c r="Z152" i="6"/>
  <c r="X152" i="6"/>
  <c r="W152" i="6"/>
  <c r="V152" i="6"/>
  <c r="T152" i="6"/>
  <c r="S152" i="6"/>
  <c r="R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AB151" i="6"/>
  <c r="AA151" i="6"/>
  <c r="Z151" i="6"/>
  <c r="X151" i="6"/>
  <c r="W151" i="6"/>
  <c r="V151" i="6"/>
  <c r="T151" i="6"/>
  <c r="S151" i="6"/>
  <c r="R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AC150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AJ149" i="6"/>
  <c r="AI149" i="6"/>
  <c r="AH149" i="6"/>
  <c r="AG149" i="6"/>
  <c r="AF149" i="6"/>
  <c r="AE149" i="6"/>
  <c r="AD149" i="6"/>
  <c r="AC149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AA148" i="6"/>
  <c r="Z148" i="6"/>
  <c r="W148" i="6"/>
  <c r="V148" i="6"/>
  <c r="S148" i="6"/>
  <c r="R148" i="6"/>
  <c r="I148" i="6"/>
  <c r="H148" i="6"/>
  <c r="G148" i="6"/>
  <c r="F148" i="6"/>
  <c r="E148" i="6"/>
  <c r="D148" i="6"/>
  <c r="C148" i="6"/>
  <c r="B148" i="6"/>
  <c r="AA147" i="6"/>
  <c r="Z147" i="6"/>
  <c r="W147" i="6"/>
  <c r="V147" i="6"/>
  <c r="S147" i="6"/>
  <c r="R147" i="6"/>
  <c r="I147" i="6"/>
  <c r="H147" i="6"/>
  <c r="G147" i="6"/>
  <c r="F147" i="6"/>
  <c r="E147" i="6"/>
  <c r="D147" i="6"/>
  <c r="C147" i="6"/>
  <c r="B147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AA141" i="6"/>
  <c r="Z141" i="6"/>
  <c r="W141" i="6"/>
  <c r="V141" i="6"/>
  <c r="S141" i="6"/>
  <c r="R141" i="6"/>
  <c r="I141" i="6"/>
  <c r="H141" i="6"/>
  <c r="G141" i="6"/>
  <c r="F141" i="6"/>
  <c r="E141" i="6"/>
  <c r="D141" i="6"/>
  <c r="C141" i="6"/>
  <c r="B141" i="6"/>
  <c r="AA140" i="6"/>
  <c r="Z140" i="6"/>
  <c r="W140" i="6"/>
  <c r="V140" i="6"/>
  <c r="S140" i="6"/>
  <c r="R140" i="6"/>
  <c r="I140" i="6"/>
  <c r="H140" i="6"/>
  <c r="G140" i="6"/>
  <c r="F140" i="6"/>
  <c r="E140" i="6"/>
  <c r="D140" i="6"/>
  <c r="C140" i="6"/>
  <c r="B140" i="6"/>
  <c r="AB139" i="6"/>
  <c r="AA139" i="6"/>
  <c r="Z139" i="6"/>
  <c r="X139" i="6"/>
  <c r="W139" i="6"/>
  <c r="V139" i="6"/>
  <c r="T139" i="6"/>
  <c r="S139" i="6"/>
  <c r="R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AC137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A134" i="6"/>
  <c r="Z134" i="6"/>
  <c r="W134" i="6"/>
  <c r="V134" i="6"/>
  <c r="S134" i="6"/>
  <c r="R134" i="6"/>
  <c r="I134" i="6"/>
  <c r="H134" i="6"/>
  <c r="G134" i="6"/>
  <c r="F134" i="6"/>
  <c r="E134" i="6"/>
  <c r="D134" i="6"/>
  <c r="C134" i="6"/>
  <c r="B134" i="6"/>
  <c r="AA133" i="6"/>
  <c r="Z133" i="6"/>
  <c r="W133" i="6"/>
  <c r="V133" i="6"/>
  <c r="S133" i="6"/>
  <c r="R133" i="6"/>
  <c r="I133" i="6"/>
  <c r="H133" i="6"/>
  <c r="G133" i="6"/>
  <c r="F133" i="6"/>
  <c r="E133" i="6"/>
  <c r="D133" i="6"/>
  <c r="C133" i="6"/>
  <c r="B133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AB127" i="6"/>
  <c r="AA127" i="6"/>
  <c r="Z127" i="6"/>
  <c r="X127" i="6"/>
  <c r="W127" i="6"/>
  <c r="V127" i="6"/>
  <c r="T127" i="6"/>
  <c r="S127" i="6"/>
  <c r="R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AB126" i="6"/>
  <c r="AA126" i="6"/>
  <c r="Z126" i="6"/>
  <c r="X126" i="6"/>
  <c r="W126" i="6"/>
  <c r="V126" i="6"/>
  <c r="T126" i="6"/>
  <c r="S126" i="6"/>
  <c r="R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AC125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AC124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AB120" i="6"/>
  <c r="AA120" i="6"/>
  <c r="Z120" i="6"/>
  <c r="X120" i="6"/>
  <c r="W120" i="6"/>
  <c r="V120" i="6"/>
  <c r="T120" i="6"/>
  <c r="S120" i="6"/>
  <c r="R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AJ119" i="6"/>
  <c r="AI119" i="6"/>
  <c r="AH119" i="6"/>
  <c r="AG119" i="6"/>
  <c r="AF119" i="6"/>
  <c r="AE119" i="6"/>
  <c r="AD119" i="6"/>
  <c r="AB119" i="6"/>
  <c r="AA119" i="6"/>
  <c r="Z119" i="6"/>
  <c r="X119" i="6"/>
  <c r="W119" i="6"/>
  <c r="V119" i="6"/>
  <c r="T119" i="6"/>
  <c r="S119" i="6"/>
  <c r="R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AC117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AJ113" i="6"/>
  <c r="AI113" i="6"/>
  <c r="AH113" i="6"/>
  <c r="AG113" i="6"/>
  <c r="AF113" i="6"/>
  <c r="AE113" i="6"/>
  <c r="AD113" i="6"/>
  <c r="AB113" i="6"/>
  <c r="AA113" i="6"/>
  <c r="Z113" i="6"/>
  <c r="X113" i="6"/>
  <c r="W113" i="6"/>
  <c r="V113" i="6"/>
  <c r="T113" i="6"/>
  <c r="S113" i="6"/>
  <c r="R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AJ112" i="6"/>
  <c r="AI112" i="6"/>
  <c r="AH112" i="6"/>
  <c r="AG112" i="6"/>
  <c r="AF112" i="6"/>
  <c r="AE112" i="6"/>
  <c r="AD112" i="6"/>
  <c r="AB112" i="6"/>
  <c r="AA112" i="6"/>
  <c r="Z112" i="6"/>
  <c r="X112" i="6"/>
  <c r="W112" i="6"/>
  <c r="V112" i="6"/>
  <c r="T112" i="6"/>
  <c r="S112" i="6"/>
  <c r="R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AJ106" i="6"/>
  <c r="AI106" i="6"/>
  <c r="AH106" i="6"/>
  <c r="AG106" i="6"/>
  <c r="AF106" i="6"/>
  <c r="AE106" i="6"/>
  <c r="AD106" i="6"/>
  <c r="AB106" i="6"/>
  <c r="AA106" i="6"/>
  <c r="Z106" i="6"/>
  <c r="X106" i="6"/>
  <c r="W106" i="6"/>
  <c r="V106" i="6"/>
  <c r="T106" i="6"/>
  <c r="S106" i="6"/>
  <c r="R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AB105" i="6"/>
  <c r="AA105" i="6"/>
  <c r="Z105" i="6"/>
  <c r="X105" i="6"/>
  <c r="W105" i="6"/>
  <c r="V105" i="6"/>
  <c r="T105" i="6"/>
  <c r="S105" i="6"/>
  <c r="R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J99" i="6"/>
  <c r="AI99" i="6"/>
  <c r="AH99" i="6"/>
  <c r="AG99" i="6"/>
  <c r="AF99" i="6"/>
  <c r="AE99" i="6"/>
  <c r="AD99" i="6"/>
  <c r="AB99" i="6"/>
  <c r="AA99" i="6"/>
  <c r="Z99" i="6"/>
  <c r="X99" i="6"/>
  <c r="W99" i="6"/>
  <c r="V99" i="6"/>
  <c r="T99" i="6"/>
  <c r="S99" i="6"/>
  <c r="R99" i="6"/>
  <c r="M99" i="6"/>
  <c r="L99" i="6"/>
  <c r="K99" i="6"/>
  <c r="J99" i="6"/>
  <c r="I99" i="6"/>
  <c r="H99" i="6"/>
  <c r="G99" i="6"/>
  <c r="F99" i="6"/>
  <c r="E99" i="6"/>
  <c r="D99" i="6"/>
  <c r="C99" i="6"/>
  <c r="B99" i="6"/>
  <c r="AJ98" i="6"/>
  <c r="AI98" i="6"/>
  <c r="AH98" i="6"/>
  <c r="AG98" i="6"/>
  <c r="AF98" i="6"/>
  <c r="AE98" i="6"/>
  <c r="AD98" i="6"/>
  <c r="AB98" i="6"/>
  <c r="AA98" i="6"/>
  <c r="Z98" i="6"/>
  <c r="X98" i="6"/>
  <c r="W98" i="6"/>
  <c r="V98" i="6"/>
  <c r="T98" i="6"/>
  <c r="S98" i="6"/>
  <c r="R98" i="6"/>
  <c r="M98" i="6"/>
  <c r="L98" i="6"/>
  <c r="K98" i="6"/>
  <c r="J98" i="6"/>
  <c r="I98" i="6"/>
  <c r="H98" i="6"/>
  <c r="G98" i="6"/>
  <c r="F98" i="6"/>
  <c r="E98" i="6"/>
  <c r="D98" i="6"/>
  <c r="C98" i="6"/>
  <c r="B98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AJ92" i="6"/>
  <c r="AI92" i="6"/>
  <c r="AH92" i="6"/>
  <c r="AG92" i="6"/>
  <c r="AF92" i="6"/>
  <c r="AE92" i="6"/>
  <c r="AD92" i="6"/>
  <c r="AB92" i="6"/>
  <c r="AA92" i="6"/>
  <c r="Z92" i="6"/>
  <c r="X92" i="6"/>
  <c r="W92" i="6"/>
  <c r="V92" i="6"/>
  <c r="T92" i="6"/>
  <c r="S92" i="6"/>
  <c r="R92" i="6"/>
  <c r="M92" i="6"/>
  <c r="L92" i="6"/>
  <c r="K92" i="6"/>
  <c r="J92" i="6"/>
  <c r="I92" i="6"/>
  <c r="H92" i="6"/>
  <c r="G92" i="6"/>
  <c r="F92" i="6"/>
  <c r="E92" i="6"/>
  <c r="D92" i="6"/>
  <c r="C92" i="6"/>
  <c r="B92" i="6"/>
  <c r="AB91" i="6"/>
  <c r="AA91" i="6"/>
  <c r="Z91" i="6"/>
  <c r="X91" i="6"/>
  <c r="W91" i="6"/>
  <c r="V91" i="6"/>
  <c r="T91" i="6"/>
  <c r="S91" i="6"/>
  <c r="R91" i="6"/>
  <c r="M91" i="6"/>
  <c r="L91" i="6"/>
  <c r="K91" i="6"/>
  <c r="J91" i="6"/>
  <c r="I91" i="6"/>
  <c r="H91" i="6"/>
  <c r="G91" i="6"/>
  <c r="F91" i="6"/>
  <c r="E91" i="6"/>
  <c r="D91" i="6"/>
  <c r="C91" i="6"/>
  <c r="B91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J85" i="6"/>
  <c r="AI85" i="6"/>
  <c r="AH85" i="6"/>
  <c r="AG85" i="6"/>
  <c r="AF85" i="6"/>
  <c r="AE85" i="6"/>
  <c r="AD85" i="6"/>
  <c r="AB85" i="6"/>
  <c r="AA85" i="6"/>
  <c r="Z85" i="6"/>
  <c r="X85" i="6"/>
  <c r="W85" i="6"/>
  <c r="V85" i="6"/>
  <c r="T85" i="6"/>
  <c r="S85" i="6"/>
  <c r="R85" i="6"/>
  <c r="M85" i="6"/>
  <c r="L85" i="6"/>
  <c r="K85" i="6"/>
  <c r="J85" i="6"/>
  <c r="I85" i="6"/>
  <c r="H85" i="6"/>
  <c r="G85" i="6"/>
  <c r="F85" i="6"/>
  <c r="E85" i="6"/>
  <c r="D85" i="6"/>
  <c r="C85" i="6"/>
  <c r="B85" i="6"/>
  <c r="AJ84" i="6"/>
  <c r="AI84" i="6"/>
  <c r="AH84" i="6"/>
  <c r="AG84" i="6"/>
  <c r="AF84" i="6"/>
  <c r="AE84" i="6"/>
  <c r="AD84" i="6"/>
  <c r="AB84" i="6"/>
  <c r="AA84" i="6"/>
  <c r="X84" i="6"/>
  <c r="W84" i="6"/>
  <c r="T84" i="6"/>
  <c r="S84" i="6"/>
  <c r="R84" i="6"/>
  <c r="M84" i="6"/>
  <c r="L84" i="6"/>
  <c r="K84" i="6"/>
  <c r="J84" i="6"/>
  <c r="I84" i="6"/>
  <c r="H84" i="6"/>
  <c r="G84" i="6"/>
  <c r="F84" i="6"/>
  <c r="E84" i="6"/>
  <c r="D84" i="6"/>
  <c r="C84" i="6"/>
  <c r="B84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AJ78" i="6"/>
  <c r="AI78" i="6"/>
  <c r="AH78" i="6"/>
  <c r="AG78" i="6"/>
  <c r="AF78" i="6"/>
  <c r="AE78" i="6"/>
  <c r="AD78" i="6"/>
  <c r="AB78" i="6"/>
  <c r="AA78" i="6"/>
  <c r="X78" i="6"/>
  <c r="W78" i="6"/>
  <c r="T78" i="6"/>
  <c r="S78" i="6"/>
  <c r="R78" i="6"/>
  <c r="M78" i="6"/>
  <c r="L78" i="6"/>
  <c r="K78" i="6"/>
  <c r="J78" i="6"/>
  <c r="I78" i="6"/>
  <c r="H78" i="6"/>
  <c r="G78" i="6"/>
  <c r="F78" i="6"/>
  <c r="E78" i="6"/>
  <c r="D78" i="6"/>
  <c r="C78" i="6"/>
  <c r="B78" i="6"/>
  <c r="AJ77" i="6"/>
  <c r="AI77" i="6"/>
  <c r="AH77" i="6"/>
  <c r="AG77" i="6"/>
  <c r="AF77" i="6"/>
  <c r="AE77" i="6"/>
  <c r="AD77" i="6"/>
  <c r="AB77" i="6"/>
  <c r="AA77" i="6"/>
  <c r="Z77" i="6"/>
  <c r="X77" i="6"/>
  <c r="W77" i="6"/>
  <c r="V77" i="6"/>
  <c r="T77" i="6"/>
  <c r="S77" i="6"/>
  <c r="R77" i="6"/>
  <c r="M77" i="6"/>
  <c r="L77" i="6"/>
  <c r="K77" i="6"/>
  <c r="J77" i="6"/>
  <c r="I77" i="6"/>
  <c r="H77" i="6"/>
  <c r="G77" i="6"/>
  <c r="F77" i="6"/>
  <c r="E77" i="6"/>
  <c r="D77" i="6"/>
  <c r="C77" i="6"/>
  <c r="B77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B71" i="6"/>
  <c r="AA71" i="6"/>
  <c r="Z71" i="6"/>
  <c r="X71" i="6"/>
  <c r="W71" i="6"/>
  <c r="V71" i="6"/>
  <c r="T71" i="6"/>
  <c r="S71" i="6"/>
  <c r="R71" i="6"/>
  <c r="M71" i="6"/>
  <c r="L71" i="6"/>
  <c r="K71" i="6"/>
  <c r="J71" i="6"/>
  <c r="I71" i="6"/>
  <c r="H71" i="6"/>
  <c r="G71" i="6"/>
  <c r="F71" i="6"/>
  <c r="E71" i="6"/>
  <c r="D71" i="6"/>
  <c r="C71" i="6"/>
  <c r="B71" i="6"/>
  <c r="AB70" i="6"/>
  <c r="AA70" i="6"/>
  <c r="Z70" i="6"/>
  <c r="X70" i="6"/>
  <c r="W70" i="6"/>
  <c r="V70" i="6"/>
  <c r="T70" i="6"/>
  <c r="S70" i="6"/>
  <c r="R70" i="6"/>
  <c r="M70" i="6"/>
  <c r="L70" i="6"/>
  <c r="K70" i="6"/>
  <c r="J70" i="6"/>
  <c r="I70" i="6"/>
  <c r="H70" i="6"/>
  <c r="G70" i="6"/>
  <c r="F70" i="6"/>
  <c r="E70" i="6"/>
  <c r="D70" i="6"/>
  <c r="C70" i="6"/>
  <c r="B70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C68" i="6"/>
  <c r="AB68" i="6"/>
  <c r="AA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J67" i="6"/>
  <c r="AI67" i="6"/>
  <c r="AH67" i="6"/>
  <c r="AG67" i="6"/>
  <c r="AF67" i="6"/>
  <c r="AE67" i="6"/>
  <c r="AD67" i="6"/>
  <c r="AC67" i="6"/>
  <c r="AB67" i="6"/>
  <c r="AA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J64" i="6"/>
  <c r="AI64" i="6"/>
  <c r="AH64" i="6"/>
  <c r="AG64" i="6"/>
  <c r="AF64" i="6"/>
  <c r="AE64" i="6"/>
  <c r="AD64" i="6"/>
  <c r="AB64" i="6"/>
  <c r="AA64" i="6"/>
  <c r="Z64" i="6"/>
  <c r="X64" i="6"/>
  <c r="W64" i="6"/>
  <c r="V64" i="6"/>
  <c r="T64" i="6"/>
  <c r="S64" i="6"/>
  <c r="R64" i="6"/>
  <c r="M64" i="6"/>
  <c r="L64" i="6"/>
  <c r="K64" i="6"/>
  <c r="J64" i="6"/>
  <c r="I64" i="6"/>
  <c r="H64" i="6"/>
  <c r="G64" i="6"/>
  <c r="F64" i="6"/>
  <c r="E64" i="6"/>
  <c r="D64" i="6"/>
  <c r="C64" i="6"/>
  <c r="B64" i="6"/>
  <c r="AJ63" i="6"/>
  <c r="AI63" i="6"/>
  <c r="AH63" i="6"/>
  <c r="AG63" i="6"/>
  <c r="AF63" i="6"/>
  <c r="AE63" i="6"/>
  <c r="AD63" i="6"/>
  <c r="AB63" i="6"/>
  <c r="AA63" i="6"/>
  <c r="Z63" i="6"/>
  <c r="X63" i="6"/>
  <c r="W63" i="6"/>
  <c r="V63" i="6"/>
  <c r="T63" i="6"/>
  <c r="S63" i="6"/>
  <c r="R63" i="6"/>
  <c r="M63" i="6"/>
  <c r="L63" i="6"/>
  <c r="K63" i="6"/>
  <c r="J63" i="6"/>
  <c r="I63" i="6"/>
  <c r="H63" i="6"/>
  <c r="G63" i="6"/>
  <c r="F63" i="6"/>
  <c r="E63" i="6"/>
  <c r="D63" i="6"/>
  <c r="C63" i="6"/>
  <c r="B63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J57" i="6"/>
  <c r="AI57" i="6"/>
  <c r="AH57" i="6"/>
  <c r="AG57" i="6"/>
  <c r="AF57" i="6"/>
  <c r="AE57" i="6"/>
  <c r="AD57" i="6"/>
  <c r="AB57" i="6"/>
  <c r="AA57" i="6"/>
  <c r="Z57" i="6"/>
  <c r="X57" i="6"/>
  <c r="W57" i="6"/>
  <c r="V57" i="6"/>
  <c r="T57" i="6"/>
  <c r="S57" i="6"/>
  <c r="R57" i="6"/>
  <c r="M57" i="6"/>
  <c r="L57" i="6"/>
  <c r="K57" i="6"/>
  <c r="J57" i="6"/>
  <c r="I57" i="6"/>
  <c r="H57" i="6"/>
  <c r="G57" i="6"/>
  <c r="F57" i="6"/>
  <c r="E57" i="6"/>
  <c r="D57" i="6"/>
  <c r="C57" i="6"/>
  <c r="B57" i="6"/>
  <c r="AJ56" i="6"/>
  <c r="AI56" i="6"/>
  <c r="AH56" i="6"/>
  <c r="AG56" i="6"/>
  <c r="AF56" i="6"/>
  <c r="AE56" i="6"/>
  <c r="AD56" i="6"/>
  <c r="AB56" i="6"/>
  <c r="AA56" i="6"/>
  <c r="Z56" i="6"/>
  <c r="X56" i="6"/>
  <c r="W56" i="6"/>
  <c r="V56" i="6"/>
  <c r="T56" i="6"/>
  <c r="S56" i="6"/>
  <c r="R56" i="6"/>
  <c r="M56" i="6"/>
  <c r="L56" i="6"/>
  <c r="K56" i="6"/>
  <c r="J56" i="6"/>
  <c r="I56" i="6"/>
  <c r="H56" i="6"/>
  <c r="G56" i="6"/>
  <c r="F56" i="6"/>
  <c r="E56" i="6"/>
  <c r="D56" i="6"/>
  <c r="C56" i="6"/>
  <c r="B56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J50" i="6"/>
  <c r="AI50" i="6"/>
  <c r="AH50" i="6"/>
  <c r="AG50" i="6"/>
  <c r="AF50" i="6"/>
  <c r="AE50" i="6"/>
  <c r="AD50" i="6"/>
  <c r="AB50" i="6"/>
  <c r="AA50" i="6"/>
  <c r="Z50" i="6"/>
  <c r="X50" i="6"/>
  <c r="W50" i="6"/>
  <c r="V50" i="6"/>
  <c r="T50" i="6"/>
  <c r="S50" i="6"/>
  <c r="R50" i="6"/>
  <c r="M50" i="6"/>
  <c r="L50" i="6"/>
  <c r="K50" i="6"/>
  <c r="J50" i="6"/>
  <c r="I50" i="6"/>
  <c r="H50" i="6"/>
  <c r="G50" i="6"/>
  <c r="F50" i="6"/>
  <c r="E50" i="6"/>
  <c r="D50" i="6"/>
  <c r="C50" i="6"/>
  <c r="B50" i="6"/>
  <c r="AJ49" i="6"/>
  <c r="AI49" i="6"/>
  <c r="AH49" i="6"/>
  <c r="AG49" i="6"/>
  <c r="AF49" i="6"/>
  <c r="AE49" i="6"/>
  <c r="AD49" i="6"/>
  <c r="AB49" i="6"/>
  <c r="AA49" i="6"/>
  <c r="Z49" i="6"/>
  <c r="X49" i="6"/>
  <c r="W49" i="6"/>
  <c r="V49" i="6"/>
  <c r="T49" i="6"/>
  <c r="S49" i="6"/>
  <c r="R49" i="6"/>
  <c r="M49" i="6"/>
  <c r="L49" i="6"/>
  <c r="K49" i="6"/>
  <c r="J49" i="6"/>
  <c r="I49" i="6"/>
  <c r="H49" i="6"/>
  <c r="G49" i="6"/>
  <c r="F49" i="6"/>
  <c r="E49" i="6"/>
  <c r="D49" i="6"/>
  <c r="C49" i="6"/>
  <c r="B49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J44" i="6"/>
  <c r="AI44" i="6"/>
  <c r="AH44" i="6"/>
  <c r="AG44" i="6"/>
  <c r="AF44" i="6"/>
  <c r="AE44" i="6"/>
  <c r="AD44" i="6"/>
  <c r="AC44" i="6"/>
  <c r="AB44" i="6"/>
  <c r="AA44" i="6"/>
  <c r="Y44" i="6"/>
  <c r="X44" i="6"/>
  <c r="W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J43" i="6"/>
  <c r="AI43" i="6"/>
  <c r="AH43" i="6"/>
  <c r="AG43" i="6"/>
  <c r="AF43" i="6"/>
  <c r="AE43" i="6"/>
  <c r="AD43" i="6"/>
  <c r="AB43" i="6"/>
  <c r="AA43" i="6"/>
  <c r="X43" i="6"/>
  <c r="W43" i="6"/>
  <c r="T43" i="6"/>
  <c r="S43" i="6"/>
  <c r="R43" i="6"/>
  <c r="M43" i="6"/>
  <c r="L43" i="6"/>
  <c r="K43" i="6"/>
  <c r="J43" i="6"/>
  <c r="I43" i="6"/>
  <c r="H43" i="6"/>
  <c r="G43" i="6"/>
  <c r="F43" i="6"/>
  <c r="E43" i="6"/>
  <c r="D43" i="6"/>
  <c r="C43" i="6"/>
  <c r="B43" i="6"/>
  <c r="AJ42" i="6"/>
  <c r="AI42" i="6"/>
  <c r="AH42" i="6"/>
  <c r="AG42" i="6"/>
  <c r="AF42" i="6"/>
  <c r="AE42" i="6"/>
  <c r="AD42" i="6"/>
  <c r="AB42" i="6"/>
  <c r="AA42" i="6"/>
  <c r="X42" i="6"/>
  <c r="W42" i="6"/>
  <c r="T42" i="6"/>
  <c r="S42" i="6"/>
  <c r="R42" i="6"/>
  <c r="M42" i="6"/>
  <c r="L42" i="6"/>
  <c r="K42" i="6"/>
  <c r="J42" i="6"/>
  <c r="I42" i="6"/>
  <c r="H42" i="6"/>
  <c r="G42" i="6"/>
  <c r="F42" i="6"/>
  <c r="E42" i="6"/>
  <c r="D42" i="6"/>
  <c r="C42" i="6"/>
  <c r="B42" i="6"/>
  <c r="AC41" i="6"/>
  <c r="AB41" i="6"/>
  <c r="AA41" i="6"/>
  <c r="Y41" i="6"/>
  <c r="X41" i="6"/>
  <c r="W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C40" i="6"/>
  <c r="AB40" i="6"/>
  <c r="AA40" i="6"/>
  <c r="Y40" i="6"/>
  <c r="X40" i="6"/>
  <c r="W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J39" i="6"/>
  <c r="AI39" i="6"/>
  <c r="AH39" i="6"/>
  <c r="AG39" i="6"/>
  <c r="AF39" i="6"/>
  <c r="AE39" i="6"/>
  <c r="AD39" i="6"/>
  <c r="AC39" i="6"/>
  <c r="AB39" i="6"/>
  <c r="AA39" i="6"/>
  <c r="Y39" i="6"/>
  <c r="X39" i="6"/>
  <c r="W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J38" i="6"/>
  <c r="AI38" i="6"/>
  <c r="AH38" i="6"/>
  <c r="AG38" i="6"/>
  <c r="AF38" i="6"/>
  <c r="AE38" i="6"/>
  <c r="AD38" i="6"/>
  <c r="AC38" i="6"/>
  <c r="AB38" i="6"/>
  <c r="AA38" i="6"/>
  <c r="Y38" i="6"/>
  <c r="X38" i="6"/>
  <c r="W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J37" i="6"/>
  <c r="AI37" i="6"/>
  <c r="AH37" i="6"/>
  <c r="AG37" i="6"/>
  <c r="AF37" i="6"/>
  <c r="AE37" i="6"/>
  <c r="AD37" i="6"/>
  <c r="AC37" i="6"/>
  <c r="AB37" i="6"/>
  <c r="AA37" i="6"/>
  <c r="Y37" i="6"/>
  <c r="X37" i="6"/>
  <c r="W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J36" i="6"/>
  <c r="AI36" i="6"/>
  <c r="AH36" i="6"/>
  <c r="AG36" i="6"/>
  <c r="AF36" i="6"/>
  <c r="AE36" i="6"/>
  <c r="AD36" i="6"/>
  <c r="AB36" i="6"/>
  <c r="AA36" i="6"/>
  <c r="X36" i="6"/>
  <c r="W36" i="6"/>
  <c r="T36" i="6"/>
  <c r="S36" i="6"/>
  <c r="R36" i="6"/>
  <c r="M36" i="6"/>
  <c r="L36" i="6"/>
  <c r="K36" i="6"/>
  <c r="J36" i="6"/>
  <c r="I36" i="6"/>
  <c r="H36" i="6"/>
  <c r="G36" i="6"/>
  <c r="F36" i="6"/>
  <c r="E36" i="6"/>
  <c r="D36" i="6"/>
  <c r="C36" i="6"/>
  <c r="B36" i="6"/>
  <c r="AJ35" i="6"/>
  <c r="AI35" i="6"/>
  <c r="AH35" i="6"/>
  <c r="AG35" i="6"/>
  <c r="AF35" i="6"/>
  <c r="AE35" i="6"/>
  <c r="AD35" i="6"/>
  <c r="AB35" i="6"/>
  <c r="AA35" i="6"/>
  <c r="X35" i="6"/>
  <c r="W35" i="6"/>
  <c r="T35" i="6"/>
  <c r="S35" i="6"/>
  <c r="R35" i="6"/>
  <c r="M35" i="6"/>
  <c r="L35" i="6"/>
  <c r="K35" i="6"/>
  <c r="J35" i="6"/>
  <c r="I35" i="6"/>
  <c r="H35" i="6"/>
  <c r="G35" i="6"/>
  <c r="F35" i="6"/>
  <c r="E35" i="6"/>
  <c r="D35" i="6"/>
  <c r="C35" i="6"/>
  <c r="B35" i="6"/>
  <c r="AC34" i="6"/>
  <c r="AB34" i="6"/>
  <c r="AA34" i="6"/>
  <c r="Y34" i="6"/>
  <c r="X34" i="6"/>
  <c r="W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C33" i="6"/>
  <c r="AB33" i="6"/>
  <c r="AA33" i="6"/>
  <c r="Y33" i="6"/>
  <c r="X33" i="6"/>
  <c r="W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J32" i="6"/>
  <c r="AI32" i="6"/>
  <c r="AH32" i="6"/>
  <c r="AG32" i="6"/>
  <c r="AF32" i="6"/>
  <c r="AE32" i="6"/>
  <c r="AD32" i="6"/>
  <c r="AC32" i="6"/>
  <c r="AB32" i="6"/>
  <c r="AA32" i="6"/>
  <c r="Y32" i="6"/>
  <c r="X32" i="6"/>
  <c r="W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J31" i="6"/>
  <c r="AI31" i="6"/>
  <c r="AH31" i="6"/>
  <c r="AG31" i="6"/>
  <c r="AF31" i="6"/>
  <c r="AE31" i="6"/>
  <c r="AD31" i="6"/>
  <c r="AC31" i="6"/>
  <c r="AB31" i="6"/>
  <c r="AA31" i="6"/>
  <c r="Y31" i="6"/>
  <c r="X31" i="6"/>
  <c r="W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J30" i="6"/>
  <c r="AI30" i="6"/>
  <c r="AH30" i="6"/>
  <c r="AG30" i="6"/>
  <c r="AF30" i="6"/>
  <c r="AE30" i="6"/>
  <c r="AD30" i="6"/>
  <c r="AC30" i="6"/>
  <c r="AB30" i="6"/>
  <c r="AA30" i="6"/>
  <c r="Y30" i="6"/>
  <c r="X30" i="6"/>
  <c r="W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J29" i="6"/>
  <c r="AI29" i="6"/>
  <c r="AH29" i="6"/>
  <c r="AG29" i="6"/>
  <c r="AF29" i="6"/>
  <c r="AE29" i="6"/>
  <c r="AD29" i="6"/>
  <c r="AB29" i="6"/>
  <c r="AA29" i="6"/>
  <c r="X29" i="6"/>
  <c r="W29" i="6"/>
  <c r="T29" i="6"/>
  <c r="S29" i="6"/>
  <c r="R29" i="6"/>
  <c r="M29" i="6"/>
  <c r="L29" i="6"/>
  <c r="K29" i="6"/>
  <c r="J29" i="6"/>
  <c r="I29" i="6"/>
  <c r="H29" i="6"/>
  <c r="G29" i="6"/>
  <c r="F29" i="6"/>
  <c r="E29" i="6"/>
  <c r="D29" i="6"/>
  <c r="C29" i="6"/>
  <c r="B29" i="6"/>
  <c r="AJ28" i="6"/>
  <c r="AI28" i="6"/>
  <c r="AH28" i="6"/>
  <c r="AG28" i="6"/>
  <c r="AF28" i="6"/>
  <c r="AE28" i="6"/>
  <c r="AD28" i="6"/>
  <c r="AB28" i="6"/>
  <c r="AA28" i="6"/>
  <c r="X28" i="6"/>
  <c r="W28" i="6"/>
  <c r="T28" i="6"/>
  <c r="S28" i="6"/>
  <c r="R28" i="6"/>
  <c r="M28" i="6"/>
  <c r="L28" i="6"/>
  <c r="K28" i="6"/>
  <c r="J28" i="6"/>
  <c r="I28" i="6"/>
  <c r="H28" i="6"/>
  <c r="G28" i="6"/>
  <c r="F28" i="6"/>
  <c r="E28" i="6"/>
  <c r="D28" i="6"/>
  <c r="C28" i="6"/>
  <c r="B28" i="6"/>
  <c r="AC27" i="6"/>
  <c r="AB27" i="6"/>
  <c r="AA27" i="6"/>
  <c r="Y27" i="6"/>
  <c r="X27" i="6"/>
  <c r="W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C26" i="6"/>
  <c r="AB26" i="6"/>
  <c r="AA26" i="6"/>
  <c r="Y26" i="6"/>
  <c r="X26" i="6"/>
  <c r="W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J25" i="6"/>
  <c r="AI25" i="6"/>
  <c r="AH25" i="6"/>
  <c r="AG25" i="6"/>
  <c r="AF25" i="6"/>
  <c r="AE25" i="6"/>
  <c r="AD25" i="6"/>
  <c r="AC25" i="6"/>
  <c r="AB25" i="6"/>
  <c r="AA25" i="6"/>
  <c r="Y25" i="6"/>
  <c r="X25" i="6"/>
  <c r="W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J24" i="6"/>
  <c r="AI24" i="6"/>
  <c r="AH24" i="6"/>
  <c r="AG24" i="6"/>
  <c r="AF24" i="6"/>
  <c r="AE24" i="6"/>
  <c r="AD24" i="6"/>
  <c r="AC24" i="6"/>
  <c r="AB24" i="6"/>
  <c r="AA24" i="6"/>
  <c r="Y24" i="6"/>
  <c r="X24" i="6"/>
  <c r="W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J23" i="6"/>
  <c r="AI23" i="6"/>
  <c r="AH23" i="6"/>
  <c r="AG23" i="6"/>
  <c r="AF23" i="6"/>
  <c r="AE23" i="6"/>
  <c r="AD23" i="6"/>
  <c r="AC23" i="6"/>
  <c r="AB23" i="6"/>
  <c r="AA23" i="6"/>
  <c r="Y23" i="6"/>
  <c r="X23" i="6"/>
  <c r="W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J22" i="6"/>
  <c r="AI22" i="6"/>
  <c r="AH22" i="6"/>
  <c r="AG22" i="6"/>
  <c r="AF22" i="6"/>
  <c r="AE22" i="6"/>
  <c r="AD22" i="6"/>
  <c r="AB22" i="6"/>
  <c r="AA22" i="6"/>
  <c r="X22" i="6"/>
  <c r="W22" i="6"/>
  <c r="T22" i="6"/>
  <c r="S22" i="6"/>
  <c r="R22" i="6"/>
  <c r="M22" i="6"/>
  <c r="L22" i="6"/>
  <c r="K22" i="6"/>
  <c r="J22" i="6"/>
  <c r="I22" i="6"/>
  <c r="H22" i="6"/>
  <c r="G22" i="6"/>
  <c r="F22" i="6"/>
  <c r="E22" i="6"/>
  <c r="D22" i="6"/>
  <c r="C22" i="6"/>
  <c r="B22" i="6"/>
  <c r="AJ21" i="6"/>
  <c r="AI21" i="6"/>
  <c r="AH21" i="6"/>
  <c r="AG21" i="6"/>
  <c r="AF21" i="6"/>
  <c r="AE21" i="6"/>
  <c r="AD21" i="6"/>
  <c r="AB21" i="6"/>
  <c r="AA21" i="6"/>
  <c r="X21" i="6"/>
  <c r="W21" i="6"/>
  <c r="T21" i="6"/>
  <c r="S21" i="6"/>
  <c r="R21" i="6"/>
  <c r="M21" i="6"/>
  <c r="L21" i="6"/>
  <c r="K21" i="6"/>
  <c r="J21" i="6"/>
  <c r="I21" i="6"/>
  <c r="H21" i="6"/>
  <c r="G21" i="6"/>
  <c r="F21" i="6"/>
  <c r="E21" i="6"/>
  <c r="D21" i="6"/>
  <c r="C21" i="6"/>
  <c r="B21" i="6"/>
  <c r="AC20" i="6"/>
  <c r="AB20" i="6"/>
  <c r="AA20" i="6"/>
  <c r="Y20" i="6"/>
  <c r="X20" i="6"/>
  <c r="W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C19" i="6"/>
  <c r="AB19" i="6"/>
  <c r="AA19" i="6"/>
  <c r="Y19" i="6"/>
  <c r="X19" i="6"/>
  <c r="W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J18" i="6"/>
  <c r="AI18" i="6"/>
  <c r="AH18" i="6"/>
  <c r="AG18" i="6"/>
  <c r="AF18" i="6"/>
  <c r="AE18" i="6"/>
  <c r="AD18" i="6"/>
  <c r="AC18" i="6"/>
  <c r="AB18" i="6"/>
  <c r="AA18" i="6"/>
  <c r="Y18" i="6"/>
  <c r="X18" i="6"/>
  <c r="W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J17" i="6"/>
  <c r="AI17" i="6"/>
  <c r="AH17" i="6"/>
  <c r="AG17" i="6"/>
  <c r="AF17" i="6"/>
  <c r="AE17" i="6"/>
  <c r="AD17" i="6"/>
  <c r="AC17" i="6"/>
  <c r="AB17" i="6"/>
  <c r="AA17" i="6"/>
  <c r="Y17" i="6"/>
  <c r="X17" i="6"/>
  <c r="W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J16" i="6"/>
  <c r="AI16" i="6"/>
  <c r="AH16" i="6"/>
  <c r="AG16" i="6"/>
  <c r="AF16" i="6"/>
  <c r="AE16" i="6"/>
  <c r="AD16" i="6"/>
  <c r="AC16" i="6"/>
  <c r="AB16" i="6"/>
  <c r="AA16" i="6"/>
  <c r="Y16" i="6"/>
  <c r="X16" i="6"/>
  <c r="W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G16" i="6"/>
  <c r="F16" i="6"/>
  <c r="E16" i="6"/>
  <c r="D16" i="6"/>
  <c r="C16" i="6"/>
  <c r="AJ15" i="6"/>
  <c r="AI15" i="6"/>
  <c r="AH15" i="6"/>
  <c r="AG15" i="6"/>
  <c r="AF15" i="6"/>
  <c r="AE15" i="6"/>
  <c r="AD15" i="6"/>
  <c r="AB15" i="6"/>
  <c r="AA15" i="6"/>
  <c r="X15" i="6"/>
  <c r="W15" i="6"/>
  <c r="T15" i="6"/>
  <c r="S15" i="6"/>
  <c r="R15" i="6"/>
  <c r="M15" i="6"/>
  <c r="L15" i="6"/>
  <c r="K15" i="6"/>
  <c r="J15" i="6"/>
  <c r="I15" i="6"/>
  <c r="G15" i="6"/>
  <c r="F15" i="6"/>
  <c r="E15" i="6"/>
  <c r="D15" i="6"/>
  <c r="C15" i="6"/>
  <c r="AJ14" i="6"/>
  <c r="AI14" i="6"/>
  <c r="AH14" i="6"/>
  <c r="AG14" i="6"/>
  <c r="AF14" i="6"/>
  <c r="AE14" i="6"/>
  <c r="AD14" i="6"/>
  <c r="AB14" i="6"/>
  <c r="AA14" i="6"/>
  <c r="X14" i="6"/>
  <c r="W14" i="6"/>
  <c r="T14" i="6"/>
  <c r="S14" i="6"/>
  <c r="R14" i="6"/>
  <c r="M14" i="6"/>
  <c r="L14" i="6"/>
  <c r="K14" i="6"/>
  <c r="J14" i="6"/>
  <c r="I14" i="6"/>
  <c r="G14" i="6"/>
  <c r="F14" i="6"/>
  <c r="E14" i="6"/>
  <c r="D14" i="6"/>
  <c r="C14" i="6"/>
  <c r="AB13" i="6"/>
  <c r="AA13" i="6"/>
  <c r="X13" i="6"/>
  <c r="W13" i="6"/>
  <c r="T13" i="6"/>
  <c r="S13" i="6"/>
  <c r="R13" i="6"/>
  <c r="M13" i="6"/>
  <c r="L13" i="6"/>
  <c r="K13" i="6"/>
  <c r="J13" i="6"/>
  <c r="I13" i="6"/>
  <c r="G13" i="6"/>
  <c r="F13" i="6"/>
  <c r="E13" i="6"/>
  <c r="D13" i="6"/>
  <c r="C13" i="6"/>
  <c r="AC12" i="6"/>
  <c r="AB12" i="6"/>
  <c r="AA12" i="6"/>
  <c r="Y12" i="6"/>
  <c r="X12" i="6"/>
  <c r="W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G12" i="6"/>
  <c r="F12" i="6"/>
  <c r="E12" i="6"/>
  <c r="D12" i="6"/>
  <c r="C12" i="6"/>
  <c r="AJ11" i="6"/>
  <c r="AI11" i="6"/>
  <c r="AH11" i="6"/>
  <c r="AG11" i="6"/>
  <c r="AF11" i="6"/>
  <c r="AE11" i="6"/>
  <c r="AD11" i="6"/>
  <c r="AC11" i="6"/>
  <c r="AB11" i="6"/>
  <c r="AA11" i="6"/>
  <c r="Y11" i="6"/>
  <c r="X11" i="6"/>
  <c r="W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G11" i="6"/>
  <c r="F11" i="6"/>
  <c r="E11" i="6"/>
  <c r="D11" i="6"/>
  <c r="C11" i="6"/>
  <c r="AJ10" i="6"/>
  <c r="AI10" i="6"/>
  <c r="AH10" i="6"/>
  <c r="AG10" i="6"/>
  <c r="AF10" i="6"/>
  <c r="AE10" i="6"/>
  <c r="AD10" i="6"/>
  <c r="AC10" i="6"/>
  <c r="AB10" i="6"/>
  <c r="AA10" i="6"/>
  <c r="Y10" i="6"/>
  <c r="X10" i="6"/>
  <c r="W10" i="6"/>
  <c r="U10" i="6"/>
  <c r="T10" i="6"/>
  <c r="S10" i="6"/>
  <c r="Q10" i="6"/>
  <c r="P10" i="6"/>
  <c r="O10" i="6"/>
  <c r="N10" i="6"/>
  <c r="M10" i="6"/>
  <c r="L10" i="6"/>
  <c r="K10" i="6"/>
  <c r="J10" i="6"/>
  <c r="I10" i="6"/>
  <c r="G10" i="6"/>
  <c r="F10" i="6"/>
  <c r="E10" i="6"/>
  <c r="D10" i="6"/>
  <c r="C10" i="6"/>
  <c r="AJ9" i="6"/>
  <c r="AI9" i="6"/>
  <c r="AH9" i="6"/>
  <c r="AG9" i="6"/>
  <c r="AF9" i="6"/>
  <c r="AE9" i="6"/>
  <c r="AD9" i="6"/>
  <c r="AC9" i="6"/>
  <c r="AB9" i="6"/>
  <c r="AA9" i="6"/>
  <c r="Y9" i="6"/>
  <c r="X9" i="6"/>
  <c r="W9" i="6"/>
  <c r="U9" i="6"/>
  <c r="T9" i="6"/>
  <c r="S9" i="6"/>
  <c r="Q9" i="6"/>
  <c r="P9" i="6"/>
  <c r="O9" i="6"/>
  <c r="N9" i="6"/>
  <c r="M9" i="6"/>
  <c r="L9" i="6"/>
  <c r="K9" i="6"/>
  <c r="J9" i="6"/>
  <c r="I9" i="6"/>
  <c r="G9" i="6"/>
  <c r="F9" i="6"/>
  <c r="E9" i="6"/>
  <c r="D9" i="6"/>
  <c r="C9" i="6"/>
  <c r="AJ8" i="6"/>
  <c r="AI8" i="6"/>
  <c r="AH8" i="6"/>
  <c r="AG8" i="6"/>
  <c r="AF8" i="6"/>
  <c r="AE8" i="6"/>
  <c r="AD8" i="6"/>
  <c r="AB8" i="6"/>
  <c r="AA8" i="6"/>
  <c r="X8" i="6"/>
  <c r="W8" i="6"/>
  <c r="T8" i="6"/>
  <c r="S8" i="6"/>
  <c r="M8" i="6"/>
  <c r="L8" i="6"/>
  <c r="K8" i="6"/>
  <c r="J8" i="6"/>
  <c r="I8" i="6"/>
  <c r="G8" i="6"/>
  <c r="F8" i="6"/>
  <c r="E8" i="6"/>
  <c r="D8" i="6"/>
  <c r="C8" i="6"/>
  <c r="AJ7" i="6"/>
  <c r="AI7" i="6"/>
  <c r="AH7" i="6"/>
  <c r="AG7" i="6"/>
  <c r="AF7" i="6"/>
  <c r="AE7" i="6"/>
  <c r="AD7" i="6"/>
  <c r="AB7" i="6"/>
  <c r="AA7" i="6"/>
  <c r="X7" i="6"/>
  <c r="W7" i="6"/>
  <c r="T7" i="6"/>
  <c r="S7" i="6"/>
  <c r="M7" i="6"/>
  <c r="L7" i="6"/>
  <c r="K7" i="6"/>
  <c r="J7" i="6"/>
  <c r="I7" i="6"/>
  <c r="G7" i="6"/>
  <c r="F7" i="6"/>
  <c r="E7" i="6"/>
  <c r="C7" i="6"/>
  <c r="AC6" i="6"/>
  <c r="AB6" i="6"/>
  <c r="AA6" i="6"/>
  <c r="Y6" i="6"/>
  <c r="X6" i="6"/>
  <c r="W6" i="6"/>
  <c r="U6" i="6"/>
  <c r="T6" i="6"/>
  <c r="S6" i="6"/>
  <c r="Q6" i="6"/>
  <c r="P6" i="6"/>
  <c r="O6" i="6"/>
  <c r="N6" i="6"/>
  <c r="M6" i="6"/>
  <c r="L6" i="6"/>
  <c r="K6" i="6"/>
  <c r="J6" i="6"/>
  <c r="I6" i="6"/>
  <c r="G6" i="6"/>
  <c r="F6" i="6"/>
  <c r="E6" i="6"/>
  <c r="C6" i="6"/>
  <c r="AC5" i="6"/>
  <c r="AB5" i="6"/>
  <c r="AA5" i="6"/>
  <c r="Y5" i="6"/>
  <c r="X5" i="6"/>
  <c r="W5" i="6"/>
  <c r="U5" i="6"/>
  <c r="T5" i="6"/>
  <c r="S5" i="6"/>
  <c r="Q5" i="6"/>
  <c r="P5" i="6"/>
  <c r="O5" i="6"/>
  <c r="N5" i="6"/>
  <c r="M5" i="6"/>
  <c r="L5" i="6"/>
  <c r="K5" i="6"/>
  <c r="J5" i="6"/>
  <c r="I5" i="6"/>
  <c r="G5" i="6"/>
  <c r="F5" i="6"/>
  <c r="E5" i="6"/>
  <c r="C5" i="6"/>
  <c r="AJ4" i="6"/>
  <c r="AI4" i="6"/>
  <c r="AH4" i="6"/>
  <c r="AG4" i="6"/>
  <c r="AF4" i="6"/>
  <c r="AE4" i="6"/>
  <c r="AD4" i="6"/>
  <c r="AC4" i="6"/>
  <c r="AB4" i="6"/>
  <c r="AA4" i="6"/>
  <c r="Y4" i="6"/>
  <c r="X4" i="6"/>
  <c r="W4" i="6"/>
  <c r="U4" i="6"/>
  <c r="T4" i="6"/>
  <c r="S4" i="6"/>
  <c r="Q4" i="6"/>
  <c r="P4" i="6"/>
  <c r="O4" i="6"/>
  <c r="N4" i="6"/>
  <c r="M4" i="6"/>
  <c r="L4" i="6"/>
  <c r="K4" i="6"/>
  <c r="J4" i="6"/>
  <c r="I4" i="6"/>
  <c r="G4" i="6"/>
  <c r="F4" i="6"/>
  <c r="E4" i="6"/>
  <c r="C4" i="6"/>
  <c r="AJ3" i="6"/>
  <c r="AI3" i="6"/>
  <c r="AH3" i="6"/>
  <c r="AG3" i="6"/>
  <c r="AF3" i="6"/>
  <c r="AE3" i="6"/>
  <c r="AD3" i="6"/>
  <c r="AC3" i="6"/>
  <c r="AB3" i="6"/>
  <c r="AA3" i="6"/>
  <c r="Y3" i="6"/>
  <c r="X3" i="6"/>
  <c r="W3" i="6"/>
  <c r="U3" i="6"/>
  <c r="T3" i="6"/>
  <c r="S3" i="6"/>
  <c r="Q3" i="6"/>
  <c r="P3" i="6"/>
  <c r="O3" i="6"/>
  <c r="N3" i="6"/>
  <c r="M3" i="6"/>
  <c r="L3" i="6"/>
  <c r="K3" i="6"/>
  <c r="J3" i="6"/>
  <c r="I3" i="6"/>
  <c r="G3" i="6"/>
  <c r="F3" i="6"/>
  <c r="E3" i="6"/>
  <c r="C3" i="6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C1979" i="5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2" i="5"/>
  <c r="D1791" i="5"/>
  <c r="D1790" i="5"/>
  <c r="D1789" i="5"/>
  <c r="D1788" i="5"/>
  <c r="D1787" i="5"/>
  <c r="D1786" i="5"/>
  <c r="D1785" i="5"/>
  <c r="D1784" i="5"/>
  <c r="D1783" i="5"/>
  <c r="D1782" i="5"/>
  <c r="D1781" i="5"/>
  <c r="D1780" i="5"/>
  <c r="D1779" i="5"/>
  <c r="D1778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4" i="5"/>
  <c r="D1763" i="5"/>
  <c r="D1762" i="5"/>
  <c r="D1761" i="5"/>
  <c r="D1760" i="5"/>
  <c r="D1759" i="5"/>
  <c r="D1758" i="5"/>
  <c r="D1757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3" i="5"/>
  <c r="D1742" i="5"/>
  <c r="D1741" i="5"/>
  <c r="D1740" i="5"/>
  <c r="D1739" i="5"/>
  <c r="D1738" i="5"/>
  <c r="D1737" i="5"/>
  <c r="D1736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2" i="5"/>
  <c r="D1721" i="5"/>
  <c r="D1720" i="5"/>
  <c r="D1719" i="5"/>
  <c r="D1718" i="5"/>
  <c r="D1717" i="5"/>
  <c r="D1716" i="5"/>
  <c r="D1715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1" i="5"/>
  <c r="D1700" i="5"/>
  <c r="D1699" i="5"/>
  <c r="D1698" i="5"/>
  <c r="D1697" i="5"/>
  <c r="D1696" i="5"/>
  <c r="D1695" i="5"/>
  <c r="D1694" i="5"/>
  <c r="D1693" i="5"/>
  <c r="D1692" i="5"/>
  <c r="D1691" i="5"/>
  <c r="D1690" i="5"/>
  <c r="D1689" i="5"/>
  <c r="D1688" i="5"/>
  <c r="D1687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3" i="5"/>
  <c r="D1672" i="5"/>
  <c r="D1671" i="5"/>
  <c r="D1670" i="5"/>
  <c r="D1669" i="5"/>
  <c r="D1668" i="5"/>
  <c r="D1667" i="5"/>
  <c r="D1666" i="5"/>
  <c r="D1665" i="5"/>
  <c r="D1664" i="5"/>
  <c r="D1663" i="5"/>
  <c r="D1662" i="5"/>
  <c r="D1661" i="5"/>
  <c r="D1660" i="5"/>
  <c r="D1659" i="5"/>
  <c r="D1658" i="5"/>
  <c r="D1657" i="5"/>
  <c r="D1656" i="5"/>
  <c r="D1655" i="5"/>
  <c r="D1654" i="5"/>
  <c r="D1653" i="5"/>
  <c r="D1652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1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7" i="5"/>
  <c r="D1616" i="5"/>
  <c r="D1615" i="5"/>
  <c r="D1614" i="5"/>
  <c r="D1613" i="5"/>
  <c r="D1612" i="5"/>
  <c r="D1611" i="5"/>
  <c r="D1610" i="5"/>
  <c r="D1609" i="5"/>
  <c r="D1608" i="5"/>
  <c r="D1607" i="5"/>
  <c r="D1606" i="5"/>
  <c r="D1605" i="5"/>
  <c r="D1604" i="5"/>
  <c r="D1603" i="5"/>
  <c r="D1602" i="5"/>
  <c r="D1601" i="5"/>
  <c r="D1600" i="5"/>
  <c r="D1599" i="5"/>
  <c r="D1598" i="5"/>
  <c r="D1597" i="5"/>
  <c r="D1595" i="5"/>
  <c r="D1594" i="5"/>
  <c r="D1593" i="5"/>
  <c r="D1592" i="5"/>
  <c r="D1591" i="5"/>
  <c r="D1590" i="5"/>
  <c r="D1589" i="5"/>
  <c r="D1588" i="5"/>
  <c r="D1586" i="5"/>
  <c r="D1585" i="5"/>
  <c r="D1579" i="5"/>
  <c r="D1578" i="5"/>
  <c r="D1573" i="5"/>
  <c r="D1572" i="5"/>
  <c r="D1571" i="5"/>
  <c r="D1570" i="5"/>
  <c r="D1565" i="5"/>
  <c r="D1564" i="5"/>
  <c r="D1559" i="5"/>
  <c r="D1558" i="5"/>
  <c r="D1557" i="5"/>
  <c r="D1551" i="5"/>
  <c r="D1550" i="5"/>
  <c r="D1544" i="5"/>
  <c r="D1543" i="5"/>
  <c r="D1539" i="5"/>
  <c r="D1538" i="5"/>
  <c r="D1537" i="5"/>
  <c r="D1536" i="5"/>
  <c r="D1530" i="5"/>
  <c r="D1529" i="5"/>
  <c r="D1523" i="5"/>
  <c r="D1522" i="5"/>
  <c r="D1516" i="5"/>
  <c r="D1515" i="5"/>
  <c r="D1509" i="5"/>
  <c r="D1508" i="5"/>
  <c r="D1502" i="5"/>
  <c r="D1501" i="5"/>
  <c r="D1495" i="5"/>
  <c r="D1494" i="5"/>
  <c r="D1488" i="5"/>
  <c r="D1487" i="5"/>
  <c r="D1481" i="5"/>
  <c r="D1480" i="5"/>
  <c r="D1474" i="5"/>
  <c r="D1473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6" i="5"/>
  <c r="D1425" i="5"/>
  <c r="D1424" i="5"/>
  <c r="D1423" i="5"/>
  <c r="D1422" i="5"/>
  <c r="D1421" i="5"/>
  <c r="D1420" i="5"/>
  <c r="D1419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8" i="5"/>
  <c r="D1397" i="5"/>
  <c r="D1396" i="5"/>
  <c r="D1395" i="5"/>
  <c r="D1394" i="5"/>
  <c r="D1393" i="5"/>
  <c r="D1392" i="5"/>
  <c r="D1391" i="5"/>
  <c r="D1390" i="5"/>
  <c r="D1389" i="5"/>
  <c r="D1388" i="5"/>
  <c r="D1387" i="5"/>
  <c r="D1386" i="5"/>
  <c r="D1385" i="5"/>
  <c r="D1384" i="5"/>
  <c r="D1383" i="5"/>
  <c r="D1382" i="5"/>
  <c r="D1381" i="5"/>
  <c r="D1380" i="5"/>
  <c r="D1379" i="5"/>
  <c r="D1378" i="5"/>
  <c r="D1377" i="5"/>
  <c r="D1376" i="5"/>
  <c r="D1375" i="5"/>
  <c r="D1374" i="5"/>
  <c r="D1373" i="5"/>
  <c r="D1372" i="5"/>
  <c r="D1371" i="5"/>
  <c r="D1370" i="5"/>
  <c r="D1369" i="5"/>
  <c r="D1368" i="5"/>
  <c r="D1367" i="5"/>
  <c r="D1366" i="5"/>
  <c r="D1365" i="5"/>
  <c r="D1364" i="5"/>
  <c r="D1363" i="5"/>
  <c r="D1362" i="5"/>
  <c r="D1361" i="5"/>
  <c r="D1360" i="5"/>
  <c r="D1359" i="5"/>
  <c r="D1358" i="5"/>
  <c r="D1357" i="5"/>
  <c r="D1356" i="5"/>
  <c r="D1355" i="5"/>
  <c r="D1354" i="5"/>
  <c r="D1353" i="5"/>
  <c r="D1352" i="5"/>
  <c r="D1351" i="5"/>
  <c r="D1350" i="5"/>
  <c r="D1349" i="5"/>
  <c r="D1348" i="5"/>
  <c r="D1347" i="5"/>
  <c r="D1346" i="5"/>
  <c r="D1345" i="5"/>
  <c r="D1344" i="5"/>
  <c r="D1343" i="5"/>
  <c r="D1342" i="5"/>
  <c r="D1341" i="5"/>
  <c r="D1340" i="5"/>
  <c r="D1339" i="5"/>
  <c r="D1338" i="5"/>
  <c r="D1337" i="5"/>
  <c r="D1336" i="5"/>
  <c r="D1335" i="5"/>
  <c r="D1334" i="5"/>
  <c r="D1333" i="5"/>
  <c r="D1332" i="5"/>
  <c r="D1331" i="5"/>
  <c r="D1330" i="5"/>
  <c r="D1329" i="5"/>
  <c r="D1328" i="5"/>
  <c r="D1327" i="5"/>
  <c r="D1326" i="5"/>
  <c r="D1325" i="5"/>
  <c r="D1324" i="5"/>
  <c r="D1323" i="5"/>
  <c r="D1322" i="5"/>
  <c r="D1321" i="5"/>
  <c r="D1320" i="5"/>
  <c r="D1319" i="5"/>
  <c r="D1318" i="5"/>
  <c r="D1317" i="5"/>
  <c r="D1316" i="5"/>
  <c r="D1315" i="5"/>
  <c r="D1314" i="5"/>
  <c r="D1313" i="5"/>
  <c r="D1312" i="5"/>
  <c r="D1311" i="5"/>
  <c r="D1310" i="5"/>
  <c r="D1309" i="5"/>
  <c r="D1308" i="5"/>
  <c r="D1307" i="5"/>
  <c r="D1306" i="5"/>
  <c r="D1305" i="5"/>
  <c r="D1304" i="5"/>
  <c r="D1303" i="5"/>
  <c r="D1302" i="5"/>
  <c r="D1301" i="5"/>
  <c r="D1300" i="5"/>
  <c r="D1299" i="5"/>
  <c r="D1298" i="5"/>
  <c r="D1297" i="5"/>
  <c r="D1296" i="5"/>
  <c r="D1295" i="5"/>
  <c r="D1294" i="5"/>
  <c r="D1293" i="5"/>
  <c r="D1292" i="5"/>
  <c r="D1291" i="5"/>
  <c r="D1290" i="5"/>
  <c r="D1289" i="5"/>
  <c r="D1288" i="5"/>
  <c r="D1287" i="5"/>
  <c r="D1286" i="5"/>
  <c r="D1285" i="5"/>
  <c r="D1284" i="5"/>
  <c r="D1283" i="5"/>
  <c r="D1282" i="5"/>
  <c r="D1281" i="5"/>
  <c r="D1280" i="5"/>
  <c r="D1279" i="5"/>
  <c r="D1278" i="5"/>
  <c r="D1277" i="5"/>
  <c r="D1276" i="5"/>
  <c r="D1275" i="5"/>
  <c r="D1274" i="5"/>
  <c r="D1273" i="5"/>
  <c r="D1272" i="5"/>
  <c r="D1271" i="5"/>
  <c r="D1270" i="5"/>
  <c r="D1269" i="5"/>
  <c r="D1268" i="5"/>
  <c r="D1267" i="5"/>
  <c r="D1266" i="5"/>
  <c r="D1265" i="5"/>
  <c r="D1264" i="5"/>
  <c r="D1263" i="5"/>
  <c r="D1262" i="5"/>
  <c r="D1261" i="5"/>
  <c r="D1260" i="5"/>
  <c r="D1259" i="5"/>
  <c r="D1258" i="5"/>
  <c r="D1257" i="5"/>
  <c r="D1256" i="5"/>
  <c r="D1255" i="5"/>
  <c r="D1254" i="5"/>
  <c r="D1253" i="5"/>
  <c r="D1252" i="5"/>
  <c r="D1251" i="5"/>
  <c r="D1250" i="5"/>
  <c r="D1249" i="5"/>
  <c r="D1248" i="5"/>
  <c r="D1247" i="5"/>
  <c r="D1246" i="5"/>
  <c r="D1245" i="5"/>
  <c r="D1244" i="5"/>
  <c r="D1243" i="5"/>
  <c r="D1242" i="5"/>
  <c r="D1241" i="5"/>
  <c r="D1240" i="5"/>
  <c r="D1239" i="5"/>
  <c r="D1238" i="5"/>
  <c r="D1237" i="5"/>
  <c r="D1236" i="5"/>
  <c r="D1235" i="5"/>
  <c r="D1234" i="5"/>
  <c r="D1233" i="5"/>
  <c r="D1232" i="5"/>
  <c r="D1231" i="5"/>
  <c r="D1230" i="5"/>
  <c r="D1229" i="5"/>
  <c r="D1228" i="5"/>
  <c r="D1227" i="5"/>
  <c r="D1226" i="5"/>
  <c r="D1225" i="5"/>
  <c r="D1224" i="5"/>
  <c r="D1223" i="5"/>
  <c r="D1222" i="5"/>
  <c r="D1221" i="5"/>
  <c r="D1220" i="5"/>
  <c r="D1219" i="5"/>
  <c r="D1218" i="5"/>
  <c r="D1217" i="5"/>
  <c r="D1216" i="5"/>
  <c r="D1215" i="5"/>
  <c r="D1213" i="5"/>
  <c r="D1212" i="5"/>
  <c r="D1209" i="5"/>
  <c r="D1208" i="5"/>
  <c r="D1207" i="5"/>
  <c r="D1206" i="5"/>
  <c r="D1205" i="5"/>
  <c r="D1204" i="5"/>
  <c r="D1203" i="5"/>
  <c r="D1202" i="5"/>
  <c r="D1201" i="5"/>
  <c r="D1199" i="5"/>
  <c r="D1198" i="5"/>
  <c r="D1196" i="5"/>
  <c r="D1195" i="5"/>
  <c r="D1194" i="5"/>
  <c r="D1193" i="5"/>
  <c r="D1192" i="5"/>
  <c r="D1191" i="5"/>
  <c r="D1190" i="5"/>
  <c r="D1189" i="5"/>
  <c r="D1188" i="5"/>
  <c r="D1187" i="5"/>
  <c r="D1186" i="5"/>
  <c r="D1185" i="5"/>
  <c r="D1184" i="5"/>
  <c r="D1183" i="5"/>
  <c r="D1182" i="5"/>
  <c r="D1181" i="5"/>
  <c r="D1178" i="5"/>
  <c r="D1177" i="5"/>
  <c r="D1175" i="5"/>
  <c r="D1174" i="5"/>
  <c r="D1173" i="5"/>
  <c r="D1172" i="5"/>
  <c r="D1171" i="5"/>
  <c r="D1170" i="5"/>
  <c r="D1169" i="5"/>
  <c r="D1168" i="5"/>
  <c r="D1167" i="5"/>
  <c r="D1166" i="5"/>
  <c r="D1165" i="5"/>
  <c r="D1164" i="5"/>
  <c r="D1163" i="5"/>
  <c r="D1162" i="5"/>
  <c r="D1157" i="5"/>
  <c r="D1156" i="5"/>
  <c r="D1154" i="5"/>
  <c r="D1153" i="5"/>
  <c r="D1152" i="5"/>
  <c r="D1151" i="5"/>
  <c r="D1150" i="5"/>
  <c r="D1149" i="5"/>
  <c r="D1148" i="5"/>
  <c r="D1147" i="5"/>
  <c r="D1146" i="5"/>
  <c r="D1145" i="5"/>
  <c r="D1144" i="5"/>
  <c r="D1143" i="5"/>
  <c r="D1142" i="5"/>
  <c r="D1141" i="5"/>
  <c r="D1140" i="5"/>
  <c r="D1139" i="5"/>
  <c r="D1138" i="5"/>
  <c r="D1137" i="5"/>
  <c r="D1136" i="5"/>
  <c r="D1135" i="5"/>
  <c r="D1134" i="5"/>
  <c r="D1133" i="5"/>
  <c r="D1132" i="5"/>
  <c r="D1131" i="5"/>
  <c r="D1130" i="5"/>
  <c r="D1129" i="5"/>
  <c r="D1128" i="5"/>
  <c r="D1127" i="5"/>
  <c r="D1126" i="5"/>
  <c r="D1125" i="5"/>
  <c r="D1124" i="5"/>
  <c r="D1123" i="5"/>
  <c r="D1122" i="5"/>
  <c r="D1121" i="5"/>
  <c r="D1120" i="5"/>
  <c r="D1119" i="5"/>
  <c r="D1118" i="5"/>
  <c r="D1117" i="5"/>
  <c r="D1116" i="5"/>
  <c r="D1115" i="5"/>
  <c r="D1114" i="5"/>
  <c r="D1113" i="5"/>
  <c r="D1112" i="5"/>
  <c r="D1111" i="5"/>
  <c r="D1108" i="5"/>
  <c r="D1107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59" i="5"/>
  <c r="D1058" i="5"/>
  <c r="D1057" i="5"/>
  <c r="D1056" i="5"/>
  <c r="D1055" i="5"/>
  <c r="D1054" i="5"/>
  <c r="D1052" i="5"/>
  <c r="D1051" i="5"/>
  <c r="D1050" i="5"/>
  <c r="D1049" i="5"/>
  <c r="D1048" i="5"/>
  <c r="D1047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1" i="5"/>
  <c r="D1030" i="5"/>
  <c r="D1029" i="5"/>
  <c r="D1028" i="5"/>
  <c r="D1027" i="5"/>
  <c r="D1026" i="5"/>
  <c r="D1024" i="5"/>
  <c r="D1023" i="5"/>
  <c r="D1022" i="5"/>
  <c r="D1021" i="5"/>
  <c r="D1020" i="5"/>
  <c r="D1019" i="5"/>
  <c r="D1017" i="5"/>
  <c r="D1016" i="5"/>
  <c r="D1015" i="5"/>
  <c r="D1014" i="5"/>
  <c r="D1013" i="5"/>
  <c r="D1012" i="5"/>
  <c r="D1010" i="5"/>
  <c r="D1009" i="5"/>
  <c r="D1008" i="5"/>
  <c r="D1007" i="5"/>
  <c r="D1006" i="5"/>
  <c r="D1005" i="5"/>
  <c r="D1003" i="5"/>
  <c r="D1002" i="5"/>
  <c r="D1001" i="5"/>
  <c r="D1000" i="5"/>
  <c r="D999" i="5"/>
  <c r="D998" i="5"/>
  <c r="D996" i="5"/>
  <c r="D995" i="5"/>
  <c r="D994" i="5"/>
  <c r="D993" i="5"/>
  <c r="D992" i="5"/>
  <c r="D991" i="5"/>
  <c r="D989" i="5"/>
  <c r="D988" i="5"/>
  <c r="D987" i="5"/>
  <c r="D986" i="5"/>
  <c r="D985" i="5"/>
  <c r="D984" i="5"/>
  <c r="D982" i="5"/>
  <c r="D981" i="5"/>
  <c r="D980" i="5"/>
  <c r="D979" i="5"/>
  <c r="D978" i="5"/>
  <c r="D977" i="5"/>
  <c r="D975" i="5"/>
  <c r="D974" i="5"/>
  <c r="D973" i="5"/>
  <c r="D972" i="5"/>
  <c r="D971" i="5"/>
  <c r="D970" i="5"/>
  <c r="D968" i="5"/>
  <c r="D967" i="5"/>
  <c r="D966" i="5"/>
  <c r="D965" i="5"/>
  <c r="D964" i="5"/>
  <c r="D963" i="5"/>
  <c r="D961" i="5"/>
  <c r="D960" i="5"/>
  <c r="D959" i="5"/>
  <c r="D958" i="5"/>
  <c r="D957" i="5"/>
  <c r="D956" i="5"/>
  <c r="D954" i="5"/>
  <c r="D953" i="5"/>
  <c r="D952" i="5"/>
  <c r="D951" i="5"/>
  <c r="D950" i="5"/>
  <c r="D949" i="5"/>
  <c r="D947" i="5"/>
  <c r="D946" i="5"/>
  <c r="D945" i="5"/>
  <c r="D944" i="5"/>
  <c r="D943" i="5"/>
  <c r="D942" i="5"/>
  <c r="D940" i="5"/>
  <c r="D939" i="5"/>
  <c r="D938" i="5"/>
  <c r="D937" i="5"/>
  <c r="D936" i="5"/>
  <c r="D935" i="5"/>
  <c r="D933" i="5"/>
  <c r="D932" i="5"/>
  <c r="D931" i="5"/>
  <c r="D930" i="5"/>
  <c r="D929" i="5"/>
  <c r="D928" i="5"/>
  <c r="D926" i="5"/>
  <c r="D925" i="5"/>
  <c r="D924" i="5"/>
  <c r="D923" i="5"/>
  <c r="D922" i="5"/>
  <c r="D921" i="5"/>
  <c r="D919" i="5"/>
  <c r="D918" i="5"/>
  <c r="D917" i="5"/>
  <c r="D916" i="5"/>
  <c r="D915" i="5"/>
  <c r="D914" i="5"/>
  <c r="D912" i="5"/>
  <c r="D911" i="5"/>
  <c r="D910" i="5"/>
  <c r="D909" i="5"/>
  <c r="D908" i="5"/>
  <c r="D907" i="5"/>
  <c r="D905" i="5"/>
  <c r="D904" i="5"/>
  <c r="D903" i="5"/>
  <c r="D902" i="5"/>
  <c r="D901" i="5"/>
  <c r="D900" i="5"/>
  <c r="D898" i="5"/>
  <c r="D897" i="5"/>
  <c r="D896" i="5"/>
  <c r="D895" i="5"/>
  <c r="D894" i="5"/>
  <c r="D893" i="5"/>
  <c r="D891" i="5"/>
  <c r="D890" i="5"/>
  <c r="D889" i="5"/>
  <c r="D888" i="5"/>
  <c r="D887" i="5"/>
  <c r="D886" i="5"/>
  <c r="D884" i="5"/>
  <c r="D883" i="5"/>
  <c r="D882" i="5"/>
  <c r="D881" i="5"/>
  <c r="D880" i="5"/>
  <c r="D879" i="5"/>
  <c r="D877" i="5"/>
  <c r="D876" i="5"/>
  <c r="D875" i="5"/>
  <c r="D874" i="5"/>
  <c r="D873" i="5"/>
  <c r="D872" i="5"/>
  <c r="D870" i="5"/>
  <c r="D869" i="5"/>
  <c r="D868" i="5"/>
  <c r="D867" i="5"/>
  <c r="D866" i="5"/>
  <c r="D865" i="5"/>
  <c r="D863" i="5"/>
  <c r="D862" i="5"/>
  <c r="D861" i="5"/>
  <c r="D860" i="5"/>
  <c r="D859" i="5"/>
  <c r="D858" i="5"/>
  <c r="D857" i="5"/>
  <c r="D856" i="5"/>
  <c r="D854" i="5"/>
  <c r="D853" i="5"/>
  <c r="D847" i="5"/>
  <c r="D846" i="5"/>
  <c r="D841" i="5"/>
  <c r="D840" i="5"/>
  <c r="D839" i="5"/>
  <c r="D838" i="5"/>
  <c r="D833" i="5"/>
  <c r="D832" i="5"/>
  <c r="D827" i="5"/>
  <c r="D826" i="5"/>
  <c r="D825" i="5"/>
  <c r="D819" i="5"/>
  <c r="D818" i="5"/>
  <c r="D812" i="5"/>
  <c r="D811" i="5"/>
  <c r="D807" i="5"/>
  <c r="D806" i="5"/>
  <c r="D805" i="5"/>
  <c r="D804" i="5"/>
  <c r="D798" i="5"/>
  <c r="D797" i="5"/>
  <c r="D791" i="5"/>
  <c r="D790" i="5"/>
  <c r="D788" i="5"/>
  <c r="D784" i="5"/>
  <c r="D783" i="5"/>
  <c r="D777" i="5"/>
  <c r="D776" i="5"/>
  <c r="D770" i="5"/>
  <c r="D769" i="5"/>
  <c r="D763" i="5"/>
  <c r="D762" i="5"/>
  <c r="D756" i="5"/>
  <c r="D755" i="5"/>
  <c r="D749" i="5"/>
  <c r="D748" i="5"/>
  <c r="D742" i="5"/>
  <c r="D741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2" i="4"/>
  <c r="C12" i="4"/>
  <c r="D10" i="4"/>
  <c r="C10" i="4"/>
  <c r="C8" i="4"/>
  <c r="B7" i="4"/>
  <c r="B6" i="4"/>
  <c r="I5" i="4"/>
  <c r="H5" i="4"/>
  <c r="C4" i="4"/>
  <c r="B4" i="4"/>
  <c r="C3" i="4"/>
  <c r="B3" i="4"/>
  <c r="AP1004" i="3"/>
  <c r="AO1004" i="3"/>
  <c r="AN1004" i="3"/>
  <c r="AM1004" i="3"/>
  <c r="AL1004" i="3"/>
  <c r="AK1004" i="3"/>
  <c r="AJ1004" i="3"/>
  <c r="AI1004" i="3"/>
  <c r="AH1004" i="3"/>
  <c r="AG1004" i="3"/>
  <c r="AF1004" i="3"/>
  <c r="AE1004" i="3"/>
  <c r="AD1004" i="3"/>
  <c r="AC1004" i="3"/>
  <c r="AB1004" i="3"/>
  <c r="AA1004" i="3"/>
  <c r="Z1004" i="3"/>
  <c r="Y1004" i="3"/>
  <c r="X1004" i="3"/>
  <c r="W1004" i="3"/>
  <c r="V1004" i="3"/>
  <c r="AP997" i="3"/>
  <c r="AO997" i="3"/>
  <c r="AN997" i="3"/>
  <c r="AM997" i="3"/>
  <c r="AL997" i="3"/>
  <c r="AK997" i="3"/>
  <c r="AJ997" i="3"/>
  <c r="AI997" i="3"/>
  <c r="AH997" i="3"/>
  <c r="AG997" i="3"/>
  <c r="AF997" i="3"/>
  <c r="AE997" i="3"/>
  <c r="AD997" i="3"/>
  <c r="AC997" i="3"/>
  <c r="AB997" i="3"/>
  <c r="AA997" i="3"/>
  <c r="Z997" i="3"/>
  <c r="Y997" i="3"/>
  <c r="X997" i="3"/>
  <c r="W997" i="3"/>
  <c r="V997" i="3"/>
  <c r="AP990" i="3"/>
  <c r="AO990" i="3"/>
  <c r="AN990" i="3"/>
  <c r="AM990" i="3"/>
  <c r="AL990" i="3"/>
  <c r="AK990" i="3"/>
  <c r="AJ990" i="3"/>
  <c r="AI990" i="3"/>
  <c r="AH990" i="3"/>
  <c r="AG990" i="3"/>
  <c r="AF990" i="3"/>
  <c r="AE990" i="3"/>
  <c r="AD990" i="3"/>
  <c r="AC990" i="3"/>
  <c r="AB990" i="3"/>
  <c r="AA990" i="3"/>
  <c r="Z990" i="3"/>
  <c r="Y990" i="3"/>
  <c r="X990" i="3"/>
  <c r="W990" i="3"/>
  <c r="V990" i="3"/>
  <c r="AP983" i="3"/>
  <c r="AO983" i="3"/>
  <c r="AN983" i="3"/>
  <c r="AM983" i="3"/>
  <c r="AL983" i="3"/>
  <c r="AK983" i="3"/>
  <c r="AJ983" i="3"/>
  <c r="AI983" i="3"/>
  <c r="AH983" i="3"/>
  <c r="AG983" i="3"/>
  <c r="AF983" i="3"/>
  <c r="AE983" i="3"/>
  <c r="AD983" i="3"/>
  <c r="AC983" i="3"/>
  <c r="AB983" i="3"/>
  <c r="AA983" i="3"/>
  <c r="Z983" i="3"/>
  <c r="Y983" i="3"/>
  <c r="X983" i="3"/>
  <c r="W983" i="3"/>
  <c r="V983" i="3"/>
  <c r="AP976" i="3"/>
  <c r="AO976" i="3"/>
  <c r="AN976" i="3"/>
  <c r="AM976" i="3"/>
  <c r="AL976" i="3"/>
  <c r="AK976" i="3"/>
  <c r="AJ976" i="3"/>
  <c r="AI976" i="3"/>
  <c r="AH976" i="3"/>
  <c r="AG976" i="3"/>
  <c r="AF976" i="3"/>
  <c r="AE976" i="3"/>
  <c r="AD976" i="3"/>
  <c r="AC976" i="3"/>
  <c r="AB976" i="3"/>
  <c r="AA976" i="3"/>
  <c r="Z976" i="3"/>
  <c r="Y976" i="3"/>
  <c r="X976" i="3"/>
  <c r="W976" i="3"/>
  <c r="V976" i="3"/>
  <c r="AP969" i="3"/>
  <c r="AO969" i="3"/>
  <c r="AN969" i="3"/>
  <c r="AM969" i="3"/>
  <c r="AL969" i="3"/>
  <c r="AK969" i="3"/>
  <c r="AJ969" i="3"/>
  <c r="AI969" i="3"/>
  <c r="AH969" i="3"/>
  <c r="AG969" i="3"/>
  <c r="AF969" i="3"/>
  <c r="AE969" i="3"/>
  <c r="AD969" i="3"/>
  <c r="AC969" i="3"/>
  <c r="AB969" i="3"/>
  <c r="AA969" i="3"/>
  <c r="Z969" i="3"/>
  <c r="Y969" i="3"/>
  <c r="X969" i="3"/>
  <c r="W969" i="3"/>
  <c r="V969" i="3"/>
  <c r="AP962" i="3"/>
  <c r="AO962" i="3"/>
  <c r="AN962" i="3"/>
  <c r="AM962" i="3"/>
  <c r="AL962" i="3"/>
  <c r="AK962" i="3"/>
  <c r="AJ962" i="3"/>
  <c r="AI962" i="3"/>
  <c r="AH962" i="3"/>
  <c r="AG962" i="3"/>
  <c r="AF962" i="3"/>
  <c r="AE962" i="3"/>
  <c r="AD962" i="3"/>
  <c r="AC962" i="3"/>
  <c r="AB962" i="3"/>
  <c r="AA962" i="3"/>
  <c r="Z962" i="3"/>
  <c r="Y962" i="3"/>
  <c r="X962" i="3"/>
  <c r="W962" i="3"/>
  <c r="V962" i="3"/>
  <c r="AP955" i="3"/>
  <c r="AO955" i="3"/>
  <c r="AN955" i="3"/>
  <c r="AM955" i="3"/>
  <c r="AL955" i="3"/>
  <c r="AK955" i="3"/>
  <c r="AJ955" i="3"/>
  <c r="AI955" i="3"/>
  <c r="AH955" i="3"/>
  <c r="AG955" i="3"/>
  <c r="AF955" i="3"/>
  <c r="AE955" i="3"/>
  <c r="AD955" i="3"/>
  <c r="AC955" i="3"/>
  <c r="AB955" i="3"/>
  <c r="AA955" i="3"/>
  <c r="Z955" i="3"/>
  <c r="Y955" i="3"/>
  <c r="X955" i="3"/>
  <c r="W955" i="3"/>
  <c r="V955" i="3"/>
  <c r="AP941" i="3"/>
  <c r="AO941" i="3"/>
  <c r="AN941" i="3"/>
  <c r="AM941" i="3"/>
  <c r="AL941" i="3"/>
  <c r="AK941" i="3"/>
  <c r="AJ941" i="3"/>
  <c r="AI941" i="3"/>
  <c r="AH941" i="3"/>
  <c r="AG941" i="3"/>
  <c r="AF941" i="3"/>
  <c r="AE941" i="3"/>
  <c r="AD941" i="3"/>
  <c r="AC941" i="3"/>
  <c r="AB941" i="3"/>
  <c r="AA941" i="3"/>
  <c r="Z941" i="3"/>
  <c r="Y941" i="3"/>
  <c r="X941" i="3"/>
  <c r="W941" i="3"/>
  <c r="V941" i="3"/>
  <c r="AP934" i="3"/>
  <c r="AO934" i="3"/>
  <c r="AN934" i="3"/>
  <c r="AM934" i="3"/>
  <c r="AL934" i="3"/>
  <c r="AK934" i="3"/>
  <c r="AJ934" i="3"/>
  <c r="AI934" i="3"/>
  <c r="AH934" i="3"/>
  <c r="AG934" i="3"/>
  <c r="AF934" i="3"/>
  <c r="AE934" i="3"/>
  <c r="AD934" i="3"/>
  <c r="AC934" i="3"/>
  <c r="AB934" i="3"/>
  <c r="AA934" i="3"/>
  <c r="Z934" i="3"/>
  <c r="Y934" i="3"/>
  <c r="X934" i="3"/>
  <c r="W934" i="3"/>
  <c r="V934" i="3"/>
  <c r="AP927" i="3"/>
  <c r="AO927" i="3"/>
  <c r="AN927" i="3"/>
  <c r="AM927" i="3"/>
  <c r="AL927" i="3"/>
  <c r="AK927" i="3"/>
  <c r="AJ927" i="3"/>
  <c r="AI927" i="3"/>
  <c r="AH927" i="3"/>
  <c r="AG927" i="3"/>
  <c r="AF927" i="3"/>
  <c r="AE927" i="3"/>
  <c r="AD927" i="3"/>
  <c r="AC927" i="3"/>
  <c r="AB927" i="3"/>
  <c r="AA927" i="3"/>
  <c r="Z927" i="3"/>
  <c r="Y927" i="3"/>
  <c r="X927" i="3"/>
  <c r="W927" i="3"/>
  <c r="V927" i="3"/>
  <c r="AP920" i="3"/>
  <c r="AO920" i="3"/>
  <c r="AN920" i="3"/>
  <c r="AM920" i="3"/>
  <c r="AL920" i="3"/>
  <c r="AK920" i="3"/>
  <c r="AJ920" i="3"/>
  <c r="AI920" i="3"/>
  <c r="AH920" i="3"/>
  <c r="AG920" i="3"/>
  <c r="AF920" i="3"/>
  <c r="AE920" i="3"/>
  <c r="AD920" i="3"/>
  <c r="AC920" i="3"/>
  <c r="AB920" i="3"/>
  <c r="AA920" i="3"/>
  <c r="Z920" i="3"/>
  <c r="Y920" i="3"/>
  <c r="X920" i="3"/>
  <c r="W920" i="3"/>
  <c r="V920" i="3"/>
  <c r="AP913" i="3"/>
  <c r="AO913" i="3"/>
  <c r="AN913" i="3"/>
  <c r="AM913" i="3"/>
  <c r="AL913" i="3"/>
  <c r="AK913" i="3"/>
  <c r="AJ913" i="3"/>
  <c r="AI913" i="3"/>
  <c r="AH913" i="3"/>
  <c r="AG913" i="3"/>
  <c r="AF913" i="3"/>
  <c r="AE913" i="3"/>
  <c r="AD913" i="3"/>
  <c r="AC913" i="3"/>
  <c r="AB913" i="3"/>
  <c r="AA913" i="3"/>
  <c r="Z913" i="3"/>
  <c r="Y913" i="3"/>
  <c r="X913" i="3"/>
  <c r="W913" i="3"/>
  <c r="V913" i="3"/>
  <c r="AP906" i="3"/>
  <c r="AO906" i="3"/>
  <c r="AN906" i="3"/>
  <c r="AM906" i="3"/>
  <c r="AL906" i="3"/>
  <c r="AK906" i="3"/>
  <c r="AJ906" i="3"/>
  <c r="AI906" i="3"/>
  <c r="AH906" i="3"/>
  <c r="AG906" i="3"/>
  <c r="AF906" i="3"/>
  <c r="AE906" i="3"/>
  <c r="AD906" i="3"/>
  <c r="AC906" i="3"/>
  <c r="AB906" i="3"/>
  <c r="AA906" i="3"/>
  <c r="Z906" i="3"/>
  <c r="Y906" i="3"/>
  <c r="X906" i="3"/>
  <c r="W906" i="3"/>
  <c r="V906" i="3"/>
  <c r="AP899" i="3"/>
  <c r="AO899" i="3"/>
  <c r="AN899" i="3"/>
  <c r="AM899" i="3"/>
  <c r="AL899" i="3"/>
  <c r="AK899" i="3"/>
  <c r="AJ899" i="3"/>
  <c r="AI899" i="3"/>
  <c r="AH899" i="3"/>
  <c r="AG899" i="3"/>
  <c r="AF899" i="3"/>
  <c r="AE899" i="3"/>
  <c r="AD899" i="3"/>
  <c r="AC899" i="3"/>
  <c r="AB899" i="3"/>
  <c r="AA899" i="3"/>
  <c r="Z899" i="3"/>
  <c r="Y899" i="3"/>
  <c r="X899" i="3"/>
  <c r="W899" i="3"/>
  <c r="V899" i="3"/>
  <c r="AP892" i="3"/>
  <c r="AO892" i="3"/>
  <c r="AN892" i="3"/>
  <c r="AM892" i="3"/>
  <c r="AL892" i="3"/>
  <c r="AK892" i="3"/>
  <c r="AJ892" i="3"/>
  <c r="AI892" i="3"/>
  <c r="AH892" i="3"/>
  <c r="AG892" i="3"/>
  <c r="AF892" i="3"/>
  <c r="AE892" i="3"/>
  <c r="AD892" i="3"/>
  <c r="AC892" i="3"/>
  <c r="AB892" i="3"/>
  <c r="AA892" i="3"/>
  <c r="Z892" i="3"/>
  <c r="Y892" i="3"/>
  <c r="X892" i="3"/>
  <c r="W892" i="3"/>
  <c r="V892" i="3"/>
  <c r="AP885" i="3"/>
  <c r="AO885" i="3"/>
  <c r="AN885" i="3"/>
  <c r="AM885" i="3"/>
  <c r="AL885" i="3"/>
  <c r="AK885" i="3"/>
  <c r="AJ885" i="3"/>
  <c r="AI885" i="3"/>
  <c r="AH885" i="3"/>
  <c r="AG885" i="3"/>
  <c r="AF885" i="3"/>
  <c r="AE885" i="3"/>
  <c r="AD885" i="3"/>
  <c r="AC885" i="3"/>
  <c r="AB885" i="3"/>
  <c r="AA885" i="3"/>
  <c r="Z885" i="3"/>
  <c r="Y885" i="3"/>
  <c r="X885" i="3"/>
  <c r="W885" i="3"/>
  <c r="V885" i="3"/>
  <c r="AP878" i="3"/>
  <c r="AO878" i="3"/>
  <c r="AN878" i="3"/>
  <c r="AM878" i="3"/>
  <c r="AL878" i="3"/>
  <c r="AK878" i="3"/>
  <c r="AJ878" i="3"/>
  <c r="AI878" i="3"/>
  <c r="AH878" i="3"/>
  <c r="AG878" i="3"/>
  <c r="AF878" i="3"/>
  <c r="AE878" i="3"/>
  <c r="AD878" i="3"/>
  <c r="AC878" i="3"/>
  <c r="AB878" i="3"/>
  <c r="AA878" i="3"/>
  <c r="Z878" i="3"/>
  <c r="Y878" i="3"/>
  <c r="X878" i="3"/>
  <c r="W878" i="3"/>
  <c r="V878" i="3"/>
  <c r="AP871" i="3"/>
  <c r="AO871" i="3"/>
  <c r="AN871" i="3"/>
  <c r="AM871" i="3"/>
  <c r="AL871" i="3"/>
  <c r="AK871" i="3"/>
  <c r="AJ871" i="3"/>
  <c r="AI871" i="3"/>
  <c r="AH871" i="3"/>
  <c r="AG871" i="3"/>
  <c r="AF871" i="3"/>
  <c r="AE871" i="3"/>
  <c r="AD871" i="3"/>
  <c r="AC871" i="3"/>
  <c r="AB871" i="3"/>
  <c r="AA871" i="3"/>
  <c r="Z871" i="3"/>
  <c r="Y871" i="3"/>
  <c r="X871" i="3"/>
  <c r="W871" i="3"/>
  <c r="V871" i="3"/>
  <c r="AP864" i="3"/>
  <c r="AO864" i="3"/>
  <c r="AN864" i="3"/>
  <c r="AM864" i="3"/>
  <c r="AL864" i="3"/>
  <c r="AK864" i="3"/>
  <c r="AJ864" i="3"/>
  <c r="AI864" i="3"/>
  <c r="AH864" i="3"/>
  <c r="AG864" i="3"/>
  <c r="AF864" i="3"/>
  <c r="AE864" i="3"/>
  <c r="AD864" i="3"/>
  <c r="AC864" i="3"/>
  <c r="AB864" i="3"/>
  <c r="AA864" i="3"/>
  <c r="Z864" i="3"/>
  <c r="Y864" i="3"/>
  <c r="X864" i="3"/>
  <c r="W864" i="3"/>
  <c r="V864" i="3"/>
  <c r="AP857" i="3"/>
  <c r="AO857" i="3"/>
  <c r="AN857" i="3"/>
  <c r="AM857" i="3"/>
  <c r="AL857" i="3"/>
  <c r="AK857" i="3"/>
  <c r="AJ857" i="3"/>
  <c r="AI857" i="3"/>
  <c r="AH857" i="3"/>
  <c r="AG857" i="3"/>
  <c r="AF857" i="3"/>
  <c r="AE857" i="3"/>
  <c r="AD857" i="3"/>
  <c r="AC857" i="3"/>
  <c r="AB857" i="3"/>
  <c r="AA857" i="3"/>
  <c r="Z857" i="3"/>
  <c r="Y857" i="3"/>
  <c r="X857" i="3"/>
  <c r="W857" i="3"/>
  <c r="V857" i="3"/>
  <c r="AP850" i="3"/>
  <c r="AO850" i="3"/>
  <c r="AN850" i="3"/>
  <c r="AM850" i="3"/>
  <c r="AL850" i="3"/>
  <c r="AK850" i="3"/>
  <c r="AJ850" i="3"/>
  <c r="AI850" i="3"/>
  <c r="AH850" i="3"/>
  <c r="AG850" i="3"/>
  <c r="AF850" i="3"/>
  <c r="AE850" i="3"/>
  <c r="AD850" i="3"/>
  <c r="AC850" i="3"/>
  <c r="AB850" i="3"/>
  <c r="AA850" i="3"/>
  <c r="Z850" i="3"/>
  <c r="Y850" i="3"/>
  <c r="X850" i="3"/>
  <c r="W850" i="3"/>
  <c r="V850" i="3"/>
  <c r="AP843" i="3"/>
  <c r="AO843" i="3"/>
  <c r="AN843" i="3"/>
  <c r="AM843" i="3"/>
  <c r="AL843" i="3"/>
  <c r="AK843" i="3"/>
  <c r="AJ843" i="3"/>
  <c r="AI843" i="3"/>
  <c r="AH843" i="3"/>
  <c r="AG843" i="3"/>
  <c r="AF843" i="3"/>
  <c r="AE843" i="3"/>
  <c r="AD843" i="3"/>
  <c r="AC843" i="3"/>
  <c r="AB843" i="3"/>
  <c r="AA843" i="3"/>
  <c r="Z843" i="3"/>
  <c r="Y843" i="3"/>
  <c r="X843" i="3"/>
  <c r="W843" i="3"/>
  <c r="V843" i="3"/>
  <c r="AP836" i="3"/>
  <c r="AO836" i="3"/>
  <c r="AN836" i="3"/>
  <c r="AM836" i="3"/>
  <c r="AL836" i="3"/>
  <c r="AK836" i="3"/>
  <c r="AJ836" i="3"/>
  <c r="AI836" i="3"/>
  <c r="AH836" i="3"/>
  <c r="AG836" i="3"/>
  <c r="AF836" i="3"/>
  <c r="AE836" i="3"/>
  <c r="AD836" i="3"/>
  <c r="AC836" i="3"/>
  <c r="AB836" i="3"/>
  <c r="AA836" i="3"/>
  <c r="Z836" i="3"/>
  <c r="Y836" i="3"/>
  <c r="X836" i="3"/>
  <c r="W836" i="3"/>
  <c r="V836" i="3"/>
  <c r="AP829" i="3"/>
  <c r="AO829" i="3"/>
  <c r="AN829" i="3"/>
  <c r="AM829" i="3"/>
  <c r="AL829" i="3"/>
  <c r="AK829" i="3"/>
  <c r="AJ829" i="3"/>
  <c r="AI829" i="3"/>
  <c r="AH829" i="3"/>
  <c r="AG829" i="3"/>
  <c r="AF829" i="3"/>
  <c r="AE829" i="3"/>
  <c r="AD829" i="3"/>
  <c r="AC829" i="3"/>
  <c r="AB829" i="3"/>
  <c r="AA829" i="3"/>
  <c r="Z829" i="3"/>
  <c r="Y829" i="3"/>
  <c r="X829" i="3"/>
  <c r="W829" i="3"/>
  <c r="V829" i="3"/>
  <c r="AP822" i="3"/>
  <c r="AO822" i="3"/>
  <c r="AN822" i="3"/>
  <c r="AM822" i="3"/>
  <c r="AL822" i="3"/>
  <c r="AK822" i="3"/>
  <c r="AJ822" i="3"/>
  <c r="AI822" i="3"/>
  <c r="AH822" i="3"/>
  <c r="AG822" i="3"/>
  <c r="AF822" i="3"/>
  <c r="AE822" i="3"/>
  <c r="AD822" i="3"/>
  <c r="AC822" i="3"/>
  <c r="AB822" i="3"/>
  <c r="AA822" i="3"/>
  <c r="Z822" i="3"/>
  <c r="Y822" i="3"/>
  <c r="X822" i="3"/>
  <c r="W822" i="3"/>
  <c r="V822" i="3"/>
  <c r="AP815" i="3"/>
  <c r="AO815" i="3"/>
  <c r="AN815" i="3"/>
  <c r="AM815" i="3"/>
  <c r="AL815" i="3"/>
  <c r="AK815" i="3"/>
  <c r="AJ815" i="3"/>
  <c r="AI815" i="3"/>
  <c r="AH815" i="3"/>
  <c r="AG815" i="3"/>
  <c r="AF815" i="3"/>
  <c r="AE815" i="3"/>
  <c r="AD815" i="3"/>
  <c r="AC815" i="3"/>
  <c r="AB815" i="3"/>
  <c r="AA815" i="3"/>
  <c r="Z815" i="3"/>
  <c r="Y815" i="3"/>
  <c r="X815" i="3"/>
  <c r="W815" i="3"/>
  <c r="V815" i="3"/>
  <c r="AP808" i="3"/>
  <c r="AO808" i="3"/>
  <c r="AN808" i="3"/>
  <c r="AM808" i="3"/>
  <c r="AL808" i="3"/>
  <c r="AK808" i="3"/>
  <c r="AJ808" i="3"/>
  <c r="AI808" i="3"/>
  <c r="AH808" i="3"/>
  <c r="AG808" i="3"/>
  <c r="AF808" i="3"/>
  <c r="AE808" i="3"/>
  <c r="AD808" i="3"/>
  <c r="AC808" i="3"/>
  <c r="AB808" i="3"/>
  <c r="AA808" i="3"/>
  <c r="Z808" i="3"/>
  <c r="Y808" i="3"/>
  <c r="X808" i="3"/>
  <c r="W808" i="3"/>
  <c r="V808" i="3"/>
  <c r="AP801" i="3"/>
  <c r="AO801" i="3"/>
  <c r="AN801" i="3"/>
  <c r="AM801" i="3"/>
  <c r="AL801" i="3"/>
  <c r="AK801" i="3"/>
  <c r="AJ801" i="3"/>
  <c r="AI801" i="3"/>
  <c r="AH801" i="3"/>
  <c r="AG801" i="3"/>
  <c r="AF801" i="3"/>
  <c r="AE801" i="3"/>
  <c r="AD801" i="3"/>
  <c r="AC801" i="3"/>
  <c r="AB801" i="3"/>
  <c r="AA801" i="3"/>
  <c r="Z801" i="3"/>
  <c r="Y801" i="3"/>
  <c r="X801" i="3"/>
  <c r="W801" i="3"/>
  <c r="V801" i="3"/>
  <c r="AP794" i="3"/>
  <c r="AO794" i="3"/>
  <c r="AN794" i="3"/>
  <c r="AM794" i="3"/>
  <c r="AL794" i="3"/>
  <c r="AK794" i="3"/>
  <c r="AJ794" i="3"/>
  <c r="AI794" i="3"/>
  <c r="AH794" i="3"/>
  <c r="AG794" i="3"/>
  <c r="AF794" i="3"/>
  <c r="AE794" i="3"/>
  <c r="AD794" i="3"/>
  <c r="AC794" i="3"/>
  <c r="AB794" i="3"/>
  <c r="AA794" i="3"/>
  <c r="Z794" i="3"/>
  <c r="Y794" i="3"/>
  <c r="X794" i="3"/>
  <c r="W794" i="3"/>
  <c r="V794" i="3"/>
  <c r="AP787" i="3"/>
  <c r="AO787" i="3"/>
  <c r="AN787" i="3"/>
  <c r="AM787" i="3"/>
  <c r="AL787" i="3"/>
  <c r="AK787" i="3"/>
  <c r="AJ787" i="3"/>
  <c r="AI787" i="3"/>
  <c r="AH787" i="3"/>
  <c r="AG787" i="3"/>
  <c r="AF787" i="3"/>
  <c r="AE787" i="3"/>
  <c r="AD787" i="3"/>
  <c r="AC787" i="3"/>
  <c r="AB787" i="3"/>
  <c r="AA787" i="3"/>
  <c r="Z787" i="3"/>
  <c r="Y787" i="3"/>
  <c r="X787" i="3"/>
  <c r="W787" i="3"/>
  <c r="V787" i="3"/>
  <c r="AP780" i="3"/>
  <c r="AO780" i="3"/>
  <c r="AN780" i="3"/>
  <c r="AM780" i="3"/>
  <c r="AL780" i="3"/>
  <c r="AK780" i="3"/>
  <c r="AJ780" i="3"/>
  <c r="AI780" i="3"/>
  <c r="AH780" i="3"/>
  <c r="AG780" i="3"/>
  <c r="AF780" i="3"/>
  <c r="AE780" i="3"/>
  <c r="AD780" i="3"/>
  <c r="AC780" i="3"/>
  <c r="AB780" i="3"/>
  <c r="AA780" i="3"/>
  <c r="Z780" i="3"/>
  <c r="Y780" i="3"/>
  <c r="X780" i="3"/>
  <c r="W780" i="3"/>
  <c r="V780" i="3"/>
  <c r="AP773" i="3"/>
  <c r="AO773" i="3"/>
  <c r="AN773" i="3"/>
  <c r="AM773" i="3"/>
  <c r="AL773" i="3"/>
  <c r="AK773" i="3"/>
  <c r="AJ773" i="3"/>
  <c r="AI773" i="3"/>
  <c r="AH773" i="3"/>
  <c r="AG773" i="3"/>
  <c r="AF773" i="3"/>
  <c r="AE773" i="3"/>
  <c r="AD773" i="3"/>
  <c r="AC773" i="3"/>
  <c r="AB773" i="3"/>
  <c r="AA773" i="3"/>
  <c r="Z773" i="3"/>
  <c r="Y773" i="3"/>
  <c r="X773" i="3"/>
  <c r="W773" i="3"/>
  <c r="V773" i="3"/>
  <c r="AP764" i="3"/>
  <c r="AO764" i="3"/>
  <c r="AN764" i="3"/>
  <c r="AM764" i="3"/>
  <c r="AL764" i="3"/>
  <c r="AK764" i="3"/>
  <c r="AJ764" i="3"/>
  <c r="AI764" i="3"/>
  <c r="AH764" i="3"/>
  <c r="AG764" i="3"/>
  <c r="AF764" i="3"/>
  <c r="AE764" i="3"/>
  <c r="AD764" i="3"/>
  <c r="AC764" i="3"/>
  <c r="AB764" i="3"/>
  <c r="AA764" i="3"/>
  <c r="Z764" i="3"/>
  <c r="Y764" i="3"/>
  <c r="X764" i="3"/>
  <c r="W764" i="3"/>
  <c r="V764" i="3"/>
  <c r="AP760" i="3"/>
  <c r="AO760" i="3"/>
  <c r="AN760" i="3"/>
  <c r="AM760" i="3"/>
  <c r="AL760" i="3"/>
  <c r="AK760" i="3"/>
  <c r="AJ760" i="3"/>
  <c r="AI760" i="3"/>
  <c r="AH760" i="3"/>
  <c r="AG760" i="3"/>
  <c r="AF760" i="3"/>
  <c r="AE760" i="3"/>
  <c r="AD760" i="3"/>
  <c r="AC760" i="3"/>
  <c r="AB760" i="3"/>
  <c r="AA760" i="3"/>
  <c r="Z760" i="3"/>
  <c r="Y760" i="3"/>
  <c r="X760" i="3"/>
  <c r="W760" i="3"/>
  <c r="V760" i="3"/>
  <c r="AP759" i="3"/>
  <c r="AO759" i="3"/>
  <c r="AN759" i="3"/>
  <c r="AM759" i="3"/>
  <c r="AL759" i="3"/>
  <c r="AK759" i="3"/>
  <c r="AJ759" i="3"/>
  <c r="AI759" i="3"/>
  <c r="AH759" i="3"/>
  <c r="AG759" i="3"/>
  <c r="AF759" i="3"/>
  <c r="AE759" i="3"/>
  <c r="AD759" i="3"/>
  <c r="AC759" i="3"/>
  <c r="AB759" i="3"/>
  <c r="AA759" i="3"/>
  <c r="Z759" i="3"/>
  <c r="Y759" i="3"/>
  <c r="X759" i="3"/>
  <c r="W759" i="3"/>
  <c r="V759" i="3"/>
  <c r="AP758" i="3"/>
  <c r="AO758" i="3"/>
  <c r="AN758" i="3"/>
  <c r="AM758" i="3"/>
  <c r="AL758" i="3"/>
  <c r="AK758" i="3"/>
  <c r="AJ758" i="3"/>
  <c r="AI758" i="3"/>
  <c r="AH758" i="3"/>
  <c r="AG758" i="3"/>
  <c r="AF758" i="3"/>
  <c r="AE758" i="3"/>
  <c r="AD758" i="3"/>
  <c r="AC758" i="3"/>
  <c r="AB758" i="3"/>
  <c r="AA758" i="3"/>
  <c r="Z758" i="3"/>
  <c r="Y758" i="3"/>
  <c r="X758" i="3"/>
  <c r="W758" i="3"/>
  <c r="V758" i="3"/>
  <c r="AP757" i="3"/>
  <c r="AO757" i="3"/>
  <c r="AN757" i="3"/>
  <c r="AM757" i="3"/>
  <c r="AL757" i="3"/>
  <c r="AK757" i="3"/>
  <c r="AJ757" i="3"/>
  <c r="AI757" i="3"/>
  <c r="AH757" i="3"/>
  <c r="AG757" i="3"/>
  <c r="AF757" i="3"/>
  <c r="AE757" i="3"/>
  <c r="AD757" i="3"/>
  <c r="AC757" i="3"/>
  <c r="AB757" i="3"/>
  <c r="AA757" i="3"/>
  <c r="Z757" i="3"/>
  <c r="Y757" i="3"/>
  <c r="X757" i="3"/>
  <c r="W757" i="3"/>
  <c r="V757" i="3"/>
  <c r="AP754" i="3"/>
  <c r="AO754" i="3"/>
  <c r="AN754" i="3"/>
  <c r="AM754" i="3"/>
  <c r="AL754" i="3"/>
  <c r="AK754" i="3"/>
  <c r="AJ754" i="3"/>
  <c r="AI754" i="3"/>
  <c r="AH754" i="3"/>
  <c r="AG754" i="3"/>
  <c r="AF754" i="3"/>
  <c r="AE754" i="3"/>
  <c r="AD754" i="3"/>
  <c r="AC754" i="3"/>
  <c r="AB754" i="3"/>
  <c r="AA754" i="3"/>
  <c r="Z754" i="3"/>
  <c r="Y754" i="3"/>
  <c r="X754" i="3"/>
  <c r="W754" i="3"/>
  <c r="V754" i="3"/>
  <c r="AP753" i="3"/>
  <c r="AO753" i="3"/>
  <c r="AN753" i="3"/>
  <c r="AM753" i="3"/>
  <c r="AL753" i="3"/>
  <c r="AK753" i="3"/>
  <c r="AJ753" i="3"/>
  <c r="AI753" i="3"/>
  <c r="AH753" i="3"/>
  <c r="AG753" i="3"/>
  <c r="AF753" i="3"/>
  <c r="AE753" i="3"/>
  <c r="AD753" i="3"/>
  <c r="AC753" i="3"/>
  <c r="AB753" i="3"/>
  <c r="AA753" i="3"/>
  <c r="Z753" i="3"/>
  <c r="Y753" i="3"/>
  <c r="X753" i="3"/>
  <c r="W753" i="3"/>
  <c r="V753" i="3"/>
  <c r="AP752" i="3"/>
  <c r="AO752" i="3"/>
  <c r="AN752" i="3"/>
  <c r="AM752" i="3"/>
  <c r="AL752" i="3"/>
  <c r="AK752" i="3"/>
  <c r="AJ752" i="3"/>
  <c r="AI752" i="3"/>
  <c r="AH752" i="3"/>
  <c r="AG752" i="3"/>
  <c r="AF752" i="3"/>
  <c r="AE752" i="3"/>
  <c r="AD752" i="3"/>
  <c r="AC752" i="3"/>
  <c r="AB752" i="3"/>
  <c r="AA752" i="3"/>
  <c r="Z752" i="3"/>
  <c r="Y752" i="3"/>
  <c r="X752" i="3"/>
  <c r="W752" i="3"/>
  <c r="V752" i="3"/>
  <c r="AP751" i="3"/>
  <c r="AO751" i="3"/>
  <c r="AN751" i="3"/>
  <c r="AM751" i="3"/>
  <c r="AL751" i="3"/>
  <c r="AK751" i="3"/>
  <c r="AJ751" i="3"/>
  <c r="AI751" i="3"/>
  <c r="AH751" i="3"/>
  <c r="AG751" i="3"/>
  <c r="AF751" i="3"/>
  <c r="AE751" i="3"/>
  <c r="AD751" i="3"/>
  <c r="AC751" i="3"/>
  <c r="AB751" i="3"/>
  <c r="AA751" i="3"/>
  <c r="Z751" i="3"/>
  <c r="Y751" i="3"/>
  <c r="X751" i="3"/>
  <c r="W751" i="3"/>
  <c r="V751" i="3"/>
  <c r="AP746" i="3"/>
  <c r="AO746" i="3"/>
  <c r="AN746" i="3"/>
  <c r="AM746" i="3"/>
  <c r="AL746" i="3"/>
  <c r="AK746" i="3"/>
  <c r="AJ746" i="3"/>
  <c r="AI746" i="3"/>
  <c r="AH746" i="3"/>
  <c r="AG746" i="3"/>
  <c r="AF746" i="3"/>
  <c r="AE746" i="3"/>
  <c r="AD746" i="3"/>
  <c r="AC746" i="3"/>
  <c r="AB746" i="3"/>
  <c r="AA746" i="3"/>
  <c r="Z746" i="3"/>
  <c r="Y746" i="3"/>
  <c r="X746" i="3"/>
  <c r="W746" i="3"/>
  <c r="V746" i="3"/>
  <c r="AP745" i="3"/>
  <c r="AO745" i="3"/>
  <c r="AN745" i="3"/>
  <c r="AM745" i="3"/>
  <c r="AL745" i="3"/>
  <c r="AK745" i="3"/>
  <c r="AJ745" i="3"/>
  <c r="AI745" i="3"/>
  <c r="AH745" i="3"/>
  <c r="AG745" i="3"/>
  <c r="AF745" i="3"/>
  <c r="AE745" i="3"/>
  <c r="AD745" i="3"/>
  <c r="AC745" i="3"/>
  <c r="AB745" i="3"/>
  <c r="AA745" i="3"/>
  <c r="Z745" i="3"/>
  <c r="Y745" i="3"/>
  <c r="X745" i="3"/>
  <c r="W745" i="3"/>
  <c r="V745" i="3"/>
  <c r="AP744" i="3"/>
  <c r="AO744" i="3"/>
  <c r="AN744" i="3"/>
  <c r="AM744" i="3"/>
  <c r="AL744" i="3"/>
  <c r="AK744" i="3"/>
  <c r="AJ744" i="3"/>
  <c r="AI744" i="3"/>
  <c r="AH744" i="3"/>
  <c r="AG744" i="3"/>
  <c r="AF744" i="3"/>
  <c r="AE744" i="3"/>
  <c r="AD744" i="3"/>
  <c r="AC744" i="3"/>
  <c r="AB744" i="3"/>
  <c r="AA744" i="3"/>
  <c r="Z744" i="3"/>
  <c r="Y744" i="3"/>
  <c r="X744" i="3"/>
  <c r="W744" i="3"/>
  <c r="V744" i="3"/>
  <c r="AP743" i="3"/>
  <c r="AO743" i="3"/>
  <c r="AN743" i="3"/>
  <c r="AM743" i="3"/>
  <c r="AL743" i="3"/>
  <c r="AK743" i="3"/>
  <c r="AJ743" i="3"/>
  <c r="AI743" i="3"/>
  <c r="AH743" i="3"/>
  <c r="AG743" i="3"/>
  <c r="AF743" i="3"/>
  <c r="AE743" i="3"/>
  <c r="AD743" i="3"/>
  <c r="AC743" i="3"/>
  <c r="AB743" i="3"/>
  <c r="AA743" i="3"/>
  <c r="Z743" i="3"/>
  <c r="Y743" i="3"/>
  <c r="X743" i="3"/>
  <c r="W743" i="3"/>
  <c r="V743" i="3"/>
  <c r="V740" i="3"/>
  <c r="AP738" i="3"/>
  <c r="AO738" i="3"/>
  <c r="AN738" i="3"/>
  <c r="AM738" i="3"/>
  <c r="AL738" i="3"/>
  <c r="AK738" i="3"/>
  <c r="AJ738" i="3"/>
  <c r="AI738" i="3"/>
  <c r="AH738" i="3"/>
  <c r="AG738" i="3"/>
  <c r="AF738" i="3"/>
  <c r="AE738" i="3"/>
  <c r="AD738" i="3"/>
  <c r="AC738" i="3"/>
  <c r="AB738" i="3"/>
  <c r="AA738" i="3"/>
  <c r="Z738" i="3"/>
  <c r="Y738" i="3"/>
  <c r="X738" i="3"/>
  <c r="W738" i="3"/>
  <c r="V738" i="3"/>
  <c r="AP737" i="3"/>
  <c r="AO737" i="3"/>
  <c r="AN737" i="3"/>
  <c r="AM737" i="3"/>
  <c r="AL737" i="3"/>
  <c r="AK737" i="3"/>
  <c r="AJ737" i="3"/>
  <c r="AI737" i="3"/>
  <c r="AH737" i="3"/>
  <c r="AG737" i="3"/>
  <c r="AF737" i="3"/>
  <c r="AE737" i="3"/>
  <c r="AD737" i="3"/>
  <c r="AC737" i="3"/>
  <c r="AB737" i="3"/>
  <c r="AA737" i="3"/>
  <c r="Z737" i="3"/>
  <c r="Y737" i="3"/>
  <c r="X737" i="3"/>
  <c r="W737" i="3"/>
  <c r="V737" i="3"/>
  <c r="AP733" i="3"/>
  <c r="AO733" i="3"/>
  <c r="AN733" i="3"/>
  <c r="AM733" i="3"/>
  <c r="AL733" i="3"/>
  <c r="AK733" i="3"/>
  <c r="AJ733" i="3"/>
  <c r="AI733" i="3"/>
  <c r="AH733" i="3"/>
  <c r="AG733" i="3"/>
  <c r="AF733" i="3"/>
  <c r="AE733" i="3"/>
  <c r="AD733" i="3"/>
  <c r="AC733" i="3"/>
  <c r="AB733" i="3"/>
  <c r="AA733" i="3"/>
  <c r="Z733" i="3"/>
  <c r="Y733" i="3"/>
  <c r="X733" i="3"/>
  <c r="W733" i="3"/>
  <c r="V733" i="3"/>
  <c r="AP732" i="3"/>
  <c r="AO732" i="3"/>
  <c r="AN732" i="3"/>
  <c r="AM732" i="3"/>
  <c r="AL732" i="3"/>
  <c r="AK732" i="3"/>
  <c r="AJ732" i="3"/>
  <c r="AI732" i="3"/>
  <c r="AH732" i="3"/>
  <c r="AG732" i="3"/>
  <c r="AF732" i="3"/>
  <c r="AE732" i="3"/>
  <c r="AD732" i="3"/>
  <c r="AC732" i="3"/>
  <c r="AB732" i="3"/>
  <c r="AA732" i="3"/>
  <c r="Z732" i="3"/>
  <c r="Y732" i="3"/>
  <c r="X732" i="3"/>
  <c r="W732" i="3"/>
  <c r="V732" i="3"/>
  <c r="AP731" i="3"/>
  <c r="AO731" i="3"/>
  <c r="AN731" i="3"/>
  <c r="AM731" i="3"/>
  <c r="AL731" i="3"/>
  <c r="AK731" i="3"/>
  <c r="AJ731" i="3"/>
  <c r="AI731" i="3"/>
  <c r="AH731" i="3"/>
  <c r="AG731" i="3"/>
  <c r="AF731" i="3"/>
  <c r="AE731" i="3"/>
  <c r="AD731" i="3"/>
  <c r="AC731" i="3"/>
  <c r="AB731" i="3"/>
  <c r="AA731" i="3"/>
  <c r="Z731" i="3"/>
  <c r="Y731" i="3"/>
  <c r="X731" i="3"/>
  <c r="W731" i="3"/>
  <c r="V731" i="3"/>
  <c r="AP730" i="3"/>
  <c r="AO730" i="3"/>
  <c r="AN730" i="3"/>
  <c r="AM730" i="3"/>
  <c r="AL730" i="3"/>
  <c r="AK730" i="3"/>
  <c r="AJ730" i="3"/>
  <c r="AI730" i="3"/>
  <c r="AH730" i="3"/>
  <c r="AG730" i="3"/>
  <c r="AF730" i="3"/>
  <c r="AE730" i="3"/>
  <c r="AD730" i="3"/>
  <c r="AC730" i="3"/>
  <c r="AB730" i="3"/>
  <c r="AA730" i="3"/>
  <c r="Z730" i="3"/>
  <c r="Y730" i="3"/>
  <c r="X730" i="3"/>
  <c r="W730" i="3"/>
  <c r="V730" i="3"/>
  <c r="AP729" i="3"/>
  <c r="AO729" i="3"/>
  <c r="AN729" i="3"/>
  <c r="AM729" i="3"/>
  <c r="AL729" i="3"/>
  <c r="AK729" i="3"/>
  <c r="AJ729" i="3"/>
  <c r="AI729" i="3"/>
  <c r="AH729" i="3"/>
  <c r="AG729" i="3"/>
  <c r="AF729" i="3"/>
  <c r="AE729" i="3"/>
  <c r="AD729" i="3"/>
  <c r="AC729" i="3"/>
  <c r="AB729" i="3"/>
  <c r="AA729" i="3"/>
  <c r="Z729" i="3"/>
  <c r="Y729" i="3"/>
  <c r="X729" i="3"/>
  <c r="W729" i="3"/>
  <c r="V729" i="3"/>
  <c r="AP726" i="3"/>
  <c r="AO726" i="3"/>
  <c r="AN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Z726" i="3"/>
  <c r="Y726" i="3"/>
  <c r="X726" i="3"/>
  <c r="W726" i="3"/>
  <c r="V726" i="3"/>
  <c r="AP725" i="3"/>
  <c r="AO725" i="3"/>
  <c r="AN725" i="3"/>
  <c r="AM725" i="3"/>
  <c r="AL725" i="3"/>
  <c r="AK725" i="3"/>
  <c r="AJ725" i="3"/>
  <c r="AI725" i="3"/>
  <c r="AH725" i="3"/>
  <c r="AG725" i="3"/>
  <c r="AF725" i="3"/>
  <c r="AE725" i="3"/>
  <c r="AD725" i="3"/>
  <c r="AC725" i="3"/>
  <c r="AB725" i="3"/>
  <c r="AA725" i="3"/>
  <c r="Z725" i="3"/>
  <c r="Y725" i="3"/>
  <c r="X725" i="3"/>
  <c r="W725" i="3"/>
  <c r="V725" i="3"/>
  <c r="AP724" i="3"/>
  <c r="AO724" i="3"/>
  <c r="AN724" i="3"/>
  <c r="AM724" i="3"/>
  <c r="AL724" i="3"/>
  <c r="AK724" i="3"/>
  <c r="AJ724" i="3"/>
  <c r="AI724" i="3"/>
  <c r="AH724" i="3"/>
  <c r="AG724" i="3"/>
  <c r="AF724" i="3"/>
  <c r="AE724" i="3"/>
  <c r="AD724" i="3"/>
  <c r="AC724" i="3"/>
  <c r="AB724" i="3"/>
  <c r="AA724" i="3"/>
  <c r="Z724" i="3"/>
  <c r="Y724" i="3"/>
  <c r="X724" i="3"/>
  <c r="W724" i="3"/>
  <c r="V724" i="3"/>
  <c r="AP723" i="3"/>
  <c r="AO723" i="3"/>
  <c r="AN723" i="3"/>
  <c r="AM723" i="3"/>
  <c r="AL723" i="3"/>
  <c r="AK723" i="3"/>
  <c r="AJ723" i="3"/>
  <c r="AI723" i="3"/>
  <c r="AH723" i="3"/>
  <c r="AG723" i="3"/>
  <c r="AF723" i="3"/>
  <c r="AE723" i="3"/>
  <c r="AD723" i="3"/>
  <c r="AC723" i="3"/>
  <c r="AB723" i="3"/>
  <c r="AA723" i="3"/>
  <c r="Z723" i="3"/>
  <c r="Y723" i="3"/>
  <c r="X723" i="3"/>
  <c r="W723" i="3"/>
  <c r="V723" i="3"/>
  <c r="AP722" i="3"/>
  <c r="AO722" i="3"/>
  <c r="AN722" i="3"/>
  <c r="AM722" i="3"/>
  <c r="AL722" i="3"/>
  <c r="AK722" i="3"/>
  <c r="AJ722" i="3"/>
  <c r="AI722" i="3"/>
  <c r="AH722" i="3"/>
  <c r="AG722" i="3"/>
  <c r="AF722" i="3"/>
  <c r="AE722" i="3"/>
  <c r="AD722" i="3"/>
  <c r="AC722" i="3"/>
  <c r="AB722" i="3"/>
  <c r="AA722" i="3"/>
  <c r="Z722" i="3"/>
  <c r="Y722" i="3"/>
  <c r="X722" i="3"/>
  <c r="W722" i="3"/>
  <c r="V722" i="3"/>
  <c r="AP719" i="3"/>
  <c r="AO719" i="3"/>
  <c r="AN719" i="3"/>
  <c r="AM719" i="3"/>
  <c r="AL719" i="3"/>
  <c r="AK719" i="3"/>
  <c r="AJ719" i="3"/>
  <c r="AI719" i="3"/>
  <c r="AH719" i="3"/>
  <c r="AG719" i="3"/>
  <c r="AF719" i="3"/>
  <c r="AE719" i="3"/>
  <c r="AD719" i="3"/>
  <c r="AC719" i="3"/>
  <c r="AB719" i="3"/>
  <c r="AA719" i="3"/>
  <c r="Z719" i="3"/>
  <c r="Y719" i="3"/>
  <c r="X719" i="3"/>
  <c r="W719" i="3"/>
  <c r="V719" i="3"/>
  <c r="AP718" i="3"/>
  <c r="AO718" i="3"/>
  <c r="AN718" i="3"/>
  <c r="AM718" i="3"/>
  <c r="AL718" i="3"/>
  <c r="AK718" i="3"/>
  <c r="AJ718" i="3"/>
  <c r="AI718" i="3"/>
  <c r="AH718" i="3"/>
  <c r="AG718" i="3"/>
  <c r="AF718" i="3"/>
  <c r="AE718" i="3"/>
  <c r="AD718" i="3"/>
  <c r="AC718" i="3"/>
  <c r="AB718" i="3"/>
  <c r="AA718" i="3"/>
  <c r="Z718" i="3"/>
  <c r="Y718" i="3"/>
  <c r="X718" i="3"/>
  <c r="W718" i="3"/>
  <c r="V718" i="3"/>
  <c r="AP717" i="3"/>
  <c r="AO717" i="3"/>
  <c r="AN717" i="3"/>
  <c r="AM717" i="3"/>
  <c r="AL717" i="3"/>
  <c r="AK717" i="3"/>
  <c r="AJ717" i="3"/>
  <c r="AI717" i="3"/>
  <c r="AH717" i="3"/>
  <c r="AG717" i="3"/>
  <c r="AF717" i="3"/>
  <c r="AE717" i="3"/>
  <c r="AD717" i="3"/>
  <c r="AC717" i="3"/>
  <c r="AB717" i="3"/>
  <c r="AA717" i="3"/>
  <c r="Z717" i="3"/>
  <c r="Y717" i="3"/>
  <c r="X717" i="3"/>
  <c r="W717" i="3"/>
  <c r="V717" i="3"/>
  <c r="AP712" i="3"/>
  <c r="AO712" i="3"/>
  <c r="AN712" i="3"/>
  <c r="AM712" i="3"/>
  <c r="AL712" i="3"/>
  <c r="AK712" i="3"/>
  <c r="AJ712" i="3"/>
  <c r="AI712" i="3"/>
  <c r="AH712" i="3"/>
  <c r="AG712" i="3"/>
  <c r="AF712" i="3"/>
  <c r="AE712" i="3"/>
  <c r="AD712" i="3"/>
  <c r="AC712" i="3"/>
  <c r="AB712" i="3"/>
  <c r="AA712" i="3"/>
  <c r="Z712" i="3"/>
  <c r="Y712" i="3"/>
  <c r="X712" i="3"/>
  <c r="W712" i="3"/>
  <c r="V712" i="3"/>
  <c r="AP711" i="3"/>
  <c r="AO711" i="3"/>
  <c r="AN711" i="3"/>
  <c r="AM711" i="3"/>
  <c r="AL711" i="3"/>
  <c r="AK711" i="3"/>
  <c r="AJ711" i="3"/>
  <c r="AI711" i="3"/>
  <c r="AH711" i="3"/>
  <c r="AG711" i="3"/>
  <c r="AF711" i="3"/>
  <c r="AE711" i="3"/>
  <c r="AD711" i="3"/>
  <c r="AC711" i="3"/>
  <c r="AB711" i="3"/>
  <c r="AA711" i="3"/>
  <c r="Z711" i="3"/>
  <c r="Y711" i="3"/>
  <c r="X711" i="3"/>
  <c r="W711" i="3"/>
  <c r="V711" i="3"/>
  <c r="AP710" i="3"/>
  <c r="AO710" i="3"/>
  <c r="AN710" i="3"/>
  <c r="AM710" i="3"/>
  <c r="AL710" i="3"/>
  <c r="AK710" i="3"/>
  <c r="AJ710" i="3"/>
  <c r="AI710" i="3"/>
  <c r="AH710" i="3"/>
  <c r="AG710" i="3"/>
  <c r="AF710" i="3"/>
  <c r="AE710" i="3"/>
  <c r="AD710" i="3"/>
  <c r="AC710" i="3"/>
  <c r="AB710" i="3"/>
  <c r="AA710" i="3"/>
  <c r="Z710" i="3"/>
  <c r="Y710" i="3"/>
  <c r="X710" i="3"/>
  <c r="W710" i="3"/>
  <c r="V710" i="3"/>
  <c r="AP709" i="3"/>
  <c r="AO709" i="3"/>
  <c r="AN709" i="3"/>
  <c r="AM709" i="3"/>
  <c r="AL709" i="3"/>
  <c r="AK709" i="3"/>
  <c r="AJ709" i="3"/>
  <c r="AI709" i="3"/>
  <c r="AH709" i="3"/>
  <c r="AG709" i="3"/>
  <c r="AF709" i="3"/>
  <c r="AE709" i="3"/>
  <c r="AD709" i="3"/>
  <c r="AC709" i="3"/>
  <c r="AB709" i="3"/>
  <c r="AA709" i="3"/>
  <c r="Z709" i="3"/>
  <c r="Y709" i="3"/>
  <c r="X709" i="3"/>
  <c r="W709" i="3"/>
  <c r="V709" i="3"/>
  <c r="AP708" i="3"/>
  <c r="AO708" i="3"/>
  <c r="AN708" i="3"/>
  <c r="AM708" i="3"/>
  <c r="AL708" i="3"/>
  <c r="AK708" i="3"/>
  <c r="AJ708" i="3"/>
  <c r="AI708" i="3"/>
  <c r="AH708" i="3"/>
  <c r="AG708" i="3"/>
  <c r="AF708" i="3"/>
  <c r="AE708" i="3"/>
  <c r="AD708" i="3"/>
  <c r="AC708" i="3"/>
  <c r="AB708" i="3"/>
  <c r="AA708" i="3"/>
  <c r="Z708" i="3"/>
  <c r="Y708" i="3"/>
  <c r="X708" i="3"/>
  <c r="W708" i="3"/>
  <c r="V708" i="3"/>
  <c r="AP705" i="3"/>
  <c r="AO705" i="3"/>
  <c r="AN705" i="3"/>
  <c r="AM705" i="3"/>
  <c r="AL705" i="3"/>
  <c r="AK705" i="3"/>
  <c r="AJ705" i="3"/>
  <c r="AI705" i="3"/>
  <c r="AH705" i="3"/>
  <c r="AG705" i="3"/>
  <c r="AF705" i="3"/>
  <c r="AE705" i="3"/>
  <c r="AD705" i="3"/>
  <c r="AC705" i="3"/>
  <c r="AB705" i="3"/>
  <c r="AA705" i="3"/>
  <c r="Z705" i="3"/>
  <c r="Y705" i="3"/>
  <c r="X705" i="3"/>
  <c r="W705" i="3"/>
  <c r="V705" i="3"/>
  <c r="AP704" i="3"/>
  <c r="AO704" i="3"/>
  <c r="AN704" i="3"/>
  <c r="AM704" i="3"/>
  <c r="AL704" i="3"/>
  <c r="AK704" i="3"/>
  <c r="AJ704" i="3"/>
  <c r="AI704" i="3"/>
  <c r="AH704" i="3"/>
  <c r="AG704" i="3"/>
  <c r="AF704" i="3"/>
  <c r="AE704" i="3"/>
  <c r="AD704" i="3"/>
  <c r="AC704" i="3"/>
  <c r="AB704" i="3"/>
  <c r="AA704" i="3"/>
  <c r="Z704" i="3"/>
  <c r="Y704" i="3"/>
  <c r="X704" i="3"/>
  <c r="W704" i="3"/>
  <c r="V704" i="3"/>
  <c r="AP703" i="3"/>
  <c r="AO703" i="3"/>
  <c r="AN703" i="3"/>
  <c r="AM703" i="3"/>
  <c r="AL703" i="3"/>
  <c r="AK703" i="3"/>
  <c r="AJ703" i="3"/>
  <c r="AI703" i="3"/>
  <c r="AH703" i="3"/>
  <c r="AG703" i="3"/>
  <c r="AF703" i="3"/>
  <c r="AE703" i="3"/>
  <c r="AD703" i="3"/>
  <c r="AC703" i="3"/>
  <c r="AB703" i="3"/>
  <c r="AA703" i="3"/>
  <c r="Z703" i="3"/>
  <c r="Y703" i="3"/>
  <c r="X703" i="3"/>
  <c r="W703" i="3"/>
  <c r="V703" i="3"/>
  <c r="AP702" i="3"/>
  <c r="AO702" i="3"/>
  <c r="AN702" i="3"/>
  <c r="AM702" i="3"/>
  <c r="AL702" i="3"/>
  <c r="AK702" i="3"/>
  <c r="AJ702" i="3"/>
  <c r="AI702" i="3"/>
  <c r="AH702" i="3"/>
  <c r="AG702" i="3"/>
  <c r="AF702" i="3"/>
  <c r="AE702" i="3"/>
  <c r="AD702" i="3"/>
  <c r="AC702" i="3"/>
  <c r="AB702" i="3"/>
  <c r="AA702" i="3"/>
  <c r="Z702" i="3"/>
  <c r="Y702" i="3"/>
  <c r="X702" i="3"/>
  <c r="W702" i="3"/>
  <c r="V702" i="3"/>
  <c r="AP701" i="3"/>
  <c r="AO701" i="3"/>
  <c r="AN701" i="3"/>
  <c r="AM701" i="3"/>
  <c r="AL701" i="3"/>
  <c r="AK701" i="3"/>
  <c r="AJ701" i="3"/>
  <c r="AI701" i="3"/>
  <c r="AH701" i="3"/>
  <c r="AG701" i="3"/>
  <c r="AF701" i="3"/>
  <c r="AE701" i="3"/>
  <c r="AD701" i="3"/>
  <c r="AC701" i="3"/>
  <c r="AB701" i="3"/>
  <c r="AA701" i="3"/>
  <c r="Z701" i="3"/>
  <c r="Y701" i="3"/>
  <c r="X701" i="3"/>
  <c r="W701" i="3"/>
  <c r="V701" i="3"/>
  <c r="AP698" i="3"/>
  <c r="AO698" i="3"/>
  <c r="AN698" i="3"/>
  <c r="AM698" i="3"/>
  <c r="AL698" i="3"/>
  <c r="AK698" i="3"/>
  <c r="AJ698" i="3"/>
  <c r="AI698" i="3"/>
  <c r="AH698" i="3"/>
  <c r="AG698" i="3"/>
  <c r="AF698" i="3"/>
  <c r="AE698" i="3"/>
  <c r="AD698" i="3"/>
  <c r="AC698" i="3"/>
  <c r="AB698" i="3"/>
  <c r="AA698" i="3"/>
  <c r="Z698" i="3"/>
  <c r="Y698" i="3"/>
  <c r="X698" i="3"/>
  <c r="W698" i="3"/>
  <c r="V698" i="3"/>
  <c r="AP697" i="3"/>
  <c r="AO697" i="3"/>
  <c r="AN697" i="3"/>
  <c r="AM697" i="3"/>
  <c r="AL697" i="3"/>
  <c r="AK697" i="3"/>
  <c r="AJ697" i="3"/>
  <c r="AI697" i="3"/>
  <c r="AH697" i="3"/>
  <c r="AG697" i="3"/>
  <c r="AF697" i="3"/>
  <c r="AE697" i="3"/>
  <c r="AD697" i="3"/>
  <c r="AC697" i="3"/>
  <c r="AB697" i="3"/>
  <c r="AA697" i="3"/>
  <c r="Z697" i="3"/>
  <c r="Y697" i="3"/>
  <c r="X697" i="3"/>
  <c r="W697" i="3"/>
  <c r="V697" i="3"/>
  <c r="AP696" i="3"/>
  <c r="AO696" i="3"/>
  <c r="AN696" i="3"/>
  <c r="AM696" i="3"/>
  <c r="AL696" i="3"/>
  <c r="AK696" i="3"/>
  <c r="AJ696" i="3"/>
  <c r="AI696" i="3"/>
  <c r="AH696" i="3"/>
  <c r="AG696" i="3"/>
  <c r="AF696" i="3"/>
  <c r="AE696" i="3"/>
  <c r="AD696" i="3"/>
  <c r="AC696" i="3"/>
  <c r="AB696" i="3"/>
  <c r="AA696" i="3"/>
  <c r="Z696" i="3"/>
  <c r="Y696" i="3"/>
  <c r="X696" i="3"/>
  <c r="W696" i="3"/>
  <c r="V696" i="3"/>
  <c r="AP695" i="3"/>
  <c r="AO695" i="3"/>
  <c r="AN695" i="3"/>
  <c r="AM695" i="3"/>
  <c r="AL695" i="3"/>
  <c r="AK695" i="3"/>
  <c r="AJ695" i="3"/>
  <c r="AI695" i="3"/>
  <c r="AH695" i="3"/>
  <c r="AG695" i="3"/>
  <c r="AF695" i="3"/>
  <c r="AE695" i="3"/>
  <c r="AD695" i="3"/>
  <c r="AC695" i="3"/>
  <c r="AB695" i="3"/>
  <c r="AA695" i="3"/>
  <c r="Z695" i="3"/>
  <c r="Y695" i="3"/>
  <c r="X695" i="3"/>
  <c r="W695" i="3"/>
  <c r="V695" i="3"/>
  <c r="AP694" i="3"/>
  <c r="AO694" i="3"/>
  <c r="AN694" i="3"/>
  <c r="AM694" i="3"/>
  <c r="AL694" i="3"/>
  <c r="AK694" i="3"/>
  <c r="AJ694" i="3"/>
  <c r="AI694" i="3"/>
  <c r="AH694" i="3"/>
  <c r="AG694" i="3"/>
  <c r="AF694" i="3"/>
  <c r="AE694" i="3"/>
  <c r="AD694" i="3"/>
  <c r="AC694" i="3"/>
  <c r="AB694" i="3"/>
  <c r="AA694" i="3"/>
  <c r="Z694" i="3"/>
  <c r="Y694" i="3"/>
  <c r="X694" i="3"/>
  <c r="W694" i="3"/>
  <c r="V694" i="3"/>
  <c r="AP691" i="3"/>
  <c r="AO691" i="3"/>
  <c r="AN691" i="3"/>
  <c r="AM691" i="3"/>
  <c r="AL691" i="3"/>
  <c r="AK691" i="3"/>
  <c r="AJ691" i="3"/>
  <c r="AI691" i="3"/>
  <c r="AH691" i="3"/>
  <c r="AG691" i="3"/>
  <c r="AF691" i="3"/>
  <c r="AE691" i="3"/>
  <c r="AD691" i="3"/>
  <c r="AC691" i="3"/>
  <c r="AB691" i="3"/>
  <c r="AA691" i="3"/>
  <c r="Z691" i="3"/>
  <c r="Y691" i="3"/>
  <c r="X691" i="3"/>
  <c r="W691" i="3"/>
  <c r="V691" i="3"/>
  <c r="AP690" i="3"/>
  <c r="AO690" i="3"/>
  <c r="AN690" i="3"/>
  <c r="AM690" i="3"/>
  <c r="AL690" i="3"/>
  <c r="AK690" i="3"/>
  <c r="AJ690" i="3"/>
  <c r="AI690" i="3"/>
  <c r="AH690" i="3"/>
  <c r="AG690" i="3"/>
  <c r="AF690" i="3"/>
  <c r="AE690" i="3"/>
  <c r="AD690" i="3"/>
  <c r="AC690" i="3"/>
  <c r="AB690" i="3"/>
  <c r="AA690" i="3"/>
  <c r="Z690" i="3"/>
  <c r="Y690" i="3"/>
  <c r="X690" i="3"/>
  <c r="W690" i="3"/>
  <c r="V690" i="3"/>
  <c r="AP689" i="3"/>
  <c r="AO689" i="3"/>
  <c r="AN689" i="3"/>
  <c r="AM689" i="3"/>
  <c r="AL689" i="3"/>
  <c r="AK689" i="3"/>
  <c r="AJ689" i="3"/>
  <c r="AI689" i="3"/>
  <c r="AH689" i="3"/>
  <c r="AG689" i="3"/>
  <c r="AF689" i="3"/>
  <c r="AE689" i="3"/>
  <c r="AD689" i="3"/>
  <c r="AC689" i="3"/>
  <c r="AB689" i="3"/>
  <c r="AA689" i="3"/>
  <c r="Z689" i="3"/>
  <c r="Y689" i="3"/>
  <c r="X689" i="3"/>
  <c r="W689" i="3"/>
  <c r="V689" i="3"/>
  <c r="AP688" i="3"/>
  <c r="AO688" i="3"/>
  <c r="AN688" i="3"/>
  <c r="AM688" i="3"/>
  <c r="AL688" i="3"/>
  <c r="AK688" i="3"/>
  <c r="AJ688" i="3"/>
  <c r="AI688" i="3"/>
  <c r="AH688" i="3"/>
  <c r="AG688" i="3"/>
  <c r="AF688" i="3"/>
  <c r="AE688" i="3"/>
  <c r="AD688" i="3"/>
  <c r="AC688" i="3"/>
  <c r="AB688" i="3"/>
  <c r="AA688" i="3"/>
  <c r="Z688" i="3"/>
  <c r="Y688" i="3"/>
  <c r="X688" i="3"/>
  <c r="W688" i="3"/>
  <c r="V688" i="3"/>
  <c r="AP687" i="3"/>
  <c r="AO687" i="3"/>
  <c r="AN687" i="3"/>
  <c r="AM687" i="3"/>
  <c r="AL687" i="3"/>
  <c r="AK687" i="3"/>
  <c r="AJ687" i="3"/>
  <c r="AI687" i="3"/>
  <c r="AH687" i="3"/>
  <c r="AG687" i="3"/>
  <c r="AF687" i="3"/>
  <c r="AE687" i="3"/>
  <c r="AD687" i="3"/>
  <c r="AC687" i="3"/>
  <c r="AB687" i="3"/>
  <c r="AA687" i="3"/>
  <c r="Z687" i="3"/>
  <c r="Y687" i="3"/>
  <c r="X687" i="3"/>
  <c r="W687" i="3"/>
  <c r="V687" i="3"/>
  <c r="AP684" i="3"/>
  <c r="AO684" i="3"/>
  <c r="AN684" i="3"/>
  <c r="AM684" i="3"/>
  <c r="AL684" i="3"/>
  <c r="AK684" i="3"/>
  <c r="AJ684" i="3"/>
  <c r="AI684" i="3"/>
  <c r="AH684" i="3"/>
  <c r="AG684" i="3"/>
  <c r="AF684" i="3"/>
  <c r="AE684" i="3"/>
  <c r="AD684" i="3"/>
  <c r="AC684" i="3"/>
  <c r="AB684" i="3"/>
  <c r="AA684" i="3"/>
  <c r="Z684" i="3"/>
  <c r="Y684" i="3"/>
  <c r="X684" i="3"/>
  <c r="W684" i="3"/>
  <c r="V684" i="3"/>
  <c r="AP683" i="3"/>
  <c r="AO683" i="3"/>
  <c r="AN683" i="3"/>
  <c r="AM683" i="3"/>
  <c r="AL683" i="3"/>
  <c r="AK683" i="3"/>
  <c r="AJ683" i="3"/>
  <c r="AI683" i="3"/>
  <c r="AH683" i="3"/>
  <c r="AG683" i="3"/>
  <c r="AF683" i="3"/>
  <c r="AE683" i="3"/>
  <c r="AD683" i="3"/>
  <c r="AC683" i="3"/>
  <c r="AB683" i="3"/>
  <c r="AA683" i="3"/>
  <c r="Z683" i="3"/>
  <c r="Y683" i="3"/>
  <c r="X683" i="3"/>
  <c r="W683" i="3"/>
  <c r="V683" i="3"/>
  <c r="AP682" i="3"/>
  <c r="AO682" i="3"/>
  <c r="AN682" i="3"/>
  <c r="AM682" i="3"/>
  <c r="AL682" i="3"/>
  <c r="AK682" i="3"/>
  <c r="AJ682" i="3"/>
  <c r="AI682" i="3"/>
  <c r="AH682" i="3"/>
  <c r="AG682" i="3"/>
  <c r="AF682" i="3"/>
  <c r="AE682" i="3"/>
  <c r="AD682" i="3"/>
  <c r="AC682" i="3"/>
  <c r="AB682" i="3"/>
  <c r="AA682" i="3"/>
  <c r="Z682" i="3"/>
  <c r="Y682" i="3"/>
  <c r="X682" i="3"/>
  <c r="W682" i="3"/>
  <c r="V682" i="3"/>
  <c r="AP681" i="3"/>
  <c r="AO681" i="3"/>
  <c r="AN681" i="3"/>
  <c r="AM681" i="3"/>
  <c r="AL681" i="3"/>
  <c r="AK681" i="3"/>
  <c r="AJ681" i="3"/>
  <c r="AI681" i="3"/>
  <c r="AH681" i="3"/>
  <c r="AG681" i="3"/>
  <c r="AF681" i="3"/>
  <c r="AE681" i="3"/>
  <c r="AD681" i="3"/>
  <c r="AC681" i="3"/>
  <c r="AB681" i="3"/>
  <c r="AA681" i="3"/>
  <c r="Z681" i="3"/>
  <c r="Y681" i="3"/>
  <c r="X681" i="3"/>
  <c r="W681" i="3"/>
  <c r="V681" i="3"/>
  <c r="AP680" i="3"/>
  <c r="AO680" i="3"/>
  <c r="AN680" i="3"/>
  <c r="AM680" i="3"/>
  <c r="AL680" i="3"/>
  <c r="AK680" i="3"/>
  <c r="AJ680" i="3"/>
  <c r="AI680" i="3"/>
  <c r="AH680" i="3"/>
  <c r="AG680" i="3"/>
  <c r="AF680" i="3"/>
  <c r="AE680" i="3"/>
  <c r="AD680" i="3"/>
  <c r="AC680" i="3"/>
  <c r="AB680" i="3"/>
  <c r="AA680" i="3"/>
  <c r="Z680" i="3"/>
  <c r="Y680" i="3"/>
  <c r="X680" i="3"/>
  <c r="W680" i="3"/>
  <c r="V680" i="3"/>
  <c r="AP677" i="3"/>
  <c r="AO677" i="3"/>
  <c r="AN677" i="3"/>
  <c r="AM677" i="3"/>
  <c r="AL677" i="3"/>
  <c r="AK677" i="3"/>
  <c r="AJ677" i="3"/>
  <c r="AI677" i="3"/>
  <c r="AH677" i="3"/>
  <c r="AG677" i="3"/>
  <c r="AF677" i="3"/>
  <c r="AE677" i="3"/>
  <c r="AD677" i="3"/>
  <c r="AC677" i="3"/>
  <c r="AB677" i="3"/>
  <c r="AA677" i="3"/>
  <c r="Z677" i="3"/>
  <c r="Y677" i="3"/>
  <c r="X677" i="3"/>
  <c r="W677" i="3"/>
  <c r="V677" i="3"/>
  <c r="AP676" i="3"/>
  <c r="AO676" i="3"/>
  <c r="AN676" i="3"/>
  <c r="AM676" i="3"/>
  <c r="AL676" i="3"/>
  <c r="AK676" i="3"/>
  <c r="AJ676" i="3"/>
  <c r="AI676" i="3"/>
  <c r="AH676" i="3"/>
  <c r="AG676" i="3"/>
  <c r="AF676" i="3"/>
  <c r="AE676" i="3"/>
  <c r="AD676" i="3"/>
  <c r="AC676" i="3"/>
  <c r="AB676" i="3"/>
  <c r="AA676" i="3"/>
  <c r="Z676" i="3"/>
  <c r="Y676" i="3"/>
  <c r="X676" i="3"/>
  <c r="W676" i="3"/>
  <c r="V676" i="3"/>
  <c r="AP675" i="3"/>
  <c r="AO675" i="3"/>
  <c r="AN675" i="3"/>
  <c r="AM675" i="3"/>
  <c r="AL675" i="3"/>
  <c r="AK675" i="3"/>
  <c r="AJ675" i="3"/>
  <c r="AI675" i="3"/>
  <c r="AH675" i="3"/>
  <c r="AG675" i="3"/>
  <c r="AF675" i="3"/>
  <c r="AE675" i="3"/>
  <c r="AD675" i="3"/>
  <c r="AC675" i="3"/>
  <c r="AB675" i="3"/>
  <c r="AA675" i="3"/>
  <c r="Z675" i="3"/>
  <c r="Y675" i="3"/>
  <c r="X675" i="3"/>
  <c r="W675" i="3"/>
  <c r="V675" i="3"/>
  <c r="AP674" i="3"/>
  <c r="AO674" i="3"/>
  <c r="AN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Z674" i="3"/>
  <c r="Y674" i="3"/>
  <c r="X674" i="3"/>
  <c r="W674" i="3"/>
  <c r="V674" i="3"/>
  <c r="AP673" i="3"/>
  <c r="AO673" i="3"/>
  <c r="AN673" i="3"/>
  <c r="AM673" i="3"/>
  <c r="AL673" i="3"/>
  <c r="AK673" i="3"/>
  <c r="AJ673" i="3"/>
  <c r="AI673" i="3"/>
  <c r="AH673" i="3"/>
  <c r="AG673" i="3"/>
  <c r="AF673" i="3"/>
  <c r="AE673" i="3"/>
  <c r="AD673" i="3"/>
  <c r="AC673" i="3"/>
  <c r="AB673" i="3"/>
  <c r="AA673" i="3"/>
  <c r="Z673" i="3"/>
  <c r="Y673" i="3"/>
  <c r="X673" i="3"/>
  <c r="W673" i="3"/>
  <c r="V673" i="3"/>
  <c r="AP670" i="3"/>
  <c r="AO670" i="3"/>
  <c r="AN670" i="3"/>
  <c r="AM670" i="3"/>
  <c r="AL670" i="3"/>
  <c r="AK670" i="3"/>
  <c r="AJ670" i="3"/>
  <c r="AI670" i="3"/>
  <c r="AH670" i="3"/>
  <c r="AG670" i="3"/>
  <c r="AF670" i="3"/>
  <c r="AE670" i="3"/>
  <c r="AD670" i="3"/>
  <c r="AC670" i="3"/>
  <c r="AB670" i="3"/>
  <c r="AA670" i="3"/>
  <c r="Z670" i="3"/>
  <c r="Y670" i="3"/>
  <c r="X670" i="3"/>
  <c r="W670" i="3"/>
  <c r="V670" i="3"/>
  <c r="AP669" i="3"/>
  <c r="AO669" i="3"/>
  <c r="AN669" i="3"/>
  <c r="AM669" i="3"/>
  <c r="AL669" i="3"/>
  <c r="AK669" i="3"/>
  <c r="AJ669" i="3"/>
  <c r="AI669" i="3"/>
  <c r="AH669" i="3"/>
  <c r="AG669" i="3"/>
  <c r="AF669" i="3"/>
  <c r="AE669" i="3"/>
  <c r="AD669" i="3"/>
  <c r="AC669" i="3"/>
  <c r="AB669" i="3"/>
  <c r="AA669" i="3"/>
  <c r="Z669" i="3"/>
  <c r="Y669" i="3"/>
  <c r="X669" i="3"/>
  <c r="W669" i="3"/>
  <c r="V669" i="3"/>
  <c r="AP668" i="3"/>
  <c r="AO668" i="3"/>
  <c r="AN668" i="3"/>
  <c r="AM668" i="3"/>
  <c r="AL668" i="3"/>
  <c r="AK668" i="3"/>
  <c r="AJ668" i="3"/>
  <c r="AI668" i="3"/>
  <c r="AH668" i="3"/>
  <c r="AG668" i="3"/>
  <c r="AF668" i="3"/>
  <c r="AE668" i="3"/>
  <c r="AD668" i="3"/>
  <c r="AC668" i="3"/>
  <c r="AB668" i="3"/>
  <c r="AA668" i="3"/>
  <c r="Z668" i="3"/>
  <c r="Y668" i="3"/>
  <c r="X668" i="3"/>
  <c r="W668" i="3"/>
  <c r="V668" i="3"/>
  <c r="AP667" i="3"/>
  <c r="AO667" i="3"/>
  <c r="AN667" i="3"/>
  <c r="AM667" i="3"/>
  <c r="AL667" i="3"/>
  <c r="AK667" i="3"/>
  <c r="AJ667" i="3"/>
  <c r="AI667" i="3"/>
  <c r="AH667" i="3"/>
  <c r="AG667" i="3"/>
  <c r="AF667" i="3"/>
  <c r="AE667" i="3"/>
  <c r="AD667" i="3"/>
  <c r="AC667" i="3"/>
  <c r="AB667" i="3"/>
  <c r="AA667" i="3"/>
  <c r="Z667" i="3"/>
  <c r="Y667" i="3"/>
  <c r="X667" i="3"/>
  <c r="W667" i="3"/>
  <c r="V667" i="3"/>
  <c r="AP666" i="3"/>
  <c r="AO666" i="3"/>
  <c r="AN666" i="3"/>
  <c r="AM666" i="3"/>
  <c r="AL666" i="3"/>
  <c r="AK666" i="3"/>
  <c r="AJ666" i="3"/>
  <c r="AI666" i="3"/>
  <c r="AH666" i="3"/>
  <c r="AG666" i="3"/>
  <c r="AF666" i="3"/>
  <c r="AE666" i="3"/>
  <c r="AD666" i="3"/>
  <c r="AC666" i="3"/>
  <c r="AB666" i="3"/>
  <c r="AA666" i="3"/>
  <c r="Z666" i="3"/>
  <c r="Y666" i="3"/>
  <c r="X666" i="3"/>
  <c r="W666" i="3"/>
  <c r="V666" i="3"/>
  <c r="AP663" i="3"/>
  <c r="AO663" i="3"/>
  <c r="AN663" i="3"/>
  <c r="AM663" i="3"/>
  <c r="AL663" i="3"/>
  <c r="AK663" i="3"/>
  <c r="AJ663" i="3"/>
  <c r="AI663" i="3"/>
  <c r="AH663" i="3"/>
  <c r="AG663" i="3"/>
  <c r="AF663" i="3"/>
  <c r="AE663" i="3"/>
  <c r="AD663" i="3"/>
  <c r="AC663" i="3"/>
  <c r="AB663" i="3"/>
  <c r="AA663" i="3"/>
  <c r="Z663" i="3"/>
  <c r="Y663" i="3"/>
  <c r="X663" i="3"/>
  <c r="W663" i="3"/>
  <c r="V663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X662" i="3"/>
  <c r="W662" i="3"/>
  <c r="V662" i="3"/>
  <c r="AP661" i="3"/>
  <c r="AO661" i="3"/>
  <c r="AN661" i="3"/>
  <c r="AM661" i="3"/>
  <c r="AL661" i="3"/>
  <c r="AK661" i="3"/>
  <c r="AJ661" i="3"/>
  <c r="AI661" i="3"/>
  <c r="AH661" i="3"/>
  <c r="AG661" i="3"/>
  <c r="AF661" i="3"/>
  <c r="AE661" i="3"/>
  <c r="AD661" i="3"/>
  <c r="AC661" i="3"/>
  <c r="AB661" i="3"/>
  <c r="AA661" i="3"/>
  <c r="Z661" i="3"/>
  <c r="Y661" i="3"/>
  <c r="X661" i="3"/>
  <c r="W661" i="3"/>
  <c r="V661" i="3"/>
  <c r="AP660" i="3"/>
  <c r="AO660" i="3"/>
  <c r="AN660" i="3"/>
  <c r="AM660" i="3"/>
  <c r="AL660" i="3"/>
  <c r="AK660" i="3"/>
  <c r="AJ660" i="3"/>
  <c r="AI660" i="3"/>
  <c r="AH660" i="3"/>
  <c r="AG660" i="3"/>
  <c r="AF660" i="3"/>
  <c r="AE660" i="3"/>
  <c r="AD660" i="3"/>
  <c r="AC660" i="3"/>
  <c r="AB660" i="3"/>
  <c r="AA660" i="3"/>
  <c r="Z660" i="3"/>
  <c r="Y660" i="3"/>
  <c r="X660" i="3"/>
  <c r="W660" i="3"/>
  <c r="V660" i="3"/>
  <c r="AP659" i="3"/>
  <c r="AO659" i="3"/>
  <c r="AN659" i="3"/>
  <c r="AM659" i="3"/>
  <c r="AL659" i="3"/>
  <c r="AK659" i="3"/>
  <c r="AJ659" i="3"/>
  <c r="AI659" i="3"/>
  <c r="AH659" i="3"/>
  <c r="AG659" i="3"/>
  <c r="AF659" i="3"/>
  <c r="AE659" i="3"/>
  <c r="AD659" i="3"/>
  <c r="AC659" i="3"/>
  <c r="AB659" i="3"/>
  <c r="AA659" i="3"/>
  <c r="Z659" i="3"/>
  <c r="Y659" i="3"/>
  <c r="X659" i="3"/>
  <c r="W659" i="3"/>
  <c r="V659" i="3"/>
  <c r="AP656" i="3"/>
  <c r="AO656" i="3"/>
  <c r="AN656" i="3"/>
  <c r="AM656" i="3"/>
  <c r="AL656" i="3"/>
  <c r="AK656" i="3"/>
  <c r="AJ656" i="3"/>
  <c r="AI656" i="3"/>
  <c r="AH656" i="3"/>
  <c r="AG656" i="3"/>
  <c r="AF656" i="3"/>
  <c r="AE656" i="3"/>
  <c r="AD656" i="3"/>
  <c r="AC656" i="3"/>
  <c r="AB656" i="3"/>
  <c r="AA656" i="3"/>
  <c r="Z656" i="3"/>
  <c r="Y656" i="3"/>
  <c r="X656" i="3"/>
  <c r="W656" i="3"/>
  <c r="V656" i="3"/>
  <c r="AP655" i="3"/>
  <c r="AO655" i="3"/>
  <c r="AN655" i="3"/>
  <c r="AM655" i="3"/>
  <c r="AL655" i="3"/>
  <c r="AK655" i="3"/>
  <c r="AJ655" i="3"/>
  <c r="AI655" i="3"/>
  <c r="AH655" i="3"/>
  <c r="AG655" i="3"/>
  <c r="AF655" i="3"/>
  <c r="AE655" i="3"/>
  <c r="AD655" i="3"/>
  <c r="AC655" i="3"/>
  <c r="AB655" i="3"/>
  <c r="AA655" i="3"/>
  <c r="Z655" i="3"/>
  <c r="Y655" i="3"/>
  <c r="X655" i="3"/>
  <c r="W655" i="3"/>
  <c r="V655" i="3"/>
  <c r="AP654" i="3"/>
  <c r="AO654" i="3"/>
  <c r="AN654" i="3"/>
  <c r="AM654" i="3"/>
  <c r="AL654" i="3"/>
  <c r="AK654" i="3"/>
  <c r="AJ654" i="3"/>
  <c r="AI654" i="3"/>
  <c r="AH654" i="3"/>
  <c r="AG654" i="3"/>
  <c r="AF654" i="3"/>
  <c r="AE654" i="3"/>
  <c r="AD654" i="3"/>
  <c r="AC654" i="3"/>
  <c r="AB654" i="3"/>
  <c r="AA654" i="3"/>
  <c r="Z654" i="3"/>
  <c r="Y654" i="3"/>
  <c r="X654" i="3"/>
  <c r="W654" i="3"/>
  <c r="V654" i="3"/>
  <c r="AP653" i="3"/>
  <c r="AO653" i="3"/>
  <c r="AN653" i="3"/>
  <c r="AM653" i="3"/>
  <c r="AL653" i="3"/>
  <c r="AK653" i="3"/>
  <c r="AJ653" i="3"/>
  <c r="AI653" i="3"/>
  <c r="AH653" i="3"/>
  <c r="AG653" i="3"/>
  <c r="AF653" i="3"/>
  <c r="AE653" i="3"/>
  <c r="AD653" i="3"/>
  <c r="AC653" i="3"/>
  <c r="AB653" i="3"/>
  <c r="AA653" i="3"/>
  <c r="Z653" i="3"/>
  <c r="Y653" i="3"/>
  <c r="X653" i="3"/>
  <c r="W653" i="3"/>
  <c r="V653" i="3"/>
  <c r="AP652" i="3"/>
  <c r="AO652" i="3"/>
  <c r="AN652" i="3"/>
  <c r="AM652" i="3"/>
  <c r="AL652" i="3"/>
  <c r="AK652" i="3"/>
  <c r="AJ652" i="3"/>
  <c r="AI652" i="3"/>
  <c r="AH652" i="3"/>
  <c r="AG652" i="3"/>
  <c r="AF652" i="3"/>
  <c r="AE652" i="3"/>
  <c r="AD652" i="3"/>
  <c r="AC652" i="3"/>
  <c r="AB652" i="3"/>
  <c r="AA652" i="3"/>
  <c r="Z652" i="3"/>
  <c r="Y652" i="3"/>
  <c r="X652" i="3"/>
  <c r="W652" i="3"/>
  <c r="V652" i="3"/>
  <c r="AP649" i="3"/>
  <c r="AO649" i="3"/>
  <c r="AN649" i="3"/>
  <c r="AM649" i="3"/>
  <c r="AL649" i="3"/>
  <c r="AK649" i="3"/>
  <c r="AJ649" i="3"/>
  <c r="AI649" i="3"/>
  <c r="AH649" i="3"/>
  <c r="AG649" i="3"/>
  <c r="AF649" i="3"/>
  <c r="AE649" i="3"/>
  <c r="AD649" i="3"/>
  <c r="AC649" i="3"/>
  <c r="AB649" i="3"/>
  <c r="AA649" i="3"/>
  <c r="Z649" i="3"/>
  <c r="Y649" i="3"/>
  <c r="X649" i="3"/>
  <c r="W649" i="3"/>
  <c r="V649" i="3"/>
  <c r="AP648" i="3"/>
  <c r="AO648" i="3"/>
  <c r="AN648" i="3"/>
  <c r="AM648" i="3"/>
  <c r="AL648" i="3"/>
  <c r="AK648" i="3"/>
  <c r="AJ648" i="3"/>
  <c r="AI648" i="3"/>
  <c r="AH648" i="3"/>
  <c r="AG648" i="3"/>
  <c r="AF648" i="3"/>
  <c r="AE648" i="3"/>
  <c r="AD648" i="3"/>
  <c r="AC648" i="3"/>
  <c r="AB648" i="3"/>
  <c r="AA648" i="3"/>
  <c r="Z648" i="3"/>
  <c r="Y648" i="3"/>
  <c r="X648" i="3"/>
  <c r="W648" i="3"/>
  <c r="V648" i="3"/>
  <c r="AP647" i="3"/>
  <c r="AO647" i="3"/>
  <c r="AN647" i="3"/>
  <c r="AM647" i="3"/>
  <c r="AL647" i="3"/>
  <c r="AK647" i="3"/>
  <c r="AJ647" i="3"/>
  <c r="AI647" i="3"/>
  <c r="AH647" i="3"/>
  <c r="AG647" i="3"/>
  <c r="AF647" i="3"/>
  <c r="AE647" i="3"/>
  <c r="AD647" i="3"/>
  <c r="AC647" i="3"/>
  <c r="AB647" i="3"/>
  <c r="AA647" i="3"/>
  <c r="Z647" i="3"/>
  <c r="Y647" i="3"/>
  <c r="X647" i="3"/>
  <c r="W647" i="3"/>
  <c r="V647" i="3"/>
  <c r="AP646" i="3"/>
  <c r="AO646" i="3"/>
  <c r="AN646" i="3"/>
  <c r="AM646" i="3"/>
  <c r="AL646" i="3"/>
  <c r="AK646" i="3"/>
  <c r="AJ646" i="3"/>
  <c r="AI646" i="3"/>
  <c r="AH646" i="3"/>
  <c r="AG646" i="3"/>
  <c r="AF646" i="3"/>
  <c r="AE646" i="3"/>
  <c r="AD646" i="3"/>
  <c r="AC646" i="3"/>
  <c r="AB646" i="3"/>
  <c r="AA646" i="3"/>
  <c r="Z646" i="3"/>
  <c r="Y646" i="3"/>
  <c r="X646" i="3"/>
  <c r="W646" i="3"/>
  <c r="V646" i="3"/>
  <c r="AP645" i="3"/>
  <c r="AO645" i="3"/>
  <c r="AN645" i="3"/>
  <c r="AM645" i="3"/>
  <c r="AL645" i="3"/>
  <c r="AK645" i="3"/>
  <c r="AJ645" i="3"/>
  <c r="AI645" i="3"/>
  <c r="AH645" i="3"/>
  <c r="AG645" i="3"/>
  <c r="AF645" i="3"/>
  <c r="AE645" i="3"/>
  <c r="AD645" i="3"/>
  <c r="AC645" i="3"/>
  <c r="AB645" i="3"/>
  <c r="AA645" i="3"/>
  <c r="Z645" i="3"/>
  <c r="Y645" i="3"/>
  <c r="X645" i="3"/>
  <c r="W645" i="3"/>
  <c r="V645" i="3"/>
  <c r="AP642" i="3"/>
  <c r="AO642" i="3"/>
  <c r="AN642" i="3"/>
  <c r="AM642" i="3"/>
  <c r="AL642" i="3"/>
  <c r="AK642" i="3"/>
  <c r="AJ642" i="3"/>
  <c r="AI642" i="3"/>
  <c r="AH642" i="3"/>
  <c r="AG642" i="3"/>
  <c r="AF642" i="3"/>
  <c r="AE642" i="3"/>
  <c r="AD642" i="3"/>
  <c r="AC642" i="3"/>
  <c r="AB642" i="3"/>
  <c r="AA642" i="3"/>
  <c r="Z642" i="3"/>
  <c r="Y642" i="3"/>
  <c r="X642" i="3"/>
  <c r="W642" i="3"/>
  <c r="V642" i="3"/>
  <c r="AP641" i="3"/>
  <c r="AO641" i="3"/>
  <c r="AN641" i="3"/>
  <c r="AM641" i="3"/>
  <c r="AL641" i="3"/>
  <c r="AK641" i="3"/>
  <c r="AJ641" i="3"/>
  <c r="AI641" i="3"/>
  <c r="AH641" i="3"/>
  <c r="AG641" i="3"/>
  <c r="AF641" i="3"/>
  <c r="AE641" i="3"/>
  <c r="AD641" i="3"/>
  <c r="AC641" i="3"/>
  <c r="AB641" i="3"/>
  <c r="AA641" i="3"/>
  <c r="Z641" i="3"/>
  <c r="Y641" i="3"/>
  <c r="X641" i="3"/>
  <c r="W641" i="3"/>
  <c r="V641" i="3"/>
  <c r="AP640" i="3"/>
  <c r="AO640" i="3"/>
  <c r="AN640" i="3"/>
  <c r="AM640" i="3"/>
  <c r="AL640" i="3"/>
  <c r="AK640" i="3"/>
  <c r="AJ640" i="3"/>
  <c r="AI640" i="3"/>
  <c r="AH640" i="3"/>
  <c r="AG640" i="3"/>
  <c r="AF640" i="3"/>
  <c r="AE640" i="3"/>
  <c r="AD640" i="3"/>
  <c r="AC640" i="3"/>
  <c r="AB640" i="3"/>
  <c r="AA640" i="3"/>
  <c r="Z640" i="3"/>
  <c r="Y640" i="3"/>
  <c r="X640" i="3"/>
  <c r="W640" i="3"/>
  <c r="V640" i="3"/>
  <c r="AP639" i="3"/>
  <c r="AO639" i="3"/>
  <c r="AN639" i="3"/>
  <c r="AM639" i="3"/>
  <c r="AL639" i="3"/>
  <c r="AK639" i="3"/>
  <c r="AJ639" i="3"/>
  <c r="AI639" i="3"/>
  <c r="AH639" i="3"/>
  <c r="AG639" i="3"/>
  <c r="AF639" i="3"/>
  <c r="AE639" i="3"/>
  <c r="AD639" i="3"/>
  <c r="AC639" i="3"/>
  <c r="AB639" i="3"/>
  <c r="AA639" i="3"/>
  <c r="Z639" i="3"/>
  <c r="Y639" i="3"/>
  <c r="X639" i="3"/>
  <c r="W639" i="3"/>
  <c r="V639" i="3"/>
  <c r="AP638" i="3"/>
  <c r="AO638" i="3"/>
  <c r="AN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Z638" i="3"/>
  <c r="Y638" i="3"/>
  <c r="X638" i="3"/>
  <c r="W638" i="3"/>
  <c r="V638" i="3"/>
  <c r="AP634" i="3"/>
  <c r="AO634" i="3"/>
  <c r="AN634" i="3"/>
  <c r="AM634" i="3"/>
  <c r="AL634" i="3"/>
  <c r="AK634" i="3"/>
  <c r="AJ634" i="3"/>
  <c r="AI634" i="3"/>
  <c r="AH634" i="3"/>
  <c r="AG634" i="3"/>
  <c r="AF634" i="3"/>
  <c r="AE634" i="3"/>
  <c r="AD634" i="3"/>
  <c r="AC634" i="3"/>
  <c r="AB634" i="3"/>
  <c r="AA634" i="3"/>
  <c r="Z634" i="3"/>
  <c r="Y634" i="3"/>
  <c r="X634" i="3"/>
  <c r="W634" i="3"/>
  <c r="V634" i="3"/>
  <c r="AP633" i="3"/>
  <c r="AO633" i="3"/>
  <c r="AN633" i="3"/>
  <c r="AM633" i="3"/>
  <c r="AL633" i="3"/>
  <c r="AK633" i="3"/>
  <c r="AJ633" i="3"/>
  <c r="AI633" i="3"/>
  <c r="AH633" i="3"/>
  <c r="AG633" i="3"/>
  <c r="AF633" i="3"/>
  <c r="AE633" i="3"/>
  <c r="AD633" i="3"/>
  <c r="AC633" i="3"/>
  <c r="AB633" i="3"/>
  <c r="AA633" i="3"/>
  <c r="Z633" i="3"/>
  <c r="Y633" i="3"/>
  <c r="X633" i="3"/>
  <c r="W633" i="3"/>
  <c r="V633" i="3"/>
  <c r="AP632" i="3"/>
  <c r="AO632" i="3"/>
  <c r="AN632" i="3"/>
  <c r="AM632" i="3"/>
  <c r="AL632" i="3"/>
  <c r="AK632" i="3"/>
  <c r="AJ632" i="3"/>
  <c r="AI632" i="3"/>
  <c r="AH632" i="3"/>
  <c r="AG632" i="3"/>
  <c r="AF632" i="3"/>
  <c r="AE632" i="3"/>
  <c r="AD632" i="3"/>
  <c r="AC632" i="3"/>
  <c r="AB632" i="3"/>
  <c r="AA632" i="3"/>
  <c r="Z632" i="3"/>
  <c r="Y632" i="3"/>
  <c r="X632" i="3"/>
  <c r="W632" i="3"/>
  <c r="V632" i="3"/>
  <c r="AP631" i="3"/>
  <c r="AO631" i="3"/>
  <c r="AN631" i="3"/>
  <c r="AM631" i="3"/>
  <c r="AL631" i="3"/>
  <c r="AK631" i="3"/>
  <c r="AJ631" i="3"/>
  <c r="AI631" i="3"/>
  <c r="AH631" i="3"/>
  <c r="AG631" i="3"/>
  <c r="AF631" i="3"/>
  <c r="AE631" i="3"/>
  <c r="AD631" i="3"/>
  <c r="AC631" i="3"/>
  <c r="AB631" i="3"/>
  <c r="AA631" i="3"/>
  <c r="Z631" i="3"/>
  <c r="Y631" i="3"/>
  <c r="X631" i="3"/>
  <c r="W631" i="3"/>
  <c r="V631" i="3"/>
  <c r="AP628" i="3"/>
  <c r="AO628" i="3"/>
  <c r="AN628" i="3"/>
  <c r="AM628" i="3"/>
  <c r="AL628" i="3"/>
  <c r="AK628" i="3"/>
  <c r="AJ628" i="3"/>
  <c r="AI628" i="3"/>
  <c r="AH628" i="3"/>
  <c r="AG628" i="3"/>
  <c r="AF628" i="3"/>
  <c r="AE628" i="3"/>
  <c r="AD628" i="3"/>
  <c r="AC628" i="3"/>
  <c r="AB628" i="3"/>
  <c r="AA628" i="3"/>
  <c r="Z628" i="3"/>
  <c r="Y628" i="3"/>
  <c r="X628" i="3"/>
  <c r="W628" i="3"/>
  <c r="V628" i="3"/>
  <c r="AP627" i="3"/>
  <c r="AO627" i="3"/>
  <c r="AN627" i="3"/>
  <c r="AM627" i="3"/>
  <c r="AL627" i="3"/>
  <c r="AK627" i="3"/>
  <c r="AJ627" i="3"/>
  <c r="AI627" i="3"/>
  <c r="AH627" i="3"/>
  <c r="AG627" i="3"/>
  <c r="AF627" i="3"/>
  <c r="AE627" i="3"/>
  <c r="AD627" i="3"/>
  <c r="AC627" i="3"/>
  <c r="AB627" i="3"/>
  <c r="AA627" i="3"/>
  <c r="Z627" i="3"/>
  <c r="Y627" i="3"/>
  <c r="X627" i="3"/>
  <c r="W627" i="3"/>
  <c r="V627" i="3"/>
  <c r="AP626" i="3"/>
  <c r="AO626" i="3"/>
  <c r="AN626" i="3"/>
  <c r="AM626" i="3"/>
  <c r="AL626" i="3"/>
  <c r="AK626" i="3"/>
  <c r="AJ626" i="3"/>
  <c r="AI626" i="3"/>
  <c r="AH626" i="3"/>
  <c r="AG626" i="3"/>
  <c r="AF626" i="3"/>
  <c r="AE626" i="3"/>
  <c r="AD626" i="3"/>
  <c r="AC626" i="3"/>
  <c r="AB626" i="3"/>
  <c r="AA626" i="3"/>
  <c r="Z626" i="3"/>
  <c r="Y626" i="3"/>
  <c r="X626" i="3"/>
  <c r="W626" i="3"/>
  <c r="V626" i="3"/>
  <c r="AP625" i="3"/>
  <c r="AO625" i="3"/>
  <c r="AN625" i="3"/>
  <c r="AM625" i="3"/>
  <c r="AL625" i="3"/>
  <c r="AK625" i="3"/>
  <c r="AJ625" i="3"/>
  <c r="AI625" i="3"/>
  <c r="AH625" i="3"/>
  <c r="AG625" i="3"/>
  <c r="AF625" i="3"/>
  <c r="AE625" i="3"/>
  <c r="AD625" i="3"/>
  <c r="AC625" i="3"/>
  <c r="AB625" i="3"/>
  <c r="AA625" i="3"/>
  <c r="Z625" i="3"/>
  <c r="Y625" i="3"/>
  <c r="X625" i="3"/>
  <c r="W625" i="3"/>
  <c r="V625" i="3"/>
  <c r="AP624" i="3"/>
  <c r="AO624" i="3"/>
  <c r="AN624" i="3"/>
  <c r="AM624" i="3"/>
  <c r="AL624" i="3"/>
  <c r="AK624" i="3"/>
  <c r="AJ624" i="3"/>
  <c r="AI624" i="3"/>
  <c r="AH624" i="3"/>
  <c r="AG624" i="3"/>
  <c r="AF624" i="3"/>
  <c r="AE624" i="3"/>
  <c r="AD624" i="3"/>
  <c r="AC624" i="3"/>
  <c r="AB624" i="3"/>
  <c r="AA624" i="3"/>
  <c r="Z624" i="3"/>
  <c r="Y624" i="3"/>
  <c r="X624" i="3"/>
  <c r="W624" i="3"/>
  <c r="V624" i="3"/>
  <c r="AP621" i="3"/>
  <c r="AO621" i="3"/>
  <c r="AN621" i="3"/>
  <c r="AM621" i="3"/>
  <c r="AL621" i="3"/>
  <c r="AK621" i="3"/>
  <c r="AJ621" i="3"/>
  <c r="AI621" i="3"/>
  <c r="AH621" i="3"/>
  <c r="AG621" i="3"/>
  <c r="AF621" i="3"/>
  <c r="AE621" i="3"/>
  <c r="AD621" i="3"/>
  <c r="AC621" i="3"/>
  <c r="AB621" i="3"/>
  <c r="AA621" i="3"/>
  <c r="Z621" i="3"/>
  <c r="Y621" i="3"/>
  <c r="X621" i="3"/>
  <c r="W621" i="3"/>
  <c r="V621" i="3"/>
  <c r="AP620" i="3"/>
  <c r="AO620" i="3"/>
  <c r="AN620" i="3"/>
  <c r="AM620" i="3"/>
  <c r="AL620" i="3"/>
  <c r="AK620" i="3"/>
  <c r="AJ620" i="3"/>
  <c r="AI620" i="3"/>
  <c r="AH620" i="3"/>
  <c r="AG620" i="3"/>
  <c r="AF620" i="3"/>
  <c r="AE620" i="3"/>
  <c r="AD620" i="3"/>
  <c r="AC620" i="3"/>
  <c r="AB620" i="3"/>
  <c r="AA620" i="3"/>
  <c r="Z620" i="3"/>
  <c r="Y620" i="3"/>
  <c r="X620" i="3"/>
  <c r="W620" i="3"/>
  <c r="V620" i="3"/>
  <c r="AP619" i="3"/>
  <c r="AO619" i="3"/>
  <c r="AN619" i="3"/>
  <c r="AM619" i="3"/>
  <c r="AL619" i="3"/>
  <c r="AK619" i="3"/>
  <c r="AJ619" i="3"/>
  <c r="AI619" i="3"/>
  <c r="AH619" i="3"/>
  <c r="AG619" i="3"/>
  <c r="AF619" i="3"/>
  <c r="AE619" i="3"/>
  <c r="AD619" i="3"/>
  <c r="AC619" i="3"/>
  <c r="AB619" i="3"/>
  <c r="AA619" i="3"/>
  <c r="Z619" i="3"/>
  <c r="Y619" i="3"/>
  <c r="X619" i="3"/>
  <c r="W619" i="3"/>
  <c r="V619" i="3"/>
  <c r="AP618" i="3"/>
  <c r="AO618" i="3"/>
  <c r="AN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Z618" i="3"/>
  <c r="Y618" i="3"/>
  <c r="X618" i="3"/>
  <c r="W618" i="3"/>
  <c r="V618" i="3"/>
  <c r="AP617" i="3"/>
  <c r="AO617" i="3"/>
  <c r="AN617" i="3"/>
  <c r="AM617" i="3"/>
  <c r="AL617" i="3"/>
  <c r="AK617" i="3"/>
  <c r="AJ617" i="3"/>
  <c r="AI617" i="3"/>
  <c r="AH617" i="3"/>
  <c r="AG617" i="3"/>
  <c r="AF617" i="3"/>
  <c r="AE617" i="3"/>
  <c r="AD617" i="3"/>
  <c r="AC617" i="3"/>
  <c r="AB617" i="3"/>
  <c r="AA617" i="3"/>
  <c r="Z617" i="3"/>
  <c r="Y617" i="3"/>
  <c r="X617" i="3"/>
  <c r="W617" i="3"/>
  <c r="V617" i="3"/>
  <c r="AP614" i="3"/>
  <c r="AO614" i="3"/>
  <c r="AN614" i="3"/>
  <c r="AM614" i="3"/>
  <c r="AL614" i="3"/>
  <c r="AK614" i="3"/>
  <c r="AJ614" i="3"/>
  <c r="AI614" i="3"/>
  <c r="AH614" i="3"/>
  <c r="AG614" i="3"/>
  <c r="AF614" i="3"/>
  <c r="AE614" i="3"/>
  <c r="AD614" i="3"/>
  <c r="AC614" i="3"/>
  <c r="AB614" i="3"/>
  <c r="AA614" i="3"/>
  <c r="Z614" i="3"/>
  <c r="Y614" i="3"/>
  <c r="X614" i="3"/>
  <c r="W614" i="3"/>
  <c r="V614" i="3"/>
  <c r="AP613" i="3"/>
  <c r="AO613" i="3"/>
  <c r="AN613" i="3"/>
  <c r="AM613" i="3"/>
  <c r="AL613" i="3"/>
  <c r="AK613" i="3"/>
  <c r="AJ613" i="3"/>
  <c r="AI613" i="3"/>
  <c r="AH613" i="3"/>
  <c r="AG613" i="3"/>
  <c r="AF613" i="3"/>
  <c r="AE613" i="3"/>
  <c r="AD613" i="3"/>
  <c r="AC613" i="3"/>
  <c r="AB613" i="3"/>
  <c r="AA613" i="3"/>
  <c r="Z613" i="3"/>
  <c r="Y613" i="3"/>
  <c r="X613" i="3"/>
  <c r="W613" i="3"/>
  <c r="V613" i="3"/>
  <c r="AP612" i="3"/>
  <c r="AO612" i="3"/>
  <c r="AN612" i="3"/>
  <c r="AM612" i="3"/>
  <c r="AL612" i="3"/>
  <c r="AK612" i="3"/>
  <c r="AJ612" i="3"/>
  <c r="AI612" i="3"/>
  <c r="AH612" i="3"/>
  <c r="AG612" i="3"/>
  <c r="AF612" i="3"/>
  <c r="AE612" i="3"/>
  <c r="AD612" i="3"/>
  <c r="AC612" i="3"/>
  <c r="AB612" i="3"/>
  <c r="AA612" i="3"/>
  <c r="Z612" i="3"/>
  <c r="Y612" i="3"/>
  <c r="X612" i="3"/>
  <c r="W612" i="3"/>
  <c r="V612" i="3"/>
  <c r="AP611" i="3"/>
  <c r="AO611" i="3"/>
  <c r="AN611" i="3"/>
  <c r="AM611" i="3"/>
  <c r="AL611" i="3"/>
  <c r="AK611" i="3"/>
  <c r="AJ611" i="3"/>
  <c r="AI611" i="3"/>
  <c r="AH611" i="3"/>
  <c r="AG611" i="3"/>
  <c r="AF611" i="3"/>
  <c r="AE611" i="3"/>
  <c r="AD611" i="3"/>
  <c r="AC611" i="3"/>
  <c r="AB611" i="3"/>
  <c r="AA611" i="3"/>
  <c r="Z611" i="3"/>
  <c r="Y611" i="3"/>
  <c r="X611" i="3"/>
  <c r="W611" i="3"/>
  <c r="V611" i="3"/>
  <c r="AP610" i="3"/>
  <c r="AO610" i="3"/>
  <c r="AN610" i="3"/>
  <c r="AM610" i="3"/>
  <c r="AL610" i="3"/>
  <c r="AK610" i="3"/>
  <c r="AJ610" i="3"/>
  <c r="AI610" i="3"/>
  <c r="AH610" i="3"/>
  <c r="AG610" i="3"/>
  <c r="AF610" i="3"/>
  <c r="AE610" i="3"/>
  <c r="AD610" i="3"/>
  <c r="AC610" i="3"/>
  <c r="AB610" i="3"/>
  <c r="AA610" i="3"/>
  <c r="Z610" i="3"/>
  <c r="Y610" i="3"/>
  <c r="X610" i="3"/>
  <c r="W610" i="3"/>
  <c r="V610" i="3"/>
  <c r="AP607" i="3"/>
  <c r="AO607" i="3"/>
  <c r="AN607" i="3"/>
  <c r="AM607" i="3"/>
  <c r="AL607" i="3"/>
  <c r="AK607" i="3"/>
  <c r="AJ607" i="3"/>
  <c r="AI607" i="3"/>
  <c r="AH607" i="3"/>
  <c r="AG607" i="3"/>
  <c r="AF607" i="3"/>
  <c r="AE607" i="3"/>
  <c r="AD607" i="3"/>
  <c r="AC607" i="3"/>
  <c r="AB607" i="3"/>
  <c r="AA607" i="3"/>
  <c r="Z607" i="3"/>
  <c r="Y607" i="3"/>
  <c r="X607" i="3"/>
  <c r="W607" i="3"/>
  <c r="V607" i="3"/>
  <c r="AP606" i="3"/>
  <c r="AO606" i="3"/>
  <c r="AN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Z606" i="3"/>
  <c r="Y606" i="3"/>
  <c r="X606" i="3"/>
  <c r="W606" i="3"/>
  <c r="V606" i="3"/>
  <c r="AP605" i="3"/>
  <c r="AO605" i="3"/>
  <c r="AN605" i="3"/>
  <c r="AM605" i="3"/>
  <c r="AL605" i="3"/>
  <c r="AK605" i="3"/>
  <c r="AJ605" i="3"/>
  <c r="AI605" i="3"/>
  <c r="AH605" i="3"/>
  <c r="AG605" i="3"/>
  <c r="AF605" i="3"/>
  <c r="AE605" i="3"/>
  <c r="AD605" i="3"/>
  <c r="AC605" i="3"/>
  <c r="AB605" i="3"/>
  <c r="AA605" i="3"/>
  <c r="Z605" i="3"/>
  <c r="Y605" i="3"/>
  <c r="X605" i="3"/>
  <c r="W605" i="3"/>
  <c r="V605" i="3"/>
  <c r="AP604" i="3"/>
  <c r="AO604" i="3"/>
  <c r="AN604" i="3"/>
  <c r="AM604" i="3"/>
  <c r="AL604" i="3"/>
  <c r="AK604" i="3"/>
  <c r="AJ604" i="3"/>
  <c r="AI604" i="3"/>
  <c r="AH604" i="3"/>
  <c r="AG604" i="3"/>
  <c r="AF604" i="3"/>
  <c r="AE604" i="3"/>
  <c r="AD604" i="3"/>
  <c r="AC604" i="3"/>
  <c r="AB604" i="3"/>
  <c r="AA604" i="3"/>
  <c r="Z604" i="3"/>
  <c r="Y604" i="3"/>
  <c r="X604" i="3"/>
  <c r="W604" i="3"/>
  <c r="V604" i="3"/>
  <c r="AP603" i="3"/>
  <c r="AO603" i="3"/>
  <c r="AN603" i="3"/>
  <c r="AM603" i="3"/>
  <c r="AL603" i="3"/>
  <c r="AK603" i="3"/>
  <c r="AJ603" i="3"/>
  <c r="AI603" i="3"/>
  <c r="AH603" i="3"/>
  <c r="AG603" i="3"/>
  <c r="AF603" i="3"/>
  <c r="AE603" i="3"/>
  <c r="AD603" i="3"/>
  <c r="AC603" i="3"/>
  <c r="AB603" i="3"/>
  <c r="AA603" i="3"/>
  <c r="Z603" i="3"/>
  <c r="Y603" i="3"/>
  <c r="X603" i="3"/>
  <c r="W603" i="3"/>
  <c r="V603" i="3"/>
  <c r="AP600" i="3"/>
  <c r="AO600" i="3"/>
  <c r="AN600" i="3"/>
  <c r="AM600" i="3"/>
  <c r="AL600" i="3"/>
  <c r="AK600" i="3"/>
  <c r="AJ600" i="3"/>
  <c r="AI600" i="3"/>
  <c r="AH600" i="3"/>
  <c r="AG600" i="3"/>
  <c r="AF600" i="3"/>
  <c r="AE600" i="3"/>
  <c r="AD600" i="3"/>
  <c r="AC600" i="3"/>
  <c r="AB600" i="3"/>
  <c r="AA600" i="3"/>
  <c r="Z600" i="3"/>
  <c r="Y600" i="3"/>
  <c r="X600" i="3"/>
  <c r="W600" i="3"/>
  <c r="V600" i="3"/>
  <c r="AP599" i="3"/>
  <c r="AO599" i="3"/>
  <c r="AN599" i="3"/>
  <c r="AM599" i="3"/>
  <c r="AL599" i="3"/>
  <c r="AK599" i="3"/>
  <c r="AJ599" i="3"/>
  <c r="AI599" i="3"/>
  <c r="AH599" i="3"/>
  <c r="AG599" i="3"/>
  <c r="AF599" i="3"/>
  <c r="AE599" i="3"/>
  <c r="AD599" i="3"/>
  <c r="AC599" i="3"/>
  <c r="AB599" i="3"/>
  <c r="AA599" i="3"/>
  <c r="Z599" i="3"/>
  <c r="Y599" i="3"/>
  <c r="X599" i="3"/>
  <c r="W599" i="3"/>
  <c r="V599" i="3"/>
  <c r="AP598" i="3"/>
  <c r="AO598" i="3"/>
  <c r="AN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Z598" i="3"/>
  <c r="Y598" i="3"/>
  <c r="X598" i="3"/>
  <c r="W598" i="3"/>
  <c r="V598" i="3"/>
  <c r="AP597" i="3"/>
  <c r="AO597" i="3"/>
  <c r="AN597" i="3"/>
  <c r="AM597" i="3"/>
  <c r="AL597" i="3"/>
  <c r="AK597" i="3"/>
  <c r="AJ597" i="3"/>
  <c r="AI597" i="3"/>
  <c r="AH597" i="3"/>
  <c r="AG597" i="3"/>
  <c r="AF597" i="3"/>
  <c r="AE597" i="3"/>
  <c r="AD597" i="3"/>
  <c r="AC597" i="3"/>
  <c r="AB597" i="3"/>
  <c r="AA597" i="3"/>
  <c r="Z597" i="3"/>
  <c r="Y597" i="3"/>
  <c r="X597" i="3"/>
  <c r="W597" i="3"/>
  <c r="V597" i="3"/>
  <c r="AP596" i="3"/>
  <c r="AO596" i="3"/>
  <c r="AN596" i="3"/>
  <c r="AM596" i="3"/>
  <c r="AL596" i="3"/>
  <c r="AK596" i="3"/>
  <c r="AJ596" i="3"/>
  <c r="AI596" i="3"/>
  <c r="AH596" i="3"/>
  <c r="AG596" i="3"/>
  <c r="AF596" i="3"/>
  <c r="AE596" i="3"/>
  <c r="AD596" i="3"/>
  <c r="AC596" i="3"/>
  <c r="AB596" i="3"/>
  <c r="AA596" i="3"/>
  <c r="Z596" i="3"/>
  <c r="Y596" i="3"/>
  <c r="X596" i="3"/>
  <c r="W596" i="3"/>
  <c r="V596" i="3"/>
  <c r="AP593" i="3"/>
  <c r="AO593" i="3"/>
  <c r="AN593" i="3"/>
  <c r="AM593" i="3"/>
  <c r="AL593" i="3"/>
  <c r="AK593" i="3"/>
  <c r="AJ593" i="3"/>
  <c r="AI593" i="3"/>
  <c r="AH593" i="3"/>
  <c r="AG593" i="3"/>
  <c r="AF593" i="3"/>
  <c r="AE593" i="3"/>
  <c r="AD593" i="3"/>
  <c r="AC593" i="3"/>
  <c r="AB593" i="3"/>
  <c r="AA593" i="3"/>
  <c r="Z593" i="3"/>
  <c r="Y593" i="3"/>
  <c r="X593" i="3"/>
  <c r="W593" i="3"/>
  <c r="V593" i="3"/>
  <c r="AP592" i="3"/>
  <c r="AO592" i="3"/>
  <c r="AN592" i="3"/>
  <c r="AM592" i="3"/>
  <c r="AL592" i="3"/>
  <c r="AK592" i="3"/>
  <c r="AJ592" i="3"/>
  <c r="AI592" i="3"/>
  <c r="AH592" i="3"/>
  <c r="AG592" i="3"/>
  <c r="AF592" i="3"/>
  <c r="AE592" i="3"/>
  <c r="AD592" i="3"/>
  <c r="AC592" i="3"/>
  <c r="AB592" i="3"/>
  <c r="AA592" i="3"/>
  <c r="Z592" i="3"/>
  <c r="Y592" i="3"/>
  <c r="X592" i="3"/>
  <c r="W592" i="3"/>
  <c r="V592" i="3"/>
  <c r="AP591" i="3"/>
  <c r="AO591" i="3"/>
  <c r="AN591" i="3"/>
  <c r="AM591" i="3"/>
  <c r="AL591" i="3"/>
  <c r="AK591" i="3"/>
  <c r="AJ591" i="3"/>
  <c r="AI591" i="3"/>
  <c r="AH591" i="3"/>
  <c r="AG591" i="3"/>
  <c r="AF591" i="3"/>
  <c r="AE591" i="3"/>
  <c r="AD591" i="3"/>
  <c r="AC591" i="3"/>
  <c r="AB591" i="3"/>
  <c r="AA591" i="3"/>
  <c r="Z591" i="3"/>
  <c r="Y591" i="3"/>
  <c r="X591" i="3"/>
  <c r="W591" i="3"/>
  <c r="V591" i="3"/>
  <c r="AP590" i="3"/>
  <c r="AO590" i="3"/>
  <c r="AN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Z590" i="3"/>
  <c r="Y590" i="3"/>
  <c r="X590" i="3"/>
  <c r="W590" i="3"/>
  <c r="V590" i="3"/>
  <c r="AP589" i="3"/>
  <c r="AO589" i="3"/>
  <c r="AN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Z589" i="3"/>
  <c r="Y589" i="3"/>
  <c r="X589" i="3"/>
  <c r="W589" i="3"/>
  <c r="V589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X586" i="3"/>
  <c r="W586" i="3"/>
  <c r="V586" i="3"/>
  <c r="AP585" i="3"/>
  <c r="AO585" i="3"/>
  <c r="AN585" i="3"/>
  <c r="AM585" i="3"/>
  <c r="AL585" i="3"/>
  <c r="AK585" i="3"/>
  <c r="AJ585" i="3"/>
  <c r="AI585" i="3"/>
  <c r="AH585" i="3"/>
  <c r="AG585" i="3"/>
  <c r="AF585" i="3"/>
  <c r="AE585" i="3"/>
  <c r="AD585" i="3"/>
  <c r="AC585" i="3"/>
  <c r="AB585" i="3"/>
  <c r="AA585" i="3"/>
  <c r="Z585" i="3"/>
  <c r="Y585" i="3"/>
  <c r="X585" i="3"/>
  <c r="W585" i="3"/>
  <c r="V585" i="3"/>
  <c r="AP584" i="3"/>
  <c r="AO584" i="3"/>
  <c r="AN584" i="3"/>
  <c r="AM584" i="3"/>
  <c r="AL584" i="3"/>
  <c r="AK584" i="3"/>
  <c r="AJ584" i="3"/>
  <c r="AI584" i="3"/>
  <c r="AH584" i="3"/>
  <c r="AG584" i="3"/>
  <c r="AF584" i="3"/>
  <c r="AE584" i="3"/>
  <c r="AD584" i="3"/>
  <c r="AC584" i="3"/>
  <c r="AB584" i="3"/>
  <c r="AA584" i="3"/>
  <c r="Z584" i="3"/>
  <c r="Y584" i="3"/>
  <c r="X584" i="3"/>
  <c r="W584" i="3"/>
  <c r="V584" i="3"/>
  <c r="AP583" i="3"/>
  <c r="AO583" i="3"/>
  <c r="AN583" i="3"/>
  <c r="AM583" i="3"/>
  <c r="AL583" i="3"/>
  <c r="AK583" i="3"/>
  <c r="AJ583" i="3"/>
  <c r="AI583" i="3"/>
  <c r="AH583" i="3"/>
  <c r="AG583" i="3"/>
  <c r="AF583" i="3"/>
  <c r="AE583" i="3"/>
  <c r="AD583" i="3"/>
  <c r="AC583" i="3"/>
  <c r="AB583" i="3"/>
  <c r="AA583" i="3"/>
  <c r="Z583" i="3"/>
  <c r="Y583" i="3"/>
  <c r="X583" i="3"/>
  <c r="W583" i="3"/>
  <c r="V583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AP579" i="3"/>
  <c r="AO579" i="3"/>
  <c r="AN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Z579" i="3"/>
  <c r="Y579" i="3"/>
  <c r="X579" i="3"/>
  <c r="W579" i="3"/>
  <c r="V579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AP577" i="3"/>
  <c r="AO577" i="3"/>
  <c r="AN577" i="3"/>
  <c r="AM577" i="3"/>
  <c r="AL577" i="3"/>
  <c r="AK577" i="3"/>
  <c r="AJ577" i="3"/>
  <c r="AI577" i="3"/>
  <c r="AH577" i="3"/>
  <c r="AG577" i="3"/>
  <c r="AF577" i="3"/>
  <c r="AE577" i="3"/>
  <c r="AD577" i="3"/>
  <c r="AC577" i="3"/>
  <c r="AB577" i="3"/>
  <c r="AA577" i="3"/>
  <c r="Z577" i="3"/>
  <c r="Y577" i="3"/>
  <c r="X577" i="3"/>
  <c r="W577" i="3"/>
  <c r="V577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Y572" i="3"/>
  <c r="X572" i="3"/>
  <c r="W572" i="3"/>
  <c r="V572" i="3"/>
  <c r="AP571" i="3"/>
  <c r="AO571" i="3"/>
  <c r="AN571" i="3"/>
  <c r="AM571" i="3"/>
  <c r="AL571" i="3"/>
  <c r="AK571" i="3"/>
  <c r="AJ571" i="3"/>
  <c r="AI571" i="3"/>
  <c r="AH571" i="3"/>
  <c r="AG571" i="3"/>
  <c r="AF571" i="3"/>
  <c r="AE571" i="3"/>
  <c r="AD571" i="3"/>
  <c r="AC571" i="3"/>
  <c r="AB571" i="3"/>
  <c r="AA571" i="3"/>
  <c r="Z571" i="3"/>
  <c r="Y571" i="3"/>
  <c r="X571" i="3"/>
  <c r="W571" i="3"/>
  <c r="V571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AP565" i="3"/>
  <c r="AO565" i="3"/>
  <c r="AN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Z565" i="3"/>
  <c r="Y565" i="3"/>
  <c r="X565" i="3"/>
  <c r="W565" i="3"/>
  <c r="V565" i="3"/>
  <c r="AP564" i="3"/>
  <c r="AO564" i="3"/>
  <c r="AN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Z564" i="3"/>
  <c r="Y564" i="3"/>
  <c r="X564" i="3"/>
  <c r="W564" i="3"/>
  <c r="V564" i="3"/>
  <c r="AP563" i="3"/>
  <c r="AO563" i="3"/>
  <c r="AN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Z563" i="3"/>
  <c r="Y563" i="3"/>
  <c r="X563" i="3"/>
  <c r="W563" i="3"/>
  <c r="V563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X562" i="3"/>
  <c r="W562" i="3"/>
  <c r="V562" i="3"/>
  <c r="AP561" i="3"/>
  <c r="AO561" i="3"/>
  <c r="AN561" i="3"/>
  <c r="AM561" i="3"/>
  <c r="AL561" i="3"/>
  <c r="AK561" i="3"/>
  <c r="AJ561" i="3"/>
  <c r="AI561" i="3"/>
  <c r="AH561" i="3"/>
  <c r="AG561" i="3"/>
  <c r="AF561" i="3"/>
  <c r="AE561" i="3"/>
  <c r="AD561" i="3"/>
  <c r="AC561" i="3"/>
  <c r="AB561" i="3"/>
  <c r="AA561" i="3"/>
  <c r="Z561" i="3"/>
  <c r="Y561" i="3"/>
  <c r="X561" i="3"/>
  <c r="W561" i="3"/>
  <c r="V561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AP556" i="3"/>
  <c r="AO556" i="3"/>
  <c r="AN556" i="3"/>
  <c r="AM556" i="3"/>
  <c r="AL556" i="3"/>
  <c r="AK556" i="3"/>
  <c r="AJ556" i="3"/>
  <c r="AI556" i="3"/>
  <c r="AH556" i="3"/>
  <c r="AG556" i="3"/>
  <c r="AF556" i="3"/>
  <c r="AE556" i="3"/>
  <c r="AD556" i="3"/>
  <c r="AC556" i="3"/>
  <c r="AB556" i="3"/>
  <c r="AA556" i="3"/>
  <c r="Z556" i="3"/>
  <c r="Y556" i="3"/>
  <c r="X556" i="3"/>
  <c r="W556" i="3"/>
  <c r="V556" i="3"/>
  <c r="AP555" i="3"/>
  <c r="AO555" i="3"/>
  <c r="AN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Z555" i="3"/>
  <c r="Y555" i="3"/>
  <c r="X555" i="3"/>
  <c r="W555" i="3"/>
  <c r="V555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X554" i="3"/>
  <c r="W554" i="3"/>
  <c r="V554" i="3"/>
  <c r="AP551" i="3"/>
  <c r="AO551" i="3"/>
  <c r="AN551" i="3"/>
  <c r="AM551" i="3"/>
  <c r="AL551" i="3"/>
  <c r="AK551" i="3"/>
  <c r="AJ551" i="3"/>
  <c r="AI551" i="3"/>
  <c r="AH551" i="3"/>
  <c r="AG551" i="3"/>
  <c r="AF551" i="3"/>
  <c r="AE551" i="3"/>
  <c r="AD551" i="3"/>
  <c r="AC551" i="3"/>
  <c r="AB551" i="3"/>
  <c r="AA551" i="3"/>
  <c r="Z551" i="3"/>
  <c r="Y551" i="3"/>
  <c r="X551" i="3"/>
  <c r="W551" i="3"/>
  <c r="V551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AP549" i="3"/>
  <c r="AO549" i="3"/>
  <c r="AN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Z549" i="3"/>
  <c r="Y549" i="3"/>
  <c r="X549" i="3"/>
  <c r="W549" i="3"/>
  <c r="V549" i="3"/>
  <c r="AP548" i="3"/>
  <c r="AO548" i="3"/>
  <c r="AN548" i="3"/>
  <c r="AM548" i="3"/>
  <c r="AL548" i="3"/>
  <c r="AK548" i="3"/>
  <c r="AJ548" i="3"/>
  <c r="AI548" i="3"/>
  <c r="AH548" i="3"/>
  <c r="AG548" i="3"/>
  <c r="AF548" i="3"/>
  <c r="AE548" i="3"/>
  <c r="AD548" i="3"/>
  <c r="AC548" i="3"/>
  <c r="AB548" i="3"/>
  <c r="AA548" i="3"/>
  <c r="Z548" i="3"/>
  <c r="Y548" i="3"/>
  <c r="X548" i="3"/>
  <c r="W548" i="3"/>
  <c r="V548" i="3"/>
  <c r="AP547" i="3"/>
  <c r="AO547" i="3"/>
  <c r="AN547" i="3"/>
  <c r="AM547" i="3"/>
  <c r="AL547" i="3"/>
  <c r="AK547" i="3"/>
  <c r="AJ547" i="3"/>
  <c r="AI547" i="3"/>
  <c r="AH547" i="3"/>
  <c r="AG547" i="3"/>
  <c r="AF547" i="3"/>
  <c r="AE547" i="3"/>
  <c r="AD547" i="3"/>
  <c r="AC547" i="3"/>
  <c r="AB547" i="3"/>
  <c r="AA547" i="3"/>
  <c r="Z547" i="3"/>
  <c r="Y547" i="3"/>
  <c r="X547" i="3"/>
  <c r="W547" i="3"/>
  <c r="V547" i="3"/>
  <c r="AP544" i="3"/>
  <c r="AO544" i="3"/>
  <c r="AN544" i="3"/>
  <c r="AM544" i="3"/>
  <c r="AL544" i="3"/>
  <c r="AK544" i="3"/>
  <c r="AJ544" i="3"/>
  <c r="AI544" i="3"/>
  <c r="AH544" i="3"/>
  <c r="AG544" i="3"/>
  <c r="AF544" i="3"/>
  <c r="AE544" i="3"/>
  <c r="AD544" i="3"/>
  <c r="AC544" i="3"/>
  <c r="AB544" i="3"/>
  <c r="AA544" i="3"/>
  <c r="Z544" i="3"/>
  <c r="Y544" i="3"/>
  <c r="X544" i="3"/>
  <c r="W544" i="3"/>
  <c r="V544" i="3"/>
  <c r="AP543" i="3"/>
  <c r="AO543" i="3"/>
  <c r="AN543" i="3"/>
  <c r="AM543" i="3"/>
  <c r="AL543" i="3"/>
  <c r="AK543" i="3"/>
  <c r="AJ543" i="3"/>
  <c r="AI543" i="3"/>
  <c r="AH543" i="3"/>
  <c r="AG543" i="3"/>
  <c r="AF543" i="3"/>
  <c r="AE543" i="3"/>
  <c r="AD543" i="3"/>
  <c r="AC543" i="3"/>
  <c r="AB543" i="3"/>
  <c r="AA543" i="3"/>
  <c r="Z543" i="3"/>
  <c r="Y543" i="3"/>
  <c r="X543" i="3"/>
  <c r="W543" i="3"/>
  <c r="V543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X542" i="3"/>
  <c r="W542" i="3"/>
  <c r="V542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X541" i="3"/>
  <c r="W541" i="3"/>
  <c r="V541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Y540" i="3"/>
  <c r="X540" i="3"/>
  <c r="W540" i="3"/>
  <c r="V540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X537" i="3"/>
  <c r="W537" i="3"/>
  <c r="V537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AP535" i="3"/>
  <c r="AO535" i="3"/>
  <c r="AN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Z535" i="3"/>
  <c r="Y535" i="3"/>
  <c r="X535" i="3"/>
  <c r="W535" i="3"/>
  <c r="V535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AP533" i="3"/>
  <c r="AO533" i="3"/>
  <c r="AN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Z533" i="3"/>
  <c r="Y533" i="3"/>
  <c r="X533" i="3"/>
  <c r="W533" i="3"/>
  <c r="V533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AP529" i="3"/>
  <c r="AO529" i="3"/>
  <c r="AN529" i="3"/>
  <c r="AM529" i="3"/>
  <c r="AL529" i="3"/>
  <c r="AK529" i="3"/>
  <c r="AJ529" i="3"/>
  <c r="AI529" i="3"/>
  <c r="AH529" i="3"/>
  <c r="AG529" i="3"/>
  <c r="AF529" i="3"/>
  <c r="AE529" i="3"/>
  <c r="AD529" i="3"/>
  <c r="AC529" i="3"/>
  <c r="AB529" i="3"/>
  <c r="AA529" i="3"/>
  <c r="Z529" i="3"/>
  <c r="Y529" i="3"/>
  <c r="X529" i="3"/>
  <c r="W529" i="3"/>
  <c r="V529" i="3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AP527" i="3"/>
  <c r="AO527" i="3"/>
  <c r="AN527" i="3"/>
  <c r="AM527" i="3"/>
  <c r="AL527" i="3"/>
  <c r="AK527" i="3"/>
  <c r="AJ527" i="3"/>
  <c r="AI527" i="3"/>
  <c r="AH527" i="3"/>
  <c r="AG527" i="3"/>
  <c r="AF527" i="3"/>
  <c r="AE527" i="3"/>
  <c r="AD527" i="3"/>
  <c r="AC527" i="3"/>
  <c r="AB527" i="3"/>
  <c r="AA527" i="3"/>
  <c r="Z527" i="3"/>
  <c r="Y527" i="3"/>
  <c r="X527" i="3"/>
  <c r="W527" i="3"/>
  <c r="V527" i="3"/>
  <c r="AP526" i="3"/>
  <c r="AO526" i="3"/>
  <c r="AN526" i="3"/>
  <c r="AM526" i="3"/>
  <c r="AL526" i="3"/>
  <c r="AK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X526" i="3"/>
  <c r="W526" i="3"/>
  <c r="V526" i="3"/>
  <c r="AP523" i="3"/>
  <c r="AO523" i="3"/>
  <c r="AN523" i="3"/>
  <c r="AM523" i="3"/>
  <c r="AL523" i="3"/>
  <c r="AK523" i="3"/>
  <c r="AJ523" i="3"/>
  <c r="AI523" i="3"/>
  <c r="AH523" i="3"/>
  <c r="AG523" i="3"/>
  <c r="AF523" i="3"/>
  <c r="AE523" i="3"/>
  <c r="AD523" i="3"/>
  <c r="AC523" i="3"/>
  <c r="AB523" i="3"/>
  <c r="AA523" i="3"/>
  <c r="Z523" i="3"/>
  <c r="Y523" i="3"/>
  <c r="X523" i="3"/>
  <c r="W523" i="3"/>
  <c r="V523" i="3"/>
  <c r="AP522" i="3"/>
  <c r="AO522" i="3"/>
  <c r="AN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AP521" i="3"/>
  <c r="AO521" i="3"/>
  <c r="AN521" i="3"/>
  <c r="AM521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AP520" i="3"/>
  <c r="AO520" i="3"/>
  <c r="AN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AP519" i="3"/>
  <c r="AO519" i="3"/>
  <c r="AN519" i="3"/>
  <c r="AM519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AP516" i="3"/>
  <c r="AO516" i="3"/>
  <c r="AN516" i="3"/>
  <c r="AM516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AP515" i="3"/>
  <c r="AO515" i="3"/>
  <c r="AN515" i="3"/>
  <c r="AM515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AP514" i="3"/>
  <c r="AO514" i="3"/>
  <c r="AN514" i="3"/>
  <c r="AM514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AP513" i="3"/>
  <c r="AO513" i="3"/>
  <c r="AN513" i="3"/>
  <c r="AM513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AP512" i="3"/>
  <c r="AO512" i="3"/>
  <c r="AN512" i="3"/>
  <c r="AM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AP508" i="3"/>
  <c r="AO508" i="3"/>
  <c r="AN508" i="3"/>
  <c r="AM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AP507" i="3"/>
  <c r="AO507" i="3"/>
  <c r="AN507" i="3"/>
  <c r="AM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AP506" i="3"/>
  <c r="AO506" i="3"/>
  <c r="AN506" i="3"/>
  <c r="AM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AP505" i="3"/>
  <c r="AO505" i="3"/>
  <c r="AN505" i="3"/>
  <c r="AM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AP501" i="3"/>
  <c r="AO501" i="3"/>
  <c r="AN501" i="3"/>
  <c r="AM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AP499" i="3"/>
  <c r="AO499" i="3"/>
  <c r="AN499" i="3"/>
  <c r="AM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X498" i="3"/>
  <c r="W498" i="3"/>
  <c r="V498" i="3"/>
  <c r="AP495" i="3"/>
  <c r="AO495" i="3"/>
  <c r="AN495" i="3"/>
  <c r="AM495" i="3"/>
  <c r="AL495" i="3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X495" i="3"/>
  <c r="W495" i="3"/>
  <c r="V495" i="3"/>
  <c r="AP494" i="3"/>
  <c r="AO494" i="3"/>
  <c r="AN494" i="3"/>
  <c r="AM494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AP493" i="3"/>
  <c r="AO493" i="3"/>
  <c r="AN493" i="3"/>
  <c r="AM493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X493" i="3"/>
  <c r="W493" i="3"/>
  <c r="V493" i="3"/>
  <c r="AP492" i="3"/>
  <c r="AO492" i="3"/>
  <c r="AN492" i="3"/>
  <c r="AM492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AP491" i="3"/>
  <c r="AO491" i="3"/>
  <c r="AN491" i="3"/>
  <c r="AM491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X491" i="3"/>
  <c r="W491" i="3"/>
  <c r="V491" i="3"/>
  <c r="AP488" i="3"/>
  <c r="AO488" i="3"/>
  <c r="AN488" i="3"/>
  <c r="AM488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Y488" i="3"/>
  <c r="X488" i="3"/>
  <c r="W488" i="3"/>
  <c r="V488" i="3"/>
  <c r="AP487" i="3"/>
  <c r="AO487" i="3"/>
  <c r="AN487" i="3"/>
  <c r="AM487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X487" i="3"/>
  <c r="W487" i="3"/>
  <c r="V487" i="3"/>
  <c r="AP486" i="3"/>
  <c r="AO486" i="3"/>
  <c r="AN486" i="3"/>
  <c r="AM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AP485" i="3"/>
  <c r="AO485" i="3"/>
  <c r="AN485" i="3"/>
  <c r="AM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W485" i="3"/>
  <c r="V485" i="3"/>
  <c r="AP484" i="3"/>
  <c r="AO484" i="3"/>
  <c r="AN484" i="3"/>
  <c r="AM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Y484" i="3"/>
  <c r="X484" i="3"/>
  <c r="W484" i="3"/>
  <c r="V484" i="3"/>
  <c r="AP481" i="3"/>
  <c r="AO481" i="3"/>
  <c r="AN481" i="3"/>
  <c r="AM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AP480" i="3"/>
  <c r="AO480" i="3"/>
  <c r="AN480" i="3"/>
  <c r="AM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AP479" i="3"/>
  <c r="AO479" i="3"/>
  <c r="AN479" i="3"/>
  <c r="AM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AP477" i="3"/>
  <c r="AO477" i="3"/>
  <c r="AN477" i="3"/>
  <c r="AM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AP474" i="3"/>
  <c r="AO474" i="3"/>
  <c r="AN474" i="3"/>
  <c r="AM474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AP473" i="3"/>
  <c r="AO473" i="3"/>
  <c r="AN473" i="3"/>
  <c r="AM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AP472" i="3"/>
  <c r="AO472" i="3"/>
  <c r="AN472" i="3"/>
  <c r="AM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AP471" i="3"/>
  <c r="AO471" i="3"/>
  <c r="AN471" i="3"/>
  <c r="AM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AP470" i="3"/>
  <c r="AO470" i="3"/>
  <c r="AN470" i="3"/>
  <c r="AM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AP467" i="3"/>
  <c r="AO467" i="3"/>
  <c r="AN467" i="3"/>
  <c r="AM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AP466" i="3"/>
  <c r="AO466" i="3"/>
  <c r="AN466" i="3"/>
  <c r="AM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AP465" i="3"/>
  <c r="AO465" i="3"/>
  <c r="AN465" i="3"/>
  <c r="AM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AP464" i="3"/>
  <c r="AO464" i="3"/>
  <c r="AN464" i="3"/>
  <c r="AM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AP463" i="3"/>
  <c r="AO463" i="3"/>
  <c r="AN463" i="3"/>
  <c r="AM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AP460" i="3"/>
  <c r="AO460" i="3"/>
  <c r="AN460" i="3"/>
  <c r="AM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AP459" i="3"/>
  <c r="AO459" i="3"/>
  <c r="AN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AP457" i="3"/>
  <c r="AO457" i="3"/>
  <c r="AN457" i="3"/>
  <c r="AM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AP456" i="3"/>
  <c r="AO456" i="3"/>
  <c r="AN456" i="3"/>
  <c r="AM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AP453" i="3"/>
  <c r="AO453" i="3"/>
  <c r="AN453" i="3"/>
  <c r="AM453" i="3"/>
  <c r="AL453" i="3"/>
  <c r="AK453" i="3"/>
  <c r="AJ453" i="3"/>
  <c r="AI453" i="3"/>
  <c r="AH453" i="3"/>
  <c r="AG453" i="3"/>
  <c r="AF453" i="3"/>
  <c r="AE453" i="3"/>
  <c r="AD453" i="3"/>
  <c r="AC453" i="3"/>
  <c r="AB453" i="3"/>
  <c r="AA453" i="3"/>
  <c r="Z453" i="3"/>
  <c r="Y453" i="3"/>
  <c r="X453" i="3"/>
  <c r="W453" i="3"/>
  <c r="V453" i="3"/>
  <c r="AP452" i="3"/>
  <c r="AO452" i="3"/>
  <c r="AN452" i="3"/>
  <c r="AM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Y452" i="3"/>
  <c r="X452" i="3"/>
  <c r="W452" i="3"/>
  <c r="V452" i="3"/>
  <c r="AP451" i="3"/>
  <c r="AO451" i="3"/>
  <c r="AN451" i="3"/>
  <c r="AM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AP450" i="3"/>
  <c r="AO450" i="3"/>
  <c r="AN450" i="3"/>
  <c r="AM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AP449" i="3"/>
  <c r="AO449" i="3"/>
  <c r="AN449" i="3"/>
  <c r="AM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AP446" i="3"/>
  <c r="AO446" i="3"/>
  <c r="AN446" i="3"/>
  <c r="AM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AP445" i="3"/>
  <c r="AO445" i="3"/>
  <c r="AN445" i="3"/>
  <c r="AM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AP444" i="3"/>
  <c r="AO444" i="3"/>
  <c r="AN444" i="3"/>
  <c r="AM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AP442" i="3"/>
  <c r="AO442" i="3"/>
  <c r="AN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W378" i="3"/>
  <c r="V378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W377" i="3"/>
  <c r="V377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W375" i="3"/>
  <c r="V375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W373" i="3"/>
  <c r="V373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Y372" i="3"/>
  <c r="X372" i="3"/>
  <c r="W372" i="3"/>
  <c r="V372" i="3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X371" i="3"/>
  <c r="W371" i="3"/>
  <c r="V371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Z369" i="3"/>
  <c r="Y369" i="3"/>
  <c r="X369" i="3"/>
  <c r="W369" i="3"/>
  <c r="V369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X368" i="3"/>
  <c r="W368" i="3"/>
  <c r="V368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X367" i="3"/>
  <c r="W367" i="3"/>
  <c r="V367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X365" i="3"/>
  <c r="W365" i="3"/>
  <c r="V365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Y364" i="3"/>
  <c r="X364" i="3"/>
  <c r="W364" i="3"/>
  <c r="V364" i="3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Z363" i="3"/>
  <c r="Y363" i="3"/>
  <c r="X363" i="3"/>
  <c r="W363" i="3"/>
  <c r="V363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W362" i="3"/>
  <c r="V362" i="3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W361" i="3"/>
  <c r="V361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W356" i="3"/>
  <c r="V356" i="3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X355" i="3"/>
  <c r="W355" i="3"/>
  <c r="V355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W354" i="3"/>
  <c r="V354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W352" i="3"/>
  <c r="V352" i="3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X351" i="3"/>
  <c r="W351" i="3"/>
  <c r="V351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X349" i="3"/>
  <c r="W349" i="3"/>
  <c r="V349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W348" i="3"/>
  <c r="V348" i="3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W347" i="3"/>
  <c r="V347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W346" i="3"/>
  <c r="V346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W345" i="3"/>
  <c r="V345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W344" i="3"/>
  <c r="V344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X343" i="3"/>
  <c r="W343" i="3"/>
  <c r="V343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X323" i="3"/>
  <c r="W323" i="3"/>
  <c r="V323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X321" i="3"/>
  <c r="W321" i="3"/>
  <c r="V321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W307" i="3"/>
  <c r="V307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W305" i="3"/>
  <c r="V305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W301" i="3"/>
  <c r="V301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Y218" i="3"/>
  <c r="X218" i="3"/>
  <c r="W218" i="3"/>
  <c r="V218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Y217" i="3"/>
  <c r="X217" i="3"/>
  <c r="W217" i="3"/>
  <c r="V217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AP100" i="3"/>
  <c r="AO100" i="3"/>
  <c r="AN100" i="3"/>
  <c r="AM100" i="3"/>
  <c r="AL100" i="3"/>
  <c r="AK100" i="3"/>
  <c r="AI100" i="3"/>
  <c r="AH100" i="3"/>
  <c r="AG100" i="3"/>
  <c r="AC100" i="3"/>
  <c r="AB100" i="3"/>
  <c r="AA100" i="3"/>
  <c r="Y100" i="3"/>
  <c r="X100" i="3"/>
  <c r="W100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AK1031" i="2"/>
  <c r="AL1031" i="2" s="1"/>
  <c r="AL2" i="1" s="1"/>
  <c r="AH1031" i="2"/>
  <c r="AI1031" i="2" s="1"/>
  <c r="AI2" i="1" s="1"/>
  <c r="AF1031" i="2"/>
  <c r="AC1031" i="2"/>
  <c r="AA1031" i="2"/>
  <c r="Z1031" i="2"/>
  <c r="Y1031" i="2"/>
  <c r="S1031" i="2"/>
  <c r="AM1031" i="2" s="1"/>
  <c r="AM2" i="1" s="1"/>
  <c r="R1031" i="2"/>
  <c r="AD1031" i="2" s="1"/>
  <c r="AD2" i="1" s="1"/>
  <c r="P1031" i="2"/>
  <c r="AE1031" i="2" s="1"/>
  <c r="AE2" i="1" s="1"/>
  <c r="K1031" i="2"/>
  <c r="G1031" i="2"/>
  <c r="AK1024" i="2"/>
  <c r="AL1024" i="2" s="1"/>
  <c r="AL3" i="1" s="1"/>
  <c r="AH1024" i="2"/>
  <c r="AI1024" i="2" s="1"/>
  <c r="AI3" i="1" s="1"/>
  <c r="AF1024" i="2"/>
  <c r="AC1024" i="2"/>
  <c r="AA1024" i="2"/>
  <c r="Z1024" i="2"/>
  <c r="Y1024" i="2"/>
  <c r="S1024" i="2"/>
  <c r="AM1024" i="2" s="1"/>
  <c r="AM3" i="1" s="1"/>
  <c r="R1024" i="2"/>
  <c r="AD1024" i="2" s="1"/>
  <c r="AD3" i="1" s="1"/>
  <c r="P1024" i="2"/>
  <c r="AE1024" i="2" s="1"/>
  <c r="AE3" i="1" s="1"/>
  <c r="K1024" i="2"/>
  <c r="G1024" i="2"/>
  <c r="AK1017" i="2"/>
  <c r="AL1017" i="2" s="1"/>
  <c r="AL4" i="1" s="1"/>
  <c r="AH1017" i="2"/>
  <c r="AI1017" i="2" s="1"/>
  <c r="AI4" i="1" s="1"/>
  <c r="AF1017" i="2"/>
  <c r="AC1017" i="2"/>
  <c r="AA1017" i="2"/>
  <c r="Z1017" i="2"/>
  <c r="Y1017" i="2"/>
  <c r="S1017" i="2"/>
  <c r="AM1017" i="2" s="1"/>
  <c r="AM4" i="1" s="1"/>
  <c r="R1017" i="2"/>
  <c r="AD1017" i="2" s="1"/>
  <c r="AD4" i="1" s="1"/>
  <c r="P1017" i="2"/>
  <c r="AE1017" i="2" s="1"/>
  <c r="AE4" i="1" s="1"/>
  <c r="K1017" i="2"/>
  <c r="G1017" i="2"/>
  <c r="AK1010" i="2"/>
  <c r="AL1010" i="2" s="1"/>
  <c r="AL5" i="1" s="1"/>
  <c r="AH1010" i="2"/>
  <c r="AI1010" i="2" s="1"/>
  <c r="AI5" i="1" s="1"/>
  <c r="AF1010" i="2"/>
  <c r="AC1010" i="2"/>
  <c r="AA1010" i="2"/>
  <c r="Z1010" i="2"/>
  <c r="Y1010" i="2"/>
  <c r="S1010" i="2"/>
  <c r="AM1010" i="2" s="1"/>
  <c r="AM5" i="1" s="1"/>
  <c r="R1010" i="2"/>
  <c r="AD1010" i="2" s="1"/>
  <c r="AD5" i="1" s="1"/>
  <c r="P1010" i="2"/>
  <c r="AE1010" i="2" s="1"/>
  <c r="AE5" i="1" s="1"/>
  <c r="K1010" i="2"/>
  <c r="G1010" i="2"/>
  <c r="AK1003" i="2"/>
  <c r="AL1003" i="2" s="1"/>
  <c r="AL6" i="1" s="1"/>
  <c r="AH1003" i="2"/>
  <c r="AI1003" i="2" s="1"/>
  <c r="AI6" i="1" s="1"/>
  <c r="AF1003" i="2"/>
  <c r="AC1003" i="2"/>
  <c r="AA1003" i="2"/>
  <c r="Z1003" i="2"/>
  <c r="Y1003" i="2"/>
  <c r="S1003" i="2"/>
  <c r="AM1003" i="2" s="1"/>
  <c r="AM6" i="1" s="1"/>
  <c r="R1003" i="2"/>
  <c r="AD1003" i="2" s="1"/>
  <c r="AD6" i="1" s="1"/>
  <c r="P1003" i="2"/>
  <c r="AE1003" i="2" s="1"/>
  <c r="AE6" i="1" s="1"/>
  <c r="K1003" i="2"/>
  <c r="G1003" i="2"/>
  <c r="AK996" i="2"/>
  <c r="AL996" i="2" s="1"/>
  <c r="AL7" i="1" s="1"/>
  <c r="AH996" i="2"/>
  <c r="AI996" i="2" s="1"/>
  <c r="AI7" i="1" s="1"/>
  <c r="AF996" i="2"/>
  <c r="AC996" i="2"/>
  <c r="AA996" i="2"/>
  <c r="Z996" i="2"/>
  <c r="Y996" i="2"/>
  <c r="S996" i="2"/>
  <c r="AM996" i="2" s="1"/>
  <c r="AM7" i="1" s="1"/>
  <c r="R996" i="2"/>
  <c r="AD996" i="2" s="1"/>
  <c r="P996" i="2"/>
  <c r="AE996" i="2" s="1"/>
  <c r="AE7" i="1" s="1"/>
  <c r="K996" i="2"/>
  <c r="G996" i="2"/>
  <c r="AK989" i="2"/>
  <c r="AL989" i="2" s="1"/>
  <c r="AL8" i="1" s="1"/>
  <c r="AH989" i="2"/>
  <c r="AI989" i="2" s="1"/>
  <c r="AI8" i="1" s="1"/>
  <c r="AF989" i="2"/>
  <c r="AC989" i="2"/>
  <c r="AA989" i="2"/>
  <c r="Z989" i="2"/>
  <c r="Y989" i="2"/>
  <c r="S989" i="2"/>
  <c r="AM989" i="2" s="1"/>
  <c r="AM8" i="1" s="1"/>
  <c r="R989" i="2"/>
  <c r="AD989" i="2" s="1"/>
  <c r="P989" i="2"/>
  <c r="AE989" i="2" s="1"/>
  <c r="AE8" i="1" s="1"/>
  <c r="K989" i="2"/>
  <c r="G989" i="2"/>
  <c r="AK982" i="2"/>
  <c r="AL982" i="2" s="1"/>
  <c r="AL9" i="1" s="1"/>
  <c r="AH982" i="2"/>
  <c r="AI982" i="2" s="1"/>
  <c r="AI9" i="1" s="1"/>
  <c r="AF982" i="2"/>
  <c r="AC982" i="2"/>
  <c r="AA982" i="2"/>
  <c r="Z982" i="2"/>
  <c r="Y982" i="2"/>
  <c r="S982" i="2"/>
  <c r="AM982" i="2" s="1"/>
  <c r="AM9" i="1" s="1"/>
  <c r="R982" i="2"/>
  <c r="AD982" i="2" s="1"/>
  <c r="P982" i="2"/>
  <c r="AE982" i="2" s="1"/>
  <c r="AE9" i="1" s="1"/>
  <c r="K982" i="2"/>
  <c r="G982" i="2"/>
  <c r="AC975" i="2"/>
  <c r="AA975" i="2"/>
  <c r="K975" i="2"/>
  <c r="G975" i="2"/>
  <c r="AK968" i="2"/>
  <c r="AL968" i="2" s="1"/>
  <c r="AL11" i="1" s="1"/>
  <c r="AH968" i="2"/>
  <c r="AI968" i="2" s="1"/>
  <c r="AI11" i="1" s="1"/>
  <c r="AF968" i="2"/>
  <c r="AC968" i="2"/>
  <c r="AA968" i="2"/>
  <c r="Z968" i="2"/>
  <c r="Y968" i="2"/>
  <c r="S968" i="2"/>
  <c r="AM968" i="2" s="1"/>
  <c r="AM11" i="1" s="1"/>
  <c r="R968" i="2"/>
  <c r="AD968" i="2" s="1"/>
  <c r="P968" i="2"/>
  <c r="AE968" i="2" s="1"/>
  <c r="AE11" i="1" s="1"/>
  <c r="K968" i="2"/>
  <c r="G968" i="2"/>
  <c r="AK961" i="2"/>
  <c r="AL961" i="2" s="1"/>
  <c r="AL12" i="1" s="1"/>
  <c r="AH961" i="2"/>
  <c r="AI961" i="2" s="1"/>
  <c r="AI12" i="1" s="1"/>
  <c r="AF961" i="2"/>
  <c r="AC961" i="2"/>
  <c r="AA961" i="2"/>
  <c r="Z961" i="2"/>
  <c r="Y961" i="2"/>
  <c r="S961" i="2"/>
  <c r="AM961" i="2" s="1"/>
  <c r="AM12" i="1" s="1"/>
  <c r="R961" i="2"/>
  <c r="AD961" i="2" s="1"/>
  <c r="P961" i="2"/>
  <c r="AE961" i="2" s="1"/>
  <c r="AE12" i="1" s="1"/>
  <c r="K961" i="2"/>
  <c r="G961" i="2"/>
  <c r="AK954" i="2"/>
  <c r="AL954" i="2" s="1"/>
  <c r="AL13" i="1" s="1"/>
  <c r="AH954" i="2"/>
  <c r="AI954" i="2" s="1"/>
  <c r="AI13" i="1" s="1"/>
  <c r="AF954" i="2"/>
  <c r="AC954" i="2"/>
  <c r="AA954" i="2"/>
  <c r="Z954" i="2"/>
  <c r="Y954" i="2"/>
  <c r="S954" i="2"/>
  <c r="AM954" i="2" s="1"/>
  <c r="AM13" i="1" s="1"/>
  <c r="R954" i="2"/>
  <c r="AD954" i="2" s="1"/>
  <c r="P954" i="2"/>
  <c r="AE954" i="2" s="1"/>
  <c r="AE13" i="1" s="1"/>
  <c r="K954" i="2"/>
  <c r="G954" i="2"/>
  <c r="AK947" i="2"/>
  <c r="AL947" i="2" s="1"/>
  <c r="AL14" i="1" s="1"/>
  <c r="AH947" i="2"/>
  <c r="AI947" i="2" s="1"/>
  <c r="AI14" i="1" s="1"/>
  <c r="AF947" i="2"/>
  <c r="AC947" i="2"/>
  <c r="AA947" i="2"/>
  <c r="Z947" i="2"/>
  <c r="Y947" i="2"/>
  <c r="S947" i="2"/>
  <c r="AM947" i="2" s="1"/>
  <c r="AM14" i="1" s="1"/>
  <c r="R947" i="2"/>
  <c r="AD947" i="2" s="1"/>
  <c r="P947" i="2"/>
  <c r="AE947" i="2" s="1"/>
  <c r="AE14" i="1" s="1"/>
  <c r="K947" i="2"/>
  <c r="G947" i="2"/>
  <c r="AK940" i="2"/>
  <c r="AL940" i="2" s="1"/>
  <c r="AL15" i="1" s="1"/>
  <c r="AH940" i="2"/>
  <c r="AI940" i="2" s="1"/>
  <c r="AI15" i="1" s="1"/>
  <c r="AF940" i="2"/>
  <c r="AC940" i="2"/>
  <c r="AA940" i="2"/>
  <c r="Z940" i="2"/>
  <c r="Y940" i="2"/>
  <c r="S940" i="2"/>
  <c r="AM940" i="2" s="1"/>
  <c r="AM15" i="1" s="1"/>
  <c r="R940" i="2"/>
  <c r="AD940" i="2" s="1"/>
  <c r="P940" i="2"/>
  <c r="AE940" i="2" s="1"/>
  <c r="AE15" i="1" s="1"/>
  <c r="K940" i="2"/>
  <c r="G940" i="2"/>
  <c r="AK933" i="2"/>
  <c r="AL933" i="2" s="1"/>
  <c r="AL16" i="1" s="1"/>
  <c r="AH933" i="2"/>
  <c r="AI933" i="2" s="1"/>
  <c r="AI16" i="1" s="1"/>
  <c r="AF933" i="2"/>
  <c r="AC933" i="2"/>
  <c r="AA933" i="2"/>
  <c r="Z933" i="2"/>
  <c r="Y933" i="2"/>
  <c r="S933" i="2"/>
  <c r="AM933" i="2" s="1"/>
  <c r="AM16" i="1" s="1"/>
  <c r="R933" i="2"/>
  <c r="AD933" i="2" s="1"/>
  <c r="P933" i="2"/>
  <c r="AE933" i="2" s="1"/>
  <c r="AE16" i="1" s="1"/>
  <c r="K933" i="2"/>
  <c r="G933" i="2"/>
  <c r="AK926" i="2"/>
  <c r="AL926" i="2" s="1"/>
  <c r="AL17" i="1" s="1"/>
  <c r="AH926" i="2"/>
  <c r="AI926" i="2" s="1"/>
  <c r="AI17" i="1" s="1"/>
  <c r="AF926" i="2"/>
  <c r="AC926" i="2"/>
  <c r="AA926" i="2"/>
  <c r="Z926" i="2"/>
  <c r="Y926" i="2"/>
  <c r="S926" i="2"/>
  <c r="AM926" i="2" s="1"/>
  <c r="AM17" i="1" s="1"/>
  <c r="R926" i="2"/>
  <c r="AD926" i="2" s="1"/>
  <c r="P926" i="2"/>
  <c r="AE926" i="2" s="1"/>
  <c r="AE17" i="1" s="1"/>
  <c r="K926" i="2"/>
  <c r="G926" i="2"/>
  <c r="AK919" i="2"/>
  <c r="AL919" i="2" s="1"/>
  <c r="AL18" i="1" s="1"/>
  <c r="AH919" i="2"/>
  <c r="AI919" i="2" s="1"/>
  <c r="AI18" i="1" s="1"/>
  <c r="AF919" i="2"/>
  <c r="AC919" i="2"/>
  <c r="AA919" i="2"/>
  <c r="Z919" i="2"/>
  <c r="Y919" i="2"/>
  <c r="S919" i="2"/>
  <c r="AM919" i="2" s="1"/>
  <c r="AM18" i="1" s="1"/>
  <c r="R919" i="2"/>
  <c r="AD919" i="2" s="1"/>
  <c r="P919" i="2"/>
  <c r="AE919" i="2" s="1"/>
  <c r="AE18" i="1" s="1"/>
  <c r="K919" i="2"/>
  <c r="G919" i="2"/>
  <c r="AK912" i="2"/>
  <c r="AL912" i="2" s="1"/>
  <c r="AL19" i="1" s="1"/>
  <c r="AH912" i="2"/>
  <c r="AI912" i="2" s="1"/>
  <c r="AI19" i="1" s="1"/>
  <c r="AF912" i="2"/>
  <c r="AC912" i="2"/>
  <c r="AA912" i="2"/>
  <c r="Z912" i="2"/>
  <c r="Y912" i="2"/>
  <c r="S912" i="2"/>
  <c r="AM912" i="2" s="1"/>
  <c r="AM19" i="1" s="1"/>
  <c r="R912" i="2"/>
  <c r="AD912" i="2" s="1"/>
  <c r="P912" i="2"/>
  <c r="AE912" i="2" s="1"/>
  <c r="AE19" i="1" s="1"/>
  <c r="K912" i="2"/>
  <c r="G912" i="2"/>
  <c r="AK905" i="2"/>
  <c r="AL905" i="2" s="1"/>
  <c r="AL20" i="1" s="1"/>
  <c r="AH905" i="2"/>
  <c r="AI905" i="2" s="1"/>
  <c r="AI20" i="1" s="1"/>
  <c r="AF905" i="2"/>
  <c r="AC905" i="2"/>
  <c r="AA905" i="2"/>
  <c r="Z905" i="2"/>
  <c r="Y905" i="2"/>
  <c r="S905" i="2"/>
  <c r="AM905" i="2" s="1"/>
  <c r="AM20" i="1" s="1"/>
  <c r="R905" i="2"/>
  <c r="AD905" i="2" s="1"/>
  <c r="P905" i="2"/>
  <c r="AE905" i="2" s="1"/>
  <c r="AE20" i="1" s="1"/>
  <c r="K905" i="2"/>
  <c r="G905" i="2"/>
  <c r="AK898" i="2"/>
  <c r="AL898" i="2" s="1"/>
  <c r="AL21" i="1" s="1"/>
  <c r="AH898" i="2"/>
  <c r="AI898" i="2" s="1"/>
  <c r="AI21" i="1" s="1"/>
  <c r="AF898" i="2"/>
  <c r="AC898" i="2"/>
  <c r="AA898" i="2"/>
  <c r="Z898" i="2"/>
  <c r="Y898" i="2"/>
  <c r="S898" i="2"/>
  <c r="AM898" i="2" s="1"/>
  <c r="AM21" i="1" s="1"/>
  <c r="R898" i="2"/>
  <c r="AD898" i="2" s="1"/>
  <c r="P898" i="2"/>
  <c r="AE898" i="2" s="1"/>
  <c r="AE21" i="1" s="1"/>
  <c r="K898" i="2"/>
  <c r="G898" i="2"/>
  <c r="AK891" i="2"/>
  <c r="AL891" i="2" s="1"/>
  <c r="AL22" i="1" s="1"/>
  <c r="AH891" i="2"/>
  <c r="AI891" i="2" s="1"/>
  <c r="AI22" i="1" s="1"/>
  <c r="AF891" i="2"/>
  <c r="AC891" i="2"/>
  <c r="AA891" i="2"/>
  <c r="Z891" i="2"/>
  <c r="Y891" i="2"/>
  <c r="S891" i="2"/>
  <c r="AM891" i="2" s="1"/>
  <c r="AM22" i="1" s="1"/>
  <c r="R891" i="2"/>
  <c r="AD891" i="2" s="1"/>
  <c r="P891" i="2"/>
  <c r="AE891" i="2" s="1"/>
  <c r="AE22" i="1" s="1"/>
  <c r="K891" i="2"/>
  <c r="G891" i="2"/>
  <c r="AK884" i="2"/>
  <c r="AL884" i="2" s="1"/>
  <c r="AL23" i="1" s="1"/>
  <c r="AH884" i="2"/>
  <c r="AI884" i="2" s="1"/>
  <c r="AI23" i="1" s="1"/>
  <c r="AF884" i="2"/>
  <c r="AC884" i="2"/>
  <c r="AA884" i="2"/>
  <c r="Z884" i="2"/>
  <c r="Y884" i="2"/>
  <c r="S884" i="2"/>
  <c r="AM884" i="2" s="1"/>
  <c r="AM23" i="1" s="1"/>
  <c r="R884" i="2"/>
  <c r="AD884" i="2" s="1"/>
  <c r="P884" i="2"/>
  <c r="AE884" i="2" s="1"/>
  <c r="AE23" i="1" s="1"/>
  <c r="K884" i="2"/>
  <c r="G884" i="2"/>
  <c r="AK877" i="2"/>
  <c r="AL877" i="2" s="1"/>
  <c r="AL24" i="1" s="1"/>
  <c r="AH877" i="2"/>
  <c r="AI877" i="2" s="1"/>
  <c r="AI24" i="1" s="1"/>
  <c r="AF877" i="2"/>
  <c r="AC877" i="2"/>
  <c r="AA877" i="2"/>
  <c r="Z877" i="2"/>
  <c r="Y877" i="2"/>
  <c r="S877" i="2"/>
  <c r="AM877" i="2" s="1"/>
  <c r="AM24" i="1" s="1"/>
  <c r="R877" i="2"/>
  <c r="AD877" i="2" s="1"/>
  <c r="P877" i="2"/>
  <c r="AE877" i="2" s="1"/>
  <c r="AE24" i="1" s="1"/>
  <c r="K877" i="2"/>
  <c r="G877" i="2"/>
  <c r="AK870" i="2"/>
  <c r="AL870" i="2" s="1"/>
  <c r="AL25" i="1" s="1"/>
  <c r="AH870" i="2"/>
  <c r="AI870" i="2" s="1"/>
  <c r="AI25" i="1" s="1"/>
  <c r="AF870" i="2"/>
  <c r="AC870" i="2"/>
  <c r="AA870" i="2"/>
  <c r="Z870" i="2"/>
  <c r="Y870" i="2"/>
  <c r="X870" i="2"/>
  <c r="W870" i="2"/>
  <c r="S870" i="2"/>
  <c r="AM870" i="2" s="1"/>
  <c r="AM25" i="1" s="1"/>
  <c r="R870" i="2"/>
  <c r="AD870" i="2" s="1"/>
  <c r="P870" i="2"/>
  <c r="AE870" i="2" s="1"/>
  <c r="AE25" i="1" s="1"/>
  <c r="K870" i="2"/>
  <c r="G870" i="2"/>
  <c r="AK863" i="2"/>
  <c r="AL863" i="2" s="1"/>
  <c r="AL26" i="1" s="1"/>
  <c r="AH863" i="2"/>
  <c r="AI863" i="2" s="1"/>
  <c r="AI26" i="1" s="1"/>
  <c r="AF863" i="2"/>
  <c r="AC863" i="2"/>
  <c r="AA863" i="2"/>
  <c r="Z863" i="2"/>
  <c r="Y863" i="2"/>
  <c r="X863" i="2"/>
  <c r="W863" i="2"/>
  <c r="S863" i="2"/>
  <c r="AM863" i="2" s="1"/>
  <c r="AM26" i="1" s="1"/>
  <c r="R863" i="2"/>
  <c r="AD863" i="2" s="1"/>
  <c r="P863" i="2"/>
  <c r="AE863" i="2" s="1"/>
  <c r="AE26" i="1" s="1"/>
  <c r="K863" i="2"/>
  <c r="G863" i="2"/>
  <c r="AK856" i="2"/>
  <c r="AL856" i="2" s="1"/>
  <c r="AL27" i="1" s="1"/>
  <c r="AH856" i="2"/>
  <c r="AI856" i="2" s="1"/>
  <c r="AI27" i="1" s="1"/>
  <c r="AF856" i="2"/>
  <c r="AC856" i="2"/>
  <c r="AA856" i="2"/>
  <c r="Z856" i="2"/>
  <c r="Y856" i="2"/>
  <c r="X856" i="2"/>
  <c r="W856" i="2"/>
  <c r="S856" i="2"/>
  <c r="AM856" i="2" s="1"/>
  <c r="AM27" i="1" s="1"/>
  <c r="R856" i="2"/>
  <c r="AD856" i="2" s="1"/>
  <c r="P856" i="2"/>
  <c r="AE856" i="2" s="1"/>
  <c r="AE27" i="1" s="1"/>
  <c r="K856" i="2"/>
  <c r="G856" i="2"/>
  <c r="AK849" i="2"/>
  <c r="AL849" i="2" s="1"/>
  <c r="AL28" i="1" s="1"/>
  <c r="AH849" i="2"/>
  <c r="AI849" i="2" s="1"/>
  <c r="AI28" i="1" s="1"/>
  <c r="AF849" i="2"/>
  <c r="AC849" i="2"/>
  <c r="AA849" i="2"/>
  <c r="Z849" i="2"/>
  <c r="Y849" i="2"/>
  <c r="X849" i="2"/>
  <c r="W849" i="2"/>
  <c r="S849" i="2"/>
  <c r="AM849" i="2" s="1"/>
  <c r="AM28" i="1" s="1"/>
  <c r="R849" i="2"/>
  <c r="AD849" i="2" s="1"/>
  <c r="P849" i="2"/>
  <c r="AE849" i="2" s="1"/>
  <c r="AE28" i="1" s="1"/>
  <c r="K849" i="2"/>
  <c r="G849" i="2"/>
  <c r="AK842" i="2"/>
  <c r="AL842" i="2" s="1"/>
  <c r="AL29" i="1" s="1"/>
  <c r="AH842" i="2"/>
  <c r="AI842" i="2" s="1"/>
  <c r="AI29" i="1" s="1"/>
  <c r="AF842" i="2"/>
  <c r="AC842" i="2"/>
  <c r="AA842" i="2"/>
  <c r="Z842" i="2"/>
  <c r="Y842" i="2"/>
  <c r="X842" i="2"/>
  <c r="W842" i="2"/>
  <c r="S842" i="2"/>
  <c r="AM842" i="2" s="1"/>
  <c r="AM29" i="1" s="1"/>
  <c r="R842" i="2"/>
  <c r="AD842" i="2" s="1"/>
  <c r="P842" i="2"/>
  <c r="AE842" i="2" s="1"/>
  <c r="AE29" i="1" s="1"/>
  <c r="K842" i="2"/>
  <c r="G842" i="2"/>
  <c r="AK835" i="2"/>
  <c r="AL835" i="2" s="1"/>
  <c r="AL30" i="1" s="1"/>
  <c r="AH835" i="2"/>
  <c r="AI835" i="2" s="1"/>
  <c r="AI30" i="1" s="1"/>
  <c r="AF835" i="2"/>
  <c r="AC835" i="2"/>
  <c r="AA835" i="2"/>
  <c r="Z835" i="2"/>
  <c r="Y835" i="2"/>
  <c r="X835" i="2"/>
  <c r="W835" i="2"/>
  <c r="S835" i="2"/>
  <c r="AM835" i="2" s="1"/>
  <c r="AM30" i="1" s="1"/>
  <c r="R835" i="2"/>
  <c r="AD835" i="2" s="1"/>
  <c r="P835" i="2"/>
  <c r="AE835" i="2" s="1"/>
  <c r="AE30" i="1" s="1"/>
  <c r="K835" i="2"/>
  <c r="G835" i="2"/>
  <c r="AK828" i="2"/>
  <c r="AL828" i="2" s="1"/>
  <c r="AL31" i="1" s="1"/>
  <c r="AH828" i="2"/>
  <c r="AI828" i="2" s="1"/>
  <c r="AI31" i="1" s="1"/>
  <c r="AF828" i="2"/>
  <c r="AC828" i="2"/>
  <c r="AA828" i="2"/>
  <c r="Z828" i="2"/>
  <c r="Y828" i="2"/>
  <c r="X828" i="2"/>
  <c r="W828" i="2"/>
  <c r="S828" i="2"/>
  <c r="AM828" i="2" s="1"/>
  <c r="AM31" i="1" s="1"/>
  <c r="R828" i="2"/>
  <c r="AD828" i="2" s="1"/>
  <c r="P828" i="2"/>
  <c r="AE828" i="2" s="1"/>
  <c r="AE31" i="1" s="1"/>
  <c r="K828" i="2"/>
  <c r="G828" i="2"/>
  <c r="AK821" i="2"/>
  <c r="AL821" i="2" s="1"/>
  <c r="AL32" i="1" s="1"/>
  <c r="AH821" i="2"/>
  <c r="AI821" i="2" s="1"/>
  <c r="AI32" i="1" s="1"/>
  <c r="AF821" i="2"/>
  <c r="AC821" i="2"/>
  <c r="AA821" i="2"/>
  <c r="Z821" i="2"/>
  <c r="Y821" i="2"/>
  <c r="X821" i="2"/>
  <c r="W821" i="2"/>
  <c r="S821" i="2"/>
  <c r="AM821" i="2" s="1"/>
  <c r="AM32" i="1" s="1"/>
  <c r="R821" i="2"/>
  <c r="AD821" i="2" s="1"/>
  <c r="P821" i="2"/>
  <c r="AE821" i="2" s="1"/>
  <c r="AE32" i="1" s="1"/>
  <c r="K821" i="2"/>
  <c r="G821" i="2"/>
  <c r="AK814" i="2"/>
  <c r="AL814" i="2" s="1"/>
  <c r="AL33" i="1" s="1"/>
  <c r="AH814" i="2"/>
  <c r="AI814" i="2" s="1"/>
  <c r="AI33" i="1" s="1"/>
  <c r="AF814" i="2"/>
  <c r="AC814" i="2"/>
  <c r="AA814" i="2"/>
  <c r="Z814" i="2"/>
  <c r="Y814" i="2"/>
  <c r="X814" i="2"/>
  <c r="W814" i="2"/>
  <c r="S814" i="2"/>
  <c r="AM814" i="2" s="1"/>
  <c r="AM33" i="1" s="1"/>
  <c r="R814" i="2"/>
  <c r="AD814" i="2" s="1"/>
  <c r="P814" i="2"/>
  <c r="AE814" i="2" s="1"/>
  <c r="AE33" i="1" s="1"/>
  <c r="K814" i="2"/>
  <c r="G814" i="2"/>
  <c r="AK807" i="2"/>
  <c r="AL807" i="2" s="1"/>
  <c r="AL34" i="1" s="1"/>
  <c r="AH807" i="2"/>
  <c r="AI807" i="2" s="1"/>
  <c r="AI34" i="1" s="1"/>
  <c r="AF807" i="2"/>
  <c r="AC807" i="2"/>
  <c r="AA807" i="2"/>
  <c r="Z807" i="2"/>
  <c r="Y807" i="2"/>
  <c r="X807" i="2"/>
  <c r="W807" i="2"/>
  <c r="S807" i="2"/>
  <c r="AM807" i="2" s="1"/>
  <c r="AM34" i="1" s="1"/>
  <c r="R807" i="2"/>
  <c r="AD807" i="2" s="1"/>
  <c r="P807" i="2"/>
  <c r="AE807" i="2" s="1"/>
  <c r="AE34" i="1" s="1"/>
  <c r="K807" i="2"/>
  <c r="G807" i="2"/>
  <c r="AK800" i="2"/>
  <c r="AL800" i="2" s="1"/>
  <c r="AL35" i="1" s="1"/>
  <c r="AH800" i="2"/>
  <c r="AI800" i="2" s="1"/>
  <c r="AI35" i="1" s="1"/>
  <c r="AC800" i="2"/>
  <c r="AA800" i="2"/>
  <c r="Z800" i="2"/>
  <c r="Y800" i="2"/>
  <c r="X800" i="2"/>
  <c r="W800" i="2"/>
  <c r="S800" i="2"/>
  <c r="AM800" i="2" s="1"/>
  <c r="AM35" i="1" s="1"/>
  <c r="R800" i="2"/>
  <c r="AD800" i="2" s="1"/>
  <c r="P800" i="2"/>
  <c r="K800" i="2"/>
  <c r="G800" i="2"/>
  <c r="AK791" i="2"/>
  <c r="AH791" i="2"/>
  <c r="AC791" i="2"/>
  <c r="AA791" i="2"/>
  <c r="Z791" i="2"/>
  <c r="Y791" i="2"/>
  <c r="X791" i="2"/>
  <c r="W791" i="2"/>
  <c r="S791" i="2"/>
  <c r="R791" i="2"/>
  <c r="P791" i="2"/>
  <c r="Q791" i="2" s="1"/>
  <c r="Q36" i="1" s="1"/>
  <c r="K791" i="2"/>
  <c r="G791" i="2"/>
  <c r="AK788" i="2"/>
  <c r="AH788" i="2"/>
  <c r="AC788" i="2"/>
  <c r="AA788" i="2"/>
  <c r="Z788" i="2"/>
  <c r="Y788" i="2"/>
  <c r="X788" i="2"/>
  <c r="W788" i="2"/>
  <c r="S788" i="2"/>
  <c r="R788" i="2"/>
  <c r="P788" i="2"/>
  <c r="Q788" i="2" s="1"/>
  <c r="Q37" i="1" s="1"/>
  <c r="K788" i="2"/>
  <c r="G788" i="2"/>
  <c r="AK787" i="2"/>
  <c r="AH787" i="2"/>
  <c r="AC787" i="2"/>
  <c r="AA787" i="2"/>
  <c r="Z787" i="2"/>
  <c r="Y787" i="2"/>
  <c r="X787" i="2"/>
  <c r="W787" i="2"/>
  <c r="S787" i="2"/>
  <c r="R787" i="2"/>
  <c r="P787" i="2"/>
  <c r="Q787" i="2" s="1"/>
  <c r="Q38" i="1" s="1"/>
  <c r="K787" i="2"/>
  <c r="G787" i="2"/>
  <c r="AK786" i="2"/>
  <c r="AH786" i="2"/>
  <c r="AC786" i="2"/>
  <c r="AA786" i="2"/>
  <c r="Z786" i="2"/>
  <c r="Y786" i="2"/>
  <c r="X786" i="2"/>
  <c r="W786" i="2"/>
  <c r="S786" i="2"/>
  <c r="R786" i="2"/>
  <c r="P786" i="2"/>
  <c r="Q786" i="2" s="1"/>
  <c r="Q39" i="1" s="1"/>
  <c r="K786" i="2"/>
  <c r="G786" i="2"/>
  <c r="AK785" i="2"/>
  <c r="AL791" i="2" s="1"/>
  <c r="AL36" i="1" s="1"/>
  <c r="AH785" i="2"/>
  <c r="AI791" i="2" s="1"/>
  <c r="AI36" i="1" s="1"/>
  <c r="AC785" i="2"/>
  <c r="AA785" i="2"/>
  <c r="Z785" i="2"/>
  <c r="Y785" i="2"/>
  <c r="X785" i="2"/>
  <c r="W785" i="2"/>
  <c r="S785" i="2"/>
  <c r="AM791" i="2" s="1"/>
  <c r="AM36" i="1" s="1"/>
  <c r="R785" i="2"/>
  <c r="AD791" i="2" s="1"/>
  <c r="P785" i="2"/>
  <c r="K785" i="2"/>
  <c r="G785" i="2"/>
  <c r="AK784" i="2"/>
  <c r="AL788" i="2" s="1"/>
  <c r="AL37" i="1" s="1"/>
  <c r="AH784" i="2"/>
  <c r="AI788" i="2" s="1"/>
  <c r="AI37" i="1" s="1"/>
  <c r="AC784" i="2"/>
  <c r="AA784" i="2"/>
  <c r="AB788" i="2" s="1"/>
  <c r="AB37" i="1" s="1"/>
  <c r="Z784" i="2"/>
  <c r="Y784" i="2"/>
  <c r="X784" i="2"/>
  <c r="W784" i="2"/>
  <c r="S784" i="2"/>
  <c r="AM788" i="2" s="1"/>
  <c r="AM37" i="1" s="1"/>
  <c r="R784" i="2"/>
  <c r="AD788" i="2" s="1"/>
  <c r="P784" i="2"/>
  <c r="K784" i="2"/>
  <c r="G784" i="2"/>
  <c r="AK781" i="2"/>
  <c r="AL787" i="2" s="1"/>
  <c r="AL38" i="1" s="1"/>
  <c r="AH781" i="2"/>
  <c r="AI787" i="2" s="1"/>
  <c r="AI38" i="1" s="1"/>
  <c r="AC781" i="2"/>
  <c r="AA781" i="2"/>
  <c r="AB787" i="2" s="1"/>
  <c r="AB38" i="1" s="1"/>
  <c r="Z781" i="2"/>
  <c r="Y781" i="2"/>
  <c r="X781" i="2"/>
  <c r="W781" i="2"/>
  <c r="S781" i="2"/>
  <c r="AM787" i="2" s="1"/>
  <c r="AM38" i="1" s="1"/>
  <c r="R781" i="2"/>
  <c r="AD787" i="2" s="1"/>
  <c r="P781" i="2"/>
  <c r="K781" i="2"/>
  <c r="G781" i="2"/>
  <c r="AK780" i="2"/>
  <c r="AL786" i="2" s="1"/>
  <c r="AL39" i="1" s="1"/>
  <c r="AH780" i="2"/>
  <c r="AI786" i="2" s="1"/>
  <c r="AI39" i="1" s="1"/>
  <c r="AC780" i="2"/>
  <c r="AA780" i="2"/>
  <c r="AB786" i="2" s="1"/>
  <c r="AB39" i="1" s="1"/>
  <c r="Z780" i="2"/>
  <c r="Y780" i="2"/>
  <c r="X780" i="2"/>
  <c r="W780" i="2"/>
  <c r="S780" i="2"/>
  <c r="AM786" i="2" s="1"/>
  <c r="AM39" i="1" s="1"/>
  <c r="R780" i="2"/>
  <c r="AD786" i="2" s="1"/>
  <c r="P780" i="2"/>
  <c r="K780" i="2"/>
  <c r="G780" i="2"/>
  <c r="AK779" i="2"/>
  <c r="AL785" i="2" s="1"/>
  <c r="AL40" i="1" s="1"/>
  <c r="AH779" i="2"/>
  <c r="AI785" i="2" s="1"/>
  <c r="AI40" i="1" s="1"/>
  <c r="AC779" i="2"/>
  <c r="AA779" i="2"/>
  <c r="AB785" i="2" s="1"/>
  <c r="AB40" i="1" s="1"/>
  <c r="Z779" i="2"/>
  <c r="Y779" i="2"/>
  <c r="X779" i="2"/>
  <c r="W779" i="2"/>
  <c r="S779" i="2"/>
  <c r="AM785" i="2" s="1"/>
  <c r="AM40" i="1" s="1"/>
  <c r="R779" i="2"/>
  <c r="AD785" i="2" s="1"/>
  <c r="P779" i="2"/>
  <c r="K779" i="2"/>
  <c r="G779" i="2"/>
  <c r="AK778" i="2"/>
  <c r="AH778" i="2"/>
  <c r="AC778" i="2"/>
  <c r="AA778" i="2"/>
  <c r="Z778" i="2"/>
  <c r="Y778" i="2"/>
  <c r="X778" i="2"/>
  <c r="W778" i="2"/>
  <c r="S778" i="2"/>
  <c r="R778" i="2"/>
  <c r="P778" i="2"/>
  <c r="K778" i="2"/>
  <c r="G778" i="2"/>
  <c r="AK773" i="2"/>
  <c r="AL779" i="2" s="1"/>
  <c r="AL44" i="1" s="1"/>
  <c r="AH773" i="2"/>
  <c r="AI779" i="2" s="1"/>
  <c r="AI44" i="1" s="1"/>
  <c r="AC773" i="2"/>
  <c r="AA773" i="2"/>
  <c r="AB779" i="2" s="1"/>
  <c r="AB44" i="1" s="1"/>
  <c r="Z773" i="2"/>
  <c r="Y773" i="2"/>
  <c r="X773" i="2"/>
  <c r="W773" i="2"/>
  <c r="S773" i="2"/>
  <c r="AM779" i="2" s="1"/>
  <c r="AM44" i="1" s="1"/>
  <c r="R773" i="2"/>
  <c r="AD779" i="2" s="1"/>
  <c r="P773" i="2"/>
  <c r="K773" i="2"/>
  <c r="G773" i="2"/>
  <c r="AK772" i="2"/>
  <c r="AL778" i="2" s="1"/>
  <c r="AL45" i="1" s="1"/>
  <c r="AH772" i="2"/>
  <c r="AI778" i="2" s="1"/>
  <c r="AI45" i="1" s="1"/>
  <c r="AC772" i="2"/>
  <c r="AA772" i="2"/>
  <c r="AB778" i="2" s="1"/>
  <c r="AB45" i="1" s="1"/>
  <c r="Z772" i="2"/>
  <c r="Y772" i="2"/>
  <c r="X772" i="2"/>
  <c r="W772" i="2"/>
  <c r="S772" i="2"/>
  <c r="AM778" i="2" s="1"/>
  <c r="AM45" i="1" s="1"/>
  <c r="R772" i="2"/>
  <c r="AD778" i="2" s="1"/>
  <c r="P772" i="2"/>
  <c r="K772" i="2"/>
  <c r="G772" i="2"/>
  <c r="AK771" i="2"/>
  <c r="AH771" i="2"/>
  <c r="AC771" i="2"/>
  <c r="AA771" i="2"/>
  <c r="Z771" i="2"/>
  <c r="Y771" i="2"/>
  <c r="X771" i="2"/>
  <c r="W771" i="2"/>
  <c r="S771" i="2"/>
  <c r="R771" i="2"/>
  <c r="P771" i="2"/>
  <c r="Q771" i="2" s="1"/>
  <c r="Q48" i="1" s="1"/>
  <c r="K771" i="2"/>
  <c r="G771" i="2"/>
  <c r="AK770" i="2"/>
  <c r="AH770" i="2"/>
  <c r="AC770" i="2"/>
  <c r="AA770" i="2"/>
  <c r="Z770" i="2"/>
  <c r="Y770" i="2"/>
  <c r="X770" i="2"/>
  <c r="W770" i="2"/>
  <c r="S770" i="2"/>
  <c r="R770" i="2"/>
  <c r="P770" i="2"/>
  <c r="Q770" i="2" s="1"/>
  <c r="Q49" i="1" s="1"/>
  <c r="K770" i="2"/>
  <c r="G770" i="2"/>
  <c r="AK767" i="2"/>
  <c r="AL773" i="2" s="1"/>
  <c r="AL46" i="1" s="1"/>
  <c r="AH767" i="2"/>
  <c r="AI773" i="2" s="1"/>
  <c r="AI46" i="1" s="1"/>
  <c r="AC767" i="2"/>
  <c r="AA767" i="2"/>
  <c r="AB773" i="2" s="1"/>
  <c r="AB46" i="1" s="1"/>
  <c r="Z767" i="2"/>
  <c r="Y767" i="2"/>
  <c r="X767" i="2"/>
  <c r="W767" i="2"/>
  <c r="S767" i="2"/>
  <c r="AM773" i="2" s="1"/>
  <c r="AM46" i="1" s="1"/>
  <c r="R767" i="2"/>
  <c r="AD773" i="2" s="1"/>
  <c r="P767" i="2"/>
  <c r="K767" i="2"/>
  <c r="G767" i="2"/>
  <c r="AK766" i="2"/>
  <c r="AL772" i="2" s="1"/>
  <c r="AL47" i="1" s="1"/>
  <c r="AH766" i="2"/>
  <c r="AI772" i="2" s="1"/>
  <c r="AI47" i="1" s="1"/>
  <c r="AC766" i="2"/>
  <c r="AA766" i="2"/>
  <c r="AB772" i="2" s="1"/>
  <c r="AB47" i="1" s="1"/>
  <c r="Z766" i="2"/>
  <c r="Y766" i="2"/>
  <c r="X766" i="2"/>
  <c r="W766" i="2"/>
  <c r="S766" i="2"/>
  <c r="AM772" i="2" s="1"/>
  <c r="AM47" i="1" s="1"/>
  <c r="R766" i="2"/>
  <c r="AD772" i="2" s="1"/>
  <c r="P766" i="2"/>
  <c r="K766" i="2"/>
  <c r="G766" i="2"/>
  <c r="AK765" i="2"/>
  <c r="AL771" i="2" s="1"/>
  <c r="AL48" i="1" s="1"/>
  <c r="AH765" i="2"/>
  <c r="AI771" i="2" s="1"/>
  <c r="AI48" i="1" s="1"/>
  <c r="AC765" i="2"/>
  <c r="AA765" i="2"/>
  <c r="AB771" i="2" s="1"/>
  <c r="AB48" i="1" s="1"/>
  <c r="Z765" i="2"/>
  <c r="Y765" i="2"/>
  <c r="X765" i="2"/>
  <c r="W765" i="2"/>
  <c r="S765" i="2"/>
  <c r="AM771" i="2" s="1"/>
  <c r="AM48" i="1" s="1"/>
  <c r="R765" i="2"/>
  <c r="AD771" i="2" s="1"/>
  <c r="P765" i="2"/>
  <c r="K765" i="2"/>
  <c r="G765" i="2"/>
  <c r="AK764" i="2"/>
  <c r="AH764" i="2"/>
  <c r="AC764" i="2"/>
  <c r="AA764" i="2"/>
  <c r="Z764" i="2"/>
  <c r="Y764" i="2"/>
  <c r="X764" i="2"/>
  <c r="W764" i="2"/>
  <c r="S764" i="2"/>
  <c r="R764" i="2"/>
  <c r="P764" i="2"/>
  <c r="K764" i="2"/>
  <c r="G764" i="2"/>
  <c r="AK760" i="2"/>
  <c r="AL766" i="2" s="1"/>
  <c r="AL51" i="1" s="1"/>
  <c r="AH760" i="2"/>
  <c r="AI766" i="2" s="1"/>
  <c r="AI51" i="1" s="1"/>
  <c r="AC760" i="2"/>
  <c r="AA760" i="2"/>
  <c r="AB766" i="2" s="1"/>
  <c r="AB51" i="1" s="1"/>
  <c r="Z760" i="2"/>
  <c r="Y760" i="2"/>
  <c r="X760" i="2"/>
  <c r="W760" i="2"/>
  <c r="S760" i="2"/>
  <c r="AM766" i="2" s="1"/>
  <c r="AM51" i="1" s="1"/>
  <c r="R760" i="2"/>
  <c r="AD766" i="2" s="1"/>
  <c r="P760" i="2"/>
  <c r="K760" i="2"/>
  <c r="G760" i="2"/>
  <c r="AK759" i="2"/>
  <c r="AL765" i="2" s="1"/>
  <c r="AL52" i="1" s="1"/>
  <c r="AH759" i="2"/>
  <c r="AI765" i="2" s="1"/>
  <c r="AI52" i="1" s="1"/>
  <c r="AC759" i="2"/>
  <c r="AA759" i="2"/>
  <c r="AB765" i="2" s="1"/>
  <c r="AB52" i="1" s="1"/>
  <c r="Z759" i="2"/>
  <c r="Y759" i="2"/>
  <c r="X759" i="2"/>
  <c r="W759" i="2"/>
  <c r="S759" i="2"/>
  <c r="AM765" i="2" s="1"/>
  <c r="AM52" i="1" s="1"/>
  <c r="R759" i="2"/>
  <c r="AD765" i="2" s="1"/>
  <c r="P759" i="2"/>
  <c r="K759" i="2"/>
  <c r="G759" i="2"/>
  <c r="AK758" i="2"/>
  <c r="AL764" i="2" s="1"/>
  <c r="AL53" i="1" s="1"/>
  <c r="AH758" i="2"/>
  <c r="AI764" i="2" s="1"/>
  <c r="AI53" i="1" s="1"/>
  <c r="AC758" i="2"/>
  <c r="AA758" i="2"/>
  <c r="AB764" i="2" s="1"/>
  <c r="AB53" i="1" s="1"/>
  <c r="Z758" i="2"/>
  <c r="Y758" i="2"/>
  <c r="X758" i="2"/>
  <c r="W758" i="2"/>
  <c r="S758" i="2"/>
  <c r="AM764" i="2" s="1"/>
  <c r="AM53" i="1" s="1"/>
  <c r="R758" i="2"/>
  <c r="AD764" i="2" s="1"/>
  <c r="P758" i="2"/>
  <c r="K758" i="2"/>
  <c r="G758" i="2"/>
  <c r="AK757" i="2"/>
  <c r="AH757" i="2"/>
  <c r="AC757" i="2"/>
  <c r="AA757" i="2"/>
  <c r="Z757" i="2"/>
  <c r="Y757" i="2"/>
  <c r="X757" i="2"/>
  <c r="W757" i="2"/>
  <c r="S757" i="2"/>
  <c r="R757" i="2"/>
  <c r="P757" i="2"/>
  <c r="Q757" i="2" s="1"/>
  <c r="Q57" i="1" s="1"/>
  <c r="K757" i="2"/>
  <c r="G757" i="2"/>
  <c r="AK756" i="2"/>
  <c r="AL760" i="2" s="1"/>
  <c r="AL54" i="1" s="1"/>
  <c r="AH756" i="2"/>
  <c r="AI760" i="2" s="1"/>
  <c r="AI54" i="1" s="1"/>
  <c r="AC756" i="2"/>
  <c r="AA756" i="2"/>
  <c r="AB760" i="2" s="1"/>
  <c r="AB54" i="1" s="1"/>
  <c r="Z756" i="2"/>
  <c r="Y756" i="2"/>
  <c r="X756" i="2"/>
  <c r="W756" i="2"/>
  <c r="S756" i="2"/>
  <c r="AM760" i="2" s="1"/>
  <c r="AM54" i="1" s="1"/>
  <c r="R756" i="2"/>
  <c r="AD760" i="2" s="1"/>
  <c r="P756" i="2"/>
  <c r="K756" i="2"/>
  <c r="G756" i="2"/>
  <c r="AK753" i="2"/>
  <c r="AL759" i="2" s="1"/>
  <c r="AL55" i="1" s="1"/>
  <c r="AH753" i="2"/>
  <c r="AI759" i="2" s="1"/>
  <c r="AI55" i="1" s="1"/>
  <c r="AC753" i="2"/>
  <c r="AA753" i="2"/>
  <c r="AB759" i="2" s="1"/>
  <c r="AB55" i="1" s="1"/>
  <c r="Z753" i="2"/>
  <c r="Y753" i="2"/>
  <c r="X753" i="2"/>
  <c r="W753" i="2"/>
  <c r="S753" i="2"/>
  <c r="AM759" i="2" s="1"/>
  <c r="AM55" i="1" s="1"/>
  <c r="R753" i="2"/>
  <c r="AD759" i="2" s="1"/>
  <c r="P753" i="2"/>
  <c r="K753" i="2"/>
  <c r="G753" i="2"/>
  <c r="AK752" i="2"/>
  <c r="AL758" i="2" s="1"/>
  <c r="AL56" i="1" s="1"/>
  <c r="AH752" i="2"/>
  <c r="AI758" i="2" s="1"/>
  <c r="AI56" i="1" s="1"/>
  <c r="AC752" i="2"/>
  <c r="AA752" i="2"/>
  <c r="AB758" i="2" s="1"/>
  <c r="AB56" i="1" s="1"/>
  <c r="Z752" i="2"/>
  <c r="Y752" i="2"/>
  <c r="X752" i="2"/>
  <c r="W752" i="2"/>
  <c r="S752" i="2"/>
  <c r="AM758" i="2" s="1"/>
  <c r="AM56" i="1" s="1"/>
  <c r="R752" i="2"/>
  <c r="AD758" i="2" s="1"/>
  <c r="P752" i="2"/>
  <c r="K752" i="2"/>
  <c r="G752" i="2"/>
  <c r="AK751" i="2"/>
  <c r="AL757" i="2" s="1"/>
  <c r="AL57" i="1" s="1"/>
  <c r="AH751" i="2"/>
  <c r="AI757" i="2" s="1"/>
  <c r="AI57" i="1" s="1"/>
  <c r="AC751" i="2"/>
  <c r="AA751" i="2"/>
  <c r="AB757" i="2" s="1"/>
  <c r="AB57" i="1" s="1"/>
  <c r="Z751" i="2"/>
  <c r="Y751" i="2"/>
  <c r="X751" i="2"/>
  <c r="W751" i="2"/>
  <c r="S751" i="2"/>
  <c r="AM757" i="2" s="1"/>
  <c r="AM57" i="1" s="1"/>
  <c r="R751" i="2"/>
  <c r="AD757" i="2" s="1"/>
  <c r="P751" i="2"/>
  <c r="K751" i="2"/>
  <c r="G751" i="2"/>
  <c r="AK750" i="2"/>
  <c r="AL756" i="2" s="1"/>
  <c r="AL58" i="1" s="1"/>
  <c r="AH750" i="2"/>
  <c r="AI756" i="2" s="1"/>
  <c r="AI58" i="1" s="1"/>
  <c r="AC750" i="2"/>
  <c r="AA750" i="2"/>
  <c r="AB756" i="2" s="1"/>
  <c r="AB58" i="1" s="1"/>
  <c r="Z750" i="2"/>
  <c r="Y750" i="2"/>
  <c r="X750" i="2"/>
  <c r="W750" i="2"/>
  <c r="S750" i="2"/>
  <c r="AM756" i="2" s="1"/>
  <c r="AM58" i="1" s="1"/>
  <c r="R750" i="2"/>
  <c r="AD756" i="2" s="1"/>
  <c r="P750" i="2"/>
  <c r="K750" i="2"/>
  <c r="G750" i="2"/>
  <c r="AK749" i="2"/>
  <c r="AL753" i="2" s="1"/>
  <c r="AL59" i="1" s="1"/>
  <c r="AH749" i="2"/>
  <c r="AI753" i="2" s="1"/>
  <c r="AI59" i="1" s="1"/>
  <c r="AC749" i="2"/>
  <c r="AA749" i="2"/>
  <c r="AB753" i="2" s="1"/>
  <c r="AB59" i="1" s="1"/>
  <c r="Z749" i="2"/>
  <c r="Y749" i="2"/>
  <c r="X749" i="2"/>
  <c r="W749" i="2"/>
  <c r="S749" i="2"/>
  <c r="AM753" i="2" s="1"/>
  <c r="AM59" i="1" s="1"/>
  <c r="R749" i="2"/>
  <c r="AD753" i="2" s="1"/>
  <c r="P749" i="2"/>
  <c r="K749" i="2"/>
  <c r="G749" i="2"/>
  <c r="AK746" i="2"/>
  <c r="AL752" i="2" s="1"/>
  <c r="AL60" i="1" s="1"/>
  <c r="AH746" i="2"/>
  <c r="AI752" i="2" s="1"/>
  <c r="AI60" i="1" s="1"/>
  <c r="AC746" i="2"/>
  <c r="AA746" i="2"/>
  <c r="AB752" i="2" s="1"/>
  <c r="AB60" i="1" s="1"/>
  <c r="Z746" i="2"/>
  <c r="Y746" i="2"/>
  <c r="X746" i="2"/>
  <c r="W746" i="2"/>
  <c r="S746" i="2"/>
  <c r="AM752" i="2" s="1"/>
  <c r="AM60" i="1" s="1"/>
  <c r="R746" i="2"/>
  <c r="AD752" i="2" s="1"/>
  <c r="P746" i="2"/>
  <c r="K746" i="2"/>
  <c r="G746" i="2"/>
  <c r="AK745" i="2"/>
  <c r="AL751" i="2" s="1"/>
  <c r="AL61" i="1" s="1"/>
  <c r="AH745" i="2"/>
  <c r="AI751" i="2" s="1"/>
  <c r="AI61" i="1" s="1"/>
  <c r="AC745" i="2"/>
  <c r="AA745" i="2"/>
  <c r="AB751" i="2" s="1"/>
  <c r="AB61" i="1" s="1"/>
  <c r="Z745" i="2"/>
  <c r="Y745" i="2"/>
  <c r="X745" i="2"/>
  <c r="W745" i="2"/>
  <c r="S745" i="2"/>
  <c r="AM751" i="2" s="1"/>
  <c r="AM61" i="1" s="1"/>
  <c r="R745" i="2"/>
  <c r="AD751" i="2" s="1"/>
  <c r="P745" i="2"/>
  <c r="K745" i="2"/>
  <c r="G745" i="2"/>
  <c r="AK744" i="2"/>
  <c r="AH744" i="2"/>
  <c r="AC744" i="2"/>
  <c r="AA744" i="2"/>
  <c r="Z744" i="2"/>
  <c r="Y744" i="2"/>
  <c r="X744" i="2"/>
  <c r="W744" i="2"/>
  <c r="S744" i="2"/>
  <c r="R744" i="2"/>
  <c r="P744" i="2"/>
  <c r="K744" i="2"/>
  <c r="G744" i="2"/>
  <c r="AK739" i="2"/>
  <c r="AL745" i="2" s="1"/>
  <c r="AL65" i="1" s="1"/>
  <c r="AH739" i="2"/>
  <c r="AI745" i="2" s="1"/>
  <c r="AI65" i="1" s="1"/>
  <c r="AC739" i="2"/>
  <c r="AA739" i="2"/>
  <c r="AB745" i="2" s="1"/>
  <c r="AB65" i="1" s="1"/>
  <c r="Z739" i="2"/>
  <c r="Y739" i="2"/>
  <c r="X739" i="2"/>
  <c r="W739" i="2"/>
  <c r="S739" i="2"/>
  <c r="AM745" i="2" s="1"/>
  <c r="AM65" i="1" s="1"/>
  <c r="R739" i="2"/>
  <c r="AD745" i="2" s="1"/>
  <c r="P739" i="2"/>
  <c r="K739" i="2"/>
  <c r="G739" i="2"/>
  <c r="AK738" i="2"/>
  <c r="AL744" i="2" s="1"/>
  <c r="AL66" i="1" s="1"/>
  <c r="AH738" i="2"/>
  <c r="AI744" i="2" s="1"/>
  <c r="AI66" i="1" s="1"/>
  <c r="AC738" i="2"/>
  <c r="AA738" i="2"/>
  <c r="AB744" i="2" s="1"/>
  <c r="AB66" i="1" s="1"/>
  <c r="Z738" i="2"/>
  <c r="Y738" i="2"/>
  <c r="X738" i="2"/>
  <c r="W738" i="2"/>
  <c r="S738" i="2"/>
  <c r="AM744" i="2" s="1"/>
  <c r="AM66" i="1" s="1"/>
  <c r="R738" i="2"/>
  <c r="AD744" i="2" s="1"/>
  <c r="P738" i="2"/>
  <c r="K738" i="2"/>
  <c r="G738" i="2"/>
  <c r="AK737" i="2"/>
  <c r="AH737" i="2"/>
  <c r="AC737" i="2"/>
  <c r="AA737" i="2"/>
  <c r="Z737" i="2"/>
  <c r="Y737" i="2"/>
  <c r="X737" i="2"/>
  <c r="W737" i="2"/>
  <c r="S737" i="2"/>
  <c r="R737" i="2"/>
  <c r="P737" i="2"/>
  <c r="Q737" i="2" s="1"/>
  <c r="Q69" i="1" s="1"/>
  <c r="K737" i="2"/>
  <c r="G737" i="2"/>
  <c r="AK736" i="2"/>
  <c r="AH736" i="2"/>
  <c r="AC736" i="2"/>
  <c r="AA736" i="2"/>
  <c r="Z736" i="2"/>
  <c r="Y736" i="2"/>
  <c r="X736" i="2"/>
  <c r="W736" i="2"/>
  <c r="S736" i="2"/>
  <c r="R736" i="2"/>
  <c r="P736" i="2"/>
  <c r="Q736" i="2" s="1"/>
  <c r="Q70" i="1" s="1"/>
  <c r="K736" i="2"/>
  <c r="G736" i="2"/>
  <c r="AK735" i="2"/>
  <c r="AL739" i="2" s="1"/>
  <c r="AL67" i="1" s="1"/>
  <c r="AH735" i="2"/>
  <c r="AI739" i="2" s="1"/>
  <c r="AI67" i="1" s="1"/>
  <c r="AC735" i="2"/>
  <c r="AA735" i="2"/>
  <c r="AB739" i="2" s="1"/>
  <c r="AB67" i="1" s="1"/>
  <c r="Z735" i="2"/>
  <c r="Y735" i="2"/>
  <c r="X735" i="2"/>
  <c r="W735" i="2"/>
  <c r="S735" i="2"/>
  <c r="AM739" i="2" s="1"/>
  <c r="AM67" i="1" s="1"/>
  <c r="R735" i="2"/>
  <c r="AD739" i="2" s="1"/>
  <c r="P735" i="2"/>
  <c r="K735" i="2"/>
  <c r="G735" i="2"/>
  <c r="AK732" i="2"/>
  <c r="AL738" i="2" s="1"/>
  <c r="AL68" i="1" s="1"/>
  <c r="AH732" i="2"/>
  <c r="AI738" i="2" s="1"/>
  <c r="AI68" i="1" s="1"/>
  <c r="AC732" i="2"/>
  <c r="AA732" i="2"/>
  <c r="AB738" i="2" s="1"/>
  <c r="AB68" i="1" s="1"/>
  <c r="Z732" i="2"/>
  <c r="Y732" i="2"/>
  <c r="X732" i="2"/>
  <c r="W732" i="2"/>
  <c r="S732" i="2"/>
  <c r="AM738" i="2" s="1"/>
  <c r="AM68" i="1" s="1"/>
  <c r="R732" i="2"/>
  <c r="AD738" i="2" s="1"/>
  <c r="P732" i="2"/>
  <c r="K732" i="2"/>
  <c r="G732" i="2"/>
  <c r="AK731" i="2"/>
  <c r="AL737" i="2" s="1"/>
  <c r="AL69" i="1" s="1"/>
  <c r="AH731" i="2"/>
  <c r="AI737" i="2" s="1"/>
  <c r="AI69" i="1" s="1"/>
  <c r="AC731" i="2"/>
  <c r="AA731" i="2"/>
  <c r="AB737" i="2" s="1"/>
  <c r="AB69" i="1" s="1"/>
  <c r="Z731" i="2"/>
  <c r="Y731" i="2"/>
  <c r="X731" i="2"/>
  <c r="W731" i="2"/>
  <c r="S731" i="2"/>
  <c r="AM737" i="2" s="1"/>
  <c r="AM69" i="1" s="1"/>
  <c r="R731" i="2"/>
  <c r="AD737" i="2" s="1"/>
  <c r="P731" i="2"/>
  <c r="K731" i="2"/>
  <c r="G731" i="2"/>
  <c r="AK730" i="2"/>
  <c r="AL736" i="2" s="1"/>
  <c r="AL70" i="1" s="1"/>
  <c r="AH730" i="2"/>
  <c r="AI736" i="2" s="1"/>
  <c r="AI70" i="1" s="1"/>
  <c r="AC730" i="2"/>
  <c r="AA730" i="2"/>
  <c r="AB736" i="2" s="1"/>
  <c r="AB70" i="1" s="1"/>
  <c r="Z730" i="2"/>
  <c r="Y730" i="2"/>
  <c r="X730" i="2"/>
  <c r="W730" i="2"/>
  <c r="S730" i="2"/>
  <c r="AM736" i="2" s="1"/>
  <c r="AM70" i="1" s="1"/>
  <c r="R730" i="2"/>
  <c r="AD736" i="2" s="1"/>
  <c r="P730" i="2"/>
  <c r="K730" i="2"/>
  <c r="G730" i="2"/>
  <c r="AK729" i="2"/>
  <c r="AL735" i="2" s="1"/>
  <c r="AL71" i="1" s="1"/>
  <c r="AH729" i="2"/>
  <c r="AI735" i="2" s="1"/>
  <c r="AI71" i="1" s="1"/>
  <c r="AC729" i="2"/>
  <c r="AA729" i="2"/>
  <c r="AB735" i="2" s="1"/>
  <c r="AB71" i="1" s="1"/>
  <c r="Z729" i="2"/>
  <c r="Y729" i="2"/>
  <c r="X729" i="2"/>
  <c r="W729" i="2"/>
  <c r="S729" i="2"/>
  <c r="AM735" i="2" s="1"/>
  <c r="AM71" i="1" s="1"/>
  <c r="R729" i="2"/>
  <c r="AD735" i="2" s="1"/>
  <c r="P729" i="2"/>
  <c r="K729" i="2"/>
  <c r="G729" i="2"/>
  <c r="AK728" i="2"/>
  <c r="AL732" i="2" s="1"/>
  <c r="AL72" i="1" s="1"/>
  <c r="AH728" i="2"/>
  <c r="AI732" i="2" s="1"/>
  <c r="AI72" i="1" s="1"/>
  <c r="AC728" i="2"/>
  <c r="AA728" i="2"/>
  <c r="AB732" i="2" s="1"/>
  <c r="AB72" i="1" s="1"/>
  <c r="Z728" i="2"/>
  <c r="Y728" i="2"/>
  <c r="X728" i="2"/>
  <c r="W728" i="2"/>
  <c r="S728" i="2"/>
  <c r="AM732" i="2" s="1"/>
  <c r="AM72" i="1" s="1"/>
  <c r="R728" i="2"/>
  <c r="AD732" i="2" s="1"/>
  <c r="P728" i="2"/>
  <c r="K728" i="2"/>
  <c r="G728" i="2"/>
  <c r="AK725" i="2"/>
  <c r="AL731" i="2" s="1"/>
  <c r="AL73" i="1" s="1"/>
  <c r="AH725" i="2"/>
  <c r="AI731" i="2" s="1"/>
  <c r="AI73" i="1" s="1"/>
  <c r="AC725" i="2"/>
  <c r="AA725" i="2"/>
  <c r="AB731" i="2" s="1"/>
  <c r="AB73" i="1" s="1"/>
  <c r="Z725" i="2"/>
  <c r="Y725" i="2"/>
  <c r="X725" i="2"/>
  <c r="W725" i="2"/>
  <c r="S725" i="2"/>
  <c r="R725" i="2"/>
  <c r="P725" i="2"/>
  <c r="K725" i="2"/>
  <c r="G725" i="2"/>
  <c r="AM724" i="2"/>
  <c r="AK724" i="2"/>
  <c r="AH724" i="2"/>
  <c r="AE724" i="2"/>
  <c r="AD724" i="2"/>
  <c r="AC724" i="2"/>
  <c r="AA724" i="2"/>
  <c r="Z724" i="2"/>
  <c r="Y724" i="2"/>
  <c r="X724" i="2"/>
  <c r="W724" i="2"/>
  <c r="S724" i="2"/>
  <c r="R724" i="2"/>
  <c r="P724" i="2"/>
  <c r="Q724" i="2" s="1"/>
  <c r="K724" i="2"/>
  <c r="G724" i="2"/>
  <c r="AK723" i="2"/>
  <c r="AH723" i="2"/>
  <c r="AC723" i="2"/>
  <c r="AA723" i="2"/>
  <c r="Z723" i="2"/>
  <c r="Y723" i="2"/>
  <c r="X723" i="2"/>
  <c r="W723" i="2"/>
  <c r="S723" i="2"/>
  <c r="R723" i="2"/>
  <c r="P723" i="2"/>
  <c r="Q723" i="2" s="1"/>
  <c r="K723" i="2"/>
  <c r="G723" i="2"/>
  <c r="AK722" i="2"/>
  <c r="AH722" i="2"/>
  <c r="AC722" i="2"/>
  <c r="AA722" i="2"/>
  <c r="Z722" i="2"/>
  <c r="Y722" i="2"/>
  <c r="X722" i="2"/>
  <c r="W722" i="2"/>
  <c r="S722" i="2"/>
  <c r="R722" i="2"/>
  <c r="P722" i="2"/>
  <c r="Q722" i="2" s="1"/>
  <c r="K722" i="2"/>
  <c r="G722" i="2"/>
  <c r="AK721" i="2"/>
  <c r="AH721" i="2"/>
  <c r="AC721" i="2"/>
  <c r="AA721" i="2"/>
  <c r="Z721" i="2"/>
  <c r="Y721" i="2"/>
  <c r="X721" i="2"/>
  <c r="W721" i="2"/>
  <c r="S721" i="2"/>
  <c r="R721" i="2"/>
  <c r="P721" i="2"/>
  <c r="Q721" i="2" s="1"/>
  <c r="K721" i="2"/>
  <c r="G721" i="2"/>
  <c r="AK718" i="2"/>
  <c r="AH718" i="2"/>
  <c r="AC718" i="2"/>
  <c r="AA718" i="2"/>
  <c r="Z718" i="2"/>
  <c r="Y718" i="2"/>
  <c r="X718" i="2"/>
  <c r="W718" i="2"/>
  <c r="S718" i="2"/>
  <c r="R718" i="2"/>
  <c r="P718" i="2"/>
  <c r="Q718" i="2" s="1"/>
  <c r="K718" i="2"/>
  <c r="G718" i="2"/>
  <c r="AK717" i="2"/>
  <c r="AL723" i="2" s="1"/>
  <c r="AL79" i="1" s="1"/>
  <c r="AH717" i="2"/>
  <c r="AI723" i="2" s="1"/>
  <c r="AI79" i="1" s="1"/>
  <c r="AC717" i="2"/>
  <c r="AA717" i="2"/>
  <c r="AB723" i="2" s="1"/>
  <c r="AB79" i="1" s="1"/>
  <c r="Z717" i="2"/>
  <c r="Y717" i="2"/>
  <c r="X717" i="2"/>
  <c r="W717" i="2"/>
  <c r="S717" i="2"/>
  <c r="AM723" i="2" s="1"/>
  <c r="AM79" i="1" s="1"/>
  <c r="R717" i="2"/>
  <c r="AD723" i="2" s="1"/>
  <c r="P717" i="2"/>
  <c r="K717" i="2"/>
  <c r="G717" i="2"/>
  <c r="AK716" i="2"/>
  <c r="AL722" i="2" s="1"/>
  <c r="AL80" i="1" s="1"/>
  <c r="AH716" i="2"/>
  <c r="AI722" i="2" s="1"/>
  <c r="AI80" i="1" s="1"/>
  <c r="AC716" i="2"/>
  <c r="AA716" i="2"/>
  <c r="AB722" i="2" s="1"/>
  <c r="AB80" i="1" s="1"/>
  <c r="Z716" i="2"/>
  <c r="Y716" i="2"/>
  <c r="X716" i="2"/>
  <c r="W716" i="2"/>
  <c r="S716" i="2"/>
  <c r="AM722" i="2" s="1"/>
  <c r="AM80" i="1" s="1"/>
  <c r="R716" i="2"/>
  <c r="AD722" i="2" s="1"/>
  <c r="P716" i="2"/>
  <c r="K716" i="2"/>
  <c r="G716" i="2"/>
  <c r="AK715" i="2"/>
  <c r="AL721" i="2" s="1"/>
  <c r="AL81" i="1" s="1"/>
  <c r="AH715" i="2"/>
  <c r="AI721" i="2" s="1"/>
  <c r="AI81" i="1" s="1"/>
  <c r="AC715" i="2"/>
  <c r="AA715" i="2"/>
  <c r="AB721" i="2" s="1"/>
  <c r="AB81" i="1" s="1"/>
  <c r="Z715" i="2"/>
  <c r="Y715" i="2"/>
  <c r="X715" i="2"/>
  <c r="W715" i="2"/>
  <c r="S715" i="2"/>
  <c r="AM721" i="2" s="1"/>
  <c r="AM81" i="1" s="1"/>
  <c r="R715" i="2"/>
  <c r="AD721" i="2" s="1"/>
  <c r="P715" i="2"/>
  <c r="K715" i="2"/>
  <c r="G715" i="2"/>
  <c r="AK714" i="2"/>
  <c r="AL718" i="2" s="1"/>
  <c r="AL82" i="1" s="1"/>
  <c r="AH714" i="2"/>
  <c r="AI718" i="2" s="1"/>
  <c r="AI82" i="1" s="1"/>
  <c r="AC714" i="2"/>
  <c r="AA714" i="2"/>
  <c r="AB718" i="2" s="1"/>
  <c r="AB82" i="1" s="1"/>
  <c r="Z714" i="2"/>
  <c r="Y714" i="2"/>
  <c r="X714" i="2"/>
  <c r="W714" i="2"/>
  <c r="S714" i="2"/>
  <c r="AM718" i="2" s="1"/>
  <c r="AM82" i="1" s="1"/>
  <c r="R714" i="2"/>
  <c r="AD718" i="2" s="1"/>
  <c r="P714" i="2"/>
  <c r="K714" i="2"/>
  <c r="G714" i="2"/>
  <c r="AK711" i="2"/>
  <c r="AL717" i="2" s="1"/>
  <c r="AL83" i="1" s="1"/>
  <c r="AH711" i="2"/>
  <c r="AI717" i="2" s="1"/>
  <c r="AI83" i="1" s="1"/>
  <c r="AC711" i="2"/>
  <c r="AA711" i="2"/>
  <c r="AB717" i="2" s="1"/>
  <c r="AB83" i="1" s="1"/>
  <c r="Z711" i="2"/>
  <c r="Y711" i="2"/>
  <c r="X711" i="2"/>
  <c r="W711" i="2"/>
  <c r="S711" i="2"/>
  <c r="AM717" i="2" s="1"/>
  <c r="AM83" i="1" s="1"/>
  <c r="R711" i="2"/>
  <c r="AD717" i="2" s="1"/>
  <c r="P711" i="2"/>
  <c r="K711" i="2"/>
  <c r="G711" i="2"/>
  <c r="AK710" i="2"/>
  <c r="AL716" i="2" s="1"/>
  <c r="AL84" i="1" s="1"/>
  <c r="AH710" i="2"/>
  <c r="AI716" i="2" s="1"/>
  <c r="AI84" i="1" s="1"/>
  <c r="AC710" i="2"/>
  <c r="AA710" i="2"/>
  <c r="AB716" i="2" s="1"/>
  <c r="AB84" i="1" s="1"/>
  <c r="Z710" i="2"/>
  <c r="Y710" i="2"/>
  <c r="X710" i="2"/>
  <c r="W710" i="2"/>
  <c r="S710" i="2"/>
  <c r="AM716" i="2" s="1"/>
  <c r="AM84" i="1" s="1"/>
  <c r="R710" i="2"/>
  <c r="AD716" i="2" s="1"/>
  <c r="P710" i="2"/>
  <c r="K710" i="2"/>
  <c r="G710" i="2"/>
  <c r="AK709" i="2"/>
  <c r="AL715" i="2" s="1"/>
  <c r="AL85" i="1" s="1"/>
  <c r="AH709" i="2"/>
  <c r="AI715" i="2" s="1"/>
  <c r="AI85" i="1" s="1"/>
  <c r="AC709" i="2"/>
  <c r="AA709" i="2"/>
  <c r="AB715" i="2" s="1"/>
  <c r="AB85" i="1" s="1"/>
  <c r="Z709" i="2"/>
  <c r="Y709" i="2"/>
  <c r="X709" i="2"/>
  <c r="W709" i="2"/>
  <c r="S709" i="2"/>
  <c r="AM715" i="2" s="1"/>
  <c r="AM85" i="1" s="1"/>
  <c r="R709" i="2"/>
  <c r="AD715" i="2" s="1"/>
  <c r="P709" i="2"/>
  <c r="K709" i="2"/>
  <c r="G709" i="2"/>
  <c r="AK708" i="2"/>
  <c r="AL714" i="2" s="1"/>
  <c r="AL86" i="1" s="1"/>
  <c r="AH708" i="2"/>
  <c r="AI714" i="2" s="1"/>
  <c r="AI86" i="1" s="1"/>
  <c r="AC708" i="2"/>
  <c r="AA708" i="2"/>
  <c r="AB714" i="2" s="1"/>
  <c r="AB86" i="1" s="1"/>
  <c r="Z708" i="2"/>
  <c r="Y708" i="2"/>
  <c r="X708" i="2"/>
  <c r="W708" i="2"/>
  <c r="S708" i="2"/>
  <c r="AM714" i="2" s="1"/>
  <c r="AM86" i="1" s="1"/>
  <c r="R708" i="2"/>
  <c r="AD714" i="2" s="1"/>
  <c r="P708" i="2"/>
  <c r="K708" i="2"/>
  <c r="G708" i="2"/>
  <c r="AK707" i="2"/>
  <c r="AL711" i="2" s="1"/>
  <c r="AL87" i="1" s="1"/>
  <c r="AH707" i="2"/>
  <c r="AI711" i="2" s="1"/>
  <c r="AI87" i="1" s="1"/>
  <c r="AC707" i="2"/>
  <c r="AA707" i="2"/>
  <c r="AB711" i="2" s="1"/>
  <c r="AB87" i="1" s="1"/>
  <c r="Z707" i="2"/>
  <c r="Y707" i="2"/>
  <c r="X707" i="2"/>
  <c r="W707" i="2"/>
  <c r="S707" i="2"/>
  <c r="AM711" i="2" s="1"/>
  <c r="AM87" i="1" s="1"/>
  <c r="R707" i="2"/>
  <c r="AD711" i="2" s="1"/>
  <c r="P707" i="2"/>
  <c r="K707" i="2"/>
  <c r="G707" i="2"/>
  <c r="AK704" i="2"/>
  <c r="AL710" i="2" s="1"/>
  <c r="AL88" i="1" s="1"/>
  <c r="AH704" i="2"/>
  <c r="AI710" i="2" s="1"/>
  <c r="AI88" i="1" s="1"/>
  <c r="AC704" i="2"/>
  <c r="AA704" i="2"/>
  <c r="AB710" i="2" s="1"/>
  <c r="AB88" i="1" s="1"/>
  <c r="Z704" i="2"/>
  <c r="Y704" i="2"/>
  <c r="X704" i="2"/>
  <c r="W704" i="2"/>
  <c r="S704" i="2"/>
  <c r="AM710" i="2" s="1"/>
  <c r="AM88" i="1" s="1"/>
  <c r="R704" i="2"/>
  <c r="AD710" i="2" s="1"/>
  <c r="P704" i="2"/>
  <c r="K704" i="2"/>
  <c r="G704" i="2"/>
  <c r="AK703" i="2"/>
  <c r="AL709" i="2" s="1"/>
  <c r="AL89" i="1" s="1"/>
  <c r="AH703" i="2"/>
  <c r="AI709" i="2" s="1"/>
  <c r="AI89" i="1" s="1"/>
  <c r="AC703" i="2"/>
  <c r="AA703" i="2"/>
  <c r="AB709" i="2" s="1"/>
  <c r="AB89" i="1" s="1"/>
  <c r="Z703" i="2"/>
  <c r="Y703" i="2"/>
  <c r="X703" i="2"/>
  <c r="W703" i="2"/>
  <c r="S703" i="2"/>
  <c r="AM709" i="2" s="1"/>
  <c r="AM89" i="1" s="1"/>
  <c r="R703" i="2"/>
  <c r="AD709" i="2" s="1"/>
  <c r="P703" i="2"/>
  <c r="K703" i="2"/>
  <c r="G703" i="2"/>
  <c r="AK702" i="2"/>
  <c r="AL708" i="2" s="1"/>
  <c r="AL90" i="1" s="1"/>
  <c r="AH702" i="2"/>
  <c r="AI708" i="2" s="1"/>
  <c r="AI90" i="1" s="1"/>
  <c r="AC702" i="2"/>
  <c r="AA702" i="2"/>
  <c r="AB708" i="2" s="1"/>
  <c r="AB90" i="1" s="1"/>
  <c r="Z702" i="2"/>
  <c r="Y702" i="2"/>
  <c r="X702" i="2"/>
  <c r="W702" i="2"/>
  <c r="S702" i="2"/>
  <c r="AM708" i="2" s="1"/>
  <c r="AM90" i="1" s="1"/>
  <c r="R702" i="2"/>
  <c r="AD708" i="2" s="1"/>
  <c r="P702" i="2"/>
  <c r="K702" i="2"/>
  <c r="G702" i="2"/>
  <c r="AK701" i="2"/>
  <c r="AL707" i="2" s="1"/>
  <c r="AL91" i="1" s="1"/>
  <c r="AH701" i="2"/>
  <c r="AI707" i="2" s="1"/>
  <c r="AI91" i="1" s="1"/>
  <c r="AC701" i="2"/>
  <c r="AA701" i="2"/>
  <c r="AB707" i="2" s="1"/>
  <c r="AB91" i="1" s="1"/>
  <c r="Z701" i="2"/>
  <c r="Y701" i="2"/>
  <c r="X701" i="2"/>
  <c r="W701" i="2"/>
  <c r="S701" i="2"/>
  <c r="AM707" i="2" s="1"/>
  <c r="AM91" i="1" s="1"/>
  <c r="R701" i="2"/>
  <c r="AD707" i="2" s="1"/>
  <c r="P701" i="2"/>
  <c r="K701" i="2"/>
  <c r="G701" i="2"/>
  <c r="AK700" i="2"/>
  <c r="AL704" i="2" s="1"/>
  <c r="AL92" i="1" s="1"/>
  <c r="AH700" i="2"/>
  <c r="AI704" i="2" s="1"/>
  <c r="AI92" i="1" s="1"/>
  <c r="AC700" i="2"/>
  <c r="AA700" i="2"/>
  <c r="AB704" i="2" s="1"/>
  <c r="AB92" i="1" s="1"/>
  <c r="Z700" i="2"/>
  <c r="Y700" i="2"/>
  <c r="X700" i="2"/>
  <c r="W700" i="2"/>
  <c r="S700" i="2"/>
  <c r="AM704" i="2" s="1"/>
  <c r="AM92" i="1" s="1"/>
  <c r="R700" i="2"/>
  <c r="AD704" i="2" s="1"/>
  <c r="P700" i="2"/>
  <c r="K700" i="2"/>
  <c r="G700" i="2"/>
  <c r="AK697" i="2"/>
  <c r="AL703" i="2" s="1"/>
  <c r="AL93" i="1" s="1"/>
  <c r="AH697" i="2"/>
  <c r="AI703" i="2" s="1"/>
  <c r="AI93" i="1" s="1"/>
  <c r="AC697" i="2"/>
  <c r="AA697" i="2"/>
  <c r="AB703" i="2" s="1"/>
  <c r="AB93" i="1" s="1"/>
  <c r="Z697" i="2"/>
  <c r="Y697" i="2"/>
  <c r="X697" i="2"/>
  <c r="W697" i="2"/>
  <c r="S697" i="2"/>
  <c r="AM703" i="2" s="1"/>
  <c r="AM93" i="1" s="1"/>
  <c r="R697" i="2"/>
  <c r="AD703" i="2" s="1"/>
  <c r="P697" i="2"/>
  <c r="K697" i="2"/>
  <c r="G697" i="2"/>
  <c r="AK696" i="2"/>
  <c r="AL702" i="2" s="1"/>
  <c r="AL94" i="1" s="1"/>
  <c r="AH696" i="2"/>
  <c r="AI702" i="2" s="1"/>
  <c r="AI94" i="1" s="1"/>
  <c r="AC696" i="2"/>
  <c r="AA696" i="2"/>
  <c r="AB702" i="2" s="1"/>
  <c r="AB94" i="1" s="1"/>
  <c r="Z696" i="2"/>
  <c r="Y696" i="2"/>
  <c r="X696" i="2"/>
  <c r="W696" i="2"/>
  <c r="S696" i="2"/>
  <c r="AM702" i="2" s="1"/>
  <c r="AM94" i="1" s="1"/>
  <c r="R696" i="2"/>
  <c r="AD702" i="2" s="1"/>
  <c r="P696" i="2"/>
  <c r="K696" i="2"/>
  <c r="G696" i="2"/>
  <c r="AK695" i="2"/>
  <c r="AL701" i="2" s="1"/>
  <c r="AL95" i="1" s="1"/>
  <c r="AH695" i="2"/>
  <c r="AI701" i="2" s="1"/>
  <c r="AI95" i="1" s="1"/>
  <c r="AC695" i="2"/>
  <c r="AA695" i="2"/>
  <c r="AB701" i="2" s="1"/>
  <c r="AB95" i="1" s="1"/>
  <c r="Z695" i="2"/>
  <c r="Y695" i="2"/>
  <c r="X695" i="2"/>
  <c r="W695" i="2"/>
  <c r="S695" i="2"/>
  <c r="AM701" i="2" s="1"/>
  <c r="AM95" i="1" s="1"/>
  <c r="R695" i="2"/>
  <c r="AD701" i="2" s="1"/>
  <c r="P695" i="2"/>
  <c r="K695" i="2"/>
  <c r="G695" i="2"/>
  <c r="AK694" i="2"/>
  <c r="AL700" i="2" s="1"/>
  <c r="AL96" i="1" s="1"/>
  <c r="AH694" i="2"/>
  <c r="AI700" i="2" s="1"/>
  <c r="AI96" i="1" s="1"/>
  <c r="AC694" i="2"/>
  <c r="AA694" i="2"/>
  <c r="AB700" i="2" s="1"/>
  <c r="AB96" i="1" s="1"/>
  <c r="Z694" i="2"/>
  <c r="Y694" i="2"/>
  <c r="X694" i="2"/>
  <c r="W694" i="2"/>
  <c r="S694" i="2"/>
  <c r="AM700" i="2" s="1"/>
  <c r="AM96" i="1" s="1"/>
  <c r="R694" i="2"/>
  <c r="AD700" i="2" s="1"/>
  <c r="P694" i="2"/>
  <c r="K694" i="2"/>
  <c r="G694" i="2"/>
  <c r="AK693" i="2"/>
  <c r="AL697" i="2" s="1"/>
  <c r="AL97" i="1" s="1"/>
  <c r="AH693" i="2"/>
  <c r="AI697" i="2" s="1"/>
  <c r="AI97" i="1" s="1"/>
  <c r="AC693" i="2"/>
  <c r="AA693" i="2"/>
  <c r="AB697" i="2" s="1"/>
  <c r="AB97" i="1" s="1"/>
  <c r="Z693" i="2"/>
  <c r="Y693" i="2"/>
  <c r="X693" i="2"/>
  <c r="W693" i="2"/>
  <c r="S693" i="2"/>
  <c r="AM697" i="2" s="1"/>
  <c r="AM97" i="1" s="1"/>
  <c r="R693" i="2"/>
  <c r="AD697" i="2" s="1"/>
  <c r="P693" i="2"/>
  <c r="K693" i="2"/>
  <c r="G693" i="2"/>
  <c r="AK690" i="2"/>
  <c r="AL696" i="2" s="1"/>
  <c r="AL98" i="1" s="1"/>
  <c r="AH690" i="2"/>
  <c r="AI696" i="2" s="1"/>
  <c r="AI98" i="1" s="1"/>
  <c r="AC690" i="2"/>
  <c r="AA690" i="2"/>
  <c r="AB696" i="2" s="1"/>
  <c r="AB98" i="1" s="1"/>
  <c r="Z690" i="2"/>
  <c r="Y690" i="2"/>
  <c r="X690" i="2"/>
  <c r="W690" i="2"/>
  <c r="S690" i="2"/>
  <c r="AM696" i="2" s="1"/>
  <c r="AM98" i="1" s="1"/>
  <c r="R690" i="2"/>
  <c r="AD696" i="2" s="1"/>
  <c r="P690" i="2"/>
  <c r="K690" i="2"/>
  <c r="G690" i="2"/>
  <c r="AK689" i="2"/>
  <c r="AL695" i="2" s="1"/>
  <c r="AL99" i="1" s="1"/>
  <c r="AH689" i="2"/>
  <c r="AI695" i="2" s="1"/>
  <c r="AI99" i="1" s="1"/>
  <c r="AC689" i="2"/>
  <c r="AA689" i="2"/>
  <c r="AB695" i="2" s="1"/>
  <c r="AB99" i="1" s="1"/>
  <c r="Z689" i="2"/>
  <c r="Y689" i="2"/>
  <c r="X689" i="2"/>
  <c r="W689" i="2"/>
  <c r="S689" i="2"/>
  <c r="AM695" i="2" s="1"/>
  <c r="AM99" i="1" s="1"/>
  <c r="R689" i="2"/>
  <c r="AD695" i="2" s="1"/>
  <c r="P689" i="2"/>
  <c r="K689" i="2"/>
  <c r="G689" i="2"/>
  <c r="AK688" i="2"/>
  <c r="AL694" i="2" s="1"/>
  <c r="AL100" i="1" s="1"/>
  <c r="AH688" i="2"/>
  <c r="AI694" i="2" s="1"/>
  <c r="AI100" i="1" s="1"/>
  <c r="AC688" i="2"/>
  <c r="AA688" i="2"/>
  <c r="AB694" i="2" s="1"/>
  <c r="AB100" i="1" s="1"/>
  <c r="Z688" i="2"/>
  <c r="Y688" i="2"/>
  <c r="X688" i="2"/>
  <c r="W688" i="2"/>
  <c r="S688" i="2"/>
  <c r="AM694" i="2" s="1"/>
  <c r="AM100" i="1" s="1"/>
  <c r="R688" i="2"/>
  <c r="AD694" i="2" s="1"/>
  <c r="P688" i="2"/>
  <c r="K688" i="2"/>
  <c r="G688" i="2"/>
  <c r="AK687" i="2"/>
  <c r="AL693" i="2" s="1"/>
  <c r="AL101" i="1" s="1"/>
  <c r="AH687" i="2"/>
  <c r="AI693" i="2" s="1"/>
  <c r="AI101" i="1" s="1"/>
  <c r="AC687" i="2"/>
  <c r="AA687" i="2"/>
  <c r="AB693" i="2" s="1"/>
  <c r="AB101" i="1" s="1"/>
  <c r="Z687" i="2"/>
  <c r="Y687" i="2"/>
  <c r="X687" i="2"/>
  <c r="W687" i="2"/>
  <c r="S687" i="2"/>
  <c r="AM693" i="2" s="1"/>
  <c r="AM101" i="1" s="1"/>
  <c r="R687" i="2"/>
  <c r="AD693" i="2" s="1"/>
  <c r="P687" i="2"/>
  <c r="K687" i="2"/>
  <c r="G687" i="2"/>
  <c r="AK686" i="2"/>
  <c r="AL690" i="2" s="1"/>
  <c r="AL102" i="1" s="1"/>
  <c r="AH686" i="2"/>
  <c r="AI690" i="2" s="1"/>
  <c r="AI102" i="1" s="1"/>
  <c r="AC686" i="2"/>
  <c r="AA686" i="2"/>
  <c r="AB690" i="2" s="1"/>
  <c r="AB102" i="1" s="1"/>
  <c r="Z686" i="2"/>
  <c r="Y686" i="2"/>
  <c r="X686" i="2"/>
  <c r="W686" i="2"/>
  <c r="S686" i="2"/>
  <c r="AM690" i="2" s="1"/>
  <c r="AM102" i="1" s="1"/>
  <c r="R686" i="2"/>
  <c r="AD690" i="2" s="1"/>
  <c r="P686" i="2"/>
  <c r="K686" i="2"/>
  <c r="G686" i="2"/>
  <c r="AK683" i="2"/>
  <c r="AL689" i="2" s="1"/>
  <c r="AL103" i="1" s="1"/>
  <c r="AH683" i="2"/>
  <c r="AI689" i="2" s="1"/>
  <c r="AI103" i="1" s="1"/>
  <c r="AC683" i="2"/>
  <c r="AA683" i="2"/>
  <c r="AB689" i="2" s="1"/>
  <c r="AB103" i="1" s="1"/>
  <c r="Z683" i="2"/>
  <c r="Y683" i="2"/>
  <c r="X683" i="2"/>
  <c r="W683" i="2"/>
  <c r="S683" i="2"/>
  <c r="AM689" i="2" s="1"/>
  <c r="AM103" i="1" s="1"/>
  <c r="R683" i="2"/>
  <c r="AD689" i="2" s="1"/>
  <c r="P683" i="2"/>
  <c r="K683" i="2"/>
  <c r="G683" i="2"/>
  <c r="AK682" i="2"/>
  <c r="AL688" i="2" s="1"/>
  <c r="AL104" i="1" s="1"/>
  <c r="AH682" i="2"/>
  <c r="AI688" i="2" s="1"/>
  <c r="AI104" i="1" s="1"/>
  <c r="AC682" i="2"/>
  <c r="AA682" i="2"/>
  <c r="AB688" i="2" s="1"/>
  <c r="AB104" i="1" s="1"/>
  <c r="Z682" i="2"/>
  <c r="Y682" i="2"/>
  <c r="X682" i="2"/>
  <c r="W682" i="2"/>
  <c r="S682" i="2"/>
  <c r="AM688" i="2" s="1"/>
  <c r="AM104" i="1" s="1"/>
  <c r="R682" i="2"/>
  <c r="AD688" i="2" s="1"/>
  <c r="P682" i="2"/>
  <c r="K682" i="2"/>
  <c r="G682" i="2"/>
  <c r="AK681" i="2"/>
  <c r="AL687" i="2" s="1"/>
  <c r="AL105" i="1" s="1"/>
  <c r="AH681" i="2"/>
  <c r="AI687" i="2" s="1"/>
  <c r="AI105" i="1" s="1"/>
  <c r="AC681" i="2"/>
  <c r="AA681" i="2"/>
  <c r="AB687" i="2" s="1"/>
  <c r="AB105" i="1" s="1"/>
  <c r="Z681" i="2"/>
  <c r="Y681" i="2"/>
  <c r="X681" i="2"/>
  <c r="W681" i="2"/>
  <c r="S681" i="2"/>
  <c r="AM687" i="2" s="1"/>
  <c r="AM105" i="1" s="1"/>
  <c r="R681" i="2"/>
  <c r="AD687" i="2" s="1"/>
  <c r="P681" i="2"/>
  <c r="K681" i="2"/>
  <c r="G681" i="2"/>
  <c r="AK680" i="2"/>
  <c r="AL686" i="2" s="1"/>
  <c r="AL106" i="1" s="1"/>
  <c r="AH680" i="2"/>
  <c r="AI686" i="2" s="1"/>
  <c r="AI106" i="1" s="1"/>
  <c r="AC680" i="2"/>
  <c r="AA680" i="2"/>
  <c r="AB686" i="2" s="1"/>
  <c r="AB106" i="1" s="1"/>
  <c r="Z680" i="2"/>
  <c r="Y680" i="2"/>
  <c r="X680" i="2"/>
  <c r="W680" i="2"/>
  <c r="S680" i="2"/>
  <c r="AM686" i="2" s="1"/>
  <c r="AM106" i="1" s="1"/>
  <c r="R680" i="2"/>
  <c r="AD686" i="2" s="1"/>
  <c r="P680" i="2"/>
  <c r="K680" i="2"/>
  <c r="G680" i="2"/>
  <c r="AK679" i="2"/>
  <c r="AL683" i="2" s="1"/>
  <c r="AL107" i="1" s="1"/>
  <c r="AH679" i="2"/>
  <c r="AI683" i="2" s="1"/>
  <c r="AI107" i="1" s="1"/>
  <c r="AC679" i="2"/>
  <c r="AA679" i="2"/>
  <c r="AB683" i="2" s="1"/>
  <c r="AB107" i="1" s="1"/>
  <c r="Z679" i="2"/>
  <c r="Y679" i="2"/>
  <c r="X679" i="2"/>
  <c r="W679" i="2"/>
  <c r="S679" i="2"/>
  <c r="AM683" i="2" s="1"/>
  <c r="AM107" i="1" s="1"/>
  <c r="R679" i="2"/>
  <c r="AD683" i="2" s="1"/>
  <c r="P679" i="2"/>
  <c r="K679" i="2"/>
  <c r="G679" i="2"/>
  <c r="AK676" i="2"/>
  <c r="AL682" i="2" s="1"/>
  <c r="AL108" i="1" s="1"/>
  <c r="AH676" i="2"/>
  <c r="AI682" i="2" s="1"/>
  <c r="AI108" i="1" s="1"/>
  <c r="AC676" i="2"/>
  <c r="AA676" i="2"/>
  <c r="AB682" i="2" s="1"/>
  <c r="AB108" i="1" s="1"/>
  <c r="Z676" i="2"/>
  <c r="Y676" i="2"/>
  <c r="X676" i="2"/>
  <c r="W676" i="2"/>
  <c r="S676" i="2"/>
  <c r="AM682" i="2" s="1"/>
  <c r="AM108" i="1" s="1"/>
  <c r="R676" i="2"/>
  <c r="AD682" i="2" s="1"/>
  <c r="P676" i="2"/>
  <c r="K676" i="2"/>
  <c r="G676" i="2"/>
  <c r="AK675" i="2"/>
  <c r="AL681" i="2" s="1"/>
  <c r="AL109" i="1" s="1"/>
  <c r="AH675" i="2"/>
  <c r="AI681" i="2" s="1"/>
  <c r="AI109" i="1" s="1"/>
  <c r="AC675" i="2"/>
  <c r="AA675" i="2"/>
  <c r="AB681" i="2" s="1"/>
  <c r="AB109" i="1" s="1"/>
  <c r="Z675" i="2"/>
  <c r="Y675" i="2"/>
  <c r="X675" i="2"/>
  <c r="W675" i="2"/>
  <c r="S675" i="2"/>
  <c r="AM681" i="2" s="1"/>
  <c r="AM109" i="1" s="1"/>
  <c r="R675" i="2"/>
  <c r="AD681" i="2" s="1"/>
  <c r="P675" i="2"/>
  <c r="K675" i="2"/>
  <c r="G675" i="2"/>
  <c r="AK674" i="2"/>
  <c r="AL680" i="2" s="1"/>
  <c r="AL110" i="1" s="1"/>
  <c r="AH674" i="2"/>
  <c r="AI680" i="2" s="1"/>
  <c r="AI110" i="1" s="1"/>
  <c r="AC674" i="2"/>
  <c r="AA674" i="2"/>
  <c r="AB680" i="2" s="1"/>
  <c r="AB110" i="1" s="1"/>
  <c r="Z674" i="2"/>
  <c r="Y674" i="2"/>
  <c r="X674" i="2"/>
  <c r="W674" i="2"/>
  <c r="S674" i="2"/>
  <c r="AM680" i="2" s="1"/>
  <c r="R674" i="2"/>
  <c r="AD680" i="2" s="1"/>
  <c r="P674" i="2"/>
  <c r="K674" i="2"/>
  <c r="G674" i="2"/>
  <c r="AK673" i="2"/>
  <c r="AL679" i="2" s="1"/>
  <c r="AL111" i="1" s="1"/>
  <c r="AH673" i="2"/>
  <c r="AI679" i="2" s="1"/>
  <c r="AI111" i="1" s="1"/>
  <c r="AC673" i="2"/>
  <c r="AA673" i="2"/>
  <c r="AB679" i="2" s="1"/>
  <c r="AB111" i="1" s="1"/>
  <c r="Z673" i="2"/>
  <c r="Y673" i="2"/>
  <c r="X673" i="2"/>
  <c r="W673" i="2"/>
  <c r="S673" i="2"/>
  <c r="AM679" i="2" s="1"/>
  <c r="R673" i="2"/>
  <c r="AD679" i="2" s="1"/>
  <c r="P673" i="2"/>
  <c r="K673" i="2"/>
  <c r="G673" i="2"/>
  <c r="AK672" i="2"/>
  <c r="AL676" i="2" s="1"/>
  <c r="AL112" i="1" s="1"/>
  <c r="AH672" i="2"/>
  <c r="AI676" i="2" s="1"/>
  <c r="AI112" i="1" s="1"/>
  <c r="AC672" i="2"/>
  <c r="AA672" i="2"/>
  <c r="AB676" i="2" s="1"/>
  <c r="AB112" i="1" s="1"/>
  <c r="Z672" i="2"/>
  <c r="Y672" i="2"/>
  <c r="X672" i="2"/>
  <c r="W672" i="2"/>
  <c r="S672" i="2"/>
  <c r="AM676" i="2" s="1"/>
  <c r="R672" i="2"/>
  <c r="AD676" i="2" s="1"/>
  <c r="P672" i="2"/>
  <c r="K672" i="2"/>
  <c r="G672" i="2"/>
  <c r="AK669" i="2"/>
  <c r="AL675" i="2" s="1"/>
  <c r="AL113" i="1" s="1"/>
  <c r="AH669" i="2"/>
  <c r="AI675" i="2" s="1"/>
  <c r="AI113" i="1" s="1"/>
  <c r="AC669" i="2"/>
  <c r="AA669" i="2"/>
  <c r="AB675" i="2" s="1"/>
  <c r="AB113" i="1" s="1"/>
  <c r="Z669" i="2"/>
  <c r="Y669" i="2"/>
  <c r="X669" i="2"/>
  <c r="W669" i="2"/>
  <c r="S669" i="2"/>
  <c r="AM675" i="2" s="1"/>
  <c r="R669" i="2"/>
  <c r="AD675" i="2" s="1"/>
  <c r="P669" i="2"/>
  <c r="K669" i="2"/>
  <c r="G669" i="2"/>
  <c r="AK668" i="2"/>
  <c r="AL674" i="2" s="1"/>
  <c r="AL114" i="1" s="1"/>
  <c r="AH668" i="2"/>
  <c r="AI674" i="2" s="1"/>
  <c r="AI114" i="1" s="1"/>
  <c r="AC668" i="2"/>
  <c r="AA668" i="2"/>
  <c r="AB674" i="2" s="1"/>
  <c r="AB114" i="1" s="1"/>
  <c r="Z668" i="2"/>
  <c r="Y668" i="2"/>
  <c r="X668" i="2"/>
  <c r="W668" i="2"/>
  <c r="S668" i="2"/>
  <c r="AM674" i="2" s="1"/>
  <c r="R668" i="2"/>
  <c r="AD674" i="2" s="1"/>
  <c r="P668" i="2"/>
  <c r="K668" i="2"/>
  <c r="G668" i="2"/>
  <c r="AK667" i="2"/>
  <c r="AL673" i="2" s="1"/>
  <c r="AL115" i="1" s="1"/>
  <c r="AH667" i="2"/>
  <c r="AI673" i="2" s="1"/>
  <c r="AI115" i="1" s="1"/>
  <c r="AC667" i="2"/>
  <c r="AA667" i="2"/>
  <c r="AB673" i="2" s="1"/>
  <c r="AB115" i="1" s="1"/>
  <c r="Z667" i="2"/>
  <c r="Y667" i="2"/>
  <c r="X667" i="2"/>
  <c r="W667" i="2"/>
  <c r="S667" i="2"/>
  <c r="AM673" i="2" s="1"/>
  <c r="R667" i="2"/>
  <c r="AD673" i="2" s="1"/>
  <c r="P667" i="2"/>
  <c r="K667" i="2"/>
  <c r="G667" i="2"/>
  <c r="AK666" i="2"/>
  <c r="AH666" i="2"/>
  <c r="AC666" i="2"/>
  <c r="AA666" i="2"/>
  <c r="AB672" i="2" s="1"/>
  <c r="AB116" i="1" s="1"/>
  <c r="Z666" i="2"/>
  <c r="Y666" i="2"/>
  <c r="X666" i="2"/>
  <c r="W666" i="2"/>
  <c r="S666" i="2"/>
  <c r="AM672" i="2" s="1"/>
  <c r="R666" i="2"/>
  <c r="AD672" i="2" s="1"/>
  <c r="P666" i="2"/>
  <c r="K666" i="2"/>
  <c r="G666" i="2"/>
  <c r="AC665" i="2"/>
  <c r="AA665" i="2"/>
  <c r="Z665" i="2"/>
  <c r="Y665" i="2"/>
  <c r="X665" i="2"/>
  <c r="W665" i="2"/>
  <c r="S665" i="2"/>
  <c r="R665" i="2"/>
  <c r="P665" i="2"/>
  <c r="K665" i="2"/>
  <c r="G665" i="2"/>
  <c r="AK661" i="2"/>
  <c r="AL667" i="2" s="1"/>
  <c r="AL119" i="1" s="1"/>
  <c r="AH661" i="2"/>
  <c r="AI667" i="2" s="1"/>
  <c r="AI119" i="1" s="1"/>
  <c r="AC661" i="2"/>
  <c r="AA661" i="2"/>
  <c r="AB667" i="2" s="1"/>
  <c r="AB119" i="1" s="1"/>
  <c r="Z661" i="2"/>
  <c r="Y661" i="2"/>
  <c r="X661" i="2"/>
  <c r="W661" i="2"/>
  <c r="S661" i="2"/>
  <c r="AM667" i="2" s="1"/>
  <c r="AM119" i="1" s="1"/>
  <c r="R661" i="2"/>
  <c r="AD667" i="2" s="1"/>
  <c r="AD119" i="1" s="1"/>
  <c r="P661" i="2"/>
  <c r="K661" i="2"/>
  <c r="G661" i="2"/>
  <c r="AK660" i="2"/>
  <c r="AL666" i="2" s="1"/>
  <c r="AL120" i="1" s="1"/>
  <c r="AH660" i="2"/>
  <c r="AI666" i="2" s="1"/>
  <c r="AI120" i="1" s="1"/>
  <c r="AC660" i="2"/>
  <c r="AA660" i="2"/>
  <c r="AB666" i="2" s="1"/>
  <c r="AB120" i="1" s="1"/>
  <c r="Z660" i="2"/>
  <c r="Y660" i="2"/>
  <c r="X660" i="2"/>
  <c r="W660" i="2"/>
  <c r="S660" i="2"/>
  <c r="AM666" i="2" s="1"/>
  <c r="AM120" i="1" s="1"/>
  <c r="R660" i="2"/>
  <c r="AD666" i="2" s="1"/>
  <c r="AD120" i="1" s="1"/>
  <c r="P660" i="2"/>
  <c r="K660" i="2"/>
  <c r="G660" i="2"/>
  <c r="AK659" i="2"/>
  <c r="AH659" i="2"/>
  <c r="AC659" i="2"/>
  <c r="AA659" i="2"/>
  <c r="AB665" i="2" s="1"/>
  <c r="AB121" i="1" s="1"/>
  <c r="Z659" i="2"/>
  <c r="Y659" i="2"/>
  <c r="X659" i="2"/>
  <c r="W659" i="2"/>
  <c r="S659" i="2"/>
  <c r="R659" i="2"/>
  <c r="AD665" i="2" s="1"/>
  <c r="AD121" i="1" s="1"/>
  <c r="P659" i="2"/>
  <c r="K659" i="2"/>
  <c r="G659" i="2"/>
  <c r="AK658" i="2"/>
  <c r="AH658" i="2"/>
  <c r="AC658" i="2"/>
  <c r="AA658" i="2"/>
  <c r="Z658" i="2"/>
  <c r="Y658" i="2"/>
  <c r="X658" i="2"/>
  <c r="W658" i="2"/>
  <c r="S658" i="2"/>
  <c r="R658" i="2"/>
  <c r="P658" i="2"/>
  <c r="Q658" i="2" s="1"/>
  <c r="Q125" i="1" s="1"/>
  <c r="K658" i="2"/>
  <c r="G658" i="2"/>
  <c r="AK655" i="2"/>
  <c r="AL661" i="2" s="1"/>
  <c r="AL122" i="1" s="1"/>
  <c r="AH655" i="2"/>
  <c r="AI661" i="2" s="1"/>
  <c r="AI122" i="1" s="1"/>
  <c r="AC655" i="2"/>
  <c r="AA655" i="2"/>
  <c r="AB661" i="2" s="1"/>
  <c r="AB122" i="1" s="1"/>
  <c r="Z655" i="2"/>
  <c r="Y655" i="2"/>
  <c r="X655" i="2"/>
  <c r="W655" i="2"/>
  <c r="S655" i="2"/>
  <c r="AM661" i="2" s="1"/>
  <c r="AM122" i="1" s="1"/>
  <c r="R655" i="2"/>
  <c r="AD661" i="2" s="1"/>
  <c r="AD122" i="1" s="1"/>
  <c r="P655" i="2"/>
  <c r="K655" i="2"/>
  <c r="G655" i="2"/>
  <c r="AK654" i="2"/>
  <c r="AL660" i="2" s="1"/>
  <c r="AL123" i="1" s="1"/>
  <c r="AH654" i="2"/>
  <c r="AI660" i="2" s="1"/>
  <c r="AI123" i="1" s="1"/>
  <c r="AC654" i="2"/>
  <c r="AA654" i="2"/>
  <c r="AB660" i="2" s="1"/>
  <c r="AB123" i="1" s="1"/>
  <c r="Z654" i="2"/>
  <c r="Y654" i="2"/>
  <c r="X654" i="2"/>
  <c r="W654" i="2"/>
  <c r="S654" i="2"/>
  <c r="AM660" i="2" s="1"/>
  <c r="AM123" i="1" s="1"/>
  <c r="R654" i="2"/>
  <c r="AD660" i="2" s="1"/>
  <c r="AD123" i="1" s="1"/>
  <c r="P654" i="2"/>
  <c r="K654" i="2"/>
  <c r="G654" i="2"/>
  <c r="AK653" i="2"/>
  <c r="AL659" i="2" s="1"/>
  <c r="AL124" i="1" s="1"/>
  <c r="AH653" i="2"/>
  <c r="AI659" i="2" s="1"/>
  <c r="AI124" i="1" s="1"/>
  <c r="AC653" i="2"/>
  <c r="AA653" i="2"/>
  <c r="AB659" i="2" s="1"/>
  <c r="AB124" i="1" s="1"/>
  <c r="Z653" i="2"/>
  <c r="Y653" i="2"/>
  <c r="X653" i="2"/>
  <c r="W653" i="2"/>
  <c r="S653" i="2"/>
  <c r="AM659" i="2" s="1"/>
  <c r="AM124" i="1" s="1"/>
  <c r="R653" i="2"/>
  <c r="AD659" i="2" s="1"/>
  <c r="AD124" i="1" s="1"/>
  <c r="P653" i="2"/>
  <c r="K653" i="2"/>
  <c r="G653" i="2"/>
  <c r="AK652" i="2"/>
  <c r="AL658" i="2" s="1"/>
  <c r="AL125" i="1" s="1"/>
  <c r="AH652" i="2"/>
  <c r="AI658" i="2" s="1"/>
  <c r="AI125" i="1" s="1"/>
  <c r="AC652" i="2"/>
  <c r="AA652" i="2"/>
  <c r="AB658" i="2" s="1"/>
  <c r="AB125" i="1" s="1"/>
  <c r="Z652" i="2"/>
  <c r="Y652" i="2"/>
  <c r="X652" i="2"/>
  <c r="W652" i="2"/>
  <c r="S652" i="2"/>
  <c r="AM658" i="2" s="1"/>
  <c r="AM125" i="1" s="1"/>
  <c r="R652" i="2"/>
  <c r="AD658" i="2" s="1"/>
  <c r="AD125" i="1" s="1"/>
  <c r="P652" i="2"/>
  <c r="K652" i="2"/>
  <c r="G652" i="2"/>
  <c r="AK651" i="2"/>
  <c r="AL655" i="2" s="1"/>
  <c r="AL126" i="1" s="1"/>
  <c r="AH651" i="2"/>
  <c r="AI655" i="2" s="1"/>
  <c r="AI126" i="1" s="1"/>
  <c r="AC651" i="2"/>
  <c r="AA651" i="2"/>
  <c r="AB655" i="2" s="1"/>
  <c r="AB126" i="1" s="1"/>
  <c r="Z651" i="2"/>
  <c r="Y651" i="2"/>
  <c r="X651" i="2"/>
  <c r="W651" i="2"/>
  <c r="S651" i="2"/>
  <c r="AM655" i="2" s="1"/>
  <c r="AM126" i="1" s="1"/>
  <c r="R651" i="2"/>
  <c r="AD655" i="2" s="1"/>
  <c r="AD126" i="1" s="1"/>
  <c r="P651" i="2"/>
  <c r="K651" i="2"/>
  <c r="G651" i="2"/>
  <c r="AK648" i="2"/>
  <c r="AL654" i="2" s="1"/>
  <c r="AL127" i="1" s="1"/>
  <c r="AH648" i="2"/>
  <c r="AI654" i="2" s="1"/>
  <c r="AI127" i="1" s="1"/>
  <c r="AC648" i="2"/>
  <c r="AA648" i="2"/>
  <c r="AB654" i="2" s="1"/>
  <c r="AB127" i="1" s="1"/>
  <c r="Z648" i="2"/>
  <c r="Y648" i="2"/>
  <c r="X648" i="2"/>
  <c r="W648" i="2"/>
  <c r="S648" i="2"/>
  <c r="AM654" i="2" s="1"/>
  <c r="AM127" i="1" s="1"/>
  <c r="R648" i="2"/>
  <c r="AD654" i="2" s="1"/>
  <c r="AD127" i="1" s="1"/>
  <c r="P648" i="2"/>
  <c r="K648" i="2"/>
  <c r="G648" i="2"/>
  <c r="AK647" i="2"/>
  <c r="AL653" i="2" s="1"/>
  <c r="AL128" i="1" s="1"/>
  <c r="AH647" i="2"/>
  <c r="AI653" i="2" s="1"/>
  <c r="AI128" i="1" s="1"/>
  <c r="AC647" i="2"/>
  <c r="AA647" i="2"/>
  <c r="AB653" i="2" s="1"/>
  <c r="AB128" i="1" s="1"/>
  <c r="Z647" i="2"/>
  <c r="Y647" i="2"/>
  <c r="X647" i="2"/>
  <c r="W647" i="2"/>
  <c r="S647" i="2"/>
  <c r="AM653" i="2" s="1"/>
  <c r="AM128" i="1" s="1"/>
  <c r="R647" i="2"/>
  <c r="AD653" i="2" s="1"/>
  <c r="AD128" i="1" s="1"/>
  <c r="P647" i="2"/>
  <c r="K647" i="2"/>
  <c r="G647" i="2"/>
  <c r="AK646" i="2"/>
  <c r="AL652" i="2" s="1"/>
  <c r="AL129" i="1" s="1"/>
  <c r="AH646" i="2"/>
  <c r="AI652" i="2" s="1"/>
  <c r="AI129" i="1" s="1"/>
  <c r="AC646" i="2"/>
  <c r="AA646" i="2"/>
  <c r="AB652" i="2" s="1"/>
  <c r="AB129" i="1" s="1"/>
  <c r="Z646" i="2"/>
  <c r="Y646" i="2"/>
  <c r="X646" i="2"/>
  <c r="W646" i="2"/>
  <c r="S646" i="2"/>
  <c r="AM652" i="2" s="1"/>
  <c r="AM129" i="1" s="1"/>
  <c r="R646" i="2"/>
  <c r="AD652" i="2" s="1"/>
  <c r="AD129" i="1" s="1"/>
  <c r="P646" i="2"/>
  <c r="K646" i="2"/>
  <c r="G646" i="2"/>
  <c r="AK645" i="2"/>
  <c r="AL651" i="2" s="1"/>
  <c r="AL130" i="1" s="1"/>
  <c r="AH645" i="2"/>
  <c r="AI651" i="2" s="1"/>
  <c r="AI130" i="1" s="1"/>
  <c r="AC645" i="2"/>
  <c r="AA645" i="2"/>
  <c r="AB651" i="2" s="1"/>
  <c r="AB130" i="1" s="1"/>
  <c r="Z645" i="2"/>
  <c r="Y645" i="2"/>
  <c r="X645" i="2"/>
  <c r="W645" i="2"/>
  <c r="S645" i="2"/>
  <c r="AM651" i="2" s="1"/>
  <c r="AM130" i="1" s="1"/>
  <c r="R645" i="2"/>
  <c r="AD651" i="2" s="1"/>
  <c r="AD130" i="1" s="1"/>
  <c r="P645" i="2"/>
  <c r="K645" i="2"/>
  <c r="G645" i="2"/>
  <c r="AK644" i="2"/>
  <c r="AL648" i="2" s="1"/>
  <c r="AL131" i="1" s="1"/>
  <c r="AH644" i="2"/>
  <c r="AI648" i="2" s="1"/>
  <c r="AI131" i="1" s="1"/>
  <c r="AC644" i="2"/>
  <c r="AA644" i="2"/>
  <c r="AB648" i="2" s="1"/>
  <c r="AB131" i="1" s="1"/>
  <c r="Z644" i="2"/>
  <c r="Y644" i="2"/>
  <c r="X644" i="2"/>
  <c r="W644" i="2"/>
  <c r="S644" i="2"/>
  <c r="AM648" i="2" s="1"/>
  <c r="AM131" i="1" s="1"/>
  <c r="R644" i="2"/>
  <c r="AD648" i="2" s="1"/>
  <c r="AD131" i="1" s="1"/>
  <c r="P644" i="2"/>
  <c r="K644" i="2"/>
  <c r="G644" i="2"/>
  <c r="AK641" i="2"/>
  <c r="AL647" i="2" s="1"/>
  <c r="AL132" i="1" s="1"/>
  <c r="AH641" i="2"/>
  <c r="AI647" i="2" s="1"/>
  <c r="AI132" i="1" s="1"/>
  <c r="AC641" i="2"/>
  <c r="AA641" i="2"/>
  <c r="AB647" i="2" s="1"/>
  <c r="AB132" i="1" s="1"/>
  <c r="Z641" i="2"/>
  <c r="Y641" i="2"/>
  <c r="X641" i="2"/>
  <c r="W641" i="2"/>
  <c r="S641" i="2"/>
  <c r="AM647" i="2" s="1"/>
  <c r="AM132" i="1" s="1"/>
  <c r="R641" i="2"/>
  <c r="AD647" i="2" s="1"/>
  <c r="AD132" i="1" s="1"/>
  <c r="P641" i="2"/>
  <c r="K641" i="2"/>
  <c r="G641" i="2"/>
  <c r="AK640" i="2"/>
  <c r="AL646" i="2" s="1"/>
  <c r="AL133" i="1" s="1"/>
  <c r="AH640" i="2"/>
  <c r="AI646" i="2" s="1"/>
  <c r="AI133" i="1" s="1"/>
  <c r="AC640" i="2"/>
  <c r="AA640" i="2"/>
  <c r="AB646" i="2" s="1"/>
  <c r="AB133" i="1" s="1"/>
  <c r="Z640" i="2"/>
  <c r="Y640" i="2"/>
  <c r="X640" i="2"/>
  <c r="W640" i="2"/>
  <c r="S640" i="2"/>
  <c r="AM646" i="2" s="1"/>
  <c r="AM133" i="1" s="1"/>
  <c r="R640" i="2"/>
  <c r="AD646" i="2" s="1"/>
  <c r="AD133" i="1" s="1"/>
  <c r="P640" i="2"/>
  <c r="K640" i="2"/>
  <c r="G640" i="2"/>
  <c r="AK639" i="2"/>
  <c r="AL645" i="2" s="1"/>
  <c r="AL134" i="1" s="1"/>
  <c r="AH639" i="2"/>
  <c r="AI645" i="2" s="1"/>
  <c r="AI134" i="1" s="1"/>
  <c r="AC639" i="2"/>
  <c r="AA639" i="2"/>
  <c r="AB645" i="2" s="1"/>
  <c r="AB134" i="1" s="1"/>
  <c r="Z639" i="2"/>
  <c r="Y639" i="2"/>
  <c r="X639" i="2"/>
  <c r="W639" i="2"/>
  <c r="S639" i="2"/>
  <c r="AM645" i="2" s="1"/>
  <c r="AM134" i="1" s="1"/>
  <c r="R639" i="2"/>
  <c r="AD645" i="2" s="1"/>
  <c r="AD134" i="1" s="1"/>
  <c r="P639" i="2"/>
  <c r="K639" i="2"/>
  <c r="G639" i="2"/>
  <c r="AK638" i="2"/>
  <c r="AL644" i="2" s="1"/>
  <c r="AL135" i="1" s="1"/>
  <c r="AH638" i="2"/>
  <c r="AI644" i="2" s="1"/>
  <c r="AI135" i="1" s="1"/>
  <c r="AC638" i="2"/>
  <c r="AA638" i="2"/>
  <c r="AB644" i="2" s="1"/>
  <c r="AB135" i="1" s="1"/>
  <c r="Z638" i="2"/>
  <c r="Y638" i="2"/>
  <c r="X638" i="2"/>
  <c r="W638" i="2"/>
  <c r="S638" i="2"/>
  <c r="AM644" i="2" s="1"/>
  <c r="AM135" i="1" s="1"/>
  <c r="R638" i="2"/>
  <c r="AD644" i="2" s="1"/>
  <c r="AD135" i="1" s="1"/>
  <c r="P638" i="2"/>
  <c r="K638" i="2"/>
  <c r="G638" i="2"/>
  <c r="AK637" i="2"/>
  <c r="AL641" i="2" s="1"/>
  <c r="AL136" i="1" s="1"/>
  <c r="AH637" i="2"/>
  <c r="AI641" i="2" s="1"/>
  <c r="AI136" i="1" s="1"/>
  <c r="AC637" i="2"/>
  <c r="AA637" i="2"/>
  <c r="AB641" i="2" s="1"/>
  <c r="AB136" i="1" s="1"/>
  <c r="Z637" i="2"/>
  <c r="Y637" i="2"/>
  <c r="X637" i="2"/>
  <c r="W637" i="2"/>
  <c r="S637" i="2"/>
  <c r="AM641" i="2" s="1"/>
  <c r="AM136" i="1" s="1"/>
  <c r="R637" i="2"/>
  <c r="AD641" i="2" s="1"/>
  <c r="AD136" i="1" s="1"/>
  <c r="P637" i="2"/>
  <c r="K637" i="2"/>
  <c r="G637" i="2"/>
  <c r="AK634" i="2"/>
  <c r="AL640" i="2" s="1"/>
  <c r="AL137" i="1" s="1"/>
  <c r="AH634" i="2"/>
  <c r="AI640" i="2" s="1"/>
  <c r="AI137" i="1" s="1"/>
  <c r="AC634" i="2"/>
  <c r="AA634" i="2"/>
  <c r="AB640" i="2" s="1"/>
  <c r="AB137" i="1" s="1"/>
  <c r="Z634" i="2"/>
  <c r="Y634" i="2"/>
  <c r="X634" i="2"/>
  <c r="W634" i="2"/>
  <c r="S634" i="2"/>
  <c r="AM640" i="2" s="1"/>
  <c r="AM137" i="1" s="1"/>
  <c r="R634" i="2"/>
  <c r="AD640" i="2" s="1"/>
  <c r="AD137" i="1" s="1"/>
  <c r="P634" i="2"/>
  <c r="K634" i="2"/>
  <c r="G634" i="2"/>
  <c r="AK633" i="2"/>
  <c r="AL639" i="2" s="1"/>
  <c r="AL138" i="1" s="1"/>
  <c r="AH633" i="2"/>
  <c r="AI639" i="2" s="1"/>
  <c r="AI138" i="1" s="1"/>
  <c r="AC633" i="2"/>
  <c r="AA633" i="2"/>
  <c r="AB639" i="2" s="1"/>
  <c r="AB138" i="1" s="1"/>
  <c r="Z633" i="2"/>
  <c r="Y633" i="2"/>
  <c r="X633" i="2"/>
  <c r="W633" i="2"/>
  <c r="S633" i="2"/>
  <c r="AM639" i="2" s="1"/>
  <c r="AM138" i="1" s="1"/>
  <c r="R633" i="2"/>
  <c r="AD639" i="2" s="1"/>
  <c r="AD138" i="1" s="1"/>
  <c r="P633" i="2"/>
  <c r="K633" i="2"/>
  <c r="G633" i="2"/>
  <c r="AK632" i="2"/>
  <c r="AL638" i="2" s="1"/>
  <c r="AL139" i="1" s="1"/>
  <c r="AH632" i="2"/>
  <c r="AI638" i="2" s="1"/>
  <c r="AI139" i="1" s="1"/>
  <c r="AC632" i="2"/>
  <c r="AA632" i="2"/>
  <c r="AB638" i="2" s="1"/>
  <c r="AB139" i="1" s="1"/>
  <c r="Z632" i="2"/>
  <c r="Y632" i="2"/>
  <c r="X632" i="2"/>
  <c r="W632" i="2"/>
  <c r="S632" i="2"/>
  <c r="AM638" i="2" s="1"/>
  <c r="AM139" i="1" s="1"/>
  <c r="R632" i="2"/>
  <c r="AD638" i="2" s="1"/>
  <c r="AD139" i="1" s="1"/>
  <c r="P632" i="2"/>
  <c r="K632" i="2"/>
  <c r="G632" i="2"/>
  <c r="AK631" i="2"/>
  <c r="AL637" i="2" s="1"/>
  <c r="AL140" i="1" s="1"/>
  <c r="AH631" i="2"/>
  <c r="AI637" i="2" s="1"/>
  <c r="AI140" i="1" s="1"/>
  <c r="AC631" i="2"/>
  <c r="AA631" i="2"/>
  <c r="AB637" i="2" s="1"/>
  <c r="AB140" i="1" s="1"/>
  <c r="Z631" i="2"/>
  <c r="Y631" i="2"/>
  <c r="X631" i="2"/>
  <c r="W631" i="2"/>
  <c r="S631" i="2"/>
  <c r="AM637" i="2" s="1"/>
  <c r="AM140" i="1" s="1"/>
  <c r="R631" i="2"/>
  <c r="AD637" i="2" s="1"/>
  <c r="AD140" i="1" s="1"/>
  <c r="P631" i="2"/>
  <c r="K631" i="2"/>
  <c r="G631" i="2"/>
  <c r="AK630" i="2"/>
  <c r="AL634" i="2" s="1"/>
  <c r="AL141" i="1" s="1"/>
  <c r="AH630" i="2"/>
  <c r="AI634" i="2" s="1"/>
  <c r="AI141" i="1" s="1"/>
  <c r="AC630" i="2"/>
  <c r="AA630" i="2"/>
  <c r="AB634" i="2" s="1"/>
  <c r="AB141" i="1" s="1"/>
  <c r="Z630" i="2"/>
  <c r="Y630" i="2"/>
  <c r="X630" i="2"/>
  <c r="W630" i="2"/>
  <c r="S630" i="2"/>
  <c r="AM634" i="2" s="1"/>
  <c r="AM141" i="1" s="1"/>
  <c r="R630" i="2"/>
  <c r="AD634" i="2" s="1"/>
  <c r="AD141" i="1" s="1"/>
  <c r="P630" i="2"/>
  <c r="K630" i="2"/>
  <c r="G630" i="2"/>
  <c r="AK627" i="2"/>
  <c r="AL633" i="2" s="1"/>
  <c r="AL142" i="1" s="1"/>
  <c r="AH627" i="2"/>
  <c r="AI633" i="2" s="1"/>
  <c r="AI142" i="1" s="1"/>
  <c r="AC627" i="2"/>
  <c r="AA627" i="2"/>
  <c r="AB633" i="2" s="1"/>
  <c r="AB142" i="1" s="1"/>
  <c r="Z627" i="2"/>
  <c r="Y627" i="2"/>
  <c r="X627" i="2"/>
  <c r="W627" i="2"/>
  <c r="S627" i="2"/>
  <c r="AM633" i="2" s="1"/>
  <c r="AM142" i="1" s="1"/>
  <c r="R627" i="2"/>
  <c r="AD633" i="2" s="1"/>
  <c r="AD142" i="1" s="1"/>
  <c r="P627" i="2"/>
  <c r="K627" i="2"/>
  <c r="G627" i="2"/>
  <c r="AK626" i="2"/>
  <c r="AL632" i="2" s="1"/>
  <c r="AL143" i="1" s="1"/>
  <c r="AH626" i="2"/>
  <c r="AI632" i="2" s="1"/>
  <c r="AI143" i="1" s="1"/>
  <c r="AC626" i="2"/>
  <c r="AA626" i="2"/>
  <c r="AB632" i="2" s="1"/>
  <c r="AB143" i="1" s="1"/>
  <c r="Z626" i="2"/>
  <c r="Y626" i="2"/>
  <c r="X626" i="2"/>
  <c r="W626" i="2"/>
  <c r="S626" i="2"/>
  <c r="AM632" i="2" s="1"/>
  <c r="AM143" i="1" s="1"/>
  <c r="R626" i="2"/>
  <c r="AD632" i="2" s="1"/>
  <c r="AD143" i="1" s="1"/>
  <c r="P626" i="2"/>
  <c r="K626" i="2"/>
  <c r="G626" i="2"/>
  <c r="AK625" i="2"/>
  <c r="AL631" i="2" s="1"/>
  <c r="AL144" i="1" s="1"/>
  <c r="AH625" i="2"/>
  <c r="AI631" i="2" s="1"/>
  <c r="AI144" i="1" s="1"/>
  <c r="AC625" i="2"/>
  <c r="AA625" i="2"/>
  <c r="AB631" i="2" s="1"/>
  <c r="AB144" i="1" s="1"/>
  <c r="Z625" i="2"/>
  <c r="Y625" i="2"/>
  <c r="X625" i="2"/>
  <c r="W625" i="2"/>
  <c r="S625" i="2"/>
  <c r="AM631" i="2" s="1"/>
  <c r="AM144" i="1" s="1"/>
  <c r="R625" i="2"/>
  <c r="AD631" i="2" s="1"/>
  <c r="AD144" i="1" s="1"/>
  <c r="P625" i="2"/>
  <c r="K625" i="2"/>
  <c r="G625" i="2"/>
  <c r="AK624" i="2"/>
  <c r="AL630" i="2" s="1"/>
  <c r="AL145" i="1" s="1"/>
  <c r="AH624" i="2"/>
  <c r="AI630" i="2" s="1"/>
  <c r="AI145" i="1" s="1"/>
  <c r="AC624" i="2"/>
  <c r="AA624" i="2"/>
  <c r="AB630" i="2" s="1"/>
  <c r="AB145" i="1" s="1"/>
  <c r="Z624" i="2"/>
  <c r="Y624" i="2"/>
  <c r="X624" i="2"/>
  <c r="W624" i="2"/>
  <c r="S624" i="2"/>
  <c r="AM630" i="2" s="1"/>
  <c r="AM145" i="1" s="1"/>
  <c r="R624" i="2"/>
  <c r="AD630" i="2" s="1"/>
  <c r="AD145" i="1" s="1"/>
  <c r="P624" i="2"/>
  <c r="K624" i="2"/>
  <c r="G624" i="2"/>
  <c r="AK623" i="2"/>
  <c r="AL627" i="2" s="1"/>
  <c r="AL146" i="1" s="1"/>
  <c r="AH623" i="2"/>
  <c r="AI627" i="2" s="1"/>
  <c r="AI146" i="1" s="1"/>
  <c r="AC623" i="2"/>
  <c r="AA623" i="2"/>
  <c r="AB627" i="2" s="1"/>
  <c r="AB146" i="1" s="1"/>
  <c r="Z623" i="2"/>
  <c r="Y623" i="2"/>
  <c r="X623" i="2"/>
  <c r="W623" i="2"/>
  <c r="S623" i="2"/>
  <c r="AM627" i="2" s="1"/>
  <c r="AM146" i="1" s="1"/>
  <c r="R623" i="2"/>
  <c r="AD627" i="2" s="1"/>
  <c r="AD146" i="1" s="1"/>
  <c r="P623" i="2"/>
  <c r="K623" i="2"/>
  <c r="G623" i="2"/>
  <c r="AK620" i="2"/>
  <c r="AL626" i="2" s="1"/>
  <c r="AL147" i="1" s="1"/>
  <c r="AH620" i="2"/>
  <c r="AI626" i="2" s="1"/>
  <c r="AI147" i="1" s="1"/>
  <c r="AC620" i="2"/>
  <c r="AA620" i="2"/>
  <c r="AB626" i="2" s="1"/>
  <c r="AB147" i="1" s="1"/>
  <c r="Z620" i="2"/>
  <c r="Y620" i="2"/>
  <c r="X620" i="2"/>
  <c r="W620" i="2"/>
  <c r="S620" i="2"/>
  <c r="AM626" i="2" s="1"/>
  <c r="AM147" i="1" s="1"/>
  <c r="R620" i="2"/>
  <c r="AD626" i="2" s="1"/>
  <c r="AD147" i="1" s="1"/>
  <c r="P620" i="2"/>
  <c r="K620" i="2"/>
  <c r="G620" i="2"/>
  <c r="AK619" i="2"/>
  <c r="AL625" i="2" s="1"/>
  <c r="AL148" i="1" s="1"/>
  <c r="AH619" i="2"/>
  <c r="AI625" i="2" s="1"/>
  <c r="AI148" i="1" s="1"/>
  <c r="AC619" i="2"/>
  <c r="AA619" i="2"/>
  <c r="AB625" i="2" s="1"/>
  <c r="AB148" i="1" s="1"/>
  <c r="Z619" i="2"/>
  <c r="Y619" i="2"/>
  <c r="X619" i="2"/>
  <c r="W619" i="2"/>
  <c r="S619" i="2"/>
  <c r="AM625" i="2" s="1"/>
  <c r="AM148" i="1" s="1"/>
  <c r="R619" i="2"/>
  <c r="AD625" i="2" s="1"/>
  <c r="AD148" i="1" s="1"/>
  <c r="P619" i="2"/>
  <c r="K619" i="2"/>
  <c r="G619" i="2"/>
  <c r="AK618" i="2"/>
  <c r="AL624" i="2" s="1"/>
  <c r="AL149" i="1" s="1"/>
  <c r="AH618" i="2"/>
  <c r="AI624" i="2" s="1"/>
  <c r="AI149" i="1" s="1"/>
  <c r="AC618" i="2"/>
  <c r="AA618" i="2"/>
  <c r="AB624" i="2" s="1"/>
  <c r="AB149" i="1" s="1"/>
  <c r="Z618" i="2"/>
  <c r="Y618" i="2"/>
  <c r="X618" i="2"/>
  <c r="W618" i="2"/>
  <c r="S618" i="2"/>
  <c r="AM624" i="2" s="1"/>
  <c r="AM149" i="1" s="1"/>
  <c r="R618" i="2"/>
  <c r="AD624" i="2" s="1"/>
  <c r="AD149" i="1" s="1"/>
  <c r="P618" i="2"/>
  <c r="K618" i="2"/>
  <c r="G618" i="2"/>
  <c r="AK617" i="2"/>
  <c r="AL623" i="2" s="1"/>
  <c r="AL150" i="1" s="1"/>
  <c r="AH617" i="2"/>
  <c r="AI623" i="2" s="1"/>
  <c r="AI150" i="1" s="1"/>
  <c r="AC617" i="2"/>
  <c r="AA617" i="2"/>
  <c r="AB623" i="2" s="1"/>
  <c r="AB150" i="1" s="1"/>
  <c r="Z617" i="2"/>
  <c r="Y617" i="2"/>
  <c r="X617" i="2"/>
  <c r="W617" i="2"/>
  <c r="S617" i="2"/>
  <c r="AM623" i="2" s="1"/>
  <c r="AM150" i="1" s="1"/>
  <c r="R617" i="2"/>
  <c r="AD623" i="2" s="1"/>
  <c r="AD150" i="1" s="1"/>
  <c r="P617" i="2"/>
  <c r="K617" i="2"/>
  <c r="G617" i="2"/>
  <c r="AK616" i="2"/>
  <c r="AL620" i="2" s="1"/>
  <c r="AL151" i="1" s="1"/>
  <c r="AH616" i="2"/>
  <c r="AI620" i="2" s="1"/>
  <c r="AI151" i="1" s="1"/>
  <c r="AC616" i="2"/>
  <c r="AA616" i="2"/>
  <c r="AB620" i="2" s="1"/>
  <c r="AB151" i="1" s="1"/>
  <c r="Z616" i="2"/>
  <c r="Y616" i="2"/>
  <c r="X616" i="2"/>
  <c r="W616" i="2"/>
  <c r="S616" i="2"/>
  <c r="AM620" i="2" s="1"/>
  <c r="AM151" i="1" s="1"/>
  <c r="R616" i="2"/>
  <c r="AD620" i="2" s="1"/>
  <c r="AD151" i="1" s="1"/>
  <c r="P616" i="2"/>
  <c r="K616" i="2"/>
  <c r="G616" i="2"/>
  <c r="AK613" i="2"/>
  <c r="AL619" i="2" s="1"/>
  <c r="AL152" i="1" s="1"/>
  <c r="AH613" i="2"/>
  <c r="AI619" i="2" s="1"/>
  <c r="AI152" i="1" s="1"/>
  <c r="AC613" i="2"/>
  <c r="AA613" i="2"/>
  <c r="AB619" i="2" s="1"/>
  <c r="AB152" i="1" s="1"/>
  <c r="Z613" i="2"/>
  <c r="Y613" i="2"/>
  <c r="X613" i="2"/>
  <c r="W613" i="2"/>
  <c r="S613" i="2"/>
  <c r="AM619" i="2" s="1"/>
  <c r="AM152" i="1" s="1"/>
  <c r="R613" i="2"/>
  <c r="AD619" i="2" s="1"/>
  <c r="AD152" i="1" s="1"/>
  <c r="P613" i="2"/>
  <c r="K613" i="2"/>
  <c r="G613" i="2"/>
  <c r="AK612" i="2"/>
  <c r="AL618" i="2" s="1"/>
  <c r="AL153" i="1" s="1"/>
  <c r="AH612" i="2"/>
  <c r="AI618" i="2" s="1"/>
  <c r="AI153" i="1" s="1"/>
  <c r="AC612" i="2"/>
  <c r="AA612" i="2"/>
  <c r="AB618" i="2" s="1"/>
  <c r="AB153" i="1" s="1"/>
  <c r="Z612" i="2"/>
  <c r="Y612" i="2"/>
  <c r="X612" i="2"/>
  <c r="W612" i="2"/>
  <c r="S612" i="2"/>
  <c r="AM618" i="2" s="1"/>
  <c r="AM153" i="1" s="1"/>
  <c r="R612" i="2"/>
  <c r="AD618" i="2" s="1"/>
  <c r="AD153" i="1" s="1"/>
  <c r="P612" i="2"/>
  <c r="K612" i="2"/>
  <c r="G612" i="2"/>
  <c r="AK611" i="2"/>
  <c r="AL617" i="2" s="1"/>
  <c r="AL154" i="1" s="1"/>
  <c r="AH611" i="2"/>
  <c r="AI617" i="2" s="1"/>
  <c r="AI154" i="1" s="1"/>
  <c r="AC611" i="2"/>
  <c r="AA611" i="2"/>
  <c r="AB617" i="2" s="1"/>
  <c r="AB154" i="1" s="1"/>
  <c r="Z611" i="2"/>
  <c r="Y611" i="2"/>
  <c r="X611" i="2"/>
  <c r="W611" i="2"/>
  <c r="S611" i="2"/>
  <c r="AM617" i="2" s="1"/>
  <c r="AM154" i="1" s="1"/>
  <c r="R611" i="2"/>
  <c r="AD617" i="2" s="1"/>
  <c r="AD154" i="1" s="1"/>
  <c r="P611" i="2"/>
  <c r="K611" i="2"/>
  <c r="G611" i="2"/>
  <c r="AK610" i="2"/>
  <c r="AL616" i="2" s="1"/>
  <c r="AL155" i="1" s="1"/>
  <c r="AH610" i="2"/>
  <c r="AI616" i="2" s="1"/>
  <c r="AI155" i="1" s="1"/>
  <c r="AC610" i="2"/>
  <c r="AA610" i="2"/>
  <c r="AB616" i="2" s="1"/>
  <c r="AB155" i="1" s="1"/>
  <c r="Z610" i="2"/>
  <c r="Y610" i="2"/>
  <c r="X610" i="2"/>
  <c r="W610" i="2"/>
  <c r="S610" i="2"/>
  <c r="AM616" i="2" s="1"/>
  <c r="AM155" i="1" s="1"/>
  <c r="R610" i="2"/>
  <c r="AD616" i="2" s="1"/>
  <c r="AD155" i="1" s="1"/>
  <c r="P610" i="2"/>
  <c r="K610" i="2"/>
  <c r="G610" i="2"/>
  <c r="AK609" i="2"/>
  <c r="AL613" i="2" s="1"/>
  <c r="AL156" i="1" s="1"/>
  <c r="AH609" i="2"/>
  <c r="AI613" i="2" s="1"/>
  <c r="AI156" i="1" s="1"/>
  <c r="AC609" i="2"/>
  <c r="AA609" i="2"/>
  <c r="AB613" i="2" s="1"/>
  <c r="AB156" i="1" s="1"/>
  <c r="Z609" i="2"/>
  <c r="Y609" i="2"/>
  <c r="X609" i="2"/>
  <c r="W609" i="2"/>
  <c r="S609" i="2"/>
  <c r="AM613" i="2" s="1"/>
  <c r="AM156" i="1" s="1"/>
  <c r="R609" i="2"/>
  <c r="AD613" i="2" s="1"/>
  <c r="AD156" i="1" s="1"/>
  <c r="P609" i="2"/>
  <c r="K609" i="2"/>
  <c r="G609" i="2"/>
  <c r="AK606" i="2"/>
  <c r="AL612" i="2" s="1"/>
  <c r="AL157" i="1" s="1"/>
  <c r="AH606" i="2"/>
  <c r="AI612" i="2" s="1"/>
  <c r="AI157" i="1" s="1"/>
  <c r="AC606" i="2"/>
  <c r="AA606" i="2"/>
  <c r="AB612" i="2" s="1"/>
  <c r="AB157" i="1" s="1"/>
  <c r="Z606" i="2"/>
  <c r="Y606" i="2"/>
  <c r="X606" i="2"/>
  <c r="W606" i="2"/>
  <c r="S606" i="2"/>
  <c r="AM612" i="2" s="1"/>
  <c r="AM157" i="1" s="1"/>
  <c r="R606" i="2"/>
  <c r="AD612" i="2" s="1"/>
  <c r="AD157" i="1" s="1"/>
  <c r="P606" i="2"/>
  <c r="K606" i="2"/>
  <c r="G606" i="2"/>
  <c r="AK605" i="2"/>
  <c r="AL611" i="2" s="1"/>
  <c r="AL158" i="1" s="1"/>
  <c r="AH605" i="2"/>
  <c r="AI611" i="2" s="1"/>
  <c r="AI158" i="1" s="1"/>
  <c r="AC605" i="2"/>
  <c r="AA605" i="2"/>
  <c r="AB611" i="2" s="1"/>
  <c r="AB158" i="1" s="1"/>
  <c r="Z605" i="2"/>
  <c r="Y605" i="2"/>
  <c r="X605" i="2"/>
  <c r="W605" i="2"/>
  <c r="S605" i="2"/>
  <c r="AM611" i="2" s="1"/>
  <c r="AM158" i="1" s="1"/>
  <c r="R605" i="2"/>
  <c r="AD611" i="2" s="1"/>
  <c r="AD158" i="1" s="1"/>
  <c r="P605" i="2"/>
  <c r="K605" i="2"/>
  <c r="G605" i="2"/>
  <c r="AK604" i="2"/>
  <c r="AL610" i="2" s="1"/>
  <c r="AL159" i="1" s="1"/>
  <c r="AH604" i="2"/>
  <c r="AI610" i="2" s="1"/>
  <c r="AI159" i="1" s="1"/>
  <c r="AC604" i="2"/>
  <c r="AA604" i="2"/>
  <c r="AB610" i="2" s="1"/>
  <c r="AB159" i="1" s="1"/>
  <c r="Z604" i="2"/>
  <c r="Y604" i="2"/>
  <c r="X604" i="2"/>
  <c r="W604" i="2"/>
  <c r="S604" i="2"/>
  <c r="AM610" i="2" s="1"/>
  <c r="AM159" i="1" s="1"/>
  <c r="R604" i="2"/>
  <c r="AD610" i="2" s="1"/>
  <c r="AD159" i="1" s="1"/>
  <c r="P604" i="2"/>
  <c r="K604" i="2"/>
  <c r="G604" i="2"/>
  <c r="AK603" i="2"/>
  <c r="AL609" i="2" s="1"/>
  <c r="AL160" i="1" s="1"/>
  <c r="AH603" i="2"/>
  <c r="AI609" i="2" s="1"/>
  <c r="AI160" i="1" s="1"/>
  <c r="AC603" i="2"/>
  <c r="AA603" i="2"/>
  <c r="AB609" i="2" s="1"/>
  <c r="AB160" i="1" s="1"/>
  <c r="Z603" i="2"/>
  <c r="Y603" i="2"/>
  <c r="X603" i="2"/>
  <c r="W603" i="2"/>
  <c r="S603" i="2"/>
  <c r="AM609" i="2" s="1"/>
  <c r="AM160" i="1" s="1"/>
  <c r="R603" i="2"/>
  <c r="AD609" i="2" s="1"/>
  <c r="AD160" i="1" s="1"/>
  <c r="P603" i="2"/>
  <c r="K603" i="2"/>
  <c r="G603" i="2"/>
  <c r="AK602" i="2"/>
  <c r="AL606" i="2" s="1"/>
  <c r="AL161" i="1" s="1"/>
  <c r="AH602" i="2"/>
  <c r="AI606" i="2" s="1"/>
  <c r="AI161" i="1" s="1"/>
  <c r="AC602" i="2"/>
  <c r="AA602" i="2"/>
  <c r="AB606" i="2" s="1"/>
  <c r="AB161" i="1" s="1"/>
  <c r="Z602" i="2"/>
  <c r="Y602" i="2"/>
  <c r="X602" i="2"/>
  <c r="W602" i="2"/>
  <c r="S602" i="2"/>
  <c r="AM606" i="2" s="1"/>
  <c r="AM161" i="1" s="1"/>
  <c r="R602" i="2"/>
  <c r="AD606" i="2" s="1"/>
  <c r="AD161" i="1" s="1"/>
  <c r="P602" i="2"/>
  <c r="K602" i="2"/>
  <c r="G602" i="2"/>
  <c r="AK599" i="2"/>
  <c r="AL605" i="2" s="1"/>
  <c r="AL162" i="1" s="1"/>
  <c r="AH599" i="2"/>
  <c r="AI605" i="2" s="1"/>
  <c r="AI162" i="1" s="1"/>
  <c r="AC599" i="2"/>
  <c r="AA599" i="2"/>
  <c r="AB605" i="2" s="1"/>
  <c r="AB162" i="1" s="1"/>
  <c r="Z599" i="2"/>
  <c r="Y599" i="2"/>
  <c r="X599" i="2"/>
  <c r="W599" i="2"/>
  <c r="S599" i="2"/>
  <c r="AM605" i="2" s="1"/>
  <c r="AM162" i="1" s="1"/>
  <c r="R599" i="2"/>
  <c r="AD605" i="2" s="1"/>
  <c r="AD162" i="1" s="1"/>
  <c r="P599" i="2"/>
  <c r="K599" i="2"/>
  <c r="G599" i="2"/>
  <c r="AK598" i="2"/>
  <c r="AL604" i="2" s="1"/>
  <c r="AL163" i="1" s="1"/>
  <c r="AH598" i="2"/>
  <c r="AI604" i="2" s="1"/>
  <c r="AI163" i="1" s="1"/>
  <c r="AC598" i="2"/>
  <c r="AA598" i="2"/>
  <c r="AB604" i="2" s="1"/>
  <c r="AB163" i="1" s="1"/>
  <c r="Z598" i="2"/>
  <c r="Y598" i="2"/>
  <c r="X598" i="2"/>
  <c r="W598" i="2"/>
  <c r="S598" i="2"/>
  <c r="AM604" i="2" s="1"/>
  <c r="AM163" i="1" s="1"/>
  <c r="R598" i="2"/>
  <c r="AD604" i="2" s="1"/>
  <c r="AD163" i="1" s="1"/>
  <c r="P598" i="2"/>
  <c r="K598" i="2"/>
  <c r="G598" i="2"/>
  <c r="AK597" i="2"/>
  <c r="AL603" i="2" s="1"/>
  <c r="AL164" i="1" s="1"/>
  <c r="AH597" i="2"/>
  <c r="AI603" i="2" s="1"/>
  <c r="AI164" i="1" s="1"/>
  <c r="AC597" i="2"/>
  <c r="AA597" i="2"/>
  <c r="AB603" i="2" s="1"/>
  <c r="AB164" i="1" s="1"/>
  <c r="Z597" i="2"/>
  <c r="Y597" i="2"/>
  <c r="X597" i="2"/>
  <c r="W597" i="2"/>
  <c r="S597" i="2"/>
  <c r="AM603" i="2" s="1"/>
  <c r="AM164" i="1" s="1"/>
  <c r="R597" i="2"/>
  <c r="AD603" i="2" s="1"/>
  <c r="AD164" i="1" s="1"/>
  <c r="P597" i="2"/>
  <c r="K597" i="2"/>
  <c r="G597" i="2"/>
  <c r="AK596" i="2"/>
  <c r="AL602" i="2" s="1"/>
  <c r="AL165" i="1" s="1"/>
  <c r="AH596" i="2"/>
  <c r="AI602" i="2" s="1"/>
  <c r="AI165" i="1" s="1"/>
  <c r="AC596" i="2"/>
  <c r="AA596" i="2"/>
  <c r="AB602" i="2" s="1"/>
  <c r="AB165" i="1" s="1"/>
  <c r="Z596" i="2"/>
  <c r="Y596" i="2"/>
  <c r="X596" i="2"/>
  <c r="W596" i="2"/>
  <c r="S596" i="2"/>
  <c r="AM602" i="2" s="1"/>
  <c r="AM165" i="1" s="1"/>
  <c r="R596" i="2"/>
  <c r="AD602" i="2" s="1"/>
  <c r="AD165" i="1" s="1"/>
  <c r="P596" i="2"/>
  <c r="K596" i="2"/>
  <c r="G596" i="2"/>
  <c r="AK595" i="2"/>
  <c r="AL599" i="2" s="1"/>
  <c r="AL166" i="1" s="1"/>
  <c r="AH595" i="2"/>
  <c r="AI599" i="2" s="1"/>
  <c r="AI166" i="1" s="1"/>
  <c r="AC595" i="2"/>
  <c r="AA595" i="2"/>
  <c r="AB599" i="2" s="1"/>
  <c r="AB166" i="1" s="1"/>
  <c r="Z595" i="2"/>
  <c r="Y595" i="2"/>
  <c r="X595" i="2"/>
  <c r="W595" i="2"/>
  <c r="S595" i="2"/>
  <c r="AM599" i="2" s="1"/>
  <c r="AM166" i="1" s="1"/>
  <c r="R595" i="2"/>
  <c r="AD599" i="2" s="1"/>
  <c r="AD166" i="1" s="1"/>
  <c r="P595" i="2"/>
  <c r="K595" i="2"/>
  <c r="G595" i="2"/>
  <c r="AK592" i="2"/>
  <c r="AL598" i="2" s="1"/>
  <c r="AL167" i="1" s="1"/>
  <c r="AH592" i="2"/>
  <c r="AI598" i="2" s="1"/>
  <c r="AI167" i="1" s="1"/>
  <c r="AC592" i="2"/>
  <c r="AA592" i="2"/>
  <c r="AB598" i="2" s="1"/>
  <c r="AB167" i="1" s="1"/>
  <c r="Z592" i="2"/>
  <c r="Y592" i="2"/>
  <c r="X592" i="2"/>
  <c r="W592" i="2"/>
  <c r="S592" i="2"/>
  <c r="AM598" i="2" s="1"/>
  <c r="AM167" i="1" s="1"/>
  <c r="R592" i="2"/>
  <c r="AD598" i="2" s="1"/>
  <c r="AD167" i="1" s="1"/>
  <c r="P592" i="2"/>
  <c r="K592" i="2"/>
  <c r="G592" i="2"/>
  <c r="AK591" i="2"/>
  <c r="AL597" i="2" s="1"/>
  <c r="AL168" i="1" s="1"/>
  <c r="AH591" i="2"/>
  <c r="AI597" i="2" s="1"/>
  <c r="AI168" i="1" s="1"/>
  <c r="AC591" i="2"/>
  <c r="AA591" i="2"/>
  <c r="AB597" i="2" s="1"/>
  <c r="AB168" i="1" s="1"/>
  <c r="Z591" i="2"/>
  <c r="Y591" i="2"/>
  <c r="X591" i="2"/>
  <c r="W591" i="2"/>
  <c r="S591" i="2"/>
  <c r="AM597" i="2" s="1"/>
  <c r="AM168" i="1" s="1"/>
  <c r="R591" i="2"/>
  <c r="AD597" i="2" s="1"/>
  <c r="AD168" i="1" s="1"/>
  <c r="P591" i="2"/>
  <c r="K591" i="2"/>
  <c r="G591" i="2"/>
  <c r="AK590" i="2"/>
  <c r="AL596" i="2" s="1"/>
  <c r="AL169" i="1" s="1"/>
  <c r="AH590" i="2"/>
  <c r="AI596" i="2" s="1"/>
  <c r="AI169" i="1" s="1"/>
  <c r="AC590" i="2"/>
  <c r="AA590" i="2"/>
  <c r="AB596" i="2" s="1"/>
  <c r="AB169" i="1" s="1"/>
  <c r="Z590" i="2"/>
  <c r="Y590" i="2"/>
  <c r="X590" i="2"/>
  <c r="W590" i="2"/>
  <c r="S590" i="2"/>
  <c r="AM596" i="2" s="1"/>
  <c r="AM169" i="1" s="1"/>
  <c r="R590" i="2"/>
  <c r="AD596" i="2" s="1"/>
  <c r="AD169" i="1" s="1"/>
  <c r="P590" i="2"/>
  <c r="K590" i="2"/>
  <c r="G590" i="2"/>
  <c r="AK589" i="2"/>
  <c r="AL595" i="2" s="1"/>
  <c r="AL170" i="1" s="1"/>
  <c r="AH589" i="2"/>
  <c r="AI595" i="2" s="1"/>
  <c r="AI170" i="1" s="1"/>
  <c r="AC589" i="2"/>
  <c r="AA589" i="2"/>
  <c r="AB595" i="2" s="1"/>
  <c r="AB170" i="1" s="1"/>
  <c r="Z589" i="2"/>
  <c r="Y589" i="2"/>
  <c r="X589" i="2"/>
  <c r="W589" i="2"/>
  <c r="S589" i="2"/>
  <c r="AM595" i="2" s="1"/>
  <c r="AM170" i="1" s="1"/>
  <c r="R589" i="2"/>
  <c r="AD595" i="2" s="1"/>
  <c r="AD170" i="1" s="1"/>
  <c r="P589" i="2"/>
  <c r="K589" i="2"/>
  <c r="G589" i="2"/>
  <c r="AK588" i="2"/>
  <c r="AL592" i="2" s="1"/>
  <c r="AL171" i="1" s="1"/>
  <c r="AH588" i="2"/>
  <c r="AI592" i="2" s="1"/>
  <c r="AI171" i="1" s="1"/>
  <c r="AC588" i="2"/>
  <c r="AA588" i="2"/>
  <c r="AB592" i="2" s="1"/>
  <c r="AB171" i="1" s="1"/>
  <c r="Z588" i="2"/>
  <c r="Y588" i="2"/>
  <c r="X588" i="2"/>
  <c r="W588" i="2"/>
  <c r="S588" i="2"/>
  <c r="AM592" i="2" s="1"/>
  <c r="AM171" i="1" s="1"/>
  <c r="R588" i="2"/>
  <c r="AD592" i="2" s="1"/>
  <c r="AD171" i="1" s="1"/>
  <c r="P588" i="2"/>
  <c r="K588" i="2"/>
  <c r="G588" i="2"/>
  <c r="AK585" i="2"/>
  <c r="AL591" i="2" s="1"/>
  <c r="AL172" i="1" s="1"/>
  <c r="AH585" i="2"/>
  <c r="AI591" i="2" s="1"/>
  <c r="AI172" i="1" s="1"/>
  <c r="AC585" i="2"/>
  <c r="AA585" i="2"/>
  <c r="AB591" i="2" s="1"/>
  <c r="AB172" i="1" s="1"/>
  <c r="Z585" i="2"/>
  <c r="Y585" i="2"/>
  <c r="X585" i="2"/>
  <c r="W585" i="2"/>
  <c r="S585" i="2"/>
  <c r="AM591" i="2" s="1"/>
  <c r="AM172" i="1" s="1"/>
  <c r="R585" i="2"/>
  <c r="AD591" i="2" s="1"/>
  <c r="AD172" i="1" s="1"/>
  <c r="P585" i="2"/>
  <c r="K585" i="2"/>
  <c r="G585" i="2"/>
  <c r="AK584" i="2"/>
  <c r="AL590" i="2" s="1"/>
  <c r="AL173" i="1" s="1"/>
  <c r="AH584" i="2"/>
  <c r="AI590" i="2" s="1"/>
  <c r="AI173" i="1" s="1"/>
  <c r="AC584" i="2"/>
  <c r="AA584" i="2"/>
  <c r="AB590" i="2" s="1"/>
  <c r="AB173" i="1" s="1"/>
  <c r="Z584" i="2"/>
  <c r="Y584" i="2"/>
  <c r="X584" i="2"/>
  <c r="W584" i="2"/>
  <c r="S584" i="2"/>
  <c r="AM590" i="2" s="1"/>
  <c r="AM173" i="1" s="1"/>
  <c r="R584" i="2"/>
  <c r="AD590" i="2" s="1"/>
  <c r="AD173" i="1" s="1"/>
  <c r="P584" i="2"/>
  <c r="K584" i="2"/>
  <c r="G584" i="2"/>
  <c r="AK583" i="2"/>
  <c r="AL589" i="2" s="1"/>
  <c r="AL174" i="1" s="1"/>
  <c r="AH583" i="2"/>
  <c r="AI589" i="2" s="1"/>
  <c r="AI174" i="1" s="1"/>
  <c r="AC583" i="2"/>
  <c r="AA583" i="2"/>
  <c r="AB589" i="2" s="1"/>
  <c r="AB174" i="1" s="1"/>
  <c r="Z583" i="2"/>
  <c r="Y583" i="2"/>
  <c r="X583" i="2"/>
  <c r="W583" i="2"/>
  <c r="S583" i="2"/>
  <c r="AM589" i="2" s="1"/>
  <c r="AM174" i="1" s="1"/>
  <c r="R583" i="2"/>
  <c r="AD589" i="2" s="1"/>
  <c r="AD174" i="1" s="1"/>
  <c r="P583" i="2"/>
  <c r="K583" i="2"/>
  <c r="G583" i="2"/>
  <c r="AK582" i="2"/>
  <c r="AL588" i="2" s="1"/>
  <c r="AL175" i="1" s="1"/>
  <c r="AH582" i="2"/>
  <c r="AI588" i="2" s="1"/>
  <c r="AI175" i="1" s="1"/>
  <c r="AC582" i="2"/>
  <c r="AA582" i="2"/>
  <c r="AB588" i="2" s="1"/>
  <c r="AB175" i="1" s="1"/>
  <c r="Z582" i="2"/>
  <c r="Y582" i="2"/>
  <c r="X582" i="2"/>
  <c r="W582" i="2"/>
  <c r="S582" i="2"/>
  <c r="AM588" i="2" s="1"/>
  <c r="AM175" i="1" s="1"/>
  <c r="R582" i="2"/>
  <c r="AD588" i="2" s="1"/>
  <c r="AD175" i="1" s="1"/>
  <c r="P582" i="2"/>
  <c r="K582" i="2"/>
  <c r="G582" i="2"/>
  <c r="AK581" i="2"/>
  <c r="AL585" i="2" s="1"/>
  <c r="AL176" i="1" s="1"/>
  <c r="AH581" i="2"/>
  <c r="AI585" i="2" s="1"/>
  <c r="AI176" i="1" s="1"/>
  <c r="AC581" i="2"/>
  <c r="AA581" i="2"/>
  <c r="AB585" i="2" s="1"/>
  <c r="AB176" i="1" s="1"/>
  <c r="Z581" i="2"/>
  <c r="Y581" i="2"/>
  <c r="X581" i="2"/>
  <c r="W581" i="2"/>
  <c r="S581" i="2"/>
  <c r="AM585" i="2" s="1"/>
  <c r="AM176" i="1" s="1"/>
  <c r="R581" i="2"/>
  <c r="AD585" i="2" s="1"/>
  <c r="AD176" i="1" s="1"/>
  <c r="P581" i="2"/>
  <c r="K581" i="2"/>
  <c r="G581" i="2"/>
  <c r="AK578" i="2"/>
  <c r="AL584" i="2" s="1"/>
  <c r="AL177" i="1" s="1"/>
  <c r="AH578" i="2"/>
  <c r="AI584" i="2" s="1"/>
  <c r="AI177" i="1" s="1"/>
  <c r="AC578" i="2"/>
  <c r="AA578" i="2"/>
  <c r="AB584" i="2" s="1"/>
  <c r="AB177" i="1" s="1"/>
  <c r="Z578" i="2"/>
  <c r="Y578" i="2"/>
  <c r="X578" i="2"/>
  <c r="W578" i="2"/>
  <c r="S578" i="2"/>
  <c r="AM584" i="2" s="1"/>
  <c r="AM177" i="1" s="1"/>
  <c r="R578" i="2"/>
  <c r="AD584" i="2" s="1"/>
  <c r="AD177" i="1" s="1"/>
  <c r="P578" i="2"/>
  <c r="K578" i="2"/>
  <c r="G578" i="2"/>
  <c r="AK577" i="2"/>
  <c r="AL583" i="2" s="1"/>
  <c r="AL178" i="1" s="1"/>
  <c r="AH577" i="2"/>
  <c r="AI583" i="2" s="1"/>
  <c r="AI178" i="1" s="1"/>
  <c r="AC577" i="2"/>
  <c r="AA577" i="2"/>
  <c r="AB583" i="2" s="1"/>
  <c r="AB178" i="1" s="1"/>
  <c r="Z577" i="2"/>
  <c r="Y577" i="2"/>
  <c r="X577" i="2"/>
  <c r="W577" i="2"/>
  <c r="S577" i="2"/>
  <c r="AM583" i="2" s="1"/>
  <c r="AM178" i="1" s="1"/>
  <c r="R577" i="2"/>
  <c r="AD583" i="2" s="1"/>
  <c r="AD178" i="1" s="1"/>
  <c r="P577" i="2"/>
  <c r="K577" i="2"/>
  <c r="G577" i="2"/>
  <c r="AK576" i="2"/>
  <c r="AL582" i="2" s="1"/>
  <c r="AL179" i="1" s="1"/>
  <c r="AH576" i="2"/>
  <c r="AI582" i="2" s="1"/>
  <c r="AI179" i="1" s="1"/>
  <c r="AC576" i="2"/>
  <c r="AA576" i="2"/>
  <c r="AB582" i="2" s="1"/>
  <c r="AB179" i="1" s="1"/>
  <c r="Z576" i="2"/>
  <c r="Y576" i="2"/>
  <c r="X576" i="2"/>
  <c r="W576" i="2"/>
  <c r="S576" i="2"/>
  <c r="AM582" i="2" s="1"/>
  <c r="AM179" i="1" s="1"/>
  <c r="R576" i="2"/>
  <c r="AD582" i="2" s="1"/>
  <c r="AD179" i="1" s="1"/>
  <c r="P576" i="2"/>
  <c r="K576" i="2"/>
  <c r="G576" i="2"/>
  <c r="AK575" i="2"/>
  <c r="AL581" i="2" s="1"/>
  <c r="AL180" i="1" s="1"/>
  <c r="AH575" i="2"/>
  <c r="AI581" i="2" s="1"/>
  <c r="AI180" i="1" s="1"/>
  <c r="AC575" i="2"/>
  <c r="AA575" i="2"/>
  <c r="AB581" i="2" s="1"/>
  <c r="AB180" i="1" s="1"/>
  <c r="Z575" i="2"/>
  <c r="Y575" i="2"/>
  <c r="X575" i="2"/>
  <c r="W575" i="2"/>
  <c r="S575" i="2"/>
  <c r="AM581" i="2" s="1"/>
  <c r="AM180" i="1" s="1"/>
  <c r="R575" i="2"/>
  <c r="AD581" i="2" s="1"/>
  <c r="AD180" i="1" s="1"/>
  <c r="P575" i="2"/>
  <c r="K575" i="2"/>
  <c r="G575" i="2"/>
  <c r="AK574" i="2"/>
  <c r="AL578" i="2" s="1"/>
  <c r="AL181" i="1" s="1"/>
  <c r="AH574" i="2"/>
  <c r="AI578" i="2" s="1"/>
  <c r="AI181" i="1" s="1"/>
  <c r="AC574" i="2"/>
  <c r="AA574" i="2"/>
  <c r="AB578" i="2" s="1"/>
  <c r="AB181" i="1" s="1"/>
  <c r="Z574" i="2"/>
  <c r="Y574" i="2"/>
  <c r="X574" i="2"/>
  <c r="W574" i="2"/>
  <c r="S574" i="2"/>
  <c r="AM578" i="2" s="1"/>
  <c r="AM181" i="1" s="1"/>
  <c r="R574" i="2"/>
  <c r="AD578" i="2" s="1"/>
  <c r="AD181" i="1" s="1"/>
  <c r="P574" i="2"/>
  <c r="K574" i="2"/>
  <c r="G574" i="2"/>
  <c r="AK571" i="2"/>
  <c r="AL577" i="2" s="1"/>
  <c r="AL182" i="1" s="1"/>
  <c r="AH571" i="2"/>
  <c r="AI577" i="2" s="1"/>
  <c r="AI182" i="1" s="1"/>
  <c r="AC571" i="2"/>
  <c r="AA571" i="2"/>
  <c r="AB577" i="2" s="1"/>
  <c r="AB182" i="1" s="1"/>
  <c r="Z571" i="2"/>
  <c r="Y571" i="2"/>
  <c r="X571" i="2"/>
  <c r="W571" i="2"/>
  <c r="S571" i="2"/>
  <c r="AM577" i="2" s="1"/>
  <c r="AM182" i="1" s="1"/>
  <c r="R571" i="2"/>
  <c r="AD577" i="2" s="1"/>
  <c r="AD182" i="1" s="1"/>
  <c r="P571" i="2"/>
  <c r="K571" i="2"/>
  <c r="G571" i="2"/>
  <c r="AK570" i="2"/>
  <c r="AL576" i="2" s="1"/>
  <c r="AL183" i="1" s="1"/>
  <c r="AH570" i="2"/>
  <c r="AI576" i="2" s="1"/>
  <c r="AI183" i="1" s="1"/>
  <c r="AC570" i="2"/>
  <c r="AA570" i="2"/>
  <c r="AB576" i="2" s="1"/>
  <c r="AB183" i="1" s="1"/>
  <c r="Z570" i="2"/>
  <c r="Y570" i="2"/>
  <c r="X570" i="2"/>
  <c r="W570" i="2"/>
  <c r="S570" i="2"/>
  <c r="AM576" i="2" s="1"/>
  <c r="AM183" i="1" s="1"/>
  <c r="R570" i="2"/>
  <c r="AD576" i="2" s="1"/>
  <c r="AD183" i="1" s="1"/>
  <c r="P570" i="2"/>
  <c r="K570" i="2"/>
  <c r="G570" i="2"/>
  <c r="AK569" i="2"/>
  <c r="AL575" i="2" s="1"/>
  <c r="AL184" i="1" s="1"/>
  <c r="AH569" i="2"/>
  <c r="AI575" i="2" s="1"/>
  <c r="AI184" i="1" s="1"/>
  <c r="AC569" i="2"/>
  <c r="AA569" i="2"/>
  <c r="AB575" i="2" s="1"/>
  <c r="AB184" i="1" s="1"/>
  <c r="Z569" i="2"/>
  <c r="Y569" i="2"/>
  <c r="X569" i="2"/>
  <c r="W569" i="2"/>
  <c r="S569" i="2"/>
  <c r="AM575" i="2" s="1"/>
  <c r="AM184" i="1" s="1"/>
  <c r="R569" i="2"/>
  <c r="AD575" i="2" s="1"/>
  <c r="AD184" i="1" s="1"/>
  <c r="P569" i="2"/>
  <c r="K569" i="2"/>
  <c r="G569" i="2"/>
  <c r="AK568" i="2"/>
  <c r="AL574" i="2" s="1"/>
  <c r="AL185" i="1" s="1"/>
  <c r="AH568" i="2"/>
  <c r="AI574" i="2" s="1"/>
  <c r="AI185" i="1" s="1"/>
  <c r="AC568" i="2"/>
  <c r="AA568" i="2"/>
  <c r="AB574" i="2" s="1"/>
  <c r="AB185" i="1" s="1"/>
  <c r="Z568" i="2"/>
  <c r="Y568" i="2"/>
  <c r="X568" i="2"/>
  <c r="W568" i="2"/>
  <c r="S568" i="2"/>
  <c r="AM574" i="2" s="1"/>
  <c r="AM185" i="1" s="1"/>
  <c r="R568" i="2"/>
  <c r="AD574" i="2" s="1"/>
  <c r="AD185" i="1" s="1"/>
  <c r="P568" i="2"/>
  <c r="K568" i="2"/>
  <c r="G568" i="2"/>
  <c r="AK567" i="2"/>
  <c r="AL571" i="2" s="1"/>
  <c r="AL186" i="1" s="1"/>
  <c r="AH567" i="2"/>
  <c r="AI571" i="2" s="1"/>
  <c r="AI186" i="1" s="1"/>
  <c r="AC567" i="2"/>
  <c r="AA567" i="2"/>
  <c r="AB571" i="2" s="1"/>
  <c r="AB186" i="1" s="1"/>
  <c r="Z567" i="2"/>
  <c r="Y567" i="2"/>
  <c r="X567" i="2"/>
  <c r="W567" i="2"/>
  <c r="S567" i="2"/>
  <c r="AM571" i="2" s="1"/>
  <c r="AM186" i="1" s="1"/>
  <c r="R567" i="2"/>
  <c r="AD571" i="2" s="1"/>
  <c r="AD186" i="1" s="1"/>
  <c r="P567" i="2"/>
  <c r="K567" i="2"/>
  <c r="G567" i="2"/>
  <c r="AK564" i="2"/>
  <c r="AL570" i="2" s="1"/>
  <c r="AL187" i="1" s="1"/>
  <c r="AH564" i="2"/>
  <c r="AI570" i="2" s="1"/>
  <c r="AI187" i="1" s="1"/>
  <c r="AC564" i="2"/>
  <c r="AA564" i="2"/>
  <c r="AB570" i="2" s="1"/>
  <c r="AB187" i="1" s="1"/>
  <c r="Z564" i="2"/>
  <c r="Y564" i="2"/>
  <c r="X564" i="2"/>
  <c r="W564" i="2"/>
  <c r="S564" i="2"/>
  <c r="AM570" i="2" s="1"/>
  <c r="AM187" i="1" s="1"/>
  <c r="R564" i="2"/>
  <c r="AD570" i="2" s="1"/>
  <c r="AD187" i="1" s="1"/>
  <c r="P564" i="2"/>
  <c r="K564" i="2"/>
  <c r="G564" i="2"/>
  <c r="AK563" i="2"/>
  <c r="AL569" i="2" s="1"/>
  <c r="AL188" i="1" s="1"/>
  <c r="AH563" i="2"/>
  <c r="AI569" i="2" s="1"/>
  <c r="AI188" i="1" s="1"/>
  <c r="AC563" i="2"/>
  <c r="AA563" i="2"/>
  <c r="AB569" i="2" s="1"/>
  <c r="AB188" i="1" s="1"/>
  <c r="Z563" i="2"/>
  <c r="Y563" i="2"/>
  <c r="X563" i="2"/>
  <c r="W563" i="2"/>
  <c r="S563" i="2"/>
  <c r="AM569" i="2" s="1"/>
  <c r="AM188" i="1" s="1"/>
  <c r="R563" i="2"/>
  <c r="AD569" i="2" s="1"/>
  <c r="AD188" i="1" s="1"/>
  <c r="P563" i="2"/>
  <c r="K563" i="2"/>
  <c r="G563" i="2"/>
  <c r="AK562" i="2"/>
  <c r="AL568" i="2" s="1"/>
  <c r="AL189" i="1" s="1"/>
  <c r="AH562" i="2"/>
  <c r="AI568" i="2" s="1"/>
  <c r="AI189" i="1" s="1"/>
  <c r="AC562" i="2"/>
  <c r="AA562" i="2"/>
  <c r="AB568" i="2" s="1"/>
  <c r="AB189" i="1" s="1"/>
  <c r="Z562" i="2"/>
  <c r="Y562" i="2"/>
  <c r="X562" i="2"/>
  <c r="W562" i="2"/>
  <c r="S562" i="2"/>
  <c r="AM568" i="2" s="1"/>
  <c r="AM189" i="1" s="1"/>
  <c r="R562" i="2"/>
  <c r="AD568" i="2" s="1"/>
  <c r="AD189" i="1" s="1"/>
  <c r="P562" i="2"/>
  <c r="K562" i="2"/>
  <c r="G562" i="2"/>
  <c r="AK561" i="2"/>
  <c r="AL567" i="2" s="1"/>
  <c r="AL190" i="1" s="1"/>
  <c r="AH561" i="2"/>
  <c r="AI567" i="2" s="1"/>
  <c r="AI190" i="1" s="1"/>
  <c r="AC561" i="2"/>
  <c r="AA561" i="2"/>
  <c r="AB567" i="2" s="1"/>
  <c r="AB190" i="1" s="1"/>
  <c r="Z561" i="2"/>
  <c r="Y561" i="2"/>
  <c r="X561" i="2"/>
  <c r="W561" i="2"/>
  <c r="S561" i="2"/>
  <c r="AM567" i="2" s="1"/>
  <c r="AM190" i="1" s="1"/>
  <c r="R561" i="2"/>
  <c r="AD567" i="2" s="1"/>
  <c r="AD190" i="1" s="1"/>
  <c r="P561" i="2"/>
  <c r="K561" i="2"/>
  <c r="G561" i="2"/>
  <c r="AK560" i="2"/>
  <c r="AL564" i="2" s="1"/>
  <c r="AL191" i="1" s="1"/>
  <c r="AH560" i="2"/>
  <c r="AI564" i="2" s="1"/>
  <c r="AI191" i="1" s="1"/>
  <c r="AC560" i="2"/>
  <c r="AA560" i="2"/>
  <c r="AB564" i="2" s="1"/>
  <c r="AB191" i="1" s="1"/>
  <c r="Z560" i="2"/>
  <c r="Y560" i="2"/>
  <c r="X560" i="2"/>
  <c r="W560" i="2"/>
  <c r="S560" i="2"/>
  <c r="AM564" i="2" s="1"/>
  <c r="AM191" i="1" s="1"/>
  <c r="R560" i="2"/>
  <c r="AD564" i="2" s="1"/>
  <c r="AD191" i="1" s="1"/>
  <c r="P560" i="2"/>
  <c r="K560" i="2"/>
  <c r="G560" i="2"/>
  <c r="AK557" i="2"/>
  <c r="AL563" i="2" s="1"/>
  <c r="AL192" i="1" s="1"/>
  <c r="AH557" i="2"/>
  <c r="AI563" i="2" s="1"/>
  <c r="AI192" i="1" s="1"/>
  <c r="AC557" i="2"/>
  <c r="AA557" i="2"/>
  <c r="AB563" i="2" s="1"/>
  <c r="AB192" i="1" s="1"/>
  <c r="Z557" i="2"/>
  <c r="Y557" i="2"/>
  <c r="X557" i="2"/>
  <c r="W557" i="2"/>
  <c r="S557" i="2"/>
  <c r="AM563" i="2" s="1"/>
  <c r="AM192" i="1" s="1"/>
  <c r="R557" i="2"/>
  <c r="AD563" i="2" s="1"/>
  <c r="AD192" i="1" s="1"/>
  <c r="P557" i="2"/>
  <c r="K557" i="2"/>
  <c r="G557" i="2"/>
  <c r="AK556" i="2"/>
  <c r="AL562" i="2" s="1"/>
  <c r="AL193" i="1" s="1"/>
  <c r="AH556" i="2"/>
  <c r="AI562" i="2" s="1"/>
  <c r="AI193" i="1" s="1"/>
  <c r="AC556" i="2"/>
  <c r="AA556" i="2"/>
  <c r="AB562" i="2" s="1"/>
  <c r="AB193" i="1" s="1"/>
  <c r="Z556" i="2"/>
  <c r="Y556" i="2"/>
  <c r="X556" i="2"/>
  <c r="W556" i="2"/>
  <c r="S556" i="2"/>
  <c r="AM562" i="2" s="1"/>
  <c r="AM193" i="1" s="1"/>
  <c r="R556" i="2"/>
  <c r="AD562" i="2" s="1"/>
  <c r="AD193" i="1" s="1"/>
  <c r="P556" i="2"/>
  <c r="K556" i="2"/>
  <c r="G556" i="2"/>
  <c r="AK555" i="2"/>
  <c r="AL561" i="2" s="1"/>
  <c r="AL194" i="1" s="1"/>
  <c r="AH555" i="2"/>
  <c r="AI561" i="2" s="1"/>
  <c r="AI194" i="1" s="1"/>
  <c r="AC555" i="2"/>
  <c r="AA555" i="2"/>
  <c r="AB561" i="2" s="1"/>
  <c r="AB194" i="1" s="1"/>
  <c r="Z555" i="2"/>
  <c r="Y555" i="2"/>
  <c r="X555" i="2"/>
  <c r="W555" i="2"/>
  <c r="S555" i="2"/>
  <c r="AM561" i="2" s="1"/>
  <c r="AM194" i="1" s="1"/>
  <c r="R555" i="2"/>
  <c r="AD561" i="2" s="1"/>
  <c r="AD194" i="1" s="1"/>
  <c r="P555" i="2"/>
  <c r="K555" i="2"/>
  <c r="G555" i="2"/>
  <c r="AK554" i="2"/>
  <c r="AL560" i="2" s="1"/>
  <c r="AL195" i="1" s="1"/>
  <c r="AH554" i="2"/>
  <c r="AI560" i="2" s="1"/>
  <c r="AI195" i="1" s="1"/>
  <c r="AC554" i="2"/>
  <c r="AA554" i="2"/>
  <c r="AB560" i="2" s="1"/>
  <c r="AB195" i="1" s="1"/>
  <c r="Z554" i="2"/>
  <c r="Y554" i="2"/>
  <c r="X554" i="2"/>
  <c r="W554" i="2"/>
  <c r="S554" i="2"/>
  <c r="AM560" i="2" s="1"/>
  <c r="AM195" i="1" s="1"/>
  <c r="R554" i="2"/>
  <c r="AD560" i="2" s="1"/>
  <c r="AD195" i="1" s="1"/>
  <c r="P554" i="2"/>
  <c r="K554" i="2"/>
  <c r="G554" i="2"/>
  <c r="AK553" i="2"/>
  <c r="AL557" i="2" s="1"/>
  <c r="AL196" i="1" s="1"/>
  <c r="AH553" i="2"/>
  <c r="AI557" i="2" s="1"/>
  <c r="AI196" i="1" s="1"/>
  <c r="AC553" i="2"/>
  <c r="AA553" i="2"/>
  <c r="AB557" i="2" s="1"/>
  <c r="AB196" i="1" s="1"/>
  <c r="Z553" i="2"/>
  <c r="Y553" i="2"/>
  <c r="X553" i="2"/>
  <c r="W553" i="2"/>
  <c r="S553" i="2"/>
  <c r="AM557" i="2" s="1"/>
  <c r="AM196" i="1" s="1"/>
  <c r="R553" i="2"/>
  <c r="AD557" i="2" s="1"/>
  <c r="AD196" i="1" s="1"/>
  <c r="P553" i="2"/>
  <c r="K553" i="2"/>
  <c r="G553" i="2"/>
  <c r="AK550" i="2"/>
  <c r="AL556" i="2" s="1"/>
  <c r="AL197" i="1" s="1"/>
  <c r="AH550" i="2"/>
  <c r="AI556" i="2" s="1"/>
  <c r="AI197" i="1" s="1"/>
  <c r="AC550" i="2"/>
  <c r="AA550" i="2"/>
  <c r="AB556" i="2" s="1"/>
  <c r="AB197" i="1" s="1"/>
  <c r="Z550" i="2"/>
  <c r="Y550" i="2"/>
  <c r="X550" i="2"/>
  <c r="W550" i="2"/>
  <c r="S550" i="2"/>
  <c r="AM556" i="2" s="1"/>
  <c r="AM197" i="1" s="1"/>
  <c r="R550" i="2"/>
  <c r="AD556" i="2" s="1"/>
  <c r="AD197" i="1" s="1"/>
  <c r="P550" i="2"/>
  <c r="K550" i="2"/>
  <c r="G550" i="2"/>
  <c r="AK549" i="2"/>
  <c r="AL555" i="2" s="1"/>
  <c r="AL198" i="1" s="1"/>
  <c r="AH549" i="2"/>
  <c r="AI555" i="2" s="1"/>
  <c r="AI198" i="1" s="1"/>
  <c r="AC549" i="2"/>
  <c r="AA549" i="2"/>
  <c r="AB555" i="2" s="1"/>
  <c r="AB198" i="1" s="1"/>
  <c r="Z549" i="2"/>
  <c r="Y549" i="2"/>
  <c r="X549" i="2"/>
  <c r="W549" i="2"/>
  <c r="S549" i="2"/>
  <c r="AM555" i="2" s="1"/>
  <c r="AM198" i="1" s="1"/>
  <c r="R549" i="2"/>
  <c r="AD555" i="2" s="1"/>
  <c r="AD198" i="1" s="1"/>
  <c r="P549" i="2"/>
  <c r="K549" i="2"/>
  <c r="G549" i="2"/>
  <c r="AK548" i="2"/>
  <c r="AL554" i="2" s="1"/>
  <c r="AL199" i="1" s="1"/>
  <c r="AH548" i="2"/>
  <c r="AI554" i="2" s="1"/>
  <c r="AI199" i="1" s="1"/>
  <c r="AC548" i="2"/>
  <c r="AA548" i="2"/>
  <c r="AB554" i="2" s="1"/>
  <c r="AB199" i="1" s="1"/>
  <c r="Z548" i="2"/>
  <c r="Y548" i="2"/>
  <c r="X548" i="2"/>
  <c r="W548" i="2"/>
  <c r="S548" i="2"/>
  <c r="AM554" i="2" s="1"/>
  <c r="AM199" i="1" s="1"/>
  <c r="R548" i="2"/>
  <c r="AD554" i="2" s="1"/>
  <c r="AD199" i="1" s="1"/>
  <c r="P548" i="2"/>
  <c r="K548" i="2"/>
  <c r="G548" i="2"/>
  <c r="AK547" i="2"/>
  <c r="AL553" i="2" s="1"/>
  <c r="AL200" i="1" s="1"/>
  <c r="AH547" i="2"/>
  <c r="AI553" i="2" s="1"/>
  <c r="AI200" i="1" s="1"/>
  <c r="AC547" i="2"/>
  <c r="AA547" i="2"/>
  <c r="AB553" i="2" s="1"/>
  <c r="AB200" i="1" s="1"/>
  <c r="Z547" i="2"/>
  <c r="Y547" i="2"/>
  <c r="X547" i="2"/>
  <c r="W547" i="2"/>
  <c r="S547" i="2"/>
  <c r="AM553" i="2" s="1"/>
  <c r="AM200" i="1" s="1"/>
  <c r="R547" i="2"/>
  <c r="AD553" i="2" s="1"/>
  <c r="AD200" i="1" s="1"/>
  <c r="P547" i="2"/>
  <c r="K547" i="2"/>
  <c r="G547" i="2"/>
  <c r="AK546" i="2"/>
  <c r="AL550" i="2" s="1"/>
  <c r="AL201" i="1" s="1"/>
  <c r="AH546" i="2"/>
  <c r="AI550" i="2" s="1"/>
  <c r="AI201" i="1" s="1"/>
  <c r="AC546" i="2"/>
  <c r="AA546" i="2"/>
  <c r="AB550" i="2" s="1"/>
  <c r="AB201" i="1" s="1"/>
  <c r="Z546" i="2"/>
  <c r="Y546" i="2"/>
  <c r="X546" i="2"/>
  <c r="W546" i="2"/>
  <c r="S546" i="2"/>
  <c r="AM550" i="2" s="1"/>
  <c r="AM201" i="1" s="1"/>
  <c r="R546" i="2"/>
  <c r="AD550" i="2" s="1"/>
  <c r="AD201" i="1" s="1"/>
  <c r="P546" i="2"/>
  <c r="K546" i="2"/>
  <c r="G546" i="2"/>
  <c r="AK543" i="2"/>
  <c r="AL549" i="2" s="1"/>
  <c r="AL202" i="1" s="1"/>
  <c r="AH543" i="2"/>
  <c r="AI549" i="2" s="1"/>
  <c r="AI202" i="1" s="1"/>
  <c r="AC543" i="2"/>
  <c r="AA543" i="2"/>
  <c r="AB549" i="2" s="1"/>
  <c r="AB202" i="1" s="1"/>
  <c r="Z543" i="2"/>
  <c r="Y543" i="2"/>
  <c r="X543" i="2"/>
  <c r="W543" i="2"/>
  <c r="S543" i="2"/>
  <c r="AM549" i="2" s="1"/>
  <c r="AM202" i="1" s="1"/>
  <c r="R543" i="2"/>
  <c r="AD549" i="2" s="1"/>
  <c r="AD202" i="1" s="1"/>
  <c r="P543" i="2"/>
  <c r="K543" i="2"/>
  <c r="G543" i="2"/>
  <c r="AK542" i="2"/>
  <c r="AL548" i="2" s="1"/>
  <c r="AL203" i="1" s="1"/>
  <c r="AH542" i="2"/>
  <c r="AI548" i="2" s="1"/>
  <c r="AI203" i="1" s="1"/>
  <c r="AC542" i="2"/>
  <c r="AA542" i="2"/>
  <c r="AB548" i="2" s="1"/>
  <c r="AB203" i="1" s="1"/>
  <c r="Z542" i="2"/>
  <c r="Y542" i="2"/>
  <c r="X542" i="2"/>
  <c r="W542" i="2"/>
  <c r="S542" i="2"/>
  <c r="AM548" i="2" s="1"/>
  <c r="AM203" i="1" s="1"/>
  <c r="R542" i="2"/>
  <c r="AD548" i="2" s="1"/>
  <c r="AD203" i="1" s="1"/>
  <c r="P542" i="2"/>
  <c r="K542" i="2"/>
  <c r="G542" i="2"/>
  <c r="AK541" i="2"/>
  <c r="AL547" i="2" s="1"/>
  <c r="AL204" i="1" s="1"/>
  <c r="AH541" i="2"/>
  <c r="AI547" i="2" s="1"/>
  <c r="AI204" i="1" s="1"/>
  <c r="AC541" i="2"/>
  <c r="AA541" i="2"/>
  <c r="AB547" i="2" s="1"/>
  <c r="AB204" i="1" s="1"/>
  <c r="Z541" i="2"/>
  <c r="Y541" i="2"/>
  <c r="X541" i="2"/>
  <c r="W541" i="2"/>
  <c r="S541" i="2"/>
  <c r="AM547" i="2" s="1"/>
  <c r="AM204" i="1" s="1"/>
  <c r="R541" i="2"/>
  <c r="AD547" i="2" s="1"/>
  <c r="AD204" i="1" s="1"/>
  <c r="P541" i="2"/>
  <c r="K541" i="2"/>
  <c r="G541" i="2"/>
  <c r="AK540" i="2"/>
  <c r="AL546" i="2" s="1"/>
  <c r="AL205" i="1" s="1"/>
  <c r="AH540" i="2"/>
  <c r="AI546" i="2" s="1"/>
  <c r="AI205" i="1" s="1"/>
  <c r="AC540" i="2"/>
  <c r="AA540" i="2"/>
  <c r="AB546" i="2" s="1"/>
  <c r="AB205" i="1" s="1"/>
  <c r="Z540" i="2"/>
  <c r="Y540" i="2"/>
  <c r="X540" i="2"/>
  <c r="W540" i="2"/>
  <c r="S540" i="2"/>
  <c r="AM546" i="2" s="1"/>
  <c r="AM205" i="1" s="1"/>
  <c r="R540" i="2"/>
  <c r="AD546" i="2" s="1"/>
  <c r="AD205" i="1" s="1"/>
  <c r="P540" i="2"/>
  <c r="K540" i="2"/>
  <c r="G540" i="2"/>
  <c r="AK539" i="2"/>
  <c r="AH539" i="2"/>
  <c r="AC539" i="2"/>
  <c r="AA539" i="2"/>
  <c r="Z539" i="2"/>
  <c r="Y539" i="2"/>
  <c r="X539" i="2"/>
  <c r="W539" i="2"/>
  <c r="S539" i="2"/>
  <c r="R539" i="2"/>
  <c r="P539" i="2"/>
  <c r="K539" i="2"/>
  <c r="G539" i="2"/>
  <c r="AK535" i="2"/>
  <c r="AL541" i="2" s="1"/>
  <c r="AL208" i="1" s="1"/>
  <c r="AH535" i="2"/>
  <c r="AI541" i="2" s="1"/>
  <c r="AI208" i="1" s="1"/>
  <c r="AC535" i="2"/>
  <c r="AA535" i="2"/>
  <c r="AB541" i="2" s="1"/>
  <c r="AB208" i="1" s="1"/>
  <c r="Z535" i="2"/>
  <c r="Y535" i="2"/>
  <c r="X535" i="2"/>
  <c r="W535" i="2"/>
  <c r="S535" i="2"/>
  <c r="AM541" i="2" s="1"/>
  <c r="AM208" i="1" s="1"/>
  <c r="R535" i="2"/>
  <c r="AD541" i="2" s="1"/>
  <c r="AD208" i="1" s="1"/>
  <c r="P535" i="2"/>
  <c r="K535" i="2"/>
  <c r="G535" i="2"/>
  <c r="AK534" i="2"/>
  <c r="AL540" i="2" s="1"/>
  <c r="AL209" i="1" s="1"/>
  <c r="AH534" i="2"/>
  <c r="AI540" i="2" s="1"/>
  <c r="AI209" i="1" s="1"/>
  <c r="AC534" i="2"/>
  <c r="AA534" i="2"/>
  <c r="AB540" i="2" s="1"/>
  <c r="AB209" i="1" s="1"/>
  <c r="Z534" i="2"/>
  <c r="Y534" i="2"/>
  <c r="X534" i="2"/>
  <c r="W534" i="2"/>
  <c r="S534" i="2"/>
  <c r="AM540" i="2" s="1"/>
  <c r="AM209" i="1" s="1"/>
  <c r="R534" i="2"/>
  <c r="AD540" i="2" s="1"/>
  <c r="AD209" i="1" s="1"/>
  <c r="P534" i="2"/>
  <c r="K534" i="2"/>
  <c r="G534" i="2"/>
  <c r="AK533" i="2"/>
  <c r="AL539" i="2" s="1"/>
  <c r="AL210" i="1" s="1"/>
  <c r="AH533" i="2"/>
  <c r="AI539" i="2" s="1"/>
  <c r="AI210" i="1" s="1"/>
  <c r="AC533" i="2"/>
  <c r="AA533" i="2"/>
  <c r="AB539" i="2" s="1"/>
  <c r="AB210" i="1" s="1"/>
  <c r="Z533" i="2"/>
  <c r="Y533" i="2"/>
  <c r="X533" i="2"/>
  <c r="W533" i="2"/>
  <c r="S533" i="2"/>
  <c r="AM539" i="2" s="1"/>
  <c r="AM210" i="1" s="1"/>
  <c r="R533" i="2"/>
  <c r="AD539" i="2" s="1"/>
  <c r="AD210" i="1" s="1"/>
  <c r="P533" i="2"/>
  <c r="K533" i="2"/>
  <c r="G533" i="2"/>
  <c r="AK532" i="2"/>
  <c r="AH532" i="2"/>
  <c r="AC532" i="2"/>
  <c r="AA532" i="2"/>
  <c r="Z532" i="2"/>
  <c r="Y532" i="2"/>
  <c r="X532" i="2"/>
  <c r="W532" i="2"/>
  <c r="S532" i="2"/>
  <c r="R532" i="2"/>
  <c r="P532" i="2"/>
  <c r="Q532" i="2" s="1"/>
  <c r="Q214" i="1" s="1"/>
  <c r="K532" i="2"/>
  <c r="G532" i="2"/>
  <c r="AK529" i="2"/>
  <c r="AL535" i="2" s="1"/>
  <c r="AL211" i="1" s="1"/>
  <c r="AH529" i="2"/>
  <c r="AI535" i="2" s="1"/>
  <c r="AI211" i="1" s="1"/>
  <c r="AC529" i="2"/>
  <c r="AA529" i="2"/>
  <c r="AB535" i="2" s="1"/>
  <c r="AB211" i="1" s="1"/>
  <c r="Z529" i="2"/>
  <c r="Y529" i="2"/>
  <c r="X529" i="2"/>
  <c r="W529" i="2"/>
  <c r="S529" i="2"/>
  <c r="AM535" i="2" s="1"/>
  <c r="AM211" i="1" s="1"/>
  <c r="R529" i="2"/>
  <c r="AD535" i="2" s="1"/>
  <c r="AD211" i="1" s="1"/>
  <c r="P529" i="2"/>
  <c r="K529" i="2"/>
  <c r="G529" i="2"/>
  <c r="AK528" i="2"/>
  <c r="AL534" i="2" s="1"/>
  <c r="AL212" i="1" s="1"/>
  <c r="AH528" i="2"/>
  <c r="AI534" i="2" s="1"/>
  <c r="AI212" i="1" s="1"/>
  <c r="AC528" i="2"/>
  <c r="AA528" i="2"/>
  <c r="AB534" i="2" s="1"/>
  <c r="AB212" i="1" s="1"/>
  <c r="Z528" i="2"/>
  <c r="Y528" i="2"/>
  <c r="X528" i="2"/>
  <c r="W528" i="2"/>
  <c r="S528" i="2"/>
  <c r="AM534" i="2" s="1"/>
  <c r="AM212" i="1" s="1"/>
  <c r="R528" i="2"/>
  <c r="AD534" i="2" s="1"/>
  <c r="AD212" i="1" s="1"/>
  <c r="P528" i="2"/>
  <c r="K528" i="2"/>
  <c r="G528" i="2"/>
  <c r="AK527" i="2"/>
  <c r="AL533" i="2" s="1"/>
  <c r="AL213" i="1" s="1"/>
  <c r="AH527" i="2"/>
  <c r="AI533" i="2" s="1"/>
  <c r="AI213" i="1" s="1"/>
  <c r="AC527" i="2"/>
  <c r="AA527" i="2"/>
  <c r="AB533" i="2" s="1"/>
  <c r="AB213" i="1" s="1"/>
  <c r="Z527" i="2"/>
  <c r="Y527" i="2"/>
  <c r="X527" i="2"/>
  <c r="W527" i="2"/>
  <c r="S527" i="2"/>
  <c r="AM533" i="2" s="1"/>
  <c r="AM213" i="1" s="1"/>
  <c r="R527" i="2"/>
  <c r="AD533" i="2" s="1"/>
  <c r="AD213" i="1" s="1"/>
  <c r="P527" i="2"/>
  <c r="K527" i="2"/>
  <c r="G527" i="2"/>
  <c r="AK526" i="2"/>
  <c r="AL532" i="2" s="1"/>
  <c r="AL214" i="1" s="1"/>
  <c r="AH526" i="2"/>
  <c r="AI532" i="2" s="1"/>
  <c r="AI214" i="1" s="1"/>
  <c r="AC526" i="2"/>
  <c r="AA526" i="2"/>
  <c r="AB532" i="2" s="1"/>
  <c r="AB214" i="1" s="1"/>
  <c r="Z526" i="2"/>
  <c r="Y526" i="2"/>
  <c r="X526" i="2"/>
  <c r="W526" i="2"/>
  <c r="S526" i="2"/>
  <c r="AM532" i="2" s="1"/>
  <c r="AM214" i="1" s="1"/>
  <c r="R526" i="2"/>
  <c r="AD532" i="2" s="1"/>
  <c r="AD214" i="1" s="1"/>
  <c r="P526" i="2"/>
  <c r="K526" i="2"/>
  <c r="G526" i="2"/>
  <c r="AK525" i="2"/>
  <c r="AL529" i="2" s="1"/>
  <c r="AL215" i="1" s="1"/>
  <c r="AH525" i="2"/>
  <c r="AI529" i="2" s="1"/>
  <c r="AI215" i="1" s="1"/>
  <c r="AC525" i="2"/>
  <c r="AA525" i="2"/>
  <c r="AB529" i="2" s="1"/>
  <c r="AB215" i="1" s="1"/>
  <c r="Z525" i="2"/>
  <c r="Y525" i="2"/>
  <c r="X525" i="2"/>
  <c r="W525" i="2"/>
  <c r="S525" i="2"/>
  <c r="AM529" i="2" s="1"/>
  <c r="AM215" i="1" s="1"/>
  <c r="R525" i="2"/>
  <c r="AD529" i="2" s="1"/>
  <c r="AD215" i="1" s="1"/>
  <c r="P525" i="2"/>
  <c r="K525" i="2"/>
  <c r="G525" i="2"/>
  <c r="AK522" i="2"/>
  <c r="AL528" i="2" s="1"/>
  <c r="AL216" i="1" s="1"/>
  <c r="AH522" i="2"/>
  <c r="AI528" i="2" s="1"/>
  <c r="AI216" i="1" s="1"/>
  <c r="AC522" i="2"/>
  <c r="AA522" i="2"/>
  <c r="AB528" i="2" s="1"/>
  <c r="AB216" i="1" s="1"/>
  <c r="Z522" i="2"/>
  <c r="Y522" i="2"/>
  <c r="X522" i="2"/>
  <c r="W522" i="2"/>
  <c r="S522" i="2"/>
  <c r="AM528" i="2" s="1"/>
  <c r="AM216" i="1" s="1"/>
  <c r="R522" i="2"/>
  <c r="AD528" i="2" s="1"/>
  <c r="AD216" i="1" s="1"/>
  <c r="P522" i="2"/>
  <c r="K522" i="2"/>
  <c r="G522" i="2"/>
  <c r="AK521" i="2"/>
  <c r="AL527" i="2" s="1"/>
  <c r="AL217" i="1" s="1"/>
  <c r="AH521" i="2"/>
  <c r="AI527" i="2" s="1"/>
  <c r="AI217" i="1" s="1"/>
  <c r="AC521" i="2"/>
  <c r="AA521" i="2"/>
  <c r="AB527" i="2" s="1"/>
  <c r="AB217" i="1" s="1"/>
  <c r="Z521" i="2"/>
  <c r="Y521" i="2"/>
  <c r="X521" i="2"/>
  <c r="W521" i="2"/>
  <c r="S521" i="2"/>
  <c r="AM527" i="2" s="1"/>
  <c r="AM217" i="1" s="1"/>
  <c r="R521" i="2"/>
  <c r="AD527" i="2" s="1"/>
  <c r="AD217" i="1" s="1"/>
  <c r="P521" i="2"/>
  <c r="K521" i="2"/>
  <c r="G521" i="2"/>
  <c r="AK520" i="2"/>
  <c r="AL526" i="2" s="1"/>
  <c r="AL218" i="1" s="1"/>
  <c r="AH520" i="2"/>
  <c r="AI526" i="2" s="1"/>
  <c r="AI218" i="1" s="1"/>
  <c r="AC520" i="2"/>
  <c r="AA520" i="2"/>
  <c r="AB526" i="2" s="1"/>
  <c r="AB218" i="1" s="1"/>
  <c r="Z520" i="2"/>
  <c r="Y520" i="2"/>
  <c r="X520" i="2"/>
  <c r="W520" i="2"/>
  <c r="S520" i="2"/>
  <c r="AM526" i="2" s="1"/>
  <c r="AM218" i="1" s="1"/>
  <c r="R520" i="2"/>
  <c r="AD526" i="2" s="1"/>
  <c r="AD218" i="1" s="1"/>
  <c r="P520" i="2"/>
  <c r="K520" i="2"/>
  <c r="G520" i="2"/>
  <c r="AK519" i="2"/>
  <c r="AL525" i="2" s="1"/>
  <c r="AL219" i="1" s="1"/>
  <c r="AH519" i="2"/>
  <c r="AI525" i="2" s="1"/>
  <c r="AI219" i="1" s="1"/>
  <c r="AC519" i="2"/>
  <c r="AA519" i="2"/>
  <c r="AB525" i="2" s="1"/>
  <c r="AB219" i="1" s="1"/>
  <c r="Z519" i="2"/>
  <c r="Y519" i="2"/>
  <c r="X519" i="2"/>
  <c r="W519" i="2"/>
  <c r="S519" i="2"/>
  <c r="AM525" i="2" s="1"/>
  <c r="AM219" i="1" s="1"/>
  <c r="R519" i="2"/>
  <c r="AD525" i="2" s="1"/>
  <c r="AD219" i="1" s="1"/>
  <c r="P519" i="2"/>
  <c r="K519" i="2"/>
  <c r="G519" i="2"/>
  <c r="AK518" i="2"/>
  <c r="AL522" i="2" s="1"/>
  <c r="AL220" i="1" s="1"/>
  <c r="AH518" i="2"/>
  <c r="AI522" i="2" s="1"/>
  <c r="AI220" i="1" s="1"/>
  <c r="AC518" i="2"/>
  <c r="AA518" i="2"/>
  <c r="AB522" i="2" s="1"/>
  <c r="AB220" i="1" s="1"/>
  <c r="Z518" i="2"/>
  <c r="Y518" i="2"/>
  <c r="X518" i="2"/>
  <c r="W518" i="2"/>
  <c r="S518" i="2"/>
  <c r="AM522" i="2" s="1"/>
  <c r="AM220" i="1" s="1"/>
  <c r="R518" i="2"/>
  <c r="AD522" i="2" s="1"/>
  <c r="AD220" i="1" s="1"/>
  <c r="P518" i="2"/>
  <c r="K518" i="2"/>
  <c r="G518" i="2"/>
  <c r="AK515" i="2"/>
  <c r="AL521" i="2" s="1"/>
  <c r="AL221" i="1" s="1"/>
  <c r="AH515" i="2"/>
  <c r="AI521" i="2" s="1"/>
  <c r="AI221" i="1" s="1"/>
  <c r="AC515" i="2"/>
  <c r="AA515" i="2"/>
  <c r="AB521" i="2" s="1"/>
  <c r="AB221" i="1" s="1"/>
  <c r="Z515" i="2"/>
  <c r="Y515" i="2"/>
  <c r="X515" i="2"/>
  <c r="W515" i="2"/>
  <c r="S515" i="2"/>
  <c r="AM521" i="2" s="1"/>
  <c r="AM221" i="1" s="1"/>
  <c r="R515" i="2"/>
  <c r="AD521" i="2" s="1"/>
  <c r="AD221" i="1" s="1"/>
  <c r="P515" i="2"/>
  <c r="K515" i="2"/>
  <c r="G515" i="2"/>
  <c r="AK514" i="2"/>
  <c r="AL520" i="2" s="1"/>
  <c r="AL222" i="1" s="1"/>
  <c r="AH514" i="2"/>
  <c r="AI520" i="2" s="1"/>
  <c r="AI222" i="1" s="1"/>
  <c r="AC514" i="2"/>
  <c r="AA514" i="2"/>
  <c r="AB520" i="2" s="1"/>
  <c r="AB222" i="1" s="1"/>
  <c r="Z514" i="2"/>
  <c r="Y514" i="2"/>
  <c r="X514" i="2"/>
  <c r="W514" i="2"/>
  <c r="S514" i="2"/>
  <c r="AM520" i="2" s="1"/>
  <c r="AM222" i="1" s="1"/>
  <c r="R514" i="2"/>
  <c r="AD520" i="2" s="1"/>
  <c r="AD222" i="1" s="1"/>
  <c r="P514" i="2"/>
  <c r="K514" i="2"/>
  <c r="G514" i="2"/>
  <c r="AK513" i="2"/>
  <c r="AL519" i="2" s="1"/>
  <c r="AL223" i="1" s="1"/>
  <c r="AH513" i="2"/>
  <c r="AI519" i="2" s="1"/>
  <c r="AI223" i="1" s="1"/>
  <c r="AC513" i="2"/>
  <c r="AA513" i="2"/>
  <c r="AB519" i="2" s="1"/>
  <c r="AB223" i="1" s="1"/>
  <c r="Z513" i="2"/>
  <c r="Y513" i="2"/>
  <c r="X513" i="2"/>
  <c r="W513" i="2"/>
  <c r="S513" i="2"/>
  <c r="AM519" i="2" s="1"/>
  <c r="AM223" i="1" s="1"/>
  <c r="R513" i="2"/>
  <c r="AD519" i="2" s="1"/>
  <c r="AD223" i="1" s="1"/>
  <c r="P513" i="2"/>
  <c r="K513" i="2"/>
  <c r="G513" i="2"/>
  <c r="AK512" i="2"/>
  <c r="AL518" i="2" s="1"/>
  <c r="AL224" i="1" s="1"/>
  <c r="AH512" i="2"/>
  <c r="AI518" i="2" s="1"/>
  <c r="AI224" i="1" s="1"/>
  <c r="AC512" i="2"/>
  <c r="AA512" i="2"/>
  <c r="AB518" i="2" s="1"/>
  <c r="AB224" i="1" s="1"/>
  <c r="Z512" i="2"/>
  <c r="Y512" i="2"/>
  <c r="X512" i="2"/>
  <c r="W512" i="2"/>
  <c r="S512" i="2"/>
  <c r="AM518" i="2" s="1"/>
  <c r="AM224" i="1" s="1"/>
  <c r="R512" i="2"/>
  <c r="AD518" i="2" s="1"/>
  <c r="AD224" i="1" s="1"/>
  <c r="P512" i="2"/>
  <c r="K512" i="2"/>
  <c r="G512" i="2"/>
  <c r="AK511" i="2"/>
  <c r="AL515" i="2" s="1"/>
  <c r="AL225" i="1" s="1"/>
  <c r="AH511" i="2"/>
  <c r="AI515" i="2" s="1"/>
  <c r="AI225" i="1" s="1"/>
  <c r="AC511" i="2"/>
  <c r="AA511" i="2"/>
  <c r="AB515" i="2" s="1"/>
  <c r="AB225" i="1" s="1"/>
  <c r="Z511" i="2"/>
  <c r="Y511" i="2"/>
  <c r="X511" i="2"/>
  <c r="W511" i="2"/>
  <c r="S511" i="2"/>
  <c r="AM515" i="2" s="1"/>
  <c r="AM225" i="1" s="1"/>
  <c r="R511" i="2"/>
  <c r="AD515" i="2" s="1"/>
  <c r="AD225" i="1" s="1"/>
  <c r="P511" i="2"/>
  <c r="K511" i="2"/>
  <c r="G511" i="2"/>
  <c r="AK508" i="2"/>
  <c r="AL514" i="2" s="1"/>
  <c r="AL226" i="1" s="1"/>
  <c r="AH508" i="2"/>
  <c r="AI514" i="2" s="1"/>
  <c r="AI226" i="1" s="1"/>
  <c r="AC508" i="2"/>
  <c r="AA508" i="2"/>
  <c r="AB514" i="2" s="1"/>
  <c r="AB226" i="1" s="1"/>
  <c r="Z508" i="2"/>
  <c r="Y508" i="2"/>
  <c r="X508" i="2"/>
  <c r="W508" i="2"/>
  <c r="S508" i="2"/>
  <c r="AM514" i="2" s="1"/>
  <c r="AM226" i="1" s="1"/>
  <c r="R508" i="2"/>
  <c r="AD514" i="2" s="1"/>
  <c r="AD226" i="1" s="1"/>
  <c r="P508" i="2"/>
  <c r="K508" i="2"/>
  <c r="G508" i="2"/>
  <c r="AK507" i="2"/>
  <c r="AL513" i="2" s="1"/>
  <c r="AL227" i="1" s="1"/>
  <c r="AH507" i="2"/>
  <c r="AI513" i="2" s="1"/>
  <c r="AI227" i="1" s="1"/>
  <c r="AC507" i="2"/>
  <c r="AA507" i="2"/>
  <c r="AB513" i="2" s="1"/>
  <c r="AB227" i="1" s="1"/>
  <c r="Z507" i="2"/>
  <c r="Y507" i="2"/>
  <c r="X507" i="2"/>
  <c r="W507" i="2"/>
  <c r="S507" i="2"/>
  <c r="AM513" i="2" s="1"/>
  <c r="AM227" i="1" s="1"/>
  <c r="R507" i="2"/>
  <c r="AD513" i="2" s="1"/>
  <c r="AD227" i="1" s="1"/>
  <c r="P507" i="2"/>
  <c r="K507" i="2"/>
  <c r="G507" i="2"/>
  <c r="AK506" i="2"/>
  <c r="AL512" i="2" s="1"/>
  <c r="AL228" i="1" s="1"/>
  <c r="AH506" i="2"/>
  <c r="AI512" i="2" s="1"/>
  <c r="AI228" i="1" s="1"/>
  <c r="AC506" i="2"/>
  <c r="AA506" i="2"/>
  <c r="AB512" i="2" s="1"/>
  <c r="AB228" i="1" s="1"/>
  <c r="Z506" i="2"/>
  <c r="Y506" i="2"/>
  <c r="X506" i="2"/>
  <c r="W506" i="2"/>
  <c r="S506" i="2"/>
  <c r="AM512" i="2" s="1"/>
  <c r="AM228" i="1" s="1"/>
  <c r="R506" i="2"/>
  <c r="AD512" i="2" s="1"/>
  <c r="AD228" i="1" s="1"/>
  <c r="P506" i="2"/>
  <c r="K506" i="2"/>
  <c r="G506" i="2"/>
  <c r="AK505" i="2"/>
  <c r="AL511" i="2" s="1"/>
  <c r="AL229" i="1" s="1"/>
  <c r="AH505" i="2"/>
  <c r="AI511" i="2" s="1"/>
  <c r="AI229" i="1" s="1"/>
  <c r="AC505" i="2"/>
  <c r="AA505" i="2"/>
  <c r="AB511" i="2" s="1"/>
  <c r="AB229" i="1" s="1"/>
  <c r="Z505" i="2"/>
  <c r="Y505" i="2"/>
  <c r="X505" i="2"/>
  <c r="W505" i="2"/>
  <c r="S505" i="2"/>
  <c r="AM511" i="2" s="1"/>
  <c r="AM229" i="1" s="1"/>
  <c r="R505" i="2"/>
  <c r="AD511" i="2" s="1"/>
  <c r="AD229" i="1" s="1"/>
  <c r="P505" i="2"/>
  <c r="K505" i="2"/>
  <c r="G505" i="2"/>
  <c r="AK504" i="2"/>
  <c r="AL508" i="2" s="1"/>
  <c r="AL230" i="1" s="1"/>
  <c r="AH504" i="2"/>
  <c r="AI508" i="2" s="1"/>
  <c r="AI230" i="1" s="1"/>
  <c r="AC504" i="2"/>
  <c r="AA504" i="2"/>
  <c r="AB508" i="2" s="1"/>
  <c r="AB230" i="1" s="1"/>
  <c r="Z504" i="2"/>
  <c r="Y504" i="2"/>
  <c r="X504" i="2"/>
  <c r="W504" i="2"/>
  <c r="S504" i="2"/>
  <c r="AM508" i="2" s="1"/>
  <c r="AM230" i="1" s="1"/>
  <c r="R504" i="2"/>
  <c r="AD508" i="2" s="1"/>
  <c r="AD230" i="1" s="1"/>
  <c r="P504" i="2"/>
  <c r="K504" i="2"/>
  <c r="G504" i="2"/>
  <c r="AK501" i="2"/>
  <c r="AL507" i="2" s="1"/>
  <c r="AL231" i="1" s="1"/>
  <c r="AH501" i="2"/>
  <c r="AI507" i="2" s="1"/>
  <c r="AI231" i="1" s="1"/>
  <c r="AC501" i="2"/>
  <c r="AA501" i="2"/>
  <c r="AB507" i="2" s="1"/>
  <c r="AB231" i="1" s="1"/>
  <c r="Z501" i="2"/>
  <c r="Y501" i="2"/>
  <c r="X501" i="2"/>
  <c r="W501" i="2"/>
  <c r="S501" i="2"/>
  <c r="AM507" i="2" s="1"/>
  <c r="AM231" i="1" s="1"/>
  <c r="R501" i="2"/>
  <c r="AD507" i="2" s="1"/>
  <c r="AD231" i="1" s="1"/>
  <c r="P501" i="2"/>
  <c r="K501" i="2"/>
  <c r="G501" i="2"/>
  <c r="AK500" i="2"/>
  <c r="AL506" i="2" s="1"/>
  <c r="AL232" i="1" s="1"/>
  <c r="AH500" i="2"/>
  <c r="AI506" i="2" s="1"/>
  <c r="AI232" i="1" s="1"/>
  <c r="AC500" i="2"/>
  <c r="AA500" i="2"/>
  <c r="AB506" i="2" s="1"/>
  <c r="AB232" i="1" s="1"/>
  <c r="Z500" i="2"/>
  <c r="Y500" i="2"/>
  <c r="X500" i="2"/>
  <c r="W500" i="2"/>
  <c r="S500" i="2"/>
  <c r="AM506" i="2" s="1"/>
  <c r="AM232" i="1" s="1"/>
  <c r="R500" i="2"/>
  <c r="AD506" i="2" s="1"/>
  <c r="AD232" i="1" s="1"/>
  <c r="P500" i="2"/>
  <c r="K500" i="2"/>
  <c r="G500" i="2"/>
  <c r="AK499" i="2"/>
  <c r="AL505" i="2" s="1"/>
  <c r="AL233" i="1" s="1"/>
  <c r="AH499" i="2"/>
  <c r="AI505" i="2" s="1"/>
  <c r="AI233" i="1" s="1"/>
  <c r="AC499" i="2"/>
  <c r="AA499" i="2"/>
  <c r="AB505" i="2" s="1"/>
  <c r="AB233" i="1" s="1"/>
  <c r="Z499" i="2"/>
  <c r="Y499" i="2"/>
  <c r="X499" i="2"/>
  <c r="W499" i="2"/>
  <c r="S499" i="2"/>
  <c r="AM505" i="2" s="1"/>
  <c r="AM233" i="1" s="1"/>
  <c r="R499" i="2"/>
  <c r="AD505" i="2" s="1"/>
  <c r="AD233" i="1" s="1"/>
  <c r="P499" i="2"/>
  <c r="K499" i="2"/>
  <c r="G499" i="2"/>
  <c r="AK498" i="2"/>
  <c r="AL504" i="2" s="1"/>
  <c r="AL234" i="1" s="1"/>
  <c r="AH498" i="2"/>
  <c r="AI504" i="2" s="1"/>
  <c r="AI234" i="1" s="1"/>
  <c r="AC498" i="2"/>
  <c r="AA498" i="2"/>
  <c r="AB504" i="2" s="1"/>
  <c r="AB234" i="1" s="1"/>
  <c r="Z498" i="2"/>
  <c r="Y498" i="2"/>
  <c r="X498" i="2"/>
  <c r="W498" i="2"/>
  <c r="S498" i="2"/>
  <c r="AM504" i="2" s="1"/>
  <c r="AM234" i="1" s="1"/>
  <c r="R498" i="2"/>
  <c r="AD504" i="2" s="1"/>
  <c r="AD234" i="1" s="1"/>
  <c r="P498" i="2"/>
  <c r="K498" i="2"/>
  <c r="G498" i="2"/>
  <c r="AK497" i="2"/>
  <c r="AL501" i="2" s="1"/>
  <c r="AL235" i="1" s="1"/>
  <c r="AH497" i="2"/>
  <c r="AI501" i="2" s="1"/>
  <c r="AI235" i="1" s="1"/>
  <c r="AC497" i="2"/>
  <c r="AA497" i="2"/>
  <c r="AB501" i="2" s="1"/>
  <c r="AB235" i="1" s="1"/>
  <c r="Z497" i="2"/>
  <c r="Y497" i="2"/>
  <c r="X497" i="2"/>
  <c r="W497" i="2"/>
  <c r="S497" i="2"/>
  <c r="AM501" i="2" s="1"/>
  <c r="AM235" i="1" s="1"/>
  <c r="R497" i="2"/>
  <c r="AD501" i="2" s="1"/>
  <c r="AD235" i="1" s="1"/>
  <c r="P497" i="2"/>
  <c r="K497" i="2"/>
  <c r="G497" i="2"/>
  <c r="AK494" i="2"/>
  <c r="AL500" i="2" s="1"/>
  <c r="AL236" i="1" s="1"/>
  <c r="AH494" i="2"/>
  <c r="AI500" i="2" s="1"/>
  <c r="AI236" i="1" s="1"/>
  <c r="AC494" i="2"/>
  <c r="AA494" i="2"/>
  <c r="AB500" i="2" s="1"/>
  <c r="AB236" i="1" s="1"/>
  <c r="Z494" i="2"/>
  <c r="Y494" i="2"/>
  <c r="X494" i="2"/>
  <c r="W494" i="2"/>
  <c r="S494" i="2"/>
  <c r="AM500" i="2" s="1"/>
  <c r="AM236" i="1" s="1"/>
  <c r="R494" i="2"/>
  <c r="AD500" i="2" s="1"/>
  <c r="AD236" i="1" s="1"/>
  <c r="P494" i="2"/>
  <c r="K494" i="2"/>
  <c r="G494" i="2"/>
  <c r="AK493" i="2"/>
  <c r="AL499" i="2" s="1"/>
  <c r="AL237" i="1" s="1"/>
  <c r="AH493" i="2"/>
  <c r="AI499" i="2" s="1"/>
  <c r="AI237" i="1" s="1"/>
  <c r="AC493" i="2"/>
  <c r="AA493" i="2"/>
  <c r="AB499" i="2" s="1"/>
  <c r="AB237" i="1" s="1"/>
  <c r="Z493" i="2"/>
  <c r="Y493" i="2"/>
  <c r="X493" i="2"/>
  <c r="W493" i="2"/>
  <c r="S493" i="2"/>
  <c r="AM499" i="2" s="1"/>
  <c r="AM237" i="1" s="1"/>
  <c r="R493" i="2"/>
  <c r="AD499" i="2" s="1"/>
  <c r="AD237" i="1" s="1"/>
  <c r="P493" i="2"/>
  <c r="K493" i="2"/>
  <c r="G493" i="2"/>
  <c r="AK492" i="2"/>
  <c r="AL498" i="2" s="1"/>
  <c r="AL238" i="1" s="1"/>
  <c r="AH492" i="2"/>
  <c r="AI498" i="2" s="1"/>
  <c r="AI238" i="1" s="1"/>
  <c r="AC492" i="2"/>
  <c r="AA492" i="2"/>
  <c r="AB498" i="2" s="1"/>
  <c r="AB238" i="1" s="1"/>
  <c r="Z492" i="2"/>
  <c r="Y492" i="2"/>
  <c r="X492" i="2"/>
  <c r="W492" i="2"/>
  <c r="S492" i="2"/>
  <c r="AM498" i="2" s="1"/>
  <c r="AM238" i="1" s="1"/>
  <c r="R492" i="2"/>
  <c r="AD498" i="2" s="1"/>
  <c r="AD238" i="1" s="1"/>
  <c r="P492" i="2"/>
  <c r="K492" i="2"/>
  <c r="G492" i="2"/>
  <c r="AK491" i="2"/>
  <c r="AL497" i="2" s="1"/>
  <c r="AL239" i="1" s="1"/>
  <c r="AH491" i="2"/>
  <c r="AI497" i="2" s="1"/>
  <c r="AI239" i="1" s="1"/>
  <c r="AC491" i="2"/>
  <c r="AA491" i="2"/>
  <c r="AB497" i="2" s="1"/>
  <c r="AB239" i="1" s="1"/>
  <c r="Z491" i="2"/>
  <c r="Y491" i="2"/>
  <c r="X491" i="2"/>
  <c r="W491" i="2"/>
  <c r="S491" i="2"/>
  <c r="AM497" i="2" s="1"/>
  <c r="AM239" i="1" s="1"/>
  <c r="R491" i="2"/>
  <c r="AD497" i="2" s="1"/>
  <c r="AD239" i="1" s="1"/>
  <c r="P491" i="2"/>
  <c r="K491" i="2"/>
  <c r="G491" i="2"/>
  <c r="AK490" i="2"/>
  <c r="AL494" i="2" s="1"/>
  <c r="AL240" i="1" s="1"/>
  <c r="AH490" i="2"/>
  <c r="AI494" i="2" s="1"/>
  <c r="AI240" i="1" s="1"/>
  <c r="AC490" i="2"/>
  <c r="AA490" i="2"/>
  <c r="AB494" i="2" s="1"/>
  <c r="AB240" i="1" s="1"/>
  <c r="Z490" i="2"/>
  <c r="Y490" i="2"/>
  <c r="X490" i="2"/>
  <c r="W490" i="2"/>
  <c r="S490" i="2"/>
  <c r="AM494" i="2" s="1"/>
  <c r="AM240" i="1" s="1"/>
  <c r="R490" i="2"/>
  <c r="AD494" i="2" s="1"/>
  <c r="AD240" i="1" s="1"/>
  <c r="P490" i="2"/>
  <c r="K490" i="2"/>
  <c r="G490" i="2"/>
  <c r="AK487" i="2"/>
  <c r="AL493" i="2" s="1"/>
  <c r="AL241" i="1" s="1"/>
  <c r="AH487" i="2"/>
  <c r="AI493" i="2" s="1"/>
  <c r="AI241" i="1" s="1"/>
  <c r="AC487" i="2"/>
  <c r="AA487" i="2"/>
  <c r="AB493" i="2" s="1"/>
  <c r="AB241" i="1" s="1"/>
  <c r="Z487" i="2"/>
  <c r="Y487" i="2"/>
  <c r="X487" i="2"/>
  <c r="W487" i="2"/>
  <c r="S487" i="2"/>
  <c r="AM493" i="2" s="1"/>
  <c r="AM241" i="1" s="1"/>
  <c r="R487" i="2"/>
  <c r="AD493" i="2" s="1"/>
  <c r="AD241" i="1" s="1"/>
  <c r="P487" i="2"/>
  <c r="K487" i="2"/>
  <c r="G487" i="2"/>
  <c r="AK486" i="2"/>
  <c r="AL492" i="2" s="1"/>
  <c r="AL242" i="1" s="1"/>
  <c r="AH486" i="2"/>
  <c r="AI492" i="2" s="1"/>
  <c r="AI242" i="1" s="1"/>
  <c r="AC486" i="2"/>
  <c r="AA486" i="2"/>
  <c r="AB492" i="2" s="1"/>
  <c r="AB242" i="1" s="1"/>
  <c r="Z486" i="2"/>
  <c r="Y486" i="2"/>
  <c r="X486" i="2"/>
  <c r="W486" i="2"/>
  <c r="S486" i="2"/>
  <c r="AM492" i="2" s="1"/>
  <c r="AM242" i="1" s="1"/>
  <c r="R486" i="2"/>
  <c r="AD492" i="2" s="1"/>
  <c r="AD242" i="1" s="1"/>
  <c r="P486" i="2"/>
  <c r="K486" i="2"/>
  <c r="G486" i="2"/>
  <c r="AK485" i="2"/>
  <c r="AL491" i="2" s="1"/>
  <c r="AL243" i="1" s="1"/>
  <c r="AH485" i="2"/>
  <c r="AI491" i="2" s="1"/>
  <c r="AI243" i="1" s="1"/>
  <c r="AC485" i="2"/>
  <c r="AA485" i="2"/>
  <c r="AB491" i="2" s="1"/>
  <c r="AB243" i="1" s="1"/>
  <c r="Z485" i="2"/>
  <c r="Y485" i="2"/>
  <c r="X485" i="2"/>
  <c r="W485" i="2"/>
  <c r="S485" i="2"/>
  <c r="AM491" i="2" s="1"/>
  <c r="AM243" i="1" s="1"/>
  <c r="R485" i="2"/>
  <c r="AD491" i="2" s="1"/>
  <c r="AD243" i="1" s="1"/>
  <c r="P485" i="2"/>
  <c r="K485" i="2"/>
  <c r="G485" i="2"/>
  <c r="AK484" i="2"/>
  <c r="AL490" i="2" s="1"/>
  <c r="AL244" i="1" s="1"/>
  <c r="AH484" i="2"/>
  <c r="AI490" i="2" s="1"/>
  <c r="AI244" i="1" s="1"/>
  <c r="AC484" i="2"/>
  <c r="AA484" i="2"/>
  <c r="AB490" i="2" s="1"/>
  <c r="AB244" i="1" s="1"/>
  <c r="Z484" i="2"/>
  <c r="Y484" i="2"/>
  <c r="X484" i="2"/>
  <c r="W484" i="2"/>
  <c r="S484" i="2"/>
  <c r="AM490" i="2" s="1"/>
  <c r="AM244" i="1" s="1"/>
  <c r="R484" i="2"/>
  <c r="AD490" i="2" s="1"/>
  <c r="AD244" i="1" s="1"/>
  <c r="P484" i="2"/>
  <c r="K484" i="2"/>
  <c r="G484" i="2"/>
  <c r="AK483" i="2"/>
  <c r="AL487" i="2" s="1"/>
  <c r="AL245" i="1" s="1"/>
  <c r="AH483" i="2"/>
  <c r="AI487" i="2" s="1"/>
  <c r="AI245" i="1" s="1"/>
  <c r="AC483" i="2"/>
  <c r="AA483" i="2"/>
  <c r="AB487" i="2" s="1"/>
  <c r="AB245" i="1" s="1"/>
  <c r="Z483" i="2"/>
  <c r="Y483" i="2"/>
  <c r="X483" i="2"/>
  <c r="W483" i="2"/>
  <c r="S483" i="2"/>
  <c r="AM487" i="2" s="1"/>
  <c r="AM245" i="1" s="1"/>
  <c r="R483" i="2"/>
  <c r="AD487" i="2" s="1"/>
  <c r="AD245" i="1" s="1"/>
  <c r="P483" i="2"/>
  <c r="K483" i="2"/>
  <c r="G483" i="2"/>
  <c r="AK480" i="2"/>
  <c r="AL486" i="2" s="1"/>
  <c r="AL246" i="1" s="1"/>
  <c r="AH480" i="2"/>
  <c r="AI486" i="2" s="1"/>
  <c r="AI246" i="1" s="1"/>
  <c r="AC480" i="2"/>
  <c r="AA480" i="2"/>
  <c r="AB486" i="2" s="1"/>
  <c r="AB246" i="1" s="1"/>
  <c r="Z480" i="2"/>
  <c r="Y480" i="2"/>
  <c r="X480" i="2"/>
  <c r="W480" i="2"/>
  <c r="S480" i="2"/>
  <c r="AM486" i="2" s="1"/>
  <c r="AM246" i="1" s="1"/>
  <c r="R480" i="2"/>
  <c r="AD486" i="2" s="1"/>
  <c r="AD246" i="1" s="1"/>
  <c r="P480" i="2"/>
  <c r="K480" i="2"/>
  <c r="G480" i="2"/>
  <c r="AK479" i="2"/>
  <c r="AL485" i="2" s="1"/>
  <c r="AL247" i="1" s="1"/>
  <c r="AH479" i="2"/>
  <c r="AI485" i="2" s="1"/>
  <c r="AI247" i="1" s="1"/>
  <c r="AC479" i="2"/>
  <c r="AA479" i="2"/>
  <c r="AB485" i="2" s="1"/>
  <c r="AB247" i="1" s="1"/>
  <c r="Z479" i="2"/>
  <c r="Y479" i="2"/>
  <c r="X479" i="2"/>
  <c r="W479" i="2"/>
  <c r="S479" i="2"/>
  <c r="AM485" i="2" s="1"/>
  <c r="AM247" i="1" s="1"/>
  <c r="R479" i="2"/>
  <c r="AD485" i="2" s="1"/>
  <c r="AD247" i="1" s="1"/>
  <c r="P479" i="2"/>
  <c r="K479" i="2"/>
  <c r="G479" i="2"/>
  <c r="AK478" i="2"/>
  <c r="AL484" i="2" s="1"/>
  <c r="AL248" i="1" s="1"/>
  <c r="AH478" i="2"/>
  <c r="AI484" i="2" s="1"/>
  <c r="AI248" i="1" s="1"/>
  <c r="AC478" i="2"/>
  <c r="AA478" i="2"/>
  <c r="AB484" i="2" s="1"/>
  <c r="AB248" i="1" s="1"/>
  <c r="Z478" i="2"/>
  <c r="Y478" i="2"/>
  <c r="X478" i="2"/>
  <c r="W478" i="2"/>
  <c r="S478" i="2"/>
  <c r="AM484" i="2" s="1"/>
  <c r="AM248" i="1" s="1"/>
  <c r="R478" i="2"/>
  <c r="AD484" i="2" s="1"/>
  <c r="AD248" i="1" s="1"/>
  <c r="P478" i="2"/>
  <c r="K478" i="2"/>
  <c r="G478" i="2"/>
  <c r="AK477" i="2"/>
  <c r="AL483" i="2" s="1"/>
  <c r="AL249" i="1" s="1"/>
  <c r="AH477" i="2"/>
  <c r="AI483" i="2" s="1"/>
  <c r="AI249" i="1" s="1"/>
  <c r="AC477" i="2"/>
  <c r="AA477" i="2"/>
  <c r="AB483" i="2" s="1"/>
  <c r="AB249" i="1" s="1"/>
  <c r="Z477" i="2"/>
  <c r="Y477" i="2"/>
  <c r="X477" i="2"/>
  <c r="W477" i="2"/>
  <c r="S477" i="2"/>
  <c r="AM483" i="2" s="1"/>
  <c r="AM249" i="1" s="1"/>
  <c r="R477" i="2"/>
  <c r="AD483" i="2" s="1"/>
  <c r="AD249" i="1" s="1"/>
  <c r="P477" i="2"/>
  <c r="K477" i="2"/>
  <c r="G477" i="2"/>
  <c r="AK476" i="2"/>
  <c r="AL480" i="2" s="1"/>
  <c r="AL250" i="1" s="1"/>
  <c r="AH476" i="2"/>
  <c r="AI480" i="2" s="1"/>
  <c r="AI250" i="1" s="1"/>
  <c r="AC476" i="2"/>
  <c r="AA476" i="2"/>
  <c r="AB480" i="2" s="1"/>
  <c r="AB250" i="1" s="1"/>
  <c r="Z476" i="2"/>
  <c r="Y476" i="2"/>
  <c r="X476" i="2"/>
  <c r="W476" i="2"/>
  <c r="S476" i="2"/>
  <c r="AM480" i="2" s="1"/>
  <c r="AM250" i="1" s="1"/>
  <c r="R476" i="2"/>
  <c r="AD480" i="2" s="1"/>
  <c r="AD250" i="1" s="1"/>
  <c r="P476" i="2"/>
  <c r="K476" i="2"/>
  <c r="G476" i="2"/>
  <c r="AK473" i="2"/>
  <c r="AL479" i="2" s="1"/>
  <c r="AL251" i="1" s="1"/>
  <c r="AH473" i="2"/>
  <c r="AI479" i="2" s="1"/>
  <c r="AI251" i="1" s="1"/>
  <c r="AC473" i="2"/>
  <c r="AA473" i="2"/>
  <c r="AB479" i="2" s="1"/>
  <c r="AB251" i="1" s="1"/>
  <c r="Z473" i="2"/>
  <c r="Y473" i="2"/>
  <c r="X473" i="2"/>
  <c r="W473" i="2"/>
  <c r="S473" i="2"/>
  <c r="AM479" i="2" s="1"/>
  <c r="AM251" i="1" s="1"/>
  <c r="R473" i="2"/>
  <c r="AD479" i="2" s="1"/>
  <c r="AD251" i="1" s="1"/>
  <c r="P473" i="2"/>
  <c r="K473" i="2"/>
  <c r="G473" i="2"/>
  <c r="AK472" i="2"/>
  <c r="AL478" i="2" s="1"/>
  <c r="AL252" i="1" s="1"/>
  <c r="AH472" i="2"/>
  <c r="AI478" i="2" s="1"/>
  <c r="AI252" i="1" s="1"/>
  <c r="AC472" i="2"/>
  <c r="AA472" i="2"/>
  <c r="AB478" i="2" s="1"/>
  <c r="AB252" i="1" s="1"/>
  <c r="Z472" i="2"/>
  <c r="Y472" i="2"/>
  <c r="X472" i="2"/>
  <c r="W472" i="2"/>
  <c r="S472" i="2"/>
  <c r="AM478" i="2" s="1"/>
  <c r="AM252" i="1" s="1"/>
  <c r="R472" i="2"/>
  <c r="AD478" i="2" s="1"/>
  <c r="AD252" i="1" s="1"/>
  <c r="P472" i="2"/>
  <c r="K472" i="2"/>
  <c r="G472" i="2"/>
  <c r="AK471" i="2"/>
  <c r="AL477" i="2" s="1"/>
  <c r="AL253" i="1" s="1"/>
  <c r="AH471" i="2"/>
  <c r="AI477" i="2" s="1"/>
  <c r="AI253" i="1" s="1"/>
  <c r="AC471" i="2"/>
  <c r="AA471" i="2"/>
  <c r="AB477" i="2" s="1"/>
  <c r="AB253" i="1" s="1"/>
  <c r="Z471" i="2"/>
  <c r="Y471" i="2"/>
  <c r="X471" i="2"/>
  <c r="W471" i="2"/>
  <c r="S471" i="2"/>
  <c r="AM477" i="2" s="1"/>
  <c r="AM253" i="1" s="1"/>
  <c r="R471" i="2"/>
  <c r="AD477" i="2" s="1"/>
  <c r="AD253" i="1" s="1"/>
  <c r="P471" i="2"/>
  <c r="K471" i="2"/>
  <c r="G471" i="2"/>
  <c r="AK470" i="2"/>
  <c r="AL476" i="2" s="1"/>
  <c r="AL254" i="1" s="1"/>
  <c r="AH470" i="2"/>
  <c r="AI476" i="2" s="1"/>
  <c r="AI254" i="1" s="1"/>
  <c r="AC470" i="2"/>
  <c r="AA470" i="2"/>
  <c r="AB476" i="2" s="1"/>
  <c r="AB254" i="1" s="1"/>
  <c r="Z470" i="2"/>
  <c r="Y470" i="2"/>
  <c r="X470" i="2"/>
  <c r="W470" i="2"/>
  <c r="S470" i="2"/>
  <c r="AM476" i="2" s="1"/>
  <c r="AM254" i="1" s="1"/>
  <c r="R470" i="2"/>
  <c r="AD476" i="2" s="1"/>
  <c r="AD254" i="1" s="1"/>
  <c r="P470" i="2"/>
  <c r="K470" i="2"/>
  <c r="G470" i="2"/>
  <c r="AK469" i="2"/>
  <c r="AL473" i="2" s="1"/>
  <c r="AL255" i="1" s="1"/>
  <c r="AH469" i="2"/>
  <c r="AI473" i="2" s="1"/>
  <c r="AI255" i="1" s="1"/>
  <c r="AC469" i="2"/>
  <c r="AA469" i="2"/>
  <c r="AB473" i="2" s="1"/>
  <c r="AB255" i="1" s="1"/>
  <c r="Z469" i="2"/>
  <c r="Y469" i="2"/>
  <c r="X469" i="2"/>
  <c r="W469" i="2"/>
  <c r="S469" i="2"/>
  <c r="AM473" i="2" s="1"/>
  <c r="AM255" i="1" s="1"/>
  <c r="R469" i="2"/>
  <c r="AD473" i="2" s="1"/>
  <c r="AD255" i="1" s="1"/>
  <c r="P469" i="2"/>
  <c r="K469" i="2"/>
  <c r="G469" i="2"/>
  <c r="AK466" i="2"/>
  <c r="AL472" i="2" s="1"/>
  <c r="AL256" i="1" s="1"/>
  <c r="AH466" i="2"/>
  <c r="AI472" i="2" s="1"/>
  <c r="AI256" i="1" s="1"/>
  <c r="AC466" i="2"/>
  <c r="AA466" i="2"/>
  <c r="AB472" i="2" s="1"/>
  <c r="AB256" i="1" s="1"/>
  <c r="Z466" i="2"/>
  <c r="Y466" i="2"/>
  <c r="X466" i="2"/>
  <c r="W466" i="2"/>
  <c r="S466" i="2"/>
  <c r="AM472" i="2" s="1"/>
  <c r="AM256" i="1" s="1"/>
  <c r="R466" i="2"/>
  <c r="AD472" i="2" s="1"/>
  <c r="AD256" i="1" s="1"/>
  <c r="P466" i="2"/>
  <c r="K466" i="2"/>
  <c r="G466" i="2"/>
  <c r="AK465" i="2"/>
  <c r="AL471" i="2" s="1"/>
  <c r="AL257" i="1" s="1"/>
  <c r="AH465" i="2"/>
  <c r="AI471" i="2" s="1"/>
  <c r="AI257" i="1" s="1"/>
  <c r="AC465" i="2"/>
  <c r="AA465" i="2"/>
  <c r="AB471" i="2" s="1"/>
  <c r="AB257" i="1" s="1"/>
  <c r="Z465" i="2"/>
  <c r="Y465" i="2"/>
  <c r="X465" i="2"/>
  <c r="W465" i="2"/>
  <c r="S465" i="2"/>
  <c r="AM471" i="2" s="1"/>
  <c r="AM257" i="1" s="1"/>
  <c r="R465" i="2"/>
  <c r="AD471" i="2" s="1"/>
  <c r="AD257" i="1" s="1"/>
  <c r="P465" i="2"/>
  <c r="K465" i="2"/>
  <c r="G465" i="2"/>
  <c r="AK464" i="2"/>
  <c r="AL470" i="2" s="1"/>
  <c r="AL258" i="1" s="1"/>
  <c r="AH464" i="2"/>
  <c r="AI470" i="2" s="1"/>
  <c r="AI258" i="1" s="1"/>
  <c r="AC464" i="2"/>
  <c r="AA464" i="2"/>
  <c r="AB470" i="2" s="1"/>
  <c r="AB258" i="1" s="1"/>
  <c r="Z464" i="2"/>
  <c r="Y464" i="2"/>
  <c r="X464" i="2"/>
  <c r="W464" i="2"/>
  <c r="S464" i="2"/>
  <c r="AM470" i="2" s="1"/>
  <c r="AM258" i="1" s="1"/>
  <c r="R464" i="2"/>
  <c r="AD470" i="2" s="1"/>
  <c r="AD258" i="1" s="1"/>
  <c r="P464" i="2"/>
  <c r="K464" i="2"/>
  <c r="G464" i="2"/>
  <c r="AK463" i="2"/>
  <c r="AL469" i="2" s="1"/>
  <c r="AL259" i="1" s="1"/>
  <c r="AH463" i="2"/>
  <c r="AI469" i="2" s="1"/>
  <c r="AI259" i="1" s="1"/>
  <c r="AC463" i="2"/>
  <c r="AA463" i="2"/>
  <c r="AB469" i="2" s="1"/>
  <c r="AB259" i="1" s="1"/>
  <c r="Z463" i="2"/>
  <c r="Y463" i="2"/>
  <c r="X463" i="2"/>
  <c r="W463" i="2"/>
  <c r="S463" i="2"/>
  <c r="AM469" i="2" s="1"/>
  <c r="AM259" i="1" s="1"/>
  <c r="R463" i="2"/>
  <c r="AD469" i="2" s="1"/>
  <c r="AD259" i="1" s="1"/>
  <c r="P463" i="2"/>
  <c r="K463" i="2"/>
  <c r="G463" i="2"/>
  <c r="AK462" i="2"/>
  <c r="AH462" i="2"/>
  <c r="AC462" i="2"/>
  <c r="AA462" i="2"/>
  <c r="Z462" i="2"/>
  <c r="Y462" i="2"/>
  <c r="X462" i="2"/>
  <c r="W462" i="2"/>
  <c r="S462" i="2"/>
  <c r="R462" i="2"/>
  <c r="P462" i="2"/>
  <c r="Q462" i="2" s="1"/>
  <c r="Q264" i="1" s="1"/>
  <c r="K462" i="2"/>
  <c r="G462" i="2"/>
  <c r="AK461" i="2"/>
  <c r="AH461" i="2"/>
  <c r="AC461" i="2"/>
  <c r="AA461" i="2"/>
  <c r="Z461" i="2"/>
  <c r="Y461" i="2"/>
  <c r="X461" i="2"/>
  <c r="W461" i="2"/>
  <c r="S461" i="2"/>
  <c r="R461" i="2"/>
  <c r="P461" i="2"/>
  <c r="Q461" i="2" s="1"/>
  <c r="Q265" i="1" s="1"/>
  <c r="K461" i="2"/>
  <c r="G461" i="2"/>
  <c r="AK460" i="2"/>
  <c r="AL466" i="2" s="1"/>
  <c r="AL260" i="1" s="1"/>
  <c r="AH460" i="2"/>
  <c r="AI466" i="2" s="1"/>
  <c r="AI260" i="1" s="1"/>
  <c r="AC460" i="2"/>
  <c r="AA460" i="2"/>
  <c r="AB466" i="2" s="1"/>
  <c r="AB260" i="1" s="1"/>
  <c r="Z460" i="2"/>
  <c r="Y460" i="2"/>
  <c r="X460" i="2"/>
  <c r="W460" i="2"/>
  <c r="S460" i="2"/>
  <c r="AM466" i="2" s="1"/>
  <c r="AM260" i="1" s="1"/>
  <c r="R460" i="2"/>
  <c r="AD466" i="2" s="1"/>
  <c r="AD260" i="1" s="1"/>
  <c r="P460" i="2"/>
  <c r="K460" i="2"/>
  <c r="G460" i="2"/>
  <c r="AK459" i="2"/>
  <c r="AL465" i="2" s="1"/>
  <c r="AL261" i="1" s="1"/>
  <c r="AH459" i="2"/>
  <c r="AI465" i="2" s="1"/>
  <c r="AI261" i="1" s="1"/>
  <c r="AC459" i="2"/>
  <c r="AA459" i="2"/>
  <c r="AB465" i="2" s="1"/>
  <c r="AB261" i="1" s="1"/>
  <c r="Z459" i="2"/>
  <c r="Y459" i="2"/>
  <c r="X459" i="2"/>
  <c r="W459" i="2"/>
  <c r="S459" i="2"/>
  <c r="AM465" i="2" s="1"/>
  <c r="AM261" i="1" s="1"/>
  <c r="R459" i="2"/>
  <c r="AD465" i="2" s="1"/>
  <c r="AD261" i="1" s="1"/>
  <c r="P459" i="2"/>
  <c r="K459" i="2"/>
  <c r="G459" i="2"/>
  <c r="AK458" i="2"/>
  <c r="AL464" i="2" s="1"/>
  <c r="AL262" i="1" s="1"/>
  <c r="AH458" i="2"/>
  <c r="AI464" i="2" s="1"/>
  <c r="AI262" i="1" s="1"/>
  <c r="AC458" i="2"/>
  <c r="AA458" i="2"/>
  <c r="AB464" i="2" s="1"/>
  <c r="AB262" i="1" s="1"/>
  <c r="Z458" i="2"/>
  <c r="Y458" i="2"/>
  <c r="X458" i="2"/>
  <c r="W458" i="2"/>
  <c r="S458" i="2"/>
  <c r="AM464" i="2" s="1"/>
  <c r="AM262" i="1" s="1"/>
  <c r="R458" i="2"/>
  <c r="AD464" i="2" s="1"/>
  <c r="AD262" i="1" s="1"/>
  <c r="P458" i="2"/>
  <c r="K458" i="2"/>
  <c r="G458" i="2"/>
  <c r="AK457" i="2"/>
  <c r="AL463" i="2" s="1"/>
  <c r="AL263" i="1" s="1"/>
  <c r="AH457" i="2"/>
  <c r="AI463" i="2" s="1"/>
  <c r="AI263" i="1" s="1"/>
  <c r="AC457" i="2"/>
  <c r="AA457" i="2"/>
  <c r="AB463" i="2" s="1"/>
  <c r="AB263" i="1" s="1"/>
  <c r="Z457" i="2"/>
  <c r="Y457" i="2"/>
  <c r="X457" i="2"/>
  <c r="W457" i="2"/>
  <c r="S457" i="2"/>
  <c r="AM463" i="2" s="1"/>
  <c r="AM263" i="1" s="1"/>
  <c r="R457" i="2"/>
  <c r="AD463" i="2" s="1"/>
  <c r="AD263" i="1" s="1"/>
  <c r="P457" i="2"/>
  <c r="K457" i="2"/>
  <c r="G457" i="2"/>
  <c r="AK456" i="2"/>
  <c r="AL462" i="2" s="1"/>
  <c r="AL264" i="1" s="1"/>
  <c r="AH456" i="2"/>
  <c r="AI462" i="2" s="1"/>
  <c r="AI264" i="1" s="1"/>
  <c r="AC456" i="2"/>
  <c r="AA456" i="2"/>
  <c r="AB462" i="2" s="1"/>
  <c r="AB264" i="1" s="1"/>
  <c r="Z456" i="2"/>
  <c r="Y456" i="2"/>
  <c r="X456" i="2"/>
  <c r="W456" i="2"/>
  <c r="S456" i="2"/>
  <c r="AM462" i="2" s="1"/>
  <c r="AM264" i="1" s="1"/>
  <c r="R456" i="2"/>
  <c r="AD462" i="2" s="1"/>
  <c r="AD264" i="1" s="1"/>
  <c r="P456" i="2"/>
  <c r="K456" i="2"/>
  <c r="G456" i="2"/>
  <c r="AK455" i="2"/>
  <c r="AL461" i="2" s="1"/>
  <c r="AL265" i="1" s="1"/>
  <c r="AH455" i="2"/>
  <c r="AI461" i="2" s="1"/>
  <c r="AI265" i="1" s="1"/>
  <c r="AC455" i="2"/>
  <c r="AA455" i="2"/>
  <c r="AB461" i="2" s="1"/>
  <c r="AB265" i="1" s="1"/>
  <c r="Z455" i="2"/>
  <c r="Y455" i="2"/>
  <c r="X455" i="2"/>
  <c r="W455" i="2"/>
  <c r="S455" i="2"/>
  <c r="AM461" i="2" s="1"/>
  <c r="AM265" i="1" s="1"/>
  <c r="R455" i="2"/>
  <c r="AD461" i="2" s="1"/>
  <c r="AD265" i="1" s="1"/>
  <c r="P455" i="2"/>
  <c r="K455" i="2"/>
  <c r="G455" i="2"/>
  <c r="AK454" i="2"/>
  <c r="AL460" i="2" s="1"/>
  <c r="AL266" i="1" s="1"/>
  <c r="AH454" i="2"/>
  <c r="AI460" i="2" s="1"/>
  <c r="AI266" i="1" s="1"/>
  <c r="AC454" i="2"/>
  <c r="AA454" i="2"/>
  <c r="AB460" i="2" s="1"/>
  <c r="AB266" i="1" s="1"/>
  <c r="Z454" i="2"/>
  <c r="Y454" i="2"/>
  <c r="X454" i="2"/>
  <c r="W454" i="2"/>
  <c r="S454" i="2"/>
  <c r="AM460" i="2" s="1"/>
  <c r="AM266" i="1" s="1"/>
  <c r="R454" i="2"/>
  <c r="AD460" i="2" s="1"/>
  <c r="AD266" i="1" s="1"/>
  <c r="P454" i="2"/>
  <c r="K454" i="2"/>
  <c r="G454" i="2"/>
  <c r="AK453" i="2"/>
  <c r="AL459" i="2" s="1"/>
  <c r="AL267" i="1" s="1"/>
  <c r="AH453" i="2"/>
  <c r="AI459" i="2" s="1"/>
  <c r="AI267" i="1" s="1"/>
  <c r="AC453" i="2"/>
  <c r="AA453" i="2"/>
  <c r="AB459" i="2" s="1"/>
  <c r="AB267" i="1" s="1"/>
  <c r="Z453" i="2"/>
  <c r="Y453" i="2"/>
  <c r="X453" i="2"/>
  <c r="S453" i="2"/>
  <c r="AM459" i="2" s="1"/>
  <c r="AM267" i="1" s="1"/>
  <c r="R453" i="2"/>
  <c r="AD459" i="2" s="1"/>
  <c r="AD267" i="1" s="1"/>
  <c r="P453" i="2"/>
  <c r="K453" i="2"/>
  <c r="G453" i="2"/>
  <c r="AK452" i="2"/>
  <c r="AL458" i="2" s="1"/>
  <c r="AL268" i="1" s="1"/>
  <c r="AH452" i="2"/>
  <c r="AI458" i="2" s="1"/>
  <c r="AI268" i="1" s="1"/>
  <c r="AC452" i="2"/>
  <c r="AA452" i="2"/>
  <c r="AB458" i="2" s="1"/>
  <c r="AB268" i="1" s="1"/>
  <c r="X452" i="2"/>
  <c r="T452" i="2"/>
  <c r="S452" i="2"/>
  <c r="AM458" i="2" s="1"/>
  <c r="AM268" i="1" s="1"/>
  <c r="R452" i="2"/>
  <c r="AD458" i="2" s="1"/>
  <c r="AD268" i="1" s="1"/>
  <c r="P452" i="2"/>
  <c r="K452" i="2"/>
  <c r="G452" i="2"/>
  <c r="AK451" i="2"/>
  <c r="AL457" i="2" s="1"/>
  <c r="AL269" i="1" s="1"/>
  <c r="AH451" i="2"/>
  <c r="AI457" i="2" s="1"/>
  <c r="AI269" i="1" s="1"/>
  <c r="AC451" i="2"/>
  <c r="AA451" i="2"/>
  <c r="AB457" i="2" s="1"/>
  <c r="AB269" i="1" s="1"/>
  <c r="Z451" i="2"/>
  <c r="Y451" i="2"/>
  <c r="X451" i="2"/>
  <c r="W451" i="2"/>
  <c r="S451" i="2"/>
  <c r="AM457" i="2" s="1"/>
  <c r="AM269" i="1" s="1"/>
  <c r="R451" i="2"/>
  <c r="AD457" i="2" s="1"/>
  <c r="AD269" i="1" s="1"/>
  <c r="P451" i="2"/>
  <c r="K451" i="2"/>
  <c r="G451" i="2"/>
  <c r="AK450" i="2"/>
  <c r="AL456" i="2" s="1"/>
  <c r="AL270" i="1" s="1"/>
  <c r="AH450" i="2"/>
  <c r="AI456" i="2" s="1"/>
  <c r="AI270" i="1" s="1"/>
  <c r="AC450" i="2"/>
  <c r="AA450" i="2"/>
  <c r="AB456" i="2" s="1"/>
  <c r="AB270" i="1" s="1"/>
  <c r="Z450" i="2"/>
  <c r="Y450" i="2"/>
  <c r="X450" i="2"/>
  <c r="W450" i="2"/>
  <c r="S450" i="2"/>
  <c r="AM456" i="2" s="1"/>
  <c r="AM270" i="1" s="1"/>
  <c r="R450" i="2"/>
  <c r="AD456" i="2" s="1"/>
  <c r="AD270" i="1" s="1"/>
  <c r="P450" i="2"/>
  <c r="K450" i="2"/>
  <c r="G450" i="2"/>
  <c r="AK449" i="2"/>
  <c r="AL455" i="2" s="1"/>
  <c r="AL271" i="1" s="1"/>
  <c r="AH449" i="2"/>
  <c r="AI455" i="2" s="1"/>
  <c r="AI271" i="1" s="1"/>
  <c r="AC449" i="2"/>
  <c r="AA449" i="2"/>
  <c r="AB455" i="2" s="1"/>
  <c r="AB271" i="1" s="1"/>
  <c r="Z449" i="2"/>
  <c r="Y449" i="2"/>
  <c r="X449" i="2"/>
  <c r="W449" i="2"/>
  <c r="S449" i="2"/>
  <c r="AM455" i="2" s="1"/>
  <c r="AM271" i="1" s="1"/>
  <c r="R449" i="2"/>
  <c r="AD455" i="2" s="1"/>
  <c r="AD271" i="1" s="1"/>
  <c r="P449" i="2"/>
  <c r="K449" i="2"/>
  <c r="G449" i="2"/>
  <c r="AK448" i="2"/>
  <c r="AL454" i="2" s="1"/>
  <c r="AL272" i="1" s="1"/>
  <c r="AH448" i="2"/>
  <c r="AI454" i="2" s="1"/>
  <c r="AI272" i="1" s="1"/>
  <c r="AC448" i="2"/>
  <c r="AA448" i="2"/>
  <c r="AB454" i="2" s="1"/>
  <c r="AB272" i="1" s="1"/>
  <c r="Z448" i="2"/>
  <c r="Y448" i="2"/>
  <c r="X448" i="2"/>
  <c r="W448" i="2"/>
  <c r="S448" i="2"/>
  <c r="AM454" i="2" s="1"/>
  <c r="AM272" i="1" s="1"/>
  <c r="R448" i="2"/>
  <c r="AD454" i="2" s="1"/>
  <c r="AD272" i="1" s="1"/>
  <c r="P448" i="2"/>
  <c r="K448" i="2"/>
  <c r="G448" i="2"/>
  <c r="AK447" i="2"/>
  <c r="AL453" i="2" s="1"/>
  <c r="AL273" i="1" s="1"/>
  <c r="AH447" i="2"/>
  <c r="AI453" i="2" s="1"/>
  <c r="AI273" i="1" s="1"/>
  <c r="AC447" i="2"/>
  <c r="AA447" i="2"/>
  <c r="AB453" i="2" s="1"/>
  <c r="AB273" i="1" s="1"/>
  <c r="Z447" i="2"/>
  <c r="Y447" i="2"/>
  <c r="X447" i="2"/>
  <c r="W447" i="2"/>
  <c r="S447" i="2"/>
  <c r="AM453" i="2" s="1"/>
  <c r="AM273" i="1" s="1"/>
  <c r="R447" i="2"/>
  <c r="AD453" i="2" s="1"/>
  <c r="AD273" i="1" s="1"/>
  <c r="P447" i="2"/>
  <c r="K447" i="2"/>
  <c r="G447" i="2"/>
  <c r="AK446" i="2"/>
  <c r="AL452" i="2" s="1"/>
  <c r="AL274" i="1" s="1"/>
  <c r="AH446" i="2"/>
  <c r="AI452" i="2" s="1"/>
  <c r="AI274" i="1" s="1"/>
  <c r="AC446" i="2"/>
  <c r="AA446" i="2"/>
  <c r="AB452" i="2" s="1"/>
  <c r="AB274" i="1" s="1"/>
  <c r="Z446" i="2"/>
  <c r="Y446" i="2"/>
  <c r="X446" i="2"/>
  <c r="W446" i="2"/>
  <c r="S446" i="2"/>
  <c r="AM452" i="2" s="1"/>
  <c r="AM274" i="1" s="1"/>
  <c r="R446" i="2"/>
  <c r="AD452" i="2" s="1"/>
  <c r="AD274" i="1" s="1"/>
  <c r="P446" i="2"/>
  <c r="K446" i="2"/>
  <c r="G446" i="2"/>
  <c r="AK445" i="2"/>
  <c r="AL451" i="2" s="1"/>
  <c r="AL275" i="1" s="1"/>
  <c r="AH445" i="2"/>
  <c r="AI451" i="2" s="1"/>
  <c r="AI275" i="1" s="1"/>
  <c r="AC445" i="2"/>
  <c r="AA445" i="2"/>
  <c r="AB451" i="2" s="1"/>
  <c r="AB275" i="1" s="1"/>
  <c r="Z445" i="2"/>
  <c r="Y445" i="2"/>
  <c r="X445" i="2"/>
  <c r="W445" i="2"/>
  <c r="S445" i="2"/>
  <c r="AM451" i="2" s="1"/>
  <c r="AM275" i="1" s="1"/>
  <c r="R445" i="2"/>
  <c r="AD451" i="2" s="1"/>
  <c r="AD275" i="1" s="1"/>
  <c r="P445" i="2"/>
  <c r="K445" i="2"/>
  <c r="G445" i="2"/>
  <c r="AK444" i="2"/>
  <c r="AL450" i="2" s="1"/>
  <c r="AL276" i="1" s="1"/>
  <c r="AH444" i="2"/>
  <c r="AI450" i="2" s="1"/>
  <c r="AI276" i="1" s="1"/>
  <c r="AC444" i="2"/>
  <c r="AA444" i="2"/>
  <c r="AB450" i="2" s="1"/>
  <c r="AB276" i="1" s="1"/>
  <c r="Z444" i="2"/>
  <c r="Y444" i="2"/>
  <c r="X444" i="2"/>
  <c r="W444" i="2"/>
  <c r="S444" i="2"/>
  <c r="AM450" i="2" s="1"/>
  <c r="AM276" i="1" s="1"/>
  <c r="R444" i="2"/>
  <c r="AD450" i="2" s="1"/>
  <c r="AD276" i="1" s="1"/>
  <c r="P444" i="2"/>
  <c r="K444" i="2"/>
  <c r="G444" i="2"/>
  <c r="AK443" i="2"/>
  <c r="AL449" i="2" s="1"/>
  <c r="AL277" i="1" s="1"/>
  <c r="AH443" i="2"/>
  <c r="AI449" i="2" s="1"/>
  <c r="AI277" i="1" s="1"/>
  <c r="AC443" i="2"/>
  <c r="AA443" i="2"/>
  <c r="AB449" i="2" s="1"/>
  <c r="AB277" i="1" s="1"/>
  <c r="Z443" i="2"/>
  <c r="Y443" i="2"/>
  <c r="X443" i="2"/>
  <c r="W443" i="2"/>
  <c r="S443" i="2"/>
  <c r="AM449" i="2" s="1"/>
  <c r="AM277" i="1" s="1"/>
  <c r="R443" i="2"/>
  <c r="AD449" i="2" s="1"/>
  <c r="AD277" i="1" s="1"/>
  <c r="P443" i="2"/>
  <c r="K443" i="2"/>
  <c r="G443" i="2"/>
  <c r="AK442" i="2"/>
  <c r="AL448" i="2" s="1"/>
  <c r="AL278" i="1" s="1"/>
  <c r="AH442" i="2"/>
  <c r="AI448" i="2" s="1"/>
  <c r="AI278" i="1" s="1"/>
  <c r="AC442" i="2"/>
  <c r="AA442" i="2"/>
  <c r="AB448" i="2" s="1"/>
  <c r="AB278" i="1" s="1"/>
  <c r="Z442" i="2"/>
  <c r="Y442" i="2"/>
  <c r="X442" i="2"/>
  <c r="W442" i="2"/>
  <c r="S442" i="2"/>
  <c r="AM448" i="2" s="1"/>
  <c r="AM278" i="1" s="1"/>
  <c r="R442" i="2"/>
  <c r="AD448" i="2" s="1"/>
  <c r="AD278" i="1" s="1"/>
  <c r="P442" i="2"/>
  <c r="K442" i="2"/>
  <c r="G442" i="2"/>
  <c r="AK441" i="2"/>
  <c r="AL447" i="2" s="1"/>
  <c r="AL279" i="1" s="1"/>
  <c r="AH441" i="2"/>
  <c r="AI447" i="2" s="1"/>
  <c r="AI279" i="1" s="1"/>
  <c r="AC441" i="2"/>
  <c r="AA441" i="2"/>
  <c r="AB447" i="2" s="1"/>
  <c r="AB279" i="1" s="1"/>
  <c r="Z441" i="2"/>
  <c r="Y441" i="2"/>
  <c r="X441" i="2"/>
  <c r="W441" i="2"/>
  <c r="S441" i="2"/>
  <c r="AM447" i="2" s="1"/>
  <c r="AM279" i="1" s="1"/>
  <c r="R441" i="2"/>
  <c r="AD447" i="2" s="1"/>
  <c r="AD279" i="1" s="1"/>
  <c r="P441" i="2"/>
  <c r="K441" i="2"/>
  <c r="G441" i="2"/>
  <c r="AK440" i="2"/>
  <c r="AL446" i="2" s="1"/>
  <c r="AL280" i="1" s="1"/>
  <c r="AH440" i="2"/>
  <c r="AI446" i="2" s="1"/>
  <c r="AI280" i="1" s="1"/>
  <c r="AC440" i="2"/>
  <c r="AA440" i="2"/>
  <c r="AB446" i="2" s="1"/>
  <c r="AB280" i="1" s="1"/>
  <c r="Z440" i="2"/>
  <c r="Y440" i="2"/>
  <c r="X440" i="2"/>
  <c r="W440" i="2"/>
  <c r="S440" i="2"/>
  <c r="AM446" i="2" s="1"/>
  <c r="AM280" i="1" s="1"/>
  <c r="R440" i="2"/>
  <c r="AD446" i="2" s="1"/>
  <c r="AD280" i="1" s="1"/>
  <c r="P440" i="2"/>
  <c r="K440" i="2"/>
  <c r="G440" i="2"/>
  <c r="AK439" i="2"/>
  <c r="AL445" i="2" s="1"/>
  <c r="AL281" i="1" s="1"/>
  <c r="AH439" i="2"/>
  <c r="AI445" i="2" s="1"/>
  <c r="AI281" i="1" s="1"/>
  <c r="AC439" i="2"/>
  <c r="AA439" i="2"/>
  <c r="AB445" i="2" s="1"/>
  <c r="AB281" i="1" s="1"/>
  <c r="Z439" i="2"/>
  <c r="Y439" i="2"/>
  <c r="X439" i="2"/>
  <c r="W439" i="2"/>
  <c r="S439" i="2"/>
  <c r="AM445" i="2" s="1"/>
  <c r="AM281" i="1" s="1"/>
  <c r="R439" i="2"/>
  <c r="AD445" i="2" s="1"/>
  <c r="AD281" i="1" s="1"/>
  <c r="P439" i="2"/>
  <c r="K439" i="2"/>
  <c r="G439" i="2"/>
  <c r="AK438" i="2"/>
  <c r="AL444" i="2" s="1"/>
  <c r="AL282" i="1" s="1"/>
  <c r="AH438" i="2"/>
  <c r="AI444" i="2" s="1"/>
  <c r="AI282" i="1" s="1"/>
  <c r="AC438" i="2"/>
  <c r="AA438" i="2"/>
  <c r="AB444" i="2" s="1"/>
  <c r="AB282" i="1" s="1"/>
  <c r="Z438" i="2"/>
  <c r="Y438" i="2"/>
  <c r="X438" i="2"/>
  <c r="W438" i="2"/>
  <c r="S438" i="2"/>
  <c r="AM444" i="2" s="1"/>
  <c r="AM282" i="1" s="1"/>
  <c r="R438" i="2"/>
  <c r="AD444" i="2" s="1"/>
  <c r="AD282" i="1" s="1"/>
  <c r="P438" i="2"/>
  <c r="K438" i="2"/>
  <c r="G438" i="2"/>
  <c r="AK437" i="2"/>
  <c r="AL443" i="2" s="1"/>
  <c r="AL283" i="1" s="1"/>
  <c r="AH437" i="2"/>
  <c r="AI443" i="2" s="1"/>
  <c r="AI283" i="1" s="1"/>
  <c r="AC437" i="2"/>
  <c r="AA437" i="2"/>
  <c r="AB443" i="2" s="1"/>
  <c r="AB283" i="1" s="1"/>
  <c r="Z437" i="2"/>
  <c r="Y437" i="2"/>
  <c r="X437" i="2"/>
  <c r="W437" i="2"/>
  <c r="S437" i="2"/>
  <c r="AM443" i="2" s="1"/>
  <c r="AM283" i="1" s="1"/>
  <c r="R437" i="2"/>
  <c r="AD443" i="2" s="1"/>
  <c r="AD283" i="1" s="1"/>
  <c r="P437" i="2"/>
  <c r="K437" i="2"/>
  <c r="G437" i="2"/>
  <c r="AK436" i="2"/>
  <c r="AL442" i="2" s="1"/>
  <c r="AL284" i="1" s="1"/>
  <c r="AH436" i="2"/>
  <c r="AI442" i="2" s="1"/>
  <c r="AI284" i="1" s="1"/>
  <c r="AC436" i="2"/>
  <c r="AA436" i="2"/>
  <c r="AB442" i="2" s="1"/>
  <c r="AB284" i="1" s="1"/>
  <c r="Z436" i="2"/>
  <c r="Y436" i="2"/>
  <c r="X436" i="2"/>
  <c r="W436" i="2"/>
  <c r="S436" i="2"/>
  <c r="AM442" i="2" s="1"/>
  <c r="AM284" i="1" s="1"/>
  <c r="R436" i="2"/>
  <c r="AD442" i="2" s="1"/>
  <c r="AD284" i="1" s="1"/>
  <c r="P436" i="2"/>
  <c r="K436" i="2"/>
  <c r="G436" i="2"/>
  <c r="AK435" i="2"/>
  <c r="AL441" i="2" s="1"/>
  <c r="AL285" i="1" s="1"/>
  <c r="AH435" i="2"/>
  <c r="AI441" i="2" s="1"/>
  <c r="AI285" i="1" s="1"/>
  <c r="AC435" i="2"/>
  <c r="AA435" i="2"/>
  <c r="AB441" i="2" s="1"/>
  <c r="AB285" i="1" s="1"/>
  <c r="Z435" i="2"/>
  <c r="Y435" i="2"/>
  <c r="X435" i="2"/>
  <c r="W435" i="2"/>
  <c r="S435" i="2"/>
  <c r="AM441" i="2" s="1"/>
  <c r="AM285" i="1" s="1"/>
  <c r="R435" i="2"/>
  <c r="AD441" i="2" s="1"/>
  <c r="AD285" i="1" s="1"/>
  <c r="P435" i="2"/>
  <c r="K435" i="2"/>
  <c r="G435" i="2"/>
  <c r="AK434" i="2"/>
  <c r="AL440" i="2" s="1"/>
  <c r="AL286" i="1" s="1"/>
  <c r="AH434" i="2"/>
  <c r="AI440" i="2" s="1"/>
  <c r="AI286" i="1" s="1"/>
  <c r="AC434" i="2"/>
  <c r="AA434" i="2"/>
  <c r="AB440" i="2" s="1"/>
  <c r="AB286" i="1" s="1"/>
  <c r="Z434" i="2"/>
  <c r="Y434" i="2"/>
  <c r="X434" i="2"/>
  <c r="W434" i="2"/>
  <c r="S434" i="2"/>
  <c r="AM440" i="2" s="1"/>
  <c r="AM286" i="1" s="1"/>
  <c r="R434" i="2"/>
  <c r="AD440" i="2" s="1"/>
  <c r="AD286" i="1" s="1"/>
  <c r="P434" i="2"/>
  <c r="K434" i="2"/>
  <c r="G434" i="2"/>
  <c r="AK433" i="2"/>
  <c r="AL439" i="2" s="1"/>
  <c r="AL287" i="1" s="1"/>
  <c r="AH433" i="2"/>
  <c r="AI439" i="2" s="1"/>
  <c r="AI287" i="1" s="1"/>
  <c r="AC433" i="2"/>
  <c r="AA433" i="2"/>
  <c r="AB439" i="2" s="1"/>
  <c r="AB287" i="1" s="1"/>
  <c r="Z433" i="2"/>
  <c r="Y433" i="2"/>
  <c r="X433" i="2"/>
  <c r="W433" i="2"/>
  <c r="S433" i="2"/>
  <c r="AM439" i="2" s="1"/>
  <c r="AM287" i="1" s="1"/>
  <c r="R433" i="2"/>
  <c r="AD439" i="2" s="1"/>
  <c r="AD287" i="1" s="1"/>
  <c r="P433" i="2"/>
  <c r="K433" i="2"/>
  <c r="G433" i="2"/>
  <c r="AK432" i="2"/>
  <c r="AL438" i="2" s="1"/>
  <c r="AL288" i="1" s="1"/>
  <c r="AH432" i="2"/>
  <c r="AI438" i="2" s="1"/>
  <c r="AI288" i="1" s="1"/>
  <c r="AC432" i="2"/>
  <c r="AA432" i="2"/>
  <c r="AB438" i="2" s="1"/>
  <c r="AB288" i="1" s="1"/>
  <c r="Z432" i="2"/>
  <c r="Y432" i="2"/>
  <c r="X432" i="2"/>
  <c r="W432" i="2"/>
  <c r="S432" i="2"/>
  <c r="AM438" i="2" s="1"/>
  <c r="AM288" i="1" s="1"/>
  <c r="R432" i="2"/>
  <c r="AD438" i="2" s="1"/>
  <c r="AD288" i="1" s="1"/>
  <c r="Q432" i="2"/>
  <c r="P432" i="2"/>
  <c r="AE438" i="2" s="1"/>
  <c r="AE288" i="1" s="1"/>
  <c r="K432" i="2"/>
  <c r="G432" i="2"/>
  <c r="AK431" i="2"/>
  <c r="AL437" i="2" s="1"/>
  <c r="AL289" i="1" s="1"/>
  <c r="AH431" i="2"/>
  <c r="AI437" i="2" s="1"/>
  <c r="AI289" i="1" s="1"/>
  <c r="AC431" i="2"/>
  <c r="AA431" i="2"/>
  <c r="AB437" i="2" s="1"/>
  <c r="AB289" i="1" s="1"/>
  <c r="Z431" i="2"/>
  <c r="Y431" i="2"/>
  <c r="X431" i="2"/>
  <c r="W431" i="2"/>
  <c r="S431" i="2"/>
  <c r="AM437" i="2" s="1"/>
  <c r="AM289" i="1" s="1"/>
  <c r="R431" i="2"/>
  <c r="AD437" i="2" s="1"/>
  <c r="AD289" i="1" s="1"/>
  <c r="P431" i="2"/>
  <c r="K431" i="2"/>
  <c r="G431" i="2"/>
  <c r="AK430" i="2"/>
  <c r="AL436" i="2" s="1"/>
  <c r="AL290" i="1" s="1"/>
  <c r="AH430" i="2"/>
  <c r="AI436" i="2" s="1"/>
  <c r="AI290" i="1" s="1"/>
  <c r="AC430" i="2"/>
  <c r="AA430" i="2"/>
  <c r="AB436" i="2" s="1"/>
  <c r="AB290" i="1" s="1"/>
  <c r="Z430" i="2"/>
  <c r="Y430" i="2"/>
  <c r="X430" i="2"/>
  <c r="W430" i="2"/>
  <c r="S430" i="2"/>
  <c r="AM436" i="2" s="1"/>
  <c r="AM290" i="1" s="1"/>
  <c r="R430" i="2"/>
  <c r="AD436" i="2" s="1"/>
  <c r="AD290" i="1" s="1"/>
  <c r="P430" i="2"/>
  <c r="K430" i="2"/>
  <c r="G430" i="2"/>
  <c r="AK429" i="2"/>
  <c r="AL435" i="2" s="1"/>
  <c r="AL291" i="1" s="1"/>
  <c r="AH429" i="2"/>
  <c r="AI435" i="2" s="1"/>
  <c r="AI291" i="1" s="1"/>
  <c r="AC429" i="2"/>
  <c r="AA429" i="2"/>
  <c r="AB435" i="2" s="1"/>
  <c r="AB291" i="1" s="1"/>
  <c r="Z429" i="2"/>
  <c r="Y429" i="2"/>
  <c r="X429" i="2"/>
  <c r="W429" i="2"/>
  <c r="S429" i="2"/>
  <c r="AM435" i="2" s="1"/>
  <c r="AM291" i="1" s="1"/>
  <c r="R429" i="2"/>
  <c r="AD435" i="2" s="1"/>
  <c r="AD291" i="1" s="1"/>
  <c r="P429" i="2"/>
  <c r="K429" i="2"/>
  <c r="G429" i="2"/>
  <c r="AK428" i="2"/>
  <c r="AL434" i="2" s="1"/>
  <c r="AL292" i="1" s="1"/>
  <c r="AH428" i="2"/>
  <c r="AI434" i="2" s="1"/>
  <c r="AI292" i="1" s="1"/>
  <c r="AC428" i="2"/>
  <c r="AA428" i="2"/>
  <c r="AB434" i="2" s="1"/>
  <c r="AB292" i="1" s="1"/>
  <c r="Z428" i="2"/>
  <c r="Y428" i="2"/>
  <c r="X428" i="2"/>
  <c r="W428" i="2"/>
  <c r="S428" i="2"/>
  <c r="AM434" i="2" s="1"/>
  <c r="AM292" i="1" s="1"/>
  <c r="R428" i="2"/>
  <c r="AD434" i="2" s="1"/>
  <c r="AD292" i="1" s="1"/>
  <c r="P428" i="2"/>
  <c r="K428" i="2"/>
  <c r="G428" i="2"/>
  <c r="AK427" i="2"/>
  <c r="AL433" i="2" s="1"/>
  <c r="AL293" i="1" s="1"/>
  <c r="AH427" i="2"/>
  <c r="AI433" i="2" s="1"/>
  <c r="AI293" i="1" s="1"/>
  <c r="AC427" i="2"/>
  <c r="AA427" i="2"/>
  <c r="AB433" i="2" s="1"/>
  <c r="AB293" i="1" s="1"/>
  <c r="Z427" i="2"/>
  <c r="Y427" i="2"/>
  <c r="X427" i="2"/>
  <c r="W427" i="2"/>
  <c r="S427" i="2"/>
  <c r="AM433" i="2" s="1"/>
  <c r="AM293" i="1" s="1"/>
  <c r="R427" i="2"/>
  <c r="AD433" i="2" s="1"/>
  <c r="AD293" i="1" s="1"/>
  <c r="P427" i="2"/>
  <c r="K427" i="2"/>
  <c r="G427" i="2"/>
  <c r="AK426" i="2"/>
  <c r="AL432" i="2" s="1"/>
  <c r="AL294" i="1" s="1"/>
  <c r="AH426" i="2"/>
  <c r="AI432" i="2" s="1"/>
  <c r="AI294" i="1" s="1"/>
  <c r="AC426" i="2"/>
  <c r="AA426" i="2"/>
  <c r="AB432" i="2" s="1"/>
  <c r="AB294" i="1" s="1"/>
  <c r="Z426" i="2"/>
  <c r="Y426" i="2"/>
  <c r="X426" i="2"/>
  <c r="W426" i="2"/>
  <c r="S426" i="2"/>
  <c r="AM432" i="2" s="1"/>
  <c r="AM294" i="1" s="1"/>
  <c r="R426" i="2"/>
  <c r="AD432" i="2" s="1"/>
  <c r="AD294" i="1" s="1"/>
  <c r="P426" i="2"/>
  <c r="K426" i="2"/>
  <c r="G426" i="2"/>
  <c r="AK425" i="2"/>
  <c r="AL431" i="2" s="1"/>
  <c r="AL295" i="1" s="1"/>
  <c r="AH425" i="2"/>
  <c r="AI431" i="2" s="1"/>
  <c r="AI295" i="1" s="1"/>
  <c r="AC425" i="2"/>
  <c r="AA425" i="2"/>
  <c r="AB431" i="2" s="1"/>
  <c r="AB295" i="1" s="1"/>
  <c r="Z425" i="2"/>
  <c r="Y425" i="2"/>
  <c r="X425" i="2"/>
  <c r="W425" i="2"/>
  <c r="S425" i="2"/>
  <c r="AM431" i="2" s="1"/>
  <c r="AM295" i="1" s="1"/>
  <c r="R425" i="2"/>
  <c r="AD431" i="2" s="1"/>
  <c r="AD295" i="1" s="1"/>
  <c r="P425" i="2"/>
  <c r="K425" i="2"/>
  <c r="G425" i="2"/>
  <c r="AK424" i="2"/>
  <c r="AL430" i="2" s="1"/>
  <c r="AL296" i="1" s="1"/>
  <c r="AH424" i="2"/>
  <c r="AI430" i="2" s="1"/>
  <c r="AI296" i="1" s="1"/>
  <c r="AC424" i="2"/>
  <c r="AA424" i="2"/>
  <c r="AB430" i="2" s="1"/>
  <c r="AB296" i="1" s="1"/>
  <c r="Z424" i="2"/>
  <c r="Y424" i="2"/>
  <c r="X424" i="2"/>
  <c r="W424" i="2"/>
  <c r="S424" i="2"/>
  <c r="AM430" i="2" s="1"/>
  <c r="AM296" i="1" s="1"/>
  <c r="R424" i="2"/>
  <c r="AD430" i="2" s="1"/>
  <c r="AD296" i="1" s="1"/>
  <c r="P424" i="2"/>
  <c r="K424" i="2"/>
  <c r="G424" i="2"/>
  <c r="AK423" i="2"/>
  <c r="AL429" i="2" s="1"/>
  <c r="AL297" i="1" s="1"/>
  <c r="AH423" i="2"/>
  <c r="AI429" i="2" s="1"/>
  <c r="AI297" i="1" s="1"/>
  <c r="AC423" i="2"/>
  <c r="AA423" i="2"/>
  <c r="AB429" i="2" s="1"/>
  <c r="AB297" i="1" s="1"/>
  <c r="Z423" i="2"/>
  <c r="Y423" i="2"/>
  <c r="X423" i="2"/>
  <c r="W423" i="2"/>
  <c r="S423" i="2"/>
  <c r="AM429" i="2" s="1"/>
  <c r="AM297" i="1" s="1"/>
  <c r="R423" i="2"/>
  <c r="AD429" i="2" s="1"/>
  <c r="AD297" i="1" s="1"/>
  <c r="P423" i="2"/>
  <c r="K423" i="2"/>
  <c r="G423" i="2"/>
  <c r="AK422" i="2"/>
  <c r="AL428" i="2" s="1"/>
  <c r="AL298" i="1" s="1"/>
  <c r="AH422" i="2"/>
  <c r="AI428" i="2" s="1"/>
  <c r="AI298" i="1" s="1"/>
  <c r="AC422" i="2"/>
  <c r="AA422" i="2"/>
  <c r="AB428" i="2" s="1"/>
  <c r="AB298" i="1" s="1"/>
  <c r="Z422" i="2"/>
  <c r="Y422" i="2"/>
  <c r="X422" i="2"/>
  <c r="W422" i="2"/>
  <c r="S422" i="2"/>
  <c r="AM428" i="2" s="1"/>
  <c r="AM298" i="1" s="1"/>
  <c r="R422" i="2"/>
  <c r="AD428" i="2" s="1"/>
  <c r="AD298" i="1" s="1"/>
  <c r="P422" i="2"/>
  <c r="K422" i="2"/>
  <c r="G422" i="2"/>
  <c r="AK421" i="2"/>
  <c r="AL427" i="2" s="1"/>
  <c r="AL299" i="1" s="1"/>
  <c r="AH421" i="2"/>
  <c r="AI427" i="2" s="1"/>
  <c r="AI299" i="1" s="1"/>
  <c r="AC421" i="2"/>
  <c r="AA421" i="2"/>
  <c r="AB427" i="2" s="1"/>
  <c r="AB299" i="1" s="1"/>
  <c r="Z421" i="2"/>
  <c r="Y421" i="2"/>
  <c r="X421" i="2"/>
  <c r="W421" i="2"/>
  <c r="S421" i="2"/>
  <c r="AM427" i="2" s="1"/>
  <c r="AM299" i="1" s="1"/>
  <c r="R421" i="2"/>
  <c r="AD427" i="2" s="1"/>
  <c r="AD299" i="1" s="1"/>
  <c r="P421" i="2"/>
  <c r="K421" i="2"/>
  <c r="G421" i="2"/>
  <c r="AK420" i="2"/>
  <c r="AL426" i="2" s="1"/>
  <c r="AL300" i="1" s="1"/>
  <c r="AH420" i="2"/>
  <c r="AI426" i="2" s="1"/>
  <c r="AI300" i="1" s="1"/>
  <c r="AC420" i="2"/>
  <c r="AA420" i="2"/>
  <c r="AB426" i="2" s="1"/>
  <c r="AB300" i="1" s="1"/>
  <c r="Z420" i="2"/>
  <c r="Y420" i="2"/>
  <c r="X420" i="2"/>
  <c r="W420" i="2"/>
  <c r="S420" i="2"/>
  <c r="AM426" i="2" s="1"/>
  <c r="AM300" i="1" s="1"/>
  <c r="R420" i="2"/>
  <c r="AD426" i="2" s="1"/>
  <c r="AD300" i="1" s="1"/>
  <c r="P420" i="2"/>
  <c r="K420" i="2"/>
  <c r="G420" i="2"/>
  <c r="AK419" i="2"/>
  <c r="AL425" i="2" s="1"/>
  <c r="AL301" i="1" s="1"/>
  <c r="AH419" i="2"/>
  <c r="AI425" i="2" s="1"/>
  <c r="AI301" i="1" s="1"/>
  <c r="AC419" i="2"/>
  <c r="AA419" i="2"/>
  <c r="AB425" i="2" s="1"/>
  <c r="AB301" i="1" s="1"/>
  <c r="Z419" i="2"/>
  <c r="Y419" i="2"/>
  <c r="X419" i="2"/>
  <c r="W419" i="2"/>
  <c r="S419" i="2"/>
  <c r="AM425" i="2" s="1"/>
  <c r="AM301" i="1" s="1"/>
  <c r="R419" i="2"/>
  <c r="AD425" i="2" s="1"/>
  <c r="AD301" i="1" s="1"/>
  <c r="P419" i="2"/>
  <c r="K419" i="2"/>
  <c r="G419" i="2"/>
  <c r="AK418" i="2"/>
  <c r="AL424" i="2" s="1"/>
  <c r="AL302" i="1" s="1"/>
  <c r="AH418" i="2"/>
  <c r="AI424" i="2" s="1"/>
  <c r="AI302" i="1" s="1"/>
  <c r="AC418" i="2"/>
  <c r="AA418" i="2"/>
  <c r="AB424" i="2" s="1"/>
  <c r="AB302" i="1" s="1"/>
  <c r="Z418" i="2"/>
  <c r="Y418" i="2"/>
  <c r="X418" i="2"/>
  <c r="W418" i="2"/>
  <c r="S418" i="2"/>
  <c r="AM424" i="2" s="1"/>
  <c r="AM302" i="1" s="1"/>
  <c r="R418" i="2"/>
  <c r="AD424" i="2" s="1"/>
  <c r="AD302" i="1" s="1"/>
  <c r="Q418" i="2"/>
  <c r="P418" i="2"/>
  <c r="AE424" i="2" s="1"/>
  <c r="AE302" i="1" s="1"/>
  <c r="K418" i="2"/>
  <c r="G418" i="2"/>
  <c r="AK417" i="2"/>
  <c r="AL423" i="2" s="1"/>
  <c r="AL303" i="1" s="1"/>
  <c r="AH417" i="2"/>
  <c r="AI423" i="2" s="1"/>
  <c r="AI303" i="1" s="1"/>
  <c r="AC417" i="2"/>
  <c r="AA417" i="2"/>
  <c r="AB423" i="2" s="1"/>
  <c r="AB303" i="1" s="1"/>
  <c r="Z417" i="2"/>
  <c r="Y417" i="2"/>
  <c r="X417" i="2"/>
  <c r="W417" i="2"/>
  <c r="S417" i="2"/>
  <c r="AM423" i="2" s="1"/>
  <c r="AM303" i="1" s="1"/>
  <c r="R417" i="2"/>
  <c r="AD423" i="2" s="1"/>
  <c r="AD303" i="1" s="1"/>
  <c r="P417" i="2"/>
  <c r="K417" i="2"/>
  <c r="G417" i="2"/>
  <c r="AK416" i="2"/>
  <c r="AL422" i="2" s="1"/>
  <c r="AL304" i="1" s="1"/>
  <c r="AH416" i="2"/>
  <c r="AI422" i="2" s="1"/>
  <c r="AI304" i="1" s="1"/>
  <c r="AC416" i="2"/>
  <c r="AA416" i="2"/>
  <c r="AB422" i="2" s="1"/>
  <c r="AB304" i="1" s="1"/>
  <c r="Z416" i="2"/>
  <c r="Y416" i="2"/>
  <c r="X416" i="2"/>
  <c r="W416" i="2"/>
  <c r="S416" i="2"/>
  <c r="AM422" i="2" s="1"/>
  <c r="AM304" i="1" s="1"/>
  <c r="R416" i="2"/>
  <c r="AD422" i="2" s="1"/>
  <c r="AD304" i="1" s="1"/>
  <c r="P416" i="2"/>
  <c r="K416" i="2"/>
  <c r="G416" i="2"/>
  <c r="AK415" i="2"/>
  <c r="AL421" i="2" s="1"/>
  <c r="AL305" i="1" s="1"/>
  <c r="AH415" i="2"/>
  <c r="AI421" i="2" s="1"/>
  <c r="AI305" i="1" s="1"/>
  <c r="AC415" i="2"/>
  <c r="AA415" i="2"/>
  <c r="AB421" i="2" s="1"/>
  <c r="AB305" i="1" s="1"/>
  <c r="Z415" i="2"/>
  <c r="Y415" i="2"/>
  <c r="X415" i="2"/>
  <c r="W415" i="2"/>
  <c r="S415" i="2"/>
  <c r="AM421" i="2" s="1"/>
  <c r="AM305" i="1" s="1"/>
  <c r="R415" i="2"/>
  <c r="AD421" i="2" s="1"/>
  <c r="AD305" i="1" s="1"/>
  <c r="P415" i="2"/>
  <c r="K415" i="2"/>
  <c r="G415" i="2"/>
  <c r="AK414" i="2"/>
  <c r="AL420" i="2" s="1"/>
  <c r="AL306" i="1" s="1"/>
  <c r="AH414" i="2"/>
  <c r="AI420" i="2" s="1"/>
  <c r="AI306" i="1" s="1"/>
  <c r="AC414" i="2"/>
  <c r="AA414" i="2"/>
  <c r="AB420" i="2" s="1"/>
  <c r="AB306" i="1" s="1"/>
  <c r="Z414" i="2"/>
  <c r="Y414" i="2"/>
  <c r="X414" i="2"/>
  <c r="W414" i="2"/>
  <c r="S414" i="2"/>
  <c r="AM420" i="2" s="1"/>
  <c r="AM306" i="1" s="1"/>
  <c r="R414" i="2"/>
  <c r="AD420" i="2" s="1"/>
  <c r="AD306" i="1" s="1"/>
  <c r="P414" i="2"/>
  <c r="K414" i="2"/>
  <c r="G414" i="2"/>
  <c r="AK413" i="2"/>
  <c r="AL419" i="2" s="1"/>
  <c r="AL307" i="1" s="1"/>
  <c r="AH413" i="2"/>
  <c r="AI419" i="2" s="1"/>
  <c r="AI307" i="1" s="1"/>
  <c r="AC413" i="2"/>
  <c r="AA413" i="2"/>
  <c r="AB419" i="2" s="1"/>
  <c r="AB307" i="1" s="1"/>
  <c r="Z413" i="2"/>
  <c r="Y413" i="2"/>
  <c r="X413" i="2"/>
  <c r="W413" i="2"/>
  <c r="S413" i="2"/>
  <c r="AM419" i="2" s="1"/>
  <c r="AM307" i="1" s="1"/>
  <c r="R413" i="2"/>
  <c r="AD419" i="2" s="1"/>
  <c r="AD307" i="1" s="1"/>
  <c r="P413" i="2"/>
  <c r="K413" i="2"/>
  <c r="G413" i="2"/>
  <c r="AK412" i="2"/>
  <c r="AL418" i="2" s="1"/>
  <c r="AL308" i="1" s="1"/>
  <c r="AH412" i="2"/>
  <c r="AI418" i="2" s="1"/>
  <c r="AI308" i="1" s="1"/>
  <c r="AC412" i="2"/>
  <c r="AA412" i="2"/>
  <c r="AB418" i="2" s="1"/>
  <c r="AB308" i="1" s="1"/>
  <c r="Z412" i="2"/>
  <c r="Y412" i="2"/>
  <c r="X412" i="2"/>
  <c r="W412" i="2"/>
  <c r="S412" i="2"/>
  <c r="AM418" i="2" s="1"/>
  <c r="AM308" i="1" s="1"/>
  <c r="R412" i="2"/>
  <c r="AD418" i="2" s="1"/>
  <c r="AD308" i="1" s="1"/>
  <c r="P412" i="2"/>
  <c r="K412" i="2"/>
  <c r="G412" i="2"/>
  <c r="AK411" i="2"/>
  <c r="AL417" i="2" s="1"/>
  <c r="AL309" i="1" s="1"/>
  <c r="AH411" i="2"/>
  <c r="AI417" i="2" s="1"/>
  <c r="AI309" i="1" s="1"/>
  <c r="AC411" i="2"/>
  <c r="AA411" i="2"/>
  <c r="AB417" i="2" s="1"/>
  <c r="AB309" i="1" s="1"/>
  <c r="Z411" i="2"/>
  <c r="Y411" i="2"/>
  <c r="X411" i="2"/>
  <c r="W411" i="2"/>
  <c r="S411" i="2"/>
  <c r="AM417" i="2" s="1"/>
  <c r="AM309" i="1" s="1"/>
  <c r="R411" i="2"/>
  <c r="AD417" i="2" s="1"/>
  <c r="AD309" i="1" s="1"/>
  <c r="P411" i="2"/>
  <c r="K411" i="2"/>
  <c r="G411" i="2"/>
  <c r="AK410" i="2"/>
  <c r="AL416" i="2" s="1"/>
  <c r="AL310" i="1" s="1"/>
  <c r="AH410" i="2"/>
  <c r="AI416" i="2" s="1"/>
  <c r="AI310" i="1" s="1"/>
  <c r="AC410" i="2"/>
  <c r="AA410" i="2"/>
  <c r="AB416" i="2" s="1"/>
  <c r="AB310" i="1" s="1"/>
  <c r="Z410" i="2"/>
  <c r="Y410" i="2"/>
  <c r="X410" i="2"/>
  <c r="W410" i="2"/>
  <c r="S410" i="2"/>
  <c r="AM416" i="2" s="1"/>
  <c r="AM310" i="1" s="1"/>
  <c r="R410" i="2"/>
  <c r="AD416" i="2" s="1"/>
  <c r="AD310" i="1" s="1"/>
  <c r="P410" i="2"/>
  <c r="K410" i="2"/>
  <c r="G410" i="2"/>
  <c r="AK409" i="2"/>
  <c r="AL415" i="2" s="1"/>
  <c r="AL311" i="1" s="1"/>
  <c r="AH409" i="2"/>
  <c r="AI415" i="2" s="1"/>
  <c r="AI311" i="1" s="1"/>
  <c r="AC409" i="2"/>
  <c r="AA409" i="2"/>
  <c r="AB415" i="2" s="1"/>
  <c r="AB311" i="1" s="1"/>
  <c r="Z409" i="2"/>
  <c r="Y409" i="2"/>
  <c r="X409" i="2"/>
  <c r="W409" i="2"/>
  <c r="S409" i="2"/>
  <c r="AM415" i="2" s="1"/>
  <c r="AM311" i="1" s="1"/>
  <c r="R409" i="2"/>
  <c r="AD415" i="2" s="1"/>
  <c r="AD311" i="1" s="1"/>
  <c r="P409" i="2"/>
  <c r="K409" i="2"/>
  <c r="G409" i="2"/>
  <c r="AK408" i="2"/>
  <c r="AL414" i="2" s="1"/>
  <c r="AL312" i="1" s="1"/>
  <c r="AH408" i="2"/>
  <c r="AI414" i="2" s="1"/>
  <c r="AI312" i="1" s="1"/>
  <c r="AC408" i="2"/>
  <c r="AA408" i="2"/>
  <c r="AB414" i="2" s="1"/>
  <c r="AB312" i="1" s="1"/>
  <c r="Z408" i="2"/>
  <c r="Y408" i="2"/>
  <c r="X408" i="2"/>
  <c r="W408" i="2"/>
  <c r="S408" i="2"/>
  <c r="AM414" i="2" s="1"/>
  <c r="AM312" i="1" s="1"/>
  <c r="R408" i="2"/>
  <c r="AD414" i="2" s="1"/>
  <c r="AD312" i="1" s="1"/>
  <c r="P408" i="2"/>
  <c r="K408" i="2"/>
  <c r="G408" i="2"/>
  <c r="AK407" i="2"/>
  <c r="AL413" i="2" s="1"/>
  <c r="AL313" i="1" s="1"/>
  <c r="AH407" i="2"/>
  <c r="AI413" i="2" s="1"/>
  <c r="AI313" i="1" s="1"/>
  <c r="AC407" i="2"/>
  <c r="AA407" i="2"/>
  <c r="AB413" i="2" s="1"/>
  <c r="AB313" i="1" s="1"/>
  <c r="Z407" i="2"/>
  <c r="Y407" i="2"/>
  <c r="X407" i="2"/>
  <c r="W407" i="2"/>
  <c r="S407" i="2"/>
  <c r="AM413" i="2" s="1"/>
  <c r="AM313" i="1" s="1"/>
  <c r="R407" i="2"/>
  <c r="AD413" i="2" s="1"/>
  <c r="AD313" i="1" s="1"/>
  <c r="P407" i="2"/>
  <c r="K407" i="2"/>
  <c r="G407" i="2"/>
  <c r="AK406" i="2"/>
  <c r="AL412" i="2" s="1"/>
  <c r="AL314" i="1" s="1"/>
  <c r="AH406" i="2"/>
  <c r="AI412" i="2" s="1"/>
  <c r="AI314" i="1" s="1"/>
  <c r="AC406" i="2"/>
  <c r="AA406" i="2"/>
  <c r="AB412" i="2" s="1"/>
  <c r="AB314" i="1" s="1"/>
  <c r="Z406" i="2"/>
  <c r="Y406" i="2"/>
  <c r="X406" i="2"/>
  <c r="W406" i="2"/>
  <c r="S406" i="2"/>
  <c r="AM412" i="2" s="1"/>
  <c r="AM314" i="1" s="1"/>
  <c r="R406" i="2"/>
  <c r="AD412" i="2" s="1"/>
  <c r="AD314" i="1" s="1"/>
  <c r="P406" i="2"/>
  <c r="K406" i="2"/>
  <c r="G406" i="2"/>
  <c r="AK405" i="2"/>
  <c r="AL411" i="2" s="1"/>
  <c r="AL315" i="1" s="1"/>
  <c r="AH405" i="2"/>
  <c r="AI411" i="2" s="1"/>
  <c r="AI315" i="1" s="1"/>
  <c r="AC405" i="2"/>
  <c r="AA405" i="2"/>
  <c r="AB411" i="2" s="1"/>
  <c r="AB315" i="1" s="1"/>
  <c r="Z405" i="2"/>
  <c r="Y405" i="2"/>
  <c r="X405" i="2"/>
  <c r="W405" i="2"/>
  <c r="S405" i="2"/>
  <c r="AM411" i="2" s="1"/>
  <c r="AM315" i="1" s="1"/>
  <c r="R405" i="2"/>
  <c r="AD411" i="2" s="1"/>
  <c r="AD315" i="1" s="1"/>
  <c r="P405" i="2"/>
  <c r="K405" i="2"/>
  <c r="G405" i="2"/>
  <c r="AK404" i="2"/>
  <c r="AL410" i="2" s="1"/>
  <c r="AL316" i="1" s="1"/>
  <c r="AH404" i="2"/>
  <c r="AI410" i="2" s="1"/>
  <c r="AI316" i="1" s="1"/>
  <c r="AC404" i="2"/>
  <c r="AA404" i="2"/>
  <c r="AB410" i="2" s="1"/>
  <c r="AB316" i="1" s="1"/>
  <c r="Z404" i="2"/>
  <c r="Y404" i="2"/>
  <c r="X404" i="2"/>
  <c r="W404" i="2"/>
  <c r="S404" i="2"/>
  <c r="AM410" i="2" s="1"/>
  <c r="AM316" i="1" s="1"/>
  <c r="R404" i="2"/>
  <c r="AD410" i="2" s="1"/>
  <c r="AD316" i="1" s="1"/>
  <c r="P404" i="2"/>
  <c r="K404" i="2"/>
  <c r="G404" i="2"/>
  <c r="AK403" i="2"/>
  <c r="AL409" i="2" s="1"/>
  <c r="AL317" i="1" s="1"/>
  <c r="AH403" i="2"/>
  <c r="AI409" i="2" s="1"/>
  <c r="AI317" i="1" s="1"/>
  <c r="AC403" i="2"/>
  <c r="AA403" i="2"/>
  <c r="AB409" i="2" s="1"/>
  <c r="AB317" i="1" s="1"/>
  <c r="Z403" i="2"/>
  <c r="Y403" i="2"/>
  <c r="X403" i="2"/>
  <c r="W403" i="2"/>
  <c r="S403" i="2"/>
  <c r="AM409" i="2" s="1"/>
  <c r="AM317" i="1" s="1"/>
  <c r="R403" i="2"/>
  <c r="AD409" i="2" s="1"/>
  <c r="AD317" i="1" s="1"/>
  <c r="P403" i="2"/>
  <c r="K403" i="2"/>
  <c r="G403" i="2"/>
  <c r="AK402" i="2"/>
  <c r="AL408" i="2" s="1"/>
  <c r="AL318" i="1" s="1"/>
  <c r="AH402" i="2"/>
  <c r="AI408" i="2" s="1"/>
  <c r="AI318" i="1" s="1"/>
  <c r="AC402" i="2"/>
  <c r="AA402" i="2"/>
  <c r="AB408" i="2" s="1"/>
  <c r="AB318" i="1" s="1"/>
  <c r="Z402" i="2"/>
  <c r="Y402" i="2"/>
  <c r="X402" i="2"/>
  <c r="W402" i="2"/>
  <c r="S402" i="2"/>
  <c r="AM408" i="2" s="1"/>
  <c r="AM318" i="1" s="1"/>
  <c r="R402" i="2"/>
  <c r="AD408" i="2" s="1"/>
  <c r="AD318" i="1" s="1"/>
  <c r="P402" i="2"/>
  <c r="K402" i="2"/>
  <c r="G402" i="2"/>
  <c r="AK401" i="2"/>
  <c r="AL407" i="2" s="1"/>
  <c r="AL319" i="1" s="1"/>
  <c r="AH401" i="2"/>
  <c r="AI407" i="2" s="1"/>
  <c r="AI319" i="1" s="1"/>
  <c r="AC401" i="2"/>
  <c r="AA401" i="2"/>
  <c r="AB407" i="2" s="1"/>
  <c r="AB319" i="1" s="1"/>
  <c r="Z401" i="2"/>
  <c r="Y401" i="2"/>
  <c r="X401" i="2"/>
  <c r="W401" i="2"/>
  <c r="S401" i="2"/>
  <c r="AM407" i="2" s="1"/>
  <c r="AM319" i="1" s="1"/>
  <c r="R401" i="2"/>
  <c r="AD407" i="2" s="1"/>
  <c r="AD319" i="1" s="1"/>
  <c r="P401" i="2"/>
  <c r="K401" i="2"/>
  <c r="G401" i="2"/>
  <c r="AK400" i="2"/>
  <c r="AL406" i="2" s="1"/>
  <c r="AL320" i="1" s="1"/>
  <c r="AH400" i="2"/>
  <c r="AI406" i="2" s="1"/>
  <c r="AI320" i="1" s="1"/>
  <c r="AC400" i="2"/>
  <c r="AA400" i="2"/>
  <c r="AB406" i="2" s="1"/>
  <c r="AB320" i="1" s="1"/>
  <c r="Z400" i="2"/>
  <c r="Y400" i="2"/>
  <c r="X400" i="2"/>
  <c r="W400" i="2"/>
  <c r="S400" i="2"/>
  <c r="AM406" i="2" s="1"/>
  <c r="AM320" i="1" s="1"/>
  <c r="R400" i="2"/>
  <c r="AD406" i="2" s="1"/>
  <c r="AD320" i="1" s="1"/>
  <c r="P400" i="2"/>
  <c r="K400" i="2"/>
  <c r="G400" i="2"/>
  <c r="AK399" i="2"/>
  <c r="AL405" i="2" s="1"/>
  <c r="AL321" i="1" s="1"/>
  <c r="AH399" i="2"/>
  <c r="AI405" i="2" s="1"/>
  <c r="AI321" i="1" s="1"/>
  <c r="AC399" i="2"/>
  <c r="AA399" i="2"/>
  <c r="AB405" i="2" s="1"/>
  <c r="AB321" i="1" s="1"/>
  <c r="Z399" i="2"/>
  <c r="Y399" i="2"/>
  <c r="X399" i="2"/>
  <c r="W399" i="2"/>
  <c r="S399" i="2"/>
  <c r="AM405" i="2" s="1"/>
  <c r="AM321" i="1" s="1"/>
  <c r="R399" i="2"/>
  <c r="AD405" i="2" s="1"/>
  <c r="AD321" i="1" s="1"/>
  <c r="P399" i="2"/>
  <c r="K399" i="2"/>
  <c r="G399" i="2"/>
  <c r="AK398" i="2"/>
  <c r="AL404" i="2" s="1"/>
  <c r="AL322" i="1" s="1"/>
  <c r="AH398" i="2"/>
  <c r="AI404" i="2" s="1"/>
  <c r="AI322" i="1" s="1"/>
  <c r="AC398" i="2"/>
  <c r="AA398" i="2"/>
  <c r="AB404" i="2" s="1"/>
  <c r="AB322" i="1" s="1"/>
  <c r="Z398" i="2"/>
  <c r="Y398" i="2"/>
  <c r="X398" i="2"/>
  <c r="W398" i="2"/>
  <c r="S398" i="2"/>
  <c r="AM404" i="2" s="1"/>
  <c r="AM322" i="1" s="1"/>
  <c r="R398" i="2"/>
  <c r="AD404" i="2" s="1"/>
  <c r="AD322" i="1" s="1"/>
  <c r="P398" i="2"/>
  <c r="K398" i="2"/>
  <c r="G398" i="2"/>
  <c r="AK397" i="2"/>
  <c r="AL403" i="2" s="1"/>
  <c r="AL323" i="1" s="1"/>
  <c r="AH397" i="2"/>
  <c r="AI403" i="2" s="1"/>
  <c r="AI323" i="1" s="1"/>
  <c r="AC397" i="2"/>
  <c r="AA397" i="2"/>
  <c r="AB403" i="2" s="1"/>
  <c r="AB323" i="1" s="1"/>
  <c r="Z397" i="2"/>
  <c r="Y397" i="2"/>
  <c r="X397" i="2"/>
  <c r="W397" i="2"/>
  <c r="S397" i="2"/>
  <c r="AM403" i="2" s="1"/>
  <c r="AM323" i="1" s="1"/>
  <c r="R397" i="2"/>
  <c r="AD403" i="2" s="1"/>
  <c r="AD323" i="1" s="1"/>
  <c r="P397" i="2"/>
  <c r="K397" i="2"/>
  <c r="G397" i="2"/>
  <c r="AK396" i="2"/>
  <c r="AL402" i="2" s="1"/>
  <c r="AL324" i="1" s="1"/>
  <c r="AH396" i="2"/>
  <c r="AI402" i="2" s="1"/>
  <c r="AI324" i="1" s="1"/>
  <c r="AC396" i="2"/>
  <c r="AA396" i="2"/>
  <c r="AB402" i="2" s="1"/>
  <c r="AB324" i="1" s="1"/>
  <c r="Z396" i="2"/>
  <c r="Y396" i="2"/>
  <c r="X396" i="2"/>
  <c r="W396" i="2"/>
  <c r="S396" i="2"/>
  <c r="AM402" i="2" s="1"/>
  <c r="AM324" i="1" s="1"/>
  <c r="R396" i="2"/>
  <c r="AD402" i="2" s="1"/>
  <c r="AD324" i="1" s="1"/>
  <c r="P396" i="2"/>
  <c r="K396" i="2"/>
  <c r="G396" i="2"/>
  <c r="AK395" i="2"/>
  <c r="AL401" i="2" s="1"/>
  <c r="AL325" i="1" s="1"/>
  <c r="AH395" i="2"/>
  <c r="AI401" i="2" s="1"/>
  <c r="AI325" i="1" s="1"/>
  <c r="AC395" i="2"/>
  <c r="AA395" i="2"/>
  <c r="AB401" i="2" s="1"/>
  <c r="AB325" i="1" s="1"/>
  <c r="Z395" i="2"/>
  <c r="Y395" i="2"/>
  <c r="X395" i="2"/>
  <c r="W395" i="2"/>
  <c r="S395" i="2"/>
  <c r="AM401" i="2" s="1"/>
  <c r="AM325" i="1" s="1"/>
  <c r="R395" i="2"/>
  <c r="AD401" i="2" s="1"/>
  <c r="AD325" i="1" s="1"/>
  <c r="P395" i="2"/>
  <c r="K395" i="2"/>
  <c r="G395" i="2"/>
  <c r="AK394" i="2"/>
  <c r="AH394" i="2"/>
  <c r="AI400" i="2" s="1"/>
  <c r="AI326" i="1" s="1"/>
  <c r="AC394" i="2"/>
  <c r="AA394" i="2"/>
  <c r="AB400" i="2" s="1"/>
  <c r="AB326" i="1" s="1"/>
  <c r="Z394" i="2"/>
  <c r="Y394" i="2"/>
  <c r="X394" i="2"/>
  <c r="W394" i="2"/>
  <c r="S394" i="2"/>
  <c r="AM400" i="2" s="1"/>
  <c r="AM326" i="1" s="1"/>
  <c r="R394" i="2"/>
  <c r="AD400" i="2" s="1"/>
  <c r="AD326" i="1" s="1"/>
  <c r="P394" i="2"/>
  <c r="K394" i="2"/>
  <c r="G394" i="2"/>
  <c r="AH393" i="2"/>
  <c r="AI399" i="2" s="1"/>
  <c r="AI327" i="1" s="1"/>
  <c r="AC393" i="2"/>
  <c r="AA393" i="2"/>
  <c r="AB399" i="2" s="1"/>
  <c r="AB327" i="1" s="1"/>
  <c r="Z393" i="2"/>
  <c r="Y393" i="2"/>
  <c r="X393" i="2"/>
  <c r="W393" i="2"/>
  <c r="S393" i="2"/>
  <c r="AM399" i="2" s="1"/>
  <c r="AM327" i="1" s="1"/>
  <c r="R393" i="2"/>
  <c r="AD399" i="2" s="1"/>
  <c r="AD327" i="1" s="1"/>
  <c r="P393" i="2"/>
  <c r="K393" i="2"/>
  <c r="G393" i="2"/>
  <c r="AK392" i="2"/>
  <c r="AL398" i="2" s="1"/>
  <c r="AL328" i="1" s="1"/>
  <c r="AH392" i="2"/>
  <c r="AI398" i="2" s="1"/>
  <c r="AI328" i="1" s="1"/>
  <c r="AC392" i="2"/>
  <c r="AA392" i="2"/>
  <c r="AB398" i="2" s="1"/>
  <c r="AB328" i="1" s="1"/>
  <c r="Z392" i="2"/>
  <c r="Y392" i="2"/>
  <c r="X392" i="2"/>
  <c r="W392" i="2"/>
  <c r="S392" i="2"/>
  <c r="AM398" i="2" s="1"/>
  <c r="AM328" i="1" s="1"/>
  <c r="R392" i="2"/>
  <c r="AD398" i="2" s="1"/>
  <c r="AD328" i="1" s="1"/>
  <c r="P392" i="2"/>
  <c r="K392" i="2"/>
  <c r="G392" i="2"/>
  <c r="AK391" i="2"/>
  <c r="AL397" i="2" s="1"/>
  <c r="AL329" i="1" s="1"/>
  <c r="AH391" i="2"/>
  <c r="AI397" i="2" s="1"/>
  <c r="AI329" i="1" s="1"/>
  <c r="AC391" i="2"/>
  <c r="AA391" i="2"/>
  <c r="AB397" i="2" s="1"/>
  <c r="AB329" i="1" s="1"/>
  <c r="Z391" i="2"/>
  <c r="Y391" i="2"/>
  <c r="X391" i="2"/>
  <c r="W391" i="2"/>
  <c r="S391" i="2"/>
  <c r="AM397" i="2" s="1"/>
  <c r="AM329" i="1" s="1"/>
  <c r="R391" i="2"/>
  <c r="AD397" i="2" s="1"/>
  <c r="AD329" i="1" s="1"/>
  <c r="P391" i="2"/>
  <c r="K391" i="2"/>
  <c r="G391" i="2"/>
  <c r="AK390" i="2"/>
  <c r="AL396" i="2" s="1"/>
  <c r="AL330" i="1" s="1"/>
  <c r="AH390" i="2"/>
  <c r="AI396" i="2" s="1"/>
  <c r="AI330" i="1" s="1"/>
  <c r="AC390" i="2"/>
  <c r="AA390" i="2"/>
  <c r="AB396" i="2" s="1"/>
  <c r="AB330" i="1" s="1"/>
  <c r="Z390" i="2"/>
  <c r="Y390" i="2"/>
  <c r="X390" i="2"/>
  <c r="W390" i="2"/>
  <c r="S390" i="2"/>
  <c r="AM396" i="2" s="1"/>
  <c r="AM330" i="1" s="1"/>
  <c r="R390" i="2"/>
  <c r="AD396" i="2" s="1"/>
  <c r="AD330" i="1" s="1"/>
  <c r="P390" i="2"/>
  <c r="K390" i="2"/>
  <c r="G390" i="2"/>
  <c r="AK389" i="2"/>
  <c r="AL395" i="2" s="1"/>
  <c r="AL331" i="1" s="1"/>
  <c r="AH389" i="2"/>
  <c r="AI395" i="2" s="1"/>
  <c r="AI331" i="1" s="1"/>
  <c r="AC389" i="2"/>
  <c r="AA389" i="2"/>
  <c r="AB395" i="2" s="1"/>
  <c r="AB331" i="1" s="1"/>
  <c r="Z389" i="2"/>
  <c r="Y389" i="2"/>
  <c r="X389" i="2"/>
  <c r="W389" i="2"/>
  <c r="S389" i="2"/>
  <c r="AM395" i="2" s="1"/>
  <c r="AM331" i="1" s="1"/>
  <c r="R389" i="2"/>
  <c r="AD395" i="2" s="1"/>
  <c r="AD331" i="1" s="1"/>
  <c r="P389" i="2"/>
  <c r="K389" i="2"/>
  <c r="G389" i="2"/>
  <c r="AK388" i="2"/>
  <c r="AL394" i="2" s="1"/>
  <c r="AL332" i="1" s="1"/>
  <c r="AH388" i="2"/>
  <c r="AI394" i="2" s="1"/>
  <c r="AI332" i="1" s="1"/>
  <c r="AC388" i="2"/>
  <c r="AA388" i="2"/>
  <c r="AB394" i="2" s="1"/>
  <c r="AB332" i="1" s="1"/>
  <c r="Z388" i="2"/>
  <c r="Y388" i="2"/>
  <c r="X388" i="2"/>
  <c r="W388" i="2"/>
  <c r="S388" i="2"/>
  <c r="AM394" i="2" s="1"/>
  <c r="AM332" i="1" s="1"/>
  <c r="R388" i="2"/>
  <c r="AD394" i="2" s="1"/>
  <c r="AD332" i="1" s="1"/>
  <c r="Q388" i="2"/>
  <c r="P388" i="2"/>
  <c r="AE394" i="2" s="1"/>
  <c r="AE332" i="1" s="1"/>
  <c r="K388" i="2"/>
  <c r="G388" i="2"/>
  <c r="AK387" i="2"/>
  <c r="AL393" i="2" s="1"/>
  <c r="AL333" i="1" s="1"/>
  <c r="AH387" i="2"/>
  <c r="AI393" i="2" s="1"/>
  <c r="AI333" i="1" s="1"/>
  <c r="AC387" i="2"/>
  <c r="AA387" i="2"/>
  <c r="AB393" i="2" s="1"/>
  <c r="AB333" i="1" s="1"/>
  <c r="Z387" i="2"/>
  <c r="Y387" i="2"/>
  <c r="X387" i="2"/>
  <c r="W387" i="2"/>
  <c r="S387" i="2"/>
  <c r="AM393" i="2" s="1"/>
  <c r="AM333" i="1" s="1"/>
  <c r="R387" i="2"/>
  <c r="AD393" i="2" s="1"/>
  <c r="AD333" i="1" s="1"/>
  <c r="P387" i="2"/>
  <c r="K387" i="2"/>
  <c r="G387" i="2"/>
  <c r="AK386" i="2"/>
  <c r="AL392" i="2" s="1"/>
  <c r="AL334" i="1" s="1"/>
  <c r="AH386" i="2"/>
  <c r="AI392" i="2" s="1"/>
  <c r="AI334" i="1" s="1"/>
  <c r="AC386" i="2"/>
  <c r="AA386" i="2"/>
  <c r="AB392" i="2" s="1"/>
  <c r="AB334" i="1" s="1"/>
  <c r="Z386" i="2"/>
  <c r="Y386" i="2"/>
  <c r="X386" i="2"/>
  <c r="W386" i="2"/>
  <c r="S386" i="2"/>
  <c r="AM392" i="2" s="1"/>
  <c r="AM334" i="1" s="1"/>
  <c r="R386" i="2"/>
  <c r="AD392" i="2" s="1"/>
  <c r="AD334" i="1" s="1"/>
  <c r="P386" i="2"/>
  <c r="K386" i="2"/>
  <c r="G386" i="2"/>
  <c r="AK385" i="2"/>
  <c r="AL391" i="2" s="1"/>
  <c r="AL335" i="1" s="1"/>
  <c r="AH385" i="2"/>
  <c r="AI391" i="2" s="1"/>
  <c r="AI335" i="1" s="1"/>
  <c r="AC385" i="2"/>
  <c r="AA385" i="2"/>
  <c r="AB391" i="2" s="1"/>
  <c r="AB335" i="1" s="1"/>
  <c r="Z385" i="2"/>
  <c r="Y385" i="2"/>
  <c r="X385" i="2"/>
  <c r="W385" i="2"/>
  <c r="S385" i="2"/>
  <c r="AM391" i="2" s="1"/>
  <c r="AM335" i="1" s="1"/>
  <c r="R385" i="2"/>
  <c r="AD391" i="2" s="1"/>
  <c r="AD335" i="1" s="1"/>
  <c r="P385" i="2"/>
  <c r="K385" i="2"/>
  <c r="G385" i="2"/>
  <c r="AK384" i="2"/>
  <c r="AL390" i="2" s="1"/>
  <c r="AL336" i="1" s="1"/>
  <c r="AH384" i="2"/>
  <c r="AI390" i="2" s="1"/>
  <c r="AI336" i="1" s="1"/>
  <c r="AC384" i="2"/>
  <c r="AA384" i="2"/>
  <c r="AB390" i="2" s="1"/>
  <c r="AB336" i="1" s="1"/>
  <c r="Z384" i="2"/>
  <c r="Y384" i="2"/>
  <c r="X384" i="2"/>
  <c r="W384" i="2"/>
  <c r="S384" i="2"/>
  <c r="AM390" i="2" s="1"/>
  <c r="AM336" i="1" s="1"/>
  <c r="R384" i="2"/>
  <c r="AD390" i="2" s="1"/>
  <c r="AD336" i="1" s="1"/>
  <c r="P384" i="2"/>
  <c r="K384" i="2"/>
  <c r="G384" i="2"/>
  <c r="AK383" i="2"/>
  <c r="AL389" i="2" s="1"/>
  <c r="AL337" i="1" s="1"/>
  <c r="AH383" i="2"/>
  <c r="AI389" i="2" s="1"/>
  <c r="AI337" i="1" s="1"/>
  <c r="AC383" i="2"/>
  <c r="AA383" i="2"/>
  <c r="AB389" i="2" s="1"/>
  <c r="AB337" i="1" s="1"/>
  <c r="Z383" i="2"/>
  <c r="Y383" i="2"/>
  <c r="X383" i="2"/>
  <c r="W383" i="2"/>
  <c r="S383" i="2"/>
  <c r="AM389" i="2" s="1"/>
  <c r="AM337" i="1" s="1"/>
  <c r="R383" i="2"/>
  <c r="AD389" i="2" s="1"/>
  <c r="AD337" i="1" s="1"/>
  <c r="P383" i="2"/>
  <c r="K383" i="2"/>
  <c r="G383" i="2"/>
  <c r="AK382" i="2"/>
  <c r="AL388" i="2" s="1"/>
  <c r="AL338" i="1" s="1"/>
  <c r="AH382" i="2"/>
  <c r="AI388" i="2" s="1"/>
  <c r="AI338" i="1" s="1"/>
  <c r="AC382" i="2"/>
  <c r="AA382" i="2"/>
  <c r="AB388" i="2" s="1"/>
  <c r="AB338" i="1" s="1"/>
  <c r="Z382" i="2"/>
  <c r="Y382" i="2"/>
  <c r="X382" i="2"/>
  <c r="W382" i="2"/>
  <c r="S382" i="2"/>
  <c r="AM388" i="2" s="1"/>
  <c r="AM338" i="1" s="1"/>
  <c r="R382" i="2"/>
  <c r="AD388" i="2" s="1"/>
  <c r="AD338" i="1" s="1"/>
  <c r="P382" i="2"/>
  <c r="K382" i="2"/>
  <c r="G382" i="2"/>
  <c r="AK381" i="2"/>
  <c r="AL387" i="2" s="1"/>
  <c r="AL339" i="1" s="1"/>
  <c r="AH381" i="2"/>
  <c r="AI387" i="2" s="1"/>
  <c r="AI339" i="1" s="1"/>
  <c r="AC381" i="2"/>
  <c r="AA381" i="2"/>
  <c r="AB387" i="2" s="1"/>
  <c r="AB339" i="1" s="1"/>
  <c r="Z381" i="2"/>
  <c r="Y381" i="2"/>
  <c r="X381" i="2"/>
  <c r="W381" i="2"/>
  <c r="S381" i="2"/>
  <c r="AM387" i="2" s="1"/>
  <c r="AM339" i="1" s="1"/>
  <c r="R381" i="2"/>
  <c r="AD387" i="2" s="1"/>
  <c r="AD339" i="1" s="1"/>
  <c r="P381" i="2"/>
  <c r="K381" i="2"/>
  <c r="G381" i="2"/>
  <c r="AK380" i="2"/>
  <c r="AL386" i="2" s="1"/>
  <c r="AL340" i="1" s="1"/>
  <c r="AH380" i="2"/>
  <c r="AI386" i="2" s="1"/>
  <c r="AI340" i="1" s="1"/>
  <c r="AC380" i="2"/>
  <c r="AA380" i="2"/>
  <c r="AB386" i="2" s="1"/>
  <c r="AB340" i="1" s="1"/>
  <c r="Z380" i="2"/>
  <c r="Y380" i="2"/>
  <c r="X380" i="2"/>
  <c r="W380" i="2"/>
  <c r="S380" i="2"/>
  <c r="AM386" i="2" s="1"/>
  <c r="AM340" i="1" s="1"/>
  <c r="R380" i="2"/>
  <c r="AD386" i="2" s="1"/>
  <c r="AD340" i="1" s="1"/>
  <c r="P380" i="2"/>
  <c r="K380" i="2"/>
  <c r="G380" i="2"/>
  <c r="AK379" i="2"/>
  <c r="AL385" i="2" s="1"/>
  <c r="AL341" i="1" s="1"/>
  <c r="AH379" i="2"/>
  <c r="AI385" i="2" s="1"/>
  <c r="AI341" i="1" s="1"/>
  <c r="AC379" i="2"/>
  <c r="AA379" i="2"/>
  <c r="AB385" i="2" s="1"/>
  <c r="AB341" i="1" s="1"/>
  <c r="Z379" i="2"/>
  <c r="Y379" i="2"/>
  <c r="X379" i="2"/>
  <c r="W379" i="2"/>
  <c r="S379" i="2"/>
  <c r="AM385" i="2" s="1"/>
  <c r="AM341" i="1" s="1"/>
  <c r="R379" i="2"/>
  <c r="AD385" i="2" s="1"/>
  <c r="AD341" i="1" s="1"/>
  <c r="P379" i="2"/>
  <c r="K379" i="2"/>
  <c r="G379" i="2"/>
  <c r="AK378" i="2"/>
  <c r="AL384" i="2" s="1"/>
  <c r="AL342" i="1" s="1"/>
  <c r="AH378" i="2"/>
  <c r="AI384" i="2" s="1"/>
  <c r="AI342" i="1" s="1"/>
  <c r="AC378" i="2"/>
  <c r="AA378" i="2"/>
  <c r="AB384" i="2" s="1"/>
  <c r="AB342" i="1" s="1"/>
  <c r="Z378" i="2"/>
  <c r="Y378" i="2"/>
  <c r="X378" i="2"/>
  <c r="W378" i="2"/>
  <c r="S378" i="2"/>
  <c r="AM384" i="2" s="1"/>
  <c r="AM342" i="1" s="1"/>
  <c r="R378" i="2"/>
  <c r="AD384" i="2" s="1"/>
  <c r="AD342" i="1" s="1"/>
  <c r="P378" i="2"/>
  <c r="K378" i="2"/>
  <c r="G378" i="2"/>
  <c r="AK377" i="2"/>
  <c r="AL383" i="2" s="1"/>
  <c r="AL343" i="1" s="1"/>
  <c r="AH377" i="2"/>
  <c r="AI383" i="2" s="1"/>
  <c r="AI343" i="1" s="1"/>
  <c r="AC377" i="2"/>
  <c r="AA377" i="2"/>
  <c r="AB383" i="2" s="1"/>
  <c r="AB343" i="1" s="1"/>
  <c r="Z377" i="2"/>
  <c r="Y377" i="2"/>
  <c r="X377" i="2"/>
  <c r="W377" i="2"/>
  <c r="S377" i="2"/>
  <c r="AM383" i="2" s="1"/>
  <c r="AM343" i="1" s="1"/>
  <c r="R377" i="2"/>
  <c r="AD383" i="2" s="1"/>
  <c r="AD343" i="1" s="1"/>
  <c r="P377" i="2"/>
  <c r="K377" i="2"/>
  <c r="G377" i="2"/>
  <c r="AK376" i="2"/>
  <c r="AL382" i="2" s="1"/>
  <c r="AL344" i="1" s="1"/>
  <c r="AH376" i="2"/>
  <c r="AI382" i="2" s="1"/>
  <c r="AI344" i="1" s="1"/>
  <c r="AC376" i="2"/>
  <c r="AA376" i="2"/>
  <c r="AB382" i="2" s="1"/>
  <c r="AB344" i="1" s="1"/>
  <c r="Z376" i="2"/>
  <c r="Y376" i="2"/>
  <c r="X376" i="2"/>
  <c r="W376" i="2"/>
  <c r="S376" i="2"/>
  <c r="AM382" i="2" s="1"/>
  <c r="AM344" i="1" s="1"/>
  <c r="R376" i="2"/>
  <c r="AD382" i="2" s="1"/>
  <c r="AD344" i="1" s="1"/>
  <c r="P376" i="2"/>
  <c r="K376" i="2"/>
  <c r="G376" i="2"/>
  <c r="AK375" i="2"/>
  <c r="AL381" i="2" s="1"/>
  <c r="AL345" i="1" s="1"/>
  <c r="AH375" i="2"/>
  <c r="AI381" i="2" s="1"/>
  <c r="AI345" i="1" s="1"/>
  <c r="AC375" i="2"/>
  <c r="AA375" i="2"/>
  <c r="AB381" i="2" s="1"/>
  <c r="AB345" i="1" s="1"/>
  <c r="Z375" i="2"/>
  <c r="Y375" i="2"/>
  <c r="X375" i="2"/>
  <c r="W375" i="2"/>
  <c r="S375" i="2"/>
  <c r="AM381" i="2" s="1"/>
  <c r="AM345" i="1" s="1"/>
  <c r="R375" i="2"/>
  <c r="AD381" i="2" s="1"/>
  <c r="AD345" i="1" s="1"/>
  <c r="P375" i="2"/>
  <c r="K375" i="2"/>
  <c r="G375" i="2"/>
  <c r="AK374" i="2"/>
  <c r="AL380" i="2" s="1"/>
  <c r="AL346" i="1" s="1"/>
  <c r="AH374" i="2"/>
  <c r="AI380" i="2" s="1"/>
  <c r="AI346" i="1" s="1"/>
  <c r="AC374" i="2"/>
  <c r="AA374" i="2"/>
  <c r="AB380" i="2" s="1"/>
  <c r="AB346" i="1" s="1"/>
  <c r="Z374" i="2"/>
  <c r="Y374" i="2"/>
  <c r="X374" i="2"/>
  <c r="W374" i="2"/>
  <c r="S374" i="2"/>
  <c r="AM380" i="2" s="1"/>
  <c r="AM346" i="1" s="1"/>
  <c r="R374" i="2"/>
  <c r="AD380" i="2" s="1"/>
  <c r="AD346" i="1" s="1"/>
  <c r="P374" i="2"/>
  <c r="K374" i="2"/>
  <c r="G374" i="2"/>
  <c r="AK373" i="2"/>
  <c r="AL379" i="2" s="1"/>
  <c r="AL347" i="1" s="1"/>
  <c r="AH373" i="2"/>
  <c r="AI379" i="2" s="1"/>
  <c r="AI347" i="1" s="1"/>
  <c r="AC373" i="2"/>
  <c r="AA373" i="2"/>
  <c r="AB379" i="2" s="1"/>
  <c r="AB347" i="1" s="1"/>
  <c r="Z373" i="2"/>
  <c r="Y373" i="2"/>
  <c r="X373" i="2"/>
  <c r="W373" i="2"/>
  <c r="S373" i="2"/>
  <c r="AM379" i="2" s="1"/>
  <c r="AM347" i="1" s="1"/>
  <c r="R373" i="2"/>
  <c r="AD379" i="2" s="1"/>
  <c r="AD347" i="1" s="1"/>
  <c r="P373" i="2"/>
  <c r="K373" i="2"/>
  <c r="G373" i="2"/>
  <c r="AK372" i="2"/>
  <c r="AL378" i="2" s="1"/>
  <c r="AL348" i="1" s="1"/>
  <c r="AH372" i="2"/>
  <c r="AI378" i="2" s="1"/>
  <c r="AI348" i="1" s="1"/>
  <c r="AC372" i="2"/>
  <c r="AA372" i="2"/>
  <c r="AB378" i="2" s="1"/>
  <c r="AB348" i="1" s="1"/>
  <c r="Z372" i="2"/>
  <c r="Y372" i="2"/>
  <c r="X372" i="2"/>
  <c r="W372" i="2"/>
  <c r="S372" i="2"/>
  <c r="AM378" i="2" s="1"/>
  <c r="AM348" i="1" s="1"/>
  <c r="R372" i="2"/>
  <c r="AD378" i="2" s="1"/>
  <c r="AD348" i="1" s="1"/>
  <c r="P372" i="2"/>
  <c r="K372" i="2"/>
  <c r="G372" i="2"/>
  <c r="AK371" i="2"/>
  <c r="AL377" i="2" s="1"/>
  <c r="AL349" i="1" s="1"/>
  <c r="AH371" i="2"/>
  <c r="AI377" i="2" s="1"/>
  <c r="AI349" i="1" s="1"/>
  <c r="AC371" i="2"/>
  <c r="AA371" i="2"/>
  <c r="AB377" i="2" s="1"/>
  <c r="AB349" i="1" s="1"/>
  <c r="Z371" i="2"/>
  <c r="Y371" i="2"/>
  <c r="X371" i="2"/>
  <c r="W371" i="2"/>
  <c r="S371" i="2"/>
  <c r="AM377" i="2" s="1"/>
  <c r="AM349" i="1" s="1"/>
  <c r="R371" i="2"/>
  <c r="AD377" i="2" s="1"/>
  <c r="AD349" i="1" s="1"/>
  <c r="P371" i="2"/>
  <c r="K371" i="2"/>
  <c r="G371" i="2"/>
  <c r="AK370" i="2"/>
  <c r="AL376" i="2" s="1"/>
  <c r="AL350" i="1" s="1"/>
  <c r="AH370" i="2"/>
  <c r="AI376" i="2" s="1"/>
  <c r="AI350" i="1" s="1"/>
  <c r="AC370" i="2"/>
  <c r="AA370" i="2"/>
  <c r="AB376" i="2" s="1"/>
  <c r="AB350" i="1" s="1"/>
  <c r="Z370" i="2"/>
  <c r="Y370" i="2"/>
  <c r="X370" i="2"/>
  <c r="W370" i="2"/>
  <c r="S370" i="2"/>
  <c r="AM376" i="2" s="1"/>
  <c r="AM350" i="1" s="1"/>
  <c r="R370" i="2"/>
  <c r="AD376" i="2" s="1"/>
  <c r="AD350" i="1" s="1"/>
  <c r="P370" i="2"/>
  <c r="K370" i="2"/>
  <c r="G370" i="2"/>
  <c r="AK369" i="2"/>
  <c r="AL375" i="2" s="1"/>
  <c r="AL351" i="1" s="1"/>
  <c r="AH369" i="2"/>
  <c r="AI375" i="2" s="1"/>
  <c r="AI351" i="1" s="1"/>
  <c r="AC369" i="2"/>
  <c r="AA369" i="2"/>
  <c r="AB375" i="2" s="1"/>
  <c r="AB351" i="1" s="1"/>
  <c r="Z369" i="2"/>
  <c r="Y369" i="2"/>
  <c r="X369" i="2"/>
  <c r="W369" i="2"/>
  <c r="S369" i="2"/>
  <c r="AM375" i="2" s="1"/>
  <c r="AM351" i="1" s="1"/>
  <c r="R369" i="2"/>
  <c r="AD375" i="2" s="1"/>
  <c r="AD351" i="1" s="1"/>
  <c r="P369" i="2"/>
  <c r="K369" i="2"/>
  <c r="G369" i="2"/>
  <c r="AK368" i="2"/>
  <c r="AL374" i="2" s="1"/>
  <c r="AL352" i="1" s="1"/>
  <c r="AH368" i="2"/>
  <c r="AI374" i="2" s="1"/>
  <c r="AI352" i="1" s="1"/>
  <c r="AC368" i="2"/>
  <c r="AA368" i="2"/>
  <c r="AB374" i="2" s="1"/>
  <c r="AB352" i="1" s="1"/>
  <c r="Z368" i="2"/>
  <c r="Y368" i="2"/>
  <c r="X368" i="2"/>
  <c r="W368" i="2"/>
  <c r="S368" i="2"/>
  <c r="AM374" i="2" s="1"/>
  <c r="AM352" i="1" s="1"/>
  <c r="R368" i="2"/>
  <c r="AD374" i="2" s="1"/>
  <c r="AD352" i="1" s="1"/>
  <c r="P368" i="2"/>
  <c r="K368" i="2"/>
  <c r="G368" i="2"/>
  <c r="AK367" i="2"/>
  <c r="AL373" i="2" s="1"/>
  <c r="AL353" i="1" s="1"/>
  <c r="AH367" i="2"/>
  <c r="AI373" i="2" s="1"/>
  <c r="AI353" i="1" s="1"/>
  <c r="AC367" i="2"/>
  <c r="AA367" i="2"/>
  <c r="AB373" i="2" s="1"/>
  <c r="AB353" i="1" s="1"/>
  <c r="Z367" i="2"/>
  <c r="Y367" i="2"/>
  <c r="X367" i="2"/>
  <c r="W367" i="2"/>
  <c r="S367" i="2"/>
  <c r="AM373" i="2" s="1"/>
  <c r="AM353" i="1" s="1"/>
  <c r="R367" i="2"/>
  <c r="AD373" i="2" s="1"/>
  <c r="AD353" i="1" s="1"/>
  <c r="P367" i="2"/>
  <c r="K367" i="2"/>
  <c r="G367" i="2"/>
  <c r="AK366" i="2"/>
  <c r="AL372" i="2" s="1"/>
  <c r="AL354" i="1" s="1"/>
  <c r="AH366" i="2"/>
  <c r="AI372" i="2" s="1"/>
  <c r="AI354" i="1" s="1"/>
  <c r="AC366" i="2"/>
  <c r="AA366" i="2"/>
  <c r="AB372" i="2" s="1"/>
  <c r="AB354" i="1" s="1"/>
  <c r="Z366" i="2"/>
  <c r="Y366" i="2"/>
  <c r="X366" i="2"/>
  <c r="W366" i="2"/>
  <c r="S366" i="2"/>
  <c r="AM372" i="2" s="1"/>
  <c r="AM354" i="1" s="1"/>
  <c r="R366" i="2"/>
  <c r="AD372" i="2" s="1"/>
  <c r="AD354" i="1" s="1"/>
  <c r="P366" i="2"/>
  <c r="K366" i="2"/>
  <c r="G366" i="2"/>
  <c r="AK365" i="2"/>
  <c r="AL371" i="2" s="1"/>
  <c r="AL355" i="1" s="1"/>
  <c r="AH365" i="2"/>
  <c r="AI371" i="2" s="1"/>
  <c r="AI355" i="1" s="1"/>
  <c r="AC365" i="2"/>
  <c r="AA365" i="2"/>
  <c r="AB371" i="2" s="1"/>
  <c r="AB355" i="1" s="1"/>
  <c r="Z365" i="2"/>
  <c r="Y365" i="2"/>
  <c r="X365" i="2"/>
  <c r="W365" i="2"/>
  <c r="S365" i="2"/>
  <c r="AM371" i="2" s="1"/>
  <c r="AM355" i="1" s="1"/>
  <c r="R365" i="2"/>
  <c r="AD371" i="2" s="1"/>
  <c r="AD355" i="1" s="1"/>
  <c r="P365" i="2"/>
  <c r="K365" i="2"/>
  <c r="G365" i="2"/>
  <c r="AK364" i="2"/>
  <c r="AL370" i="2" s="1"/>
  <c r="AL356" i="1" s="1"/>
  <c r="AH364" i="2"/>
  <c r="AI370" i="2" s="1"/>
  <c r="AI356" i="1" s="1"/>
  <c r="AC364" i="2"/>
  <c r="AA364" i="2"/>
  <c r="AB370" i="2" s="1"/>
  <c r="AB356" i="1" s="1"/>
  <c r="Z364" i="2"/>
  <c r="Y364" i="2"/>
  <c r="X364" i="2"/>
  <c r="W364" i="2"/>
  <c r="S364" i="2"/>
  <c r="AM370" i="2" s="1"/>
  <c r="AM356" i="1" s="1"/>
  <c r="R364" i="2"/>
  <c r="AD370" i="2" s="1"/>
  <c r="AD356" i="1" s="1"/>
  <c r="P364" i="2"/>
  <c r="K364" i="2"/>
  <c r="G364" i="2"/>
  <c r="AK363" i="2"/>
  <c r="AL369" i="2" s="1"/>
  <c r="AL357" i="1" s="1"/>
  <c r="AH363" i="2"/>
  <c r="AI369" i="2" s="1"/>
  <c r="AI357" i="1" s="1"/>
  <c r="AC363" i="2"/>
  <c r="AA363" i="2"/>
  <c r="AB369" i="2" s="1"/>
  <c r="AB357" i="1" s="1"/>
  <c r="Z363" i="2"/>
  <c r="Y363" i="2"/>
  <c r="X363" i="2"/>
  <c r="W363" i="2"/>
  <c r="S363" i="2"/>
  <c r="AM369" i="2" s="1"/>
  <c r="AM357" i="1" s="1"/>
  <c r="R363" i="2"/>
  <c r="AD369" i="2" s="1"/>
  <c r="AD357" i="1" s="1"/>
  <c r="P363" i="2"/>
  <c r="K363" i="2"/>
  <c r="G363" i="2"/>
  <c r="AK362" i="2"/>
  <c r="AL368" i="2" s="1"/>
  <c r="AL358" i="1" s="1"/>
  <c r="AH362" i="2"/>
  <c r="AI368" i="2" s="1"/>
  <c r="AI358" i="1" s="1"/>
  <c r="AC362" i="2"/>
  <c r="AA362" i="2"/>
  <c r="AB368" i="2" s="1"/>
  <c r="AB358" i="1" s="1"/>
  <c r="Z362" i="2"/>
  <c r="Y362" i="2"/>
  <c r="X362" i="2"/>
  <c r="W362" i="2"/>
  <c r="S362" i="2"/>
  <c r="AM368" i="2" s="1"/>
  <c r="AM358" i="1" s="1"/>
  <c r="R362" i="2"/>
  <c r="AD368" i="2" s="1"/>
  <c r="AD358" i="1" s="1"/>
  <c r="P362" i="2"/>
  <c r="K362" i="2"/>
  <c r="G362" i="2"/>
  <c r="AK361" i="2"/>
  <c r="AL367" i="2" s="1"/>
  <c r="AL359" i="1" s="1"/>
  <c r="AH361" i="2"/>
  <c r="AI367" i="2" s="1"/>
  <c r="AI359" i="1" s="1"/>
  <c r="AC361" i="2"/>
  <c r="AA361" i="2"/>
  <c r="AB367" i="2" s="1"/>
  <c r="AB359" i="1" s="1"/>
  <c r="Z361" i="2"/>
  <c r="Y361" i="2"/>
  <c r="X361" i="2"/>
  <c r="W361" i="2"/>
  <c r="S361" i="2"/>
  <c r="AM367" i="2" s="1"/>
  <c r="AM359" i="1" s="1"/>
  <c r="R361" i="2"/>
  <c r="AD367" i="2" s="1"/>
  <c r="AD359" i="1" s="1"/>
  <c r="P361" i="2"/>
  <c r="K361" i="2"/>
  <c r="G361" i="2"/>
  <c r="AK360" i="2"/>
  <c r="AL366" i="2" s="1"/>
  <c r="AL360" i="1" s="1"/>
  <c r="AH360" i="2"/>
  <c r="AI366" i="2" s="1"/>
  <c r="AI360" i="1" s="1"/>
  <c r="AC360" i="2"/>
  <c r="AA360" i="2"/>
  <c r="AB366" i="2" s="1"/>
  <c r="AB360" i="1" s="1"/>
  <c r="Z360" i="2"/>
  <c r="Y360" i="2"/>
  <c r="X360" i="2"/>
  <c r="W360" i="2"/>
  <c r="S360" i="2"/>
  <c r="AM366" i="2" s="1"/>
  <c r="AM360" i="1" s="1"/>
  <c r="R360" i="2"/>
  <c r="AD366" i="2" s="1"/>
  <c r="AD360" i="1" s="1"/>
  <c r="P360" i="2"/>
  <c r="K360" i="2"/>
  <c r="G360" i="2"/>
  <c r="AK359" i="2"/>
  <c r="AL365" i="2" s="1"/>
  <c r="AL361" i="1" s="1"/>
  <c r="AH359" i="2"/>
  <c r="AI365" i="2" s="1"/>
  <c r="AI361" i="1" s="1"/>
  <c r="AC359" i="2"/>
  <c r="AA359" i="2"/>
  <c r="AB365" i="2" s="1"/>
  <c r="AB361" i="1" s="1"/>
  <c r="Z359" i="2"/>
  <c r="Y359" i="2"/>
  <c r="X359" i="2"/>
  <c r="W359" i="2"/>
  <c r="S359" i="2"/>
  <c r="AM365" i="2" s="1"/>
  <c r="AM361" i="1" s="1"/>
  <c r="R359" i="2"/>
  <c r="AD365" i="2" s="1"/>
  <c r="AD361" i="1" s="1"/>
  <c r="P359" i="2"/>
  <c r="K359" i="2"/>
  <c r="G359" i="2"/>
  <c r="AK358" i="2"/>
  <c r="AL364" i="2" s="1"/>
  <c r="AL362" i="1" s="1"/>
  <c r="AH358" i="2"/>
  <c r="AI364" i="2" s="1"/>
  <c r="AI362" i="1" s="1"/>
  <c r="AC358" i="2"/>
  <c r="AA358" i="2"/>
  <c r="AB364" i="2" s="1"/>
  <c r="AB362" i="1" s="1"/>
  <c r="Z358" i="2"/>
  <c r="Y358" i="2"/>
  <c r="X358" i="2"/>
  <c r="W358" i="2"/>
  <c r="S358" i="2"/>
  <c r="AM364" i="2" s="1"/>
  <c r="AM362" i="1" s="1"/>
  <c r="R358" i="2"/>
  <c r="AD364" i="2" s="1"/>
  <c r="AD362" i="1" s="1"/>
  <c r="P358" i="2"/>
  <c r="K358" i="2"/>
  <c r="G358" i="2"/>
  <c r="AK357" i="2"/>
  <c r="AL363" i="2" s="1"/>
  <c r="AL363" i="1" s="1"/>
  <c r="AH357" i="2"/>
  <c r="AI363" i="2" s="1"/>
  <c r="AI363" i="1" s="1"/>
  <c r="AC357" i="2"/>
  <c r="AA357" i="2"/>
  <c r="AB363" i="2" s="1"/>
  <c r="AB363" i="1" s="1"/>
  <c r="Z357" i="2"/>
  <c r="Y357" i="2"/>
  <c r="X357" i="2"/>
  <c r="W357" i="2"/>
  <c r="S357" i="2"/>
  <c r="AM363" i="2" s="1"/>
  <c r="AM363" i="1" s="1"/>
  <c r="R357" i="2"/>
  <c r="AD363" i="2" s="1"/>
  <c r="AD363" i="1" s="1"/>
  <c r="P357" i="2"/>
  <c r="K357" i="2"/>
  <c r="G357" i="2"/>
  <c r="AK356" i="2"/>
  <c r="AL362" i="2" s="1"/>
  <c r="AL364" i="1" s="1"/>
  <c r="AH356" i="2"/>
  <c r="AI362" i="2" s="1"/>
  <c r="AI364" i="1" s="1"/>
  <c r="AC356" i="2"/>
  <c r="AA356" i="2"/>
  <c r="AB362" i="2" s="1"/>
  <c r="AB364" i="1" s="1"/>
  <c r="Z356" i="2"/>
  <c r="Y356" i="2"/>
  <c r="X356" i="2"/>
  <c r="W356" i="2"/>
  <c r="S356" i="2"/>
  <c r="AM362" i="2" s="1"/>
  <c r="AM364" i="1" s="1"/>
  <c r="R356" i="2"/>
  <c r="AD362" i="2" s="1"/>
  <c r="AD364" i="1" s="1"/>
  <c r="P356" i="2"/>
  <c r="K356" i="2"/>
  <c r="G356" i="2"/>
  <c r="AK355" i="2"/>
  <c r="AL361" i="2" s="1"/>
  <c r="AL365" i="1" s="1"/>
  <c r="AH355" i="2"/>
  <c r="AI361" i="2" s="1"/>
  <c r="AI365" i="1" s="1"/>
  <c r="AC355" i="2"/>
  <c r="AA355" i="2"/>
  <c r="AB361" i="2" s="1"/>
  <c r="AB365" i="1" s="1"/>
  <c r="Z355" i="2"/>
  <c r="Y355" i="2"/>
  <c r="X355" i="2"/>
  <c r="W355" i="2"/>
  <c r="S355" i="2"/>
  <c r="AM361" i="2" s="1"/>
  <c r="AM365" i="1" s="1"/>
  <c r="R355" i="2"/>
  <c r="AD361" i="2" s="1"/>
  <c r="AD365" i="1" s="1"/>
  <c r="P355" i="2"/>
  <c r="K355" i="2"/>
  <c r="G355" i="2"/>
  <c r="AK354" i="2"/>
  <c r="AL360" i="2" s="1"/>
  <c r="AL366" i="1" s="1"/>
  <c r="AH354" i="2"/>
  <c r="AI360" i="2" s="1"/>
  <c r="AI366" i="1" s="1"/>
  <c r="AC354" i="2"/>
  <c r="AA354" i="2"/>
  <c r="AB360" i="2" s="1"/>
  <c r="AB366" i="1" s="1"/>
  <c r="Z354" i="2"/>
  <c r="Y354" i="2"/>
  <c r="X354" i="2"/>
  <c r="W354" i="2"/>
  <c r="S354" i="2"/>
  <c r="AM360" i="2" s="1"/>
  <c r="AM366" i="1" s="1"/>
  <c r="R354" i="2"/>
  <c r="AD360" i="2" s="1"/>
  <c r="AD366" i="1" s="1"/>
  <c r="P354" i="2"/>
  <c r="K354" i="2"/>
  <c r="G354" i="2"/>
  <c r="B354" i="2"/>
  <c r="AK353" i="2"/>
  <c r="AL359" i="2" s="1"/>
  <c r="AL367" i="1" s="1"/>
  <c r="AH353" i="2"/>
  <c r="AI359" i="2" s="1"/>
  <c r="AI367" i="1" s="1"/>
  <c r="AC353" i="2"/>
  <c r="AA353" i="2"/>
  <c r="AB359" i="2" s="1"/>
  <c r="AB367" i="1" s="1"/>
  <c r="Z353" i="2"/>
  <c r="Y353" i="2"/>
  <c r="X353" i="2"/>
  <c r="W353" i="2"/>
  <c r="V353" i="2"/>
  <c r="S353" i="2"/>
  <c r="AM359" i="2" s="1"/>
  <c r="AM367" i="1" s="1"/>
  <c r="R353" i="2"/>
  <c r="AD359" i="2" s="1"/>
  <c r="AD367" i="1" s="1"/>
  <c r="Q353" i="2"/>
  <c r="P353" i="2"/>
  <c r="AE359" i="2" s="1"/>
  <c r="AE367" i="1" s="1"/>
  <c r="N353" i="2"/>
  <c r="M353" i="2"/>
  <c r="K353" i="2"/>
  <c r="J353" i="2"/>
  <c r="I353" i="2"/>
  <c r="G353" i="2"/>
  <c r="AK352" i="2"/>
  <c r="AL358" i="2" s="1"/>
  <c r="AL368" i="1" s="1"/>
  <c r="AH352" i="2"/>
  <c r="AI358" i="2" s="1"/>
  <c r="AI368" i="1" s="1"/>
  <c r="AC352" i="2"/>
  <c r="AA352" i="2"/>
  <c r="AB358" i="2" s="1"/>
  <c r="AB368" i="1" s="1"/>
  <c r="Z352" i="2"/>
  <c r="Y352" i="2"/>
  <c r="X352" i="2"/>
  <c r="W352" i="2"/>
  <c r="V352" i="2"/>
  <c r="S352" i="2"/>
  <c r="AM358" i="2" s="1"/>
  <c r="AM368" i="1" s="1"/>
  <c r="R352" i="2"/>
  <c r="AD358" i="2" s="1"/>
  <c r="AD368" i="1" s="1"/>
  <c r="P352" i="2"/>
  <c r="N352" i="2"/>
  <c r="M352" i="2"/>
  <c r="K352" i="2"/>
  <c r="J352" i="2"/>
  <c r="I352" i="2"/>
  <c r="G352" i="2"/>
  <c r="AK351" i="2"/>
  <c r="AL357" i="2" s="1"/>
  <c r="AL369" i="1" s="1"/>
  <c r="AH351" i="2"/>
  <c r="AI357" i="2" s="1"/>
  <c r="AI369" i="1" s="1"/>
  <c r="AC351" i="2"/>
  <c r="AA351" i="2"/>
  <c r="AB357" i="2" s="1"/>
  <c r="AB369" i="1" s="1"/>
  <c r="Z351" i="2"/>
  <c r="Y351" i="2"/>
  <c r="X351" i="2"/>
  <c r="W351" i="2"/>
  <c r="V351" i="2"/>
  <c r="S351" i="2"/>
  <c r="AM357" i="2" s="1"/>
  <c r="AM369" i="1" s="1"/>
  <c r="R351" i="2"/>
  <c r="AD357" i="2" s="1"/>
  <c r="AD369" i="1" s="1"/>
  <c r="P351" i="2"/>
  <c r="N351" i="2"/>
  <c r="M351" i="2"/>
  <c r="K351" i="2"/>
  <c r="J351" i="2"/>
  <c r="I351" i="2"/>
  <c r="G351" i="2"/>
  <c r="AK350" i="2"/>
  <c r="AL356" i="2" s="1"/>
  <c r="AL370" i="1" s="1"/>
  <c r="AH350" i="2"/>
  <c r="AI356" i="2" s="1"/>
  <c r="AI370" i="1" s="1"/>
  <c r="AC350" i="2"/>
  <c r="AA350" i="2"/>
  <c r="AB356" i="2" s="1"/>
  <c r="AB370" i="1" s="1"/>
  <c r="Z350" i="2"/>
  <c r="Y350" i="2"/>
  <c r="X350" i="2"/>
  <c r="W350" i="2"/>
  <c r="V350" i="2"/>
  <c r="S350" i="2"/>
  <c r="AM356" i="2" s="1"/>
  <c r="AM370" i="1" s="1"/>
  <c r="R350" i="2"/>
  <c r="AD356" i="2" s="1"/>
  <c r="AD370" i="1" s="1"/>
  <c r="P350" i="2"/>
  <c r="N350" i="2"/>
  <c r="M350" i="2"/>
  <c r="K350" i="2"/>
  <c r="J350" i="2"/>
  <c r="I350" i="2"/>
  <c r="G350" i="2"/>
  <c r="AK349" i="2"/>
  <c r="AL355" i="2" s="1"/>
  <c r="AL371" i="1" s="1"/>
  <c r="AH349" i="2"/>
  <c r="AI355" i="2" s="1"/>
  <c r="AI371" i="1" s="1"/>
  <c r="AC349" i="2"/>
  <c r="AA349" i="2"/>
  <c r="AB355" i="2" s="1"/>
  <c r="AB371" i="1" s="1"/>
  <c r="Z349" i="2"/>
  <c r="Y349" i="2"/>
  <c r="X349" i="2"/>
  <c r="W349" i="2"/>
  <c r="V349" i="2"/>
  <c r="S349" i="2"/>
  <c r="AM355" i="2" s="1"/>
  <c r="AM371" i="1" s="1"/>
  <c r="R349" i="2"/>
  <c r="AD355" i="2" s="1"/>
  <c r="AD371" i="1" s="1"/>
  <c r="P349" i="2"/>
  <c r="N349" i="2"/>
  <c r="M349" i="2"/>
  <c r="K349" i="2"/>
  <c r="J349" i="2"/>
  <c r="I349" i="2"/>
  <c r="G349" i="2"/>
  <c r="AK348" i="2"/>
  <c r="AL354" i="2" s="1"/>
  <c r="AL372" i="1" s="1"/>
  <c r="AH348" i="2"/>
  <c r="AI354" i="2" s="1"/>
  <c r="AI372" i="1" s="1"/>
  <c r="AC348" i="2"/>
  <c r="AA348" i="2"/>
  <c r="AB354" i="2" s="1"/>
  <c r="AB372" i="1" s="1"/>
  <c r="Z348" i="2"/>
  <c r="Y348" i="2"/>
  <c r="X348" i="2"/>
  <c r="W348" i="2"/>
  <c r="V348" i="2"/>
  <c r="S348" i="2"/>
  <c r="AM354" i="2" s="1"/>
  <c r="AM372" i="1" s="1"/>
  <c r="R348" i="2"/>
  <c r="AD354" i="2" s="1"/>
  <c r="AD372" i="1" s="1"/>
  <c r="P348" i="2"/>
  <c r="N348" i="2"/>
  <c r="M348" i="2"/>
  <c r="K348" i="2"/>
  <c r="J348" i="2"/>
  <c r="I348" i="2"/>
  <c r="G348" i="2"/>
  <c r="AK347" i="2"/>
  <c r="AL353" i="2" s="1"/>
  <c r="AL373" i="1" s="1"/>
  <c r="AH347" i="2"/>
  <c r="AI353" i="2" s="1"/>
  <c r="AI373" i="1" s="1"/>
  <c r="AC347" i="2"/>
  <c r="AA347" i="2"/>
  <c r="AB353" i="2" s="1"/>
  <c r="AB373" i="1" s="1"/>
  <c r="Z347" i="2"/>
  <c r="Y347" i="2"/>
  <c r="X347" i="2"/>
  <c r="W347" i="2"/>
  <c r="V347" i="2"/>
  <c r="S347" i="2"/>
  <c r="AM353" i="2" s="1"/>
  <c r="AM373" i="1" s="1"/>
  <c r="R347" i="2"/>
  <c r="AD353" i="2" s="1"/>
  <c r="AD373" i="1" s="1"/>
  <c r="P347" i="2"/>
  <c r="N347" i="2"/>
  <c r="M347" i="2"/>
  <c r="K347" i="2"/>
  <c r="J347" i="2"/>
  <c r="I347" i="2"/>
  <c r="G347" i="2"/>
  <c r="AK346" i="2"/>
  <c r="AL352" i="2" s="1"/>
  <c r="AL374" i="1" s="1"/>
  <c r="AH346" i="2"/>
  <c r="AI352" i="2" s="1"/>
  <c r="AI374" i="1" s="1"/>
  <c r="AC346" i="2"/>
  <c r="AA346" i="2"/>
  <c r="AB352" i="2" s="1"/>
  <c r="AB374" i="1" s="1"/>
  <c r="Z346" i="2"/>
  <c r="Y346" i="2"/>
  <c r="X346" i="2"/>
  <c r="W346" i="2"/>
  <c r="V346" i="2"/>
  <c r="S346" i="2"/>
  <c r="AM352" i="2" s="1"/>
  <c r="AM374" i="1" s="1"/>
  <c r="R346" i="2"/>
  <c r="AD352" i="2" s="1"/>
  <c r="AD374" i="1" s="1"/>
  <c r="P346" i="2"/>
  <c r="N346" i="2"/>
  <c r="M346" i="2"/>
  <c r="K346" i="2"/>
  <c r="J346" i="2"/>
  <c r="I346" i="2"/>
  <c r="G346" i="2"/>
  <c r="AK345" i="2"/>
  <c r="AL351" i="2" s="1"/>
  <c r="AL375" i="1" s="1"/>
  <c r="AH345" i="2"/>
  <c r="AI351" i="2" s="1"/>
  <c r="AI375" i="1" s="1"/>
  <c r="AC345" i="2"/>
  <c r="AA345" i="2"/>
  <c r="AB351" i="2" s="1"/>
  <c r="AB375" i="1" s="1"/>
  <c r="Z345" i="2"/>
  <c r="Y345" i="2"/>
  <c r="X345" i="2"/>
  <c r="W345" i="2"/>
  <c r="V345" i="2"/>
  <c r="S345" i="2"/>
  <c r="AM351" i="2" s="1"/>
  <c r="AM375" i="1" s="1"/>
  <c r="R345" i="2"/>
  <c r="AD351" i="2" s="1"/>
  <c r="AD375" i="1" s="1"/>
  <c r="P345" i="2"/>
  <c r="N345" i="2"/>
  <c r="M345" i="2"/>
  <c r="K345" i="2"/>
  <c r="J345" i="2"/>
  <c r="I345" i="2"/>
  <c r="G345" i="2"/>
  <c r="AK344" i="2"/>
  <c r="AL350" i="2" s="1"/>
  <c r="AL376" i="1" s="1"/>
  <c r="AH344" i="2"/>
  <c r="AI350" i="2" s="1"/>
  <c r="AI376" i="1" s="1"/>
  <c r="AC344" i="2"/>
  <c r="AA344" i="2"/>
  <c r="AB350" i="2" s="1"/>
  <c r="AB376" i="1" s="1"/>
  <c r="Z344" i="2"/>
  <c r="Y344" i="2"/>
  <c r="X344" i="2"/>
  <c r="W344" i="2"/>
  <c r="V344" i="2"/>
  <c r="S344" i="2"/>
  <c r="AM350" i="2" s="1"/>
  <c r="AM376" i="1" s="1"/>
  <c r="R344" i="2"/>
  <c r="AD350" i="2" s="1"/>
  <c r="AD376" i="1" s="1"/>
  <c r="P344" i="2"/>
  <c r="N344" i="2"/>
  <c r="M344" i="2"/>
  <c r="K344" i="2"/>
  <c r="J344" i="2"/>
  <c r="I344" i="2"/>
  <c r="G344" i="2"/>
  <c r="AK343" i="2"/>
  <c r="AL349" i="2" s="1"/>
  <c r="AL377" i="1" s="1"/>
  <c r="AH343" i="2"/>
  <c r="AI349" i="2" s="1"/>
  <c r="AI377" i="1" s="1"/>
  <c r="AC343" i="2"/>
  <c r="AA343" i="2"/>
  <c r="AB349" i="2" s="1"/>
  <c r="AB377" i="1" s="1"/>
  <c r="Z343" i="2"/>
  <c r="Y343" i="2"/>
  <c r="X343" i="2"/>
  <c r="W343" i="2"/>
  <c r="V343" i="2"/>
  <c r="S343" i="2"/>
  <c r="AM349" i="2" s="1"/>
  <c r="AM377" i="1" s="1"/>
  <c r="R343" i="2"/>
  <c r="AD349" i="2" s="1"/>
  <c r="AD377" i="1" s="1"/>
  <c r="P343" i="2"/>
  <c r="N343" i="2"/>
  <c r="M343" i="2"/>
  <c r="K343" i="2"/>
  <c r="J343" i="2"/>
  <c r="I343" i="2"/>
  <c r="G343" i="2"/>
  <c r="AK342" i="2"/>
  <c r="AL348" i="2" s="1"/>
  <c r="AL378" i="1" s="1"/>
  <c r="AH342" i="2"/>
  <c r="AI348" i="2" s="1"/>
  <c r="AI378" i="1" s="1"/>
  <c r="AC342" i="2"/>
  <c r="AA342" i="2"/>
  <c r="AB348" i="2" s="1"/>
  <c r="AB378" i="1" s="1"/>
  <c r="Z342" i="2"/>
  <c r="Y342" i="2"/>
  <c r="X342" i="2"/>
  <c r="W342" i="2"/>
  <c r="V342" i="2"/>
  <c r="S342" i="2"/>
  <c r="AM348" i="2" s="1"/>
  <c r="AM378" i="1" s="1"/>
  <c r="R342" i="2"/>
  <c r="AD348" i="2" s="1"/>
  <c r="AD378" i="1" s="1"/>
  <c r="P342" i="2"/>
  <c r="N342" i="2"/>
  <c r="M342" i="2"/>
  <c r="K342" i="2"/>
  <c r="J342" i="2"/>
  <c r="I342" i="2"/>
  <c r="G342" i="2"/>
  <c r="AK341" i="2"/>
  <c r="AL347" i="2" s="1"/>
  <c r="AL379" i="1" s="1"/>
  <c r="AH341" i="2"/>
  <c r="AI347" i="2" s="1"/>
  <c r="AI379" i="1" s="1"/>
  <c r="AC341" i="2"/>
  <c r="AA341" i="2"/>
  <c r="AB347" i="2" s="1"/>
  <c r="AB379" i="1" s="1"/>
  <c r="Z341" i="2"/>
  <c r="Y341" i="2"/>
  <c r="X341" i="2"/>
  <c r="W341" i="2"/>
  <c r="V341" i="2"/>
  <c r="S341" i="2"/>
  <c r="R341" i="2"/>
  <c r="P341" i="2"/>
  <c r="N341" i="2"/>
  <c r="M341" i="2"/>
  <c r="K341" i="2"/>
  <c r="J341" i="2"/>
  <c r="I341" i="2"/>
  <c r="G341" i="2"/>
  <c r="AM340" i="2"/>
  <c r="AK340" i="2"/>
  <c r="AH340" i="2"/>
  <c r="AE340" i="2"/>
  <c r="AD340" i="2"/>
  <c r="AC340" i="2"/>
  <c r="AA340" i="2"/>
  <c r="Z340" i="2"/>
  <c r="Y340" i="2"/>
  <c r="X340" i="2"/>
  <c r="W340" i="2"/>
  <c r="V340" i="2"/>
  <c r="S340" i="2"/>
  <c r="R340" i="2"/>
  <c r="P340" i="2"/>
  <c r="Q340" i="2" s="1"/>
  <c r="N340" i="2"/>
  <c r="M340" i="2"/>
  <c r="K340" i="2"/>
  <c r="J340" i="2"/>
  <c r="I340" i="2"/>
  <c r="G340" i="2"/>
  <c r="AK339" i="2"/>
  <c r="AH339" i="2"/>
  <c r="AC339" i="2"/>
  <c r="AA339" i="2"/>
  <c r="Z339" i="2"/>
  <c r="Y339" i="2"/>
  <c r="X339" i="2"/>
  <c r="W339" i="2"/>
  <c r="V339" i="2"/>
  <c r="S339" i="2"/>
  <c r="R339" i="2"/>
  <c r="P339" i="2"/>
  <c r="Q339" i="2" s="1"/>
  <c r="N339" i="2"/>
  <c r="M339" i="2"/>
  <c r="K339" i="2"/>
  <c r="J339" i="2"/>
  <c r="I339" i="2"/>
  <c r="G339" i="2"/>
  <c r="AK338" i="2"/>
  <c r="AH338" i="2"/>
  <c r="AC338" i="2"/>
  <c r="AA338" i="2"/>
  <c r="Z338" i="2"/>
  <c r="Y338" i="2"/>
  <c r="X338" i="2"/>
  <c r="W338" i="2"/>
  <c r="V338" i="2"/>
  <c r="S338" i="2"/>
  <c r="R338" i="2"/>
  <c r="P338" i="2"/>
  <c r="Q338" i="2" s="1"/>
  <c r="N338" i="2"/>
  <c r="M338" i="2"/>
  <c r="K338" i="2"/>
  <c r="J338" i="2"/>
  <c r="I338" i="2"/>
  <c r="G338" i="2"/>
  <c r="AK337" i="2"/>
  <c r="AH337" i="2"/>
  <c r="AC337" i="2"/>
  <c r="AA337" i="2"/>
  <c r="Z337" i="2"/>
  <c r="Y337" i="2"/>
  <c r="X337" i="2"/>
  <c r="W337" i="2"/>
  <c r="V337" i="2"/>
  <c r="S337" i="2"/>
  <c r="R337" i="2"/>
  <c r="P337" i="2"/>
  <c r="Q337" i="2" s="1"/>
  <c r="N337" i="2"/>
  <c r="M337" i="2"/>
  <c r="K337" i="2"/>
  <c r="J337" i="2"/>
  <c r="I337" i="2"/>
  <c r="G337" i="2"/>
  <c r="AK336" i="2"/>
  <c r="AH336" i="2"/>
  <c r="AC336" i="2"/>
  <c r="AA336" i="2"/>
  <c r="Z336" i="2"/>
  <c r="Y336" i="2"/>
  <c r="X336" i="2"/>
  <c r="W336" i="2"/>
  <c r="V336" i="2"/>
  <c r="S336" i="2"/>
  <c r="R336" i="2"/>
  <c r="P336" i="2"/>
  <c r="Q336" i="2" s="1"/>
  <c r="N336" i="2"/>
  <c r="M336" i="2"/>
  <c r="K336" i="2"/>
  <c r="J336" i="2"/>
  <c r="I336" i="2"/>
  <c r="G336" i="2"/>
  <c r="AK335" i="2"/>
  <c r="AH335" i="2"/>
  <c r="AC335" i="2"/>
  <c r="AA335" i="2"/>
  <c r="Z335" i="2"/>
  <c r="Y335" i="2"/>
  <c r="X335" i="2"/>
  <c r="W335" i="2"/>
  <c r="V335" i="2"/>
  <c r="S335" i="2"/>
  <c r="R335" i="2"/>
  <c r="P335" i="2"/>
  <c r="Q335" i="2" s="1"/>
  <c r="N335" i="2"/>
  <c r="M335" i="2"/>
  <c r="K335" i="2"/>
  <c r="J335" i="2"/>
  <c r="I335" i="2"/>
  <c r="G335" i="2"/>
  <c r="AK334" i="2"/>
  <c r="AH334" i="2"/>
  <c r="AC334" i="2"/>
  <c r="AA334" i="2"/>
  <c r="Z334" i="2"/>
  <c r="Y334" i="2"/>
  <c r="X334" i="2"/>
  <c r="W334" i="2"/>
  <c r="V334" i="2"/>
  <c r="S334" i="2"/>
  <c r="R334" i="2"/>
  <c r="P334" i="2"/>
  <c r="Q334" i="2" s="1"/>
  <c r="N334" i="2"/>
  <c r="M334" i="2"/>
  <c r="K334" i="2"/>
  <c r="J334" i="2"/>
  <c r="I334" i="2"/>
  <c r="G334" i="2"/>
  <c r="AK333" i="2"/>
  <c r="AL339" i="2" s="1"/>
  <c r="AL387" i="1" s="1"/>
  <c r="AH333" i="2"/>
  <c r="AI339" i="2" s="1"/>
  <c r="AI387" i="1" s="1"/>
  <c r="AC333" i="2"/>
  <c r="AA333" i="2"/>
  <c r="AB339" i="2" s="1"/>
  <c r="AB387" i="1" s="1"/>
  <c r="Z333" i="2"/>
  <c r="Y333" i="2"/>
  <c r="X333" i="2"/>
  <c r="W333" i="2"/>
  <c r="V333" i="2"/>
  <c r="S333" i="2"/>
  <c r="AM339" i="2" s="1"/>
  <c r="AM387" i="1" s="1"/>
  <c r="R333" i="2"/>
  <c r="AD339" i="2" s="1"/>
  <c r="AD387" i="1" s="1"/>
  <c r="P333" i="2"/>
  <c r="N333" i="2"/>
  <c r="M333" i="2"/>
  <c r="K333" i="2"/>
  <c r="J333" i="2"/>
  <c r="I333" i="2"/>
  <c r="G333" i="2"/>
  <c r="AK332" i="2"/>
  <c r="AL338" i="2" s="1"/>
  <c r="AL388" i="1" s="1"/>
  <c r="AH332" i="2"/>
  <c r="AI338" i="2" s="1"/>
  <c r="AI388" i="1" s="1"/>
  <c r="AC332" i="2"/>
  <c r="AA332" i="2"/>
  <c r="AB338" i="2" s="1"/>
  <c r="AB388" i="1" s="1"/>
  <c r="Z332" i="2"/>
  <c r="Y332" i="2"/>
  <c r="X332" i="2"/>
  <c r="W332" i="2"/>
  <c r="V332" i="2"/>
  <c r="S332" i="2"/>
  <c r="AM338" i="2" s="1"/>
  <c r="AM388" i="1" s="1"/>
  <c r="R332" i="2"/>
  <c r="AD338" i="2" s="1"/>
  <c r="AD388" i="1" s="1"/>
  <c r="P332" i="2"/>
  <c r="N332" i="2"/>
  <c r="M332" i="2"/>
  <c r="K332" i="2"/>
  <c r="J332" i="2"/>
  <c r="I332" i="2"/>
  <c r="G332" i="2"/>
  <c r="AK331" i="2"/>
  <c r="AL337" i="2" s="1"/>
  <c r="AL389" i="1" s="1"/>
  <c r="AH331" i="2"/>
  <c r="AI337" i="2" s="1"/>
  <c r="AI389" i="1" s="1"/>
  <c r="AC331" i="2"/>
  <c r="AA331" i="2"/>
  <c r="AB337" i="2" s="1"/>
  <c r="AB389" i="1" s="1"/>
  <c r="Z331" i="2"/>
  <c r="Y331" i="2"/>
  <c r="X331" i="2"/>
  <c r="W331" i="2"/>
  <c r="V331" i="2"/>
  <c r="S331" i="2"/>
  <c r="AM337" i="2" s="1"/>
  <c r="AM389" i="1" s="1"/>
  <c r="R331" i="2"/>
  <c r="AD337" i="2" s="1"/>
  <c r="AD389" i="1" s="1"/>
  <c r="P331" i="2"/>
  <c r="N331" i="2"/>
  <c r="M331" i="2"/>
  <c r="K331" i="2"/>
  <c r="J331" i="2"/>
  <c r="I331" i="2"/>
  <c r="G331" i="2"/>
  <c r="AK330" i="2"/>
  <c r="AL336" i="2" s="1"/>
  <c r="AL390" i="1" s="1"/>
  <c r="AH330" i="2"/>
  <c r="AI336" i="2" s="1"/>
  <c r="AI390" i="1" s="1"/>
  <c r="AC330" i="2"/>
  <c r="AA330" i="2"/>
  <c r="AB336" i="2" s="1"/>
  <c r="AB390" i="1" s="1"/>
  <c r="Z330" i="2"/>
  <c r="Y330" i="2"/>
  <c r="X330" i="2"/>
  <c r="W330" i="2"/>
  <c r="V330" i="2"/>
  <c r="S330" i="2"/>
  <c r="AM336" i="2" s="1"/>
  <c r="AM390" i="1" s="1"/>
  <c r="R330" i="2"/>
  <c r="AD336" i="2" s="1"/>
  <c r="AD390" i="1" s="1"/>
  <c r="P330" i="2"/>
  <c r="N330" i="2"/>
  <c r="M330" i="2"/>
  <c r="K330" i="2"/>
  <c r="J330" i="2"/>
  <c r="I330" i="2"/>
  <c r="G330" i="2"/>
  <c r="AK329" i="2"/>
  <c r="AL335" i="2" s="1"/>
  <c r="AL391" i="1" s="1"/>
  <c r="AH329" i="2"/>
  <c r="AI335" i="2" s="1"/>
  <c r="AI391" i="1" s="1"/>
  <c r="AC329" i="2"/>
  <c r="AA329" i="2"/>
  <c r="AB335" i="2" s="1"/>
  <c r="AB391" i="1" s="1"/>
  <c r="Z329" i="2"/>
  <c r="Y329" i="2"/>
  <c r="X329" i="2"/>
  <c r="W329" i="2"/>
  <c r="V329" i="2"/>
  <c r="S329" i="2"/>
  <c r="AM335" i="2" s="1"/>
  <c r="AM391" i="1" s="1"/>
  <c r="R329" i="2"/>
  <c r="AD335" i="2" s="1"/>
  <c r="AD391" i="1" s="1"/>
  <c r="P329" i="2"/>
  <c r="N329" i="2"/>
  <c r="M329" i="2"/>
  <c r="K329" i="2"/>
  <c r="J329" i="2"/>
  <c r="I329" i="2"/>
  <c r="G329" i="2"/>
  <c r="AK328" i="2"/>
  <c r="AL334" i="2" s="1"/>
  <c r="AL392" i="1" s="1"/>
  <c r="AH328" i="2"/>
  <c r="AI334" i="2" s="1"/>
  <c r="AI392" i="1" s="1"/>
  <c r="AC328" i="2"/>
  <c r="AA328" i="2"/>
  <c r="AB334" i="2" s="1"/>
  <c r="AB392" i="1" s="1"/>
  <c r="Z328" i="2"/>
  <c r="Y328" i="2"/>
  <c r="X328" i="2"/>
  <c r="W328" i="2"/>
  <c r="V328" i="2"/>
  <c r="S328" i="2"/>
  <c r="AM334" i="2" s="1"/>
  <c r="AM392" i="1" s="1"/>
  <c r="R328" i="2"/>
  <c r="AD334" i="2" s="1"/>
  <c r="AD392" i="1" s="1"/>
  <c r="P328" i="2"/>
  <c r="N328" i="2"/>
  <c r="M328" i="2"/>
  <c r="K328" i="2"/>
  <c r="J328" i="2"/>
  <c r="I328" i="2"/>
  <c r="G328" i="2"/>
  <c r="AK327" i="2"/>
  <c r="AL333" i="2" s="1"/>
  <c r="AL393" i="1" s="1"/>
  <c r="AH327" i="2"/>
  <c r="AI333" i="2" s="1"/>
  <c r="AI393" i="1" s="1"/>
  <c r="AC327" i="2"/>
  <c r="AA327" i="2"/>
  <c r="AB333" i="2" s="1"/>
  <c r="AB393" i="1" s="1"/>
  <c r="Z327" i="2"/>
  <c r="Y327" i="2"/>
  <c r="X327" i="2"/>
  <c r="W327" i="2"/>
  <c r="V327" i="2"/>
  <c r="S327" i="2"/>
  <c r="AM333" i="2" s="1"/>
  <c r="AM393" i="1" s="1"/>
  <c r="R327" i="2"/>
  <c r="AD333" i="2" s="1"/>
  <c r="AD393" i="1" s="1"/>
  <c r="P327" i="2"/>
  <c r="N327" i="2"/>
  <c r="M327" i="2"/>
  <c r="K327" i="2"/>
  <c r="J327" i="2"/>
  <c r="I327" i="2"/>
  <c r="G327" i="2"/>
  <c r="AK326" i="2"/>
  <c r="AL332" i="2" s="1"/>
  <c r="AL394" i="1" s="1"/>
  <c r="AH326" i="2"/>
  <c r="AI332" i="2" s="1"/>
  <c r="AI394" i="1" s="1"/>
  <c r="AC326" i="2"/>
  <c r="AA326" i="2"/>
  <c r="AB332" i="2" s="1"/>
  <c r="AB394" i="1" s="1"/>
  <c r="Z326" i="2"/>
  <c r="Y326" i="2"/>
  <c r="X326" i="2"/>
  <c r="W326" i="2"/>
  <c r="V326" i="2"/>
  <c r="S326" i="2"/>
  <c r="AM332" i="2" s="1"/>
  <c r="AM394" i="1" s="1"/>
  <c r="R326" i="2"/>
  <c r="AD332" i="2" s="1"/>
  <c r="AD394" i="1" s="1"/>
  <c r="P326" i="2"/>
  <c r="N326" i="2"/>
  <c r="M326" i="2"/>
  <c r="K326" i="2"/>
  <c r="J326" i="2"/>
  <c r="I326" i="2"/>
  <c r="G326" i="2"/>
  <c r="AK325" i="2"/>
  <c r="AL331" i="2" s="1"/>
  <c r="AL395" i="1" s="1"/>
  <c r="AH325" i="2"/>
  <c r="AI331" i="2" s="1"/>
  <c r="AI395" i="1" s="1"/>
  <c r="AC325" i="2"/>
  <c r="AA325" i="2"/>
  <c r="AB331" i="2" s="1"/>
  <c r="AB395" i="1" s="1"/>
  <c r="Z325" i="2"/>
  <c r="Y325" i="2"/>
  <c r="X325" i="2"/>
  <c r="W325" i="2"/>
  <c r="V325" i="2"/>
  <c r="S325" i="2"/>
  <c r="AM331" i="2" s="1"/>
  <c r="AM395" i="1" s="1"/>
  <c r="R325" i="2"/>
  <c r="AD331" i="2" s="1"/>
  <c r="AD395" i="1" s="1"/>
  <c r="P325" i="2"/>
  <c r="N325" i="2"/>
  <c r="M325" i="2"/>
  <c r="K325" i="2"/>
  <c r="J325" i="2"/>
  <c r="I325" i="2"/>
  <c r="G325" i="2"/>
  <c r="AK324" i="2"/>
  <c r="AH324" i="2"/>
  <c r="AI330" i="2" s="1"/>
  <c r="AI396" i="1" s="1"/>
  <c r="AC324" i="2"/>
  <c r="AA324" i="2"/>
  <c r="AB330" i="2" s="1"/>
  <c r="AB396" i="1" s="1"/>
  <c r="Z324" i="2"/>
  <c r="Y324" i="2"/>
  <c r="X324" i="2"/>
  <c r="W324" i="2"/>
  <c r="V324" i="2"/>
  <c r="S324" i="2"/>
  <c r="AM330" i="2" s="1"/>
  <c r="AM396" i="1" s="1"/>
  <c r="R324" i="2"/>
  <c r="AD330" i="2" s="1"/>
  <c r="AD396" i="1" s="1"/>
  <c r="P324" i="2"/>
  <c r="N324" i="2"/>
  <c r="M324" i="2"/>
  <c r="K324" i="2"/>
  <c r="J324" i="2"/>
  <c r="I324" i="2"/>
  <c r="G324" i="2"/>
  <c r="AH323" i="2"/>
  <c r="AI329" i="2" s="1"/>
  <c r="AI397" i="1" s="1"/>
  <c r="AC323" i="2"/>
  <c r="AA323" i="2"/>
  <c r="AB329" i="2" s="1"/>
  <c r="AB397" i="1" s="1"/>
  <c r="Z323" i="2"/>
  <c r="Y323" i="2"/>
  <c r="X323" i="2"/>
  <c r="W323" i="2"/>
  <c r="V323" i="2"/>
  <c r="S323" i="2"/>
  <c r="AM329" i="2" s="1"/>
  <c r="AM397" i="1" s="1"/>
  <c r="R323" i="2"/>
  <c r="AD329" i="2" s="1"/>
  <c r="AD397" i="1" s="1"/>
  <c r="P323" i="2"/>
  <c r="N323" i="2"/>
  <c r="M323" i="2"/>
  <c r="K323" i="2"/>
  <c r="J323" i="2"/>
  <c r="I323" i="2"/>
  <c r="G323" i="2"/>
  <c r="AH322" i="2"/>
  <c r="AI328" i="2" s="1"/>
  <c r="AI398" i="1" s="1"/>
  <c r="AC322" i="2"/>
  <c r="AA322" i="2"/>
  <c r="AB328" i="2" s="1"/>
  <c r="AB398" i="1" s="1"/>
  <c r="Z322" i="2"/>
  <c r="Y322" i="2"/>
  <c r="X322" i="2"/>
  <c r="W322" i="2"/>
  <c r="V322" i="2"/>
  <c r="S322" i="2"/>
  <c r="AM328" i="2" s="1"/>
  <c r="AM398" i="1" s="1"/>
  <c r="R322" i="2"/>
  <c r="AD328" i="2" s="1"/>
  <c r="AD398" i="1" s="1"/>
  <c r="P322" i="2"/>
  <c r="N322" i="2"/>
  <c r="M322" i="2"/>
  <c r="K322" i="2"/>
  <c r="J322" i="2"/>
  <c r="I322" i="2"/>
  <c r="G322" i="2"/>
  <c r="AH321" i="2"/>
  <c r="AI327" i="2" s="1"/>
  <c r="AI399" i="1" s="1"/>
  <c r="AC321" i="2"/>
  <c r="AA321" i="2"/>
  <c r="AB327" i="2" s="1"/>
  <c r="AB399" i="1" s="1"/>
  <c r="Z321" i="2"/>
  <c r="Y321" i="2"/>
  <c r="X321" i="2"/>
  <c r="W321" i="2"/>
  <c r="V321" i="2"/>
  <c r="S321" i="2"/>
  <c r="AM327" i="2" s="1"/>
  <c r="AM399" i="1" s="1"/>
  <c r="R321" i="2"/>
  <c r="AD327" i="2" s="1"/>
  <c r="AD399" i="1" s="1"/>
  <c r="P321" i="2"/>
  <c r="N321" i="2"/>
  <c r="M321" i="2"/>
  <c r="K321" i="2"/>
  <c r="J321" i="2"/>
  <c r="I321" i="2"/>
  <c r="G321" i="2"/>
  <c r="AH320" i="2"/>
  <c r="AI326" i="2" s="1"/>
  <c r="AI400" i="1" s="1"/>
  <c r="AC320" i="2"/>
  <c r="AA320" i="2"/>
  <c r="AB326" i="2" s="1"/>
  <c r="AB400" i="1" s="1"/>
  <c r="Z320" i="2"/>
  <c r="Y320" i="2"/>
  <c r="X320" i="2"/>
  <c r="W320" i="2"/>
  <c r="V320" i="2"/>
  <c r="S320" i="2"/>
  <c r="AM326" i="2" s="1"/>
  <c r="AM400" i="1" s="1"/>
  <c r="R320" i="2"/>
  <c r="AD326" i="2" s="1"/>
  <c r="AD400" i="1" s="1"/>
  <c r="P320" i="2"/>
  <c r="N320" i="2"/>
  <c r="M320" i="2"/>
  <c r="K320" i="2"/>
  <c r="J320" i="2"/>
  <c r="I320" i="2"/>
  <c r="G320" i="2"/>
  <c r="AH319" i="2"/>
  <c r="AI325" i="2" s="1"/>
  <c r="AI401" i="1" s="1"/>
  <c r="AC319" i="2"/>
  <c r="AA319" i="2"/>
  <c r="AB325" i="2" s="1"/>
  <c r="AB401" i="1" s="1"/>
  <c r="Z319" i="2"/>
  <c r="Y319" i="2"/>
  <c r="X319" i="2"/>
  <c r="W319" i="2"/>
  <c r="V319" i="2"/>
  <c r="S319" i="2"/>
  <c r="AM325" i="2" s="1"/>
  <c r="AM401" i="1" s="1"/>
  <c r="R319" i="2"/>
  <c r="AD325" i="2" s="1"/>
  <c r="AD401" i="1" s="1"/>
  <c r="P319" i="2"/>
  <c r="N319" i="2"/>
  <c r="M319" i="2"/>
  <c r="K319" i="2"/>
  <c r="J319" i="2"/>
  <c r="I319" i="2"/>
  <c r="G319" i="2"/>
  <c r="AH318" i="2"/>
  <c r="AI324" i="2" s="1"/>
  <c r="AI402" i="1" s="1"/>
  <c r="AC318" i="2"/>
  <c r="AA318" i="2"/>
  <c r="AB324" i="2" s="1"/>
  <c r="AB402" i="1" s="1"/>
  <c r="Z318" i="2"/>
  <c r="Y318" i="2"/>
  <c r="X318" i="2"/>
  <c r="W318" i="2"/>
  <c r="V318" i="2"/>
  <c r="S318" i="2"/>
  <c r="AM324" i="2" s="1"/>
  <c r="AM402" i="1" s="1"/>
  <c r="R318" i="2"/>
  <c r="AD324" i="2" s="1"/>
  <c r="AD402" i="1" s="1"/>
  <c r="P318" i="2"/>
  <c r="N318" i="2"/>
  <c r="M318" i="2"/>
  <c r="K318" i="2"/>
  <c r="J318" i="2"/>
  <c r="I318" i="2"/>
  <c r="G318" i="2"/>
  <c r="AH317" i="2"/>
  <c r="AI323" i="2" s="1"/>
  <c r="AI403" i="1" s="1"/>
  <c r="AC317" i="2"/>
  <c r="AA317" i="2"/>
  <c r="AB323" i="2" s="1"/>
  <c r="AB403" i="1" s="1"/>
  <c r="Z317" i="2"/>
  <c r="Y317" i="2"/>
  <c r="X317" i="2"/>
  <c r="W317" i="2"/>
  <c r="V317" i="2"/>
  <c r="S317" i="2"/>
  <c r="AM323" i="2" s="1"/>
  <c r="AM403" i="1" s="1"/>
  <c r="R317" i="2"/>
  <c r="AD323" i="2" s="1"/>
  <c r="AD403" i="1" s="1"/>
  <c r="P317" i="2"/>
  <c r="N317" i="2"/>
  <c r="M317" i="2"/>
  <c r="K317" i="2"/>
  <c r="J317" i="2"/>
  <c r="I317" i="2"/>
  <c r="G317" i="2"/>
  <c r="AH316" i="2"/>
  <c r="AC316" i="2"/>
  <c r="AA316" i="2"/>
  <c r="AB322" i="2" s="1"/>
  <c r="AB404" i="1" s="1"/>
  <c r="Z316" i="2"/>
  <c r="Y316" i="2"/>
  <c r="X316" i="2"/>
  <c r="W316" i="2"/>
  <c r="V316" i="2"/>
  <c r="S316" i="2"/>
  <c r="AM322" i="2" s="1"/>
  <c r="AM404" i="1" s="1"/>
  <c r="R316" i="2"/>
  <c r="AD322" i="2" s="1"/>
  <c r="AD404" i="1" s="1"/>
  <c r="P316" i="2"/>
  <c r="N316" i="2"/>
  <c r="M316" i="2"/>
  <c r="K316" i="2"/>
  <c r="J316" i="2"/>
  <c r="I316" i="2"/>
  <c r="G316" i="2"/>
  <c r="AC315" i="2"/>
  <c r="AA315" i="2"/>
  <c r="AB321" i="2" s="1"/>
  <c r="AB405" i="1" s="1"/>
  <c r="Z315" i="2"/>
  <c r="Y315" i="2"/>
  <c r="X315" i="2"/>
  <c r="W315" i="2"/>
  <c r="V315" i="2"/>
  <c r="S315" i="2"/>
  <c r="AM321" i="2" s="1"/>
  <c r="AM405" i="1" s="1"/>
  <c r="R315" i="2"/>
  <c r="AD321" i="2" s="1"/>
  <c r="AD405" i="1" s="1"/>
  <c r="P315" i="2"/>
  <c r="N315" i="2"/>
  <c r="M315" i="2"/>
  <c r="K315" i="2"/>
  <c r="J315" i="2"/>
  <c r="I315" i="2"/>
  <c r="G315" i="2"/>
  <c r="AC314" i="2"/>
  <c r="AA314" i="2"/>
  <c r="AB320" i="2" s="1"/>
  <c r="AB406" i="1" s="1"/>
  <c r="Z314" i="2"/>
  <c r="Y314" i="2"/>
  <c r="X314" i="2"/>
  <c r="W314" i="2"/>
  <c r="V314" i="2"/>
  <c r="S314" i="2"/>
  <c r="AM320" i="2" s="1"/>
  <c r="AM406" i="1" s="1"/>
  <c r="R314" i="2"/>
  <c r="AD320" i="2" s="1"/>
  <c r="AD406" i="1" s="1"/>
  <c r="P314" i="2"/>
  <c r="N314" i="2"/>
  <c r="M314" i="2"/>
  <c r="K314" i="2"/>
  <c r="J314" i="2"/>
  <c r="I314" i="2"/>
  <c r="G314" i="2"/>
  <c r="AG313" i="2"/>
  <c r="AG314" i="2" s="1"/>
  <c r="AG412" i="1" s="1"/>
  <c r="AC313" i="2"/>
  <c r="AA313" i="2"/>
  <c r="AB319" i="2" s="1"/>
  <c r="AB407" i="1" s="1"/>
  <c r="Z313" i="2"/>
  <c r="Y313" i="2"/>
  <c r="X313" i="2"/>
  <c r="W313" i="2"/>
  <c r="V313" i="2"/>
  <c r="S313" i="2"/>
  <c r="R313" i="2"/>
  <c r="AD319" i="2" s="1"/>
  <c r="AD407" i="1" s="1"/>
  <c r="P313" i="2"/>
  <c r="N313" i="2"/>
  <c r="M313" i="2"/>
  <c r="K313" i="2"/>
  <c r="J313" i="2"/>
  <c r="I313" i="2"/>
  <c r="G313" i="2"/>
  <c r="AH312" i="2"/>
  <c r="AI318" i="2" s="1"/>
  <c r="AI408" i="1" s="1"/>
  <c r="AC312" i="2"/>
  <c r="AA312" i="2"/>
  <c r="AB318" i="2" s="1"/>
  <c r="AB408" i="1" s="1"/>
  <c r="Z312" i="2"/>
  <c r="Y312" i="2"/>
  <c r="X312" i="2"/>
  <c r="W312" i="2"/>
  <c r="V312" i="2"/>
  <c r="R312" i="2"/>
  <c r="AD318" i="2" s="1"/>
  <c r="AD408" i="1" s="1"/>
  <c r="P312" i="2"/>
  <c r="N312" i="2"/>
  <c r="M312" i="2"/>
  <c r="K312" i="2"/>
  <c r="J312" i="2"/>
  <c r="I312" i="2"/>
  <c r="G312" i="2"/>
  <c r="AH311" i="2"/>
  <c r="AI317" i="2" s="1"/>
  <c r="AI409" i="1" s="1"/>
  <c r="AC311" i="2"/>
  <c r="AA311" i="2"/>
  <c r="AB317" i="2" s="1"/>
  <c r="AB409" i="1" s="1"/>
  <c r="Z311" i="2"/>
  <c r="Y311" i="2"/>
  <c r="X311" i="2"/>
  <c r="W311" i="2"/>
  <c r="V311" i="2"/>
  <c r="R311" i="2"/>
  <c r="AD317" i="2" s="1"/>
  <c r="AD409" i="1" s="1"/>
  <c r="P311" i="2"/>
  <c r="N311" i="2"/>
  <c r="M311" i="2"/>
  <c r="K311" i="2"/>
  <c r="J311" i="2"/>
  <c r="I311" i="2"/>
  <c r="G311" i="2"/>
  <c r="AH310" i="2"/>
  <c r="AI316" i="2" s="1"/>
  <c r="AI410" i="1" s="1"/>
  <c r="AC310" i="2"/>
  <c r="AA310" i="2"/>
  <c r="AB316" i="2" s="1"/>
  <c r="AB410" i="1" s="1"/>
  <c r="Z310" i="2"/>
  <c r="Y310" i="2"/>
  <c r="X310" i="2"/>
  <c r="W310" i="2"/>
  <c r="V310" i="2"/>
  <c r="S310" i="2"/>
  <c r="AM316" i="2" s="1"/>
  <c r="AM410" i="1" s="1"/>
  <c r="R310" i="2"/>
  <c r="AD316" i="2" s="1"/>
  <c r="AD410" i="1" s="1"/>
  <c r="P310" i="2"/>
  <c r="N310" i="2"/>
  <c r="M310" i="2"/>
  <c r="K310" i="2"/>
  <c r="J310" i="2"/>
  <c r="I310" i="2"/>
  <c r="G310" i="2"/>
  <c r="AH309" i="2"/>
  <c r="AC309" i="2"/>
  <c r="AA309" i="2"/>
  <c r="AB315" i="2" s="1"/>
  <c r="AB411" i="1" s="1"/>
  <c r="Z309" i="2"/>
  <c r="Y309" i="2"/>
  <c r="X309" i="2"/>
  <c r="W309" i="2"/>
  <c r="V309" i="2"/>
  <c r="S309" i="2"/>
  <c r="AM315" i="2" s="1"/>
  <c r="AM411" i="1" s="1"/>
  <c r="R309" i="2"/>
  <c r="AD315" i="2" s="1"/>
  <c r="AD411" i="1" s="1"/>
  <c r="Q309" i="2"/>
  <c r="N309" i="2"/>
  <c r="M309" i="2"/>
  <c r="K309" i="2"/>
  <c r="J309" i="2"/>
  <c r="I309" i="2"/>
  <c r="G309" i="2"/>
  <c r="AC308" i="2"/>
  <c r="AA308" i="2"/>
  <c r="AB314" i="2" s="1"/>
  <c r="AB412" i="1" s="1"/>
  <c r="Z308" i="2"/>
  <c r="Y308" i="2"/>
  <c r="X308" i="2"/>
  <c r="W308" i="2"/>
  <c r="V308" i="2"/>
  <c r="S308" i="2"/>
  <c r="AM314" i="2" s="1"/>
  <c r="AM412" i="1" s="1"/>
  <c r="R308" i="2"/>
  <c r="AD314" i="2" s="1"/>
  <c r="AD412" i="1" s="1"/>
  <c r="P308" i="2"/>
  <c r="N308" i="2"/>
  <c r="M308" i="2"/>
  <c r="K308" i="2"/>
  <c r="J308" i="2"/>
  <c r="I308" i="2"/>
  <c r="G308" i="2"/>
  <c r="AC307" i="2"/>
  <c r="AA307" i="2"/>
  <c r="AB313" i="2" s="1"/>
  <c r="AB413" i="1" s="1"/>
  <c r="Z307" i="2"/>
  <c r="Y307" i="2"/>
  <c r="X307" i="2"/>
  <c r="W307" i="2"/>
  <c r="V307" i="2"/>
  <c r="S307" i="2"/>
  <c r="AM313" i="2" s="1"/>
  <c r="AM413" i="1" s="1"/>
  <c r="R307" i="2"/>
  <c r="AD313" i="2" s="1"/>
  <c r="AD413" i="1" s="1"/>
  <c r="P307" i="2"/>
  <c r="N307" i="2"/>
  <c r="M307" i="2"/>
  <c r="K307" i="2"/>
  <c r="J307" i="2"/>
  <c r="I307" i="2"/>
  <c r="G307" i="2"/>
  <c r="AC306" i="2"/>
  <c r="AA306" i="2"/>
  <c r="AB312" i="2" s="1"/>
  <c r="AB414" i="1" s="1"/>
  <c r="Z306" i="2"/>
  <c r="Y306" i="2"/>
  <c r="X306" i="2"/>
  <c r="W306" i="2"/>
  <c r="V306" i="2"/>
  <c r="S306" i="2"/>
  <c r="AM312" i="2" s="1"/>
  <c r="AM414" i="1" s="1"/>
  <c r="R306" i="2"/>
  <c r="AD312" i="2" s="1"/>
  <c r="AD414" i="1" s="1"/>
  <c r="P306" i="2"/>
  <c r="N306" i="2"/>
  <c r="M306" i="2"/>
  <c r="K306" i="2"/>
  <c r="J306" i="2"/>
  <c r="I306" i="2"/>
  <c r="G306" i="2"/>
  <c r="AG305" i="2"/>
  <c r="AG306" i="2" s="1"/>
  <c r="AC305" i="2"/>
  <c r="AA305" i="2"/>
  <c r="AB311" i="2" s="1"/>
  <c r="AB415" i="1" s="1"/>
  <c r="Z305" i="2"/>
  <c r="Y305" i="2"/>
  <c r="X305" i="2"/>
  <c r="W305" i="2"/>
  <c r="V305" i="2"/>
  <c r="S305" i="2"/>
  <c r="AM311" i="2" s="1"/>
  <c r="AM415" i="1" s="1"/>
  <c r="R305" i="2"/>
  <c r="AD311" i="2" s="1"/>
  <c r="AD415" i="1" s="1"/>
  <c r="P305" i="2"/>
  <c r="N305" i="2"/>
  <c r="M305" i="2"/>
  <c r="K305" i="2"/>
  <c r="J305" i="2"/>
  <c r="I305" i="2"/>
  <c r="G305" i="2"/>
  <c r="AH304" i="2"/>
  <c r="AI310" i="2" s="1"/>
  <c r="AI416" i="1" s="1"/>
  <c r="AC304" i="2"/>
  <c r="AA304" i="2"/>
  <c r="AB310" i="2" s="1"/>
  <c r="AB416" i="1" s="1"/>
  <c r="Z304" i="2"/>
  <c r="Y304" i="2"/>
  <c r="X304" i="2"/>
  <c r="W304" i="2"/>
  <c r="V304" i="2"/>
  <c r="S304" i="2"/>
  <c r="AM310" i="2" s="1"/>
  <c r="AM416" i="1" s="1"/>
  <c r="R304" i="2"/>
  <c r="AD310" i="2" s="1"/>
  <c r="AD416" i="1" s="1"/>
  <c r="P304" i="2"/>
  <c r="N304" i="2"/>
  <c r="M304" i="2"/>
  <c r="K304" i="2"/>
  <c r="J304" i="2"/>
  <c r="I304" i="2"/>
  <c r="G304" i="2"/>
  <c r="AH303" i="2"/>
  <c r="AI309" i="2" s="1"/>
  <c r="AI417" i="1" s="1"/>
  <c r="AC303" i="2"/>
  <c r="AA303" i="2"/>
  <c r="AB309" i="2" s="1"/>
  <c r="AB417" i="1" s="1"/>
  <c r="Z303" i="2"/>
  <c r="Y303" i="2"/>
  <c r="X303" i="2"/>
  <c r="W303" i="2"/>
  <c r="V303" i="2"/>
  <c r="S303" i="2"/>
  <c r="AM309" i="2" s="1"/>
  <c r="AM417" i="1" s="1"/>
  <c r="R303" i="2"/>
  <c r="AD309" i="2" s="1"/>
  <c r="AD417" i="1" s="1"/>
  <c r="P303" i="2"/>
  <c r="N303" i="2"/>
  <c r="M303" i="2"/>
  <c r="K303" i="2"/>
  <c r="J303" i="2"/>
  <c r="I303" i="2"/>
  <c r="G303" i="2"/>
  <c r="AH302" i="2"/>
  <c r="AC302" i="2"/>
  <c r="AA302" i="2"/>
  <c r="AB308" i="2" s="1"/>
  <c r="AB418" i="1" s="1"/>
  <c r="Z302" i="2"/>
  <c r="Y302" i="2"/>
  <c r="X302" i="2"/>
  <c r="W302" i="2"/>
  <c r="V302" i="2"/>
  <c r="S302" i="2"/>
  <c r="AM308" i="2" s="1"/>
  <c r="AM418" i="1" s="1"/>
  <c r="R302" i="2"/>
  <c r="AD308" i="2" s="1"/>
  <c r="AD418" i="1" s="1"/>
  <c r="P302" i="2"/>
  <c r="N302" i="2"/>
  <c r="M302" i="2"/>
  <c r="K302" i="2"/>
  <c r="J302" i="2"/>
  <c r="I302" i="2"/>
  <c r="G302" i="2"/>
  <c r="AC301" i="2"/>
  <c r="AA301" i="2"/>
  <c r="AB307" i="2" s="1"/>
  <c r="AB419" i="1" s="1"/>
  <c r="Z301" i="2"/>
  <c r="Y301" i="2"/>
  <c r="X301" i="2"/>
  <c r="W301" i="2"/>
  <c r="V301" i="2"/>
  <c r="S301" i="2"/>
  <c r="AM307" i="2" s="1"/>
  <c r="AM419" i="1" s="1"/>
  <c r="R301" i="2"/>
  <c r="AD307" i="2" s="1"/>
  <c r="AD419" i="1" s="1"/>
  <c r="P301" i="2"/>
  <c r="N301" i="2"/>
  <c r="M301" i="2"/>
  <c r="K301" i="2"/>
  <c r="J301" i="2"/>
  <c r="I301" i="2"/>
  <c r="G301" i="2"/>
  <c r="AC300" i="2"/>
  <c r="AA300" i="2"/>
  <c r="AB306" i="2" s="1"/>
  <c r="AB420" i="1" s="1"/>
  <c r="Z300" i="2"/>
  <c r="Y300" i="2"/>
  <c r="X300" i="2"/>
  <c r="W300" i="2"/>
  <c r="V300" i="2"/>
  <c r="S300" i="2"/>
  <c r="AM306" i="2" s="1"/>
  <c r="AM420" i="1" s="1"/>
  <c r="R300" i="2"/>
  <c r="AD306" i="2" s="1"/>
  <c r="AD420" i="1" s="1"/>
  <c r="P300" i="2"/>
  <c r="N300" i="2"/>
  <c r="M300" i="2"/>
  <c r="K300" i="2"/>
  <c r="J300" i="2"/>
  <c r="I300" i="2"/>
  <c r="G300" i="2"/>
  <c r="AC299" i="2"/>
  <c r="AA299" i="2"/>
  <c r="AB305" i="2" s="1"/>
  <c r="AB421" i="1" s="1"/>
  <c r="Z299" i="2"/>
  <c r="Y299" i="2"/>
  <c r="X299" i="2"/>
  <c r="W299" i="2"/>
  <c r="V299" i="2"/>
  <c r="S299" i="2"/>
  <c r="AM305" i="2" s="1"/>
  <c r="AM421" i="1" s="1"/>
  <c r="R299" i="2"/>
  <c r="AD305" i="2" s="1"/>
  <c r="AD421" i="1" s="1"/>
  <c r="P299" i="2"/>
  <c r="N299" i="2"/>
  <c r="M299" i="2"/>
  <c r="K299" i="2"/>
  <c r="J299" i="2"/>
  <c r="I299" i="2"/>
  <c r="G299" i="2"/>
  <c r="AC298" i="2"/>
  <c r="AA298" i="2"/>
  <c r="AB304" i="2" s="1"/>
  <c r="AB422" i="1" s="1"/>
  <c r="Z298" i="2"/>
  <c r="Y298" i="2"/>
  <c r="X298" i="2"/>
  <c r="W298" i="2"/>
  <c r="V298" i="2"/>
  <c r="S298" i="2"/>
  <c r="AM304" i="2" s="1"/>
  <c r="AM422" i="1" s="1"/>
  <c r="R298" i="2"/>
  <c r="AD304" i="2" s="1"/>
  <c r="AD422" i="1" s="1"/>
  <c r="P298" i="2"/>
  <c r="N298" i="2"/>
  <c r="M298" i="2"/>
  <c r="K298" i="2"/>
  <c r="J298" i="2"/>
  <c r="I298" i="2"/>
  <c r="G298" i="2"/>
  <c r="AC297" i="2"/>
  <c r="AA297" i="2"/>
  <c r="AB303" i="2" s="1"/>
  <c r="AB423" i="1" s="1"/>
  <c r="Z297" i="2"/>
  <c r="Y297" i="2"/>
  <c r="X297" i="2"/>
  <c r="W297" i="2"/>
  <c r="V297" i="2"/>
  <c r="S297" i="2"/>
  <c r="AM303" i="2" s="1"/>
  <c r="AM423" i="1" s="1"/>
  <c r="R297" i="2"/>
  <c r="AD303" i="2" s="1"/>
  <c r="AD423" i="1" s="1"/>
  <c r="P297" i="2"/>
  <c r="N297" i="2"/>
  <c r="M297" i="2"/>
  <c r="K297" i="2"/>
  <c r="J297" i="2"/>
  <c r="I297" i="2"/>
  <c r="G297" i="2"/>
  <c r="AC296" i="2"/>
  <c r="AA296" i="2"/>
  <c r="AB302" i="2" s="1"/>
  <c r="AB424" i="1" s="1"/>
  <c r="Z296" i="2"/>
  <c r="Y296" i="2"/>
  <c r="X296" i="2"/>
  <c r="W296" i="2"/>
  <c r="V296" i="2"/>
  <c r="S296" i="2"/>
  <c r="AM302" i="2" s="1"/>
  <c r="AM424" i="1" s="1"/>
  <c r="R296" i="2"/>
  <c r="AD302" i="2" s="1"/>
  <c r="AD424" i="1" s="1"/>
  <c r="P296" i="2"/>
  <c r="N296" i="2"/>
  <c r="M296" i="2"/>
  <c r="K296" i="2"/>
  <c r="J296" i="2"/>
  <c r="I296" i="2"/>
  <c r="G296" i="2"/>
  <c r="AC295" i="2"/>
  <c r="AA295" i="2"/>
  <c r="AB301" i="2" s="1"/>
  <c r="AB425" i="1" s="1"/>
  <c r="Z295" i="2"/>
  <c r="Y295" i="2"/>
  <c r="X295" i="2"/>
  <c r="W295" i="2"/>
  <c r="V295" i="2"/>
  <c r="S295" i="2"/>
  <c r="AM301" i="2" s="1"/>
  <c r="AM425" i="1" s="1"/>
  <c r="R295" i="2"/>
  <c r="AD301" i="2" s="1"/>
  <c r="AD425" i="1" s="1"/>
  <c r="P295" i="2"/>
  <c r="N295" i="2"/>
  <c r="M295" i="2"/>
  <c r="K295" i="2"/>
  <c r="J295" i="2"/>
  <c r="I295" i="2"/>
  <c r="G295" i="2"/>
  <c r="AC294" i="2"/>
  <c r="AA294" i="2"/>
  <c r="AB300" i="2" s="1"/>
  <c r="AB426" i="1" s="1"/>
  <c r="Z294" i="2"/>
  <c r="Y294" i="2"/>
  <c r="X294" i="2"/>
  <c r="W294" i="2"/>
  <c r="V294" i="2"/>
  <c r="S294" i="2"/>
  <c r="AM300" i="2" s="1"/>
  <c r="AM426" i="1" s="1"/>
  <c r="R294" i="2"/>
  <c r="AD300" i="2" s="1"/>
  <c r="AD426" i="1" s="1"/>
  <c r="P294" i="2"/>
  <c r="N294" i="2"/>
  <c r="M294" i="2"/>
  <c r="K294" i="2"/>
  <c r="J294" i="2"/>
  <c r="I294" i="2"/>
  <c r="G294" i="2"/>
  <c r="AC293" i="2"/>
  <c r="AA293" i="2"/>
  <c r="AB299" i="2" s="1"/>
  <c r="AB427" i="1" s="1"/>
  <c r="Z293" i="2"/>
  <c r="Y293" i="2"/>
  <c r="X293" i="2"/>
  <c r="W293" i="2"/>
  <c r="V293" i="2"/>
  <c r="S293" i="2"/>
  <c r="AM299" i="2" s="1"/>
  <c r="AM427" i="1" s="1"/>
  <c r="R293" i="2"/>
  <c r="AD299" i="2" s="1"/>
  <c r="AD427" i="1" s="1"/>
  <c r="P293" i="2"/>
  <c r="N293" i="2"/>
  <c r="M293" i="2"/>
  <c r="K293" i="2"/>
  <c r="J293" i="2"/>
  <c r="I293" i="2"/>
  <c r="G293" i="2"/>
  <c r="AC292" i="2"/>
  <c r="AA292" i="2"/>
  <c r="AB298" i="2" s="1"/>
  <c r="AB428" i="1" s="1"/>
  <c r="Z292" i="2"/>
  <c r="Y292" i="2"/>
  <c r="X292" i="2"/>
  <c r="W292" i="2"/>
  <c r="V292" i="2"/>
  <c r="S292" i="2"/>
  <c r="AM298" i="2" s="1"/>
  <c r="AM428" i="1" s="1"/>
  <c r="R292" i="2"/>
  <c r="AD298" i="2" s="1"/>
  <c r="AD428" i="1" s="1"/>
  <c r="P292" i="2"/>
  <c r="N292" i="2"/>
  <c r="M292" i="2"/>
  <c r="K292" i="2"/>
  <c r="J292" i="2"/>
  <c r="I292" i="2"/>
  <c r="G292" i="2"/>
  <c r="AC291" i="2"/>
  <c r="AA291" i="2"/>
  <c r="AB297" i="2" s="1"/>
  <c r="AB429" i="1" s="1"/>
  <c r="Z291" i="2"/>
  <c r="Y291" i="2"/>
  <c r="X291" i="2"/>
  <c r="W291" i="2"/>
  <c r="V291" i="2"/>
  <c r="S291" i="2"/>
  <c r="AM297" i="2" s="1"/>
  <c r="AM429" i="1" s="1"/>
  <c r="R291" i="2"/>
  <c r="AD297" i="2" s="1"/>
  <c r="AD429" i="1" s="1"/>
  <c r="P291" i="2"/>
  <c r="N291" i="2"/>
  <c r="M291" i="2"/>
  <c r="K291" i="2"/>
  <c r="J291" i="2"/>
  <c r="I291" i="2"/>
  <c r="G291" i="2"/>
  <c r="AC290" i="2"/>
  <c r="AA290" i="2"/>
  <c r="AB296" i="2" s="1"/>
  <c r="AB430" i="1" s="1"/>
  <c r="Z290" i="2"/>
  <c r="Y290" i="2"/>
  <c r="X290" i="2"/>
  <c r="W290" i="2"/>
  <c r="V290" i="2"/>
  <c r="S290" i="2"/>
  <c r="AM296" i="2" s="1"/>
  <c r="AM430" i="1" s="1"/>
  <c r="R290" i="2"/>
  <c r="AD296" i="2" s="1"/>
  <c r="AD430" i="1" s="1"/>
  <c r="P290" i="2"/>
  <c r="N290" i="2"/>
  <c r="M290" i="2"/>
  <c r="K290" i="2"/>
  <c r="J290" i="2"/>
  <c r="I290" i="2"/>
  <c r="G290" i="2"/>
  <c r="AC289" i="2"/>
  <c r="AA289" i="2"/>
  <c r="AB295" i="2" s="1"/>
  <c r="AB431" i="1" s="1"/>
  <c r="Z289" i="2"/>
  <c r="Y289" i="2"/>
  <c r="X289" i="2"/>
  <c r="W289" i="2"/>
  <c r="V289" i="2"/>
  <c r="S289" i="2"/>
  <c r="AM295" i="2" s="1"/>
  <c r="AM431" i="1" s="1"/>
  <c r="R289" i="2"/>
  <c r="AD295" i="2" s="1"/>
  <c r="AD431" i="1" s="1"/>
  <c r="P289" i="2"/>
  <c r="N289" i="2"/>
  <c r="M289" i="2"/>
  <c r="K289" i="2"/>
  <c r="J289" i="2"/>
  <c r="I289" i="2"/>
  <c r="G289" i="2"/>
  <c r="AC288" i="2"/>
  <c r="AA288" i="2"/>
  <c r="AB294" i="2" s="1"/>
  <c r="AB432" i="1" s="1"/>
  <c r="Z288" i="2"/>
  <c r="Y288" i="2"/>
  <c r="X288" i="2"/>
  <c r="W288" i="2"/>
  <c r="V288" i="2"/>
  <c r="S288" i="2"/>
  <c r="AM294" i="2" s="1"/>
  <c r="AM432" i="1" s="1"/>
  <c r="R288" i="2"/>
  <c r="AD294" i="2" s="1"/>
  <c r="AD432" i="1" s="1"/>
  <c r="Q288" i="2"/>
  <c r="N288" i="2"/>
  <c r="M288" i="2"/>
  <c r="K288" i="2"/>
  <c r="J288" i="2"/>
  <c r="I288" i="2"/>
  <c r="G288" i="2"/>
  <c r="AC287" i="2"/>
  <c r="AA287" i="2"/>
  <c r="AB293" i="2" s="1"/>
  <c r="AB433" i="1" s="1"/>
  <c r="Z287" i="2"/>
  <c r="Y287" i="2"/>
  <c r="X287" i="2"/>
  <c r="W287" i="2"/>
  <c r="V287" i="2"/>
  <c r="S287" i="2"/>
  <c r="AM293" i="2" s="1"/>
  <c r="AM433" i="1" s="1"/>
  <c r="R287" i="2"/>
  <c r="AD293" i="2" s="1"/>
  <c r="AD433" i="1" s="1"/>
  <c r="P287" i="2"/>
  <c r="N287" i="2"/>
  <c r="M287" i="2"/>
  <c r="K287" i="2"/>
  <c r="J287" i="2"/>
  <c r="I287" i="2"/>
  <c r="G287" i="2"/>
  <c r="AC286" i="2"/>
  <c r="AA286" i="2"/>
  <c r="AB292" i="2" s="1"/>
  <c r="AB434" i="1" s="1"/>
  <c r="Z286" i="2"/>
  <c r="Y286" i="2"/>
  <c r="X286" i="2"/>
  <c r="W286" i="2"/>
  <c r="V286" i="2"/>
  <c r="S286" i="2"/>
  <c r="AM292" i="2" s="1"/>
  <c r="AM434" i="1" s="1"/>
  <c r="R286" i="2"/>
  <c r="AD292" i="2" s="1"/>
  <c r="AD434" i="1" s="1"/>
  <c r="P286" i="2"/>
  <c r="N286" i="2"/>
  <c r="M286" i="2"/>
  <c r="K286" i="2"/>
  <c r="J286" i="2"/>
  <c r="I286" i="2"/>
  <c r="G286" i="2"/>
  <c r="AC285" i="2"/>
  <c r="AA285" i="2"/>
  <c r="AB291" i="2" s="1"/>
  <c r="AB435" i="1" s="1"/>
  <c r="Z285" i="2"/>
  <c r="Y285" i="2"/>
  <c r="X285" i="2"/>
  <c r="W285" i="2"/>
  <c r="V285" i="2"/>
  <c r="S285" i="2"/>
  <c r="AM291" i="2" s="1"/>
  <c r="AM435" i="1" s="1"/>
  <c r="R285" i="2"/>
  <c r="AD291" i="2" s="1"/>
  <c r="AD435" i="1" s="1"/>
  <c r="P285" i="2"/>
  <c r="N285" i="2"/>
  <c r="M285" i="2"/>
  <c r="K285" i="2"/>
  <c r="J285" i="2"/>
  <c r="I285" i="2"/>
  <c r="G285" i="2"/>
  <c r="AC284" i="2"/>
  <c r="AA284" i="2"/>
  <c r="AB290" i="2" s="1"/>
  <c r="AB436" i="1" s="1"/>
  <c r="Z284" i="2"/>
  <c r="Y284" i="2"/>
  <c r="X284" i="2"/>
  <c r="W284" i="2"/>
  <c r="V284" i="2"/>
  <c r="S284" i="2"/>
  <c r="AM290" i="2" s="1"/>
  <c r="AM436" i="1" s="1"/>
  <c r="R284" i="2"/>
  <c r="AD290" i="2" s="1"/>
  <c r="AD436" i="1" s="1"/>
  <c r="P284" i="2"/>
  <c r="N284" i="2"/>
  <c r="M284" i="2"/>
  <c r="K284" i="2"/>
  <c r="J284" i="2"/>
  <c r="I284" i="2"/>
  <c r="G284" i="2"/>
  <c r="AC283" i="2"/>
  <c r="AA283" i="2"/>
  <c r="AB289" i="2" s="1"/>
  <c r="AB437" i="1" s="1"/>
  <c r="Z283" i="2"/>
  <c r="Y283" i="2"/>
  <c r="X283" i="2"/>
  <c r="W283" i="2"/>
  <c r="V283" i="2"/>
  <c r="S283" i="2"/>
  <c r="AM289" i="2" s="1"/>
  <c r="AM437" i="1" s="1"/>
  <c r="R283" i="2"/>
  <c r="AD289" i="2" s="1"/>
  <c r="AD437" i="1" s="1"/>
  <c r="P283" i="2"/>
  <c r="N283" i="2"/>
  <c r="M283" i="2"/>
  <c r="K283" i="2"/>
  <c r="J283" i="2"/>
  <c r="I283" i="2"/>
  <c r="G283" i="2"/>
  <c r="AC282" i="2"/>
  <c r="AA282" i="2"/>
  <c r="AB288" i="2" s="1"/>
  <c r="AB438" i="1" s="1"/>
  <c r="Z282" i="2"/>
  <c r="Y282" i="2"/>
  <c r="X282" i="2"/>
  <c r="W282" i="2"/>
  <c r="V282" i="2"/>
  <c r="S282" i="2"/>
  <c r="AM288" i="2" s="1"/>
  <c r="AM438" i="1" s="1"/>
  <c r="R282" i="2"/>
  <c r="AD288" i="2" s="1"/>
  <c r="AD438" i="1" s="1"/>
  <c r="P282" i="2"/>
  <c r="N282" i="2"/>
  <c r="M282" i="2"/>
  <c r="K282" i="2"/>
  <c r="J282" i="2"/>
  <c r="I282" i="2"/>
  <c r="G282" i="2"/>
  <c r="AC281" i="2"/>
  <c r="AA281" i="2"/>
  <c r="AB287" i="2" s="1"/>
  <c r="AB439" i="1" s="1"/>
  <c r="Z281" i="2"/>
  <c r="Y281" i="2"/>
  <c r="X281" i="2"/>
  <c r="W281" i="2"/>
  <c r="V281" i="2"/>
  <c r="S281" i="2"/>
  <c r="AM287" i="2" s="1"/>
  <c r="AM439" i="1" s="1"/>
  <c r="R281" i="2"/>
  <c r="AD287" i="2" s="1"/>
  <c r="AD439" i="1" s="1"/>
  <c r="Q281" i="2"/>
  <c r="N281" i="2"/>
  <c r="M281" i="2"/>
  <c r="K281" i="2"/>
  <c r="J281" i="2"/>
  <c r="I281" i="2"/>
  <c r="G281" i="2"/>
  <c r="AC280" i="2"/>
  <c r="AA280" i="2"/>
  <c r="AB286" i="2" s="1"/>
  <c r="AB440" i="1" s="1"/>
  <c r="Z280" i="2"/>
  <c r="Y280" i="2"/>
  <c r="X280" i="2"/>
  <c r="W280" i="2"/>
  <c r="V280" i="2"/>
  <c r="S280" i="2"/>
  <c r="AM286" i="2" s="1"/>
  <c r="AM440" i="1" s="1"/>
  <c r="R280" i="2"/>
  <c r="AD286" i="2" s="1"/>
  <c r="AD440" i="1" s="1"/>
  <c r="P280" i="2"/>
  <c r="N280" i="2"/>
  <c r="M280" i="2"/>
  <c r="K280" i="2"/>
  <c r="J280" i="2"/>
  <c r="I280" i="2"/>
  <c r="G280" i="2"/>
  <c r="AC279" i="2"/>
  <c r="AA279" i="2"/>
  <c r="AB285" i="2" s="1"/>
  <c r="AB441" i="1" s="1"/>
  <c r="Z279" i="2"/>
  <c r="Y279" i="2"/>
  <c r="X279" i="2"/>
  <c r="W279" i="2"/>
  <c r="V279" i="2"/>
  <c r="S279" i="2"/>
  <c r="AM285" i="2" s="1"/>
  <c r="AM441" i="1" s="1"/>
  <c r="R279" i="2"/>
  <c r="AD285" i="2" s="1"/>
  <c r="AD441" i="1" s="1"/>
  <c r="P279" i="2"/>
  <c r="N279" i="2"/>
  <c r="M279" i="2"/>
  <c r="K279" i="2"/>
  <c r="J279" i="2"/>
  <c r="I279" i="2"/>
  <c r="G279" i="2"/>
  <c r="AC278" i="2"/>
  <c r="AA278" i="2"/>
  <c r="AB284" i="2" s="1"/>
  <c r="AB442" i="1" s="1"/>
  <c r="Z278" i="2"/>
  <c r="Y278" i="2"/>
  <c r="X278" i="2"/>
  <c r="W278" i="2"/>
  <c r="V278" i="2"/>
  <c r="S278" i="2"/>
  <c r="AM284" i="2" s="1"/>
  <c r="AM442" i="1" s="1"/>
  <c r="R278" i="2"/>
  <c r="AD284" i="2" s="1"/>
  <c r="AD442" i="1" s="1"/>
  <c r="P278" i="2"/>
  <c r="N278" i="2"/>
  <c r="M278" i="2"/>
  <c r="K278" i="2"/>
  <c r="J278" i="2"/>
  <c r="I278" i="2"/>
  <c r="G278" i="2"/>
  <c r="AC277" i="2"/>
  <c r="AA277" i="2"/>
  <c r="AB283" i="2" s="1"/>
  <c r="AB443" i="1" s="1"/>
  <c r="Z277" i="2"/>
  <c r="Y277" i="2"/>
  <c r="X277" i="2"/>
  <c r="W277" i="2"/>
  <c r="V277" i="2"/>
  <c r="S277" i="2"/>
  <c r="AM283" i="2" s="1"/>
  <c r="AM443" i="1" s="1"/>
  <c r="R277" i="2"/>
  <c r="AD283" i="2" s="1"/>
  <c r="AD443" i="1" s="1"/>
  <c r="P277" i="2"/>
  <c r="N277" i="2"/>
  <c r="M277" i="2"/>
  <c r="K277" i="2"/>
  <c r="J277" i="2"/>
  <c r="I277" i="2"/>
  <c r="G277" i="2"/>
  <c r="AC276" i="2"/>
  <c r="AA276" i="2"/>
  <c r="AB282" i="2" s="1"/>
  <c r="AB444" i="1" s="1"/>
  <c r="Z276" i="2"/>
  <c r="Y276" i="2"/>
  <c r="X276" i="2"/>
  <c r="W276" i="2"/>
  <c r="V276" i="2"/>
  <c r="S276" i="2"/>
  <c r="AM282" i="2" s="1"/>
  <c r="AM444" i="1" s="1"/>
  <c r="R276" i="2"/>
  <c r="AD282" i="2" s="1"/>
  <c r="AD444" i="1" s="1"/>
  <c r="P276" i="2"/>
  <c r="N276" i="2"/>
  <c r="M276" i="2"/>
  <c r="K276" i="2"/>
  <c r="J276" i="2"/>
  <c r="I276" i="2"/>
  <c r="G276" i="2"/>
  <c r="AC275" i="2"/>
  <c r="AA275" i="2"/>
  <c r="AB281" i="2" s="1"/>
  <c r="AB445" i="1" s="1"/>
  <c r="Z275" i="2"/>
  <c r="Y275" i="2"/>
  <c r="X275" i="2"/>
  <c r="W275" i="2"/>
  <c r="V275" i="2"/>
  <c r="S275" i="2"/>
  <c r="AM281" i="2" s="1"/>
  <c r="AM445" i="1" s="1"/>
  <c r="R275" i="2"/>
  <c r="AD281" i="2" s="1"/>
  <c r="AD445" i="1" s="1"/>
  <c r="Q275" i="2"/>
  <c r="N275" i="2"/>
  <c r="M275" i="2"/>
  <c r="K275" i="2"/>
  <c r="J275" i="2"/>
  <c r="I275" i="2"/>
  <c r="G275" i="2"/>
  <c r="AC274" i="2"/>
  <c r="AA274" i="2"/>
  <c r="AB280" i="2" s="1"/>
  <c r="AB446" i="1" s="1"/>
  <c r="Z274" i="2"/>
  <c r="Y274" i="2"/>
  <c r="X274" i="2"/>
  <c r="W274" i="2"/>
  <c r="V274" i="2"/>
  <c r="S274" i="2"/>
  <c r="AM280" i="2" s="1"/>
  <c r="AM446" i="1" s="1"/>
  <c r="R274" i="2"/>
  <c r="AD280" i="2" s="1"/>
  <c r="AD446" i="1" s="1"/>
  <c r="P274" i="2"/>
  <c r="N274" i="2"/>
  <c r="M274" i="2"/>
  <c r="K274" i="2"/>
  <c r="J274" i="2"/>
  <c r="I274" i="2"/>
  <c r="G274" i="2"/>
  <c r="AC273" i="2"/>
  <c r="AA273" i="2"/>
  <c r="AB279" i="2" s="1"/>
  <c r="AB447" i="1" s="1"/>
  <c r="Z273" i="2"/>
  <c r="Y273" i="2"/>
  <c r="X273" i="2"/>
  <c r="W273" i="2"/>
  <c r="V273" i="2"/>
  <c r="S273" i="2"/>
  <c r="AM279" i="2" s="1"/>
  <c r="AM447" i="1" s="1"/>
  <c r="R273" i="2"/>
  <c r="AD279" i="2" s="1"/>
  <c r="AD447" i="1" s="1"/>
  <c r="P273" i="2"/>
  <c r="N273" i="2"/>
  <c r="M273" i="2"/>
  <c r="K273" i="2"/>
  <c r="J273" i="2"/>
  <c r="I273" i="2"/>
  <c r="G273" i="2"/>
  <c r="AC272" i="2"/>
  <c r="AA272" i="2"/>
  <c r="AB278" i="2" s="1"/>
  <c r="AB448" i="1" s="1"/>
  <c r="Z272" i="2"/>
  <c r="Y272" i="2"/>
  <c r="X272" i="2"/>
  <c r="W272" i="2"/>
  <c r="V272" i="2"/>
  <c r="S272" i="2"/>
  <c r="AM278" i="2" s="1"/>
  <c r="AM448" i="1" s="1"/>
  <c r="R272" i="2"/>
  <c r="AD278" i="2" s="1"/>
  <c r="AD448" i="1" s="1"/>
  <c r="P272" i="2"/>
  <c r="N272" i="2"/>
  <c r="M272" i="2"/>
  <c r="K272" i="2"/>
  <c r="J272" i="2"/>
  <c r="I272" i="2"/>
  <c r="G272" i="2"/>
  <c r="AC271" i="2"/>
  <c r="AA271" i="2"/>
  <c r="AB277" i="2" s="1"/>
  <c r="AB449" i="1" s="1"/>
  <c r="Z271" i="2"/>
  <c r="Y271" i="2"/>
  <c r="X271" i="2"/>
  <c r="W271" i="2"/>
  <c r="V271" i="2"/>
  <c r="S271" i="2"/>
  <c r="AM277" i="2" s="1"/>
  <c r="AM449" i="1" s="1"/>
  <c r="R271" i="2"/>
  <c r="AD277" i="2" s="1"/>
  <c r="AD449" i="1" s="1"/>
  <c r="P271" i="2"/>
  <c r="N271" i="2"/>
  <c r="M271" i="2"/>
  <c r="K271" i="2"/>
  <c r="J271" i="2"/>
  <c r="I271" i="2"/>
  <c r="G271" i="2"/>
  <c r="AC270" i="2"/>
  <c r="AA270" i="2"/>
  <c r="AB276" i="2" s="1"/>
  <c r="AB450" i="1" s="1"/>
  <c r="Z270" i="2"/>
  <c r="Y270" i="2"/>
  <c r="X270" i="2"/>
  <c r="W270" i="2"/>
  <c r="V270" i="2"/>
  <c r="S270" i="2"/>
  <c r="AM276" i="2" s="1"/>
  <c r="AM450" i="1" s="1"/>
  <c r="R270" i="2"/>
  <c r="AD276" i="2" s="1"/>
  <c r="AD450" i="1" s="1"/>
  <c r="P270" i="2"/>
  <c r="N270" i="2"/>
  <c r="M270" i="2"/>
  <c r="K270" i="2"/>
  <c r="J270" i="2"/>
  <c r="I270" i="2"/>
  <c r="G270" i="2"/>
  <c r="AC269" i="2"/>
  <c r="AA269" i="2"/>
  <c r="AB275" i="2" s="1"/>
  <c r="AB451" i="1" s="1"/>
  <c r="Z269" i="2"/>
  <c r="Y269" i="2"/>
  <c r="X269" i="2"/>
  <c r="W269" i="2"/>
  <c r="V269" i="2"/>
  <c r="S269" i="2"/>
  <c r="AM275" i="2" s="1"/>
  <c r="AM451" i="1" s="1"/>
  <c r="R269" i="2"/>
  <c r="AD275" i="2" s="1"/>
  <c r="AD451" i="1" s="1"/>
  <c r="P269" i="2"/>
  <c r="N269" i="2"/>
  <c r="M269" i="2"/>
  <c r="K269" i="2"/>
  <c r="J269" i="2"/>
  <c r="I269" i="2"/>
  <c r="G269" i="2"/>
  <c r="AC268" i="2"/>
  <c r="AA268" i="2"/>
  <c r="AB274" i="2" s="1"/>
  <c r="AB452" i="1" s="1"/>
  <c r="Z268" i="2"/>
  <c r="Y268" i="2"/>
  <c r="X268" i="2"/>
  <c r="W268" i="2"/>
  <c r="V268" i="2"/>
  <c r="S268" i="2"/>
  <c r="AM274" i="2" s="1"/>
  <c r="AM452" i="1" s="1"/>
  <c r="R268" i="2"/>
  <c r="AD274" i="2" s="1"/>
  <c r="AD452" i="1" s="1"/>
  <c r="P268" i="2"/>
  <c r="N268" i="2"/>
  <c r="M268" i="2"/>
  <c r="K268" i="2"/>
  <c r="J268" i="2"/>
  <c r="I268" i="2"/>
  <c r="G268" i="2"/>
  <c r="AC267" i="2"/>
  <c r="AA267" i="2"/>
  <c r="AB273" i="2" s="1"/>
  <c r="AB453" i="1" s="1"/>
  <c r="Z267" i="2"/>
  <c r="Y267" i="2"/>
  <c r="X267" i="2"/>
  <c r="W267" i="2"/>
  <c r="V267" i="2"/>
  <c r="S267" i="2"/>
  <c r="AM273" i="2" s="1"/>
  <c r="AM453" i="1" s="1"/>
  <c r="R267" i="2"/>
  <c r="AD273" i="2" s="1"/>
  <c r="AD453" i="1" s="1"/>
  <c r="P267" i="2"/>
  <c r="N267" i="2"/>
  <c r="M267" i="2"/>
  <c r="K267" i="2"/>
  <c r="J267" i="2"/>
  <c r="I267" i="2"/>
  <c r="G267" i="2"/>
  <c r="AC266" i="2"/>
  <c r="AA266" i="2"/>
  <c r="AB272" i="2" s="1"/>
  <c r="AB454" i="1" s="1"/>
  <c r="Z266" i="2"/>
  <c r="Y266" i="2"/>
  <c r="X266" i="2"/>
  <c r="W266" i="2"/>
  <c r="V266" i="2"/>
  <c r="S266" i="2"/>
  <c r="AM272" i="2" s="1"/>
  <c r="AM454" i="1" s="1"/>
  <c r="R266" i="2"/>
  <c r="AD272" i="2" s="1"/>
  <c r="AD454" i="1" s="1"/>
  <c r="P266" i="2"/>
  <c r="N266" i="2"/>
  <c r="M266" i="2"/>
  <c r="K266" i="2"/>
  <c r="J266" i="2"/>
  <c r="I266" i="2"/>
  <c r="G266" i="2"/>
  <c r="AC265" i="2"/>
  <c r="AA265" i="2"/>
  <c r="AB271" i="2" s="1"/>
  <c r="AB455" i="1" s="1"/>
  <c r="Z265" i="2"/>
  <c r="Y265" i="2"/>
  <c r="X265" i="2"/>
  <c r="W265" i="2"/>
  <c r="V265" i="2"/>
  <c r="S265" i="2"/>
  <c r="AM271" i="2" s="1"/>
  <c r="AM455" i="1" s="1"/>
  <c r="R265" i="2"/>
  <c r="AD271" i="2" s="1"/>
  <c r="AD455" i="1" s="1"/>
  <c r="P265" i="2"/>
  <c r="N265" i="2"/>
  <c r="M265" i="2"/>
  <c r="K265" i="2"/>
  <c r="J265" i="2"/>
  <c r="I265" i="2"/>
  <c r="G265" i="2"/>
  <c r="AC264" i="2"/>
  <c r="AA264" i="2"/>
  <c r="AB270" i="2" s="1"/>
  <c r="AB456" i="1" s="1"/>
  <c r="Z264" i="2"/>
  <c r="Y264" i="2"/>
  <c r="X264" i="2"/>
  <c r="W264" i="2"/>
  <c r="V264" i="2"/>
  <c r="S264" i="2"/>
  <c r="AM270" i="2" s="1"/>
  <c r="AM456" i="1" s="1"/>
  <c r="R264" i="2"/>
  <c r="AD270" i="2" s="1"/>
  <c r="AD456" i="1" s="1"/>
  <c r="P264" i="2"/>
  <c r="N264" i="2"/>
  <c r="M264" i="2"/>
  <c r="K264" i="2"/>
  <c r="J264" i="2"/>
  <c r="I264" i="2"/>
  <c r="G264" i="2"/>
  <c r="AC263" i="2"/>
  <c r="AA263" i="2"/>
  <c r="AB269" i="2" s="1"/>
  <c r="AB457" i="1" s="1"/>
  <c r="Z263" i="2"/>
  <c r="Y263" i="2"/>
  <c r="X263" i="2"/>
  <c r="W263" i="2"/>
  <c r="V263" i="2"/>
  <c r="S263" i="2"/>
  <c r="AM269" i="2" s="1"/>
  <c r="AM457" i="1" s="1"/>
  <c r="R263" i="2"/>
  <c r="AD269" i="2" s="1"/>
  <c r="AD457" i="1" s="1"/>
  <c r="P263" i="2"/>
  <c r="N263" i="2"/>
  <c r="M263" i="2"/>
  <c r="K263" i="2"/>
  <c r="J263" i="2"/>
  <c r="I263" i="2"/>
  <c r="G263" i="2"/>
  <c r="AC262" i="2"/>
  <c r="AA262" i="2"/>
  <c r="AB268" i="2" s="1"/>
  <c r="AB458" i="1" s="1"/>
  <c r="Z262" i="2"/>
  <c r="Y262" i="2"/>
  <c r="X262" i="2"/>
  <c r="W262" i="2"/>
  <c r="V262" i="2"/>
  <c r="S262" i="2"/>
  <c r="AM268" i="2" s="1"/>
  <c r="AM458" i="1" s="1"/>
  <c r="R262" i="2"/>
  <c r="AD268" i="2" s="1"/>
  <c r="AD458" i="1" s="1"/>
  <c r="P262" i="2"/>
  <c r="N262" i="2"/>
  <c r="M262" i="2"/>
  <c r="K262" i="2"/>
  <c r="J262" i="2"/>
  <c r="I262" i="2"/>
  <c r="G262" i="2"/>
  <c r="AC261" i="2"/>
  <c r="AA261" i="2"/>
  <c r="AB267" i="2" s="1"/>
  <c r="AB459" i="1" s="1"/>
  <c r="Z261" i="2"/>
  <c r="Y261" i="2"/>
  <c r="X261" i="2"/>
  <c r="W261" i="2"/>
  <c r="V261" i="2"/>
  <c r="S261" i="2"/>
  <c r="AM267" i="2" s="1"/>
  <c r="AM459" i="1" s="1"/>
  <c r="R261" i="2"/>
  <c r="AD267" i="2" s="1"/>
  <c r="AD459" i="1" s="1"/>
  <c r="P261" i="2"/>
  <c r="N261" i="2"/>
  <c r="M261" i="2"/>
  <c r="K261" i="2"/>
  <c r="J261" i="2"/>
  <c r="I261" i="2"/>
  <c r="G261" i="2"/>
  <c r="AC260" i="2"/>
  <c r="AA260" i="2"/>
  <c r="AB266" i="2" s="1"/>
  <c r="AB460" i="1" s="1"/>
  <c r="Z260" i="2"/>
  <c r="Y260" i="2"/>
  <c r="X260" i="2"/>
  <c r="W260" i="2"/>
  <c r="V260" i="2"/>
  <c r="S260" i="2"/>
  <c r="AM266" i="2" s="1"/>
  <c r="AM460" i="1" s="1"/>
  <c r="R260" i="2"/>
  <c r="AD266" i="2" s="1"/>
  <c r="AD460" i="1" s="1"/>
  <c r="P260" i="2"/>
  <c r="N260" i="2"/>
  <c r="M260" i="2"/>
  <c r="K260" i="2"/>
  <c r="J260" i="2"/>
  <c r="I260" i="2"/>
  <c r="G260" i="2"/>
  <c r="AC259" i="2"/>
  <c r="AA259" i="2"/>
  <c r="AB265" i="2" s="1"/>
  <c r="AB461" i="1" s="1"/>
  <c r="Z259" i="2"/>
  <c r="Y259" i="2"/>
  <c r="X259" i="2"/>
  <c r="W259" i="2"/>
  <c r="V259" i="2"/>
  <c r="S259" i="2"/>
  <c r="AM265" i="2" s="1"/>
  <c r="AM461" i="1" s="1"/>
  <c r="R259" i="2"/>
  <c r="AD265" i="2" s="1"/>
  <c r="AD461" i="1" s="1"/>
  <c r="P259" i="2"/>
  <c r="AE265" i="2" s="1"/>
  <c r="AE461" i="1" s="1"/>
  <c r="N259" i="2"/>
  <c r="M259" i="2"/>
  <c r="K259" i="2"/>
  <c r="J259" i="2"/>
  <c r="I259" i="2"/>
  <c r="G259" i="2"/>
  <c r="AC258" i="2"/>
  <c r="AA258" i="2"/>
  <c r="AB264" i="2" s="1"/>
  <c r="AB462" i="1" s="1"/>
  <c r="Z258" i="2"/>
  <c r="Y258" i="2"/>
  <c r="X258" i="2"/>
  <c r="W258" i="2"/>
  <c r="V258" i="2"/>
  <c r="S258" i="2"/>
  <c r="AM264" i="2" s="1"/>
  <c r="AM462" i="1" s="1"/>
  <c r="R258" i="2"/>
  <c r="AD264" i="2" s="1"/>
  <c r="AD462" i="1" s="1"/>
  <c r="P258" i="2"/>
  <c r="N258" i="2"/>
  <c r="M258" i="2"/>
  <c r="K258" i="2"/>
  <c r="J258" i="2"/>
  <c r="I258" i="2"/>
  <c r="G258" i="2"/>
  <c r="AC257" i="2"/>
  <c r="AA257" i="2"/>
  <c r="AB263" i="2" s="1"/>
  <c r="AB463" i="1" s="1"/>
  <c r="Z257" i="2"/>
  <c r="Y257" i="2"/>
  <c r="X257" i="2"/>
  <c r="W257" i="2"/>
  <c r="V257" i="2"/>
  <c r="S257" i="2"/>
  <c r="AM263" i="2" s="1"/>
  <c r="AM463" i="1" s="1"/>
  <c r="R257" i="2"/>
  <c r="AD263" i="2" s="1"/>
  <c r="AD463" i="1" s="1"/>
  <c r="P257" i="2"/>
  <c r="N257" i="2"/>
  <c r="M257" i="2"/>
  <c r="K257" i="2"/>
  <c r="J257" i="2"/>
  <c r="I257" i="2"/>
  <c r="G257" i="2"/>
  <c r="AC256" i="2"/>
  <c r="AA256" i="2"/>
  <c r="AB262" i="2" s="1"/>
  <c r="AB464" i="1" s="1"/>
  <c r="Z256" i="2"/>
  <c r="Y256" i="2"/>
  <c r="X256" i="2"/>
  <c r="W256" i="2"/>
  <c r="V256" i="2"/>
  <c r="S256" i="2"/>
  <c r="AM262" i="2" s="1"/>
  <c r="AM464" i="1" s="1"/>
  <c r="R256" i="2"/>
  <c r="AD262" i="2" s="1"/>
  <c r="AD464" i="1" s="1"/>
  <c r="P256" i="2"/>
  <c r="N256" i="2"/>
  <c r="M256" i="2"/>
  <c r="K256" i="2"/>
  <c r="J256" i="2"/>
  <c r="I256" i="2"/>
  <c r="G256" i="2"/>
  <c r="AC255" i="2"/>
  <c r="AA255" i="2"/>
  <c r="AB261" i="2" s="1"/>
  <c r="AB465" i="1" s="1"/>
  <c r="Z255" i="2"/>
  <c r="Y255" i="2"/>
  <c r="X255" i="2"/>
  <c r="W255" i="2"/>
  <c r="V255" i="2"/>
  <c r="S255" i="2"/>
  <c r="AM261" i="2" s="1"/>
  <c r="AM465" i="1" s="1"/>
  <c r="R255" i="2"/>
  <c r="AD261" i="2" s="1"/>
  <c r="AD465" i="1" s="1"/>
  <c r="P255" i="2"/>
  <c r="N255" i="2"/>
  <c r="M255" i="2"/>
  <c r="K255" i="2"/>
  <c r="J255" i="2"/>
  <c r="I255" i="2"/>
  <c r="G255" i="2"/>
  <c r="AC254" i="2"/>
  <c r="AA254" i="2"/>
  <c r="AB260" i="2" s="1"/>
  <c r="AB466" i="1" s="1"/>
  <c r="Z254" i="2"/>
  <c r="Y254" i="2"/>
  <c r="X254" i="2"/>
  <c r="W254" i="2"/>
  <c r="V254" i="2"/>
  <c r="S254" i="2"/>
  <c r="AM260" i="2" s="1"/>
  <c r="AM466" i="1" s="1"/>
  <c r="R254" i="2"/>
  <c r="AD260" i="2" s="1"/>
  <c r="AD466" i="1" s="1"/>
  <c r="P254" i="2"/>
  <c r="N254" i="2"/>
  <c r="M254" i="2"/>
  <c r="K254" i="2"/>
  <c r="J254" i="2"/>
  <c r="I254" i="2"/>
  <c r="G254" i="2"/>
  <c r="AC253" i="2"/>
  <c r="AA253" i="2"/>
  <c r="AB259" i="2" s="1"/>
  <c r="AB467" i="1" s="1"/>
  <c r="Z253" i="2"/>
  <c r="Y253" i="2"/>
  <c r="X253" i="2"/>
  <c r="W253" i="2"/>
  <c r="V253" i="2"/>
  <c r="S253" i="2"/>
  <c r="AM259" i="2" s="1"/>
  <c r="AM467" i="1" s="1"/>
  <c r="R253" i="2"/>
  <c r="AD259" i="2" s="1"/>
  <c r="AD467" i="1" s="1"/>
  <c r="P253" i="2"/>
  <c r="N253" i="2"/>
  <c r="M253" i="2"/>
  <c r="K253" i="2"/>
  <c r="J253" i="2"/>
  <c r="I253" i="2"/>
  <c r="G253" i="2"/>
  <c r="AC252" i="2"/>
  <c r="AA252" i="2"/>
  <c r="AB258" i="2" s="1"/>
  <c r="AB468" i="1" s="1"/>
  <c r="Z252" i="2"/>
  <c r="Y252" i="2"/>
  <c r="X252" i="2"/>
  <c r="W252" i="2"/>
  <c r="V252" i="2"/>
  <c r="S252" i="2"/>
  <c r="AM258" i="2" s="1"/>
  <c r="AM468" i="1" s="1"/>
  <c r="R252" i="2"/>
  <c r="AD258" i="2" s="1"/>
  <c r="AD468" i="1" s="1"/>
  <c r="P252" i="2"/>
  <c r="N252" i="2"/>
  <c r="M252" i="2"/>
  <c r="K252" i="2"/>
  <c r="J252" i="2"/>
  <c r="I252" i="2"/>
  <c r="G252" i="2"/>
  <c r="AC251" i="2"/>
  <c r="AA251" i="2"/>
  <c r="AB257" i="2" s="1"/>
  <c r="AB469" i="1" s="1"/>
  <c r="Z251" i="2"/>
  <c r="Y251" i="2"/>
  <c r="X251" i="2"/>
  <c r="W251" i="2"/>
  <c r="V251" i="2"/>
  <c r="S251" i="2"/>
  <c r="AM257" i="2" s="1"/>
  <c r="AM469" i="1" s="1"/>
  <c r="R251" i="2"/>
  <c r="AD257" i="2" s="1"/>
  <c r="AD469" i="1" s="1"/>
  <c r="P251" i="2"/>
  <c r="N251" i="2"/>
  <c r="M251" i="2"/>
  <c r="K251" i="2"/>
  <c r="J251" i="2"/>
  <c r="I251" i="2"/>
  <c r="G251" i="2"/>
  <c r="AC250" i="2"/>
  <c r="AA250" i="2"/>
  <c r="AB256" i="2" s="1"/>
  <c r="AB470" i="1" s="1"/>
  <c r="Z250" i="2"/>
  <c r="Y250" i="2"/>
  <c r="X250" i="2"/>
  <c r="W250" i="2"/>
  <c r="V250" i="2"/>
  <c r="S250" i="2"/>
  <c r="AM256" i="2" s="1"/>
  <c r="AM470" i="1" s="1"/>
  <c r="R250" i="2"/>
  <c r="AD256" i="2" s="1"/>
  <c r="AD470" i="1" s="1"/>
  <c r="P250" i="2"/>
  <c r="N250" i="2"/>
  <c r="M250" i="2"/>
  <c r="K250" i="2"/>
  <c r="J250" i="2"/>
  <c r="I250" i="2"/>
  <c r="G250" i="2"/>
  <c r="AC249" i="2"/>
  <c r="AA249" i="2"/>
  <c r="AB255" i="2" s="1"/>
  <c r="AB471" i="1" s="1"/>
  <c r="Z249" i="2"/>
  <c r="Y249" i="2"/>
  <c r="X249" i="2"/>
  <c r="W249" i="2"/>
  <c r="V249" i="2"/>
  <c r="S249" i="2"/>
  <c r="AM255" i="2" s="1"/>
  <c r="AM471" i="1" s="1"/>
  <c r="R249" i="2"/>
  <c r="AD255" i="2" s="1"/>
  <c r="AD471" i="1" s="1"/>
  <c r="P249" i="2"/>
  <c r="N249" i="2"/>
  <c r="M249" i="2"/>
  <c r="K249" i="2"/>
  <c r="J249" i="2"/>
  <c r="I249" i="2"/>
  <c r="G249" i="2"/>
  <c r="AC248" i="2"/>
  <c r="AA248" i="2"/>
  <c r="AB254" i="2" s="1"/>
  <c r="AB472" i="1" s="1"/>
  <c r="Z248" i="2"/>
  <c r="Y248" i="2"/>
  <c r="X248" i="2"/>
  <c r="W248" i="2"/>
  <c r="V248" i="2"/>
  <c r="S248" i="2"/>
  <c r="AM254" i="2" s="1"/>
  <c r="AM472" i="1" s="1"/>
  <c r="R248" i="2"/>
  <c r="AD254" i="2" s="1"/>
  <c r="AD472" i="1" s="1"/>
  <c r="P248" i="2"/>
  <c r="N248" i="2"/>
  <c r="M248" i="2"/>
  <c r="K248" i="2"/>
  <c r="J248" i="2"/>
  <c r="I248" i="2"/>
  <c r="G248" i="2"/>
  <c r="AC247" i="2"/>
  <c r="AA247" i="2"/>
  <c r="AB253" i="2" s="1"/>
  <c r="AB473" i="1" s="1"/>
  <c r="Z247" i="2"/>
  <c r="Y247" i="2"/>
  <c r="X247" i="2"/>
  <c r="W247" i="2"/>
  <c r="V247" i="2"/>
  <c r="S247" i="2"/>
  <c r="AM253" i="2" s="1"/>
  <c r="AM473" i="1" s="1"/>
  <c r="R247" i="2"/>
  <c r="AD253" i="2" s="1"/>
  <c r="AD473" i="1" s="1"/>
  <c r="P247" i="2"/>
  <c r="N247" i="2"/>
  <c r="M247" i="2"/>
  <c r="K247" i="2"/>
  <c r="J247" i="2"/>
  <c r="I247" i="2"/>
  <c r="G247" i="2"/>
  <c r="AC246" i="2"/>
  <c r="AA246" i="2"/>
  <c r="AB252" i="2" s="1"/>
  <c r="AB474" i="1" s="1"/>
  <c r="Z246" i="2"/>
  <c r="Y246" i="2"/>
  <c r="X246" i="2"/>
  <c r="W246" i="2"/>
  <c r="V246" i="2"/>
  <c r="S246" i="2"/>
  <c r="AM252" i="2" s="1"/>
  <c r="AM474" i="1" s="1"/>
  <c r="R246" i="2"/>
  <c r="AD252" i="2" s="1"/>
  <c r="AD474" i="1" s="1"/>
  <c r="P246" i="2"/>
  <c r="N246" i="2"/>
  <c r="M246" i="2"/>
  <c r="K246" i="2"/>
  <c r="J246" i="2"/>
  <c r="I246" i="2"/>
  <c r="G246" i="2"/>
  <c r="AC245" i="2"/>
  <c r="AA245" i="2"/>
  <c r="AB251" i="2" s="1"/>
  <c r="AB475" i="1" s="1"/>
  <c r="Z245" i="2"/>
  <c r="Y245" i="2"/>
  <c r="X245" i="2"/>
  <c r="W245" i="2"/>
  <c r="V245" i="2"/>
  <c r="S245" i="2"/>
  <c r="AM251" i="2" s="1"/>
  <c r="AM475" i="1" s="1"/>
  <c r="R245" i="2"/>
  <c r="AD251" i="2" s="1"/>
  <c r="AD475" i="1" s="1"/>
  <c r="P245" i="2"/>
  <c r="N245" i="2"/>
  <c r="M245" i="2"/>
  <c r="K245" i="2"/>
  <c r="J245" i="2"/>
  <c r="I245" i="2"/>
  <c r="G245" i="2"/>
  <c r="AC244" i="2"/>
  <c r="AA244" i="2"/>
  <c r="AB250" i="2" s="1"/>
  <c r="AB476" i="1" s="1"/>
  <c r="Z244" i="2"/>
  <c r="Y244" i="2"/>
  <c r="X244" i="2"/>
  <c r="W244" i="2"/>
  <c r="V244" i="2"/>
  <c r="S244" i="2"/>
  <c r="AM250" i="2" s="1"/>
  <c r="AM476" i="1" s="1"/>
  <c r="R244" i="2"/>
  <c r="AD250" i="2" s="1"/>
  <c r="AD476" i="1" s="1"/>
  <c r="P244" i="2"/>
  <c r="N244" i="2"/>
  <c r="M244" i="2"/>
  <c r="K244" i="2"/>
  <c r="J244" i="2"/>
  <c r="I244" i="2"/>
  <c r="G244" i="2"/>
  <c r="AC243" i="2"/>
  <c r="AA243" i="2"/>
  <c r="AB249" i="2" s="1"/>
  <c r="AB477" i="1" s="1"/>
  <c r="Z243" i="2"/>
  <c r="Y243" i="2"/>
  <c r="X243" i="2"/>
  <c r="W243" i="2"/>
  <c r="V243" i="2"/>
  <c r="S243" i="2"/>
  <c r="AM249" i="2" s="1"/>
  <c r="AM477" i="1" s="1"/>
  <c r="R243" i="2"/>
  <c r="AD249" i="2" s="1"/>
  <c r="AD477" i="1" s="1"/>
  <c r="P243" i="2"/>
  <c r="N243" i="2"/>
  <c r="M243" i="2"/>
  <c r="K243" i="2"/>
  <c r="J243" i="2"/>
  <c r="I243" i="2"/>
  <c r="G243" i="2"/>
  <c r="AC242" i="2"/>
  <c r="AA242" i="2"/>
  <c r="AB248" i="2" s="1"/>
  <c r="AB478" i="1" s="1"/>
  <c r="Z242" i="2"/>
  <c r="Y242" i="2"/>
  <c r="X242" i="2"/>
  <c r="W242" i="2"/>
  <c r="V242" i="2"/>
  <c r="S242" i="2"/>
  <c r="AM248" i="2" s="1"/>
  <c r="AM478" i="1" s="1"/>
  <c r="R242" i="2"/>
  <c r="AD248" i="2" s="1"/>
  <c r="AD478" i="1" s="1"/>
  <c r="P242" i="2"/>
  <c r="N242" i="2"/>
  <c r="M242" i="2"/>
  <c r="K242" i="2"/>
  <c r="J242" i="2"/>
  <c r="I242" i="2"/>
  <c r="G242" i="2"/>
  <c r="AC241" i="2"/>
  <c r="AA241" i="2"/>
  <c r="AB247" i="2" s="1"/>
  <c r="AB479" i="1" s="1"/>
  <c r="Z241" i="2"/>
  <c r="Y241" i="2"/>
  <c r="X241" i="2"/>
  <c r="W241" i="2"/>
  <c r="V241" i="2"/>
  <c r="S241" i="2"/>
  <c r="AM247" i="2" s="1"/>
  <c r="AM479" i="1" s="1"/>
  <c r="R241" i="2"/>
  <c r="AD247" i="2" s="1"/>
  <c r="AD479" i="1" s="1"/>
  <c r="P241" i="2"/>
  <c r="N241" i="2"/>
  <c r="M241" i="2"/>
  <c r="K241" i="2"/>
  <c r="J241" i="2"/>
  <c r="I241" i="2"/>
  <c r="G241" i="2"/>
  <c r="AC240" i="2"/>
  <c r="AA240" i="2"/>
  <c r="AB246" i="2" s="1"/>
  <c r="AB480" i="1" s="1"/>
  <c r="Z240" i="2"/>
  <c r="Y240" i="2"/>
  <c r="X240" i="2"/>
  <c r="W240" i="2"/>
  <c r="V240" i="2"/>
  <c r="S240" i="2"/>
  <c r="AM246" i="2" s="1"/>
  <c r="AM480" i="1" s="1"/>
  <c r="R240" i="2"/>
  <c r="AD246" i="2" s="1"/>
  <c r="AD480" i="1" s="1"/>
  <c r="P240" i="2"/>
  <c r="N240" i="2"/>
  <c r="M240" i="2"/>
  <c r="K240" i="2"/>
  <c r="J240" i="2"/>
  <c r="I240" i="2"/>
  <c r="G240" i="2"/>
  <c r="AC239" i="2"/>
  <c r="AA239" i="2"/>
  <c r="AB245" i="2" s="1"/>
  <c r="AB481" i="1" s="1"/>
  <c r="Z239" i="2"/>
  <c r="Y239" i="2"/>
  <c r="X239" i="2"/>
  <c r="W239" i="2"/>
  <c r="V239" i="2"/>
  <c r="S239" i="2"/>
  <c r="AM245" i="2" s="1"/>
  <c r="AM481" i="1" s="1"/>
  <c r="R239" i="2"/>
  <c r="AD245" i="2" s="1"/>
  <c r="AD481" i="1" s="1"/>
  <c r="P239" i="2"/>
  <c r="N239" i="2"/>
  <c r="M239" i="2"/>
  <c r="K239" i="2"/>
  <c r="J239" i="2"/>
  <c r="I239" i="2"/>
  <c r="G239" i="2"/>
  <c r="AC238" i="2"/>
  <c r="AA238" i="2"/>
  <c r="AB244" i="2" s="1"/>
  <c r="AB482" i="1" s="1"/>
  <c r="Z238" i="2"/>
  <c r="Y238" i="2"/>
  <c r="X238" i="2"/>
  <c r="W238" i="2"/>
  <c r="V238" i="2"/>
  <c r="S238" i="2"/>
  <c r="AM244" i="2" s="1"/>
  <c r="AM482" i="1" s="1"/>
  <c r="R238" i="2"/>
  <c r="AD244" i="2" s="1"/>
  <c r="AD482" i="1" s="1"/>
  <c r="P238" i="2"/>
  <c r="N238" i="2"/>
  <c r="M238" i="2"/>
  <c r="K238" i="2"/>
  <c r="J238" i="2"/>
  <c r="I238" i="2"/>
  <c r="G238" i="2"/>
  <c r="AC237" i="2"/>
  <c r="AA237" i="2"/>
  <c r="AB243" i="2" s="1"/>
  <c r="AB483" i="1" s="1"/>
  <c r="Z237" i="2"/>
  <c r="Y237" i="2"/>
  <c r="X237" i="2"/>
  <c r="W237" i="2"/>
  <c r="V237" i="2"/>
  <c r="S237" i="2"/>
  <c r="AM243" i="2" s="1"/>
  <c r="AM483" i="1" s="1"/>
  <c r="R237" i="2"/>
  <c r="AD243" i="2" s="1"/>
  <c r="AD483" i="1" s="1"/>
  <c r="P237" i="2"/>
  <c r="N237" i="2"/>
  <c r="M237" i="2"/>
  <c r="K237" i="2"/>
  <c r="J237" i="2"/>
  <c r="I237" i="2"/>
  <c r="G237" i="2"/>
  <c r="AC236" i="2"/>
  <c r="AA236" i="2"/>
  <c r="AB242" i="2" s="1"/>
  <c r="AB484" i="1" s="1"/>
  <c r="Z236" i="2"/>
  <c r="Y236" i="2"/>
  <c r="X236" i="2"/>
  <c r="W236" i="2"/>
  <c r="V236" i="2"/>
  <c r="S236" i="2"/>
  <c r="AM242" i="2" s="1"/>
  <c r="AM484" i="1" s="1"/>
  <c r="R236" i="2"/>
  <c r="AD242" i="2" s="1"/>
  <c r="AD484" i="1" s="1"/>
  <c r="P236" i="2"/>
  <c r="N236" i="2"/>
  <c r="M236" i="2"/>
  <c r="K236" i="2"/>
  <c r="J236" i="2"/>
  <c r="I236" i="2"/>
  <c r="G236" i="2"/>
  <c r="AC235" i="2"/>
  <c r="AA235" i="2"/>
  <c r="AB241" i="2" s="1"/>
  <c r="AB485" i="1" s="1"/>
  <c r="Z235" i="2"/>
  <c r="Y235" i="2"/>
  <c r="X235" i="2"/>
  <c r="W235" i="2"/>
  <c r="V235" i="2"/>
  <c r="S235" i="2"/>
  <c r="AM241" i="2" s="1"/>
  <c r="AM485" i="1" s="1"/>
  <c r="R235" i="2"/>
  <c r="AD241" i="2" s="1"/>
  <c r="AD485" i="1" s="1"/>
  <c r="P235" i="2"/>
  <c r="N235" i="2"/>
  <c r="M235" i="2"/>
  <c r="K235" i="2"/>
  <c r="J235" i="2"/>
  <c r="I235" i="2"/>
  <c r="G235" i="2"/>
  <c r="AC234" i="2"/>
  <c r="AA234" i="2"/>
  <c r="AB240" i="2" s="1"/>
  <c r="AB486" i="1" s="1"/>
  <c r="Z234" i="2"/>
  <c r="Y234" i="2"/>
  <c r="X234" i="2"/>
  <c r="W234" i="2"/>
  <c r="V234" i="2"/>
  <c r="S234" i="2"/>
  <c r="AM240" i="2" s="1"/>
  <c r="AM486" i="1" s="1"/>
  <c r="R234" i="2"/>
  <c r="AD240" i="2" s="1"/>
  <c r="AD486" i="1" s="1"/>
  <c r="P234" i="2"/>
  <c r="N234" i="2"/>
  <c r="M234" i="2"/>
  <c r="K234" i="2"/>
  <c r="J234" i="2"/>
  <c r="I234" i="2"/>
  <c r="G234" i="2"/>
  <c r="AC233" i="2"/>
  <c r="AA233" i="2"/>
  <c r="AB239" i="2" s="1"/>
  <c r="AB487" i="1" s="1"/>
  <c r="Z233" i="2"/>
  <c r="Y233" i="2"/>
  <c r="X233" i="2"/>
  <c r="W233" i="2"/>
  <c r="V233" i="2"/>
  <c r="S233" i="2"/>
  <c r="AM239" i="2" s="1"/>
  <c r="AM487" i="1" s="1"/>
  <c r="R233" i="2"/>
  <c r="AD239" i="2" s="1"/>
  <c r="AD487" i="1" s="1"/>
  <c r="P233" i="2"/>
  <c r="N233" i="2"/>
  <c r="M233" i="2"/>
  <c r="K233" i="2"/>
  <c r="J233" i="2"/>
  <c r="I233" i="2"/>
  <c r="G233" i="2"/>
  <c r="AC232" i="2"/>
  <c r="AA232" i="2"/>
  <c r="AB238" i="2" s="1"/>
  <c r="AB488" i="1" s="1"/>
  <c r="Z232" i="2"/>
  <c r="Y232" i="2"/>
  <c r="X232" i="2"/>
  <c r="W232" i="2"/>
  <c r="V232" i="2"/>
  <c r="R232" i="2"/>
  <c r="AD238" i="2" s="1"/>
  <c r="AD488" i="1" s="1"/>
  <c r="P232" i="2"/>
  <c r="N232" i="2"/>
  <c r="M232" i="2"/>
  <c r="K232" i="2"/>
  <c r="J232" i="2"/>
  <c r="I232" i="2"/>
  <c r="G232" i="2"/>
  <c r="AC231" i="2"/>
  <c r="AA231" i="2"/>
  <c r="AB237" i="2" s="1"/>
  <c r="AB489" i="1" s="1"/>
  <c r="Z231" i="2"/>
  <c r="Y231" i="2"/>
  <c r="X231" i="2"/>
  <c r="W231" i="2"/>
  <c r="V231" i="2"/>
  <c r="R231" i="2"/>
  <c r="P231" i="2"/>
  <c r="M231" i="2"/>
  <c r="K231" i="2"/>
  <c r="J231" i="2"/>
  <c r="I231" i="2"/>
  <c r="G231" i="2"/>
  <c r="E231" i="2"/>
  <c r="AC230" i="2"/>
  <c r="AA230" i="2"/>
  <c r="AB236" i="2" s="1"/>
  <c r="AB490" i="1" s="1"/>
  <c r="Z230" i="2"/>
  <c r="Y230" i="2"/>
  <c r="X230" i="2"/>
  <c r="W230" i="2"/>
  <c r="V230" i="2"/>
  <c r="S230" i="2"/>
  <c r="P230" i="2"/>
  <c r="N230" i="2"/>
  <c r="M230" i="2"/>
  <c r="K230" i="2"/>
  <c r="J230" i="2"/>
  <c r="I230" i="2"/>
  <c r="G230" i="2"/>
  <c r="AC229" i="2"/>
  <c r="AA229" i="2"/>
  <c r="AB235" i="2" s="1"/>
  <c r="AB491" i="1" s="1"/>
  <c r="Z229" i="2"/>
  <c r="Y229" i="2"/>
  <c r="X229" i="2"/>
  <c r="W229" i="2"/>
  <c r="V229" i="2"/>
  <c r="S229" i="2"/>
  <c r="P229" i="2"/>
  <c r="N229" i="2"/>
  <c r="M229" i="2"/>
  <c r="K229" i="2"/>
  <c r="J229" i="2"/>
  <c r="I229" i="2"/>
  <c r="G229" i="2"/>
  <c r="AC228" i="2"/>
  <c r="AA228" i="2"/>
  <c r="AB234" i="2" s="1"/>
  <c r="AB492" i="1" s="1"/>
  <c r="Z228" i="2"/>
  <c r="Y228" i="2"/>
  <c r="X228" i="2"/>
  <c r="W228" i="2"/>
  <c r="V228" i="2"/>
  <c r="S228" i="2"/>
  <c r="R228" i="2"/>
  <c r="AD234" i="2" s="1"/>
  <c r="AD492" i="1" s="1"/>
  <c r="P228" i="2"/>
  <c r="N228" i="2"/>
  <c r="M228" i="2"/>
  <c r="K228" i="2"/>
  <c r="J228" i="2"/>
  <c r="I228" i="2"/>
  <c r="G228" i="2"/>
  <c r="AC227" i="2"/>
  <c r="AA227" i="2"/>
  <c r="AB233" i="2" s="1"/>
  <c r="AB493" i="1" s="1"/>
  <c r="Z227" i="2"/>
  <c r="Y227" i="2"/>
  <c r="X227" i="2"/>
  <c r="W227" i="2"/>
  <c r="V227" i="2"/>
  <c r="S227" i="2"/>
  <c r="R227" i="2"/>
  <c r="AD233" i="2" s="1"/>
  <c r="AD493" i="1" s="1"/>
  <c r="P227" i="2"/>
  <c r="N227" i="2"/>
  <c r="M227" i="2"/>
  <c r="K227" i="2"/>
  <c r="J227" i="2"/>
  <c r="I227" i="2"/>
  <c r="G227" i="2"/>
  <c r="AC226" i="2"/>
  <c r="AA226" i="2"/>
  <c r="AB232" i="2" s="1"/>
  <c r="AB494" i="1" s="1"/>
  <c r="Z226" i="2"/>
  <c r="Y226" i="2"/>
  <c r="X226" i="2"/>
  <c r="W226" i="2"/>
  <c r="V226" i="2"/>
  <c r="S226" i="2"/>
  <c r="R226" i="2"/>
  <c r="AD232" i="2" s="1"/>
  <c r="AD494" i="1" s="1"/>
  <c r="P226" i="2"/>
  <c r="N226" i="2"/>
  <c r="M226" i="2"/>
  <c r="K226" i="2"/>
  <c r="J226" i="2"/>
  <c r="I226" i="2"/>
  <c r="G226" i="2"/>
  <c r="AC225" i="2"/>
  <c r="AA225" i="2"/>
  <c r="AB231" i="2" s="1"/>
  <c r="AB495" i="1" s="1"/>
  <c r="Z225" i="2"/>
  <c r="Y225" i="2"/>
  <c r="X225" i="2"/>
  <c r="W225" i="2"/>
  <c r="V225" i="2"/>
  <c r="S225" i="2"/>
  <c r="R225" i="2"/>
  <c r="AD231" i="2" s="1"/>
  <c r="AD495" i="1" s="1"/>
  <c r="Q225" i="2"/>
  <c r="N225" i="2"/>
  <c r="M225" i="2"/>
  <c r="K225" i="2"/>
  <c r="J225" i="2"/>
  <c r="I225" i="2"/>
  <c r="G225" i="2"/>
  <c r="AC224" i="2"/>
  <c r="AA224" i="2"/>
  <c r="AB230" i="2" s="1"/>
  <c r="AB496" i="1" s="1"/>
  <c r="Z224" i="2"/>
  <c r="Y224" i="2"/>
  <c r="X224" i="2"/>
  <c r="W224" i="2"/>
  <c r="V224" i="2"/>
  <c r="S224" i="2"/>
  <c r="AM230" i="2" s="1"/>
  <c r="AM496" i="1" s="1"/>
  <c r="R224" i="2"/>
  <c r="AD230" i="2" s="1"/>
  <c r="AD496" i="1" s="1"/>
  <c r="P224" i="2"/>
  <c r="N224" i="2"/>
  <c r="M224" i="2"/>
  <c r="K224" i="2"/>
  <c r="J224" i="2"/>
  <c r="I224" i="2"/>
  <c r="G224" i="2"/>
  <c r="AC223" i="2"/>
  <c r="AA223" i="2"/>
  <c r="AB229" i="2" s="1"/>
  <c r="AB497" i="1" s="1"/>
  <c r="Z223" i="2"/>
  <c r="Y223" i="2"/>
  <c r="X223" i="2"/>
  <c r="W223" i="2"/>
  <c r="V223" i="2"/>
  <c r="S223" i="2"/>
  <c r="AM229" i="2" s="1"/>
  <c r="AM497" i="1" s="1"/>
  <c r="R223" i="2"/>
  <c r="AD229" i="2" s="1"/>
  <c r="AD497" i="1" s="1"/>
  <c r="P223" i="2"/>
  <c r="N223" i="2"/>
  <c r="M223" i="2"/>
  <c r="K223" i="2"/>
  <c r="J223" i="2"/>
  <c r="I223" i="2"/>
  <c r="G223" i="2"/>
  <c r="AC222" i="2"/>
  <c r="AA222" i="2"/>
  <c r="AB228" i="2" s="1"/>
  <c r="AB498" i="1" s="1"/>
  <c r="Z222" i="2"/>
  <c r="Y222" i="2"/>
  <c r="X222" i="2"/>
  <c r="W222" i="2"/>
  <c r="V222" i="2"/>
  <c r="S222" i="2"/>
  <c r="AM228" i="2" s="1"/>
  <c r="AM498" i="1" s="1"/>
  <c r="R222" i="2"/>
  <c r="AD228" i="2" s="1"/>
  <c r="AD498" i="1" s="1"/>
  <c r="P222" i="2"/>
  <c r="N222" i="2"/>
  <c r="M222" i="2"/>
  <c r="K222" i="2"/>
  <c r="J222" i="2"/>
  <c r="I222" i="2"/>
  <c r="G222" i="2"/>
  <c r="AC221" i="2"/>
  <c r="AA221" i="2"/>
  <c r="AB227" i="2" s="1"/>
  <c r="AB499" i="1" s="1"/>
  <c r="Z221" i="2"/>
  <c r="Y221" i="2"/>
  <c r="X221" i="2"/>
  <c r="W221" i="2"/>
  <c r="V221" i="2"/>
  <c r="S221" i="2"/>
  <c r="AM227" i="2" s="1"/>
  <c r="AM499" i="1" s="1"/>
  <c r="R221" i="2"/>
  <c r="AD227" i="2" s="1"/>
  <c r="AD499" i="1" s="1"/>
  <c r="P221" i="2"/>
  <c r="N221" i="2"/>
  <c r="M221" i="2"/>
  <c r="K221" i="2"/>
  <c r="J221" i="2"/>
  <c r="I221" i="2"/>
  <c r="G221" i="2"/>
  <c r="AC220" i="2"/>
  <c r="AA220" i="2"/>
  <c r="AB226" i="2" s="1"/>
  <c r="AB500" i="1" s="1"/>
  <c r="Z220" i="2"/>
  <c r="Y220" i="2"/>
  <c r="X220" i="2"/>
  <c r="W220" i="2"/>
  <c r="V220" i="2"/>
  <c r="S220" i="2"/>
  <c r="AM226" i="2" s="1"/>
  <c r="AM500" i="1" s="1"/>
  <c r="R220" i="2"/>
  <c r="AD226" i="2" s="1"/>
  <c r="AD500" i="1" s="1"/>
  <c r="P220" i="2"/>
  <c r="N220" i="2"/>
  <c r="M220" i="2"/>
  <c r="K220" i="2"/>
  <c r="J220" i="2"/>
  <c r="I220" i="2"/>
  <c r="G220" i="2"/>
  <c r="AC219" i="2"/>
  <c r="AA219" i="2"/>
  <c r="AB225" i="2" s="1"/>
  <c r="AB501" i="1" s="1"/>
  <c r="Z219" i="2"/>
  <c r="Y219" i="2"/>
  <c r="X219" i="2"/>
  <c r="W219" i="2"/>
  <c r="V219" i="2"/>
  <c r="S219" i="2"/>
  <c r="R219" i="2"/>
  <c r="P219" i="2"/>
  <c r="N219" i="2"/>
  <c r="M219" i="2"/>
  <c r="K219" i="2"/>
  <c r="J219" i="2"/>
  <c r="I219" i="2"/>
  <c r="G219" i="2"/>
  <c r="AM218" i="2"/>
  <c r="AF218" i="2"/>
  <c r="AE218" i="2"/>
  <c r="AD218" i="2"/>
  <c r="AC218" i="2"/>
  <c r="AA218" i="2"/>
  <c r="AB224" i="2" s="1"/>
  <c r="AB502" i="1" s="1"/>
  <c r="Z218" i="2"/>
  <c r="Y218" i="2"/>
  <c r="X218" i="2"/>
  <c r="W218" i="2"/>
  <c r="V218" i="2"/>
  <c r="K218" i="2"/>
  <c r="J218" i="2"/>
  <c r="G218" i="2"/>
  <c r="AM217" i="2"/>
  <c r="AF217" i="2"/>
  <c r="AE217" i="2"/>
  <c r="AD217" i="2"/>
  <c r="AC217" i="2"/>
  <c r="AA217" i="2"/>
  <c r="AB223" i="2" s="1"/>
  <c r="AB503" i="1" s="1"/>
  <c r="Z217" i="2"/>
  <c r="Y217" i="2"/>
  <c r="X217" i="2"/>
  <c r="W217" i="2"/>
  <c r="V217" i="2"/>
  <c r="G217" i="2"/>
  <c r="AM216" i="2"/>
  <c r="AF216" i="2"/>
  <c r="AE216" i="2"/>
  <c r="AD216" i="2"/>
  <c r="AC216" i="2"/>
  <c r="AA216" i="2"/>
  <c r="AB222" i="2" s="1"/>
  <c r="AB504" i="1" s="1"/>
  <c r="Z216" i="2"/>
  <c r="Y216" i="2"/>
  <c r="X216" i="2"/>
  <c r="W216" i="2"/>
  <c r="V216" i="2"/>
  <c r="G216" i="2"/>
  <c r="AM215" i="2"/>
  <c r="AF215" i="2"/>
  <c r="AE215" i="2"/>
  <c r="AD215" i="2"/>
  <c r="AC215" i="2"/>
  <c r="AA215" i="2"/>
  <c r="AB221" i="2" s="1"/>
  <c r="AB505" i="1" s="1"/>
  <c r="Z215" i="2"/>
  <c r="Y215" i="2"/>
  <c r="X215" i="2"/>
  <c r="W215" i="2"/>
  <c r="V215" i="2"/>
  <c r="G215" i="2"/>
  <c r="AM214" i="2"/>
  <c r="AF214" i="2"/>
  <c r="AE214" i="2"/>
  <c r="AD214" i="2"/>
  <c r="AC214" i="2"/>
  <c r="AA214" i="2"/>
  <c r="AB220" i="2" s="1"/>
  <c r="AB506" i="1" s="1"/>
  <c r="Z214" i="2"/>
  <c r="Y214" i="2"/>
  <c r="X214" i="2"/>
  <c r="W214" i="2"/>
  <c r="V214" i="2"/>
  <c r="G214" i="2"/>
  <c r="AM213" i="2"/>
  <c r="AF213" i="2"/>
  <c r="AE213" i="2"/>
  <c r="AD213" i="2"/>
  <c r="AC213" i="2"/>
  <c r="AA213" i="2"/>
  <c r="AB219" i="2" s="1"/>
  <c r="AB507" i="1" s="1"/>
  <c r="Z213" i="2"/>
  <c r="Y213" i="2"/>
  <c r="X213" i="2"/>
  <c r="W213" i="2"/>
  <c r="V213" i="2"/>
  <c r="G213" i="2"/>
  <c r="AM212" i="2"/>
  <c r="AF212" i="2"/>
  <c r="AE212" i="2"/>
  <c r="AD212" i="2"/>
  <c r="AC212" i="2"/>
  <c r="AA212" i="2"/>
  <c r="AB218" i="2" s="1"/>
  <c r="AB508" i="1" s="1"/>
  <c r="Z212" i="2"/>
  <c r="Y212" i="2"/>
  <c r="X212" i="2"/>
  <c r="W212" i="2"/>
  <c r="V212" i="2"/>
  <c r="G212" i="2"/>
  <c r="AM211" i="2"/>
  <c r="AF211" i="2"/>
  <c r="AE211" i="2"/>
  <c r="AD211" i="2"/>
  <c r="AC211" i="2"/>
  <c r="AA211" i="2"/>
  <c r="AB217" i="2" s="1"/>
  <c r="AB509" i="1" s="1"/>
  <c r="Z211" i="2"/>
  <c r="Y211" i="2"/>
  <c r="X211" i="2"/>
  <c r="W211" i="2"/>
  <c r="V211" i="2"/>
  <c r="G211" i="2"/>
  <c r="AM210" i="2"/>
  <c r="AF210" i="2"/>
  <c r="AE210" i="2"/>
  <c r="AD210" i="2"/>
  <c r="AC210" i="2"/>
  <c r="AA210" i="2"/>
  <c r="AB216" i="2" s="1"/>
  <c r="AB510" i="1" s="1"/>
  <c r="Z210" i="2"/>
  <c r="Y210" i="2"/>
  <c r="X210" i="2"/>
  <c r="W210" i="2"/>
  <c r="V210" i="2"/>
  <c r="G210" i="2"/>
  <c r="AM209" i="2"/>
  <c r="AF209" i="2"/>
  <c r="AE209" i="2"/>
  <c r="AD209" i="2"/>
  <c r="AC209" i="2"/>
  <c r="AA209" i="2"/>
  <c r="AB215" i="2" s="1"/>
  <c r="AB511" i="1" s="1"/>
  <c r="Z209" i="2"/>
  <c r="Y209" i="2"/>
  <c r="X209" i="2"/>
  <c r="W209" i="2"/>
  <c r="V209" i="2"/>
  <c r="G209" i="2"/>
  <c r="AM208" i="2"/>
  <c r="AF208" i="2"/>
  <c r="AE208" i="2"/>
  <c r="AD208" i="2"/>
  <c r="AC208" i="2"/>
  <c r="AA208" i="2"/>
  <c r="AB214" i="2" s="1"/>
  <c r="AB512" i="1" s="1"/>
  <c r="Z208" i="2"/>
  <c r="Y208" i="2"/>
  <c r="X208" i="2"/>
  <c r="W208" i="2"/>
  <c r="V208" i="2"/>
  <c r="G208" i="2"/>
  <c r="AM207" i="2"/>
  <c r="AF207" i="2"/>
  <c r="AE207" i="2"/>
  <c r="AD207" i="2"/>
  <c r="AC207" i="2"/>
  <c r="AA207" i="2"/>
  <c r="AB213" i="2" s="1"/>
  <c r="AB513" i="1" s="1"/>
  <c r="Z207" i="2"/>
  <c r="Y207" i="2"/>
  <c r="X207" i="2"/>
  <c r="W207" i="2"/>
  <c r="V207" i="2"/>
  <c r="G207" i="2"/>
  <c r="AM206" i="2"/>
  <c r="AF206" i="2"/>
  <c r="AE206" i="2"/>
  <c r="AD206" i="2"/>
  <c r="AC206" i="2"/>
  <c r="AA206" i="2"/>
  <c r="AB212" i="2" s="1"/>
  <c r="AB514" i="1" s="1"/>
  <c r="Z206" i="2"/>
  <c r="Y206" i="2"/>
  <c r="X206" i="2"/>
  <c r="W206" i="2"/>
  <c r="V206" i="2"/>
  <c r="G206" i="2"/>
  <c r="AM205" i="2"/>
  <c r="AF205" i="2"/>
  <c r="AE205" i="2"/>
  <c r="AD205" i="2"/>
  <c r="AC205" i="2"/>
  <c r="AA205" i="2"/>
  <c r="AB211" i="2" s="1"/>
  <c r="AB515" i="1" s="1"/>
  <c r="Z205" i="2"/>
  <c r="Y205" i="2"/>
  <c r="X205" i="2"/>
  <c r="W205" i="2"/>
  <c r="V205" i="2"/>
  <c r="G205" i="2"/>
  <c r="AM204" i="2"/>
  <c r="AF204" i="2"/>
  <c r="AE204" i="2"/>
  <c r="AD204" i="2"/>
  <c r="AC204" i="2"/>
  <c r="AA204" i="2"/>
  <c r="AB210" i="2" s="1"/>
  <c r="AB516" i="1" s="1"/>
  <c r="Z204" i="2"/>
  <c r="Y204" i="2"/>
  <c r="X204" i="2"/>
  <c r="W204" i="2"/>
  <c r="V204" i="2"/>
  <c r="G204" i="2"/>
  <c r="AM203" i="2"/>
  <c r="AF203" i="2"/>
  <c r="AE203" i="2"/>
  <c r="AD203" i="2"/>
  <c r="AC203" i="2"/>
  <c r="AA203" i="2"/>
  <c r="AB209" i="2" s="1"/>
  <c r="AB517" i="1" s="1"/>
  <c r="Z203" i="2"/>
  <c r="Y203" i="2"/>
  <c r="X203" i="2"/>
  <c r="W203" i="2"/>
  <c r="V203" i="2"/>
  <c r="G203" i="2"/>
  <c r="AM202" i="2"/>
  <c r="AF202" i="2"/>
  <c r="AE202" i="2"/>
  <c r="AD202" i="2"/>
  <c r="AC202" i="2"/>
  <c r="AA202" i="2"/>
  <c r="AB208" i="2" s="1"/>
  <c r="AB518" i="1" s="1"/>
  <c r="Z202" i="2"/>
  <c r="Y202" i="2"/>
  <c r="X202" i="2"/>
  <c r="W202" i="2"/>
  <c r="V202" i="2"/>
  <c r="G202" i="2"/>
  <c r="AM201" i="2"/>
  <c r="AF201" i="2"/>
  <c r="AE201" i="2"/>
  <c r="AD201" i="2"/>
  <c r="AC201" i="2"/>
  <c r="AA201" i="2"/>
  <c r="AB207" i="2" s="1"/>
  <c r="AB519" i="1" s="1"/>
  <c r="Z201" i="2"/>
  <c r="Y201" i="2"/>
  <c r="X201" i="2"/>
  <c r="W201" i="2"/>
  <c r="V201" i="2"/>
  <c r="G201" i="2"/>
  <c r="AM200" i="2"/>
  <c r="AF200" i="2"/>
  <c r="AE200" i="2"/>
  <c r="AD200" i="2"/>
  <c r="AC200" i="2"/>
  <c r="AA200" i="2"/>
  <c r="AB206" i="2" s="1"/>
  <c r="AB520" i="1" s="1"/>
  <c r="Z200" i="2"/>
  <c r="Y200" i="2"/>
  <c r="X200" i="2"/>
  <c r="W200" i="2"/>
  <c r="V200" i="2"/>
  <c r="G200" i="2"/>
  <c r="AM199" i="2"/>
  <c r="AF199" i="2"/>
  <c r="AE199" i="2"/>
  <c r="AD199" i="2"/>
  <c r="AC199" i="2"/>
  <c r="AA199" i="2"/>
  <c r="AB205" i="2" s="1"/>
  <c r="AB521" i="1" s="1"/>
  <c r="Z199" i="2"/>
  <c r="Y199" i="2"/>
  <c r="X199" i="2"/>
  <c r="W199" i="2"/>
  <c r="V199" i="2"/>
  <c r="G199" i="2"/>
  <c r="AM198" i="2"/>
  <c r="AF198" i="2"/>
  <c r="AE198" i="2"/>
  <c r="AD198" i="2"/>
  <c r="AC198" i="2"/>
  <c r="AA198" i="2"/>
  <c r="AB204" i="2" s="1"/>
  <c r="AB522" i="1" s="1"/>
  <c r="Z198" i="2"/>
  <c r="Y198" i="2"/>
  <c r="X198" i="2"/>
  <c r="W198" i="2"/>
  <c r="V198" i="2"/>
  <c r="G198" i="2"/>
  <c r="AM197" i="2"/>
  <c r="AF197" i="2"/>
  <c r="AE197" i="2"/>
  <c r="AD197" i="2"/>
  <c r="AC197" i="2"/>
  <c r="AA197" i="2"/>
  <c r="AB203" i="2" s="1"/>
  <c r="AB523" i="1" s="1"/>
  <c r="Z197" i="2"/>
  <c r="Y197" i="2"/>
  <c r="X197" i="2"/>
  <c r="W197" i="2"/>
  <c r="V197" i="2"/>
  <c r="G197" i="2"/>
  <c r="AM196" i="2"/>
  <c r="AF196" i="2"/>
  <c r="AE196" i="2"/>
  <c r="AD196" i="2"/>
  <c r="AC196" i="2"/>
  <c r="AA196" i="2"/>
  <c r="AB202" i="2" s="1"/>
  <c r="AB524" i="1" s="1"/>
  <c r="Z196" i="2"/>
  <c r="Y196" i="2"/>
  <c r="X196" i="2"/>
  <c r="W196" i="2"/>
  <c r="V196" i="2"/>
  <c r="G196" i="2"/>
  <c r="AM195" i="2"/>
  <c r="AF195" i="2"/>
  <c r="AE195" i="2"/>
  <c r="AD195" i="2"/>
  <c r="AC195" i="2"/>
  <c r="AA195" i="2"/>
  <c r="AB201" i="2" s="1"/>
  <c r="AB525" i="1" s="1"/>
  <c r="Z195" i="2"/>
  <c r="Y195" i="2"/>
  <c r="X195" i="2"/>
  <c r="W195" i="2"/>
  <c r="V195" i="2"/>
  <c r="G195" i="2"/>
  <c r="AM194" i="2"/>
  <c r="AF194" i="2"/>
  <c r="AE194" i="2"/>
  <c r="AD194" i="2"/>
  <c r="AC194" i="2"/>
  <c r="AA194" i="2"/>
  <c r="AB200" i="2" s="1"/>
  <c r="AB526" i="1" s="1"/>
  <c r="Z194" i="2"/>
  <c r="Y194" i="2"/>
  <c r="X194" i="2"/>
  <c r="W194" i="2"/>
  <c r="V194" i="2"/>
  <c r="G194" i="2"/>
  <c r="AM193" i="2"/>
  <c r="AF193" i="2"/>
  <c r="AE193" i="2"/>
  <c r="AD193" i="2"/>
  <c r="AC193" i="2"/>
  <c r="AA193" i="2"/>
  <c r="AB199" i="2" s="1"/>
  <c r="AB527" i="1" s="1"/>
  <c r="Z193" i="2"/>
  <c r="Y193" i="2"/>
  <c r="X193" i="2"/>
  <c r="W193" i="2"/>
  <c r="V193" i="2"/>
  <c r="G193" i="2"/>
  <c r="AM192" i="2"/>
  <c r="AF192" i="2"/>
  <c r="AE192" i="2"/>
  <c r="AD192" i="2"/>
  <c r="AC192" i="2"/>
  <c r="AA192" i="2"/>
  <c r="AB198" i="2" s="1"/>
  <c r="AB528" i="1" s="1"/>
  <c r="Z192" i="2"/>
  <c r="Y192" i="2"/>
  <c r="X192" i="2"/>
  <c r="W192" i="2"/>
  <c r="V192" i="2"/>
  <c r="G192" i="2"/>
  <c r="AM191" i="2"/>
  <c r="AF191" i="2"/>
  <c r="AE191" i="2"/>
  <c r="AD191" i="2"/>
  <c r="AC191" i="2"/>
  <c r="AA191" i="2"/>
  <c r="AB197" i="2" s="1"/>
  <c r="AB529" i="1" s="1"/>
  <c r="Z191" i="2"/>
  <c r="Y191" i="2"/>
  <c r="X191" i="2"/>
  <c r="W191" i="2"/>
  <c r="V191" i="2"/>
  <c r="AM190" i="2"/>
  <c r="AF190" i="2"/>
  <c r="AE190" i="2"/>
  <c r="AD190" i="2"/>
  <c r="AC190" i="2"/>
  <c r="AA190" i="2"/>
  <c r="AB196" i="2" s="1"/>
  <c r="AB530" i="1" s="1"/>
  <c r="Z190" i="2"/>
  <c r="Y190" i="2"/>
  <c r="X190" i="2"/>
  <c r="W190" i="2"/>
  <c r="V190" i="2"/>
  <c r="AM189" i="2"/>
  <c r="AF189" i="2"/>
  <c r="AE189" i="2"/>
  <c r="AD189" i="2"/>
  <c r="AC189" i="2"/>
  <c r="AA189" i="2"/>
  <c r="AB195" i="2" s="1"/>
  <c r="AB531" i="1" s="1"/>
  <c r="Z189" i="2"/>
  <c r="Y189" i="2"/>
  <c r="X189" i="2"/>
  <c r="W189" i="2"/>
  <c r="V189" i="2"/>
  <c r="AM188" i="2"/>
  <c r="AF188" i="2"/>
  <c r="AE188" i="2"/>
  <c r="AD188" i="2"/>
  <c r="AC188" i="2"/>
  <c r="AA188" i="2"/>
  <c r="AB194" i="2" s="1"/>
  <c r="AB532" i="1" s="1"/>
  <c r="Z188" i="2"/>
  <c r="Y188" i="2"/>
  <c r="X188" i="2"/>
  <c r="W188" i="2"/>
  <c r="V188" i="2"/>
  <c r="AM187" i="2"/>
  <c r="AF187" i="2"/>
  <c r="AE187" i="2"/>
  <c r="AD187" i="2"/>
  <c r="AC187" i="2"/>
  <c r="AA187" i="2"/>
  <c r="AB193" i="2" s="1"/>
  <c r="AB533" i="1" s="1"/>
  <c r="Z187" i="2"/>
  <c r="Y187" i="2"/>
  <c r="X187" i="2"/>
  <c r="W187" i="2"/>
  <c r="V187" i="2"/>
  <c r="AM186" i="2"/>
  <c r="AF186" i="2"/>
  <c r="AE186" i="2"/>
  <c r="AD186" i="2"/>
  <c r="AC186" i="2"/>
  <c r="AA186" i="2"/>
  <c r="AB192" i="2" s="1"/>
  <c r="AB534" i="1" s="1"/>
  <c r="Z186" i="2"/>
  <c r="Y186" i="2"/>
  <c r="X186" i="2"/>
  <c r="W186" i="2"/>
  <c r="V186" i="2"/>
  <c r="AM185" i="2"/>
  <c r="AF185" i="2"/>
  <c r="AE185" i="2"/>
  <c r="AD185" i="2"/>
  <c r="AC185" i="2"/>
  <c r="AA185" i="2"/>
  <c r="AB191" i="2" s="1"/>
  <c r="AB535" i="1" s="1"/>
  <c r="Z185" i="2"/>
  <c r="Y185" i="2"/>
  <c r="X185" i="2"/>
  <c r="W185" i="2"/>
  <c r="V185" i="2"/>
  <c r="AM184" i="2"/>
  <c r="AF184" i="2"/>
  <c r="AE184" i="2"/>
  <c r="AD184" i="2"/>
  <c r="AC184" i="2"/>
  <c r="AA184" i="2"/>
  <c r="AB190" i="2" s="1"/>
  <c r="AB536" i="1" s="1"/>
  <c r="Z184" i="2"/>
  <c r="Y184" i="2"/>
  <c r="X184" i="2"/>
  <c r="W184" i="2"/>
  <c r="V184" i="2"/>
  <c r="AM183" i="2"/>
  <c r="AF183" i="2"/>
  <c r="AE183" i="2"/>
  <c r="AD183" i="2"/>
  <c r="AC183" i="2"/>
  <c r="AA183" i="2"/>
  <c r="AB189" i="2" s="1"/>
  <c r="AB537" i="1" s="1"/>
  <c r="Z183" i="2"/>
  <c r="Y183" i="2"/>
  <c r="X183" i="2"/>
  <c r="W183" i="2"/>
  <c r="V183" i="2"/>
  <c r="AM182" i="2"/>
  <c r="AF182" i="2"/>
  <c r="AE182" i="2"/>
  <c r="AD182" i="2"/>
  <c r="AC182" i="2"/>
  <c r="AA182" i="2"/>
  <c r="AB188" i="2" s="1"/>
  <c r="AB538" i="1" s="1"/>
  <c r="Z182" i="2"/>
  <c r="Y182" i="2"/>
  <c r="X182" i="2"/>
  <c r="W182" i="2"/>
  <c r="V182" i="2"/>
  <c r="AM181" i="2"/>
  <c r="AF181" i="2"/>
  <c r="AE181" i="2"/>
  <c r="AD181" i="2"/>
  <c r="AC181" i="2"/>
  <c r="AA181" i="2"/>
  <c r="AB187" i="2" s="1"/>
  <c r="AB539" i="1" s="1"/>
  <c r="Z181" i="2"/>
  <c r="Y181" i="2"/>
  <c r="X181" i="2"/>
  <c r="W181" i="2"/>
  <c r="V181" i="2"/>
  <c r="AM180" i="2"/>
  <c r="AF180" i="2"/>
  <c r="AE180" i="2"/>
  <c r="AD180" i="2"/>
  <c r="AC180" i="2"/>
  <c r="AA180" i="2"/>
  <c r="AB186" i="2" s="1"/>
  <c r="AB540" i="1" s="1"/>
  <c r="Z180" i="2"/>
  <c r="Y180" i="2"/>
  <c r="X180" i="2"/>
  <c r="W180" i="2"/>
  <c r="V180" i="2"/>
  <c r="AM179" i="2"/>
  <c r="AF179" i="2"/>
  <c r="AE179" i="2"/>
  <c r="AD179" i="2"/>
  <c r="AC179" i="2"/>
  <c r="AA179" i="2"/>
  <c r="AB185" i="2" s="1"/>
  <c r="AB541" i="1" s="1"/>
  <c r="Z179" i="2"/>
  <c r="Y179" i="2"/>
  <c r="X179" i="2"/>
  <c r="W179" i="2"/>
  <c r="V179" i="2"/>
  <c r="AM178" i="2"/>
  <c r="AF178" i="2"/>
  <c r="AE178" i="2"/>
  <c r="AD178" i="2"/>
  <c r="AC178" i="2"/>
  <c r="AA178" i="2"/>
  <c r="AB184" i="2" s="1"/>
  <c r="AB542" i="1" s="1"/>
  <c r="Z178" i="2"/>
  <c r="Y178" i="2"/>
  <c r="X178" i="2"/>
  <c r="W178" i="2"/>
  <c r="V178" i="2"/>
  <c r="AM177" i="2"/>
  <c r="AF177" i="2"/>
  <c r="AE177" i="2"/>
  <c r="AD177" i="2"/>
  <c r="AC177" i="2"/>
  <c r="AA177" i="2"/>
  <c r="AB183" i="2" s="1"/>
  <c r="AB543" i="1" s="1"/>
  <c r="Z177" i="2"/>
  <c r="Y177" i="2"/>
  <c r="X177" i="2"/>
  <c r="W177" i="2"/>
  <c r="V177" i="2"/>
  <c r="AM176" i="2"/>
  <c r="AF176" i="2"/>
  <c r="AE176" i="2"/>
  <c r="AD176" i="2"/>
  <c r="AC176" i="2"/>
  <c r="AA176" i="2"/>
  <c r="AB182" i="2" s="1"/>
  <c r="AB544" i="1" s="1"/>
  <c r="Z176" i="2"/>
  <c r="Y176" i="2"/>
  <c r="X176" i="2"/>
  <c r="W176" i="2"/>
  <c r="V176" i="2"/>
  <c r="AM175" i="2"/>
  <c r="AF175" i="2"/>
  <c r="AE175" i="2"/>
  <c r="AD175" i="2"/>
  <c r="AC175" i="2"/>
  <c r="AA175" i="2"/>
  <c r="AB181" i="2" s="1"/>
  <c r="AB545" i="1" s="1"/>
  <c r="Z175" i="2"/>
  <c r="Y175" i="2"/>
  <c r="X175" i="2"/>
  <c r="W175" i="2"/>
  <c r="V175" i="2"/>
  <c r="AM174" i="2"/>
  <c r="AF174" i="2"/>
  <c r="AE174" i="2"/>
  <c r="AD174" i="2"/>
  <c r="AC174" i="2"/>
  <c r="AA174" i="2"/>
  <c r="AB180" i="2" s="1"/>
  <c r="AB546" i="1" s="1"/>
  <c r="Z174" i="2"/>
  <c r="Y174" i="2"/>
  <c r="X174" i="2"/>
  <c r="W174" i="2"/>
  <c r="V174" i="2"/>
  <c r="AM173" i="2"/>
  <c r="AF173" i="2"/>
  <c r="AE173" i="2"/>
  <c r="AD173" i="2"/>
  <c r="AC173" i="2"/>
  <c r="AA173" i="2"/>
  <c r="AB179" i="2" s="1"/>
  <c r="AB547" i="1" s="1"/>
  <c r="Z173" i="2"/>
  <c r="Y173" i="2"/>
  <c r="X173" i="2"/>
  <c r="W173" i="2"/>
  <c r="V173" i="2"/>
  <c r="G173" i="2"/>
  <c r="AM172" i="2"/>
  <c r="AF172" i="2"/>
  <c r="AE172" i="2"/>
  <c r="AD172" i="2"/>
  <c r="AC172" i="2"/>
  <c r="AA172" i="2"/>
  <c r="AB178" i="2" s="1"/>
  <c r="AB548" i="1" s="1"/>
  <c r="Z172" i="2"/>
  <c r="Y172" i="2"/>
  <c r="X172" i="2"/>
  <c r="W172" i="2"/>
  <c r="V172" i="2"/>
  <c r="G172" i="2"/>
  <c r="AM171" i="2"/>
  <c r="AF171" i="2"/>
  <c r="AE171" i="2"/>
  <c r="AD171" i="2"/>
  <c r="AC171" i="2"/>
  <c r="AA171" i="2"/>
  <c r="AB177" i="2" s="1"/>
  <c r="AB549" i="1" s="1"/>
  <c r="Z171" i="2"/>
  <c r="Y171" i="2"/>
  <c r="X171" i="2"/>
  <c r="W171" i="2"/>
  <c r="V171" i="2"/>
  <c r="G171" i="2"/>
  <c r="AM170" i="2"/>
  <c r="AF170" i="2"/>
  <c r="AE170" i="2"/>
  <c r="AD170" i="2"/>
  <c r="AC170" i="2"/>
  <c r="AA170" i="2"/>
  <c r="AB176" i="2" s="1"/>
  <c r="AB550" i="1" s="1"/>
  <c r="Z170" i="2"/>
  <c r="Y170" i="2"/>
  <c r="X170" i="2"/>
  <c r="W170" i="2"/>
  <c r="V170" i="2"/>
  <c r="G170" i="2"/>
  <c r="AM169" i="2"/>
  <c r="AF169" i="2"/>
  <c r="AE169" i="2"/>
  <c r="AD169" i="2"/>
  <c r="AC169" i="2"/>
  <c r="AA169" i="2"/>
  <c r="AB175" i="2" s="1"/>
  <c r="AB551" i="1" s="1"/>
  <c r="Z169" i="2"/>
  <c r="Y169" i="2"/>
  <c r="X169" i="2"/>
  <c r="W169" i="2"/>
  <c r="V169" i="2"/>
  <c r="G169" i="2"/>
  <c r="AM168" i="2"/>
  <c r="AF168" i="2"/>
  <c r="AE168" i="2"/>
  <c r="AD168" i="2"/>
  <c r="AC168" i="2"/>
  <c r="AA168" i="2"/>
  <c r="AB174" i="2" s="1"/>
  <c r="AB552" i="1" s="1"/>
  <c r="Z168" i="2"/>
  <c r="Y168" i="2"/>
  <c r="X168" i="2"/>
  <c r="W168" i="2"/>
  <c r="V168" i="2"/>
  <c r="G168" i="2"/>
  <c r="AM167" i="2"/>
  <c r="AF167" i="2"/>
  <c r="AE167" i="2"/>
  <c r="AD167" i="2"/>
  <c r="AC167" i="2"/>
  <c r="AA167" i="2"/>
  <c r="AB173" i="2" s="1"/>
  <c r="AB553" i="1" s="1"/>
  <c r="Z167" i="2"/>
  <c r="Y167" i="2"/>
  <c r="X167" i="2"/>
  <c r="W167" i="2"/>
  <c r="V167" i="2"/>
  <c r="G167" i="2"/>
  <c r="AM166" i="2"/>
  <c r="AF166" i="2"/>
  <c r="AE166" i="2"/>
  <c r="AD166" i="2"/>
  <c r="AC166" i="2"/>
  <c r="AA166" i="2"/>
  <c r="AB172" i="2" s="1"/>
  <c r="AB554" i="1" s="1"/>
  <c r="Z166" i="2"/>
  <c r="Y166" i="2"/>
  <c r="X166" i="2"/>
  <c r="W166" i="2"/>
  <c r="V166" i="2"/>
  <c r="G166" i="2"/>
  <c r="AM165" i="2"/>
  <c r="AF165" i="2"/>
  <c r="AE165" i="2"/>
  <c r="AD165" i="2"/>
  <c r="AC165" i="2"/>
  <c r="AA165" i="2"/>
  <c r="AB171" i="2" s="1"/>
  <c r="AB555" i="1" s="1"/>
  <c r="Z165" i="2"/>
  <c r="Y165" i="2"/>
  <c r="X165" i="2"/>
  <c r="W165" i="2"/>
  <c r="V165" i="2"/>
  <c r="G165" i="2"/>
  <c r="AM164" i="2"/>
  <c r="AF164" i="2"/>
  <c r="AE164" i="2"/>
  <c r="AD164" i="2"/>
  <c r="AC164" i="2"/>
  <c r="AA164" i="2"/>
  <c r="AB170" i="2" s="1"/>
  <c r="AB556" i="1" s="1"/>
  <c r="Z164" i="2"/>
  <c r="Y164" i="2"/>
  <c r="X164" i="2"/>
  <c r="W164" i="2"/>
  <c r="V164" i="2"/>
  <c r="G164" i="2"/>
  <c r="AM163" i="2"/>
  <c r="AF163" i="2"/>
  <c r="AE163" i="2"/>
  <c r="AD163" i="2"/>
  <c r="AC163" i="2"/>
  <c r="AA163" i="2"/>
  <c r="AB169" i="2" s="1"/>
  <c r="AB557" i="1" s="1"/>
  <c r="Z163" i="2"/>
  <c r="Y163" i="2"/>
  <c r="X163" i="2"/>
  <c r="W163" i="2"/>
  <c r="V163" i="2"/>
  <c r="G163" i="2"/>
  <c r="AM162" i="2"/>
  <c r="AF162" i="2"/>
  <c r="AE162" i="2"/>
  <c r="AD162" i="2"/>
  <c r="AC162" i="2"/>
  <c r="AA162" i="2"/>
  <c r="AB168" i="2" s="1"/>
  <c r="AB558" i="1" s="1"/>
  <c r="Z162" i="2"/>
  <c r="Y162" i="2"/>
  <c r="X162" i="2"/>
  <c r="W162" i="2"/>
  <c r="V162" i="2"/>
  <c r="G162" i="2"/>
  <c r="AM161" i="2"/>
  <c r="AF161" i="2"/>
  <c r="AE161" i="2"/>
  <c r="AD161" i="2"/>
  <c r="AC161" i="2"/>
  <c r="AA161" i="2"/>
  <c r="AB167" i="2" s="1"/>
  <c r="AB559" i="1" s="1"/>
  <c r="Z161" i="2"/>
  <c r="Y161" i="2"/>
  <c r="X161" i="2"/>
  <c r="W161" i="2"/>
  <c r="V161" i="2"/>
  <c r="G161" i="2"/>
  <c r="AM160" i="2"/>
  <c r="AF160" i="2"/>
  <c r="AE160" i="2"/>
  <c r="AD160" i="2"/>
  <c r="AC160" i="2"/>
  <c r="AA160" i="2"/>
  <c r="AB166" i="2" s="1"/>
  <c r="AB560" i="1" s="1"/>
  <c r="Z160" i="2"/>
  <c r="Y160" i="2"/>
  <c r="X160" i="2"/>
  <c r="W160" i="2"/>
  <c r="V160" i="2"/>
  <c r="G160" i="2"/>
  <c r="AM159" i="2"/>
  <c r="AF159" i="2"/>
  <c r="AE159" i="2"/>
  <c r="AD159" i="2"/>
  <c r="AC159" i="2"/>
  <c r="AA159" i="2"/>
  <c r="AB165" i="2" s="1"/>
  <c r="AB561" i="1" s="1"/>
  <c r="Z159" i="2"/>
  <c r="Y159" i="2"/>
  <c r="X159" i="2"/>
  <c r="W159" i="2"/>
  <c r="V159" i="2"/>
  <c r="G159" i="2"/>
  <c r="AM158" i="2"/>
  <c r="AF158" i="2"/>
  <c r="AE158" i="2"/>
  <c r="AD158" i="2"/>
  <c r="AC158" i="2"/>
  <c r="AA158" i="2"/>
  <c r="AB164" i="2" s="1"/>
  <c r="AB562" i="1" s="1"/>
  <c r="Z158" i="2"/>
  <c r="Y158" i="2"/>
  <c r="X158" i="2"/>
  <c r="W158" i="2"/>
  <c r="V158" i="2"/>
  <c r="G158" i="2"/>
  <c r="AM157" i="2"/>
  <c r="AF157" i="2"/>
  <c r="AE157" i="2"/>
  <c r="AD157" i="2"/>
  <c r="AC157" i="2"/>
  <c r="AA157" i="2"/>
  <c r="AB163" i="2" s="1"/>
  <c r="AB563" i="1" s="1"/>
  <c r="Z157" i="2"/>
  <c r="Y157" i="2"/>
  <c r="X157" i="2"/>
  <c r="W157" i="2"/>
  <c r="V157" i="2"/>
  <c r="G157" i="2"/>
  <c r="AM156" i="2"/>
  <c r="AF156" i="2"/>
  <c r="AE156" i="2"/>
  <c r="AD156" i="2"/>
  <c r="AC156" i="2"/>
  <c r="AA156" i="2"/>
  <c r="AB162" i="2" s="1"/>
  <c r="AB564" i="1" s="1"/>
  <c r="Z156" i="2"/>
  <c r="Y156" i="2"/>
  <c r="X156" i="2"/>
  <c r="W156" i="2"/>
  <c r="V156" i="2"/>
  <c r="G156" i="2"/>
  <c r="AM155" i="2"/>
  <c r="AF155" i="2"/>
  <c r="AE155" i="2"/>
  <c r="AD155" i="2"/>
  <c r="AC155" i="2"/>
  <c r="AA155" i="2"/>
  <c r="AB161" i="2" s="1"/>
  <c r="AB565" i="1" s="1"/>
  <c r="Z155" i="2"/>
  <c r="Y155" i="2"/>
  <c r="X155" i="2"/>
  <c r="W155" i="2"/>
  <c r="V155" i="2"/>
  <c r="G155" i="2"/>
  <c r="AM154" i="2"/>
  <c r="AF154" i="2"/>
  <c r="AE154" i="2"/>
  <c r="AD154" i="2"/>
  <c r="AC154" i="2"/>
  <c r="AA154" i="2"/>
  <c r="AB160" i="2" s="1"/>
  <c r="AB566" i="1" s="1"/>
  <c r="Z154" i="2"/>
  <c r="Y154" i="2"/>
  <c r="X154" i="2"/>
  <c r="W154" i="2"/>
  <c r="V154" i="2"/>
  <c r="G154" i="2"/>
  <c r="AM153" i="2"/>
  <c r="AF153" i="2"/>
  <c r="AE153" i="2"/>
  <c r="AD153" i="2"/>
  <c r="AC153" i="2"/>
  <c r="AA153" i="2"/>
  <c r="AB159" i="2" s="1"/>
  <c r="AB567" i="1" s="1"/>
  <c r="Z153" i="2"/>
  <c r="Y153" i="2"/>
  <c r="X153" i="2"/>
  <c r="W153" i="2"/>
  <c r="V153" i="2"/>
  <c r="G153" i="2"/>
  <c r="AM152" i="2"/>
  <c r="AF152" i="2"/>
  <c r="AE152" i="2"/>
  <c r="AD152" i="2"/>
  <c r="AC152" i="2"/>
  <c r="AA152" i="2"/>
  <c r="AB158" i="2" s="1"/>
  <c r="AB568" i="1" s="1"/>
  <c r="Z152" i="2"/>
  <c r="Y152" i="2"/>
  <c r="X152" i="2"/>
  <c r="W152" i="2"/>
  <c r="V152" i="2"/>
  <c r="G152" i="2"/>
  <c r="AM151" i="2"/>
  <c r="AF151" i="2"/>
  <c r="AE151" i="2"/>
  <c r="AD151" i="2"/>
  <c r="AC151" i="2"/>
  <c r="AA151" i="2"/>
  <c r="AB157" i="2" s="1"/>
  <c r="AB569" i="1" s="1"/>
  <c r="Z151" i="2"/>
  <c r="Y151" i="2"/>
  <c r="X151" i="2"/>
  <c r="W151" i="2"/>
  <c r="V151" i="2"/>
  <c r="G151" i="2"/>
  <c r="AM150" i="2"/>
  <c r="AF150" i="2"/>
  <c r="AE150" i="2"/>
  <c r="AD150" i="2"/>
  <c r="AC150" i="2"/>
  <c r="AA150" i="2"/>
  <c r="AB156" i="2" s="1"/>
  <c r="AB570" i="1" s="1"/>
  <c r="Z150" i="2"/>
  <c r="Y150" i="2"/>
  <c r="X150" i="2"/>
  <c r="W150" i="2"/>
  <c r="V150" i="2"/>
  <c r="G150" i="2"/>
  <c r="AM149" i="2"/>
  <c r="AF149" i="2"/>
  <c r="AE149" i="2"/>
  <c r="AD149" i="2"/>
  <c r="AC149" i="2"/>
  <c r="AA149" i="2"/>
  <c r="AB155" i="2" s="1"/>
  <c r="AB571" i="1" s="1"/>
  <c r="Z149" i="2"/>
  <c r="Y149" i="2"/>
  <c r="X149" i="2"/>
  <c r="W149" i="2"/>
  <c r="V149" i="2"/>
  <c r="G149" i="2"/>
  <c r="AM148" i="2"/>
  <c r="AF148" i="2"/>
  <c r="AE148" i="2"/>
  <c r="AD148" i="2"/>
  <c r="AC148" i="2"/>
  <c r="AA148" i="2"/>
  <c r="AB154" i="2" s="1"/>
  <c r="AB572" i="1" s="1"/>
  <c r="Z148" i="2"/>
  <c r="Y148" i="2"/>
  <c r="X148" i="2"/>
  <c r="W148" i="2"/>
  <c r="V148" i="2"/>
  <c r="G148" i="2"/>
  <c r="AM147" i="2"/>
  <c r="AF147" i="2"/>
  <c r="AE147" i="2"/>
  <c r="AD147" i="2"/>
  <c r="AC147" i="2"/>
  <c r="AA147" i="2"/>
  <c r="AB153" i="2" s="1"/>
  <c r="AB573" i="1" s="1"/>
  <c r="Z147" i="2"/>
  <c r="Y147" i="2"/>
  <c r="X147" i="2"/>
  <c r="W147" i="2"/>
  <c r="V147" i="2"/>
  <c r="G147" i="2"/>
  <c r="AM146" i="2"/>
  <c r="AF146" i="2"/>
  <c r="AE146" i="2"/>
  <c r="AD146" i="2"/>
  <c r="AC146" i="2"/>
  <c r="AA146" i="2"/>
  <c r="AB152" i="2" s="1"/>
  <c r="AB574" i="1" s="1"/>
  <c r="Z146" i="2"/>
  <c r="Y146" i="2"/>
  <c r="X146" i="2"/>
  <c r="W146" i="2"/>
  <c r="V146" i="2"/>
  <c r="G146" i="2"/>
  <c r="AM145" i="2"/>
  <c r="AF145" i="2"/>
  <c r="AE145" i="2"/>
  <c r="AD145" i="2"/>
  <c r="AC145" i="2"/>
  <c r="AA145" i="2"/>
  <c r="AB151" i="2" s="1"/>
  <c r="AB575" i="1" s="1"/>
  <c r="Z145" i="2"/>
  <c r="Y145" i="2"/>
  <c r="X145" i="2"/>
  <c r="W145" i="2"/>
  <c r="V145" i="2"/>
  <c r="G145" i="2"/>
  <c r="AM144" i="2"/>
  <c r="AF144" i="2"/>
  <c r="AE144" i="2"/>
  <c r="AD144" i="2"/>
  <c r="AC144" i="2"/>
  <c r="AA144" i="2"/>
  <c r="AB150" i="2" s="1"/>
  <c r="AB576" i="1" s="1"/>
  <c r="Z144" i="2"/>
  <c r="Y144" i="2"/>
  <c r="X144" i="2"/>
  <c r="W144" i="2"/>
  <c r="V144" i="2"/>
  <c r="G144" i="2"/>
  <c r="AM143" i="2"/>
  <c r="AF143" i="2"/>
  <c r="AE143" i="2"/>
  <c r="AD143" i="2"/>
  <c r="AC143" i="2"/>
  <c r="AA143" i="2"/>
  <c r="AB149" i="2" s="1"/>
  <c r="AB577" i="1" s="1"/>
  <c r="Z143" i="2"/>
  <c r="Y143" i="2"/>
  <c r="X143" i="2"/>
  <c r="W143" i="2"/>
  <c r="V143" i="2"/>
  <c r="G143" i="2"/>
  <c r="AM142" i="2"/>
  <c r="AF142" i="2"/>
  <c r="AE142" i="2"/>
  <c r="AD142" i="2"/>
  <c r="AC142" i="2"/>
  <c r="AA142" i="2"/>
  <c r="AB148" i="2" s="1"/>
  <c r="AB578" i="1" s="1"/>
  <c r="Z142" i="2"/>
  <c r="Y142" i="2"/>
  <c r="X142" i="2"/>
  <c r="W142" i="2"/>
  <c r="V142" i="2"/>
  <c r="G142" i="2"/>
  <c r="AM141" i="2"/>
  <c r="AF141" i="2"/>
  <c r="AE141" i="2"/>
  <c r="AD141" i="2"/>
  <c r="AC141" i="2"/>
  <c r="AA141" i="2"/>
  <c r="AB147" i="2" s="1"/>
  <c r="AB579" i="1" s="1"/>
  <c r="Z141" i="2"/>
  <c r="Y141" i="2"/>
  <c r="X141" i="2"/>
  <c r="W141" i="2"/>
  <c r="V141" i="2"/>
  <c r="G141" i="2"/>
  <c r="AM140" i="2"/>
  <c r="AF140" i="2"/>
  <c r="AE140" i="2"/>
  <c r="AD140" i="2"/>
  <c r="AC140" i="2"/>
  <c r="AA140" i="2"/>
  <c r="AB146" i="2" s="1"/>
  <c r="AB580" i="1" s="1"/>
  <c r="Z140" i="2"/>
  <c r="Y140" i="2"/>
  <c r="X140" i="2"/>
  <c r="W140" i="2"/>
  <c r="V140" i="2"/>
  <c r="G140" i="2"/>
  <c r="AM139" i="2"/>
  <c r="AF139" i="2"/>
  <c r="AE139" i="2"/>
  <c r="AD139" i="2"/>
  <c r="AC139" i="2"/>
  <c r="AA139" i="2"/>
  <c r="AB145" i="2" s="1"/>
  <c r="AB581" i="1" s="1"/>
  <c r="Z139" i="2"/>
  <c r="Y139" i="2"/>
  <c r="X139" i="2"/>
  <c r="W139" i="2"/>
  <c r="V139" i="2"/>
  <c r="G139" i="2"/>
  <c r="AM138" i="2"/>
  <c r="AF138" i="2"/>
  <c r="AE138" i="2"/>
  <c r="AD138" i="2"/>
  <c r="AC138" i="2"/>
  <c r="AA138" i="2"/>
  <c r="AB144" i="2" s="1"/>
  <c r="AB582" i="1" s="1"/>
  <c r="Z138" i="2"/>
  <c r="Y138" i="2"/>
  <c r="X138" i="2"/>
  <c r="W138" i="2"/>
  <c r="V138" i="2"/>
  <c r="G138" i="2"/>
  <c r="AM137" i="2"/>
  <c r="AF137" i="2"/>
  <c r="AE137" i="2"/>
  <c r="AD137" i="2"/>
  <c r="AC137" i="2"/>
  <c r="AA137" i="2"/>
  <c r="AB143" i="2" s="1"/>
  <c r="AB583" i="1" s="1"/>
  <c r="Z137" i="2"/>
  <c r="Y137" i="2"/>
  <c r="X137" i="2"/>
  <c r="W137" i="2"/>
  <c r="V137" i="2"/>
  <c r="G137" i="2"/>
  <c r="AM136" i="2"/>
  <c r="AF136" i="2"/>
  <c r="AE136" i="2"/>
  <c r="AD136" i="2"/>
  <c r="AC136" i="2"/>
  <c r="AA136" i="2"/>
  <c r="AB142" i="2" s="1"/>
  <c r="AB584" i="1" s="1"/>
  <c r="Z136" i="2"/>
  <c r="Y136" i="2"/>
  <c r="X136" i="2"/>
  <c r="W136" i="2"/>
  <c r="V136" i="2"/>
  <c r="G136" i="2"/>
  <c r="AM135" i="2"/>
  <c r="AF135" i="2"/>
  <c r="AE135" i="2"/>
  <c r="AD135" i="2"/>
  <c r="AC135" i="2"/>
  <c r="AA135" i="2"/>
  <c r="AB141" i="2" s="1"/>
  <c r="AB585" i="1" s="1"/>
  <c r="Z135" i="2"/>
  <c r="Y135" i="2"/>
  <c r="X135" i="2"/>
  <c r="W135" i="2"/>
  <c r="V135" i="2"/>
  <c r="G135" i="2"/>
  <c r="AM134" i="2"/>
  <c r="AF134" i="2"/>
  <c r="AE134" i="2"/>
  <c r="AD134" i="2"/>
  <c r="AC134" i="2"/>
  <c r="AA134" i="2"/>
  <c r="AB140" i="2" s="1"/>
  <c r="AB586" i="1" s="1"/>
  <c r="Z134" i="2"/>
  <c r="Y134" i="2"/>
  <c r="X134" i="2"/>
  <c r="W134" i="2"/>
  <c r="V134" i="2"/>
  <c r="G134" i="2"/>
  <c r="AM133" i="2"/>
  <c r="AF133" i="2"/>
  <c r="AE133" i="2"/>
  <c r="AD133" i="2"/>
  <c r="AC133" i="2"/>
  <c r="AA133" i="2"/>
  <c r="AB139" i="2" s="1"/>
  <c r="AB587" i="1" s="1"/>
  <c r="Z133" i="2"/>
  <c r="Y133" i="2"/>
  <c r="X133" i="2"/>
  <c r="W133" i="2"/>
  <c r="V133" i="2"/>
  <c r="G133" i="2"/>
  <c r="AM132" i="2"/>
  <c r="AF132" i="2"/>
  <c r="AE132" i="2"/>
  <c r="AD132" i="2"/>
  <c r="AC132" i="2"/>
  <c r="AA132" i="2"/>
  <c r="AB138" i="2" s="1"/>
  <c r="AB588" i="1" s="1"/>
  <c r="Z132" i="2"/>
  <c r="Y132" i="2"/>
  <c r="X132" i="2"/>
  <c r="W132" i="2"/>
  <c r="V132" i="2"/>
  <c r="G132" i="2"/>
  <c r="AM131" i="2"/>
  <c r="AF131" i="2"/>
  <c r="AE131" i="2"/>
  <c r="AD131" i="2"/>
  <c r="AC131" i="2"/>
  <c r="AA131" i="2"/>
  <c r="AB137" i="2" s="1"/>
  <c r="AB589" i="1" s="1"/>
  <c r="Z131" i="2"/>
  <c r="Y131" i="2"/>
  <c r="X131" i="2"/>
  <c r="W131" i="2"/>
  <c r="V131" i="2"/>
  <c r="G131" i="2"/>
  <c r="AM130" i="2"/>
  <c r="AF130" i="2"/>
  <c r="AE130" i="2"/>
  <c r="AD130" i="2"/>
  <c r="AC130" i="2"/>
  <c r="AA130" i="2"/>
  <c r="AB136" i="2" s="1"/>
  <c r="AB590" i="1" s="1"/>
  <c r="Z130" i="2"/>
  <c r="Y130" i="2"/>
  <c r="X130" i="2"/>
  <c r="W130" i="2"/>
  <c r="V130" i="2"/>
  <c r="G130" i="2"/>
  <c r="AM129" i="2"/>
  <c r="AF129" i="2"/>
  <c r="AE129" i="2"/>
  <c r="AD129" i="2"/>
  <c r="AC129" i="2"/>
  <c r="AA129" i="2"/>
  <c r="AB135" i="2" s="1"/>
  <c r="AB591" i="1" s="1"/>
  <c r="Z129" i="2"/>
  <c r="Y129" i="2"/>
  <c r="X129" i="2"/>
  <c r="W129" i="2"/>
  <c r="V129" i="2"/>
  <c r="G129" i="2"/>
  <c r="AM128" i="2"/>
  <c r="AF128" i="2"/>
  <c r="AE128" i="2"/>
  <c r="AD128" i="2"/>
  <c r="AC128" i="2"/>
  <c r="AA128" i="2"/>
  <c r="AB134" i="2" s="1"/>
  <c r="AB592" i="1" s="1"/>
  <c r="Z128" i="2"/>
  <c r="Y128" i="2"/>
  <c r="X128" i="2"/>
  <c r="W128" i="2"/>
  <c r="V128" i="2"/>
  <c r="G128" i="2"/>
  <c r="AM127" i="2"/>
  <c r="AF127" i="2"/>
  <c r="AE127" i="2"/>
  <c r="AD127" i="2"/>
  <c r="AC127" i="2"/>
  <c r="AA127" i="2"/>
  <c r="AB133" i="2" s="1"/>
  <c r="AB593" i="1" s="1"/>
  <c r="Z127" i="2"/>
  <c r="Y127" i="2"/>
  <c r="X127" i="2"/>
  <c r="W127" i="2"/>
  <c r="V127" i="2"/>
  <c r="G127" i="2"/>
  <c r="AM126" i="2"/>
  <c r="AF126" i="2"/>
  <c r="AE126" i="2"/>
  <c r="AD126" i="2"/>
  <c r="AC126" i="2"/>
  <c r="AA126" i="2"/>
  <c r="AB132" i="2" s="1"/>
  <c r="AB594" i="1" s="1"/>
  <c r="Z126" i="2"/>
  <c r="Y126" i="2"/>
  <c r="X126" i="2"/>
  <c r="W126" i="2"/>
  <c r="V126" i="2"/>
  <c r="G126" i="2"/>
  <c r="AM125" i="2"/>
  <c r="AF125" i="2"/>
  <c r="AE125" i="2"/>
  <c r="AD125" i="2"/>
  <c r="AC125" i="2"/>
  <c r="AA125" i="2"/>
  <c r="AB131" i="2" s="1"/>
  <c r="AB595" i="1" s="1"/>
  <c r="Z125" i="2"/>
  <c r="Y125" i="2"/>
  <c r="X125" i="2"/>
  <c r="W125" i="2"/>
  <c r="V125" i="2"/>
  <c r="G125" i="2"/>
  <c r="AM124" i="2"/>
  <c r="AF124" i="2"/>
  <c r="AE124" i="2"/>
  <c r="AD124" i="2"/>
  <c r="AC124" i="2"/>
  <c r="AA124" i="2"/>
  <c r="AB130" i="2" s="1"/>
  <c r="AB596" i="1" s="1"/>
  <c r="Z124" i="2"/>
  <c r="Y124" i="2"/>
  <c r="X124" i="2"/>
  <c r="W124" i="2"/>
  <c r="V124" i="2"/>
  <c r="G124" i="2"/>
  <c r="AM123" i="2"/>
  <c r="AF123" i="2"/>
  <c r="AE123" i="2"/>
  <c r="AD123" i="2"/>
  <c r="AC123" i="2"/>
  <c r="AA123" i="2"/>
  <c r="AB129" i="2" s="1"/>
  <c r="AB597" i="1" s="1"/>
  <c r="Z123" i="2"/>
  <c r="Y123" i="2"/>
  <c r="X123" i="2"/>
  <c r="W123" i="2"/>
  <c r="V123" i="2"/>
  <c r="G123" i="2"/>
  <c r="AM122" i="2"/>
  <c r="AF122" i="2"/>
  <c r="AE122" i="2"/>
  <c r="AD122" i="2"/>
  <c r="AC122" i="2"/>
  <c r="AA122" i="2"/>
  <c r="AB128" i="2" s="1"/>
  <c r="AB598" i="1" s="1"/>
  <c r="Z122" i="2"/>
  <c r="Y122" i="2"/>
  <c r="X122" i="2"/>
  <c r="W122" i="2"/>
  <c r="V122" i="2"/>
  <c r="G122" i="2"/>
  <c r="AM121" i="2"/>
  <c r="AF121" i="2"/>
  <c r="AE121" i="2"/>
  <c r="AD121" i="2"/>
  <c r="AC121" i="2"/>
  <c r="AA121" i="2"/>
  <c r="AB127" i="2" s="1"/>
  <c r="AB599" i="1" s="1"/>
  <c r="Z121" i="2"/>
  <c r="Y121" i="2"/>
  <c r="X121" i="2"/>
  <c r="W121" i="2"/>
  <c r="V121" i="2"/>
  <c r="G121" i="2"/>
  <c r="AM120" i="2"/>
  <c r="AF120" i="2"/>
  <c r="AE120" i="2"/>
  <c r="AD120" i="2"/>
  <c r="AC120" i="2"/>
  <c r="AA120" i="2"/>
  <c r="AB126" i="2" s="1"/>
  <c r="AB600" i="1" s="1"/>
  <c r="Z120" i="2"/>
  <c r="Y120" i="2"/>
  <c r="X120" i="2"/>
  <c r="W120" i="2"/>
  <c r="V120" i="2"/>
  <c r="G120" i="2"/>
  <c r="AM119" i="2"/>
  <c r="AF119" i="2"/>
  <c r="AE119" i="2"/>
  <c r="AD119" i="2"/>
  <c r="AC119" i="2"/>
  <c r="AA119" i="2"/>
  <c r="AB125" i="2" s="1"/>
  <c r="AB601" i="1" s="1"/>
  <c r="Z119" i="2"/>
  <c r="Y119" i="2"/>
  <c r="X119" i="2"/>
  <c r="W119" i="2"/>
  <c r="V119" i="2"/>
  <c r="G119" i="2"/>
  <c r="AM118" i="2"/>
  <c r="AF118" i="2"/>
  <c r="AE118" i="2"/>
  <c r="AD118" i="2"/>
  <c r="AC118" i="2"/>
  <c r="AA118" i="2"/>
  <c r="AB124" i="2" s="1"/>
  <c r="AB602" i="1" s="1"/>
  <c r="Z118" i="2"/>
  <c r="Y118" i="2"/>
  <c r="X118" i="2"/>
  <c r="W118" i="2"/>
  <c r="V118" i="2"/>
  <c r="G118" i="2"/>
  <c r="AM117" i="2"/>
  <c r="AF117" i="2"/>
  <c r="AE117" i="2"/>
  <c r="AD117" i="2"/>
  <c r="AC117" i="2"/>
  <c r="AA117" i="2"/>
  <c r="AB123" i="2" s="1"/>
  <c r="AB603" i="1" s="1"/>
  <c r="Z117" i="2"/>
  <c r="Y117" i="2"/>
  <c r="X117" i="2"/>
  <c r="W117" i="2"/>
  <c r="V117" i="2"/>
  <c r="G117" i="2"/>
  <c r="AM116" i="2"/>
  <c r="AF116" i="2"/>
  <c r="AE116" i="2"/>
  <c r="AD116" i="2"/>
  <c r="AC116" i="2"/>
  <c r="AA116" i="2"/>
  <c r="AB122" i="2" s="1"/>
  <c r="AB604" i="1" s="1"/>
  <c r="Z116" i="2"/>
  <c r="Y116" i="2"/>
  <c r="X116" i="2"/>
  <c r="W116" i="2"/>
  <c r="V116" i="2"/>
  <c r="G116" i="2"/>
  <c r="AM115" i="2"/>
  <c r="AF115" i="2"/>
  <c r="AE115" i="2"/>
  <c r="AD115" i="2"/>
  <c r="AC115" i="2"/>
  <c r="AA115" i="2"/>
  <c r="AB121" i="2" s="1"/>
  <c r="AB605" i="1" s="1"/>
  <c r="Z115" i="2"/>
  <c r="Y115" i="2"/>
  <c r="X115" i="2"/>
  <c r="W115" i="2"/>
  <c r="V115" i="2"/>
  <c r="G115" i="2"/>
  <c r="AM114" i="2"/>
  <c r="AF114" i="2"/>
  <c r="AE114" i="2"/>
  <c r="AD114" i="2"/>
  <c r="AC114" i="2"/>
  <c r="AA114" i="2"/>
  <c r="AB120" i="2" s="1"/>
  <c r="AB606" i="1" s="1"/>
  <c r="Z114" i="2"/>
  <c r="Y114" i="2"/>
  <c r="X114" i="2"/>
  <c r="W114" i="2"/>
  <c r="V114" i="2"/>
  <c r="G114" i="2"/>
  <c r="AM113" i="2"/>
  <c r="AF113" i="2"/>
  <c r="AE113" i="2"/>
  <c r="AD113" i="2"/>
  <c r="AC113" i="2"/>
  <c r="AA113" i="2"/>
  <c r="AB119" i="2" s="1"/>
  <c r="AB607" i="1" s="1"/>
  <c r="Z113" i="2"/>
  <c r="Y113" i="2"/>
  <c r="X113" i="2"/>
  <c r="W113" i="2"/>
  <c r="V113" i="2"/>
  <c r="G113" i="2"/>
  <c r="AM112" i="2"/>
  <c r="AF112" i="2"/>
  <c r="AE112" i="2"/>
  <c r="AD112" i="2"/>
  <c r="AC112" i="2"/>
  <c r="AA112" i="2"/>
  <c r="AB118" i="2" s="1"/>
  <c r="AB608" i="1" s="1"/>
  <c r="Z112" i="2"/>
  <c r="Y112" i="2"/>
  <c r="X112" i="2"/>
  <c r="W112" i="2"/>
  <c r="V112" i="2"/>
  <c r="G112" i="2"/>
  <c r="AM111" i="2"/>
  <c r="AF111" i="2"/>
  <c r="AE111" i="2"/>
  <c r="AD111" i="2"/>
  <c r="AC111" i="2"/>
  <c r="AA111" i="2"/>
  <c r="AB117" i="2" s="1"/>
  <c r="AB609" i="1" s="1"/>
  <c r="Z111" i="2"/>
  <c r="Y111" i="2"/>
  <c r="X111" i="2"/>
  <c r="W111" i="2"/>
  <c r="V111" i="2"/>
  <c r="G111" i="2"/>
  <c r="AM110" i="2"/>
  <c r="AF110" i="2"/>
  <c r="AE110" i="2"/>
  <c r="AD110" i="2"/>
  <c r="AC110" i="2"/>
  <c r="AA110" i="2"/>
  <c r="AB116" i="2" s="1"/>
  <c r="AB610" i="1" s="1"/>
  <c r="Z110" i="2"/>
  <c r="Y110" i="2"/>
  <c r="X110" i="2"/>
  <c r="W110" i="2"/>
  <c r="V110" i="2"/>
  <c r="G110" i="2"/>
  <c r="AM109" i="2"/>
  <c r="AF109" i="2"/>
  <c r="AE109" i="2"/>
  <c r="AD109" i="2"/>
  <c r="AC109" i="2"/>
  <c r="AA109" i="2"/>
  <c r="AB115" i="2" s="1"/>
  <c r="AB611" i="1" s="1"/>
  <c r="Z109" i="2"/>
  <c r="Y109" i="2"/>
  <c r="X109" i="2"/>
  <c r="W109" i="2"/>
  <c r="V109" i="2"/>
  <c r="G109" i="2"/>
  <c r="AM108" i="2"/>
  <c r="AF108" i="2"/>
  <c r="AE108" i="2"/>
  <c r="AD108" i="2"/>
  <c r="AC108" i="2"/>
  <c r="AA108" i="2"/>
  <c r="AB114" i="2" s="1"/>
  <c r="AB612" i="1" s="1"/>
  <c r="Z108" i="2"/>
  <c r="Y108" i="2"/>
  <c r="X108" i="2"/>
  <c r="W108" i="2"/>
  <c r="V108" i="2"/>
  <c r="G108" i="2"/>
  <c r="AM107" i="2"/>
  <c r="AF107" i="2"/>
  <c r="AE107" i="2"/>
  <c r="AD107" i="2"/>
  <c r="AC107" i="2"/>
  <c r="AA107" i="2"/>
  <c r="AB113" i="2" s="1"/>
  <c r="AB613" i="1" s="1"/>
  <c r="Z107" i="2"/>
  <c r="Y107" i="2"/>
  <c r="X107" i="2"/>
  <c r="W107" i="2"/>
  <c r="V107" i="2"/>
  <c r="G107" i="2"/>
  <c r="AM106" i="2"/>
  <c r="AF106" i="2"/>
  <c r="AE106" i="2"/>
  <c r="AD106" i="2"/>
  <c r="AC106" i="2"/>
  <c r="AA106" i="2"/>
  <c r="AB112" i="2" s="1"/>
  <c r="AB614" i="1" s="1"/>
  <c r="Z106" i="2"/>
  <c r="Y106" i="2"/>
  <c r="X106" i="2"/>
  <c r="W106" i="2"/>
  <c r="V106" i="2"/>
  <c r="G106" i="2"/>
  <c r="AM105" i="2"/>
  <c r="AF105" i="2"/>
  <c r="AE105" i="2"/>
  <c r="AD105" i="2"/>
  <c r="AC105" i="2"/>
  <c r="AA105" i="2"/>
  <c r="AB111" i="2" s="1"/>
  <c r="AB615" i="1" s="1"/>
  <c r="Z105" i="2"/>
  <c r="Y105" i="2"/>
  <c r="X105" i="2"/>
  <c r="W105" i="2"/>
  <c r="V105" i="2"/>
  <c r="G105" i="2"/>
  <c r="AM104" i="2"/>
  <c r="AF104" i="2"/>
  <c r="AE104" i="2"/>
  <c r="AD104" i="2"/>
  <c r="AC104" i="2"/>
  <c r="AA104" i="2"/>
  <c r="AB110" i="2" s="1"/>
  <c r="AB616" i="1" s="1"/>
  <c r="Z104" i="2"/>
  <c r="Y104" i="2"/>
  <c r="X104" i="2"/>
  <c r="W104" i="2"/>
  <c r="V104" i="2"/>
  <c r="G104" i="2"/>
  <c r="AM103" i="2"/>
  <c r="AF103" i="2"/>
  <c r="AE103" i="2"/>
  <c r="AD103" i="2"/>
  <c r="AC103" i="2"/>
  <c r="AA103" i="2"/>
  <c r="AB109" i="2" s="1"/>
  <c r="AB617" i="1" s="1"/>
  <c r="Z103" i="2"/>
  <c r="Y103" i="2"/>
  <c r="X103" i="2"/>
  <c r="W103" i="2"/>
  <c r="V103" i="2"/>
  <c r="G103" i="2"/>
  <c r="AM102" i="2"/>
  <c r="AF102" i="2"/>
  <c r="AE102" i="2"/>
  <c r="AD102" i="2"/>
  <c r="AC102" i="2"/>
  <c r="AA102" i="2"/>
  <c r="AB108" i="2" s="1"/>
  <c r="AB618" i="1" s="1"/>
  <c r="Z102" i="2"/>
  <c r="Y102" i="2"/>
  <c r="X102" i="2"/>
  <c r="W102" i="2"/>
  <c r="V102" i="2"/>
  <c r="G102" i="2"/>
  <c r="AM101" i="2"/>
  <c r="AF101" i="2"/>
  <c r="AE101" i="2"/>
  <c r="AD101" i="2"/>
  <c r="AC101" i="2"/>
  <c r="AA101" i="2"/>
  <c r="AB107" i="2" s="1"/>
  <c r="AB619" i="1" s="1"/>
  <c r="Z101" i="2"/>
  <c r="Y101" i="2"/>
  <c r="X101" i="2"/>
  <c r="W101" i="2"/>
  <c r="V101" i="2"/>
  <c r="G101" i="2"/>
  <c r="AM100" i="2"/>
  <c r="AF100" i="2"/>
  <c r="AE100" i="2"/>
  <c r="AD100" i="2"/>
  <c r="AC100" i="2"/>
  <c r="AA100" i="2"/>
  <c r="AB106" i="2" s="1"/>
  <c r="AB620" i="1" s="1"/>
  <c r="Z100" i="2"/>
  <c r="Y100" i="2"/>
  <c r="X100" i="2"/>
  <c r="W100" i="2"/>
  <c r="V100" i="2"/>
  <c r="G100" i="2"/>
  <c r="AM99" i="2"/>
  <c r="AF99" i="2"/>
  <c r="AE99" i="2"/>
  <c r="AD99" i="2"/>
  <c r="AC99" i="2"/>
  <c r="AA99" i="2"/>
  <c r="AB105" i="2" s="1"/>
  <c r="AB621" i="1" s="1"/>
  <c r="Z99" i="2"/>
  <c r="Y99" i="2"/>
  <c r="X99" i="2"/>
  <c r="W99" i="2"/>
  <c r="V99" i="2"/>
  <c r="G99" i="2"/>
  <c r="AM98" i="2"/>
  <c r="AF98" i="2"/>
  <c r="AE98" i="2"/>
  <c r="AD98" i="2"/>
  <c r="AC98" i="2"/>
  <c r="AA98" i="2"/>
  <c r="AB104" i="2" s="1"/>
  <c r="AB622" i="1" s="1"/>
  <c r="Z98" i="2"/>
  <c r="Y98" i="2"/>
  <c r="X98" i="2"/>
  <c r="W98" i="2"/>
  <c r="V98" i="2"/>
  <c r="G98" i="2"/>
  <c r="AM97" i="2"/>
  <c r="AF97" i="2"/>
  <c r="AE97" i="2"/>
  <c r="AD97" i="2"/>
  <c r="AC97" i="2"/>
  <c r="AA97" i="2"/>
  <c r="AB103" i="2" s="1"/>
  <c r="AB623" i="1" s="1"/>
  <c r="Z97" i="2"/>
  <c r="Y97" i="2"/>
  <c r="X97" i="2"/>
  <c r="W97" i="2"/>
  <c r="V97" i="2"/>
  <c r="G97" i="2"/>
  <c r="AM96" i="2"/>
  <c r="AF96" i="2"/>
  <c r="AE96" i="2"/>
  <c r="AD96" i="2"/>
  <c r="AC96" i="2"/>
  <c r="AA96" i="2"/>
  <c r="AB102" i="2" s="1"/>
  <c r="AB624" i="1" s="1"/>
  <c r="Z96" i="2"/>
  <c r="Y96" i="2"/>
  <c r="X96" i="2"/>
  <c r="W96" i="2"/>
  <c r="V96" i="2"/>
  <c r="G96" i="2"/>
  <c r="AM95" i="2"/>
  <c r="AF95" i="2"/>
  <c r="AE95" i="2"/>
  <c r="AD95" i="2"/>
  <c r="AC95" i="2"/>
  <c r="AA95" i="2"/>
  <c r="AB101" i="2" s="1"/>
  <c r="AB625" i="1" s="1"/>
  <c r="Z95" i="2"/>
  <c r="Y95" i="2"/>
  <c r="X95" i="2"/>
  <c r="W95" i="2"/>
  <c r="V95" i="2"/>
  <c r="G95" i="2"/>
  <c r="AM94" i="2"/>
  <c r="AF94" i="2"/>
  <c r="AE94" i="2"/>
  <c r="AD94" i="2"/>
  <c r="AC94" i="2"/>
  <c r="AA94" i="2"/>
  <c r="AB100" i="2" s="1"/>
  <c r="AB626" i="1" s="1"/>
  <c r="Z94" i="2"/>
  <c r="Y94" i="2"/>
  <c r="X94" i="2"/>
  <c r="W94" i="2"/>
  <c r="V94" i="2"/>
  <c r="G94" i="2"/>
  <c r="AM93" i="2"/>
  <c r="AF93" i="2"/>
  <c r="AE93" i="2"/>
  <c r="AD93" i="2"/>
  <c r="AC93" i="2"/>
  <c r="AA93" i="2"/>
  <c r="AB99" i="2" s="1"/>
  <c r="AB627" i="1" s="1"/>
  <c r="Z93" i="2"/>
  <c r="Y93" i="2"/>
  <c r="X93" i="2"/>
  <c r="W93" i="2"/>
  <c r="V93" i="2"/>
  <c r="G93" i="2"/>
  <c r="AM92" i="2"/>
  <c r="AF92" i="2"/>
  <c r="AE92" i="2"/>
  <c r="AD92" i="2"/>
  <c r="AC92" i="2"/>
  <c r="AA92" i="2"/>
  <c r="AB98" i="2" s="1"/>
  <c r="AB628" i="1" s="1"/>
  <c r="Z92" i="2"/>
  <c r="Y92" i="2"/>
  <c r="X92" i="2"/>
  <c r="W92" i="2"/>
  <c r="V92" i="2"/>
  <c r="G92" i="2"/>
  <c r="AM91" i="2"/>
  <c r="AF91" i="2"/>
  <c r="AE91" i="2"/>
  <c r="AD91" i="2"/>
  <c r="AC91" i="2"/>
  <c r="AA91" i="2"/>
  <c r="AB97" i="2" s="1"/>
  <c r="AB629" i="1" s="1"/>
  <c r="Z91" i="2"/>
  <c r="Y91" i="2"/>
  <c r="X91" i="2"/>
  <c r="W91" i="2"/>
  <c r="V91" i="2"/>
  <c r="G91" i="2"/>
  <c r="AM90" i="2"/>
  <c r="AF90" i="2"/>
  <c r="AE90" i="2"/>
  <c r="AD90" i="2"/>
  <c r="AC90" i="2"/>
  <c r="AA90" i="2"/>
  <c r="AB96" i="2" s="1"/>
  <c r="AB630" i="1" s="1"/>
  <c r="Z90" i="2"/>
  <c r="Y90" i="2"/>
  <c r="X90" i="2"/>
  <c r="W90" i="2"/>
  <c r="V90" i="2"/>
  <c r="G90" i="2"/>
  <c r="AM89" i="2"/>
  <c r="AF89" i="2"/>
  <c r="AE89" i="2"/>
  <c r="AD89" i="2"/>
  <c r="AC89" i="2"/>
  <c r="AA89" i="2"/>
  <c r="AB95" i="2" s="1"/>
  <c r="AB631" i="1" s="1"/>
  <c r="Z89" i="2"/>
  <c r="Y89" i="2"/>
  <c r="X89" i="2"/>
  <c r="W89" i="2"/>
  <c r="V89" i="2"/>
  <c r="G89" i="2"/>
  <c r="AM88" i="2"/>
  <c r="AF88" i="2"/>
  <c r="AE88" i="2"/>
  <c r="AD88" i="2"/>
  <c r="AC88" i="2"/>
  <c r="AA88" i="2"/>
  <c r="AB94" i="2" s="1"/>
  <c r="AB632" i="1" s="1"/>
  <c r="Z88" i="2"/>
  <c r="Y88" i="2"/>
  <c r="X88" i="2"/>
  <c r="W88" i="2"/>
  <c r="V88" i="2"/>
  <c r="G88" i="2"/>
  <c r="AM87" i="2"/>
  <c r="AF87" i="2"/>
  <c r="AE87" i="2"/>
  <c r="AD87" i="2"/>
  <c r="AC87" i="2"/>
  <c r="AA87" i="2"/>
  <c r="AB93" i="2" s="1"/>
  <c r="AB633" i="1" s="1"/>
  <c r="Z87" i="2"/>
  <c r="Y87" i="2"/>
  <c r="X87" i="2"/>
  <c r="W87" i="2"/>
  <c r="V87" i="2"/>
  <c r="G87" i="2"/>
  <c r="AM86" i="2"/>
  <c r="AF86" i="2"/>
  <c r="AE86" i="2"/>
  <c r="AD86" i="2"/>
  <c r="AC86" i="2"/>
  <c r="AA86" i="2"/>
  <c r="AB92" i="2" s="1"/>
  <c r="AB634" i="1" s="1"/>
  <c r="Z86" i="2"/>
  <c r="Y86" i="2"/>
  <c r="X86" i="2"/>
  <c r="W86" i="2"/>
  <c r="V86" i="2"/>
  <c r="G86" i="2"/>
  <c r="AM85" i="2"/>
  <c r="AF85" i="2"/>
  <c r="AE85" i="2"/>
  <c r="AD85" i="2"/>
  <c r="AC85" i="2"/>
  <c r="AA85" i="2"/>
  <c r="AB91" i="2" s="1"/>
  <c r="AB635" i="1" s="1"/>
  <c r="Z85" i="2"/>
  <c r="Y85" i="2"/>
  <c r="X85" i="2"/>
  <c r="W85" i="2"/>
  <c r="V85" i="2"/>
  <c r="G85" i="2"/>
  <c r="AM84" i="2"/>
  <c r="AF84" i="2"/>
  <c r="AE84" i="2"/>
  <c r="AD84" i="2"/>
  <c r="AC84" i="2"/>
  <c r="AA84" i="2"/>
  <c r="AB90" i="2" s="1"/>
  <c r="AB636" i="1" s="1"/>
  <c r="X84" i="2"/>
  <c r="W84" i="2"/>
  <c r="V84" i="2"/>
  <c r="G84" i="2"/>
  <c r="AM83" i="2"/>
  <c r="AF83" i="2"/>
  <c r="AE83" i="2"/>
  <c r="AD83" i="2"/>
  <c r="AC83" i="2"/>
  <c r="AA83" i="2"/>
  <c r="AB89" i="2" s="1"/>
  <c r="AB637" i="1" s="1"/>
  <c r="Z83" i="2"/>
  <c r="Y83" i="2"/>
  <c r="X83" i="2"/>
  <c r="W83" i="2"/>
  <c r="V83" i="2"/>
  <c r="G83" i="2"/>
  <c r="AM82" i="2"/>
  <c r="AF82" i="2"/>
  <c r="AE82" i="2"/>
  <c r="AD82" i="2"/>
  <c r="AC82" i="2"/>
  <c r="AA82" i="2"/>
  <c r="AB88" i="2" s="1"/>
  <c r="AB638" i="1" s="1"/>
  <c r="Z82" i="2"/>
  <c r="Y82" i="2"/>
  <c r="X82" i="2"/>
  <c r="W82" i="2"/>
  <c r="V82" i="2"/>
  <c r="G82" i="2"/>
  <c r="AM81" i="2"/>
  <c r="AF81" i="2"/>
  <c r="AE81" i="2"/>
  <c r="AD81" i="2"/>
  <c r="AC81" i="2"/>
  <c r="AA81" i="2"/>
  <c r="AB87" i="2" s="1"/>
  <c r="AB639" i="1" s="1"/>
  <c r="Z81" i="2"/>
  <c r="Y81" i="2"/>
  <c r="X81" i="2"/>
  <c r="W81" i="2"/>
  <c r="V81" i="2"/>
  <c r="G81" i="2"/>
  <c r="AM80" i="2"/>
  <c r="AF80" i="2"/>
  <c r="AE80" i="2"/>
  <c r="AD80" i="2"/>
  <c r="AC80" i="2"/>
  <c r="AA80" i="2"/>
  <c r="AB86" i="2" s="1"/>
  <c r="AB640" i="1" s="1"/>
  <c r="Z80" i="2"/>
  <c r="Y80" i="2"/>
  <c r="X80" i="2"/>
  <c r="W80" i="2"/>
  <c r="V80" i="2"/>
  <c r="G80" i="2"/>
  <c r="AM79" i="2"/>
  <c r="AF79" i="2"/>
  <c r="AE79" i="2"/>
  <c r="AD79" i="2"/>
  <c r="AC79" i="2"/>
  <c r="AA79" i="2"/>
  <c r="AB85" i="2" s="1"/>
  <c r="AB641" i="1" s="1"/>
  <c r="Z79" i="2"/>
  <c r="Y79" i="2"/>
  <c r="X79" i="2"/>
  <c r="W79" i="2"/>
  <c r="V79" i="2"/>
  <c r="G79" i="2"/>
  <c r="AM78" i="2"/>
  <c r="AF78" i="2"/>
  <c r="AE78" i="2"/>
  <c r="AD78" i="2"/>
  <c r="AC78" i="2"/>
  <c r="AA78" i="2"/>
  <c r="AB84" i="2" s="1"/>
  <c r="AB642" i="1" s="1"/>
  <c r="X78" i="2"/>
  <c r="W78" i="2"/>
  <c r="V78" i="2"/>
  <c r="G78" i="2"/>
  <c r="AM77" i="2"/>
  <c r="AF77" i="2"/>
  <c r="AE77" i="2"/>
  <c r="AD77" i="2"/>
  <c r="AC77" i="2"/>
  <c r="AA77" i="2"/>
  <c r="AB83" i="2" s="1"/>
  <c r="AB643" i="1" s="1"/>
  <c r="Z77" i="2"/>
  <c r="Y77" i="2"/>
  <c r="X77" i="2"/>
  <c r="W77" i="2"/>
  <c r="V77" i="2"/>
  <c r="G77" i="2"/>
  <c r="AM76" i="2"/>
  <c r="AF76" i="2"/>
  <c r="AE76" i="2"/>
  <c r="AD76" i="2"/>
  <c r="AC76" i="2"/>
  <c r="AA76" i="2"/>
  <c r="AB82" i="2" s="1"/>
  <c r="AB644" i="1" s="1"/>
  <c r="Z76" i="2"/>
  <c r="Y76" i="2"/>
  <c r="X76" i="2"/>
  <c r="W76" i="2"/>
  <c r="V76" i="2"/>
  <c r="G76" i="2"/>
  <c r="AM75" i="2"/>
  <c r="AF75" i="2"/>
  <c r="AE75" i="2"/>
  <c r="AD75" i="2"/>
  <c r="AC75" i="2"/>
  <c r="AA75" i="2"/>
  <c r="AB81" i="2" s="1"/>
  <c r="AB645" i="1" s="1"/>
  <c r="Z75" i="2"/>
  <c r="Y75" i="2"/>
  <c r="X75" i="2"/>
  <c r="W75" i="2"/>
  <c r="V75" i="2"/>
  <c r="G75" i="2"/>
  <c r="AM74" i="2"/>
  <c r="AF74" i="2"/>
  <c r="AE74" i="2"/>
  <c r="AD74" i="2"/>
  <c r="AC74" i="2"/>
  <c r="AA74" i="2"/>
  <c r="AB80" i="2" s="1"/>
  <c r="AB646" i="1" s="1"/>
  <c r="Z74" i="2"/>
  <c r="Y74" i="2"/>
  <c r="X74" i="2"/>
  <c r="W74" i="2"/>
  <c r="V74" i="2"/>
  <c r="G74" i="2"/>
  <c r="AM73" i="2"/>
  <c r="AF73" i="2"/>
  <c r="AE73" i="2"/>
  <c r="AD73" i="2"/>
  <c r="AC73" i="2"/>
  <c r="AA73" i="2"/>
  <c r="AB79" i="2" s="1"/>
  <c r="AB647" i="1" s="1"/>
  <c r="Z73" i="2"/>
  <c r="Y73" i="2"/>
  <c r="X73" i="2"/>
  <c r="W73" i="2"/>
  <c r="V73" i="2"/>
  <c r="G73" i="2"/>
  <c r="AM72" i="2"/>
  <c r="AF72" i="2"/>
  <c r="AE72" i="2"/>
  <c r="AD72" i="2"/>
  <c r="AC72" i="2"/>
  <c r="AA72" i="2"/>
  <c r="AB78" i="2" s="1"/>
  <c r="AB648" i="1" s="1"/>
  <c r="Z72" i="2"/>
  <c r="Y72" i="2"/>
  <c r="X72" i="2"/>
  <c r="W72" i="2"/>
  <c r="V72" i="2"/>
  <c r="G72" i="2"/>
  <c r="AM71" i="2"/>
  <c r="AF71" i="2"/>
  <c r="AE71" i="2"/>
  <c r="AD71" i="2"/>
  <c r="AC71" i="2"/>
  <c r="AA71" i="2"/>
  <c r="AB77" i="2" s="1"/>
  <c r="AB649" i="1" s="1"/>
  <c r="Z71" i="2"/>
  <c r="Y71" i="2"/>
  <c r="X71" i="2"/>
  <c r="W71" i="2"/>
  <c r="V71" i="2"/>
  <c r="G71" i="2"/>
  <c r="AM70" i="2"/>
  <c r="AF70" i="2"/>
  <c r="AE70" i="2"/>
  <c r="AD70" i="2"/>
  <c r="AC70" i="2"/>
  <c r="AA70" i="2"/>
  <c r="AB76" i="2" s="1"/>
  <c r="AB650" i="1" s="1"/>
  <c r="Z70" i="2"/>
  <c r="Y70" i="2"/>
  <c r="X70" i="2"/>
  <c r="W70" i="2"/>
  <c r="V70" i="2"/>
  <c r="G70" i="2"/>
  <c r="AM69" i="2"/>
  <c r="AF69" i="2"/>
  <c r="AE69" i="2"/>
  <c r="AD69" i="2"/>
  <c r="AC69" i="2"/>
  <c r="AA69" i="2"/>
  <c r="AB75" i="2" s="1"/>
  <c r="AB651" i="1" s="1"/>
  <c r="Z69" i="2"/>
  <c r="Y69" i="2"/>
  <c r="X69" i="2"/>
  <c r="W69" i="2"/>
  <c r="V69" i="2"/>
  <c r="G69" i="2"/>
  <c r="AM68" i="2"/>
  <c r="AF68" i="2"/>
  <c r="AE68" i="2"/>
  <c r="AD68" i="2"/>
  <c r="AC68" i="2"/>
  <c r="AA68" i="2"/>
  <c r="AB74" i="2" s="1"/>
  <c r="AB652" i="1" s="1"/>
  <c r="Z68" i="2"/>
  <c r="Y68" i="2"/>
  <c r="X68" i="2"/>
  <c r="W68" i="2"/>
  <c r="V68" i="2"/>
  <c r="G68" i="2"/>
  <c r="AM67" i="2"/>
  <c r="AF67" i="2"/>
  <c r="AE67" i="2"/>
  <c r="AD67" i="2"/>
  <c r="AC67" i="2"/>
  <c r="AA67" i="2"/>
  <c r="AB73" i="2" s="1"/>
  <c r="AB653" i="1" s="1"/>
  <c r="Z67" i="2"/>
  <c r="Y67" i="2"/>
  <c r="X67" i="2"/>
  <c r="W67" i="2"/>
  <c r="V67" i="2"/>
  <c r="G67" i="2"/>
  <c r="AM66" i="2"/>
  <c r="AF66" i="2"/>
  <c r="AE66" i="2"/>
  <c r="AD66" i="2"/>
  <c r="AC66" i="2"/>
  <c r="AA66" i="2"/>
  <c r="AB72" i="2" s="1"/>
  <c r="AB654" i="1" s="1"/>
  <c r="Z66" i="2"/>
  <c r="Y66" i="2"/>
  <c r="X66" i="2"/>
  <c r="W66" i="2"/>
  <c r="V66" i="2"/>
  <c r="G66" i="2"/>
  <c r="AM65" i="2"/>
  <c r="AF65" i="2"/>
  <c r="AE65" i="2"/>
  <c r="AD65" i="2"/>
  <c r="AC65" i="2"/>
  <c r="AA65" i="2"/>
  <c r="AB71" i="2" s="1"/>
  <c r="AB655" i="1" s="1"/>
  <c r="Z65" i="2"/>
  <c r="Y65" i="2"/>
  <c r="X65" i="2"/>
  <c r="W65" i="2"/>
  <c r="V65" i="2"/>
  <c r="G65" i="2"/>
  <c r="AM64" i="2"/>
  <c r="AF64" i="2"/>
  <c r="AE64" i="2"/>
  <c r="AD64" i="2"/>
  <c r="AC64" i="2"/>
  <c r="AA64" i="2"/>
  <c r="AB70" i="2" s="1"/>
  <c r="AB656" i="1" s="1"/>
  <c r="Z64" i="2"/>
  <c r="Y64" i="2"/>
  <c r="X64" i="2"/>
  <c r="W64" i="2"/>
  <c r="V64" i="2"/>
  <c r="G64" i="2"/>
  <c r="AM63" i="2"/>
  <c r="AF63" i="2"/>
  <c r="AE63" i="2"/>
  <c r="AD63" i="2"/>
  <c r="AC63" i="2"/>
  <c r="AA63" i="2"/>
  <c r="AB69" i="2" s="1"/>
  <c r="AB657" i="1" s="1"/>
  <c r="Z63" i="2"/>
  <c r="Y63" i="2"/>
  <c r="X63" i="2"/>
  <c r="W63" i="2"/>
  <c r="V63" i="2"/>
  <c r="G63" i="2"/>
  <c r="AM62" i="2"/>
  <c r="AF62" i="2"/>
  <c r="AE62" i="2"/>
  <c r="AD62" i="2"/>
  <c r="AC62" i="2"/>
  <c r="AA62" i="2"/>
  <c r="AB68" i="2" s="1"/>
  <c r="AB658" i="1" s="1"/>
  <c r="Z62" i="2"/>
  <c r="Y62" i="2"/>
  <c r="X62" i="2"/>
  <c r="W62" i="2"/>
  <c r="V62" i="2"/>
  <c r="G62" i="2"/>
  <c r="AM61" i="2"/>
  <c r="AF61" i="2"/>
  <c r="AE61" i="2"/>
  <c r="AD61" i="2"/>
  <c r="AC61" i="2"/>
  <c r="AA61" i="2"/>
  <c r="AB67" i="2" s="1"/>
  <c r="AB659" i="1" s="1"/>
  <c r="Z61" i="2"/>
  <c r="Y61" i="2"/>
  <c r="X61" i="2"/>
  <c r="W61" i="2"/>
  <c r="V61" i="2"/>
  <c r="G61" i="2"/>
  <c r="AM60" i="2"/>
  <c r="AF60" i="2"/>
  <c r="AE60" i="2"/>
  <c r="AD60" i="2"/>
  <c r="AC60" i="2"/>
  <c r="AA60" i="2"/>
  <c r="AB66" i="2" s="1"/>
  <c r="AB660" i="1" s="1"/>
  <c r="Z60" i="2"/>
  <c r="Y60" i="2"/>
  <c r="X60" i="2"/>
  <c r="W60" i="2"/>
  <c r="V60" i="2"/>
  <c r="G60" i="2"/>
  <c r="AM59" i="2"/>
  <c r="AF59" i="2"/>
  <c r="AE59" i="2"/>
  <c r="AD59" i="2"/>
  <c r="AC59" i="2"/>
  <c r="AA59" i="2"/>
  <c r="AB65" i="2" s="1"/>
  <c r="AB661" i="1" s="1"/>
  <c r="Z59" i="2"/>
  <c r="Y59" i="2"/>
  <c r="X59" i="2"/>
  <c r="W59" i="2"/>
  <c r="V59" i="2"/>
  <c r="G59" i="2"/>
  <c r="AM58" i="2"/>
  <c r="AF58" i="2"/>
  <c r="AE58" i="2"/>
  <c r="AD58" i="2"/>
  <c r="AC58" i="2"/>
  <c r="AA58" i="2"/>
  <c r="AB64" i="2" s="1"/>
  <c r="AB662" i="1" s="1"/>
  <c r="Z58" i="2"/>
  <c r="Y58" i="2"/>
  <c r="X58" i="2"/>
  <c r="W58" i="2"/>
  <c r="V58" i="2"/>
  <c r="G58" i="2"/>
  <c r="AM57" i="2"/>
  <c r="AF57" i="2"/>
  <c r="AE57" i="2"/>
  <c r="AD57" i="2"/>
  <c r="AC57" i="2"/>
  <c r="AA57" i="2"/>
  <c r="AB63" i="2" s="1"/>
  <c r="AB663" i="1" s="1"/>
  <c r="Z57" i="2"/>
  <c r="Y57" i="2"/>
  <c r="X57" i="2"/>
  <c r="W57" i="2"/>
  <c r="V57" i="2"/>
  <c r="G57" i="2"/>
  <c r="AM56" i="2"/>
  <c r="AF56" i="2"/>
  <c r="AE56" i="2"/>
  <c r="AD56" i="2"/>
  <c r="AC56" i="2"/>
  <c r="AA56" i="2"/>
  <c r="AB62" i="2" s="1"/>
  <c r="AB664" i="1" s="1"/>
  <c r="Z56" i="2"/>
  <c r="Y56" i="2"/>
  <c r="X56" i="2"/>
  <c r="W56" i="2"/>
  <c r="V56" i="2"/>
  <c r="G56" i="2"/>
  <c r="AM55" i="2"/>
  <c r="AF55" i="2"/>
  <c r="AE55" i="2"/>
  <c r="AD55" i="2"/>
  <c r="AC55" i="2"/>
  <c r="AA55" i="2"/>
  <c r="AB61" i="2" s="1"/>
  <c r="AB665" i="1" s="1"/>
  <c r="Z55" i="2"/>
  <c r="Y55" i="2"/>
  <c r="X55" i="2"/>
  <c r="W55" i="2"/>
  <c r="V55" i="2"/>
  <c r="G55" i="2"/>
  <c r="AM54" i="2"/>
  <c r="AF54" i="2"/>
  <c r="AE54" i="2"/>
  <c r="AD54" i="2"/>
  <c r="AC54" i="2"/>
  <c r="AA54" i="2"/>
  <c r="AB60" i="2" s="1"/>
  <c r="AB666" i="1" s="1"/>
  <c r="Z54" i="2"/>
  <c r="Y54" i="2"/>
  <c r="X54" i="2"/>
  <c r="W54" i="2"/>
  <c r="V54" i="2"/>
  <c r="G54" i="2"/>
  <c r="AM53" i="2"/>
  <c r="AF53" i="2"/>
  <c r="AE53" i="2"/>
  <c r="AD53" i="2"/>
  <c r="AC53" i="2"/>
  <c r="AA53" i="2"/>
  <c r="AB59" i="2" s="1"/>
  <c r="AB667" i="1" s="1"/>
  <c r="Z53" i="2"/>
  <c r="Y53" i="2"/>
  <c r="X53" i="2"/>
  <c r="W53" i="2"/>
  <c r="V53" i="2"/>
  <c r="G53" i="2"/>
  <c r="AM52" i="2"/>
  <c r="AF52" i="2"/>
  <c r="AE52" i="2"/>
  <c r="AD52" i="2"/>
  <c r="AC52" i="2"/>
  <c r="AA52" i="2"/>
  <c r="AB58" i="2" s="1"/>
  <c r="AB668" i="1" s="1"/>
  <c r="Z52" i="2"/>
  <c r="Y52" i="2"/>
  <c r="X52" i="2"/>
  <c r="W52" i="2"/>
  <c r="V52" i="2"/>
  <c r="G52" i="2"/>
  <c r="AM51" i="2"/>
  <c r="AF51" i="2"/>
  <c r="AE51" i="2"/>
  <c r="AD51" i="2"/>
  <c r="AC51" i="2"/>
  <c r="AA51" i="2"/>
  <c r="AB57" i="2" s="1"/>
  <c r="AB669" i="1" s="1"/>
  <c r="Z51" i="2"/>
  <c r="Y51" i="2"/>
  <c r="X51" i="2"/>
  <c r="W51" i="2"/>
  <c r="V51" i="2"/>
  <c r="G51" i="2"/>
  <c r="AM50" i="2"/>
  <c r="AF50" i="2"/>
  <c r="AE50" i="2"/>
  <c r="AD50" i="2"/>
  <c r="AC50" i="2"/>
  <c r="AA50" i="2"/>
  <c r="AB56" i="2" s="1"/>
  <c r="AB670" i="1" s="1"/>
  <c r="Z50" i="2"/>
  <c r="Y50" i="2"/>
  <c r="X50" i="2"/>
  <c r="W50" i="2"/>
  <c r="V50" i="2"/>
  <c r="G50" i="2"/>
  <c r="AM49" i="2"/>
  <c r="AF49" i="2"/>
  <c r="AE49" i="2"/>
  <c r="AD49" i="2"/>
  <c r="AC49" i="2"/>
  <c r="AA49" i="2"/>
  <c r="AB55" i="2" s="1"/>
  <c r="AB671" i="1" s="1"/>
  <c r="Z49" i="2"/>
  <c r="Y49" i="2"/>
  <c r="X49" i="2"/>
  <c r="W49" i="2"/>
  <c r="V49" i="2"/>
  <c r="G49" i="2"/>
  <c r="AM48" i="2"/>
  <c r="AF48" i="2"/>
  <c r="AE48" i="2"/>
  <c r="AD48" i="2"/>
  <c r="AC48" i="2"/>
  <c r="AA48" i="2"/>
  <c r="AB54" i="2" s="1"/>
  <c r="AB672" i="1" s="1"/>
  <c r="Z48" i="2"/>
  <c r="Y48" i="2"/>
  <c r="X48" i="2"/>
  <c r="W48" i="2"/>
  <c r="V48" i="2"/>
  <c r="G48" i="2"/>
  <c r="AM47" i="2"/>
  <c r="AF47" i="2"/>
  <c r="AE47" i="2"/>
  <c r="AD47" i="2"/>
  <c r="AC47" i="2"/>
  <c r="AA47" i="2"/>
  <c r="AB53" i="2" s="1"/>
  <c r="AB673" i="1" s="1"/>
  <c r="Z47" i="2"/>
  <c r="Y47" i="2"/>
  <c r="X47" i="2"/>
  <c r="W47" i="2"/>
  <c r="V47" i="2"/>
  <c r="G47" i="2"/>
  <c r="AM46" i="2"/>
  <c r="AF46" i="2"/>
  <c r="AE46" i="2"/>
  <c r="AD46" i="2"/>
  <c r="AC46" i="2"/>
  <c r="AA46" i="2"/>
  <c r="AB52" i="2" s="1"/>
  <c r="AB674" i="1" s="1"/>
  <c r="Z46" i="2"/>
  <c r="Y46" i="2"/>
  <c r="X46" i="2"/>
  <c r="W46" i="2"/>
  <c r="V46" i="2"/>
  <c r="G46" i="2"/>
  <c r="AM45" i="2"/>
  <c r="AF45" i="2"/>
  <c r="AE45" i="2"/>
  <c r="AD45" i="2"/>
  <c r="AC45" i="2"/>
  <c r="AA45" i="2"/>
  <c r="AB51" i="2" s="1"/>
  <c r="AB675" i="1" s="1"/>
  <c r="Z45" i="2"/>
  <c r="Y45" i="2"/>
  <c r="X45" i="2"/>
  <c r="W45" i="2"/>
  <c r="V45" i="2"/>
  <c r="G45" i="2"/>
  <c r="AM44" i="2"/>
  <c r="AF44" i="2"/>
  <c r="AE44" i="2"/>
  <c r="AD44" i="2"/>
  <c r="AC44" i="2"/>
  <c r="AA44" i="2"/>
  <c r="AB50" i="2" s="1"/>
  <c r="AB676" i="1" s="1"/>
  <c r="X44" i="2"/>
  <c r="W44" i="2"/>
  <c r="V44" i="2"/>
  <c r="G44" i="2"/>
  <c r="AM43" i="2"/>
  <c r="AF43" i="2"/>
  <c r="AE43" i="2"/>
  <c r="AD43" i="2"/>
  <c r="AC43" i="2"/>
  <c r="AA43" i="2"/>
  <c r="AB49" i="2" s="1"/>
  <c r="AB677" i="1" s="1"/>
  <c r="X43" i="2"/>
  <c r="W43" i="2"/>
  <c r="V43" i="2"/>
  <c r="G43" i="2"/>
  <c r="AM42" i="2"/>
  <c r="AF42" i="2"/>
  <c r="AE42" i="2"/>
  <c r="AD42" i="2"/>
  <c r="AC42" i="2"/>
  <c r="AA42" i="2"/>
  <c r="AB48" i="2" s="1"/>
  <c r="AB678" i="1" s="1"/>
  <c r="X42" i="2"/>
  <c r="W42" i="2"/>
  <c r="V42" i="2"/>
  <c r="G42" i="2"/>
  <c r="AM41" i="2"/>
  <c r="AF41" i="2"/>
  <c r="AE41" i="2"/>
  <c r="AD41" i="2"/>
  <c r="AC41" i="2"/>
  <c r="AA41" i="2"/>
  <c r="AB47" i="2" s="1"/>
  <c r="AB679" i="1" s="1"/>
  <c r="X41" i="2"/>
  <c r="W41" i="2"/>
  <c r="V41" i="2"/>
  <c r="G41" i="2"/>
  <c r="AM40" i="2"/>
  <c r="AF40" i="2"/>
  <c r="AE40" i="2"/>
  <c r="AD40" i="2"/>
  <c r="AC40" i="2"/>
  <c r="AA40" i="2"/>
  <c r="AB46" i="2" s="1"/>
  <c r="AB680" i="1" s="1"/>
  <c r="X40" i="2"/>
  <c r="W40" i="2"/>
  <c r="V40" i="2"/>
  <c r="G40" i="2"/>
  <c r="AM39" i="2"/>
  <c r="AF39" i="2"/>
  <c r="AE39" i="2"/>
  <c r="AD39" i="2"/>
  <c r="AC39" i="2"/>
  <c r="AA39" i="2"/>
  <c r="AB45" i="2" s="1"/>
  <c r="AB681" i="1" s="1"/>
  <c r="X39" i="2"/>
  <c r="W39" i="2"/>
  <c r="V39" i="2"/>
  <c r="G39" i="2"/>
  <c r="AM38" i="2"/>
  <c r="AF38" i="2"/>
  <c r="AE38" i="2"/>
  <c r="AD38" i="2"/>
  <c r="AC38" i="2"/>
  <c r="AA38" i="2"/>
  <c r="AB44" i="2" s="1"/>
  <c r="AB682" i="1" s="1"/>
  <c r="X38" i="2"/>
  <c r="W38" i="2"/>
  <c r="V38" i="2"/>
  <c r="G38" i="2"/>
  <c r="AM37" i="2"/>
  <c r="AF37" i="2"/>
  <c r="AE37" i="2"/>
  <c r="AD37" i="2"/>
  <c r="AC37" i="2"/>
  <c r="AA37" i="2"/>
  <c r="AB43" i="2" s="1"/>
  <c r="AB683" i="1" s="1"/>
  <c r="X37" i="2"/>
  <c r="W37" i="2"/>
  <c r="V37" i="2"/>
  <c r="G37" i="2"/>
  <c r="AM36" i="2"/>
  <c r="AF36" i="2"/>
  <c r="AE36" i="2"/>
  <c r="AD36" i="2"/>
  <c r="AC36" i="2"/>
  <c r="AA36" i="2"/>
  <c r="AB42" i="2" s="1"/>
  <c r="AB684" i="1" s="1"/>
  <c r="X36" i="2"/>
  <c r="W36" i="2"/>
  <c r="V36" i="2"/>
  <c r="G36" i="2"/>
  <c r="AM35" i="2"/>
  <c r="AF35" i="2"/>
  <c r="AE35" i="2"/>
  <c r="AD35" i="2"/>
  <c r="AC35" i="2"/>
  <c r="AA35" i="2"/>
  <c r="AB41" i="2" s="1"/>
  <c r="AB685" i="1" s="1"/>
  <c r="X35" i="2"/>
  <c r="W35" i="2"/>
  <c r="V35" i="2"/>
  <c r="G35" i="2"/>
  <c r="AM34" i="2"/>
  <c r="AF34" i="2"/>
  <c r="AE34" i="2"/>
  <c r="AD34" i="2"/>
  <c r="AC34" i="2"/>
  <c r="AA34" i="2"/>
  <c r="AB40" i="2" s="1"/>
  <c r="AB686" i="1" s="1"/>
  <c r="X34" i="2"/>
  <c r="W34" i="2"/>
  <c r="V34" i="2"/>
  <c r="G34" i="2"/>
  <c r="AM33" i="2"/>
  <c r="AF33" i="2"/>
  <c r="AE33" i="2"/>
  <c r="AD33" i="2"/>
  <c r="AC33" i="2"/>
  <c r="AA33" i="2"/>
  <c r="AB39" i="2" s="1"/>
  <c r="AB687" i="1" s="1"/>
  <c r="X33" i="2"/>
  <c r="W33" i="2"/>
  <c r="V33" i="2"/>
  <c r="G33" i="2"/>
  <c r="AM32" i="2"/>
  <c r="AF32" i="2"/>
  <c r="AE32" i="2"/>
  <c r="AD32" i="2"/>
  <c r="AC32" i="2"/>
  <c r="AA32" i="2"/>
  <c r="AB38" i="2" s="1"/>
  <c r="AB688" i="1" s="1"/>
  <c r="X32" i="2"/>
  <c r="W32" i="2"/>
  <c r="V32" i="2"/>
  <c r="G32" i="2"/>
  <c r="AM31" i="2"/>
  <c r="AF31" i="2"/>
  <c r="AE31" i="2"/>
  <c r="AD31" i="2"/>
  <c r="AC31" i="2"/>
  <c r="AA31" i="2"/>
  <c r="AB37" i="2" s="1"/>
  <c r="AB689" i="1" s="1"/>
  <c r="X31" i="2"/>
  <c r="W31" i="2"/>
  <c r="V31" i="2"/>
  <c r="G31" i="2"/>
  <c r="AM30" i="2"/>
  <c r="AF30" i="2"/>
  <c r="AE30" i="2"/>
  <c r="AD30" i="2"/>
  <c r="AC30" i="2"/>
  <c r="AA30" i="2"/>
  <c r="AB36" i="2" s="1"/>
  <c r="AB690" i="1" s="1"/>
  <c r="X30" i="2"/>
  <c r="W30" i="2"/>
  <c r="V30" i="2"/>
  <c r="G30" i="2"/>
  <c r="AM29" i="2"/>
  <c r="AF29" i="2"/>
  <c r="AE29" i="2"/>
  <c r="AD29" i="2"/>
  <c r="AC29" i="2"/>
  <c r="AA29" i="2"/>
  <c r="AB35" i="2" s="1"/>
  <c r="AB691" i="1" s="1"/>
  <c r="X29" i="2"/>
  <c r="W29" i="2"/>
  <c r="V29" i="2"/>
  <c r="G29" i="2"/>
  <c r="AM28" i="2"/>
  <c r="AF28" i="2"/>
  <c r="AE28" i="2"/>
  <c r="AD28" i="2"/>
  <c r="AC28" i="2"/>
  <c r="AA28" i="2"/>
  <c r="AB34" i="2" s="1"/>
  <c r="AB692" i="1" s="1"/>
  <c r="X28" i="2"/>
  <c r="W28" i="2"/>
  <c r="V28" i="2"/>
  <c r="G28" i="2"/>
  <c r="AM27" i="2"/>
  <c r="AF27" i="2"/>
  <c r="AE27" i="2"/>
  <c r="AD27" i="2"/>
  <c r="AC27" i="2"/>
  <c r="AA27" i="2"/>
  <c r="AB33" i="2" s="1"/>
  <c r="AB693" i="1" s="1"/>
  <c r="X27" i="2"/>
  <c r="W27" i="2"/>
  <c r="V27" i="2"/>
  <c r="G27" i="2"/>
  <c r="AM26" i="2"/>
  <c r="AF26" i="2"/>
  <c r="AE26" i="2"/>
  <c r="AD26" i="2"/>
  <c r="AC26" i="2"/>
  <c r="AA26" i="2"/>
  <c r="AB32" i="2" s="1"/>
  <c r="AB694" i="1" s="1"/>
  <c r="X26" i="2"/>
  <c r="W26" i="2"/>
  <c r="V26" i="2"/>
  <c r="G26" i="2"/>
  <c r="AM25" i="2"/>
  <c r="AF25" i="2"/>
  <c r="AE25" i="2"/>
  <c r="AD25" i="2"/>
  <c r="AC25" i="2"/>
  <c r="AA25" i="2"/>
  <c r="AB31" i="2" s="1"/>
  <c r="AB695" i="1" s="1"/>
  <c r="X25" i="2"/>
  <c r="W25" i="2"/>
  <c r="V25" i="2"/>
  <c r="G25" i="2"/>
  <c r="AM24" i="2"/>
  <c r="AF24" i="2"/>
  <c r="AE24" i="2"/>
  <c r="AD24" i="2"/>
  <c r="AC24" i="2"/>
  <c r="AA24" i="2"/>
  <c r="AB30" i="2" s="1"/>
  <c r="AB696" i="1" s="1"/>
  <c r="X24" i="2"/>
  <c r="W24" i="2"/>
  <c r="V24" i="2"/>
  <c r="G24" i="2"/>
  <c r="AM23" i="2"/>
  <c r="AF23" i="2"/>
  <c r="AE23" i="2"/>
  <c r="AD23" i="2"/>
  <c r="AC23" i="2"/>
  <c r="AA23" i="2"/>
  <c r="AB29" i="2" s="1"/>
  <c r="AB697" i="1" s="1"/>
  <c r="X23" i="2"/>
  <c r="W23" i="2"/>
  <c r="V23" i="2"/>
  <c r="G23" i="2"/>
  <c r="AM22" i="2"/>
  <c r="AF22" i="2"/>
  <c r="AE22" i="2"/>
  <c r="AD22" i="2"/>
  <c r="AC22" i="2"/>
  <c r="AA22" i="2"/>
  <c r="AB28" i="2" s="1"/>
  <c r="AB698" i="1" s="1"/>
  <c r="X22" i="2"/>
  <c r="W22" i="2"/>
  <c r="V22" i="2"/>
  <c r="G22" i="2"/>
  <c r="AM21" i="2"/>
  <c r="AF21" i="2"/>
  <c r="AE21" i="2"/>
  <c r="AD21" i="2"/>
  <c r="AC21" i="2"/>
  <c r="AA21" i="2"/>
  <c r="AB27" i="2" s="1"/>
  <c r="AB699" i="1" s="1"/>
  <c r="X21" i="2"/>
  <c r="W21" i="2"/>
  <c r="V21" i="2"/>
  <c r="G21" i="2"/>
  <c r="AM20" i="2"/>
  <c r="AF20" i="2"/>
  <c r="AE20" i="2"/>
  <c r="AD20" i="2"/>
  <c r="AC20" i="2"/>
  <c r="AA20" i="2"/>
  <c r="AB26" i="2" s="1"/>
  <c r="AB700" i="1" s="1"/>
  <c r="X20" i="2"/>
  <c r="W20" i="2"/>
  <c r="V20" i="2"/>
  <c r="G20" i="2"/>
  <c r="AM19" i="2"/>
  <c r="AF19" i="2"/>
  <c r="AE19" i="2"/>
  <c r="AC19" i="2"/>
  <c r="AA19" i="2"/>
  <c r="AB25" i="2" s="1"/>
  <c r="AB701" i="1" s="1"/>
  <c r="X19" i="2"/>
  <c r="W19" i="2"/>
  <c r="V19" i="2"/>
  <c r="G19" i="2"/>
  <c r="AM18" i="2"/>
  <c r="AF18" i="2"/>
  <c r="AE18" i="2"/>
  <c r="AC18" i="2"/>
  <c r="AA18" i="2"/>
  <c r="AB24" i="2" s="1"/>
  <c r="AB702" i="1" s="1"/>
  <c r="X18" i="2"/>
  <c r="W18" i="2"/>
  <c r="V18" i="2"/>
  <c r="G18" i="2"/>
  <c r="AM17" i="2"/>
  <c r="AF17" i="2"/>
  <c r="AE17" i="2"/>
  <c r="AC17" i="2"/>
  <c r="AA17" i="2"/>
  <c r="AB23" i="2" s="1"/>
  <c r="AB703" i="1" s="1"/>
  <c r="X17" i="2"/>
  <c r="W17" i="2"/>
  <c r="V17" i="2"/>
  <c r="G17" i="2"/>
  <c r="AF16" i="2"/>
  <c r="AE16" i="2"/>
  <c r="AC16" i="2"/>
  <c r="AA16" i="2"/>
  <c r="AB22" i="2" s="1"/>
  <c r="AB704" i="1" s="1"/>
  <c r="X16" i="2"/>
  <c r="W16" i="2"/>
  <c r="V16" i="2"/>
  <c r="G16" i="2"/>
  <c r="AF15" i="2"/>
  <c r="AE15" i="2"/>
  <c r="AC15" i="2"/>
  <c r="AA15" i="2"/>
  <c r="AB21" i="2" s="1"/>
  <c r="AB705" i="1" s="1"/>
  <c r="X15" i="2"/>
  <c r="W15" i="2"/>
  <c r="V15" i="2"/>
  <c r="G15" i="2"/>
  <c r="AF14" i="2"/>
  <c r="AE14" i="2"/>
  <c r="AC14" i="2"/>
  <c r="X14" i="2"/>
  <c r="W14" i="2"/>
  <c r="V14" i="2"/>
  <c r="G14" i="2"/>
  <c r="AF13" i="2"/>
  <c r="AE13" i="2"/>
  <c r="AC13" i="2"/>
  <c r="X13" i="2"/>
  <c r="W13" i="2"/>
  <c r="V13" i="2"/>
  <c r="G13" i="2"/>
  <c r="AF12" i="2"/>
  <c r="AE12" i="2"/>
  <c r="AC12" i="2"/>
  <c r="X12" i="2"/>
  <c r="W12" i="2"/>
  <c r="V12" i="2"/>
  <c r="G12" i="2"/>
  <c r="AF11" i="2"/>
  <c r="AE11" i="2"/>
  <c r="AC11" i="2"/>
  <c r="X11" i="2"/>
  <c r="W11" i="2"/>
  <c r="V11" i="2"/>
  <c r="G11" i="2"/>
  <c r="AE10" i="2"/>
  <c r="AC10" i="2"/>
  <c r="X10" i="2"/>
  <c r="W10" i="2"/>
  <c r="V10" i="2"/>
  <c r="G10" i="2"/>
  <c r="AE9" i="2"/>
  <c r="AC9" i="2"/>
  <c r="X9" i="2"/>
  <c r="W9" i="2"/>
  <c r="V9" i="2"/>
  <c r="G9" i="2"/>
  <c r="AE8" i="2"/>
  <c r="AC8" i="2"/>
  <c r="X8" i="2"/>
  <c r="W8" i="2"/>
  <c r="V8" i="2"/>
  <c r="G8" i="2"/>
  <c r="X7" i="2"/>
  <c r="W7" i="2"/>
  <c r="V7" i="2"/>
  <c r="G7" i="2"/>
  <c r="X6" i="2"/>
  <c r="W6" i="2"/>
  <c r="V6" i="2"/>
  <c r="G6" i="2"/>
  <c r="X5" i="2"/>
  <c r="W5" i="2"/>
  <c r="V5" i="2"/>
  <c r="G5" i="2"/>
  <c r="X4" i="2"/>
  <c r="W4" i="2"/>
  <c r="V4" i="2"/>
  <c r="G4" i="2"/>
  <c r="X3" i="2"/>
  <c r="W3" i="2"/>
  <c r="V3" i="2"/>
  <c r="V2" i="2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N1030" i="1"/>
  <c r="AO1030" i="1" s="1"/>
  <c r="AP1030" i="1" s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N1029" i="1"/>
  <c r="AO1029" i="1" s="1"/>
  <c r="AP1029" i="1" s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N1028" i="1"/>
  <c r="AO1028" i="1" s="1"/>
  <c r="AP1028" i="1" s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N1027" i="1"/>
  <c r="AO1027" i="1" s="1"/>
  <c r="AP1027" i="1" s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N1026" i="1"/>
  <c r="AO1026" i="1" s="1"/>
  <c r="AP1026" i="1" s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N1025" i="1"/>
  <c r="AO1025" i="1" s="1"/>
  <c r="AP1025" i="1" s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N1023" i="1"/>
  <c r="AO1023" i="1" s="1"/>
  <c r="AP1023" i="1" s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N1022" i="1"/>
  <c r="AO1022" i="1" s="1"/>
  <c r="AP1022" i="1" s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N1021" i="1"/>
  <c r="AO1021" i="1" s="1"/>
  <c r="AP1021" i="1" s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N1020" i="1"/>
  <c r="AO1020" i="1" s="1"/>
  <c r="AP1020" i="1" s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N1019" i="1"/>
  <c r="AO1019" i="1" s="1"/>
  <c r="AP1019" i="1" s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N1018" i="1"/>
  <c r="AO1018" i="1" s="1"/>
  <c r="AP1018" i="1" s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N1016" i="1"/>
  <c r="AO1016" i="1" s="1"/>
  <c r="AP1016" i="1" s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N1015" i="1"/>
  <c r="AO1015" i="1" s="1"/>
  <c r="AP1015" i="1" s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N1014" i="1"/>
  <c r="AO1014" i="1" s="1"/>
  <c r="AP1014" i="1" s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N1013" i="1"/>
  <c r="AO1013" i="1" s="1"/>
  <c r="AP1013" i="1" s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N1012" i="1"/>
  <c r="AO1012" i="1" s="1"/>
  <c r="AP1012" i="1" s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N1011" i="1"/>
  <c r="AO1011" i="1" s="1"/>
  <c r="AP1011" i="1" s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N1009" i="1"/>
  <c r="AO1009" i="1" s="1"/>
  <c r="AP1009" i="1" s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N1008" i="1"/>
  <c r="AO1008" i="1" s="1"/>
  <c r="AP1008" i="1" s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N1007" i="1"/>
  <c r="AO1007" i="1" s="1"/>
  <c r="AP1007" i="1" s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N1006" i="1"/>
  <c r="AO1006" i="1" s="1"/>
  <c r="AP1006" i="1" s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N1005" i="1"/>
  <c r="AO1005" i="1" s="1"/>
  <c r="AP1005" i="1" s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N1004" i="1"/>
  <c r="AO1004" i="1" s="1"/>
  <c r="AP1004" i="1" s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N1002" i="1"/>
  <c r="AO1002" i="1" s="1"/>
  <c r="AP1002" i="1" s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N1001" i="1"/>
  <c r="AO1001" i="1" s="1"/>
  <c r="AP1001" i="1" s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N1000" i="1"/>
  <c r="AO1000" i="1" s="1"/>
  <c r="AP1000" i="1" s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N999" i="1"/>
  <c r="AO999" i="1" s="1"/>
  <c r="AP999" i="1" s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N998" i="1"/>
  <c r="AO998" i="1" s="1"/>
  <c r="AP998" i="1" s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N997" i="1"/>
  <c r="AO997" i="1" s="1"/>
  <c r="AP997" i="1" s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N995" i="1"/>
  <c r="AO995" i="1" s="1"/>
  <c r="AP995" i="1" s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N994" i="1"/>
  <c r="AO994" i="1" s="1"/>
  <c r="AP994" i="1" s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N993" i="1"/>
  <c r="AO993" i="1" s="1"/>
  <c r="AP993" i="1" s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N992" i="1"/>
  <c r="AO992" i="1" s="1"/>
  <c r="AP992" i="1" s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N991" i="1"/>
  <c r="AO991" i="1" s="1"/>
  <c r="AP991" i="1" s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N990" i="1"/>
  <c r="AO990" i="1" s="1"/>
  <c r="AP990" i="1" s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N988" i="1"/>
  <c r="AO988" i="1" s="1"/>
  <c r="AP988" i="1" s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N987" i="1"/>
  <c r="AO987" i="1" s="1"/>
  <c r="AP987" i="1" s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N986" i="1"/>
  <c r="AO986" i="1" s="1"/>
  <c r="AP986" i="1" s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N985" i="1"/>
  <c r="AO985" i="1" s="1"/>
  <c r="AP985" i="1" s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N984" i="1"/>
  <c r="AO984" i="1" s="1"/>
  <c r="AP984" i="1" s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N983" i="1"/>
  <c r="AO983" i="1" s="1"/>
  <c r="AP983" i="1" s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N981" i="1"/>
  <c r="AO981" i="1" s="1"/>
  <c r="AP981" i="1" s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N980" i="1"/>
  <c r="AO980" i="1" s="1"/>
  <c r="AP980" i="1" s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N979" i="1"/>
  <c r="AO979" i="1" s="1"/>
  <c r="AP979" i="1" s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N978" i="1"/>
  <c r="AO978" i="1" s="1"/>
  <c r="AP978" i="1" s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N977" i="1"/>
  <c r="AO977" i="1" s="1"/>
  <c r="AP977" i="1" s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N976" i="1"/>
  <c r="AO976" i="1" s="1"/>
  <c r="AP976" i="1" s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N974" i="1"/>
  <c r="AO974" i="1" s="1"/>
  <c r="AP974" i="1" s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N973" i="1"/>
  <c r="AO973" i="1" s="1"/>
  <c r="AP973" i="1" s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N972" i="1"/>
  <c r="AO972" i="1" s="1"/>
  <c r="AP972" i="1" s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N971" i="1"/>
  <c r="AO971" i="1" s="1"/>
  <c r="AP971" i="1" s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N970" i="1"/>
  <c r="AO970" i="1" s="1"/>
  <c r="AP970" i="1" s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N969" i="1"/>
  <c r="AO969" i="1" s="1"/>
  <c r="AP969" i="1" s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N967" i="1"/>
  <c r="AO967" i="1" s="1"/>
  <c r="AP967" i="1" s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N966" i="1"/>
  <c r="AO966" i="1" s="1"/>
  <c r="AP966" i="1" s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N965" i="1"/>
  <c r="AO965" i="1" s="1"/>
  <c r="AP965" i="1" s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N964" i="1"/>
  <c r="AO964" i="1" s="1"/>
  <c r="AP964" i="1" s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N963" i="1"/>
  <c r="AO963" i="1" s="1"/>
  <c r="AP963" i="1" s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N962" i="1"/>
  <c r="AO962" i="1" s="1"/>
  <c r="AP962" i="1" s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N960" i="1"/>
  <c r="AO960" i="1" s="1"/>
  <c r="AP960" i="1" s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N959" i="1"/>
  <c r="AO959" i="1" s="1"/>
  <c r="AP959" i="1" s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N958" i="1"/>
  <c r="AO958" i="1" s="1"/>
  <c r="AP958" i="1" s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N957" i="1"/>
  <c r="AO957" i="1" s="1"/>
  <c r="AP957" i="1" s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N956" i="1"/>
  <c r="AO956" i="1" s="1"/>
  <c r="AP956" i="1" s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N955" i="1"/>
  <c r="AO955" i="1" s="1"/>
  <c r="AP955" i="1" s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N953" i="1"/>
  <c r="AO953" i="1" s="1"/>
  <c r="AP953" i="1" s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N952" i="1"/>
  <c r="AO952" i="1" s="1"/>
  <c r="AP952" i="1" s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N951" i="1"/>
  <c r="AO951" i="1" s="1"/>
  <c r="AP951" i="1" s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N950" i="1"/>
  <c r="AO950" i="1" s="1"/>
  <c r="AP950" i="1" s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N949" i="1"/>
  <c r="AO949" i="1" s="1"/>
  <c r="AP949" i="1" s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N948" i="1"/>
  <c r="AO948" i="1" s="1"/>
  <c r="AP948" i="1" s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N946" i="1"/>
  <c r="AO946" i="1" s="1"/>
  <c r="AP946" i="1" s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N945" i="1"/>
  <c r="AO945" i="1" s="1"/>
  <c r="AP945" i="1" s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N944" i="1"/>
  <c r="AO944" i="1" s="1"/>
  <c r="AP944" i="1" s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N943" i="1"/>
  <c r="AO943" i="1" s="1"/>
  <c r="AP943" i="1" s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N942" i="1"/>
  <c r="AO942" i="1" s="1"/>
  <c r="AP942" i="1" s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N941" i="1"/>
  <c r="AO941" i="1" s="1"/>
  <c r="AP941" i="1" s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N939" i="1"/>
  <c r="AO939" i="1" s="1"/>
  <c r="AP939" i="1" s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N938" i="1"/>
  <c r="AO938" i="1" s="1"/>
  <c r="AP938" i="1" s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N937" i="1"/>
  <c r="AO937" i="1" s="1"/>
  <c r="AP937" i="1" s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N936" i="1"/>
  <c r="AO936" i="1" s="1"/>
  <c r="AP936" i="1" s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N935" i="1"/>
  <c r="AO935" i="1" s="1"/>
  <c r="AP935" i="1" s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N934" i="1"/>
  <c r="AO934" i="1" s="1"/>
  <c r="AP934" i="1" s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N932" i="1"/>
  <c r="AO932" i="1" s="1"/>
  <c r="AP932" i="1" s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N931" i="1"/>
  <c r="AO931" i="1" s="1"/>
  <c r="AP931" i="1" s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N930" i="1"/>
  <c r="AO930" i="1" s="1"/>
  <c r="AP930" i="1" s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N929" i="1"/>
  <c r="AO929" i="1" s="1"/>
  <c r="AP929" i="1" s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N928" i="1"/>
  <c r="AO928" i="1" s="1"/>
  <c r="AP928" i="1" s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N927" i="1"/>
  <c r="AO927" i="1" s="1"/>
  <c r="AP927" i="1" s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N925" i="1"/>
  <c r="AO925" i="1" s="1"/>
  <c r="AP925" i="1" s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N924" i="1"/>
  <c r="AO924" i="1" s="1"/>
  <c r="AP924" i="1" s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N923" i="1"/>
  <c r="AO923" i="1" s="1"/>
  <c r="AP923" i="1" s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N922" i="1"/>
  <c r="AO922" i="1" s="1"/>
  <c r="AP922" i="1" s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N921" i="1"/>
  <c r="AO921" i="1" s="1"/>
  <c r="AP921" i="1" s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N920" i="1"/>
  <c r="AO920" i="1" s="1"/>
  <c r="AP920" i="1" s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N918" i="1"/>
  <c r="AO918" i="1" s="1"/>
  <c r="AP918" i="1" s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N917" i="1"/>
  <c r="AO917" i="1" s="1"/>
  <c r="AP917" i="1" s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N916" i="1"/>
  <c r="AO916" i="1" s="1"/>
  <c r="AP916" i="1" s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N915" i="1"/>
  <c r="AO915" i="1" s="1"/>
  <c r="AP915" i="1" s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N914" i="1"/>
  <c r="AO914" i="1" s="1"/>
  <c r="AP914" i="1" s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N913" i="1"/>
  <c r="AO913" i="1" s="1"/>
  <c r="AP913" i="1" s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N911" i="1"/>
  <c r="AO911" i="1" s="1"/>
  <c r="AP911" i="1" s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N910" i="1"/>
  <c r="AO910" i="1" s="1"/>
  <c r="AP910" i="1" s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N909" i="1"/>
  <c r="AO909" i="1" s="1"/>
  <c r="AP909" i="1" s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N908" i="1"/>
  <c r="AO908" i="1" s="1"/>
  <c r="AP908" i="1" s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N907" i="1"/>
  <c r="AO907" i="1" s="1"/>
  <c r="AP907" i="1" s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N906" i="1"/>
  <c r="AO906" i="1" s="1"/>
  <c r="AP906" i="1" s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N904" i="1"/>
  <c r="AO904" i="1" s="1"/>
  <c r="AP904" i="1" s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N903" i="1"/>
  <c r="AO903" i="1" s="1"/>
  <c r="AP903" i="1" s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N902" i="1"/>
  <c r="AO902" i="1" s="1"/>
  <c r="AP902" i="1" s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N901" i="1"/>
  <c r="AO901" i="1" s="1"/>
  <c r="AP901" i="1" s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N900" i="1"/>
  <c r="AO900" i="1" s="1"/>
  <c r="AP900" i="1" s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N899" i="1"/>
  <c r="AO899" i="1" s="1"/>
  <c r="AP899" i="1" s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N897" i="1"/>
  <c r="AO897" i="1" s="1"/>
  <c r="AP897" i="1" s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N896" i="1"/>
  <c r="AO896" i="1" s="1"/>
  <c r="AP896" i="1" s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N895" i="1"/>
  <c r="AO895" i="1" s="1"/>
  <c r="AP895" i="1" s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N894" i="1"/>
  <c r="AO894" i="1" s="1"/>
  <c r="AP894" i="1" s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N893" i="1"/>
  <c r="AO893" i="1" s="1"/>
  <c r="AP893" i="1" s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N892" i="1"/>
  <c r="AO892" i="1" s="1"/>
  <c r="AP892" i="1" s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N890" i="1"/>
  <c r="AO890" i="1" s="1"/>
  <c r="AP890" i="1" s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N889" i="1"/>
  <c r="AO889" i="1" s="1"/>
  <c r="AP889" i="1" s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N888" i="1"/>
  <c r="AO888" i="1" s="1"/>
  <c r="AP888" i="1" s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N887" i="1"/>
  <c r="AO887" i="1" s="1"/>
  <c r="AP887" i="1" s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N886" i="1"/>
  <c r="AO886" i="1" s="1"/>
  <c r="AP886" i="1" s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N885" i="1"/>
  <c r="AO885" i="1" s="1"/>
  <c r="AP885" i="1" s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N883" i="1"/>
  <c r="AO883" i="1" s="1"/>
  <c r="AP883" i="1" s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N882" i="1"/>
  <c r="AO882" i="1" s="1"/>
  <c r="AP882" i="1" s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N881" i="1"/>
  <c r="AO881" i="1" s="1"/>
  <c r="AP881" i="1" s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N880" i="1"/>
  <c r="AO880" i="1" s="1"/>
  <c r="AP880" i="1" s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N879" i="1"/>
  <c r="AO879" i="1" s="1"/>
  <c r="AP879" i="1" s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N878" i="1"/>
  <c r="AO878" i="1" s="1"/>
  <c r="AP878" i="1" s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N876" i="1"/>
  <c r="AO876" i="1" s="1"/>
  <c r="AP876" i="1" s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N875" i="1"/>
  <c r="AO875" i="1" s="1"/>
  <c r="AP875" i="1" s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N874" i="1"/>
  <c r="AO874" i="1" s="1"/>
  <c r="AP874" i="1" s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N873" i="1"/>
  <c r="AO873" i="1" s="1"/>
  <c r="AP873" i="1" s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N872" i="1"/>
  <c r="AO872" i="1" s="1"/>
  <c r="AP872" i="1" s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N871" i="1"/>
  <c r="AO871" i="1" s="1"/>
  <c r="AP871" i="1" s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N869" i="1"/>
  <c r="AO869" i="1" s="1"/>
  <c r="AP869" i="1" s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N868" i="1"/>
  <c r="AO868" i="1" s="1"/>
  <c r="AP868" i="1" s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N867" i="1"/>
  <c r="AO867" i="1" s="1"/>
  <c r="AP867" i="1" s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N866" i="1"/>
  <c r="AO866" i="1" s="1"/>
  <c r="AP866" i="1" s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N865" i="1"/>
  <c r="AO865" i="1" s="1"/>
  <c r="AP865" i="1" s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N864" i="1"/>
  <c r="AO864" i="1" s="1"/>
  <c r="AP864" i="1" s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N862" i="1"/>
  <c r="AO862" i="1" s="1"/>
  <c r="AP862" i="1" s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N861" i="1"/>
  <c r="AO861" i="1" s="1"/>
  <c r="AP861" i="1" s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N860" i="1"/>
  <c r="AO860" i="1" s="1"/>
  <c r="AP860" i="1" s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N859" i="1"/>
  <c r="AO859" i="1" s="1"/>
  <c r="AP859" i="1" s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N858" i="1"/>
  <c r="AO858" i="1" s="1"/>
  <c r="AP858" i="1" s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N857" i="1"/>
  <c r="AO857" i="1" s="1"/>
  <c r="AP857" i="1" s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N855" i="1"/>
  <c r="AO855" i="1" s="1"/>
  <c r="AP855" i="1" s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N854" i="1"/>
  <c r="AO854" i="1" s="1"/>
  <c r="AP854" i="1" s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N853" i="1"/>
  <c r="AO853" i="1" s="1"/>
  <c r="AP853" i="1" s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N852" i="1"/>
  <c r="AO852" i="1" s="1"/>
  <c r="AP852" i="1" s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N851" i="1"/>
  <c r="AO851" i="1" s="1"/>
  <c r="AP851" i="1" s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N850" i="1"/>
  <c r="AO850" i="1" s="1"/>
  <c r="AP850" i="1" s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N848" i="1"/>
  <c r="AO848" i="1" s="1"/>
  <c r="AP848" i="1" s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N847" i="1"/>
  <c r="AO847" i="1" s="1"/>
  <c r="AP847" i="1" s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N846" i="1"/>
  <c r="AO846" i="1" s="1"/>
  <c r="AP846" i="1" s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N845" i="1"/>
  <c r="AO845" i="1" s="1"/>
  <c r="AP845" i="1" s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N844" i="1"/>
  <c r="AO844" i="1" s="1"/>
  <c r="AP844" i="1" s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N843" i="1"/>
  <c r="AO843" i="1" s="1"/>
  <c r="AP843" i="1" s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N841" i="1"/>
  <c r="AO841" i="1" s="1"/>
  <c r="AP841" i="1" s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N840" i="1"/>
  <c r="AO840" i="1" s="1"/>
  <c r="AP840" i="1" s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N839" i="1"/>
  <c r="AO839" i="1" s="1"/>
  <c r="AP839" i="1" s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N838" i="1"/>
  <c r="AO838" i="1" s="1"/>
  <c r="AP838" i="1" s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N837" i="1"/>
  <c r="AO837" i="1" s="1"/>
  <c r="AP837" i="1" s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N836" i="1"/>
  <c r="AO836" i="1" s="1"/>
  <c r="AP836" i="1" s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N834" i="1"/>
  <c r="AO834" i="1" s="1"/>
  <c r="AP834" i="1" s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N833" i="1"/>
  <c r="AO833" i="1" s="1"/>
  <c r="AP833" i="1" s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N832" i="1"/>
  <c r="AO832" i="1" s="1"/>
  <c r="AP832" i="1" s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N831" i="1"/>
  <c r="AO831" i="1" s="1"/>
  <c r="AP831" i="1" s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N830" i="1"/>
  <c r="AO830" i="1" s="1"/>
  <c r="AP830" i="1" s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N829" i="1"/>
  <c r="AO829" i="1" s="1"/>
  <c r="AP829" i="1" s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N827" i="1"/>
  <c r="AO827" i="1" s="1"/>
  <c r="AP827" i="1" s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N826" i="1"/>
  <c r="AO826" i="1" s="1"/>
  <c r="AP826" i="1" s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N825" i="1"/>
  <c r="AO825" i="1" s="1"/>
  <c r="AP825" i="1" s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N824" i="1"/>
  <c r="AO824" i="1" s="1"/>
  <c r="AP824" i="1" s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N823" i="1"/>
  <c r="AO823" i="1" s="1"/>
  <c r="AP823" i="1" s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N822" i="1"/>
  <c r="AO822" i="1" s="1"/>
  <c r="AP822" i="1" s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N820" i="1"/>
  <c r="AO820" i="1" s="1"/>
  <c r="AP820" i="1" s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N819" i="1"/>
  <c r="AO819" i="1" s="1"/>
  <c r="AP819" i="1" s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N818" i="1"/>
  <c r="AO818" i="1" s="1"/>
  <c r="AP818" i="1" s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N817" i="1"/>
  <c r="AO817" i="1" s="1"/>
  <c r="AP817" i="1" s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N816" i="1"/>
  <c r="AO816" i="1" s="1"/>
  <c r="AP816" i="1" s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N815" i="1"/>
  <c r="AO815" i="1" s="1"/>
  <c r="AP815" i="1" s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N813" i="1"/>
  <c r="AO813" i="1" s="1"/>
  <c r="AP813" i="1" s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N812" i="1"/>
  <c r="AO812" i="1" s="1"/>
  <c r="AP812" i="1" s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N811" i="1"/>
  <c r="AO811" i="1" s="1"/>
  <c r="AP811" i="1" s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N810" i="1"/>
  <c r="AO810" i="1" s="1"/>
  <c r="AP810" i="1" s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N809" i="1"/>
  <c r="AO809" i="1" s="1"/>
  <c r="AP809" i="1" s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N808" i="1"/>
  <c r="AO808" i="1" s="1"/>
  <c r="AP808" i="1" s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N806" i="1"/>
  <c r="AO806" i="1" s="1"/>
  <c r="AP806" i="1" s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N805" i="1"/>
  <c r="AO805" i="1" s="1"/>
  <c r="AP805" i="1" s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N804" i="1"/>
  <c r="AO804" i="1" s="1"/>
  <c r="AP804" i="1" s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N803" i="1"/>
  <c r="AO803" i="1" s="1"/>
  <c r="AP803" i="1" s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N802" i="1"/>
  <c r="AO802" i="1" s="1"/>
  <c r="AP802" i="1" s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N801" i="1"/>
  <c r="AO801" i="1" s="1"/>
  <c r="AP801" i="1" s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N799" i="1"/>
  <c r="AO799" i="1" s="1"/>
  <c r="AP799" i="1" s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N798" i="1"/>
  <c r="AO798" i="1" s="1"/>
  <c r="AP798" i="1" s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N797" i="1"/>
  <c r="AO797" i="1" s="1"/>
  <c r="AP797" i="1" s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N796" i="1"/>
  <c r="AO796" i="1" s="1"/>
  <c r="AP796" i="1" s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N795" i="1"/>
  <c r="AO795" i="1" s="1"/>
  <c r="AP795" i="1" s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N794" i="1"/>
  <c r="AO794" i="1" s="1"/>
  <c r="AP794" i="1" s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N793" i="1"/>
  <c r="AO793" i="1" s="1"/>
  <c r="AP793" i="1" s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N792" i="1"/>
  <c r="AO792" i="1" s="1"/>
  <c r="AP792" i="1" s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N790" i="1"/>
  <c r="AO790" i="1" s="1"/>
  <c r="AP790" i="1" s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N789" i="1"/>
  <c r="AO789" i="1" s="1"/>
  <c r="AP789" i="1" s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N783" i="1"/>
  <c r="AO783" i="1" s="1"/>
  <c r="AP783" i="1" s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N782" i="1"/>
  <c r="AO782" i="1" s="1"/>
  <c r="AP782" i="1" s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N777" i="1"/>
  <c r="AO777" i="1" s="1"/>
  <c r="AP777" i="1" s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N776" i="1"/>
  <c r="AO776" i="1" s="1"/>
  <c r="AP776" i="1" s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N775" i="1"/>
  <c r="AO775" i="1" s="1"/>
  <c r="AP775" i="1" s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N774" i="1"/>
  <c r="AO774" i="1" s="1"/>
  <c r="AP774" i="1" s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N769" i="1"/>
  <c r="AO769" i="1" s="1"/>
  <c r="AP769" i="1" s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N768" i="1"/>
  <c r="AO768" i="1" s="1"/>
  <c r="AP768" i="1" s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N763" i="1"/>
  <c r="AO763" i="1" s="1"/>
  <c r="AP763" i="1" s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N762" i="1"/>
  <c r="AO762" i="1" s="1"/>
  <c r="AP762" i="1" s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N761" i="1"/>
  <c r="AO761" i="1" s="1"/>
  <c r="AP761" i="1" s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N755" i="1"/>
  <c r="AO755" i="1" s="1"/>
  <c r="AP755" i="1" s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N754" i="1"/>
  <c r="AO754" i="1" s="1"/>
  <c r="AP754" i="1" s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N748" i="1"/>
  <c r="AO748" i="1" s="1"/>
  <c r="AP748" i="1" s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N747" i="1"/>
  <c r="AO747" i="1" s="1"/>
  <c r="AP747" i="1" s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N743" i="1"/>
  <c r="AO743" i="1" s="1"/>
  <c r="AP743" i="1" s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N742" i="1"/>
  <c r="AO742" i="1" s="1"/>
  <c r="AP742" i="1" s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N741" i="1"/>
  <c r="AO741" i="1" s="1"/>
  <c r="AP741" i="1" s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N740" i="1"/>
  <c r="AO740" i="1" s="1"/>
  <c r="AP740" i="1" s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N734" i="1"/>
  <c r="AO734" i="1" s="1"/>
  <c r="AP734" i="1" s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N733" i="1"/>
  <c r="AO733" i="1" s="1"/>
  <c r="AP733" i="1" s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N727" i="1"/>
  <c r="AO727" i="1" s="1"/>
  <c r="AP727" i="1" s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N726" i="1"/>
  <c r="AO726" i="1" s="1"/>
  <c r="AP726" i="1" s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S725" i="1"/>
  <c r="AQ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T724" i="1"/>
  <c r="AS724" i="1"/>
  <c r="AQ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T723" i="1"/>
  <c r="AS723" i="1"/>
  <c r="AQ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T722" i="1"/>
  <c r="AS722" i="1"/>
  <c r="AQ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T721" i="1"/>
  <c r="AS721" i="1"/>
  <c r="AQ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T720" i="1"/>
  <c r="AS720" i="1"/>
  <c r="AQ720" i="1"/>
  <c r="AN720" i="1"/>
  <c r="AO720" i="1" s="1"/>
  <c r="AP720" i="1" s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T719" i="1"/>
  <c r="AS719" i="1"/>
  <c r="AQ719" i="1"/>
  <c r="AN719" i="1"/>
  <c r="AO719" i="1" s="1"/>
  <c r="AP719" i="1" s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T718" i="1"/>
  <c r="AS718" i="1"/>
  <c r="AQ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T717" i="1"/>
  <c r="AS717" i="1"/>
  <c r="AQ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T716" i="1"/>
  <c r="AS716" i="1"/>
  <c r="AQ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T715" i="1"/>
  <c r="AS715" i="1"/>
  <c r="AQ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T714" i="1"/>
  <c r="AS714" i="1"/>
  <c r="AQ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T713" i="1"/>
  <c r="AS713" i="1"/>
  <c r="AQ713" i="1"/>
  <c r="AN713" i="1"/>
  <c r="AO713" i="1" s="1"/>
  <c r="AP713" i="1" s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T712" i="1"/>
  <c r="AS712" i="1"/>
  <c r="AQ712" i="1"/>
  <c r="AN712" i="1"/>
  <c r="AO712" i="1" s="1"/>
  <c r="AP712" i="1" s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T711" i="1"/>
  <c r="AS711" i="1"/>
  <c r="AQ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T710" i="1"/>
  <c r="AS710" i="1"/>
  <c r="AQ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T709" i="1"/>
  <c r="AS709" i="1"/>
  <c r="AQ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T708" i="1"/>
  <c r="AS708" i="1"/>
  <c r="AQ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T707" i="1"/>
  <c r="AS707" i="1"/>
  <c r="AQ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T706" i="1"/>
  <c r="AS706" i="1"/>
  <c r="AQ706" i="1"/>
  <c r="AN706" i="1"/>
  <c r="AO706" i="1" s="1"/>
  <c r="AP706" i="1" s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T705" i="1"/>
  <c r="AS705" i="1"/>
  <c r="AQ705" i="1"/>
  <c r="AN705" i="1"/>
  <c r="AO705" i="1" s="1"/>
  <c r="AP705" i="1" s="1"/>
  <c r="AM705" i="1"/>
  <c r="AL705" i="1"/>
  <c r="AK705" i="1"/>
  <c r="AJ705" i="1"/>
  <c r="AI705" i="1"/>
  <c r="AH705" i="1"/>
  <c r="AG705" i="1"/>
  <c r="AF705" i="1"/>
  <c r="AE705" i="1"/>
  <c r="AD705" i="1"/>
  <c r="AC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T704" i="1"/>
  <c r="AS704" i="1"/>
  <c r="AQ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T703" i="1"/>
  <c r="AS703" i="1"/>
  <c r="AQ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T702" i="1"/>
  <c r="AS702" i="1"/>
  <c r="AQ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T701" i="1"/>
  <c r="AS701" i="1"/>
  <c r="AQ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T700" i="1"/>
  <c r="AS700" i="1"/>
  <c r="AQ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T699" i="1"/>
  <c r="AS699" i="1"/>
  <c r="AQ699" i="1"/>
  <c r="AN699" i="1"/>
  <c r="AO699" i="1" s="1"/>
  <c r="AP699" i="1" s="1"/>
  <c r="AM699" i="1"/>
  <c r="AL699" i="1"/>
  <c r="AK699" i="1"/>
  <c r="AJ699" i="1"/>
  <c r="AI699" i="1"/>
  <c r="AH699" i="1"/>
  <c r="AG699" i="1"/>
  <c r="AF699" i="1"/>
  <c r="AE699" i="1"/>
  <c r="AD699" i="1"/>
  <c r="AC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T698" i="1"/>
  <c r="AS698" i="1"/>
  <c r="AQ698" i="1"/>
  <c r="AN698" i="1"/>
  <c r="AO698" i="1" s="1"/>
  <c r="AP698" i="1" s="1"/>
  <c r="AM698" i="1"/>
  <c r="AL698" i="1"/>
  <c r="AK698" i="1"/>
  <c r="AJ698" i="1"/>
  <c r="AI698" i="1"/>
  <c r="AH698" i="1"/>
  <c r="AG698" i="1"/>
  <c r="AF698" i="1"/>
  <c r="AE698" i="1"/>
  <c r="AD698" i="1"/>
  <c r="AC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T697" i="1"/>
  <c r="AS697" i="1"/>
  <c r="AQ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T696" i="1"/>
  <c r="AS696" i="1"/>
  <c r="AQ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T695" i="1"/>
  <c r="AS695" i="1"/>
  <c r="AQ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T694" i="1"/>
  <c r="AS694" i="1"/>
  <c r="AQ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T693" i="1"/>
  <c r="AS693" i="1"/>
  <c r="AQ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T692" i="1"/>
  <c r="AS692" i="1"/>
  <c r="AQ692" i="1"/>
  <c r="AN692" i="1"/>
  <c r="AO692" i="1" s="1"/>
  <c r="AP692" i="1" s="1"/>
  <c r="AM692" i="1"/>
  <c r="AL692" i="1"/>
  <c r="AK692" i="1"/>
  <c r="AJ692" i="1"/>
  <c r="AI692" i="1"/>
  <c r="AH692" i="1"/>
  <c r="AG692" i="1"/>
  <c r="AF692" i="1"/>
  <c r="AE692" i="1"/>
  <c r="AD692" i="1"/>
  <c r="AC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T691" i="1"/>
  <c r="AS691" i="1"/>
  <c r="AQ691" i="1"/>
  <c r="AN691" i="1"/>
  <c r="AO691" i="1" s="1"/>
  <c r="AP691" i="1" s="1"/>
  <c r="AM691" i="1"/>
  <c r="AL691" i="1"/>
  <c r="AK691" i="1"/>
  <c r="AJ691" i="1"/>
  <c r="AI691" i="1"/>
  <c r="AH691" i="1"/>
  <c r="AG691" i="1"/>
  <c r="AF691" i="1"/>
  <c r="AE691" i="1"/>
  <c r="AD691" i="1"/>
  <c r="AC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T690" i="1"/>
  <c r="AS690" i="1"/>
  <c r="AQ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T689" i="1"/>
  <c r="AS689" i="1"/>
  <c r="AQ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T688" i="1"/>
  <c r="AS688" i="1"/>
  <c r="AQ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T687" i="1"/>
  <c r="AS687" i="1"/>
  <c r="AQ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T686" i="1"/>
  <c r="AS686" i="1"/>
  <c r="AQ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T685" i="1"/>
  <c r="AS685" i="1"/>
  <c r="AQ685" i="1"/>
  <c r="AN685" i="1"/>
  <c r="AO685" i="1" s="1"/>
  <c r="AP685" i="1" s="1"/>
  <c r="AM685" i="1"/>
  <c r="AL685" i="1"/>
  <c r="AK685" i="1"/>
  <c r="AJ685" i="1"/>
  <c r="AI685" i="1"/>
  <c r="AH685" i="1"/>
  <c r="AG685" i="1"/>
  <c r="AF685" i="1"/>
  <c r="AE685" i="1"/>
  <c r="AD685" i="1"/>
  <c r="AC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T684" i="1"/>
  <c r="AS684" i="1"/>
  <c r="AQ684" i="1"/>
  <c r="AN684" i="1"/>
  <c r="AO684" i="1" s="1"/>
  <c r="AP684" i="1" s="1"/>
  <c r="AM684" i="1"/>
  <c r="AL684" i="1"/>
  <c r="AK684" i="1"/>
  <c r="AJ684" i="1"/>
  <c r="AI684" i="1"/>
  <c r="AH684" i="1"/>
  <c r="AG684" i="1"/>
  <c r="AF684" i="1"/>
  <c r="AE684" i="1"/>
  <c r="AD684" i="1"/>
  <c r="AC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T683" i="1"/>
  <c r="AS683" i="1"/>
  <c r="AQ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T682" i="1"/>
  <c r="AS682" i="1"/>
  <c r="AQ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T681" i="1"/>
  <c r="AS681" i="1"/>
  <c r="AQ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T680" i="1"/>
  <c r="AS680" i="1"/>
  <c r="AQ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T679" i="1"/>
  <c r="AS679" i="1"/>
  <c r="AQ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T678" i="1"/>
  <c r="AS678" i="1"/>
  <c r="AQ678" i="1"/>
  <c r="AN678" i="1"/>
  <c r="AO678" i="1" s="1"/>
  <c r="AP678" i="1" s="1"/>
  <c r="AM678" i="1"/>
  <c r="AL678" i="1"/>
  <c r="AK678" i="1"/>
  <c r="AJ678" i="1"/>
  <c r="AI678" i="1"/>
  <c r="AH678" i="1"/>
  <c r="AG678" i="1"/>
  <c r="AF678" i="1"/>
  <c r="AE678" i="1"/>
  <c r="AD678" i="1"/>
  <c r="AC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T677" i="1"/>
  <c r="AS677" i="1"/>
  <c r="AQ677" i="1"/>
  <c r="AN677" i="1"/>
  <c r="AO677" i="1" s="1"/>
  <c r="AP677" i="1" s="1"/>
  <c r="AM677" i="1"/>
  <c r="AL677" i="1"/>
  <c r="AK677" i="1"/>
  <c r="AJ677" i="1"/>
  <c r="AI677" i="1"/>
  <c r="AH677" i="1"/>
  <c r="AG677" i="1"/>
  <c r="AF677" i="1"/>
  <c r="AE677" i="1"/>
  <c r="AD677" i="1"/>
  <c r="AC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T676" i="1"/>
  <c r="AS676" i="1"/>
  <c r="AQ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T675" i="1"/>
  <c r="AS675" i="1"/>
  <c r="AQ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T674" i="1"/>
  <c r="AS674" i="1"/>
  <c r="AQ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T673" i="1"/>
  <c r="AS673" i="1"/>
  <c r="AQ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T672" i="1"/>
  <c r="AS672" i="1"/>
  <c r="AQ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T671" i="1"/>
  <c r="AS671" i="1"/>
  <c r="AQ671" i="1"/>
  <c r="AN671" i="1"/>
  <c r="AO671" i="1" s="1"/>
  <c r="AP671" i="1" s="1"/>
  <c r="AM671" i="1"/>
  <c r="AL671" i="1"/>
  <c r="AK671" i="1"/>
  <c r="AJ671" i="1"/>
  <c r="AI671" i="1"/>
  <c r="AH671" i="1"/>
  <c r="AG671" i="1"/>
  <c r="AF671" i="1"/>
  <c r="AE671" i="1"/>
  <c r="AD671" i="1"/>
  <c r="AC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T670" i="1"/>
  <c r="AS670" i="1"/>
  <c r="AQ670" i="1"/>
  <c r="AN670" i="1"/>
  <c r="AO670" i="1" s="1"/>
  <c r="AP670" i="1" s="1"/>
  <c r="AM670" i="1"/>
  <c r="AL670" i="1"/>
  <c r="AK670" i="1"/>
  <c r="AJ670" i="1"/>
  <c r="AI670" i="1"/>
  <c r="AH670" i="1"/>
  <c r="AG670" i="1"/>
  <c r="AF670" i="1"/>
  <c r="AE670" i="1"/>
  <c r="AD670" i="1"/>
  <c r="AC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T669" i="1"/>
  <c r="AS669" i="1"/>
  <c r="AQ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T668" i="1"/>
  <c r="AS668" i="1"/>
  <c r="AQ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T667" i="1"/>
  <c r="AS667" i="1"/>
  <c r="AQ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T666" i="1"/>
  <c r="AS666" i="1"/>
  <c r="AQ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T665" i="1"/>
  <c r="AS665" i="1"/>
  <c r="AQ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T664" i="1"/>
  <c r="AS664" i="1"/>
  <c r="AQ664" i="1"/>
  <c r="AN664" i="1"/>
  <c r="AO664" i="1" s="1"/>
  <c r="AP664" i="1" s="1"/>
  <c r="AM664" i="1"/>
  <c r="AL664" i="1"/>
  <c r="AK664" i="1"/>
  <c r="AJ664" i="1"/>
  <c r="AI664" i="1"/>
  <c r="AH664" i="1"/>
  <c r="AG664" i="1"/>
  <c r="AF664" i="1"/>
  <c r="AE664" i="1"/>
  <c r="AD664" i="1"/>
  <c r="AC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T663" i="1"/>
  <c r="AS663" i="1"/>
  <c r="AQ663" i="1"/>
  <c r="AN663" i="1"/>
  <c r="AO663" i="1" s="1"/>
  <c r="AP663" i="1" s="1"/>
  <c r="AM663" i="1"/>
  <c r="AL663" i="1"/>
  <c r="AK663" i="1"/>
  <c r="AJ663" i="1"/>
  <c r="AI663" i="1"/>
  <c r="AH663" i="1"/>
  <c r="AG663" i="1"/>
  <c r="AF663" i="1"/>
  <c r="AE663" i="1"/>
  <c r="AD663" i="1"/>
  <c r="AC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T662" i="1"/>
  <c r="AS662" i="1"/>
  <c r="AQ662" i="1"/>
  <c r="AN662" i="1"/>
  <c r="AO662" i="1" s="1"/>
  <c r="AP662" i="1" s="1"/>
  <c r="AM662" i="1"/>
  <c r="AL662" i="1"/>
  <c r="AK662" i="1"/>
  <c r="AJ662" i="1"/>
  <c r="AI662" i="1"/>
  <c r="AH662" i="1"/>
  <c r="AG662" i="1"/>
  <c r="AF662" i="1"/>
  <c r="AE662" i="1"/>
  <c r="AD662" i="1"/>
  <c r="AC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T661" i="1"/>
  <c r="AS661" i="1"/>
  <c r="AQ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T660" i="1"/>
  <c r="AS660" i="1"/>
  <c r="AQ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T659" i="1"/>
  <c r="AS659" i="1"/>
  <c r="AQ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T658" i="1"/>
  <c r="AS658" i="1"/>
  <c r="AQ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T657" i="1"/>
  <c r="AS657" i="1"/>
  <c r="AQ657" i="1"/>
  <c r="AN657" i="1"/>
  <c r="AO657" i="1" s="1"/>
  <c r="AP657" i="1" s="1"/>
  <c r="AM657" i="1"/>
  <c r="AL657" i="1"/>
  <c r="AK657" i="1"/>
  <c r="AJ657" i="1"/>
  <c r="AI657" i="1"/>
  <c r="AH657" i="1"/>
  <c r="AG657" i="1"/>
  <c r="AF657" i="1"/>
  <c r="AE657" i="1"/>
  <c r="AD657" i="1"/>
  <c r="AC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T656" i="1"/>
  <c r="AS656" i="1"/>
  <c r="AQ656" i="1"/>
  <c r="AN656" i="1"/>
  <c r="AO656" i="1" s="1"/>
  <c r="AP656" i="1" s="1"/>
  <c r="AM656" i="1"/>
  <c r="AL656" i="1"/>
  <c r="AK656" i="1"/>
  <c r="AJ656" i="1"/>
  <c r="AI656" i="1"/>
  <c r="AH656" i="1"/>
  <c r="AG656" i="1"/>
  <c r="AF656" i="1"/>
  <c r="AE656" i="1"/>
  <c r="AD656" i="1"/>
  <c r="AC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T655" i="1"/>
  <c r="AS655" i="1"/>
  <c r="AQ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T654" i="1"/>
  <c r="AS654" i="1"/>
  <c r="AQ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T653" i="1"/>
  <c r="AS653" i="1"/>
  <c r="AQ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T652" i="1"/>
  <c r="AS652" i="1"/>
  <c r="AQ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T651" i="1"/>
  <c r="AS651" i="1"/>
  <c r="AQ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T650" i="1"/>
  <c r="AS650" i="1"/>
  <c r="AQ650" i="1"/>
  <c r="AN650" i="1"/>
  <c r="AO650" i="1" s="1"/>
  <c r="AP650" i="1" s="1"/>
  <c r="AM650" i="1"/>
  <c r="AL650" i="1"/>
  <c r="AK650" i="1"/>
  <c r="AJ650" i="1"/>
  <c r="AI650" i="1"/>
  <c r="AH650" i="1"/>
  <c r="AG650" i="1"/>
  <c r="AF650" i="1"/>
  <c r="AE650" i="1"/>
  <c r="AD650" i="1"/>
  <c r="AC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T649" i="1"/>
  <c r="AS649" i="1"/>
  <c r="AQ649" i="1"/>
  <c r="AN649" i="1"/>
  <c r="AO649" i="1" s="1"/>
  <c r="AP649" i="1" s="1"/>
  <c r="AM649" i="1"/>
  <c r="AL649" i="1"/>
  <c r="AK649" i="1"/>
  <c r="AJ649" i="1"/>
  <c r="AI649" i="1"/>
  <c r="AH649" i="1"/>
  <c r="AG649" i="1"/>
  <c r="AF649" i="1"/>
  <c r="AE649" i="1"/>
  <c r="AD649" i="1"/>
  <c r="AC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T648" i="1"/>
  <c r="AS648" i="1"/>
  <c r="AQ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T647" i="1"/>
  <c r="AS647" i="1"/>
  <c r="AQ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T646" i="1"/>
  <c r="AS646" i="1"/>
  <c r="AQ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T645" i="1"/>
  <c r="AS645" i="1"/>
  <c r="AQ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T644" i="1"/>
  <c r="AS644" i="1"/>
  <c r="AQ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T643" i="1"/>
  <c r="AS643" i="1"/>
  <c r="AQ643" i="1"/>
  <c r="AN643" i="1"/>
  <c r="AO643" i="1" s="1"/>
  <c r="AP643" i="1" s="1"/>
  <c r="AM643" i="1"/>
  <c r="AL643" i="1"/>
  <c r="AK643" i="1"/>
  <c r="AJ643" i="1"/>
  <c r="AI643" i="1"/>
  <c r="AH643" i="1"/>
  <c r="AG643" i="1"/>
  <c r="AF643" i="1"/>
  <c r="AE643" i="1"/>
  <c r="AD643" i="1"/>
  <c r="AC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T642" i="1"/>
  <c r="AS642" i="1"/>
  <c r="AQ642" i="1"/>
  <c r="AN642" i="1"/>
  <c r="AO642" i="1" s="1"/>
  <c r="AP642" i="1" s="1"/>
  <c r="AM642" i="1"/>
  <c r="AL642" i="1"/>
  <c r="AK642" i="1"/>
  <c r="AJ642" i="1"/>
  <c r="AI642" i="1"/>
  <c r="AH642" i="1"/>
  <c r="AG642" i="1"/>
  <c r="AF642" i="1"/>
  <c r="AE642" i="1"/>
  <c r="AD642" i="1"/>
  <c r="AC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T641" i="1"/>
  <c r="AS641" i="1"/>
  <c r="AQ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T640" i="1"/>
  <c r="AS640" i="1"/>
  <c r="AQ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T639" i="1"/>
  <c r="AS639" i="1"/>
  <c r="AQ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T638" i="1"/>
  <c r="AS638" i="1"/>
  <c r="AQ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T637" i="1"/>
  <c r="AS637" i="1"/>
  <c r="AQ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T636" i="1"/>
  <c r="AS636" i="1"/>
  <c r="AQ636" i="1"/>
  <c r="AN636" i="1"/>
  <c r="AO636" i="1" s="1"/>
  <c r="AP636" i="1" s="1"/>
  <c r="AM636" i="1"/>
  <c r="AL636" i="1"/>
  <c r="AK636" i="1"/>
  <c r="AJ636" i="1"/>
  <c r="AI636" i="1"/>
  <c r="AH636" i="1"/>
  <c r="AG636" i="1"/>
  <c r="AF636" i="1"/>
  <c r="AE636" i="1"/>
  <c r="AD636" i="1"/>
  <c r="AC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T635" i="1"/>
  <c r="AS635" i="1"/>
  <c r="AQ635" i="1"/>
  <c r="AN635" i="1"/>
  <c r="AO635" i="1" s="1"/>
  <c r="AP635" i="1" s="1"/>
  <c r="AM635" i="1"/>
  <c r="AL635" i="1"/>
  <c r="AK635" i="1"/>
  <c r="AJ635" i="1"/>
  <c r="AI635" i="1"/>
  <c r="AH635" i="1"/>
  <c r="AG635" i="1"/>
  <c r="AF635" i="1"/>
  <c r="AE635" i="1"/>
  <c r="AD635" i="1"/>
  <c r="AC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T634" i="1"/>
  <c r="AS634" i="1"/>
  <c r="AQ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T633" i="1"/>
  <c r="AS633" i="1"/>
  <c r="AQ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T632" i="1"/>
  <c r="AS632" i="1"/>
  <c r="AQ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T631" i="1"/>
  <c r="AS631" i="1"/>
  <c r="AQ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T630" i="1"/>
  <c r="AS630" i="1"/>
  <c r="AQ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T629" i="1"/>
  <c r="AS629" i="1"/>
  <c r="AQ629" i="1"/>
  <c r="AN629" i="1"/>
  <c r="AO629" i="1" s="1"/>
  <c r="AP629" i="1" s="1"/>
  <c r="AM629" i="1"/>
  <c r="AL629" i="1"/>
  <c r="AK629" i="1"/>
  <c r="AJ629" i="1"/>
  <c r="AI629" i="1"/>
  <c r="AH629" i="1"/>
  <c r="AG629" i="1"/>
  <c r="AF629" i="1"/>
  <c r="AE629" i="1"/>
  <c r="AD629" i="1"/>
  <c r="AC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T628" i="1"/>
  <c r="AS628" i="1"/>
  <c r="AQ628" i="1"/>
  <c r="AN628" i="1"/>
  <c r="AO628" i="1" s="1"/>
  <c r="AP628" i="1" s="1"/>
  <c r="AM628" i="1"/>
  <c r="AL628" i="1"/>
  <c r="AK628" i="1"/>
  <c r="AJ628" i="1"/>
  <c r="AI628" i="1"/>
  <c r="AH628" i="1"/>
  <c r="AG628" i="1"/>
  <c r="AF628" i="1"/>
  <c r="AE628" i="1"/>
  <c r="AD628" i="1"/>
  <c r="AC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T627" i="1"/>
  <c r="AS627" i="1"/>
  <c r="AQ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T626" i="1"/>
  <c r="AS626" i="1"/>
  <c r="AQ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T625" i="1"/>
  <c r="AS625" i="1"/>
  <c r="AQ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T624" i="1"/>
  <c r="AS624" i="1"/>
  <c r="AQ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T623" i="1"/>
  <c r="AS623" i="1"/>
  <c r="AQ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T622" i="1"/>
  <c r="AS622" i="1"/>
  <c r="AQ622" i="1"/>
  <c r="AN622" i="1"/>
  <c r="AO622" i="1" s="1"/>
  <c r="AP622" i="1" s="1"/>
  <c r="AM622" i="1"/>
  <c r="AL622" i="1"/>
  <c r="AK622" i="1"/>
  <c r="AJ622" i="1"/>
  <c r="AI622" i="1"/>
  <c r="AH622" i="1"/>
  <c r="AG622" i="1"/>
  <c r="AF622" i="1"/>
  <c r="AE622" i="1"/>
  <c r="AD622" i="1"/>
  <c r="AC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T621" i="1"/>
  <c r="AS621" i="1"/>
  <c r="AQ621" i="1"/>
  <c r="AN621" i="1"/>
  <c r="AO621" i="1" s="1"/>
  <c r="AP621" i="1" s="1"/>
  <c r="AM621" i="1"/>
  <c r="AL621" i="1"/>
  <c r="AK621" i="1"/>
  <c r="AJ621" i="1"/>
  <c r="AI621" i="1"/>
  <c r="AH621" i="1"/>
  <c r="AG621" i="1"/>
  <c r="AF621" i="1"/>
  <c r="AE621" i="1"/>
  <c r="AD621" i="1"/>
  <c r="AC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T620" i="1"/>
  <c r="AS620" i="1"/>
  <c r="AQ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T619" i="1"/>
  <c r="AS619" i="1"/>
  <c r="AQ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T618" i="1"/>
  <c r="AS618" i="1"/>
  <c r="AQ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T617" i="1"/>
  <c r="AS617" i="1"/>
  <c r="AQ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T616" i="1"/>
  <c r="AS616" i="1"/>
  <c r="AQ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T615" i="1"/>
  <c r="AS615" i="1"/>
  <c r="AQ615" i="1"/>
  <c r="AN615" i="1"/>
  <c r="AO615" i="1" s="1"/>
  <c r="AP615" i="1" s="1"/>
  <c r="AM615" i="1"/>
  <c r="AL615" i="1"/>
  <c r="AK615" i="1"/>
  <c r="AJ615" i="1"/>
  <c r="AI615" i="1"/>
  <c r="AH615" i="1"/>
  <c r="AG615" i="1"/>
  <c r="AF615" i="1"/>
  <c r="AE615" i="1"/>
  <c r="AD615" i="1"/>
  <c r="AC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T614" i="1"/>
  <c r="AS614" i="1"/>
  <c r="AQ614" i="1"/>
  <c r="AN614" i="1"/>
  <c r="AO614" i="1" s="1"/>
  <c r="AP614" i="1" s="1"/>
  <c r="AM614" i="1"/>
  <c r="AL614" i="1"/>
  <c r="AK614" i="1"/>
  <c r="AJ614" i="1"/>
  <c r="AI614" i="1"/>
  <c r="AH614" i="1"/>
  <c r="AG614" i="1"/>
  <c r="AF614" i="1"/>
  <c r="AE614" i="1"/>
  <c r="AD614" i="1"/>
  <c r="AC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T613" i="1"/>
  <c r="AS613" i="1"/>
  <c r="AQ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T612" i="1"/>
  <c r="AS612" i="1"/>
  <c r="AQ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T611" i="1"/>
  <c r="AS611" i="1"/>
  <c r="AQ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T610" i="1"/>
  <c r="AS610" i="1"/>
  <c r="AQ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T609" i="1"/>
  <c r="AS609" i="1"/>
  <c r="AQ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T608" i="1"/>
  <c r="AS608" i="1"/>
  <c r="AQ608" i="1"/>
  <c r="AN608" i="1"/>
  <c r="AO608" i="1" s="1"/>
  <c r="AP608" i="1" s="1"/>
  <c r="AM608" i="1"/>
  <c r="AL608" i="1"/>
  <c r="AK608" i="1"/>
  <c r="AJ608" i="1"/>
  <c r="AI608" i="1"/>
  <c r="AH608" i="1"/>
  <c r="AG608" i="1"/>
  <c r="AF608" i="1"/>
  <c r="AE608" i="1"/>
  <c r="AD608" i="1"/>
  <c r="AC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T607" i="1"/>
  <c r="AS607" i="1"/>
  <c r="AQ607" i="1"/>
  <c r="AN607" i="1"/>
  <c r="AO607" i="1" s="1"/>
  <c r="AP607" i="1" s="1"/>
  <c r="AM607" i="1"/>
  <c r="AL607" i="1"/>
  <c r="AK607" i="1"/>
  <c r="AJ607" i="1"/>
  <c r="AI607" i="1"/>
  <c r="AH607" i="1"/>
  <c r="AG607" i="1"/>
  <c r="AF607" i="1"/>
  <c r="AE607" i="1"/>
  <c r="AD607" i="1"/>
  <c r="AC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T606" i="1"/>
  <c r="AS606" i="1"/>
  <c r="AQ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T605" i="1"/>
  <c r="AS605" i="1"/>
  <c r="AQ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T604" i="1"/>
  <c r="AS604" i="1"/>
  <c r="AQ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T603" i="1"/>
  <c r="AS603" i="1"/>
  <c r="AQ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T602" i="1"/>
  <c r="AS602" i="1"/>
  <c r="AQ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T601" i="1"/>
  <c r="AS601" i="1"/>
  <c r="AQ601" i="1"/>
  <c r="AN601" i="1"/>
  <c r="AO601" i="1" s="1"/>
  <c r="AP601" i="1" s="1"/>
  <c r="AM601" i="1"/>
  <c r="AL601" i="1"/>
  <c r="AK601" i="1"/>
  <c r="AJ601" i="1"/>
  <c r="AI601" i="1"/>
  <c r="AH601" i="1"/>
  <c r="AG601" i="1"/>
  <c r="AF601" i="1"/>
  <c r="AE601" i="1"/>
  <c r="AD601" i="1"/>
  <c r="AC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T600" i="1"/>
  <c r="AS600" i="1"/>
  <c r="AQ600" i="1"/>
  <c r="AN600" i="1"/>
  <c r="AO600" i="1" s="1"/>
  <c r="AP600" i="1" s="1"/>
  <c r="AM600" i="1"/>
  <c r="AL600" i="1"/>
  <c r="AK600" i="1"/>
  <c r="AJ600" i="1"/>
  <c r="AI600" i="1"/>
  <c r="AH600" i="1"/>
  <c r="AG600" i="1"/>
  <c r="AF600" i="1"/>
  <c r="AE600" i="1"/>
  <c r="AD600" i="1"/>
  <c r="AC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T599" i="1"/>
  <c r="AS599" i="1"/>
  <c r="AQ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T598" i="1"/>
  <c r="AS598" i="1"/>
  <c r="AQ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T597" i="1"/>
  <c r="AS597" i="1"/>
  <c r="AQ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T596" i="1"/>
  <c r="AS596" i="1"/>
  <c r="AQ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T595" i="1"/>
  <c r="AS595" i="1"/>
  <c r="AQ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T594" i="1"/>
  <c r="AS594" i="1"/>
  <c r="AQ594" i="1"/>
  <c r="AN594" i="1"/>
  <c r="AO594" i="1" s="1"/>
  <c r="AP594" i="1" s="1"/>
  <c r="AM594" i="1"/>
  <c r="AL594" i="1"/>
  <c r="AK594" i="1"/>
  <c r="AJ594" i="1"/>
  <c r="AI594" i="1"/>
  <c r="AH594" i="1"/>
  <c r="AG594" i="1"/>
  <c r="AF594" i="1"/>
  <c r="AE594" i="1"/>
  <c r="AD594" i="1"/>
  <c r="AC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T593" i="1"/>
  <c r="AS593" i="1"/>
  <c r="AQ593" i="1"/>
  <c r="AN593" i="1"/>
  <c r="AO593" i="1" s="1"/>
  <c r="AP593" i="1" s="1"/>
  <c r="AM593" i="1"/>
  <c r="AL593" i="1"/>
  <c r="AK593" i="1"/>
  <c r="AJ593" i="1"/>
  <c r="AI593" i="1"/>
  <c r="AH593" i="1"/>
  <c r="AG593" i="1"/>
  <c r="AF593" i="1"/>
  <c r="AE593" i="1"/>
  <c r="AD593" i="1"/>
  <c r="AC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T592" i="1"/>
  <c r="AS592" i="1"/>
  <c r="AQ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T591" i="1"/>
  <c r="AS591" i="1"/>
  <c r="AQ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T590" i="1"/>
  <c r="AS590" i="1"/>
  <c r="AQ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T589" i="1"/>
  <c r="AS589" i="1"/>
  <c r="AQ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T588" i="1"/>
  <c r="AS588" i="1"/>
  <c r="AQ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T587" i="1"/>
  <c r="AS587" i="1"/>
  <c r="AQ587" i="1"/>
  <c r="AN587" i="1"/>
  <c r="AO587" i="1" s="1"/>
  <c r="AP587" i="1" s="1"/>
  <c r="AM587" i="1"/>
  <c r="AL587" i="1"/>
  <c r="AK587" i="1"/>
  <c r="AJ587" i="1"/>
  <c r="AI587" i="1"/>
  <c r="AH587" i="1"/>
  <c r="AG587" i="1"/>
  <c r="AF587" i="1"/>
  <c r="AE587" i="1"/>
  <c r="AD587" i="1"/>
  <c r="AC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T586" i="1"/>
  <c r="AS586" i="1"/>
  <c r="AQ586" i="1"/>
  <c r="AN586" i="1"/>
  <c r="AO586" i="1" s="1"/>
  <c r="AP586" i="1" s="1"/>
  <c r="AM586" i="1"/>
  <c r="AL586" i="1"/>
  <c r="AK586" i="1"/>
  <c r="AJ586" i="1"/>
  <c r="AI586" i="1"/>
  <c r="AH586" i="1"/>
  <c r="AG586" i="1"/>
  <c r="AF586" i="1"/>
  <c r="AE586" i="1"/>
  <c r="AD586" i="1"/>
  <c r="AC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T585" i="1"/>
  <c r="AS585" i="1"/>
  <c r="AQ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T584" i="1"/>
  <c r="AS584" i="1"/>
  <c r="AQ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T583" i="1"/>
  <c r="AS583" i="1"/>
  <c r="AQ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T582" i="1"/>
  <c r="AS582" i="1"/>
  <c r="AQ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T581" i="1"/>
  <c r="AS581" i="1"/>
  <c r="AQ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T580" i="1"/>
  <c r="AS580" i="1"/>
  <c r="AQ580" i="1"/>
  <c r="AN580" i="1"/>
  <c r="AO580" i="1" s="1"/>
  <c r="AP580" i="1" s="1"/>
  <c r="AM580" i="1"/>
  <c r="AL580" i="1"/>
  <c r="AK580" i="1"/>
  <c r="AJ580" i="1"/>
  <c r="AI580" i="1"/>
  <c r="AH580" i="1"/>
  <c r="AG580" i="1"/>
  <c r="AF580" i="1"/>
  <c r="AE580" i="1"/>
  <c r="AD580" i="1"/>
  <c r="AC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T579" i="1"/>
  <c r="AS579" i="1"/>
  <c r="AQ579" i="1"/>
  <c r="AN579" i="1"/>
  <c r="AO579" i="1" s="1"/>
  <c r="AP579" i="1" s="1"/>
  <c r="AM579" i="1"/>
  <c r="AL579" i="1"/>
  <c r="AK579" i="1"/>
  <c r="AJ579" i="1"/>
  <c r="AI579" i="1"/>
  <c r="AH579" i="1"/>
  <c r="AG579" i="1"/>
  <c r="AF579" i="1"/>
  <c r="AE579" i="1"/>
  <c r="AD579" i="1"/>
  <c r="AC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T578" i="1"/>
  <c r="AS578" i="1"/>
  <c r="AQ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T577" i="1"/>
  <c r="AS577" i="1"/>
  <c r="AQ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T576" i="1"/>
  <c r="AS576" i="1"/>
  <c r="AQ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T575" i="1"/>
  <c r="AS575" i="1"/>
  <c r="AQ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T574" i="1"/>
  <c r="AS574" i="1"/>
  <c r="AQ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T573" i="1"/>
  <c r="AS573" i="1"/>
  <c r="AQ573" i="1"/>
  <c r="AN573" i="1"/>
  <c r="AO573" i="1" s="1"/>
  <c r="AP573" i="1" s="1"/>
  <c r="AM573" i="1"/>
  <c r="AL573" i="1"/>
  <c r="AK573" i="1"/>
  <c r="AJ573" i="1"/>
  <c r="AI573" i="1"/>
  <c r="AH573" i="1"/>
  <c r="AG573" i="1"/>
  <c r="AF573" i="1"/>
  <c r="AE573" i="1"/>
  <c r="AD573" i="1"/>
  <c r="AC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T572" i="1"/>
  <c r="AS572" i="1"/>
  <c r="AQ572" i="1"/>
  <c r="AN572" i="1"/>
  <c r="AO572" i="1" s="1"/>
  <c r="AP572" i="1" s="1"/>
  <c r="AM572" i="1"/>
  <c r="AL572" i="1"/>
  <c r="AK572" i="1"/>
  <c r="AJ572" i="1"/>
  <c r="AI572" i="1"/>
  <c r="AH572" i="1"/>
  <c r="AG572" i="1"/>
  <c r="AF572" i="1"/>
  <c r="AE572" i="1"/>
  <c r="AD572" i="1"/>
  <c r="AC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T571" i="1"/>
  <c r="AS571" i="1"/>
  <c r="AQ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T570" i="1"/>
  <c r="AS570" i="1"/>
  <c r="AQ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T569" i="1"/>
  <c r="AS569" i="1"/>
  <c r="AQ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T568" i="1"/>
  <c r="AS568" i="1"/>
  <c r="AQ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T567" i="1"/>
  <c r="AS567" i="1"/>
  <c r="AQ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T566" i="1"/>
  <c r="AS566" i="1"/>
  <c r="AQ566" i="1"/>
  <c r="AN566" i="1"/>
  <c r="AO566" i="1" s="1"/>
  <c r="AP566" i="1" s="1"/>
  <c r="AM566" i="1"/>
  <c r="AL566" i="1"/>
  <c r="AK566" i="1"/>
  <c r="AJ566" i="1"/>
  <c r="AI566" i="1"/>
  <c r="AH566" i="1"/>
  <c r="AG566" i="1"/>
  <c r="AF566" i="1"/>
  <c r="AE566" i="1"/>
  <c r="AD566" i="1"/>
  <c r="AC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T565" i="1"/>
  <c r="AS565" i="1"/>
  <c r="AQ565" i="1"/>
  <c r="AN565" i="1"/>
  <c r="AO565" i="1" s="1"/>
  <c r="AP565" i="1" s="1"/>
  <c r="AM565" i="1"/>
  <c r="AL565" i="1"/>
  <c r="AK565" i="1"/>
  <c r="AJ565" i="1"/>
  <c r="AI565" i="1"/>
  <c r="AH565" i="1"/>
  <c r="AG565" i="1"/>
  <c r="AF565" i="1"/>
  <c r="AE565" i="1"/>
  <c r="AD565" i="1"/>
  <c r="AC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T564" i="1"/>
  <c r="AS564" i="1"/>
  <c r="AQ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T563" i="1"/>
  <c r="AS563" i="1"/>
  <c r="AQ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T562" i="1"/>
  <c r="AS562" i="1"/>
  <c r="AQ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T561" i="1"/>
  <c r="AS561" i="1"/>
  <c r="AQ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T560" i="1"/>
  <c r="AS560" i="1"/>
  <c r="AQ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T559" i="1"/>
  <c r="AS559" i="1"/>
  <c r="AQ559" i="1"/>
  <c r="AN559" i="1"/>
  <c r="AO559" i="1" s="1"/>
  <c r="AP559" i="1" s="1"/>
  <c r="AM559" i="1"/>
  <c r="AL559" i="1"/>
  <c r="AK559" i="1"/>
  <c r="AJ559" i="1"/>
  <c r="AI559" i="1"/>
  <c r="AH559" i="1"/>
  <c r="AG559" i="1"/>
  <c r="AF559" i="1"/>
  <c r="AE559" i="1"/>
  <c r="AD559" i="1"/>
  <c r="AC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T558" i="1"/>
  <c r="AS558" i="1"/>
  <c r="AQ558" i="1"/>
  <c r="AN558" i="1"/>
  <c r="AO558" i="1" s="1"/>
  <c r="AP558" i="1" s="1"/>
  <c r="AM558" i="1"/>
  <c r="AL558" i="1"/>
  <c r="AK558" i="1"/>
  <c r="AJ558" i="1"/>
  <c r="AI558" i="1"/>
  <c r="AH558" i="1"/>
  <c r="AG558" i="1"/>
  <c r="AF558" i="1"/>
  <c r="AE558" i="1"/>
  <c r="AD558" i="1"/>
  <c r="AC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T557" i="1"/>
  <c r="AS557" i="1"/>
  <c r="AQ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T556" i="1"/>
  <c r="AS556" i="1"/>
  <c r="AQ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T555" i="1"/>
  <c r="AS555" i="1"/>
  <c r="AQ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T554" i="1"/>
  <c r="AS554" i="1"/>
  <c r="AQ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T553" i="1"/>
  <c r="AS553" i="1"/>
  <c r="AQ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T552" i="1"/>
  <c r="AS552" i="1"/>
  <c r="AQ552" i="1"/>
  <c r="AN552" i="1"/>
  <c r="AO552" i="1" s="1"/>
  <c r="AP552" i="1" s="1"/>
  <c r="AM552" i="1"/>
  <c r="AL552" i="1"/>
  <c r="AK552" i="1"/>
  <c r="AJ552" i="1"/>
  <c r="AI552" i="1"/>
  <c r="AH552" i="1"/>
  <c r="AG552" i="1"/>
  <c r="AF552" i="1"/>
  <c r="AE552" i="1"/>
  <c r="AD552" i="1"/>
  <c r="AC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T551" i="1"/>
  <c r="AS551" i="1"/>
  <c r="AQ551" i="1"/>
  <c r="AN551" i="1"/>
  <c r="AO551" i="1" s="1"/>
  <c r="AP551" i="1" s="1"/>
  <c r="AM551" i="1"/>
  <c r="AL551" i="1"/>
  <c r="AK551" i="1"/>
  <c r="AJ551" i="1"/>
  <c r="AI551" i="1"/>
  <c r="AH551" i="1"/>
  <c r="AG551" i="1"/>
  <c r="AF551" i="1"/>
  <c r="AE551" i="1"/>
  <c r="AD551" i="1"/>
  <c r="AC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T550" i="1"/>
  <c r="AS550" i="1"/>
  <c r="AQ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T549" i="1"/>
  <c r="AS549" i="1"/>
  <c r="AQ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T548" i="1"/>
  <c r="AS548" i="1"/>
  <c r="AQ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T547" i="1"/>
  <c r="AS547" i="1"/>
  <c r="AQ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T546" i="1"/>
  <c r="AS546" i="1"/>
  <c r="AQ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T545" i="1"/>
  <c r="AS545" i="1"/>
  <c r="AQ545" i="1"/>
  <c r="AN545" i="1"/>
  <c r="AO545" i="1" s="1"/>
  <c r="AP545" i="1" s="1"/>
  <c r="AM545" i="1"/>
  <c r="AL545" i="1"/>
  <c r="AK545" i="1"/>
  <c r="AJ545" i="1"/>
  <c r="AI545" i="1"/>
  <c r="AH545" i="1"/>
  <c r="AG545" i="1"/>
  <c r="AF545" i="1"/>
  <c r="AE545" i="1"/>
  <c r="AD545" i="1"/>
  <c r="AC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T544" i="1"/>
  <c r="AS544" i="1"/>
  <c r="AQ544" i="1"/>
  <c r="AN544" i="1"/>
  <c r="AO544" i="1" s="1"/>
  <c r="AP544" i="1" s="1"/>
  <c r="AM544" i="1"/>
  <c r="AL544" i="1"/>
  <c r="AK544" i="1"/>
  <c r="AJ544" i="1"/>
  <c r="AI544" i="1"/>
  <c r="AH544" i="1"/>
  <c r="AG544" i="1"/>
  <c r="AF544" i="1"/>
  <c r="AE544" i="1"/>
  <c r="AD544" i="1"/>
  <c r="AC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T543" i="1"/>
  <c r="AS543" i="1"/>
  <c r="AQ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T542" i="1"/>
  <c r="AS542" i="1"/>
  <c r="AQ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T541" i="1"/>
  <c r="AS541" i="1"/>
  <c r="AQ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T540" i="1"/>
  <c r="AS540" i="1"/>
  <c r="AQ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T539" i="1"/>
  <c r="AS539" i="1"/>
  <c r="AQ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T538" i="1"/>
  <c r="AS538" i="1"/>
  <c r="AQ538" i="1"/>
  <c r="AN538" i="1"/>
  <c r="AO538" i="1" s="1"/>
  <c r="AP538" i="1" s="1"/>
  <c r="AM538" i="1"/>
  <c r="AL538" i="1"/>
  <c r="AK538" i="1"/>
  <c r="AJ538" i="1"/>
  <c r="AI538" i="1"/>
  <c r="AH538" i="1"/>
  <c r="AG538" i="1"/>
  <c r="AF538" i="1"/>
  <c r="AE538" i="1"/>
  <c r="AD538" i="1"/>
  <c r="AC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T537" i="1"/>
  <c r="AS537" i="1"/>
  <c r="AQ537" i="1"/>
  <c r="AN537" i="1"/>
  <c r="AO537" i="1" s="1"/>
  <c r="AP537" i="1" s="1"/>
  <c r="AM537" i="1"/>
  <c r="AL537" i="1"/>
  <c r="AK537" i="1"/>
  <c r="AJ537" i="1"/>
  <c r="AI537" i="1"/>
  <c r="AH537" i="1"/>
  <c r="AG537" i="1"/>
  <c r="AF537" i="1"/>
  <c r="AE537" i="1"/>
  <c r="AD537" i="1"/>
  <c r="AC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T536" i="1"/>
  <c r="AS536" i="1"/>
  <c r="AQ536" i="1"/>
  <c r="AN536" i="1"/>
  <c r="AO536" i="1" s="1"/>
  <c r="AP536" i="1" s="1"/>
  <c r="AM536" i="1"/>
  <c r="AL536" i="1"/>
  <c r="AK536" i="1"/>
  <c r="AJ536" i="1"/>
  <c r="AI536" i="1"/>
  <c r="AH536" i="1"/>
  <c r="AG536" i="1"/>
  <c r="AF536" i="1"/>
  <c r="AE536" i="1"/>
  <c r="AD536" i="1"/>
  <c r="AC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T535" i="1"/>
  <c r="AS535" i="1"/>
  <c r="AQ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T534" i="1"/>
  <c r="AS534" i="1"/>
  <c r="AQ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T533" i="1"/>
  <c r="AS533" i="1"/>
  <c r="AQ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T532" i="1"/>
  <c r="AS532" i="1"/>
  <c r="AQ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T531" i="1"/>
  <c r="AS531" i="1"/>
  <c r="AQ531" i="1"/>
  <c r="AN531" i="1"/>
  <c r="AO531" i="1" s="1"/>
  <c r="AP531" i="1" s="1"/>
  <c r="AM531" i="1"/>
  <c r="AL531" i="1"/>
  <c r="AK531" i="1"/>
  <c r="AJ531" i="1"/>
  <c r="AI531" i="1"/>
  <c r="AH531" i="1"/>
  <c r="AG531" i="1"/>
  <c r="AF531" i="1"/>
  <c r="AE531" i="1"/>
  <c r="AD531" i="1"/>
  <c r="AC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T530" i="1"/>
  <c r="AS530" i="1"/>
  <c r="AQ530" i="1"/>
  <c r="AN530" i="1"/>
  <c r="AO530" i="1" s="1"/>
  <c r="AP530" i="1" s="1"/>
  <c r="AM530" i="1"/>
  <c r="AL530" i="1"/>
  <c r="AK530" i="1"/>
  <c r="AJ530" i="1"/>
  <c r="AI530" i="1"/>
  <c r="AH530" i="1"/>
  <c r="AG530" i="1"/>
  <c r="AF530" i="1"/>
  <c r="AE530" i="1"/>
  <c r="AD530" i="1"/>
  <c r="AC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T529" i="1"/>
  <c r="AS529" i="1"/>
  <c r="AQ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T528" i="1"/>
  <c r="AS528" i="1"/>
  <c r="AQ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T527" i="1"/>
  <c r="AS527" i="1"/>
  <c r="AQ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T526" i="1"/>
  <c r="AS526" i="1"/>
  <c r="AQ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T525" i="1"/>
  <c r="AS525" i="1"/>
  <c r="AQ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T524" i="1"/>
  <c r="AS524" i="1"/>
  <c r="AQ524" i="1"/>
  <c r="AN524" i="1"/>
  <c r="AO524" i="1" s="1"/>
  <c r="AP524" i="1" s="1"/>
  <c r="AM524" i="1"/>
  <c r="AL524" i="1"/>
  <c r="AK524" i="1"/>
  <c r="AJ524" i="1"/>
  <c r="AI524" i="1"/>
  <c r="AH524" i="1"/>
  <c r="AG524" i="1"/>
  <c r="AF524" i="1"/>
  <c r="AE524" i="1"/>
  <c r="AD524" i="1"/>
  <c r="AC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T523" i="1"/>
  <c r="AS523" i="1"/>
  <c r="AQ523" i="1"/>
  <c r="AN523" i="1"/>
  <c r="AO523" i="1" s="1"/>
  <c r="AP523" i="1" s="1"/>
  <c r="AM523" i="1"/>
  <c r="AL523" i="1"/>
  <c r="AK523" i="1"/>
  <c r="AJ523" i="1"/>
  <c r="AI523" i="1"/>
  <c r="AH523" i="1"/>
  <c r="AG523" i="1"/>
  <c r="AF523" i="1"/>
  <c r="AE523" i="1"/>
  <c r="AD523" i="1"/>
  <c r="AC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T522" i="1"/>
  <c r="AS522" i="1"/>
  <c r="AQ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T521" i="1"/>
  <c r="AS521" i="1"/>
  <c r="AQ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T520" i="1"/>
  <c r="AS520" i="1"/>
  <c r="AQ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T519" i="1"/>
  <c r="AS519" i="1"/>
  <c r="AQ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T518" i="1"/>
  <c r="AS518" i="1"/>
  <c r="AQ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T517" i="1"/>
  <c r="AS517" i="1"/>
  <c r="AQ517" i="1"/>
  <c r="AN517" i="1"/>
  <c r="AO517" i="1" s="1"/>
  <c r="AP517" i="1" s="1"/>
  <c r="AM517" i="1"/>
  <c r="AL517" i="1"/>
  <c r="AK517" i="1"/>
  <c r="AJ517" i="1"/>
  <c r="AI517" i="1"/>
  <c r="AH517" i="1"/>
  <c r="AG517" i="1"/>
  <c r="AF517" i="1"/>
  <c r="AE517" i="1"/>
  <c r="AD517" i="1"/>
  <c r="AC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T516" i="1"/>
  <c r="AS516" i="1"/>
  <c r="AQ516" i="1"/>
  <c r="AN516" i="1"/>
  <c r="AO516" i="1" s="1"/>
  <c r="AP516" i="1" s="1"/>
  <c r="AM516" i="1"/>
  <c r="AL516" i="1"/>
  <c r="AK516" i="1"/>
  <c r="AJ516" i="1"/>
  <c r="AI516" i="1"/>
  <c r="AH516" i="1"/>
  <c r="AG516" i="1"/>
  <c r="AF516" i="1"/>
  <c r="AE516" i="1"/>
  <c r="AD516" i="1"/>
  <c r="AC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T515" i="1"/>
  <c r="AS515" i="1"/>
  <c r="AQ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T514" i="1"/>
  <c r="AS514" i="1"/>
  <c r="AQ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T513" i="1"/>
  <c r="AS513" i="1"/>
  <c r="AQ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T512" i="1"/>
  <c r="AS512" i="1"/>
  <c r="AQ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T511" i="1"/>
  <c r="AS511" i="1"/>
  <c r="AQ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T510" i="1"/>
  <c r="AS510" i="1"/>
  <c r="AQ510" i="1"/>
  <c r="AN510" i="1"/>
  <c r="AO510" i="1" s="1"/>
  <c r="AP510" i="1" s="1"/>
  <c r="AM510" i="1"/>
  <c r="AL510" i="1"/>
  <c r="AK510" i="1"/>
  <c r="AJ510" i="1"/>
  <c r="AI510" i="1"/>
  <c r="AH510" i="1"/>
  <c r="AG510" i="1"/>
  <c r="AF510" i="1"/>
  <c r="AE510" i="1"/>
  <c r="AD510" i="1"/>
  <c r="AC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T509" i="1"/>
  <c r="AS509" i="1"/>
  <c r="AQ509" i="1"/>
  <c r="AN509" i="1"/>
  <c r="AO509" i="1" s="1"/>
  <c r="AP509" i="1" s="1"/>
  <c r="AM509" i="1"/>
  <c r="AL509" i="1"/>
  <c r="AK509" i="1"/>
  <c r="AJ509" i="1"/>
  <c r="AI509" i="1"/>
  <c r="AH509" i="1"/>
  <c r="AG509" i="1"/>
  <c r="AF509" i="1"/>
  <c r="AE509" i="1"/>
  <c r="AD509" i="1"/>
  <c r="AC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T508" i="1"/>
  <c r="AS508" i="1"/>
  <c r="AQ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T507" i="1"/>
  <c r="AS507" i="1"/>
  <c r="AQ507" i="1"/>
  <c r="AN507" i="1"/>
  <c r="AL507" i="1"/>
  <c r="AK507" i="1"/>
  <c r="AJ507" i="1"/>
  <c r="AI507" i="1"/>
  <c r="AH507" i="1"/>
  <c r="AG507" i="1"/>
  <c r="AC507" i="1"/>
  <c r="AA507" i="1"/>
  <c r="Z507" i="1"/>
  <c r="Y507" i="1"/>
  <c r="X507" i="1"/>
  <c r="W507" i="1"/>
  <c r="V507" i="1"/>
  <c r="U507" i="1"/>
  <c r="T507" i="1"/>
  <c r="S507" i="1"/>
  <c r="R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T506" i="1"/>
  <c r="AS506" i="1"/>
  <c r="AQ506" i="1"/>
  <c r="AN506" i="1"/>
  <c r="AL506" i="1"/>
  <c r="AK506" i="1"/>
  <c r="AJ506" i="1"/>
  <c r="AI506" i="1"/>
  <c r="AH506" i="1"/>
  <c r="AG506" i="1"/>
  <c r="AC506" i="1"/>
  <c r="AA506" i="1"/>
  <c r="Z506" i="1"/>
  <c r="Y506" i="1"/>
  <c r="X506" i="1"/>
  <c r="W506" i="1"/>
  <c r="V506" i="1"/>
  <c r="U506" i="1"/>
  <c r="T506" i="1"/>
  <c r="S506" i="1"/>
  <c r="R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T505" i="1"/>
  <c r="AS505" i="1"/>
  <c r="AQ505" i="1"/>
  <c r="AN505" i="1"/>
  <c r="AL505" i="1"/>
  <c r="AK505" i="1"/>
  <c r="AJ505" i="1"/>
  <c r="AI505" i="1"/>
  <c r="AH505" i="1"/>
  <c r="AG505" i="1"/>
  <c r="AC505" i="1"/>
  <c r="AA505" i="1"/>
  <c r="Z505" i="1"/>
  <c r="Y505" i="1"/>
  <c r="X505" i="1"/>
  <c r="W505" i="1"/>
  <c r="V505" i="1"/>
  <c r="U505" i="1"/>
  <c r="T505" i="1"/>
  <c r="S505" i="1"/>
  <c r="R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T504" i="1"/>
  <c r="AS504" i="1"/>
  <c r="AQ504" i="1"/>
  <c r="AN504" i="1"/>
  <c r="AL504" i="1"/>
  <c r="AK504" i="1"/>
  <c r="AJ504" i="1"/>
  <c r="AI504" i="1"/>
  <c r="AH504" i="1"/>
  <c r="AG504" i="1"/>
  <c r="AC504" i="1"/>
  <c r="AA504" i="1"/>
  <c r="Z504" i="1"/>
  <c r="Y504" i="1"/>
  <c r="X504" i="1"/>
  <c r="W504" i="1"/>
  <c r="V504" i="1"/>
  <c r="U504" i="1"/>
  <c r="T504" i="1"/>
  <c r="S504" i="1"/>
  <c r="R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T503" i="1"/>
  <c r="AS503" i="1"/>
  <c r="AQ503" i="1"/>
  <c r="AN503" i="1"/>
  <c r="AO503" i="1" s="1"/>
  <c r="AP503" i="1" s="1"/>
  <c r="AL503" i="1"/>
  <c r="AK503" i="1"/>
  <c r="AJ503" i="1"/>
  <c r="AI503" i="1"/>
  <c r="AH503" i="1"/>
  <c r="AG503" i="1"/>
  <c r="AC503" i="1"/>
  <c r="AA503" i="1"/>
  <c r="Z503" i="1"/>
  <c r="Y503" i="1"/>
  <c r="X503" i="1"/>
  <c r="W503" i="1"/>
  <c r="V503" i="1"/>
  <c r="U503" i="1"/>
  <c r="T503" i="1"/>
  <c r="S503" i="1"/>
  <c r="R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T502" i="1"/>
  <c r="AS502" i="1"/>
  <c r="AQ502" i="1"/>
  <c r="AN502" i="1"/>
  <c r="AO502" i="1" s="1"/>
  <c r="AP502" i="1" s="1"/>
  <c r="AL502" i="1"/>
  <c r="AK502" i="1"/>
  <c r="AJ502" i="1"/>
  <c r="AI502" i="1"/>
  <c r="AH502" i="1"/>
  <c r="AG502" i="1"/>
  <c r="AC502" i="1"/>
  <c r="AA502" i="1"/>
  <c r="Z502" i="1"/>
  <c r="Y502" i="1"/>
  <c r="X502" i="1"/>
  <c r="W502" i="1"/>
  <c r="V502" i="1"/>
  <c r="U502" i="1"/>
  <c r="T502" i="1"/>
  <c r="S502" i="1"/>
  <c r="R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T501" i="1"/>
  <c r="AS501" i="1"/>
  <c r="AQ501" i="1"/>
  <c r="AN501" i="1"/>
  <c r="AL501" i="1"/>
  <c r="AK501" i="1"/>
  <c r="AJ501" i="1"/>
  <c r="AI501" i="1"/>
  <c r="AH501" i="1"/>
  <c r="AG501" i="1"/>
  <c r="AC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T500" i="1"/>
  <c r="AS500" i="1"/>
  <c r="AQ500" i="1"/>
  <c r="AN500" i="1"/>
  <c r="AL500" i="1"/>
  <c r="AK500" i="1"/>
  <c r="AJ500" i="1"/>
  <c r="AI500" i="1"/>
  <c r="AH500" i="1"/>
  <c r="AG500" i="1"/>
  <c r="AC500" i="1"/>
  <c r="AA500" i="1"/>
  <c r="Z500" i="1"/>
  <c r="Y500" i="1"/>
  <c r="X500" i="1"/>
  <c r="W500" i="1"/>
  <c r="V500" i="1"/>
  <c r="U500" i="1"/>
  <c r="T500" i="1"/>
  <c r="S500" i="1"/>
  <c r="R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T499" i="1"/>
  <c r="AS499" i="1"/>
  <c r="AQ499" i="1"/>
  <c r="AN499" i="1"/>
  <c r="AL499" i="1"/>
  <c r="AK499" i="1"/>
  <c r="AJ499" i="1"/>
  <c r="AI499" i="1"/>
  <c r="AH499" i="1"/>
  <c r="AG499" i="1"/>
  <c r="AC499" i="1"/>
  <c r="AA499" i="1"/>
  <c r="Z499" i="1"/>
  <c r="Y499" i="1"/>
  <c r="X499" i="1"/>
  <c r="W499" i="1"/>
  <c r="V499" i="1"/>
  <c r="U499" i="1"/>
  <c r="T499" i="1"/>
  <c r="S499" i="1"/>
  <c r="R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T498" i="1"/>
  <c r="AS498" i="1"/>
  <c r="AQ498" i="1"/>
  <c r="AN498" i="1"/>
  <c r="AL498" i="1"/>
  <c r="AK498" i="1"/>
  <c r="AJ498" i="1"/>
  <c r="AI498" i="1"/>
  <c r="AH498" i="1"/>
  <c r="AG498" i="1"/>
  <c r="AC498" i="1"/>
  <c r="AA498" i="1"/>
  <c r="Z498" i="1"/>
  <c r="Y498" i="1"/>
  <c r="X498" i="1"/>
  <c r="W498" i="1"/>
  <c r="V498" i="1"/>
  <c r="U498" i="1"/>
  <c r="T498" i="1"/>
  <c r="S498" i="1"/>
  <c r="R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T497" i="1"/>
  <c r="AS497" i="1"/>
  <c r="AQ497" i="1"/>
  <c r="AN497" i="1"/>
  <c r="AL497" i="1"/>
  <c r="AK497" i="1"/>
  <c r="AJ497" i="1"/>
  <c r="AI497" i="1"/>
  <c r="AH497" i="1"/>
  <c r="AG497" i="1"/>
  <c r="AC497" i="1"/>
  <c r="AA497" i="1"/>
  <c r="Z497" i="1"/>
  <c r="Y497" i="1"/>
  <c r="X497" i="1"/>
  <c r="W497" i="1"/>
  <c r="V497" i="1"/>
  <c r="U497" i="1"/>
  <c r="T497" i="1"/>
  <c r="S497" i="1"/>
  <c r="R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T496" i="1"/>
  <c r="AS496" i="1"/>
  <c r="AQ496" i="1"/>
  <c r="AN496" i="1"/>
  <c r="AO496" i="1" s="1"/>
  <c r="AP496" i="1" s="1"/>
  <c r="AL496" i="1"/>
  <c r="AK496" i="1"/>
  <c r="AJ496" i="1"/>
  <c r="AI496" i="1"/>
  <c r="AH496" i="1"/>
  <c r="AG496" i="1"/>
  <c r="AC496" i="1"/>
  <c r="AA496" i="1"/>
  <c r="Z496" i="1"/>
  <c r="Y496" i="1"/>
  <c r="X496" i="1"/>
  <c r="W496" i="1"/>
  <c r="V496" i="1"/>
  <c r="U496" i="1"/>
  <c r="T496" i="1"/>
  <c r="S496" i="1"/>
  <c r="R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T495" i="1"/>
  <c r="AS495" i="1"/>
  <c r="AQ495" i="1"/>
  <c r="AN495" i="1"/>
  <c r="AO495" i="1" s="1"/>
  <c r="AP495" i="1" s="1"/>
  <c r="AL495" i="1"/>
  <c r="AK495" i="1"/>
  <c r="AJ495" i="1"/>
  <c r="AI495" i="1"/>
  <c r="AH495" i="1"/>
  <c r="AG495" i="1"/>
  <c r="AC495" i="1"/>
  <c r="AA495" i="1"/>
  <c r="Z495" i="1"/>
  <c r="Y495" i="1"/>
  <c r="X495" i="1"/>
  <c r="W495" i="1"/>
  <c r="V495" i="1"/>
  <c r="U495" i="1"/>
  <c r="T495" i="1"/>
  <c r="R495" i="1"/>
  <c r="P495" i="1"/>
  <c r="O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T494" i="1"/>
  <c r="AS494" i="1"/>
  <c r="AQ494" i="1"/>
  <c r="AN494" i="1"/>
  <c r="AL494" i="1"/>
  <c r="AK494" i="1"/>
  <c r="AJ494" i="1"/>
  <c r="AI494" i="1"/>
  <c r="AH494" i="1"/>
  <c r="AG494" i="1"/>
  <c r="AC494" i="1"/>
  <c r="AA494" i="1"/>
  <c r="Z494" i="1"/>
  <c r="Y494" i="1"/>
  <c r="X494" i="1"/>
  <c r="W494" i="1"/>
  <c r="V494" i="1"/>
  <c r="U494" i="1"/>
  <c r="T494" i="1"/>
  <c r="R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T493" i="1"/>
  <c r="AS493" i="1"/>
  <c r="AQ493" i="1"/>
  <c r="AN493" i="1"/>
  <c r="AL493" i="1"/>
  <c r="AK493" i="1"/>
  <c r="AJ493" i="1"/>
  <c r="AI493" i="1"/>
  <c r="AH493" i="1"/>
  <c r="AG493" i="1"/>
  <c r="AC493" i="1"/>
  <c r="AA493" i="1"/>
  <c r="Z493" i="1"/>
  <c r="Y493" i="1"/>
  <c r="X493" i="1"/>
  <c r="W493" i="1"/>
  <c r="V493" i="1"/>
  <c r="U493" i="1"/>
  <c r="T493" i="1"/>
  <c r="S493" i="1"/>
  <c r="R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T492" i="1"/>
  <c r="AS492" i="1"/>
  <c r="AQ492" i="1"/>
  <c r="AN492" i="1"/>
  <c r="AL492" i="1"/>
  <c r="AK492" i="1"/>
  <c r="AJ492" i="1"/>
  <c r="AI492" i="1"/>
  <c r="AH492" i="1"/>
  <c r="AG492" i="1"/>
  <c r="AC492" i="1"/>
  <c r="AA492" i="1"/>
  <c r="Z492" i="1"/>
  <c r="Y492" i="1"/>
  <c r="X492" i="1"/>
  <c r="W492" i="1"/>
  <c r="V492" i="1"/>
  <c r="U492" i="1"/>
  <c r="T492" i="1"/>
  <c r="S492" i="1"/>
  <c r="R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T491" i="1"/>
  <c r="AS491" i="1"/>
  <c r="AQ491" i="1"/>
  <c r="AN491" i="1"/>
  <c r="AL491" i="1"/>
  <c r="AK491" i="1"/>
  <c r="AJ491" i="1"/>
  <c r="AI491" i="1"/>
  <c r="AH491" i="1"/>
  <c r="AG491" i="1"/>
  <c r="AC491" i="1"/>
  <c r="AA491" i="1"/>
  <c r="Z491" i="1"/>
  <c r="Y491" i="1"/>
  <c r="X491" i="1"/>
  <c r="W491" i="1"/>
  <c r="V491" i="1"/>
  <c r="U491" i="1"/>
  <c r="T491" i="1"/>
  <c r="S491" i="1"/>
  <c r="R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T490" i="1"/>
  <c r="AS490" i="1"/>
  <c r="AQ490" i="1"/>
  <c r="AN490" i="1"/>
  <c r="AL490" i="1"/>
  <c r="AK490" i="1"/>
  <c r="AJ490" i="1"/>
  <c r="AI490" i="1"/>
  <c r="AH490" i="1"/>
  <c r="AG490" i="1"/>
  <c r="AC490" i="1"/>
  <c r="AA490" i="1"/>
  <c r="Z490" i="1"/>
  <c r="Y490" i="1"/>
  <c r="X490" i="1"/>
  <c r="W490" i="1"/>
  <c r="V490" i="1"/>
  <c r="U490" i="1"/>
  <c r="T490" i="1"/>
  <c r="S490" i="1"/>
  <c r="R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T489" i="1"/>
  <c r="AS489" i="1"/>
  <c r="AQ489" i="1"/>
  <c r="AN489" i="1"/>
  <c r="AO489" i="1" s="1"/>
  <c r="AP489" i="1" s="1"/>
  <c r="AL489" i="1"/>
  <c r="AK489" i="1"/>
  <c r="AJ489" i="1"/>
  <c r="AI489" i="1"/>
  <c r="AH489" i="1"/>
  <c r="AG489" i="1"/>
  <c r="AC489" i="1"/>
  <c r="AA489" i="1"/>
  <c r="Z489" i="1"/>
  <c r="Y489" i="1"/>
  <c r="X489" i="1"/>
  <c r="W489" i="1"/>
  <c r="V489" i="1"/>
  <c r="U489" i="1"/>
  <c r="T489" i="1"/>
  <c r="S489" i="1"/>
  <c r="R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T488" i="1"/>
  <c r="AS488" i="1"/>
  <c r="AQ488" i="1"/>
  <c r="AN488" i="1"/>
  <c r="AO488" i="1" s="1"/>
  <c r="AP488" i="1" s="1"/>
  <c r="AL488" i="1"/>
  <c r="AK488" i="1"/>
  <c r="AJ488" i="1"/>
  <c r="AI488" i="1"/>
  <c r="AH488" i="1"/>
  <c r="AG488" i="1"/>
  <c r="AC488" i="1"/>
  <c r="AA488" i="1"/>
  <c r="Z488" i="1"/>
  <c r="Y488" i="1"/>
  <c r="X488" i="1"/>
  <c r="W488" i="1"/>
  <c r="V488" i="1"/>
  <c r="U488" i="1"/>
  <c r="T488" i="1"/>
  <c r="S488" i="1"/>
  <c r="R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T487" i="1"/>
  <c r="AS487" i="1"/>
  <c r="AQ487" i="1"/>
  <c r="AN487" i="1"/>
  <c r="AL487" i="1"/>
  <c r="AK487" i="1"/>
  <c r="AJ487" i="1"/>
  <c r="AI487" i="1"/>
  <c r="AH487" i="1"/>
  <c r="AG487" i="1"/>
  <c r="AC487" i="1"/>
  <c r="AA487" i="1"/>
  <c r="Z487" i="1"/>
  <c r="Y487" i="1"/>
  <c r="X487" i="1"/>
  <c r="W487" i="1"/>
  <c r="V487" i="1"/>
  <c r="U487" i="1"/>
  <c r="T487" i="1"/>
  <c r="S487" i="1"/>
  <c r="R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T486" i="1"/>
  <c r="AS486" i="1"/>
  <c r="AQ486" i="1"/>
  <c r="AN486" i="1"/>
  <c r="AL486" i="1"/>
  <c r="AK486" i="1"/>
  <c r="AJ486" i="1"/>
  <c r="AI486" i="1"/>
  <c r="AH486" i="1"/>
  <c r="AG486" i="1"/>
  <c r="AC486" i="1"/>
  <c r="AA486" i="1"/>
  <c r="Z486" i="1"/>
  <c r="Y486" i="1"/>
  <c r="X486" i="1"/>
  <c r="W486" i="1"/>
  <c r="V486" i="1"/>
  <c r="U486" i="1"/>
  <c r="T486" i="1"/>
  <c r="S486" i="1"/>
  <c r="R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T485" i="1"/>
  <c r="AS485" i="1"/>
  <c r="AQ485" i="1"/>
  <c r="AN485" i="1"/>
  <c r="AL485" i="1"/>
  <c r="AK485" i="1"/>
  <c r="AJ485" i="1"/>
  <c r="AI485" i="1"/>
  <c r="AH485" i="1"/>
  <c r="AG485" i="1"/>
  <c r="AC485" i="1"/>
  <c r="AA485" i="1"/>
  <c r="Z485" i="1"/>
  <c r="Y485" i="1"/>
  <c r="X485" i="1"/>
  <c r="W485" i="1"/>
  <c r="V485" i="1"/>
  <c r="U485" i="1"/>
  <c r="T485" i="1"/>
  <c r="S485" i="1"/>
  <c r="R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T484" i="1"/>
  <c r="AS484" i="1"/>
  <c r="AQ484" i="1"/>
  <c r="AN484" i="1"/>
  <c r="AL484" i="1"/>
  <c r="AK484" i="1"/>
  <c r="AJ484" i="1"/>
  <c r="AI484" i="1"/>
  <c r="AH484" i="1"/>
  <c r="AG484" i="1"/>
  <c r="AC484" i="1"/>
  <c r="AA484" i="1"/>
  <c r="Z484" i="1"/>
  <c r="Y484" i="1"/>
  <c r="X484" i="1"/>
  <c r="W484" i="1"/>
  <c r="V484" i="1"/>
  <c r="U484" i="1"/>
  <c r="T484" i="1"/>
  <c r="S484" i="1"/>
  <c r="R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T483" i="1"/>
  <c r="AS483" i="1"/>
  <c r="AQ483" i="1"/>
  <c r="AN483" i="1"/>
  <c r="AL483" i="1"/>
  <c r="AK483" i="1"/>
  <c r="AJ483" i="1"/>
  <c r="AI483" i="1"/>
  <c r="AH483" i="1"/>
  <c r="AG483" i="1"/>
  <c r="AC483" i="1"/>
  <c r="AA483" i="1"/>
  <c r="Z483" i="1"/>
  <c r="Y483" i="1"/>
  <c r="X483" i="1"/>
  <c r="W483" i="1"/>
  <c r="V483" i="1"/>
  <c r="U483" i="1"/>
  <c r="T483" i="1"/>
  <c r="S483" i="1"/>
  <c r="R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T482" i="1"/>
  <c r="AS482" i="1"/>
  <c r="AQ482" i="1"/>
  <c r="AN482" i="1"/>
  <c r="AO482" i="1" s="1"/>
  <c r="AP482" i="1" s="1"/>
  <c r="AL482" i="1"/>
  <c r="AK482" i="1"/>
  <c r="AJ482" i="1"/>
  <c r="AI482" i="1"/>
  <c r="AH482" i="1"/>
  <c r="AG482" i="1"/>
  <c r="AC482" i="1"/>
  <c r="AA482" i="1"/>
  <c r="Z482" i="1"/>
  <c r="Y482" i="1"/>
  <c r="X482" i="1"/>
  <c r="W482" i="1"/>
  <c r="V482" i="1"/>
  <c r="U482" i="1"/>
  <c r="T482" i="1"/>
  <c r="S482" i="1"/>
  <c r="R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T481" i="1"/>
  <c r="AS481" i="1"/>
  <c r="AQ481" i="1"/>
  <c r="AN481" i="1"/>
  <c r="AO481" i="1" s="1"/>
  <c r="AP481" i="1" s="1"/>
  <c r="AL481" i="1"/>
  <c r="AK481" i="1"/>
  <c r="AJ481" i="1"/>
  <c r="AI481" i="1"/>
  <c r="AH481" i="1"/>
  <c r="AG481" i="1"/>
  <c r="AC481" i="1"/>
  <c r="AA481" i="1"/>
  <c r="Z481" i="1"/>
  <c r="Y481" i="1"/>
  <c r="X481" i="1"/>
  <c r="W481" i="1"/>
  <c r="V481" i="1"/>
  <c r="U481" i="1"/>
  <c r="T481" i="1"/>
  <c r="S481" i="1"/>
  <c r="R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T480" i="1"/>
  <c r="AS480" i="1"/>
  <c r="AQ480" i="1"/>
  <c r="AN480" i="1"/>
  <c r="AL480" i="1"/>
  <c r="AK480" i="1"/>
  <c r="AJ480" i="1"/>
  <c r="AI480" i="1"/>
  <c r="AH480" i="1"/>
  <c r="AG480" i="1"/>
  <c r="AC480" i="1"/>
  <c r="AA480" i="1"/>
  <c r="Z480" i="1"/>
  <c r="Y480" i="1"/>
  <c r="X480" i="1"/>
  <c r="W480" i="1"/>
  <c r="V480" i="1"/>
  <c r="U480" i="1"/>
  <c r="T480" i="1"/>
  <c r="S480" i="1"/>
  <c r="R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T479" i="1"/>
  <c r="AS479" i="1"/>
  <c r="AQ479" i="1"/>
  <c r="AN479" i="1"/>
  <c r="AL479" i="1"/>
  <c r="AK479" i="1"/>
  <c r="AJ479" i="1"/>
  <c r="AI479" i="1"/>
  <c r="AH479" i="1"/>
  <c r="AG479" i="1"/>
  <c r="AC479" i="1"/>
  <c r="AA479" i="1"/>
  <c r="Z479" i="1"/>
  <c r="Y479" i="1"/>
  <c r="X479" i="1"/>
  <c r="W479" i="1"/>
  <c r="V479" i="1"/>
  <c r="U479" i="1"/>
  <c r="T479" i="1"/>
  <c r="S479" i="1"/>
  <c r="R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T478" i="1"/>
  <c r="AS478" i="1"/>
  <c r="AQ478" i="1"/>
  <c r="AN478" i="1"/>
  <c r="AL478" i="1"/>
  <c r="AK478" i="1"/>
  <c r="AJ478" i="1"/>
  <c r="AI478" i="1"/>
  <c r="AH478" i="1"/>
  <c r="AG478" i="1"/>
  <c r="AC478" i="1"/>
  <c r="AA478" i="1"/>
  <c r="Z478" i="1"/>
  <c r="Y478" i="1"/>
  <c r="X478" i="1"/>
  <c r="W478" i="1"/>
  <c r="V478" i="1"/>
  <c r="U478" i="1"/>
  <c r="T478" i="1"/>
  <c r="S478" i="1"/>
  <c r="R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T477" i="1"/>
  <c r="AS477" i="1"/>
  <c r="AQ477" i="1"/>
  <c r="AN477" i="1"/>
  <c r="AL477" i="1"/>
  <c r="AK477" i="1"/>
  <c r="AJ477" i="1"/>
  <c r="AI477" i="1"/>
  <c r="AH477" i="1"/>
  <c r="AG477" i="1"/>
  <c r="AC477" i="1"/>
  <c r="AA477" i="1"/>
  <c r="Z477" i="1"/>
  <c r="Y477" i="1"/>
  <c r="X477" i="1"/>
  <c r="W477" i="1"/>
  <c r="V477" i="1"/>
  <c r="U477" i="1"/>
  <c r="T477" i="1"/>
  <c r="S477" i="1"/>
  <c r="R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T476" i="1"/>
  <c r="AS476" i="1"/>
  <c r="AQ476" i="1"/>
  <c r="AN476" i="1"/>
  <c r="AL476" i="1"/>
  <c r="AK476" i="1"/>
  <c r="AJ476" i="1"/>
  <c r="AI476" i="1"/>
  <c r="AH476" i="1"/>
  <c r="AG476" i="1"/>
  <c r="AC476" i="1"/>
  <c r="AA476" i="1"/>
  <c r="Z476" i="1"/>
  <c r="Y476" i="1"/>
  <c r="X476" i="1"/>
  <c r="W476" i="1"/>
  <c r="V476" i="1"/>
  <c r="U476" i="1"/>
  <c r="T476" i="1"/>
  <c r="S476" i="1"/>
  <c r="R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T475" i="1"/>
  <c r="AS475" i="1"/>
  <c r="AQ475" i="1"/>
  <c r="AN475" i="1"/>
  <c r="AO475" i="1" s="1"/>
  <c r="AP475" i="1" s="1"/>
  <c r="AL475" i="1"/>
  <c r="AK475" i="1"/>
  <c r="AJ475" i="1"/>
  <c r="AI475" i="1"/>
  <c r="AH475" i="1"/>
  <c r="AG475" i="1"/>
  <c r="AC475" i="1"/>
  <c r="AA475" i="1"/>
  <c r="Z475" i="1"/>
  <c r="Y475" i="1"/>
  <c r="X475" i="1"/>
  <c r="W475" i="1"/>
  <c r="V475" i="1"/>
  <c r="U475" i="1"/>
  <c r="T475" i="1"/>
  <c r="S475" i="1"/>
  <c r="R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T474" i="1"/>
  <c r="AS474" i="1"/>
  <c r="AQ474" i="1"/>
  <c r="AN474" i="1"/>
  <c r="AO474" i="1" s="1"/>
  <c r="AP474" i="1" s="1"/>
  <c r="AL474" i="1"/>
  <c r="AK474" i="1"/>
  <c r="AJ474" i="1"/>
  <c r="AI474" i="1"/>
  <c r="AH474" i="1"/>
  <c r="AG474" i="1"/>
  <c r="AC474" i="1"/>
  <c r="AA474" i="1"/>
  <c r="Z474" i="1"/>
  <c r="Y474" i="1"/>
  <c r="X474" i="1"/>
  <c r="W474" i="1"/>
  <c r="V474" i="1"/>
  <c r="U474" i="1"/>
  <c r="T474" i="1"/>
  <c r="S474" i="1"/>
  <c r="R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T473" i="1"/>
  <c r="AS473" i="1"/>
  <c r="AQ473" i="1"/>
  <c r="AN473" i="1"/>
  <c r="AL473" i="1"/>
  <c r="AK473" i="1"/>
  <c r="AJ473" i="1"/>
  <c r="AI473" i="1"/>
  <c r="AH473" i="1"/>
  <c r="AG473" i="1"/>
  <c r="AC473" i="1"/>
  <c r="AA473" i="1"/>
  <c r="Z473" i="1"/>
  <c r="Y473" i="1"/>
  <c r="X473" i="1"/>
  <c r="W473" i="1"/>
  <c r="V473" i="1"/>
  <c r="U473" i="1"/>
  <c r="T473" i="1"/>
  <c r="S473" i="1"/>
  <c r="R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T472" i="1"/>
  <c r="AS472" i="1"/>
  <c r="AQ472" i="1"/>
  <c r="AN472" i="1"/>
  <c r="AL472" i="1"/>
  <c r="AK472" i="1"/>
  <c r="AJ472" i="1"/>
  <c r="AI472" i="1"/>
  <c r="AH472" i="1"/>
  <c r="AG472" i="1"/>
  <c r="AC472" i="1"/>
  <c r="AA472" i="1"/>
  <c r="Z472" i="1"/>
  <c r="Y472" i="1"/>
  <c r="X472" i="1"/>
  <c r="W472" i="1"/>
  <c r="V472" i="1"/>
  <c r="U472" i="1"/>
  <c r="T472" i="1"/>
  <c r="S472" i="1"/>
  <c r="R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T471" i="1"/>
  <c r="AS471" i="1"/>
  <c r="AQ471" i="1"/>
  <c r="AN471" i="1"/>
  <c r="AL471" i="1"/>
  <c r="AK471" i="1"/>
  <c r="AJ471" i="1"/>
  <c r="AI471" i="1"/>
  <c r="AH471" i="1"/>
  <c r="AG471" i="1"/>
  <c r="AC471" i="1"/>
  <c r="AA471" i="1"/>
  <c r="Z471" i="1"/>
  <c r="Y471" i="1"/>
  <c r="X471" i="1"/>
  <c r="W471" i="1"/>
  <c r="V471" i="1"/>
  <c r="U471" i="1"/>
  <c r="T471" i="1"/>
  <c r="S471" i="1"/>
  <c r="R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T470" i="1"/>
  <c r="AS470" i="1"/>
  <c r="AQ470" i="1"/>
  <c r="AN470" i="1"/>
  <c r="AL470" i="1"/>
  <c r="AK470" i="1"/>
  <c r="AJ470" i="1"/>
  <c r="AI470" i="1"/>
  <c r="AH470" i="1"/>
  <c r="AG470" i="1"/>
  <c r="AC470" i="1"/>
  <c r="AA470" i="1"/>
  <c r="Z470" i="1"/>
  <c r="Y470" i="1"/>
  <c r="X470" i="1"/>
  <c r="W470" i="1"/>
  <c r="V470" i="1"/>
  <c r="U470" i="1"/>
  <c r="T470" i="1"/>
  <c r="S470" i="1"/>
  <c r="R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T469" i="1"/>
  <c r="AS469" i="1"/>
  <c r="AQ469" i="1"/>
  <c r="AN469" i="1"/>
  <c r="AL469" i="1"/>
  <c r="AK469" i="1"/>
  <c r="AJ469" i="1"/>
  <c r="AI469" i="1"/>
  <c r="AH469" i="1"/>
  <c r="AG469" i="1"/>
  <c r="AC469" i="1"/>
  <c r="AA469" i="1"/>
  <c r="Z469" i="1"/>
  <c r="Y469" i="1"/>
  <c r="X469" i="1"/>
  <c r="W469" i="1"/>
  <c r="V469" i="1"/>
  <c r="U469" i="1"/>
  <c r="T469" i="1"/>
  <c r="S469" i="1"/>
  <c r="R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T468" i="1"/>
  <c r="AS468" i="1"/>
  <c r="AQ468" i="1"/>
  <c r="AN468" i="1"/>
  <c r="AO468" i="1" s="1"/>
  <c r="AP468" i="1" s="1"/>
  <c r="AL468" i="1"/>
  <c r="AK468" i="1"/>
  <c r="AJ468" i="1"/>
  <c r="AI468" i="1"/>
  <c r="AH468" i="1"/>
  <c r="AG468" i="1"/>
  <c r="AC468" i="1"/>
  <c r="AA468" i="1"/>
  <c r="Z468" i="1"/>
  <c r="Y468" i="1"/>
  <c r="X468" i="1"/>
  <c r="W468" i="1"/>
  <c r="V468" i="1"/>
  <c r="U468" i="1"/>
  <c r="T468" i="1"/>
  <c r="S468" i="1"/>
  <c r="R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T467" i="1"/>
  <c r="AS467" i="1"/>
  <c r="AQ467" i="1"/>
  <c r="AN467" i="1"/>
  <c r="AO467" i="1" s="1"/>
  <c r="AP467" i="1" s="1"/>
  <c r="AL467" i="1"/>
  <c r="AK467" i="1"/>
  <c r="AJ467" i="1"/>
  <c r="AI467" i="1"/>
  <c r="AH467" i="1"/>
  <c r="AG467" i="1"/>
  <c r="AC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T466" i="1"/>
  <c r="AS466" i="1"/>
  <c r="AQ466" i="1"/>
  <c r="AN466" i="1"/>
  <c r="AL466" i="1"/>
  <c r="AK466" i="1"/>
  <c r="AJ466" i="1"/>
  <c r="AI466" i="1"/>
  <c r="AH466" i="1"/>
  <c r="AG466" i="1"/>
  <c r="AC466" i="1"/>
  <c r="AA466" i="1"/>
  <c r="Z466" i="1"/>
  <c r="Y466" i="1"/>
  <c r="X466" i="1"/>
  <c r="W466" i="1"/>
  <c r="V466" i="1"/>
  <c r="U466" i="1"/>
  <c r="T466" i="1"/>
  <c r="S466" i="1"/>
  <c r="R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T465" i="1"/>
  <c r="AS465" i="1"/>
  <c r="AQ465" i="1"/>
  <c r="AN465" i="1"/>
  <c r="AL465" i="1"/>
  <c r="AK465" i="1"/>
  <c r="AJ465" i="1"/>
  <c r="AI465" i="1"/>
  <c r="AH465" i="1"/>
  <c r="AG465" i="1"/>
  <c r="AC465" i="1"/>
  <c r="AA465" i="1"/>
  <c r="Z465" i="1"/>
  <c r="Y465" i="1"/>
  <c r="X465" i="1"/>
  <c r="W465" i="1"/>
  <c r="V465" i="1"/>
  <c r="U465" i="1"/>
  <c r="T465" i="1"/>
  <c r="S465" i="1"/>
  <c r="R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T464" i="1"/>
  <c r="AS464" i="1"/>
  <c r="AQ464" i="1"/>
  <c r="AN464" i="1"/>
  <c r="AL464" i="1"/>
  <c r="AK464" i="1"/>
  <c r="AJ464" i="1"/>
  <c r="AI464" i="1"/>
  <c r="AH464" i="1"/>
  <c r="AG464" i="1"/>
  <c r="AC464" i="1"/>
  <c r="AA464" i="1"/>
  <c r="Z464" i="1"/>
  <c r="Y464" i="1"/>
  <c r="X464" i="1"/>
  <c r="W464" i="1"/>
  <c r="V464" i="1"/>
  <c r="U464" i="1"/>
  <c r="T464" i="1"/>
  <c r="S464" i="1"/>
  <c r="R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T463" i="1"/>
  <c r="AS463" i="1"/>
  <c r="AQ463" i="1"/>
  <c r="AN463" i="1"/>
  <c r="AL463" i="1"/>
  <c r="AK463" i="1"/>
  <c r="AJ463" i="1"/>
  <c r="AI463" i="1"/>
  <c r="AH463" i="1"/>
  <c r="AG463" i="1"/>
  <c r="AC463" i="1"/>
  <c r="AA463" i="1"/>
  <c r="Z463" i="1"/>
  <c r="Y463" i="1"/>
  <c r="X463" i="1"/>
  <c r="W463" i="1"/>
  <c r="V463" i="1"/>
  <c r="U463" i="1"/>
  <c r="T463" i="1"/>
  <c r="S463" i="1"/>
  <c r="R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T462" i="1"/>
  <c r="AS462" i="1"/>
  <c r="AQ462" i="1"/>
  <c r="AN462" i="1"/>
  <c r="AL462" i="1"/>
  <c r="AK462" i="1"/>
  <c r="AJ462" i="1"/>
  <c r="AI462" i="1"/>
  <c r="AH462" i="1"/>
  <c r="AG462" i="1"/>
  <c r="AC462" i="1"/>
  <c r="AA462" i="1"/>
  <c r="Z462" i="1"/>
  <c r="Y462" i="1"/>
  <c r="X462" i="1"/>
  <c r="W462" i="1"/>
  <c r="V462" i="1"/>
  <c r="U462" i="1"/>
  <c r="T462" i="1"/>
  <c r="S462" i="1"/>
  <c r="R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T461" i="1"/>
  <c r="AS461" i="1"/>
  <c r="AQ461" i="1"/>
  <c r="AN461" i="1"/>
  <c r="AL461" i="1"/>
  <c r="AK461" i="1"/>
  <c r="AJ461" i="1"/>
  <c r="AI461" i="1"/>
  <c r="AH461" i="1"/>
  <c r="AG461" i="1"/>
  <c r="AC461" i="1"/>
  <c r="AA461" i="1"/>
  <c r="Z461" i="1"/>
  <c r="Y461" i="1"/>
  <c r="X461" i="1"/>
  <c r="W461" i="1"/>
  <c r="V461" i="1"/>
  <c r="U461" i="1"/>
  <c r="T461" i="1"/>
  <c r="S461" i="1"/>
  <c r="R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T460" i="1"/>
  <c r="AS460" i="1"/>
  <c r="AQ460" i="1"/>
  <c r="AN460" i="1"/>
  <c r="AL460" i="1"/>
  <c r="AK460" i="1"/>
  <c r="AJ460" i="1"/>
  <c r="AI460" i="1"/>
  <c r="AH460" i="1"/>
  <c r="AG460" i="1"/>
  <c r="AC460" i="1"/>
  <c r="AA460" i="1"/>
  <c r="Z460" i="1"/>
  <c r="Y460" i="1"/>
  <c r="X460" i="1"/>
  <c r="W460" i="1"/>
  <c r="V460" i="1"/>
  <c r="U460" i="1"/>
  <c r="T460" i="1"/>
  <c r="S460" i="1"/>
  <c r="R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T459" i="1"/>
  <c r="AS459" i="1"/>
  <c r="AQ459" i="1"/>
  <c r="AN459" i="1"/>
  <c r="AL459" i="1"/>
  <c r="AK459" i="1"/>
  <c r="AJ459" i="1"/>
  <c r="AI459" i="1"/>
  <c r="AH459" i="1"/>
  <c r="AG459" i="1"/>
  <c r="AC459" i="1"/>
  <c r="AA459" i="1"/>
  <c r="Z459" i="1"/>
  <c r="Y459" i="1"/>
  <c r="X459" i="1"/>
  <c r="W459" i="1"/>
  <c r="V459" i="1"/>
  <c r="U459" i="1"/>
  <c r="T459" i="1"/>
  <c r="S459" i="1"/>
  <c r="R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T458" i="1"/>
  <c r="AS458" i="1"/>
  <c r="AQ458" i="1"/>
  <c r="AN458" i="1"/>
  <c r="AL458" i="1"/>
  <c r="AK458" i="1"/>
  <c r="AJ458" i="1"/>
  <c r="AI458" i="1"/>
  <c r="AH458" i="1"/>
  <c r="AG458" i="1"/>
  <c r="AC458" i="1"/>
  <c r="AA458" i="1"/>
  <c r="Z458" i="1"/>
  <c r="Y458" i="1"/>
  <c r="X458" i="1"/>
  <c r="W458" i="1"/>
  <c r="V458" i="1"/>
  <c r="U458" i="1"/>
  <c r="T458" i="1"/>
  <c r="S458" i="1"/>
  <c r="R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T457" i="1"/>
  <c r="AS457" i="1"/>
  <c r="AQ457" i="1"/>
  <c r="AN457" i="1"/>
  <c r="AL457" i="1"/>
  <c r="AK457" i="1"/>
  <c r="AJ457" i="1"/>
  <c r="AI457" i="1"/>
  <c r="AH457" i="1"/>
  <c r="AG457" i="1"/>
  <c r="AC457" i="1"/>
  <c r="AA457" i="1"/>
  <c r="Z457" i="1"/>
  <c r="Y457" i="1"/>
  <c r="X457" i="1"/>
  <c r="W457" i="1"/>
  <c r="V457" i="1"/>
  <c r="U457" i="1"/>
  <c r="T457" i="1"/>
  <c r="S457" i="1"/>
  <c r="R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T456" i="1"/>
  <c r="AS456" i="1"/>
  <c r="AQ456" i="1"/>
  <c r="AN456" i="1"/>
  <c r="AL456" i="1"/>
  <c r="AK456" i="1"/>
  <c r="AJ456" i="1"/>
  <c r="AI456" i="1"/>
  <c r="AH456" i="1"/>
  <c r="AG456" i="1"/>
  <c r="AC456" i="1"/>
  <c r="AA456" i="1"/>
  <c r="Z456" i="1"/>
  <c r="Y456" i="1"/>
  <c r="X456" i="1"/>
  <c r="W456" i="1"/>
  <c r="V456" i="1"/>
  <c r="U456" i="1"/>
  <c r="T456" i="1"/>
  <c r="S456" i="1"/>
  <c r="R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T455" i="1"/>
  <c r="AS455" i="1"/>
  <c r="AQ455" i="1"/>
  <c r="AN455" i="1"/>
  <c r="AL455" i="1"/>
  <c r="AK455" i="1"/>
  <c r="AJ455" i="1"/>
  <c r="AI455" i="1"/>
  <c r="AH455" i="1"/>
  <c r="AG455" i="1"/>
  <c r="AC455" i="1"/>
  <c r="AA455" i="1"/>
  <c r="Z455" i="1"/>
  <c r="Y455" i="1"/>
  <c r="X455" i="1"/>
  <c r="W455" i="1"/>
  <c r="V455" i="1"/>
  <c r="U455" i="1"/>
  <c r="T455" i="1"/>
  <c r="S455" i="1"/>
  <c r="R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T454" i="1"/>
  <c r="AS454" i="1"/>
  <c r="AQ454" i="1"/>
  <c r="AN454" i="1"/>
  <c r="AL454" i="1"/>
  <c r="AK454" i="1"/>
  <c r="AJ454" i="1"/>
  <c r="AI454" i="1"/>
  <c r="AH454" i="1"/>
  <c r="AG454" i="1"/>
  <c r="AC454" i="1"/>
  <c r="AA454" i="1"/>
  <c r="Z454" i="1"/>
  <c r="Y454" i="1"/>
  <c r="X454" i="1"/>
  <c r="W454" i="1"/>
  <c r="V454" i="1"/>
  <c r="U454" i="1"/>
  <c r="T454" i="1"/>
  <c r="S454" i="1"/>
  <c r="R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T453" i="1"/>
  <c r="AS453" i="1"/>
  <c r="AQ453" i="1"/>
  <c r="AN453" i="1"/>
  <c r="AL453" i="1"/>
  <c r="AK453" i="1"/>
  <c r="AJ453" i="1"/>
  <c r="AI453" i="1"/>
  <c r="AH453" i="1"/>
  <c r="AG453" i="1"/>
  <c r="AC453" i="1"/>
  <c r="AA453" i="1"/>
  <c r="Z453" i="1"/>
  <c r="Y453" i="1"/>
  <c r="X453" i="1"/>
  <c r="W453" i="1"/>
  <c r="V453" i="1"/>
  <c r="U453" i="1"/>
  <c r="T453" i="1"/>
  <c r="S453" i="1"/>
  <c r="R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T452" i="1"/>
  <c r="AS452" i="1"/>
  <c r="AQ452" i="1"/>
  <c r="AN452" i="1"/>
  <c r="AL452" i="1"/>
  <c r="AK452" i="1"/>
  <c r="AJ452" i="1"/>
  <c r="AI452" i="1"/>
  <c r="AH452" i="1"/>
  <c r="AG452" i="1"/>
  <c r="AC452" i="1"/>
  <c r="AA452" i="1"/>
  <c r="Z452" i="1"/>
  <c r="Y452" i="1"/>
  <c r="X452" i="1"/>
  <c r="W452" i="1"/>
  <c r="V452" i="1"/>
  <c r="U452" i="1"/>
  <c r="T452" i="1"/>
  <c r="S452" i="1"/>
  <c r="R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T451" i="1"/>
  <c r="AS451" i="1"/>
  <c r="AQ451" i="1"/>
  <c r="AN451" i="1"/>
  <c r="AL451" i="1"/>
  <c r="AK451" i="1"/>
  <c r="AJ451" i="1"/>
  <c r="AI451" i="1"/>
  <c r="AH451" i="1"/>
  <c r="AG451" i="1"/>
  <c r="AC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T450" i="1"/>
  <c r="AS450" i="1"/>
  <c r="AQ450" i="1"/>
  <c r="AN450" i="1"/>
  <c r="AL450" i="1"/>
  <c r="AK450" i="1"/>
  <c r="AJ450" i="1"/>
  <c r="AI450" i="1"/>
  <c r="AH450" i="1"/>
  <c r="AG450" i="1"/>
  <c r="AC450" i="1"/>
  <c r="AA450" i="1"/>
  <c r="Z450" i="1"/>
  <c r="Y450" i="1"/>
  <c r="X450" i="1"/>
  <c r="W450" i="1"/>
  <c r="V450" i="1"/>
  <c r="U450" i="1"/>
  <c r="T450" i="1"/>
  <c r="S450" i="1"/>
  <c r="R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T449" i="1"/>
  <c r="AS449" i="1"/>
  <c r="AQ449" i="1"/>
  <c r="AN449" i="1"/>
  <c r="AL449" i="1"/>
  <c r="AK449" i="1"/>
  <c r="AJ449" i="1"/>
  <c r="AI449" i="1"/>
  <c r="AH449" i="1"/>
  <c r="AG449" i="1"/>
  <c r="AC449" i="1"/>
  <c r="AA449" i="1"/>
  <c r="Z449" i="1"/>
  <c r="Y449" i="1"/>
  <c r="X449" i="1"/>
  <c r="W449" i="1"/>
  <c r="V449" i="1"/>
  <c r="U449" i="1"/>
  <c r="T449" i="1"/>
  <c r="S449" i="1"/>
  <c r="R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T448" i="1"/>
  <c r="AS448" i="1"/>
  <c r="AQ448" i="1"/>
  <c r="AN448" i="1"/>
  <c r="AL448" i="1"/>
  <c r="AK448" i="1"/>
  <c r="AJ448" i="1"/>
  <c r="AI448" i="1"/>
  <c r="AH448" i="1"/>
  <c r="AG448" i="1"/>
  <c r="AC448" i="1"/>
  <c r="AA448" i="1"/>
  <c r="Z448" i="1"/>
  <c r="Y448" i="1"/>
  <c r="X448" i="1"/>
  <c r="W448" i="1"/>
  <c r="V448" i="1"/>
  <c r="U448" i="1"/>
  <c r="T448" i="1"/>
  <c r="S448" i="1"/>
  <c r="R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T447" i="1"/>
  <c r="AS447" i="1"/>
  <c r="AQ447" i="1"/>
  <c r="AN447" i="1"/>
  <c r="AL447" i="1"/>
  <c r="AK447" i="1"/>
  <c r="AJ447" i="1"/>
  <c r="AI447" i="1"/>
  <c r="AH447" i="1"/>
  <c r="AG447" i="1"/>
  <c r="AC447" i="1"/>
  <c r="AA447" i="1"/>
  <c r="Z447" i="1"/>
  <c r="Y447" i="1"/>
  <c r="X447" i="1"/>
  <c r="W447" i="1"/>
  <c r="V447" i="1"/>
  <c r="U447" i="1"/>
  <c r="T447" i="1"/>
  <c r="S447" i="1"/>
  <c r="R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T446" i="1"/>
  <c r="AS446" i="1"/>
  <c r="AQ446" i="1"/>
  <c r="AN446" i="1"/>
  <c r="AL446" i="1"/>
  <c r="AK446" i="1"/>
  <c r="AJ446" i="1"/>
  <c r="AI446" i="1"/>
  <c r="AH446" i="1"/>
  <c r="AG446" i="1"/>
  <c r="AC446" i="1"/>
  <c r="AA446" i="1"/>
  <c r="Z446" i="1"/>
  <c r="Y446" i="1"/>
  <c r="X446" i="1"/>
  <c r="W446" i="1"/>
  <c r="V446" i="1"/>
  <c r="U446" i="1"/>
  <c r="T446" i="1"/>
  <c r="S446" i="1"/>
  <c r="R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T445" i="1"/>
  <c r="AS445" i="1"/>
  <c r="AQ445" i="1"/>
  <c r="AN445" i="1"/>
  <c r="AL445" i="1"/>
  <c r="AK445" i="1"/>
  <c r="AJ445" i="1"/>
  <c r="AI445" i="1"/>
  <c r="AH445" i="1"/>
  <c r="AG445" i="1"/>
  <c r="AC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T444" i="1"/>
  <c r="AS444" i="1"/>
  <c r="AQ444" i="1"/>
  <c r="AN444" i="1"/>
  <c r="AL444" i="1"/>
  <c r="AK444" i="1"/>
  <c r="AJ444" i="1"/>
  <c r="AI444" i="1"/>
  <c r="AH444" i="1"/>
  <c r="AG444" i="1"/>
  <c r="AC444" i="1"/>
  <c r="AA444" i="1"/>
  <c r="Z444" i="1"/>
  <c r="Y444" i="1"/>
  <c r="X444" i="1"/>
  <c r="W444" i="1"/>
  <c r="V444" i="1"/>
  <c r="U444" i="1"/>
  <c r="T444" i="1"/>
  <c r="S444" i="1"/>
  <c r="R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T443" i="1"/>
  <c r="AS443" i="1"/>
  <c r="AQ443" i="1"/>
  <c r="AN443" i="1"/>
  <c r="AL443" i="1"/>
  <c r="AK443" i="1"/>
  <c r="AJ443" i="1"/>
  <c r="AI443" i="1"/>
  <c r="AH443" i="1"/>
  <c r="AG443" i="1"/>
  <c r="AC443" i="1"/>
  <c r="AA443" i="1"/>
  <c r="Z443" i="1"/>
  <c r="Y443" i="1"/>
  <c r="X443" i="1"/>
  <c r="W443" i="1"/>
  <c r="V443" i="1"/>
  <c r="U443" i="1"/>
  <c r="T443" i="1"/>
  <c r="S443" i="1"/>
  <c r="R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T442" i="1"/>
  <c r="AS442" i="1"/>
  <c r="AQ442" i="1"/>
  <c r="AN442" i="1"/>
  <c r="AL442" i="1"/>
  <c r="AK442" i="1"/>
  <c r="AJ442" i="1"/>
  <c r="AI442" i="1"/>
  <c r="AH442" i="1"/>
  <c r="AG442" i="1"/>
  <c r="AC442" i="1"/>
  <c r="AA442" i="1"/>
  <c r="Z442" i="1"/>
  <c r="Y442" i="1"/>
  <c r="X442" i="1"/>
  <c r="W442" i="1"/>
  <c r="V442" i="1"/>
  <c r="U442" i="1"/>
  <c r="T442" i="1"/>
  <c r="S442" i="1"/>
  <c r="R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T441" i="1"/>
  <c r="AS441" i="1"/>
  <c r="AQ441" i="1"/>
  <c r="AN441" i="1"/>
  <c r="AL441" i="1"/>
  <c r="AK441" i="1"/>
  <c r="AJ441" i="1"/>
  <c r="AI441" i="1"/>
  <c r="AH441" i="1"/>
  <c r="AG441" i="1"/>
  <c r="AC441" i="1"/>
  <c r="AA441" i="1"/>
  <c r="Z441" i="1"/>
  <c r="Y441" i="1"/>
  <c r="X441" i="1"/>
  <c r="W441" i="1"/>
  <c r="V441" i="1"/>
  <c r="U441" i="1"/>
  <c r="T441" i="1"/>
  <c r="S441" i="1"/>
  <c r="R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T440" i="1"/>
  <c r="AS440" i="1"/>
  <c r="AQ440" i="1"/>
  <c r="AN440" i="1"/>
  <c r="AL440" i="1"/>
  <c r="AK440" i="1"/>
  <c r="AJ440" i="1"/>
  <c r="AI440" i="1"/>
  <c r="AH440" i="1"/>
  <c r="AG440" i="1"/>
  <c r="AC440" i="1"/>
  <c r="AA440" i="1"/>
  <c r="Z440" i="1"/>
  <c r="Y440" i="1"/>
  <c r="X440" i="1"/>
  <c r="W440" i="1"/>
  <c r="V440" i="1"/>
  <c r="U440" i="1"/>
  <c r="T440" i="1"/>
  <c r="S440" i="1"/>
  <c r="R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T439" i="1"/>
  <c r="AS439" i="1"/>
  <c r="AQ439" i="1"/>
  <c r="AN439" i="1"/>
  <c r="AL439" i="1"/>
  <c r="AK439" i="1"/>
  <c r="AJ439" i="1"/>
  <c r="AI439" i="1"/>
  <c r="AH439" i="1"/>
  <c r="AG439" i="1"/>
  <c r="AC439" i="1"/>
  <c r="AA439" i="1"/>
  <c r="Z439" i="1"/>
  <c r="Y439" i="1"/>
  <c r="X439" i="1"/>
  <c r="W439" i="1"/>
  <c r="V439" i="1"/>
  <c r="U439" i="1"/>
  <c r="T439" i="1"/>
  <c r="S439" i="1"/>
  <c r="R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T438" i="1"/>
  <c r="AS438" i="1"/>
  <c r="AQ438" i="1"/>
  <c r="AN438" i="1"/>
  <c r="AL438" i="1"/>
  <c r="AK438" i="1"/>
  <c r="AJ438" i="1"/>
  <c r="AI438" i="1"/>
  <c r="AH438" i="1"/>
  <c r="AG438" i="1"/>
  <c r="AC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T437" i="1"/>
  <c r="AS437" i="1"/>
  <c r="AQ437" i="1"/>
  <c r="AN437" i="1"/>
  <c r="AL437" i="1"/>
  <c r="AK437" i="1"/>
  <c r="AJ437" i="1"/>
  <c r="AI437" i="1"/>
  <c r="AH437" i="1"/>
  <c r="AG437" i="1"/>
  <c r="AC437" i="1"/>
  <c r="AA437" i="1"/>
  <c r="Z437" i="1"/>
  <c r="Y437" i="1"/>
  <c r="X437" i="1"/>
  <c r="W437" i="1"/>
  <c r="V437" i="1"/>
  <c r="U437" i="1"/>
  <c r="T437" i="1"/>
  <c r="S437" i="1"/>
  <c r="R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T436" i="1"/>
  <c r="AS436" i="1"/>
  <c r="AQ436" i="1"/>
  <c r="AN436" i="1"/>
  <c r="AL436" i="1"/>
  <c r="AK436" i="1"/>
  <c r="AJ436" i="1"/>
  <c r="AI436" i="1"/>
  <c r="AH436" i="1"/>
  <c r="AG436" i="1"/>
  <c r="AC436" i="1"/>
  <c r="AA436" i="1"/>
  <c r="Z436" i="1"/>
  <c r="Y436" i="1"/>
  <c r="X436" i="1"/>
  <c r="W436" i="1"/>
  <c r="V436" i="1"/>
  <c r="U436" i="1"/>
  <c r="T436" i="1"/>
  <c r="S436" i="1"/>
  <c r="R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T435" i="1"/>
  <c r="AS435" i="1"/>
  <c r="AQ435" i="1"/>
  <c r="AN435" i="1"/>
  <c r="AL435" i="1"/>
  <c r="AK435" i="1"/>
  <c r="AJ435" i="1"/>
  <c r="AI435" i="1"/>
  <c r="AH435" i="1"/>
  <c r="AG435" i="1"/>
  <c r="AC435" i="1"/>
  <c r="AA435" i="1"/>
  <c r="Z435" i="1"/>
  <c r="Y435" i="1"/>
  <c r="X435" i="1"/>
  <c r="W435" i="1"/>
  <c r="V435" i="1"/>
  <c r="U435" i="1"/>
  <c r="T435" i="1"/>
  <c r="S435" i="1"/>
  <c r="R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T434" i="1"/>
  <c r="AS434" i="1"/>
  <c r="AQ434" i="1"/>
  <c r="AN434" i="1"/>
  <c r="AL434" i="1"/>
  <c r="AK434" i="1"/>
  <c r="AJ434" i="1"/>
  <c r="AI434" i="1"/>
  <c r="AH434" i="1"/>
  <c r="AG434" i="1"/>
  <c r="AC434" i="1"/>
  <c r="AA434" i="1"/>
  <c r="Z434" i="1"/>
  <c r="Y434" i="1"/>
  <c r="X434" i="1"/>
  <c r="W434" i="1"/>
  <c r="V434" i="1"/>
  <c r="U434" i="1"/>
  <c r="T434" i="1"/>
  <c r="S434" i="1"/>
  <c r="R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T433" i="1"/>
  <c r="AS433" i="1"/>
  <c r="AQ433" i="1"/>
  <c r="AN433" i="1"/>
  <c r="AL433" i="1"/>
  <c r="AK433" i="1"/>
  <c r="AJ433" i="1"/>
  <c r="AI433" i="1"/>
  <c r="AH433" i="1"/>
  <c r="AG433" i="1"/>
  <c r="AC433" i="1"/>
  <c r="AA433" i="1"/>
  <c r="Z433" i="1"/>
  <c r="Y433" i="1"/>
  <c r="X433" i="1"/>
  <c r="W433" i="1"/>
  <c r="V433" i="1"/>
  <c r="U433" i="1"/>
  <c r="T433" i="1"/>
  <c r="S433" i="1"/>
  <c r="R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T432" i="1"/>
  <c r="AS432" i="1"/>
  <c r="AQ432" i="1"/>
  <c r="AN432" i="1"/>
  <c r="AL432" i="1"/>
  <c r="AK432" i="1"/>
  <c r="AJ432" i="1"/>
  <c r="AI432" i="1"/>
  <c r="AH432" i="1"/>
  <c r="AG432" i="1"/>
  <c r="AC432" i="1"/>
  <c r="AA432" i="1"/>
  <c r="Z432" i="1"/>
  <c r="Y432" i="1"/>
  <c r="X432" i="1"/>
  <c r="W432" i="1"/>
  <c r="V432" i="1"/>
  <c r="U432" i="1"/>
  <c r="T432" i="1"/>
  <c r="S432" i="1"/>
  <c r="R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T431" i="1"/>
  <c r="AS431" i="1"/>
  <c r="AQ431" i="1"/>
  <c r="AN431" i="1"/>
  <c r="AL431" i="1"/>
  <c r="AK431" i="1"/>
  <c r="AJ431" i="1"/>
  <c r="AI431" i="1"/>
  <c r="AH431" i="1"/>
  <c r="AG431" i="1"/>
  <c r="AC431" i="1"/>
  <c r="AA431" i="1"/>
  <c r="Z431" i="1"/>
  <c r="Y431" i="1"/>
  <c r="X431" i="1"/>
  <c r="W431" i="1"/>
  <c r="V431" i="1"/>
  <c r="U431" i="1"/>
  <c r="T431" i="1"/>
  <c r="S431" i="1"/>
  <c r="R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T430" i="1"/>
  <c r="AS430" i="1"/>
  <c r="AQ430" i="1"/>
  <c r="AN430" i="1"/>
  <c r="AL430" i="1"/>
  <c r="AK430" i="1"/>
  <c r="AJ430" i="1"/>
  <c r="AI430" i="1"/>
  <c r="AH430" i="1"/>
  <c r="AG430" i="1"/>
  <c r="AC430" i="1"/>
  <c r="AA430" i="1"/>
  <c r="Z430" i="1"/>
  <c r="Y430" i="1"/>
  <c r="X430" i="1"/>
  <c r="W430" i="1"/>
  <c r="V430" i="1"/>
  <c r="U430" i="1"/>
  <c r="T430" i="1"/>
  <c r="S430" i="1"/>
  <c r="R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T429" i="1"/>
  <c r="AS429" i="1"/>
  <c r="AQ429" i="1"/>
  <c r="AN429" i="1"/>
  <c r="AL429" i="1"/>
  <c r="AK429" i="1"/>
  <c r="AJ429" i="1"/>
  <c r="AI429" i="1"/>
  <c r="AH429" i="1"/>
  <c r="AG429" i="1"/>
  <c r="AC429" i="1"/>
  <c r="AA429" i="1"/>
  <c r="Z429" i="1"/>
  <c r="Y429" i="1"/>
  <c r="X429" i="1"/>
  <c r="W429" i="1"/>
  <c r="V429" i="1"/>
  <c r="U429" i="1"/>
  <c r="T429" i="1"/>
  <c r="S429" i="1"/>
  <c r="R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T428" i="1"/>
  <c r="AS428" i="1"/>
  <c r="AQ428" i="1"/>
  <c r="AN428" i="1"/>
  <c r="AL428" i="1"/>
  <c r="AK428" i="1"/>
  <c r="AJ428" i="1"/>
  <c r="AI428" i="1"/>
  <c r="AH428" i="1"/>
  <c r="AG428" i="1"/>
  <c r="AC428" i="1"/>
  <c r="AA428" i="1"/>
  <c r="Z428" i="1"/>
  <c r="Y428" i="1"/>
  <c r="X428" i="1"/>
  <c r="W428" i="1"/>
  <c r="V428" i="1"/>
  <c r="U428" i="1"/>
  <c r="T428" i="1"/>
  <c r="S428" i="1"/>
  <c r="R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T427" i="1"/>
  <c r="AS427" i="1"/>
  <c r="AQ427" i="1"/>
  <c r="AN427" i="1"/>
  <c r="AL427" i="1"/>
  <c r="AK427" i="1"/>
  <c r="AJ427" i="1"/>
  <c r="AI427" i="1"/>
  <c r="AH427" i="1"/>
  <c r="AG427" i="1"/>
  <c r="AC427" i="1"/>
  <c r="AA427" i="1"/>
  <c r="Z427" i="1"/>
  <c r="Y427" i="1"/>
  <c r="X427" i="1"/>
  <c r="W427" i="1"/>
  <c r="V427" i="1"/>
  <c r="U427" i="1"/>
  <c r="T427" i="1"/>
  <c r="S427" i="1"/>
  <c r="R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T426" i="1"/>
  <c r="AS426" i="1"/>
  <c r="AQ426" i="1"/>
  <c r="AN426" i="1"/>
  <c r="AL426" i="1"/>
  <c r="AK426" i="1"/>
  <c r="AJ426" i="1"/>
  <c r="AI426" i="1"/>
  <c r="AH426" i="1"/>
  <c r="AG426" i="1"/>
  <c r="AC426" i="1"/>
  <c r="AA426" i="1"/>
  <c r="Z426" i="1"/>
  <c r="Y426" i="1"/>
  <c r="X426" i="1"/>
  <c r="W426" i="1"/>
  <c r="V426" i="1"/>
  <c r="U426" i="1"/>
  <c r="T426" i="1"/>
  <c r="S426" i="1"/>
  <c r="R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T425" i="1"/>
  <c r="AS425" i="1"/>
  <c r="AQ425" i="1"/>
  <c r="AN425" i="1"/>
  <c r="AL425" i="1"/>
  <c r="AK425" i="1"/>
  <c r="AJ425" i="1"/>
  <c r="AI425" i="1"/>
  <c r="AH425" i="1"/>
  <c r="AG425" i="1"/>
  <c r="AC425" i="1"/>
  <c r="AA425" i="1"/>
  <c r="Z425" i="1"/>
  <c r="Y425" i="1"/>
  <c r="X425" i="1"/>
  <c r="W425" i="1"/>
  <c r="V425" i="1"/>
  <c r="U425" i="1"/>
  <c r="T425" i="1"/>
  <c r="S425" i="1"/>
  <c r="R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T424" i="1"/>
  <c r="AS424" i="1"/>
  <c r="AQ424" i="1"/>
  <c r="AN424" i="1"/>
  <c r="AL424" i="1"/>
  <c r="AK424" i="1"/>
  <c r="AJ424" i="1"/>
  <c r="AI424" i="1"/>
  <c r="AH424" i="1"/>
  <c r="AG424" i="1"/>
  <c r="AC424" i="1"/>
  <c r="AA424" i="1"/>
  <c r="Z424" i="1"/>
  <c r="Y424" i="1"/>
  <c r="X424" i="1"/>
  <c r="W424" i="1"/>
  <c r="V424" i="1"/>
  <c r="U424" i="1"/>
  <c r="T424" i="1"/>
  <c r="S424" i="1"/>
  <c r="R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T423" i="1"/>
  <c r="AS423" i="1"/>
  <c r="AQ423" i="1"/>
  <c r="AN423" i="1"/>
  <c r="AL423" i="1"/>
  <c r="AK423" i="1"/>
  <c r="AJ423" i="1"/>
  <c r="AI423" i="1"/>
  <c r="AH423" i="1"/>
  <c r="AG423" i="1"/>
  <c r="AC423" i="1"/>
  <c r="AA423" i="1"/>
  <c r="Z423" i="1"/>
  <c r="Y423" i="1"/>
  <c r="X423" i="1"/>
  <c r="W423" i="1"/>
  <c r="V423" i="1"/>
  <c r="U423" i="1"/>
  <c r="T423" i="1"/>
  <c r="S423" i="1"/>
  <c r="R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T422" i="1"/>
  <c r="AS422" i="1"/>
  <c r="AQ422" i="1"/>
  <c r="AN422" i="1"/>
  <c r="AL422" i="1"/>
  <c r="AK422" i="1"/>
  <c r="AJ422" i="1"/>
  <c r="AI422" i="1"/>
  <c r="AH422" i="1"/>
  <c r="AG422" i="1"/>
  <c r="AC422" i="1"/>
  <c r="AA422" i="1"/>
  <c r="Z422" i="1"/>
  <c r="Y422" i="1"/>
  <c r="X422" i="1"/>
  <c r="W422" i="1"/>
  <c r="V422" i="1"/>
  <c r="U422" i="1"/>
  <c r="T422" i="1"/>
  <c r="S422" i="1"/>
  <c r="R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T421" i="1"/>
  <c r="AS421" i="1"/>
  <c r="AQ421" i="1"/>
  <c r="AN421" i="1"/>
  <c r="AL421" i="1"/>
  <c r="AK421" i="1"/>
  <c r="AJ421" i="1"/>
  <c r="AI421" i="1"/>
  <c r="AH421" i="1"/>
  <c r="AG421" i="1"/>
  <c r="AC421" i="1"/>
  <c r="AA421" i="1"/>
  <c r="Z421" i="1"/>
  <c r="Y421" i="1"/>
  <c r="X421" i="1"/>
  <c r="W421" i="1"/>
  <c r="V421" i="1"/>
  <c r="U421" i="1"/>
  <c r="T421" i="1"/>
  <c r="S421" i="1"/>
  <c r="R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T420" i="1"/>
  <c r="AS420" i="1"/>
  <c r="AQ420" i="1"/>
  <c r="AN420" i="1"/>
  <c r="AL420" i="1"/>
  <c r="AK420" i="1"/>
  <c r="AJ420" i="1"/>
  <c r="AI420" i="1"/>
  <c r="AH420" i="1"/>
  <c r="AC420" i="1"/>
  <c r="AA420" i="1"/>
  <c r="Z420" i="1"/>
  <c r="Y420" i="1"/>
  <c r="X420" i="1"/>
  <c r="W420" i="1"/>
  <c r="V420" i="1"/>
  <c r="U420" i="1"/>
  <c r="T420" i="1"/>
  <c r="S420" i="1"/>
  <c r="R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T419" i="1"/>
  <c r="AS419" i="1"/>
  <c r="AQ419" i="1"/>
  <c r="AN419" i="1"/>
  <c r="AL419" i="1"/>
  <c r="AK419" i="1"/>
  <c r="AJ419" i="1"/>
  <c r="AH419" i="1"/>
  <c r="AC419" i="1"/>
  <c r="AA419" i="1"/>
  <c r="Z419" i="1"/>
  <c r="Y419" i="1"/>
  <c r="X419" i="1"/>
  <c r="W419" i="1"/>
  <c r="V419" i="1"/>
  <c r="U419" i="1"/>
  <c r="T419" i="1"/>
  <c r="S419" i="1"/>
  <c r="R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T418" i="1"/>
  <c r="AS418" i="1"/>
  <c r="AQ418" i="1"/>
  <c r="AN418" i="1"/>
  <c r="AL418" i="1"/>
  <c r="AK418" i="1"/>
  <c r="AJ418" i="1"/>
  <c r="AH418" i="1"/>
  <c r="AG418" i="1"/>
  <c r="AC418" i="1"/>
  <c r="AA418" i="1"/>
  <c r="Z418" i="1"/>
  <c r="Y418" i="1"/>
  <c r="X418" i="1"/>
  <c r="W418" i="1"/>
  <c r="V418" i="1"/>
  <c r="U418" i="1"/>
  <c r="T418" i="1"/>
  <c r="S418" i="1"/>
  <c r="R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T417" i="1"/>
  <c r="AS417" i="1"/>
  <c r="AQ417" i="1"/>
  <c r="AN417" i="1"/>
  <c r="AL417" i="1"/>
  <c r="AK417" i="1"/>
  <c r="AJ417" i="1"/>
  <c r="AH417" i="1"/>
  <c r="AG417" i="1"/>
  <c r="AC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T416" i="1"/>
  <c r="AS416" i="1"/>
  <c r="AQ416" i="1"/>
  <c r="AN416" i="1"/>
  <c r="AL416" i="1"/>
  <c r="AK416" i="1"/>
  <c r="AJ416" i="1"/>
  <c r="AH416" i="1"/>
  <c r="AG416" i="1"/>
  <c r="AC416" i="1"/>
  <c r="AA416" i="1"/>
  <c r="Z416" i="1"/>
  <c r="Y416" i="1"/>
  <c r="X416" i="1"/>
  <c r="W416" i="1"/>
  <c r="V416" i="1"/>
  <c r="U416" i="1"/>
  <c r="T416" i="1"/>
  <c r="S416" i="1"/>
  <c r="R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T415" i="1"/>
  <c r="AS415" i="1"/>
  <c r="AQ415" i="1"/>
  <c r="AN415" i="1"/>
  <c r="AL415" i="1"/>
  <c r="AK415" i="1"/>
  <c r="AJ415" i="1"/>
  <c r="AH415" i="1"/>
  <c r="AG415" i="1"/>
  <c r="AC415" i="1"/>
  <c r="AA415" i="1"/>
  <c r="Z415" i="1"/>
  <c r="Y415" i="1"/>
  <c r="X415" i="1"/>
  <c r="W415" i="1"/>
  <c r="V415" i="1"/>
  <c r="U415" i="1"/>
  <c r="T415" i="1"/>
  <c r="S415" i="1"/>
  <c r="R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T414" i="1"/>
  <c r="AS414" i="1"/>
  <c r="AQ414" i="1"/>
  <c r="AN414" i="1"/>
  <c r="AL414" i="1"/>
  <c r="AK414" i="1"/>
  <c r="AJ414" i="1"/>
  <c r="AH414" i="1"/>
  <c r="AG414" i="1"/>
  <c r="AC414" i="1"/>
  <c r="AA414" i="1"/>
  <c r="Z414" i="1"/>
  <c r="Y414" i="1"/>
  <c r="X414" i="1"/>
  <c r="W414" i="1"/>
  <c r="V414" i="1"/>
  <c r="U414" i="1"/>
  <c r="T414" i="1"/>
  <c r="S414" i="1"/>
  <c r="R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T413" i="1"/>
  <c r="AS413" i="1"/>
  <c r="AQ413" i="1"/>
  <c r="AN413" i="1"/>
  <c r="AL413" i="1"/>
  <c r="AK413" i="1"/>
  <c r="AJ413" i="1"/>
  <c r="AH413" i="1"/>
  <c r="AG413" i="1"/>
  <c r="AC413" i="1"/>
  <c r="AA413" i="1"/>
  <c r="Z413" i="1"/>
  <c r="Y413" i="1"/>
  <c r="X413" i="1"/>
  <c r="W413" i="1"/>
  <c r="V413" i="1"/>
  <c r="U413" i="1"/>
  <c r="T413" i="1"/>
  <c r="S413" i="1"/>
  <c r="R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T412" i="1"/>
  <c r="AS412" i="1"/>
  <c r="AQ412" i="1"/>
  <c r="AN412" i="1"/>
  <c r="AL412" i="1"/>
  <c r="AK412" i="1"/>
  <c r="AJ412" i="1"/>
  <c r="AH412" i="1"/>
  <c r="AC412" i="1"/>
  <c r="AA412" i="1"/>
  <c r="Z412" i="1"/>
  <c r="Y412" i="1"/>
  <c r="X412" i="1"/>
  <c r="W412" i="1"/>
  <c r="V412" i="1"/>
  <c r="U412" i="1"/>
  <c r="T412" i="1"/>
  <c r="S412" i="1"/>
  <c r="R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T411" i="1"/>
  <c r="AS411" i="1"/>
  <c r="AQ411" i="1"/>
  <c r="AN411" i="1"/>
  <c r="AL411" i="1"/>
  <c r="AK411" i="1"/>
  <c r="AJ411" i="1"/>
  <c r="AH411" i="1"/>
  <c r="AG411" i="1"/>
  <c r="AC411" i="1"/>
  <c r="AA411" i="1"/>
  <c r="Z411" i="1"/>
  <c r="Y411" i="1"/>
  <c r="X411" i="1"/>
  <c r="W411" i="1"/>
  <c r="V411" i="1"/>
  <c r="U411" i="1"/>
  <c r="T411" i="1"/>
  <c r="S411" i="1"/>
  <c r="R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T410" i="1"/>
  <c r="AS410" i="1"/>
  <c r="AQ410" i="1"/>
  <c r="AN410" i="1"/>
  <c r="AL410" i="1"/>
  <c r="AK410" i="1"/>
  <c r="AJ410" i="1"/>
  <c r="AH410" i="1"/>
  <c r="AG410" i="1"/>
  <c r="AC410" i="1"/>
  <c r="AA410" i="1"/>
  <c r="Z410" i="1"/>
  <c r="Y410" i="1"/>
  <c r="X410" i="1"/>
  <c r="W410" i="1"/>
  <c r="V410" i="1"/>
  <c r="U410" i="1"/>
  <c r="T410" i="1"/>
  <c r="S410" i="1"/>
  <c r="R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T409" i="1"/>
  <c r="AS409" i="1"/>
  <c r="AQ409" i="1"/>
  <c r="AN409" i="1"/>
  <c r="AL409" i="1"/>
  <c r="AK409" i="1"/>
  <c r="AJ409" i="1"/>
  <c r="AH409" i="1"/>
  <c r="AG409" i="1"/>
  <c r="AC409" i="1"/>
  <c r="AA409" i="1"/>
  <c r="Z409" i="1"/>
  <c r="Y409" i="1"/>
  <c r="X409" i="1"/>
  <c r="W409" i="1"/>
  <c r="V409" i="1"/>
  <c r="U409" i="1"/>
  <c r="T409" i="1"/>
  <c r="S409" i="1"/>
  <c r="R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T408" i="1"/>
  <c r="AS408" i="1"/>
  <c r="AQ408" i="1"/>
  <c r="AN408" i="1"/>
  <c r="AL408" i="1"/>
  <c r="AK408" i="1"/>
  <c r="AJ408" i="1"/>
  <c r="AH408" i="1"/>
  <c r="AG408" i="1"/>
  <c r="AC408" i="1"/>
  <c r="AA408" i="1"/>
  <c r="Z408" i="1"/>
  <c r="Y408" i="1"/>
  <c r="X408" i="1"/>
  <c r="W408" i="1"/>
  <c r="V408" i="1"/>
  <c r="U408" i="1"/>
  <c r="T408" i="1"/>
  <c r="S408" i="1"/>
  <c r="R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T407" i="1"/>
  <c r="AS407" i="1"/>
  <c r="AQ407" i="1"/>
  <c r="AN407" i="1"/>
  <c r="AL407" i="1"/>
  <c r="AK407" i="1"/>
  <c r="AJ407" i="1"/>
  <c r="AH407" i="1"/>
  <c r="AG407" i="1"/>
  <c r="AC407" i="1"/>
  <c r="AA407" i="1"/>
  <c r="Z407" i="1"/>
  <c r="Y407" i="1"/>
  <c r="X407" i="1"/>
  <c r="W407" i="1"/>
  <c r="V407" i="1"/>
  <c r="U407" i="1"/>
  <c r="T407" i="1"/>
  <c r="S407" i="1"/>
  <c r="R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T406" i="1"/>
  <c r="AS406" i="1"/>
  <c r="AQ406" i="1"/>
  <c r="AN406" i="1"/>
  <c r="AL406" i="1"/>
  <c r="AK406" i="1"/>
  <c r="AJ406" i="1"/>
  <c r="AH406" i="1"/>
  <c r="AG406" i="1"/>
  <c r="AC406" i="1"/>
  <c r="AA406" i="1"/>
  <c r="Z406" i="1"/>
  <c r="Y406" i="1"/>
  <c r="X406" i="1"/>
  <c r="W406" i="1"/>
  <c r="V406" i="1"/>
  <c r="U406" i="1"/>
  <c r="T406" i="1"/>
  <c r="S406" i="1"/>
  <c r="R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T405" i="1"/>
  <c r="AS405" i="1"/>
  <c r="AQ405" i="1"/>
  <c r="AN405" i="1"/>
  <c r="AL405" i="1"/>
  <c r="AK405" i="1"/>
  <c r="AJ405" i="1"/>
  <c r="AH405" i="1"/>
  <c r="AG405" i="1"/>
  <c r="AC405" i="1"/>
  <c r="AA405" i="1"/>
  <c r="Z405" i="1"/>
  <c r="Y405" i="1"/>
  <c r="X405" i="1"/>
  <c r="W405" i="1"/>
  <c r="V405" i="1"/>
  <c r="U405" i="1"/>
  <c r="T405" i="1"/>
  <c r="S405" i="1"/>
  <c r="R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T404" i="1"/>
  <c r="AS404" i="1"/>
  <c r="AQ404" i="1"/>
  <c r="AN404" i="1"/>
  <c r="AL404" i="1"/>
  <c r="AK404" i="1"/>
  <c r="AJ404" i="1"/>
  <c r="AH404" i="1"/>
  <c r="AG404" i="1"/>
  <c r="AC404" i="1"/>
  <c r="AA404" i="1"/>
  <c r="Z404" i="1"/>
  <c r="Y404" i="1"/>
  <c r="X404" i="1"/>
  <c r="W404" i="1"/>
  <c r="V404" i="1"/>
  <c r="U404" i="1"/>
  <c r="T404" i="1"/>
  <c r="S404" i="1"/>
  <c r="R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T403" i="1"/>
  <c r="AS403" i="1"/>
  <c r="AQ403" i="1"/>
  <c r="AN403" i="1"/>
  <c r="AL403" i="1"/>
  <c r="AK403" i="1"/>
  <c r="AJ403" i="1"/>
  <c r="AH403" i="1"/>
  <c r="AG403" i="1"/>
  <c r="AC403" i="1"/>
  <c r="AA403" i="1"/>
  <c r="Z403" i="1"/>
  <c r="Y403" i="1"/>
  <c r="X403" i="1"/>
  <c r="W403" i="1"/>
  <c r="V403" i="1"/>
  <c r="U403" i="1"/>
  <c r="T403" i="1"/>
  <c r="S403" i="1"/>
  <c r="R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T402" i="1"/>
  <c r="AS402" i="1"/>
  <c r="AQ402" i="1"/>
  <c r="AN402" i="1"/>
  <c r="AL402" i="1"/>
  <c r="AK402" i="1"/>
  <c r="AJ402" i="1"/>
  <c r="AH402" i="1"/>
  <c r="AG402" i="1"/>
  <c r="AC402" i="1"/>
  <c r="AA402" i="1"/>
  <c r="Z402" i="1"/>
  <c r="Y402" i="1"/>
  <c r="X402" i="1"/>
  <c r="W402" i="1"/>
  <c r="V402" i="1"/>
  <c r="U402" i="1"/>
  <c r="T402" i="1"/>
  <c r="S402" i="1"/>
  <c r="R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T401" i="1"/>
  <c r="AS401" i="1"/>
  <c r="AQ401" i="1"/>
  <c r="AN401" i="1"/>
  <c r="AL401" i="1"/>
  <c r="AK401" i="1"/>
  <c r="AJ401" i="1"/>
  <c r="AH401" i="1"/>
  <c r="AG401" i="1"/>
  <c r="AC401" i="1"/>
  <c r="AA401" i="1"/>
  <c r="Z401" i="1"/>
  <c r="Y401" i="1"/>
  <c r="X401" i="1"/>
  <c r="W401" i="1"/>
  <c r="V401" i="1"/>
  <c r="U401" i="1"/>
  <c r="T401" i="1"/>
  <c r="S401" i="1"/>
  <c r="R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T400" i="1"/>
  <c r="AS400" i="1"/>
  <c r="AQ400" i="1"/>
  <c r="AN400" i="1"/>
  <c r="AL400" i="1"/>
  <c r="AK400" i="1"/>
  <c r="AJ400" i="1"/>
  <c r="AH400" i="1"/>
  <c r="AG400" i="1"/>
  <c r="AC400" i="1"/>
  <c r="AA400" i="1"/>
  <c r="Z400" i="1"/>
  <c r="Y400" i="1"/>
  <c r="X400" i="1"/>
  <c r="W400" i="1"/>
  <c r="V400" i="1"/>
  <c r="U400" i="1"/>
  <c r="T400" i="1"/>
  <c r="S400" i="1"/>
  <c r="R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T399" i="1"/>
  <c r="AS399" i="1"/>
  <c r="AQ399" i="1"/>
  <c r="AN399" i="1"/>
  <c r="AL399" i="1"/>
  <c r="AK399" i="1"/>
  <c r="AJ399" i="1"/>
  <c r="AH399" i="1"/>
  <c r="AG399" i="1"/>
  <c r="AC399" i="1"/>
  <c r="AA399" i="1"/>
  <c r="Z399" i="1"/>
  <c r="Y399" i="1"/>
  <c r="X399" i="1"/>
  <c r="W399" i="1"/>
  <c r="V399" i="1"/>
  <c r="U399" i="1"/>
  <c r="T399" i="1"/>
  <c r="S399" i="1"/>
  <c r="R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T398" i="1"/>
  <c r="AS398" i="1"/>
  <c r="AQ398" i="1"/>
  <c r="AN398" i="1"/>
  <c r="AL398" i="1"/>
  <c r="AK398" i="1"/>
  <c r="AJ398" i="1"/>
  <c r="AH398" i="1"/>
  <c r="AG398" i="1"/>
  <c r="AC398" i="1"/>
  <c r="AA398" i="1"/>
  <c r="Z398" i="1"/>
  <c r="Y398" i="1"/>
  <c r="X398" i="1"/>
  <c r="W398" i="1"/>
  <c r="V398" i="1"/>
  <c r="U398" i="1"/>
  <c r="T398" i="1"/>
  <c r="S398" i="1"/>
  <c r="R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T397" i="1"/>
  <c r="AS397" i="1"/>
  <c r="AQ397" i="1"/>
  <c r="AN397" i="1"/>
  <c r="AK397" i="1"/>
  <c r="AJ397" i="1"/>
  <c r="AH397" i="1"/>
  <c r="AG397" i="1"/>
  <c r="AC397" i="1"/>
  <c r="AA397" i="1"/>
  <c r="Z397" i="1"/>
  <c r="Y397" i="1"/>
  <c r="X397" i="1"/>
  <c r="W397" i="1"/>
  <c r="V397" i="1"/>
  <c r="U397" i="1"/>
  <c r="T397" i="1"/>
  <c r="S397" i="1"/>
  <c r="R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T396" i="1"/>
  <c r="AS396" i="1"/>
  <c r="AQ396" i="1"/>
  <c r="AN396" i="1"/>
  <c r="AK396" i="1"/>
  <c r="AJ396" i="1"/>
  <c r="AH396" i="1"/>
  <c r="AG396" i="1"/>
  <c r="AC396" i="1"/>
  <c r="AA396" i="1"/>
  <c r="Z396" i="1"/>
  <c r="Y396" i="1"/>
  <c r="X396" i="1"/>
  <c r="W396" i="1"/>
  <c r="V396" i="1"/>
  <c r="U396" i="1"/>
  <c r="T396" i="1"/>
  <c r="S396" i="1"/>
  <c r="R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T395" i="1"/>
  <c r="AS395" i="1"/>
  <c r="AQ395" i="1"/>
  <c r="AN395" i="1"/>
  <c r="AK395" i="1"/>
  <c r="AJ395" i="1"/>
  <c r="AH395" i="1"/>
  <c r="AG395" i="1"/>
  <c r="AC395" i="1"/>
  <c r="AA395" i="1"/>
  <c r="Z395" i="1"/>
  <c r="Y395" i="1"/>
  <c r="X395" i="1"/>
  <c r="W395" i="1"/>
  <c r="V395" i="1"/>
  <c r="U395" i="1"/>
  <c r="T395" i="1"/>
  <c r="S395" i="1"/>
  <c r="R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T394" i="1"/>
  <c r="AS394" i="1"/>
  <c r="AQ394" i="1"/>
  <c r="AN394" i="1"/>
  <c r="AK394" i="1"/>
  <c r="AJ394" i="1"/>
  <c r="AH394" i="1"/>
  <c r="AG394" i="1"/>
  <c r="AC394" i="1"/>
  <c r="AA394" i="1"/>
  <c r="Z394" i="1"/>
  <c r="Y394" i="1"/>
  <c r="X394" i="1"/>
  <c r="W394" i="1"/>
  <c r="V394" i="1"/>
  <c r="U394" i="1"/>
  <c r="T394" i="1"/>
  <c r="S394" i="1"/>
  <c r="R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T393" i="1"/>
  <c r="AS393" i="1"/>
  <c r="AQ393" i="1"/>
  <c r="AN393" i="1"/>
  <c r="AK393" i="1"/>
  <c r="AJ393" i="1"/>
  <c r="AH393" i="1"/>
  <c r="AG393" i="1"/>
  <c r="AC393" i="1"/>
  <c r="AA393" i="1"/>
  <c r="Z393" i="1"/>
  <c r="Y393" i="1"/>
  <c r="X393" i="1"/>
  <c r="W393" i="1"/>
  <c r="V393" i="1"/>
  <c r="U393" i="1"/>
  <c r="T393" i="1"/>
  <c r="S393" i="1"/>
  <c r="R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T392" i="1"/>
  <c r="AS392" i="1"/>
  <c r="AQ392" i="1"/>
  <c r="AN392" i="1"/>
  <c r="AK392" i="1"/>
  <c r="AJ392" i="1"/>
  <c r="AH392" i="1"/>
  <c r="AG392" i="1"/>
  <c r="AC392" i="1"/>
  <c r="AA392" i="1"/>
  <c r="Z392" i="1"/>
  <c r="Y392" i="1"/>
  <c r="X392" i="1"/>
  <c r="W392" i="1"/>
  <c r="V392" i="1"/>
  <c r="U392" i="1"/>
  <c r="T392" i="1"/>
  <c r="S392" i="1"/>
  <c r="R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T391" i="1"/>
  <c r="AS391" i="1"/>
  <c r="AQ391" i="1"/>
  <c r="AN391" i="1"/>
  <c r="AK391" i="1"/>
  <c r="AJ391" i="1"/>
  <c r="AH391" i="1"/>
  <c r="AG391" i="1"/>
  <c r="AC391" i="1"/>
  <c r="AA391" i="1"/>
  <c r="Z391" i="1"/>
  <c r="Y391" i="1"/>
  <c r="X391" i="1"/>
  <c r="W391" i="1"/>
  <c r="V391" i="1"/>
  <c r="U391" i="1"/>
  <c r="T391" i="1"/>
  <c r="S391" i="1"/>
  <c r="R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T390" i="1"/>
  <c r="AS390" i="1"/>
  <c r="AQ390" i="1"/>
  <c r="AN390" i="1"/>
  <c r="AK390" i="1"/>
  <c r="AJ390" i="1"/>
  <c r="AH390" i="1"/>
  <c r="AG390" i="1"/>
  <c r="AC390" i="1"/>
  <c r="AA390" i="1"/>
  <c r="Z390" i="1"/>
  <c r="Y390" i="1"/>
  <c r="X390" i="1"/>
  <c r="W390" i="1"/>
  <c r="V390" i="1"/>
  <c r="U390" i="1"/>
  <c r="T390" i="1"/>
  <c r="S390" i="1"/>
  <c r="R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T389" i="1"/>
  <c r="AS389" i="1"/>
  <c r="AQ389" i="1"/>
  <c r="AN389" i="1"/>
  <c r="AK389" i="1"/>
  <c r="AJ389" i="1"/>
  <c r="AH389" i="1"/>
  <c r="AG389" i="1"/>
  <c r="AC389" i="1"/>
  <c r="AA389" i="1"/>
  <c r="Z389" i="1"/>
  <c r="Y389" i="1"/>
  <c r="X389" i="1"/>
  <c r="W389" i="1"/>
  <c r="V389" i="1"/>
  <c r="U389" i="1"/>
  <c r="T389" i="1"/>
  <c r="S389" i="1"/>
  <c r="R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T388" i="1"/>
  <c r="AS388" i="1"/>
  <c r="AQ388" i="1"/>
  <c r="AN388" i="1"/>
  <c r="AK388" i="1"/>
  <c r="AJ388" i="1"/>
  <c r="AH388" i="1"/>
  <c r="AG388" i="1"/>
  <c r="AC388" i="1"/>
  <c r="AA388" i="1"/>
  <c r="Z388" i="1"/>
  <c r="Y388" i="1"/>
  <c r="X388" i="1"/>
  <c r="W388" i="1"/>
  <c r="V388" i="1"/>
  <c r="U388" i="1"/>
  <c r="T388" i="1"/>
  <c r="S388" i="1"/>
  <c r="R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T387" i="1"/>
  <c r="AS387" i="1"/>
  <c r="AQ387" i="1"/>
  <c r="AN387" i="1"/>
  <c r="AK387" i="1"/>
  <c r="AJ387" i="1"/>
  <c r="AH387" i="1"/>
  <c r="AG387" i="1"/>
  <c r="AC387" i="1"/>
  <c r="AA387" i="1"/>
  <c r="Z387" i="1"/>
  <c r="Y387" i="1"/>
  <c r="X387" i="1"/>
  <c r="W387" i="1"/>
  <c r="V387" i="1"/>
  <c r="U387" i="1"/>
  <c r="T387" i="1"/>
  <c r="S387" i="1"/>
  <c r="R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T386" i="1"/>
  <c r="AS386" i="1"/>
  <c r="AQ386" i="1"/>
  <c r="AN386" i="1"/>
  <c r="AM386" i="1"/>
  <c r="AK386" i="1"/>
  <c r="AJ386" i="1"/>
  <c r="AH386" i="1"/>
  <c r="AG386" i="1"/>
  <c r="AE386" i="1"/>
  <c r="AD386" i="1"/>
  <c r="AC386" i="1"/>
  <c r="AA386" i="1"/>
  <c r="Z386" i="1"/>
  <c r="Y386" i="1"/>
  <c r="X386" i="1"/>
  <c r="W386" i="1"/>
  <c r="V386" i="1"/>
  <c r="U386" i="1"/>
  <c r="T386" i="1"/>
  <c r="S386" i="1"/>
  <c r="R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T385" i="1"/>
  <c r="AS385" i="1"/>
  <c r="AQ385" i="1"/>
  <c r="AN385" i="1"/>
  <c r="AK385" i="1"/>
  <c r="AJ385" i="1"/>
  <c r="AH385" i="1"/>
  <c r="AG385" i="1"/>
  <c r="AC385" i="1"/>
  <c r="AA385" i="1"/>
  <c r="Z385" i="1"/>
  <c r="Y385" i="1"/>
  <c r="X385" i="1"/>
  <c r="W385" i="1"/>
  <c r="V385" i="1"/>
  <c r="U385" i="1"/>
  <c r="T385" i="1"/>
  <c r="S385" i="1"/>
  <c r="R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T384" i="1"/>
  <c r="AS384" i="1"/>
  <c r="AQ384" i="1"/>
  <c r="AN384" i="1"/>
  <c r="AK384" i="1"/>
  <c r="AJ384" i="1"/>
  <c r="AH384" i="1"/>
  <c r="AG384" i="1"/>
  <c r="AC384" i="1"/>
  <c r="AA384" i="1"/>
  <c r="Z384" i="1"/>
  <c r="Y384" i="1"/>
  <c r="X384" i="1"/>
  <c r="W384" i="1"/>
  <c r="V384" i="1"/>
  <c r="U384" i="1"/>
  <c r="T384" i="1"/>
  <c r="S384" i="1"/>
  <c r="R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T383" i="1"/>
  <c r="AS383" i="1"/>
  <c r="AQ383" i="1"/>
  <c r="AN383" i="1"/>
  <c r="AK383" i="1"/>
  <c r="AJ383" i="1"/>
  <c r="AH383" i="1"/>
  <c r="AG383" i="1"/>
  <c r="AC383" i="1"/>
  <c r="AA383" i="1"/>
  <c r="Z383" i="1"/>
  <c r="Y383" i="1"/>
  <c r="X383" i="1"/>
  <c r="W383" i="1"/>
  <c r="V383" i="1"/>
  <c r="U383" i="1"/>
  <c r="T383" i="1"/>
  <c r="S383" i="1"/>
  <c r="R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T382" i="1"/>
  <c r="AS382" i="1"/>
  <c r="AQ382" i="1"/>
  <c r="AN382" i="1"/>
  <c r="AK382" i="1"/>
  <c r="AJ382" i="1"/>
  <c r="AH382" i="1"/>
  <c r="AG382" i="1"/>
  <c r="AC382" i="1"/>
  <c r="AA382" i="1"/>
  <c r="Z382" i="1"/>
  <c r="Y382" i="1"/>
  <c r="X382" i="1"/>
  <c r="W382" i="1"/>
  <c r="V382" i="1"/>
  <c r="U382" i="1"/>
  <c r="T382" i="1"/>
  <c r="S382" i="1"/>
  <c r="R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T381" i="1"/>
  <c r="AS381" i="1"/>
  <c r="AQ381" i="1"/>
  <c r="AN381" i="1"/>
  <c r="AK381" i="1"/>
  <c r="AJ381" i="1"/>
  <c r="AH381" i="1"/>
  <c r="AG381" i="1"/>
  <c r="AC381" i="1"/>
  <c r="AA381" i="1"/>
  <c r="Z381" i="1"/>
  <c r="Y381" i="1"/>
  <c r="X381" i="1"/>
  <c r="W381" i="1"/>
  <c r="V381" i="1"/>
  <c r="U381" i="1"/>
  <c r="T381" i="1"/>
  <c r="S381" i="1"/>
  <c r="R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T380" i="1"/>
  <c r="AS380" i="1"/>
  <c r="AQ380" i="1"/>
  <c r="AN380" i="1"/>
  <c r="AK380" i="1"/>
  <c r="AJ380" i="1"/>
  <c r="AH380" i="1"/>
  <c r="AG380" i="1"/>
  <c r="AC380" i="1"/>
  <c r="AA380" i="1"/>
  <c r="Z380" i="1"/>
  <c r="Y380" i="1"/>
  <c r="X380" i="1"/>
  <c r="W380" i="1"/>
  <c r="V380" i="1"/>
  <c r="U380" i="1"/>
  <c r="T380" i="1"/>
  <c r="S380" i="1"/>
  <c r="R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T379" i="1"/>
  <c r="AS379" i="1"/>
  <c r="AQ379" i="1"/>
  <c r="AN379" i="1"/>
  <c r="AK379" i="1"/>
  <c r="AJ379" i="1"/>
  <c r="AH379" i="1"/>
  <c r="AG379" i="1"/>
  <c r="AC379" i="1"/>
  <c r="AA379" i="1"/>
  <c r="Z379" i="1"/>
  <c r="Y379" i="1"/>
  <c r="X379" i="1"/>
  <c r="W379" i="1"/>
  <c r="V379" i="1"/>
  <c r="U379" i="1"/>
  <c r="T379" i="1"/>
  <c r="S379" i="1"/>
  <c r="R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T378" i="1"/>
  <c r="AS378" i="1"/>
  <c r="AQ378" i="1"/>
  <c r="AN378" i="1"/>
  <c r="AK378" i="1"/>
  <c r="AJ378" i="1"/>
  <c r="AH378" i="1"/>
  <c r="AG378" i="1"/>
  <c r="AC378" i="1"/>
  <c r="AA378" i="1"/>
  <c r="Z378" i="1"/>
  <c r="Y378" i="1"/>
  <c r="X378" i="1"/>
  <c r="W378" i="1"/>
  <c r="V378" i="1"/>
  <c r="U378" i="1"/>
  <c r="T378" i="1"/>
  <c r="S378" i="1"/>
  <c r="R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T377" i="1"/>
  <c r="AS377" i="1"/>
  <c r="AQ377" i="1"/>
  <c r="AN377" i="1"/>
  <c r="AK377" i="1"/>
  <c r="AJ377" i="1"/>
  <c r="AH377" i="1"/>
  <c r="AG377" i="1"/>
  <c r="AC377" i="1"/>
  <c r="AA377" i="1"/>
  <c r="Z377" i="1"/>
  <c r="Y377" i="1"/>
  <c r="X377" i="1"/>
  <c r="W377" i="1"/>
  <c r="V377" i="1"/>
  <c r="U377" i="1"/>
  <c r="T377" i="1"/>
  <c r="S377" i="1"/>
  <c r="R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T376" i="1"/>
  <c r="AS376" i="1"/>
  <c r="AQ376" i="1"/>
  <c r="AN376" i="1"/>
  <c r="AK376" i="1"/>
  <c r="AJ376" i="1"/>
  <c r="AH376" i="1"/>
  <c r="AG376" i="1"/>
  <c r="AC376" i="1"/>
  <c r="AA376" i="1"/>
  <c r="Z376" i="1"/>
  <c r="Y376" i="1"/>
  <c r="X376" i="1"/>
  <c r="W376" i="1"/>
  <c r="V376" i="1"/>
  <c r="U376" i="1"/>
  <c r="T376" i="1"/>
  <c r="S376" i="1"/>
  <c r="R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T375" i="1"/>
  <c r="AS375" i="1"/>
  <c r="AQ375" i="1"/>
  <c r="AN375" i="1"/>
  <c r="AK375" i="1"/>
  <c r="AJ375" i="1"/>
  <c r="AH375" i="1"/>
  <c r="AG375" i="1"/>
  <c r="AC375" i="1"/>
  <c r="AA375" i="1"/>
  <c r="Z375" i="1"/>
  <c r="Y375" i="1"/>
  <c r="X375" i="1"/>
  <c r="W375" i="1"/>
  <c r="V375" i="1"/>
  <c r="U375" i="1"/>
  <c r="T375" i="1"/>
  <c r="S375" i="1"/>
  <c r="R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T374" i="1"/>
  <c r="AS374" i="1"/>
  <c r="AQ374" i="1"/>
  <c r="AN374" i="1"/>
  <c r="AK374" i="1"/>
  <c r="AJ374" i="1"/>
  <c r="AH374" i="1"/>
  <c r="AG374" i="1"/>
  <c r="AC374" i="1"/>
  <c r="AA374" i="1"/>
  <c r="Z374" i="1"/>
  <c r="Y374" i="1"/>
  <c r="X374" i="1"/>
  <c r="W374" i="1"/>
  <c r="V374" i="1"/>
  <c r="U374" i="1"/>
  <c r="T374" i="1"/>
  <c r="S374" i="1"/>
  <c r="R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T373" i="1"/>
  <c r="AS373" i="1"/>
  <c r="AQ373" i="1"/>
  <c r="AN373" i="1"/>
  <c r="AK373" i="1"/>
  <c r="AJ373" i="1"/>
  <c r="AH373" i="1"/>
  <c r="AG373" i="1"/>
  <c r="AC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T372" i="1"/>
  <c r="AS372" i="1"/>
  <c r="AQ372" i="1"/>
  <c r="AN372" i="1"/>
  <c r="AK372" i="1"/>
  <c r="AJ372" i="1"/>
  <c r="AH372" i="1"/>
  <c r="AG372" i="1"/>
  <c r="AC372" i="1"/>
  <c r="AA372" i="1"/>
  <c r="Z372" i="1"/>
  <c r="Y372" i="1"/>
  <c r="X372" i="1"/>
  <c r="W372" i="1"/>
  <c r="U372" i="1"/>
  <c r="T372" i="1"/>
  <c r="S372" i="1"/>
  <c r="R372" i="1"/>
  <c r="P372" i="1"/>
  <c r="O372" i="1"/>
  <c r="L372" i="1"/>
  <c r="K372" i="1"/>
  <c r="H372" i="1"/>
  <c r="G372" i="1"/>
  <c r="F372" i="1"/>
  <c r="E372" i="1"/>
  <c r="D372" i="1"/>
  <c r="C372" i="1"/>
  <c r="B372" i="1"/>
  <c r="AT371" i="1"/>
  <c r="AS371" i="1"/>
  <c r="AQ371" i="1"/>
  <c r="AN371" i="1"/>
  <c r="AK371" i="1"/>
  <c r="AJ371" i="1"/>
  <c r="AH371" i="1"/>
  <c r="AG371" i="1"/>
  <c r="AC371" i="1"/>
  <c r="AA371" i="1"/>
  <c r="Z371" i="1"/>
  <c r="Y371" i="1"/>
  <c r="X371" i="1"/>
  <c r="W371" i="1"/>
  <c r="U371" i="1"/>
  <c r="T371" i="1"/>
  <c r="S371" i="1"/>
  <c r="R371" i="1"/>
  <c r="P371" i="1"/>
  <c r="O371" i="1"/>
  <c r="L371" i="1"/>
  <c r="K371" i="1"/>
  <c r="H371" i="1"/>
  <c r="G371" i="1"/>
  <c r="F371" i="1"/>
  <c r="E371" i="1"/>
  <c r="D371" i="1"/>
  <c r="C371" i="1"/>
  <c r="AT370" i="1"/>
  <c r="AS370" i="1"/>
  <c r="AQ370" i="1"/>
  <c r="AN370" i="1"/>
  <c r="AK370" i="1"/>
  <c r="AJ370" i="1"/>
  <c r="AH370" i="1"/>
  <c r="AG370" i="1"/>
  <c r="AC370" i="1"/>
  <c r="AA370" i="1"/>
  <c r="Z370" i="1"/>
  <c r="Y370" i="1"/>
  <c r="X370" i="1"/>
  <c r="W370" i="1"/>
  <c r="U370" i="1"/>
  <c r="T370" i="1"/>
  <c r="S370" i="1"/>
  <c r="R370" i="1"/>
  <c r="P370" i="1"/>
  <c r="O370" i="1"/>
  <c r="L370" i="1"/>
  <c r="K370" i="1"/>
  <c r="H370" i="1"/>
  <c r="G370" i="1"/>
  <c r="F370" i="1"/>
  <c r="E370" i="1"/>
  <c r="D370" i="1"/>
  <c r="C370" i="1"/>
  <c r="AT369" i="1"/>
  <c r="AS369" i="1"/>
  <c r="AQ369" i="1"/>
  <c r="AN369" i="1"/>
  <c r="AK369" i="1"/>
  <c r="AJ369" i="1"/>
  <c r="AH369" i="1"/>
  <c r="AG369" i="1"/>
  <c r="AC369" i="1"/>
  <c r="AA369" i="1"/>
  <c r="Z369" i="1"/>
  <c r="Y369" i="1"/>
  <c r="X369" i="1"/>
  <c r="W369" i="1"/>
  <c r="U369" i="1"/>
  <c r="T369" i="1"/>
  <c r="S369" i="1"/>
  <c r="R369" i="1"/>
  <c r="P369" i="1"/>
  <c r="O369" i="1"/>
  <c r="L369" i="1"/>
  <c r="K369" i="1"/>
  <c r="H369" i="1"/>
  <c r="G369" i="1"/>
  <c r="F369" i="1"/>
  <c r="E369" i="1"/>
  <c r="D369" i="1"/>
  <c r="C369" i="1"/>
  <c r="AT368" i="1"/>
  <c r="AS368" i="1"/>
  <c r="AQ368" i="1"/>
  <c r="AN368" i="1"/>
  <c r="AK368" i="1"/>
  <c r="AJ368" i="1"/>
  <c r="AH368" i="1"/>
  <c r="AG368" i="1"/>
  <c r="AC368" i="1"/>
  <c r="AA368" i="1"/>
  <c r="Z368" i="1"/>
  <c r="Y368" i="1"/>
  <c r="X368" i="1"/>
  <c r="W368" i="1"/>
  <c r="U368" i="1"/>
  <c r="T368" i="1"/>
  <c r="S368" i="1"/>
  <c r="R368" i="1"/>
  <c r="P368" i="1"/>
  <c r="O368" i="1"/>
  <c r="L368" i="1"/>
  <c r="K368" i="1"/>
  <c r="H368" i="1"/>
  <c r="G368" i="1"/>
  <c r="F368" i="1"/>
  <c r="E368" i="1"/>
  <c r="D368" i="1"/>
  <c r="C368" i="1"/>
  <c r="AT367" i="1"/>
  <c r="AS367" i="1"/>
  <c r="AQ367" i="1"/>
  <c r="AN367" i="1"/>
  <c r="AK367" i="1"/>
  <c r="AJ367" i="1"/>
  <c r="AH367" i="1"/>
  <c r="AG367" i="1"/>
  <c r="AC367" i="1"/>
  <c r="AA367" i="1"/>
  <c r="Z367" i="1"/>
  <c r="Y367" i="1"/>
  <c r="X367" i="1"/>
  <c r="W367" i="1"/>
  <c r="U367" i="1"/>
  <c r="T367" i="1"/>
  <c r="S367" i="1"/>
  <c r="R367" i="1"/>
  <c r="P367" i="1"/>
  <c r="O367" i="1"/>
  <c r="L367" i="1"/>
  <c r="K367" i="1"/>
  <c r="H367" i="1"/>
  <c r="G367" i="1"/>
  <c r="F367" i="1"/>
  <c r="E367" i="1"/>
  <c r="D367" i="1"/>
  <c r="C367" i="1"/>
  <c r="AT366" i="1"/>
  <c r="AS366" i="1"/>
  <c r="AQ366" i="1"/>
  <c r="AN366" i="1"/>
  <c r="AK366" i="1"/>
  <c r="AJ366" i="1"/>
  <c r="AH366" i="1"/>
  <c r="AG366" i="1"/>
  <c r="AC366" i="1"/>
  <c r="AA366" i="1"/>
  <c r="Z366" i="1"/>
  <c r="Y366" i="1"/>
  <c r="X366" i="1"/>
  <c r="W366" i="1"/>
  <c r="U366" i="1"/>
  <c r="T366" i="1"/>
  <c r="S366" i="1"/>
  <c r="R366" i="1"/>
  <c r="P366" i="1"/>
  <c r="O366" i="1"/>
  <c r="L366" i="1"/>
  <c r="K366" i="1"/>
  <c r="H366" i="1"/>
  <c r="G366" i="1"/>
  <c r="F366" i="1"/>
  <c r="E366" i="1"/>
  <c r="D366" i="1"/>
  <c r="C366" i="1"/>
  <c r="AT365" i="1"/>
  <c r="AS365" i="1"/>
  <c r="AQ365" i="1"/>
  <c r="AN365" i="1"/>
  <c r="AK365" i="1"/>
  <c r="AJ365" i="1"/>
  <c r="AH365" i="1"/>
  <c r="AG365" i="1"/>
  <c r="AC365" i="1"/>
  <c r="AA365" i="1"/>
  <c r="Z365" i="1"/>
  <c r="Y365" i="1"/>
  <c r="X365" i="1"/>
  <c r="W365" i="1"/>
  <c r="U365" i="1"/>
  <c r="T365" i="1"/>
  <c r="S365" i="1"/>
  <c r="R365" i="1"/>
  <c r="P365" i="1"/>
  <c r="O365" i="1"/>
  <c r="L365" i="1"/>
  <c r="K365" i="1"/>
  <c r="H365" i="1"/>
  <c r="G365" i="1"/>
  <c r="F365" i="1"/>
  <c r="E365" i="1"/>
  <c r="D365" i="1"/>
  <c r="C365" i="1"/>
  <c r="AT364" i="1"/>
  <c r="AS364" i="1"/>
  <c r="AQ364" i="1"/>
  <c r="AN364" i="1"/>
  <c r="AK364" i="1"/>
  <c r="AJ364" i="1"/>
  <c r="AH364" i="1"/>
  <c r="AG364" i="1"/>
  <c r="AC364" i="1"/>
  <c r="AA364" i="1"/>
  <c r="Z364" i="1"/>
  <c r="Y364" i="1"/>
  <c r="X364" i="1"/>
  <c r="W364" i="1"/>
  <c r="U364" i="1"/>
  <c r="T364" i="1"/>
  <c r="S364" i="1"/>
  <c r="R364" i="1"/>
  <c r="P364" i="1"/>
  <c r="O364" i="1"/>
  <c r="L364" i="1"/>
  <c r="K364" i="1"/>
  <c r="H364" i="1"/>
  <c r="G364" i="1"/>
  <c r="F364" i="1"/>
  <c r="E364" i="1"/>
  <c r="D364" i="1"/>
  <c r="C364" i="1"/>
  <c r="AT363" i="1"/>
  <c r="AS363" i="1"/>
  <c r="AQ363" i="1"/>
  <c r="AN363" i="1"/>
  <c r="AK363" i="1"/>
  <c r="AJ363" i="1"/>
  <c r="AH363" i="1"/>
  <c r="AG363" i="1"/>
  <c r="AC363" i="1"/>
  <c r="AA363" i="1"/>
  <c r="Z363" i="1"/>
  <c r="Y363" i="1"/>
  <c r="X363" i="1"/>
  <c r="W363" i="1"/>
  <c r="U363" i="1"/>
  <c r="T363" i="1"/>
  <c r="S363" i="1"/>
  <c r="R363" i="1"/>
  <c r="P363" i="1"/>
  <c r="O363" i="1"/>
  <c r="L363" i="1"/>
  <c r="K363" i="1"/>
  <c r="H363" i="1"/>
  <c r="G363" i="1"/>
  <c r="F363" i="1"/>
  <c r="E363" i="1"/>
  <c r="D363" i="1"/>
  <c r="C363" i="1"/>
  <c r="AT362" i="1"/>
  <c r="AS362" i="1"/>
  <c r="AQ362" i="1"/>
  <c r="AN362" i="1"/>
  <c r="AK362" i="1"/>
  <c r="AJ362" i="1"/>
  <c r="AH362" i="1"/>
  <c r="AG362" i="1"/>
  <c r="AC362" i="1"/>
  <c r="AA362" i="1"/>
  <c r="Z362" i="1"/>
  <c r="Y362" i="1"/>
  <c r="X362" i="1"/>
  <c r="W362" i="1"/>
  <c r="U362" i="1"/>
  <c r="T362" i="1"/>
  <c r="S362" i="1"/>
  <c r="R362" i="1"/>
  <c r="P362" i="1"/>
  <c r="O362" i="1"/>
  <c r="L362" i="1"/>
  <c r="K362" i="1"/>
  <c r="H362" i="1"/>
  <c r="G362" i="1"/>
  <c r="F362" i="1"/>
  <c r="E362" i="1"/>
  <c r="D362" i="1"/>
  <c r="C362" i="1"/>
  <c r="AT361" i="1"/>
  <c r="AS361" i="1"/>
  <c r="AQ361" i="1"/>
  <c r="AN361" i="1"/>
  <c r="AK361" i="1"/>
  <c r="AJ361" i="1"/>
  <c r="AH361" i="1"/>
  <c r="AG361" i="1"/>
  <c r="AC361" i="1"/>
  <c r="AA361" i="1"/>
  <c r="Z361" i="1"/>
  <c r="Y361" i="1"/>
  <c r="X361" i="1"/>
  <c r="W361" i="1"/>
  <c r="U361" i="1"/>
  <c r="T361" i="1"/>
  <c r="S361" i="1"/>
  <c r="R361" i="1"/>
  <c r="P361" i="1"/>
  <c r="O361" i="1"/>
  <c r="L361" i="1"/>
  <c r="K361" i="1"/>
  <c r="H361" i="1"/>
  <c r="G361" i="1"/>
  <c r="F361" i="1"/>
  <c r="E361" i="1"/>
  <c r="D361" i="1"/>
  <c r="C361" i="1"/>
  <c r="AT360" i="1"/>
  <c r="AS360" i="1"/>
  <c r="AQ360" i="1"/>
  <c r="AN360" i="1"/>
  <c r="AK360" i="1"/>
  <c r="AJ360" i="1"/>
  <c r="AH360" i="1"/>
  <c r="AG360" i="1"/>
  <c r="AC360" i="1"/>
  <c r="AA360" i="1"/>
  <c r="Z360" i="1"/>
  <c r="Y360" i="1"/>
  <c r="X360" i="1"/>
  <c r="W360" i="1"/>
  <c r="U360" i="1"/>
  <c r="T360" i="1"/>
  <c r="S360" i="1"/>
  <c r="R360" i="1"/>
  <c r="P360" i="1"/>
  <c r="O360" i="1"/>
  <c r="L360" i="1"/>
  <c r="K360" i="1"/>
  <c r="H360" i="1"/>
  <c r="G360" i="1"/>
  <c r="F360" i="1"/>
  <c r="E360" i="1"/>
  <c r="D360" i="1"/>
  <c r="C360" i="1"/>
  <c r="AT359" i="1"/>
  <c r="AS359" i="1"/>
  <c r="AQ359" i="1"/>
  <c r="AN359" i="1"/>
  <c r="AK359" i="1"/>
  <c r="AJ359" i="1"/>
  <c r="AH359" i="1"/>
  <c r="AG359" i="1"/>
  <c r="AC359" i="1"/>
  <c r="AA359" i="1"/>
  <c r="Z359" i="1"/>
  <c r="Y359" i="1"/>
  <c r="X359" i="1"/>
  <c r="W359" i="1"/>
  <c r="U359" i="1"/>
  <c r="T359" i="1"/>
  <c r="S359" i="1"/>
  <c r="R359" i="1"/>
  <c r="P359" i="1"/>
  <c r="O359" i="1"/>
  <c r="L359" i="1"/>
  <c r="K359" i="1"/>
  <c r="H359" i="1"/>
  <c r="G359" i="1"/>
  <c r="F359" i="1"/>
  <c r="E359" i="1"/>
  <c r="D359" i="1"/>
  <c r="C359" i="1"/>
  <c r="AT358" i="1"/>
  <c r="AS358" i="1"/>
  <c r="AQ358" i="1"/>
  <c r="AN358" i="1"/>
  <c r="AK358" i="1"/>
  <c r="AJ358" i="1"/>
  <c r="AH358" i="1"/>
  <c r="AG358" i="1"/>
  <c r="AC358" i="1"/>
  <c r="AA358" i="1"/>
  <c r="Z358" i="1"/>
  <c r="Y358" i="1"/>
  <c r="X358" i="1"/>
  <c r="W358" i="1"/>
  <c r="U358" i="1"/>
  <c r="T358" i="1"/>
  <c r="S358" i="1"/>
  <c r="R358" i="1"/>
  <c r="P358" i="1"/>
  <c r="O358" i="1"/>
  <c r="L358" i="1"/>
  <c r="K358" i="1"/>
  <c r="H358" i="1"/>
  <c r="G358" i="1"/>
  <c r="F358" i="1"/>
  <c r="E358" i="1"/>
  <c r="D358" i="1"/>
  <c r="C358" i="1"/>
  <c r="AT357" i="1"/>
  <c r="AS357" i="1"/>
  <c r="AQ357" i="1"/>
  <c r="AN357" i="1"/>
  <c r="AK357" i="1"/>
  <c r="AJ357" i="1"/>
  <c r="AH357" i="1"/>
  <c r="AG357" i="1"/>
  <c r="AC357" i="1"/>
  <c r="AA357" i="1"/>
  <c r="Z357" i="1"/>
  <c r="Y357" i="1"/>
  <c r="X357" i="1"/>
  <c r="W357" i="1"/>
  <c r="U357" i="1"/>
  <c r="T357" i="1"/>
  <c r="S357" i="1"/>
  <c r="R357" i="1"/>
  <c r="P357" i="1"/>
  <c r="O357" i="1"/>
  <c r="L357" i="1"/>
  <c r="K357" i="1"/>
  <c r="H357" i="1"/>
  <c r="G357" i="1"/>
  <c r="F357" i="1"/>
  <c r="E357" i="1"/>
  <c r="D357" i="1"/>
  <c r="C357" i="1"/>
  <c r="AT356" i="1"/>
  <c r="AS356" i="1"/>
  <c r="AQ356" i="1"/>
  <c r="AN356" i="1"/>
  <c r="AK356" i="1"/>
  <c r="AJ356" i="1"/>
  <c r="AH356" i="1"/>
  <c r="AG356" i="1"/>
  <c r="AC356" i="1"/>
  <c r="AA356" i="1"/>
  <c r="Z356" i="1"/>
  <c r="Y356" i="1"/>
  <c r="X356" i="1"/>
  <c r="W356" i="1"/>
  <c r="U356" i="1"/>
  <c r="T356" i="1"/>
  <c r="S356" i="1"/>
  <c r="R356" i="1"/>
  <c r="P356" i="1"/>
  <c r="O356" i="1"/>
  <c r="L356" i="1"/>
  <c r="K356" i="1"/>
  <c r="H356" i="1"/>
  <c r="G356" i="1"/>
  <c r="F356" i="1"/>
  <c r="E356" i="1"/>
  <c r="D356" i="1"/>
  <c r="C356" i="1"/>
  <c r="AT355" i="1"/>
  <c r="AS355" i="1"/>
  <c r="AQ355" i="1"/>
  <c r="AN355" i="1"/>
  <c r="AK355" i="1"/>
  <c r="AJ355" i="1"/>
  <c r="AH355" i="1"/>
  <c r="AG355" i="1"/>
  <c r="AC355" i="1"/>
  <c r="AA355" i="1"/>
  <c r="Z355" i="1"/>
  <c r="Y355" i="1"/>
  <c r="X355" i="1"/>
  <c r="W355" i="1"/>
  <c r="U355" i="1"/>
  <c r="T355" i="1"/>
  <c r="S355" i="1"/>
  <c r="R355" i="1"/>
  <c r="P355" i="1"/>
  <c r="O355" i="1"/>
  <c r="L355" i="1"/>
  <c r="K355" i="1"/>
  <c r="H355" i="1"/>
  <c r="G355" i="1"/>
  <c r="F355" i="1"/>
  <c r="E355" i="1"/>
  <c r="D355" i="1"/>
  <c r="C355" i="1"/>
  <c r="AT354" i="1"/>
  <c r="AS354" i="1"/>
  <c r="AQ354" i="1"/>
  <c r="AN354" i="1"/>
  <c r="AO354" i="1" s="1"/>
  <c r="AP354" i="1" s="1"/>
  <c r="AK354" i="1"/>
  <c r="AJ354" i="1"/>
  <c r="AH354" i="1"/>
  <c r="AG354" i="1"/>
  <c r="AC354" i="1"/>
  <c r="AA354" i="1"/>
  <c r="Z354" i="1"/>
  <c r="Y354" i="1"/>
  <c r="X354" i="1"/>
  <c r="W354" i="1"/>
  <c r="U354" i="1"/>
  <c r="T354" i="1"/>
  <c r="S354" i="1"/>
  <c r="R354" i="1"/>
  <c r="P354" i="1"/>
  <c r="O354" i="1"/>
  <c r="L354" i="1"/>
  <c r="K354" i="1"/>
  <c r="H354" i="1"/>
  <c r="G354" i="1"/>
  <c r="F354" i="1"/>
  <c r="E354" i="1"/>
  <c r="D354" i="1"/>
  <c r="C354" i="1"/>
  <c r="AT353" i="1"/>
  <c r="AS353" i="1"/>
  <c r="AQ353" i="1"/>
  <c r="AN353" i="1"/>
  <c r="AO353" i="1" s="1"/>
  <c r="AP353" i="1" s="1"/>
  <c r="AK353" i="1"/>
  <c r="AJ353" i="1"/>
  <c r="AH353" i="1"/>
  <c r="AG353" i="1"/>
  <c r="AC353" i="1"/>
  <c r="AA353" i="1"/>
  <c r="Z353" i="1"/>
  <c r="Y353" i="1"/>
  <c r="X353" i="1"/>
  <c r="W353" i="1"/>
  <c r="U353" i="1"/>
  <c r="T353" i="1"/>
  <c r="S353" i="1"/>
  <c r="R353" i="1"/>
  <c r="P353" i="1"/>
  <c r="O353" i="1"/>
  <c r="L353" i="1"/>
  <c r="K353" i="1"/>
  <c r="H353" i="1"/>
  <c r="G353" i="1"/>
  <c r="F353" i="1"/>
  <c r="E353" i="1"/>
  <c r="D353" i="1"/>
  <c r="C353" i="1"/>
  <c r="AT352" i="1"/>
  <c r="AS352" i="1"/>
  <c r="AQ352" i="1"/>
  <c r="AN352" i="1"/>
  <c r="AO352" i="1" s="1"/>
  <c r="AP352" i="1" s="1"/>
  <c r="AK352" i="1"/>
  <c r="AJ352" i="1"/>
  <c r="AH352" i="1"/>
  <c r="AG352" i="1"/>
  <c r="AC352" i="1"/>
  <c r="AA352" i="1"/>
  <c r="Z352" i="1"/>
  <c r="Y352" i="1"/>
  <c r="X352" i="1"/>
  <c r="W352" i="1"/>
  <c r="U352" i="1"/>
  <c r="T352" i="1"/>
  <c r="S352" i="1"/>
  <c r="R352" i="1"/>
  <c r="P352" i="1"/>
  <c r="O352" i="1"/>
  <c r="L352" i="1"/>
  <c r="K352" i="1"/>
  <c r="H352" i="1"/>
  <c r="G352" i="1"/>
  <c r="F352" i="1"/>
  <c r="E352" i="1"/>
  <c r="D352" i="1"/>
  <c r="C352" i="1"/>
  <c r="AT351" i="1"/>
  <c r="AS351" i="1"/>
  <c r="AQ351" i="1"/>
  <c r="AN351" i="1"/>
  <c r="AO351" i="1" s="1"/>
  <c r="AP351" i="1" s="1"/>
  <c r="AK351" i="1"/>
  <c r="AJ351" i="1"/>
  <c r="AH351" i="1"/>
  <c r="AG351" i="1"/>
  <c r="AC351" i="1"/>
  <c r="AA351" i="1"/>
  <c r="Z351" i="1"/>
  <c r="Y351" i="1"/>
  <c r="X351" i="1"/>
  <c r="W351" i="1"/>
  <c r="U351" i="1"/>
  <c r="T351" i="1"/>
  <c r="S351" i="1"/>
  <c r="R351" i="1"/>
  <c r="P351" i="1"/>
  <c r="O351" i="1"/>
  <c r="L351" i="1"/>
  <c r="K351" i="1"/>
  <c r="H351" i="1"/>
  <c r="G351" i="1"/>
  <c r="F351" i="1"/>
  <c r="E351" i="1"/>
  <c r="D351" i="1"/>
  <c r="C351" i="1"/>
  <c r="AT350" i="1"/>
  <c r="AS350" i="1"/>
  <c r="AQ350" i="1"/>
  <c r="AN350" i="1"/>
  <c r="AO350" i="1" s="1"/>
  <c r="AP350" i="1" s="1"/>
  <c r="AK350" i="1"/>
  <c r="AJ350" i="1"/>
  <c r="AH350" i="1"/>
  <c r="AG350" i="1"/>
  <c r="AC350" i="1"/>
  <c r="AA350" i="1"/>
  <c r="Z350" i="1"/>
  <c r="Y350" i="1"/>
  <c r="X350" i="1"/>
  <c r="W350" i="1"/>
  <c r="U350" i="1"/>
  <c r="T350" i="1"/>
  <c r="S350" i="1"/>
  <c r="R350" i="1"/>
  <c r="P350" i="1"/>
  <c r="O350" i="1"/>
  <c r="L350" i="1"/>
  <c r="K350" i="1"/>
  <c r="H350" i="1"/>
  <c r="G350" i="1"/>
  <c r="F350" i="1"/>
  <c r="E350" i="1"/>
  <c r="D350" i="1"/>
  <c r="C350" i="1"/>
  <c r="AT349" i="1"/>
  <c r="AS349" i="1"/>
  <c r="AQ349" i="1"/>
  <c r="AN349" i="1"/>
  <c r="AO349" i="1" s="1"/>
  <c r="AP349" i="1" s="1"/>
  <c r="AK349" i="1"/>
  <c r="AJ349" i="1"/>
  <c r="AH349" i="1"/>
  <c r="AG349" i="1"/>
  <c r="AC349" i="1"/>
  <c r="AA349" i="1"/>
  <c r="Z349" i="1"/>
  <c r="Y349" i="1"/>
  <c r="X349" i="1"/>
  <c r="W349" i="1"/>
  <c r="U349" i="1"/>
  <c r="T349" i="1"/>
  <c r="S349" i="1"/>
  <c r="R349" i="1"/>
  <c r="P349" i="1"/>
  <c r="O349" i="1"/>
  <c r="L349" i="1"/>
  <c r="K349" i="1"/>
  <c r="H349" i="1"/>
  <c r="G349" i="1"/>
  <c r="F349" i="1"/>
  <c r="E349" i="1"/>
  <c r="D349" i="1"/>
  <c r="C349" i="1"/>
  <c r="AT348" i="1"/>
  <c r="AS348" i="1"/>
  <c r="AQ348" i="1"/>
  <c r="AN348" i="1"/>
  <c r="AO348" i="1" s="1"/>
  <c r="AP348" i="1" s="1"/>
  <c r="AK348" i="1"/>
  <c r="AJ348" i="1"/>
  <c r="AH348" i="1"/>
  <c r="AG348" i="1"/>
  <c r="AC348" i="1"/>
  <c r="AA348" i="1"/>
  <c r="Z348" i="1"/>
  <c r="Y348" i="1"/>
  <c r="X348" i="1"/>
  <c r="W348" i="1"/>
  <c r="U348" i="1"/>
  <c r="T348" i="1"/>
  <c r="S348" i="1"/>
  <c r="R348" i="1"/>
  <c r="P348" i="1"/>
  <c r="O348" i="1"/>
  <c r="L348" i="1"/>
  <c r="K348" i="1"/>
  <c r="H348" i="1"/>
  <c r="G348" i="1"/>
  <c r="F348" i="1"/>
  <c r="E348" i="1"/>
  <c r="D348" i="1"/>
  <c r="C348" i="1"/>
  <c r="AT347" i="1"/>
  <c r="AS347" i="1"/>
  <c r="AQ347" i="1"/>
  <c r="AN347" i="1"/>
  <c r="AO347" i="1" s="1"/>
  <c r="AP347" i="1" s="1"/>
  <c r="AK347" i="1"/>
  <c r="AJ347" i="1"/>
  <c r="AH347" i="1"/>
  <c r="AG347" i="1"/>
  <c r="AC347" i="1"/>
  <c r="AA347" i="1"/>
  <c r="Z347" i="1"/>
  <c r="Y347" i="1"/>
  <c r="X347" i="1"/>
  <c r="W347" i="1"/>
  <c r="U347" i="1"/>
  <c r="T347" i="1"/>
  <c r="S347" i="1"/>
  <c r="R347" i="1"/>
  <c r="P347" i="1"/>
  <c r="O347" i="1"/>
  <c r="L347" i="1"/>
  <c r="K347" i="1"/>
  <c r="H347" i="1"/>
  <c r="G347" i="1"/>
  <c r="F347" i="1"/>
  <c r="E347" i="1"/>
  <c r="D347" i="1"/>
  <c r="C347" i="1"/>
  <c r="AT346" i="1"/>
  <c r="AS346" i="1"/>
  <c r="AQ346" i="1"/>
  <c r="AN346" i="1"/>
  <c r="AO346" i="1" s="1"/>
  <c r="AP346" i="1" s="1"/>
  <c r="AK346" i="1"/>
  <c r="AJ346" i="1"/>
  <c r="AH346" i="1"/>
  <c r="AG346" i="1"/>
  <c r="AC346" i="1"/>
  <c r="AA346" i="1"/>
  <c r="Z346" i="1"/>
  <c r="Y346" i="1"/>
  <c r="X346" i="1"/>
  <c r="W346" i="1"/>
  <c r="U346" i="1"/>
  <c r="T346" i="1"/>
  <c r="S346" i="1"/>
  <c r="R346" i="1"/>
  <c r="P346" i="1"/>
  <c r="O346" i="1"/>
  <c r="L346" i="1"/>
  <c r="K346" i="1"/>
  <c r="H346" i="1"/>
  <c r="G346" i="1"/>
  <c r="F346" i="1"/>
  <c r="E346" i="1"/>
  <c r="D346" i="1"/>
  <c r="C346" i="1"/>
  <c r="AT345" i="1"/>
  <c r="AS345" i="1"/>
  <c r="AQ345" i="1"/>
  <c r="AN345" i="1"/>
  <c r="AO345" i="1" s="1"/>
  <c r="AP345" i="1" s="1"/>
  <c r="AK345" i="1"/>
  <c r="AJ345" i="1"/>
  <c r="AH345" i="1"/>
  <c r="AG345" i="1"/>
  <c r="AC345" i="1"/>
  <c r="AA345" i="1"/>
  <c r="Z345" i="1"/>
  <c r="Y345" i="1"/>
  <c r="X345" i="1"/>
  <c r="W345" i="1"/>
  <c r="U345" i="1"/>
  <c r="T345" i="1"/>
  <c r="S345" i="1"/>
  <c r="R345" i="1"/>
  <c r="P345" i="1"/>
  <c r="O345" i="1"/>
  <c r="L345" i="1"/>
  <c r="K345" i="1"/>
  <c r="H345" i="1"/>
  <c r="G345" i="1"/>
  <c r="F345" i="1"/>
  <c r="E345" i="1"/>
  <c r="D345" i="1"/>
  <c r="C345" i="1"/>
  <c r="AT344" i="1"/>
  <c r="AS344" i="1"/>
  <c r="AQ344" i="1"/>
  <c r="AN344" i="1"/>
  <c r="AO344" i="1" s="1"/>
  <c r="AP344" i="1" s="1"/>
  <c r="AK344" i="1"/>
  <c r="AJ344" i="1"/>
  <c r="AH344" i="1"/>
  <c r="AG344" i="1"/>
  <c r="AC344" i="1"/>
  <c r="AA344" i="1"/>
  <c r="Z344" i="1"/>
  <c r="Y344" i="1"/>
  <c r="X344" i="1"/>
  <c r="W344" i="1"/>
  <c r="U344" i="1"/>
  <c r="T344" i="1"/>
  <c r="S344" i="1"/>
  <c r="R344" i="1"/>
  <c r="P344" i="1"/>
  <c r="O344" i="1"/>
  <c r="L344" i="1"/>
  <c r="K344" i="1"/>
  <c r="H344" i="1"/>
  <c r="G344" i="1"/>
  <c r="F344" i="1"/>
  <c r="E344" i="1"/>
  <c r="D344" i="1"/>
  <c r="C344" i="1"/>
  <c r="AT343" i="1"/>
  <c r="AS343" i="1"/>
  <c r="AQ343" i="1"/>
  <c r="AN343" i="1"/>
  <c r="AO343" i="1" s="1"/>
  <c r="AP343" i="1" s="1"/>
  <c r="AK343" i="1"/>
  <c r="AJ343" i="1"/>
  <c r="AH343" i="1"/>
  <c r="AG343" i="1"/>
  <c r="AC343" i="1"/>
  <c r="AA343" i="1"/>
  <c r="Z343" i="1"/>
  <c r="Y343" i="1"/>
  <c r="X343" i="1"/>
  <c r="W343" i="1"/>
  <c r="U343" i="1"/>
  <c r="T343" i="1"/>
  <c r="S343" i="1"/>
  <c r="R343" i="1"/>
  <c r="P343" i="1"/>
  <c r="O343" i="1"/>
  <c r="L343" i="1"/>
  <c r="K343" i="1"/>
  <c r="H343" i="1"/>
  <c r="G343" i="1"/>
  <c r="F343" i="1"/>
  <c r="E343" i="1"/>
  <c r="D343" i="1"/>
  <c r="C343" i="1"/>
  <c r="AT342" i="1"/>
  <c r="AS342" i="1"/>
  <c r="AQ342" i="1"/>
  <c r="AN342" i="1"/>
  <c r="AO342" i="1" s="1"/>
  <c r="AP342" i="1" s="1"/>
  <c r="AK342" i="1"/>
  <c r="AJ342" i="1"/>
  <c r="AH342" i="1"/>
  <c r="AG342" i="1"/>
  <c r="AC342" i="1"/>
  <c r="AA342" i="1"/>
  <c r="Z342" i="1"/>
  <c r="Y342" i="1"/>
  <c r="X342" i="1"/>
  <c r="W342" i="1"/>
  <c r="U342" i="1"/>
  <c r="T342" i="1"/>
  <c r="S342" i="1"/>
  <c r="R342" i="1"/>
  <c r="P342" i="1"/>
  <c r="O342" i="1"/>
  <c r="L342" i="1"/>
  <c r="K342" i="1"/>
  <c r="H342" i="1"/>
  <c r="G342" i="1"/>
  <c r="F342" i="1"/>
  <c r="E342" i="1"/>
  <c r="D342" i="1"/>
  <c r="C342" i="1"/>
  <c r="AT341" i="1"/>
  <c r="AS341" i="1"/>
  <c r="AQ341" i="1"/>
  <c r="AN341" i="1"/>
  <c r="AO341" i="1" s="1"/>
  <c r="AP341" i="1" s="1"/>
  <c r="AK341" i="1"/>
  <c r="AJ341" i="1"/>
  <c r="AH341" i="1"/>
  <c r="AG341" i="1"/>
  <c r="AC341" i="1"/>
  <c r="AA341" i="1"/>
  <c r="Z341" i="1"/>
  <c r="Y341" i="1"/>
  <c r="X341" i="1"/>
  <c r="W341" i="1"/>
  <c r="U341" i="1"/>
  <c r="T341" i="1"/>
  <c r="S341" i="1"/>
  <c r="R341" i="1"/>
  <c r="P341" i="1"/>
  <c r="O341" i="1"/>
  <c r="L341" i="1"/>
  <c r="K341" i="1"/>
  <c r="H341" i="1"/>
  <c r="G341" i="1"/>
  <c r="F341" i="1"/>
  <c r="E341" i="1"/>
  <c r="D341" i="1"/>
  <c r="C341" i="1"/>
  <c r="AT340" i="1"/>
  <c r="AS340" i="1"/>
  <c r="AQ340" i="1"/>
  <c r="AN340" i="1"/>
  <c r="AO340" i="1" s="1"/>
  <c r="AP340" i="1" s="1"/>
  <c r="AK340" i="1"/>
  <c r="AJ340" i="1"/>
  <c r="AH340" i="1"/>
  <c r="AG340" i="1"/>
  <c r="AC340" i="1"/>
  <c r="AA340" i="1"/>
  <c r="Z340" i="1"/>
  <c r="Y340" i="1"/>
  <c r="X340" i="1"/>
  <c r="W340" i="1"/>
  <c r="U340" i="1"/>
  <c r="T340" i="1"/>
  <c r="S340" i="1"/>
  <c r="R340" i="1"/>
  <c r="P340" i="1"/>
  <c r="O340" i="1"/>
  <c r="L340" i="1"/>
  <c r="K340" i="1"/>
  <c r="H340" i="1"/>
  <c r="G340" i="1"/>
  <c r="F340" i="1"/>
  <c r="E340" i="1"/>
  <c r="D340" i="1"/>
  <c r="C340" i="1"/>
  <c r="AT339" i="1"/>
  <c r="AS339" i="1"/>
  <c r="AQ339" i="1"/>
  <c r="AN339" i="1"/>
  <c r="AO339" i="1" s="1"/>
  <c r="AP339" i="1" s="1"/>
  <c r="AK339" i="1"/>
  <c r="AJ339" i="1"/>
  <c r="AH339" i="1"/>
  <c r="AG339" i="1"/>
  <c r="AC339" i="1"/>
  <c r="AA339" i="1"/>
  <c r="Z339" i="1"/>
  <c r="Y339" i="1"/>
  <c r="X339" i="1"/>
  <c r="W339" i="1"/>
  <c r="U339" i="1"/>
  <c r="T339" i="1"/>
  <c r="S339" i="1"/>
  <c r="R339" i="1"/>
  <c r="P339" i="1"/>
  <c r="O339" i="1"/>
  <c r="L339" i="1"/>
  <c r="K339" i="1"/>
  <c r="H339" i="1"/>
  <c r="G339" i="1"/>
  <c r="F339" i="1"/>
  <c r="E339" i="1"/>
  <c r="D339" i="1"/>
  <c r="C339" i="1"/>
  <c r="AT338" i="1"/>
  <c r="AS338" i="1"/>
  <c r="AQ338" i="1"/>
  <c r="AN338" i="1"/>
  <c r="AO338" i="1" s="1"/>
  <c r="AP338" i="1" s="1"/>
  <c r="AK338" i="1"/>
  <c r="AJ338" i="1"/>
  <c r="AH338" i="1"/>
  <c r="AG338" i="1"/>
  <c r="AC338" i="1"/>
  <c r="AA338" i="1"/>
  <c r="Z338" i="1"/>
  <c r="Y338" i="1"/>
  <c r="X338" i="1"/>
  <c r="W338" i="1"/>
  <c r="U338" i="1"/>
  <c r="T338" i="1"/>
  <c r="S338" i="1"/>
  <c r="R338" i="1"/>
  <c r="Q338" i="1"/>
  <c r="P338" i="1"/>
  <c r="O338" i="1"/>
  <c r="L338" i="1"/>
  <c r="K338" i="1"/>
  <c r="H338" i="1"/>
  <c r="G338" i="1"/>
  <c r="F338" i="1"/>
  <c r="E338" i="1"/>
  <c r="D338" i="1"/>
  <c r="C338" i="1"/>
  <c r="AT337" i="1"/>
  <c r="AS337" i="1"/>
  <c r="AQ337" i="1"/>
  <c r="AN337" i="1"/>
  <c r="AO337" i="1" s="1"/>
  <c r="AP337" i="1" s="1"/>
  <c r="AK337" i="1"/>
  <c r="AJ337" i="1"/>
  <c r="AH337" i="1"/>
  <c r="AG337" i="1"/>
  <c r="AC337" i="1"/>
  <c r="AA337" i="1"/>
  <c r="Z337" i="1"/>
  <c r="Y337" i="1"/>
  <c r="X337" i="1"/>
  <c r="W337" i="1"/>
  <c r="U337" i="1"/>
  <c r="T337" i="1"/>
  <c r="S337" i="1"/>
  <c r="R337" i="1"/>
  <c r="P337" i="1"/>
  <c r="O337" i="1"/>
  <c r="L337" i="1"/>
  <c r="K337" i="1"/>
  <c r="H337" i="1"/>
  <c r="G337" i="1"/>
  <c r="F337" i="1"/>
  <c r="E337" i="1"/>
  <c r="D337" i="1"/>
  <c r="C337" i="1"/>
  <c r="AT336" i="1"/>
  <c r="AS336" i="1"/>
  <c r="AQ336" i="1"/>
  <c r="AN336" i="1"/>
  <c r="AO336" i="1" s="1"/>
  <c r="AP336" i="1" s="1"/>
  <c r="AK336" i="1"/>
  <c r="AJ336" i="1"/>
  <c r="AH336" i="1"/>
  <c r="AG336" i="1"/>
  <c r="AC336" i="1"/>
  <c r="AA336" i="1"/>
  <c r="Z336" i="1"/>
  <c r="Y336" i="1"/>
  <c r="X336" i="1"/>
  <c r="W336" i="1"/>
  <c r="U336" i="1"/>
  <c r="T336" i="1"/>
  <c r="S336" i="1"/>
  <c r="R336" i="1"/>
  <c r="P336" i="1"/>
  <c r="O336" i="1"/>
  <c r="L336" i="1"/>
  <c r="K336" i="1"/>
  <c r="H336" i="1"/>
  <c r="G336" i="1"/>
  <c r="F336" i="1"/>
  <c r="E336" i="1"/>
  <c r="D336" i="1"/>
  <c r="C336" i="1"/>
  <c r="AT335" i="1"/>
  <c r="AS335" i="1"/>
  <c r="AQ335" i="1"/>
  <c r="AN335" i="1"/>
  <c r="AO335" i="1" s="1"/>
  <c r="AP335" i="1" s="1"/>
  <c r="AK335" i="1"/>
  <c r="AJ335" i="1"/>
  <c r="AH335" i="1"/>
  <c r="AG335" i="1"/>
  <c r="AC335" i="1"/>
  <c r="AA335" i="1"/>
  <c r="Z335" i="1"/>
  <c r="Y335" i="1"/>
  <c r="X335" i="1"/>
  <c r="W335" i="1"/>
  <c r="U335" i="1"/>
  <c r="T335" i="1"/>
  <c r="S335" i="1"/>
  <c r="R335" i="1"/>
  <c r="P335" i="1"/>
  <c r="O335" i="1"/>
  <c r="L335" i="1"/>
  <c r="K335" i="1"/>
  <c r="H335" i="1"/>
  <c r="G335" i="1"/>
  <c r="F335" i="1"/>
  <c r="E335" i="1"/>
  <c r="D335" i="1"/>
  <c r="C335" i="1"/>
  <c r="AT334" i="1"/>
  <c r="AS334" i="1"/>
  <c r="AQ334" i="1"/>
  <c r="AN334" i="1"/>
  <c r="AO334" i="1" s="1"/>
  <c r="AP334" i="1" s="1"/>
  <c r="AK334" i="1"/>
  <c r="AJ334" i="1"/>
  <c r="AH334" i="1"/>
  <c r="AG334" i="1"/>
  <c r="AC334" i="1"/>
  <c r="AA334" i="1"/>
  <c r="Z334" i="1"/>
  <c r="Y334" i="1"/>
  <c r="X334" i="1"/>
  <c r="W334" i="1"/>
  <c r="U334" i="1"/>
  <c r="T334" i="1"/>
  <c r="S334" i="1"/>
  <c r="R334" i="1"/>
  <c r="P334" i="1"/>
  <c r="O334" i="1"/>
  <c r="L334" i="1"/>
  <c r="K334" i="1"/>
  <c r="H334" i="1"/>
  <c r="G334" i="1"/>
  <c r="F334" i="1"/>
  <c r="E334" i="1"/>
  <c r="D334" i="1"/>
  <c r="C334" i="1"/>
  <c r="AT333" i="1"/>
  <c r="AS333" i="1"/>
  <c r="AQ333" i="1"/>
  <c r="AN333" i="1"/>
  <c r="AO333" i="1" s="1"/>
  <c r="AP333" i="1" s="1"/>
  <c r="AK333" i="1"/>
  <c r="AJ333" i="1"/>
  <c r="AH333" i="1"/>
  <c r="AG333" i="1"/>
  <c r="AC333" i="1"/>
  <c r="AA333" i="1"/>
  <c r="Z333" i="1"/>
  <c r="Y333" i="1"/>
  <c r="X333" i="1"/>
  <c r="W333" i="1"/>
  <c r="U333" i="1"/>
  <c r="T333" i="1"/>
  <c r="S333" i="1"/>
  <c r="R333" i="1"/>
  <c r="P333" i="1"/>
  <c r="O333" i="1"/>
  <c r="L333" i="1"/>
  <c r="K333" i="1"/>
  <c r="H333" i="1"/>
  <c r="G333" i="1"/>
  <c r="F333" i="1"/>
  <c r="E333" i="1"/>
  <c r="D333" i="1"/>
  <c r="C333" i="1"/>
  <c r="AT332" i="1"/>
  <c r="AS332" i="1"/>
  <c r="AQ332" i="1"/>
  <c r="AN332" i="1"/>
  <c r="AO332" i="1" s="1"/>
  <c r="AP332" i="1" s="1"/>
  <c r="AK332" i="1"/>
  <c r="AJ332" i="1"/>
  <c r="AH332" i="1"/>
  <c r="AG332" i="1"/>
  <c r="AC332" i="1"/>
  <c r="AA332" i="1"/>
  <c r="Z332" i="1"/>
  <c r="Y332" i="1"/>
  <c r="X332" i="1"/>
  <c r="W332" i="1"/>
  <c r="U332" i="1"/>
  <c r="T332" i="1"/>
  <c r="S332" i="1"/>
  <c r="R332" i="1"/>
  <c r="P332" i="1"/>
  <c r="O332" i="1"/>
  <c r="L332" i="1"/>
  <c r="K332" i="1"/>
  <c r="H332" i="1"/>
  <c r="G332" i="1"/>
  <c r="F332" i="1"/>
  <c r="E332" i="1"/>
  <c r="D332" i="1"/>
  <c r="C332" i="1"/>
  <c r="AT331" i="1"/>
  <c r="AS331" i="1"/>
  <c r="AQ331" i="1"/>
  <c r="AN331" i="1"/>
  <c r="AO331" i="1" s="1"/>
  <c r="AP331" i="1" s="1"/>
  <c r="AK331" i="1"/>
  <c r="AJ331" i="1"/>
  <c r="AH331" i="1"/>
  <c r="AG331" i="1"/>
  <c r="AC331" i="1"/>
  <c r="AA331" i="1"/>
  <c r="Z331" i="1"/>
  <c r="Y331" i="1"/>
  <c r="X331" i="1"/>
  <c r="W331" i="1"/>
  <c r="U331" i="1"/>
  <c r="T331" i="1"/>
  <c r="S331" i="1"/>
  <c r="R331" i="1"/>
  <c r="P331" i="1"/>
  <c r="O331" i="1"/>
  <c r="L331" i="1"/>
  <c r="K331" i="1"/>
  <c r="H331" i="1"/>
  <c r="G331" i="1"/>
  <c r="F331" i="1"/>
  <c r="E331" i="1"/>
  <c r="D331" i="1"/>
  <c r="C331" i="1"/>
  <c r="AT330" i="1"/>
  <c r="AS330" i="1"/>
  <c r="AQ330" i="1"/>
  <c r="AN330" i="1"/>
  <c r="AO330" i="1" s="1"/>
  <c r="AP330" i="1" s="1"/>
  <c r="AK330" i="1"/>
  <c r="AJ330" i="1"/>
  <c r="AH330" i="1"/>
  <c r="AG330" i="1"/>
  <c r="AC330" i="1"/>
  <c r="AA330" i="1"/>
  <c r="Z330" i="1"/>
  <c r="Y330" i="1"/>
  <c r="X330" i="1"/>
  <c r="W330" i="1"/>
  <c r="U330" i="1"/>
  <c r="T330" i="1"/>
  <c r="S330" i="1"/>
  <c r="R330" i="1"/>
  <c r="P330" i="1"/>
  <c r="O330" i="1"/>
  <c r="L330" i="1"/>
  <c r="K330" i="1"/>
  <c r="H330" i="1"/>
  <c r="G330" i="1"/>
  <c r="F330" i="1"/>
  <c r="E330" i="1"/>
  <c r="D330" i="1"/>
  <c r="C330" i="1"/>
  <c r="AT329" i="1"/>
  <c r="AS329" i="1"/>
  <c r="AQ329" i="1"/>
  <c r="AN329" i="1"/>
  <c r="AO329" i="1" s="1"/>
  <c r="AP329" i="1" s="1"/>
  <c r="AK329" i="1"/>
  <c r="AJ329" i="1"/>
  <c r="AH329" i="1"/>
  <c r="AG329" i="1"/>
  <c r="AC329" i="1"/>
  <c r="AA329" i="1"/>
  <c r="Z329" i="1"/>
  <c r="Y329" i="1"/>
  <c r="X329" i="1"/>
  <c r="W329" i="1"/>
  <c r="U329" i="1"/>
  <c r="T329" i="1"/>
  <c r="S329" i="1"/>
  <c r="R329" i="1"/>
  <c r="P329" i="1"/>
  <c r="O329" i="1"/>
  <c r="L329" i="1"/>
  <c r="K329" i="1"/>
  <c r="H329" i="1"/>
  <c r="G329" i="1"/>
  <c r="F329" i="1"/>
  <c r="E329" i="1"/>
  <c r="D329" i="1"/>
  <c r="C329" i="1"/>
  <c r="AT328" i="1"/>
  <c r="AS328" i="1"/>
  <c r="AQ328" i="1"/>
  <c r="AN328" i="1"/>
  <c r="AO328" i="1" s="1"/>
  <c r="AP328" i="1" s="1"/>
  <c r="AK328" i="1"/>
  <c r="AJ328" i="1"/>
  <c r="AH328" i="1"/>
  <c r="AG328" i="1"/>
  <c r="AC328" i="1"/>
  <c r="AA328" i="1"/>
  <c r="Z328" i="1"/>
  <c r="Y328" i="1"/>
  <c r="X328" i="1"/>
  <c r="W328" i="1"/>
  <c r="U328" i="1"/>
  <c r="T328" i="1"/>
  <c r="S328" i="1"/>
  <c r="R328" i="1"/>
  <c r="P328" i="1"/>
  <c r="O328" i="1"/>
  <c r="L328" i="1"/>
  <c r="K328" i="1"/>
  <c r="H328" i="1"/>
  <c r="G328" i="1"/>
  <c r="F328" i="1"/>
  <c r="E328" i="1"/>
  <c r="D328" i="1"/>
  <c r="C328" i="1"/>
  <c r="AT327" i="1"/>
  <c r="AS327" i="1"/>
  <c r="AQ327" i="1"/>
  <c r="AN327" i="1"/>
  <c r="AO327" i="1" s="1"/>
  <c r="AP327" i="1" s="1"/>
  <c r="AK327" i="1"/>
  <c r="AJ327" i="1"/>
  <c r="AH327" i="1"/>
  <c r="AG327" i="1"/>
  <c r="AC327" i="1"/>
  <c r="AA327" i="1"/>
  <c r="Z327" i="1"/>
  <c r="Y327" i="1"/>
  <c r="X327" i="1"/>
  <c r="W327" i="1"/>
  <c r="U327" i="1"/>
  <c r="T327" i="1"/>
  <c r="S327" i="1"/>
  <c r="R327" i="1"/>
  <c r="P327" i="1"/>
  <c r="O327" i="1"/>
  <c r="L327" i="1"/>
  <c r="K327" i="1"/>
  <c r="H327" i="1"/>
  <c r="G327" i="1"/>
  <c r="F327" i="1"/>
  <c r="E327" i="1"/>
  <c r="D327" i="1"/>
  <c r="C327" i="1"/>
  <c r="AT326" i="1"/>
  <c r="AS326" i="1"/>
  <c r="AQ326" i="1"/>
  <c r="AN326" i="1"/>
  <c r="AO326" i="1" s="1"/>
  <c r="AP326" i="1" s="1"/>
  <c r="AK326" i="1"/>
  <c r="AJ326" i="1"/>
  <c r="AH326" i="1"/>
  <c r="AG326" i="1"/>
  <c r="AC326" i="1"/>
  <c r="AA326" i="1"/>
  <c r="Z326" i="1"/>
  <c r="Y326" i="1"/>
  <c r="X326" i="1"/>
  <c r="W326" i="1"/>
  <c r="U326" i="1"/>
  <c r="T326" i="1"/>
  <c r="S326" i="1"/>
  <c r="R326" i="1"/>
  <c r="P326" i="1"/>
  <c r="O326" i="1"/>
  <c r="L326" i="1"/>
  <c r="K326" i="1"/>
  <c r="H326" i="1"/>
  <c r="G326" i="1"/>
  <c r="F326" i="1"/>
  <c r="E326" i="1"/>
  <c r="D326" i="1"/>
  <c r="C326" i="1"/>
  <c r="AT325" i="1"/>
  <c r="AS325" i="1"/>
  <c r="AQ325" i="1"/>
  <c r="AN325" i="1"/>
  <c r="AO325" i="1" s="1"/>
  <c r="AP325" i="1" s="1"/>
  <c r="AK325" i="1"/>
  <c r="AJ325" i="1"/>
  <c r="AH325" i="1"/>
  <c r="AG325" i="1"/>
  <c r="AC325" i="1"/>
  <c r="AA325" i="1"/>
  <c r="Z325" i="1"/>
  <c r="Y325" i="1"/>
  <c r="X325" i="1"/>
  <c r="W325" i="1"/>
  <c r="U325" i="1"/>
  <c r="T325" i="1"/>
  <c r="S325" i="1"/>
  <c r="R325" i="1"/>
  <c r="P325" i="1"/>
  <c r="O325" i="1"/>
  <c r="L325" i="1"/>
  <c r="K325" i="1"/>
  <c r="H325" i="1"/>
  <c r="G325" i="1"/>
  <c r="F325" i="1"/>
  <c r="E325" i="1"/>
  <c r="D325" i="1"/>
  <c r="C325" i="1"/>
  <c r="AT324" i="1"/>
  <c r="AS324" i="1"/>
  <c r="AQ324" i="1"/>
  <c r="AN324" i="1"/>
  <c r="AO324" i="1" s="1"/>
  <c r="AP324" i="1" s="1"/>
  <c r="AK324" i="1"/>
  <c r="AJ324" i="1"/>
  <c r="AH324" i="1"/>
  <c r="AG324" i="1"/>
  <c r="AC324" i="1"/>
  <c r="AA324" i="1"/>
  <c r="Z324" i="1"/>
  <c r="Y324" i="1"/>
  <c r="X324" i="1"/>
  <c r="W324" i="1"/>
  <c r="U324" i="1"/>
  <c r="T324" i="1"/>
  <c r="S324" i="1"/>
  <c r="R324" i="1"/>
  <c r="P324" i="1"/>
  <c r="O324" i="1"/>
  <c r="L324" i="1"/>
  <c r="K324" i="1"/>
  <c r="H324" i="1"/>
  <c r="G324" i="1"/>
  <c r="F324" i="1"/>
  <c r="E324" i="1"/>
  <c r="D324" i="1"/>
  <c r="C324" i="1"/>
  <c r="AT323" i="1"/>
  <c r="AS323" i="1"/>
  <c r="AQ323" i="1"/>
  <c r="AN323" i="1"/>
  <c r="AO323" i="1" s="1"/>
  <c r="AP323" i="1" s="1"/>
  <c r="AK323" i="1"/>
  <c r="AJ323" i="1"/>
  <c r="AH323" i="1"/>
  <c r="AG323" i="1"/>
  <c r="AC323" i="1"/>
  <c r="AA323" i="1"/>
  <c r="Z323" i="1"/>
  <c r="Y323" i="1"/>
  <c r="X323" i="1"/>
  <c r="W323" i="1"/>
  <c r="U323" i="1"/>
  <c r="T323" i="1"/>
  <c r="S323" i="1"/>
  <c r="R323" i="1"/>
  <c r="P323" i="1"/>
  <c r="O323" i="1"/>
  <c r="L323" i="1"/>
  <c r="K323" i="1"/>
  <c r="H323" i="1"/>
  <c r="G323" i="1"/>
  <c r="F323" i="1"/>
  <c r="E323" i="1"/>
  <c r="D323" i="1"/>
  <c r="C323" i="1"/>
  <c r="AT322" i="1"/>
  <c r="AS322" i="1"/>
  <c r="AQ322" i="1"/>
  <c r="AN322" i="1"/>
  <c r="AO322" i="1" s="1"/>
  <c r="AP322" i="1" s="1"/>
  <c r="AK322" i="1"/>
  <c r="AJ322" i="1"/>
  <c r="AH322" i="1"/>
  <c r="AG322" i="1"/>
  <c r="AC322" i="1"/>
  <c r="AA322" i="1"/>
  <c r="Z322" i="1"/>
  <c r="Y322" i="1"/>
  <c r="X322" i="1"/>
  <c r="W322" i="1"/>
  <c r="U322" i="1"/>
  <c r="T322" i="1"/>
  <c r="S322" i="1"/>
  <c r="R322" i="1"/>
  <c r="P322" i="1"/>
  <c r="O322" i="1"/>
  <c r="L322" i="1"/>
  <c r="K322" i="1"/>
  <c r="H322" i="1"/>
  <c r="G322" i="1"/>
  <c r="F322" i="1"/>
  <c r="E322" i="1"/>
  <c r="D322" i="1"/>
  <c r="C322" i="1"/>
  <c r="AT321" i="1"/>
  <c r="AS321" i="1"/>
  <c r="AQ321" i="1"/>
  <c r="AN321" i="1"/>
  <c r="AO321" i="1" s="1"/>
  <c r="AP321" i="1" s="1"/>
  <c r="AK321" i="1"/>
  <c r="AJ321" i="1"/>
  <c r="AH321" i="1"/>
  <c r="AG321" i="1"/>
  <c r="AC321" i="1"/>
  <c r="AA321" i="1"/>
  <c r="Z321" i="1"/>
  <c r="Y321" i="1"/>
  <c r="X321" i="1"/>
  <c r="W321" i="1"/>
  <c r="U321" i="1"/>
  <c r="T321" i="1"/>
  <c r="S321" i="1"/>
  <c r="R321" i="1"/>
  <c r="P321" i="1"/>
  <c r="O321" i="1"/>
  <c r="L321" i="1"/>
  <c r="K321" i="1"/>
  <c r="H321" i="1"/>
  <c r="G321" i="1"/>
  <c r="F321" i="1"/>
  <c r="E321" i="1"/>
  <c r="D321" i="1"/>
  <c r="C321" i="1"/>
  <c r="AT320" i="1"/>
  <c r="AS320" i="1"/>
  <c r="AQ320" i="1"/>
  <c r="AN320" i="1"/>
  <c r="AO320" i="1" s="1"/>
  <c r="AP320" i="1" s="1"/>
  <c r="AK320" i="1"/>
  <c r="AJ320" i="1"/>
  <c r="AH320" i="1"/>
  <c r="AG320" i="1"/>
  <c r="AC320" i="1"/>
  <c r="AA320" i="1"/>
  <c r="Z320" i="1"/>
  <c r="Y320" i="1"/>
  <c r="X320" i="1"/>
  <c r="W320" i="1"/>
  <c r="U320" i="1"/>
  <c r="T320" i="1"/>
  <c r="S320" i="1"/>
  <c r="R320" i="1"/>
  <c r="P320" i="1"/>
  <c r="O320" i="1"/>
  <c r="L320" i="1"/>
  <c r="K320" i="1"/>
  <c r="H320" i="1"/>
  <c r="G320" i="1"/>
  <c r="F320" i="1"/>
  <c r="E320" i="1"/>
  <c r="D320" i="1"/>
  <c r="C320" i="1"/>
  <c r="AT319" i="1"/>
  <c r="AS319" i="1"/>
  <c r="AQ319" i="1"/>
  <c r="AN319" i="1"/>
  <c r="AO319" i="1" s="1"/>
  <c r="AP319" i="1" s="1"/>
  <c r="AK319" i="1"/>
  <c r="AJ319" i="1"/>
  <c r="AH319" i="1"/>
  <c r="AG319" i="1"/>
  <c r="AC319" i="1"/>
  <c r="AA319" i="1"/>
  <c r="Z319" i="1"/>
  <c r="Y319" i="1"/>
  <c r="X319" i="1"/>
  <c r="W319" i="1"/>
  <c r="U319" i="1"/>
  <c r="T319" i="1"/>
  <c r="S319" i="1"/>
  <c r="R319" i="1"/>
  <c r="P319" i="1"/>
  <c r="O319" i="1"/>
  <c r="L319" i="1"/>
  <c r="K319" i="1"/>
  <c r="H319" i="1"/>
  <c r="G319" i="1"/>
  <c r="F319" i="1"/>
  <c r="E319" i="1"/>
  <c r="D319" i="1"/>
  <c r="C319" i="1"/>
  <c r="AT318" i="1"/>
  <c r="AS318" i="1"/>
  <c r="AQ318" i="1"/>
  <c r="AN318" i="1"/>
  <c r="AO318" i="1" s="1"/>
  <c r="AP318" i="1" s="1"/>
  <c r="AK318" i="1"/>
  <c r="AJ318" i="1"/>
  <c r="AH318" i="1"/>
  <c r="AG318" i="1"/>
  <c r="AC318" i="1"/>
  <c r="AA318" i="1"/>
  <c r="Z318" i="1"/>
  <c r="Y318" i="1"/>
  <c r="X318" i="1"/>
  <c r="W318" i="1"/>
  <c r="U318" i="1"/>
  <c r="T318" i="1"/>
  <c r="S318" i="1"/>
  <c r="R318" i="1"/>
  <c r="P318" i="1"/>
  <c r="O318" i="1"/>
  <c r="L318" i="1"/>
  <c r="K318" i="1"/>
  <c r="H318" i="1"/>
  <c r="G318" i="1"/>
  <c r="F318" i="1"/>
  <c r="E318" i="1"/>
  <c r="D318" i="1"/>
  <c r="C318" i="1"/>
  <c r="AT317" i="1"/>
  <c r="AS317" i="1"/>
  <c r="AQ317" i="1"/>
  <c r="AN317" i="1"/>
  <c r="AO317" i="1" s="1"/>
  <c r="AP317" i="1" s="1"/>
  <c r="AK317" i="1"/>
  <c r="AJ317" i="1"/>
  <c r="AH317" i="1"/>
  <c r="AG317" i="1"/>
  <c r="AC317" i="1"/>
  <c r="AA317" i="1"/>
  <c r="Z317" i="1"/>
  <c r="Y317" i="1"/>
  <c r="X317" i="1"/>
  <c r="W317" i="1"/>
  <c r="U317" i="1"/>
  <c r="T317" i="1"/>
  <c r="S317" i="1"/>
  <c r="R317" i="1"/>
  <c r="P317" i="1"/>
  <c r="O317" i="1"/>
  <c r="L317" i="1"/>
  <c r="K317" i="1"/>
  <c r="H317" i="1"/>
  <c r="G317" i="1"/>
  <c r="F317" i="1"/>
  <c r="E317" i="1"/>
  <c r="D317" i="1"/>
  <c r="C317" i="1"/>
  <c r="AT316" i="1"/>
  <c r="AS316" i="1"/>
  <c r="AQ316" i="1"/>
  <c r="AN316" i="1"/>
  <c r="AO316" i="1" s="1"/>
  <c r="AP316" i="1" s="1"/>
  <c r="AK316" i="1"/>
  <c r="AJ316" i="1"/>
  <c r="AH316" i="1"/>
  <c r="AG316" i="1"/>
  <c r="AC316" i="1"/>
  <c r="AA316" i="1"/>
  <c r="Z316" i="1"/>
  <c r="Y316" i="1"/>
  <c r="X316" i="1"/>
  <c r="W316" i="1"/>
  <c r="U316" i="1"/>
  <c r="T316" i="1"/>
  <c r="S316" i="1"/>
  <c r="R316" i="1"/>
  <c r="P316" i="1"/>
  <c r="O316" i="1"/>
  <c r="L316" i="1"/>
  <c r="K316" i="1"/>
  <c r="H316" i="1"/>
  <c r="G316" i="1"/>
  <c r="F316" i="1"/>
  <c r="E316" i="1"/>
  <c r="D316" i="1"/>
  <c r="C316" i="1"/>
  <c r="AT315" i="1"/>
  <c r="AS315" i="1"/>
  <c r="AQ315" i="1"/>
  <c r="AN315" i="1"/>
  <c r="AO315" i="1" s="1"/>
  <c r="AP315" i="1" s="1"/>
  <c r="AK315" i="1"/>
  <c r="AJ315" i="1"/>
  <c r="AH315" i="1"/>
  <c r="AG315" i="1"/>
  <c r="AC315" i="1"/>
  <c r="AA315" i="1"/>
  <c r="Z315" i="1"/>
  <c r="Y315" i="1"/>
  <c r="X315" i="1"/>
  <c r="W315" i="1"/>
  <c r="U315" i="1"/>
  <c r="T315" i="1"/>
  <c r="S315" i="1"/>
  <c r="R315" i="1"/>
  <c r="P315" i="1"/>
  <c r="O315" i="1"/>
  <c r="L315" i="1"/>
  <c r="K315" i="1"/>
  <c r="H315" i="1"/>
  <c r="G315" i="1"/>
  <c r="F315" i="1"/>
  <c r="E315" i="1"/>
  <c r="D315" i="1"/>
  <c r="C315" i="1"/>
  <c r="AT314" i="1"/>
  <c r="AS314" i="1"/>
  <c r="AQ314" i="1"/>
  <c r="AN314" i="1"/>
  <c r="AO314" i="1" s="1"/>
  <c r="AP314" i="1" s="1"/>
  <c r="AK314" i="1"/>
  <c r="AJ314" i="1"/>
  <c r="AH314" i="1"/>
  <c r="AG314" i="1"/>
  <c r="AC314" i="1"/>
  <c r="AA314" i="1"/>
  <c r="Z314" i="1"/>
  <c r="Y314" i="1"/>
  <c r="X314" i="1"/>
  <c r="W314" i="1"/>
  <c r="U314" i="1"/>
  <c r="T314" i="1"/>
  <c r="S314" i="1"/>
  <c r="R314" i="1"/>
  <c r="P314" i="1"/>
  <c r="O314" i="1"/>
  <c r="L314" i="1"/>
  <c r="K314" i="1"/>
  <c r="H314" i="1"/>
  <c r="G314" i="1"/>
  <c r="F314" i="1"/>
  <c r="E314" i="1"/>
  <c r="D314" i="1"/>
  <c r="C314" i="1"/>
  <c r="AT313" i="1"/>
  <c r="AS313" i="1"/>
  <c r="AQ313" i="1"/>
  <c r="AN313" i="1"/>
  <c r="AO313" i="1" s="1"/>
  <c r="AP313" i="1" s="1"/>
  <c r="AK313" i="1"/>
  <c r="AJ313" i="1"/>
  <c r="AH313" i="1"/>
  <c r="AG313" i="1"/>
  <c r="AC313" i="1"/>
  <c r="AA313" i="1"/>
  <c r="Z313" i="1"/>
  <c r="Y313" i="1"/>
  <c r="X313" i="1"/>
  <c r="W313" i="1"/>
  <c r="U313" i="1"/>
  <c r="T313" i="1"/>
  <c r="S313" i="1"/>
  <c r="R313" i="1"/>
  <c r="P313" i="1"/>
  <c r="O313" i="1"/>
  <c r="L313" i="1"/>
  <c r="K313" i="1"/>
  <c r="H313" i="1"/>
  <c r="G313" i="1"/>
  <c r="F313" i="1"/>
  <c r="E313" i="1"/>
  <c r="D313" i="1"/>
  <c r="C313" i="1"/>
  <c r="AT312" i="1"/>
  <c r="AS312" i="1"/>
  <c r="AQ312" i="1"/>
  <c r="AN312" i="1"/>
  <c r="AO312" i="1" s="1"/>
  <c r="AP312" i="1" s="1"/>
  <c r="AK312" i="1"/>
  <c r="AJ312" i="1"/>
  <c r="AH312" i="1"/>
  <c r="AG312" i="1"/>
  <c r="AC312" i="1"/>
  <c r="AA312" i="1"/>
  <c r="Z312" i="1"/>
  <c r="Y312" i="1"/>
  <c r="X312" i="1"/>
  <c r="W312" i="1"/>
  <c r="U312" i="1"/>
  <c r="T312" i="1"/>
  <c r="S312" i="1"/>
  <c r="R312" i="1"/>
  <c r="P312" i="1"/>
  <c r="O312" i="1"/>
  <c r="L312" i="1"/>
  <c r="K312" i="1"/>
  <c r="H312" i="1"/>
  <c r="G312" i="1"/>
  <c r="F312" i="1"/>
  <c r="E312" i="1"/>
  <c r="D312" i="1"/>
  <c r="C312" i="1"/>
  <c r="AT311" i="1"/>
  <c r="AS311" i="1"/>
  <c r="AQ311" i="1"/>
  <c r="AN311" i="1"/>
  <c r="AO311" i="1" s="1"/>
  <c r="AP311" i="1" s="1"/>
  <c r="AK311" i="1"/>
  <c r="AJ311" i="1"/>
  <c r="AH311" i="1"/>
  <c r="AG311" i="1"/>
  <c r="AC311" i="1"/>
  <c r="AA311" i="1"/>
  <c r="Z311" i="1"/>
  <c r="Y311" i="1"/>
  <c r="X311" i="1"/>
  <c r="W311" i="1"/>
  <c r="U311" i="1"/>
  <c r="T311" i="1"/>
  <c r="S311" i="1"/>
  <c r="R311" i="1"/>
  <c r="P311" i="1"/>
  <c r="O311" i="1"/>
  <c r="L311" i="1"/>
  <c r="K311" i="1"/>
  <c r="H311" i="1"/>
  <c r="G311" i="1"/>
  <c r="F311" i="1"/>
  <c r="E311" i="1"/>
  <c r="D311" i="1"/>
  <c r="C311" i="1"/>
  <c r="AT310" i="1"/>
  <c r="AS310" i="1"/>
  <c r="AQ310" i="1"/>
  <c r="AN310" i="1"/>
  <c r="AO310" i="1" s="1"/>
  <c r="AP310" i="1" s="1"/>
  <c r="AK310" i="1"/>
  <c r="AJ310" i="1"/>
  <c r="AH310" i="1"/>
  <c r="AG310" i="1"/>
  <c r="AC310" i="1"/>
  <c r="AA310" i="1"/>
  <c r="Z310" i="1"/>
  <c r="Y310" i="1"/>
  <c r="X310" i="1"/>
  <c r="W310" i="1"/>
  <c r="U310" i="1"/>
  <c r="T310" i="1"/>
  <c r="S310" i="1"/>
  <c r="R310" i="1"/>
  <c r="P310" i="1"/>
  <c r="O310" i="1"/>
  <c r="L310" i="1"/>
  <c r="K310" i="1"/>
  <c r="H310" i="1"/>
  <c r="G310" i="1"/>
  <c r="F310" i="1"/>
  <c r="E310" i="1"/>
  <c r="D310" i="1"/>
  <c r="C310" i="1"/>
  <c r="AT309" i="1"/>
  <c r="AS309" i="1"/>
  <c r="AQ309" i="1"/>
  <c r="AN309" i="1"/>
  <c r="AO309" i="1" s="1"/>
  <c r="AP309" i="1" s="1"/>
  <c r="AK309" i="1"/>
  <c r="AJ309" i="1"/>
  <c r="AH309" i="1"/>
  <c r="AG309" i="1"/>
  <c r="AC309" i="1"/>
  <c r="AA309" i="1"/>
  <c r="Z309" i="1"/>
  <c r="Y309" i="1"/>
  <c r="X309" i="1"/>
  <c r="W309" i="1"/>
  <c r="U309" i="1"/>
  <c r="T309" i="1"/>
  <c r="S309" i="1"/>
  <c r="R309" i="1"/>
  <c r="P309" i="1"/>
  <c r="O309" i="1"/>
  <c r="L309" i="1"/>
  <c r="K309" i="1"/>
  <c r="H309" i="1"/>
  <c r="G309" i="1"/>
  <c r="F309" i="1"/>
  <c r="E309" i="1"/>
  <c r="D309" i="1"/>
  <c r="C309" i="1"/>
  <c r="AT308" i="1"/>
  <c r="AS308" i="1"/>
  <c r="AQ308" i="1"/>
  <c r="AN308" i="1"/>
  <c r="AO308" i="1" s="1"/>
  <c r="AP308" i="1" s="1"/>
  <c r="AK308" i="1"/>
  <c r="AJ308" i="1"/>
  <c r="AH308" i="1"/>
  <c r="AG308" i="1"/>
  <c r="AC308" i="1"/>
  <c r="AA308" i="1"/>
  <c r="Z308" i="1"/>
  <c r="Y308" i="1"/>
  <c r="X308" i="1"/>
  <c r="W308" i="1"/>
  <c r="U308" i="1"/>
  <c r="T308" i="1"/>
  <c r="S308" i="1"/>
  <c r="R308" i="1"/>
  <c r="Q308" i="1"/>
  <c r="P308" i="1"/>
  <c r="O308" i="1"/>
  <c r="L308" i="1"/>
  <c r="K308" i="1"/>
  <c r="H308" i="1"/>
  <c r="G308" i="1"/>
  <c r="F308" i="1"/>
  <c r="E308" i="1"/>
  <c r="D308" i="1"/>
  <c r="C308" i="1"/>
  <c r="AT307" i="1"/>
  <c r="AS307" i="1"/>
  <c r="AQ307" i="1"/>
  <c r="AN307" i="1"/>
  <c r="AO307" i="1" s="1"/>
  <c r="AP307" i="1" s="1"/>
  <c r="AK307" i="1"/>
  <c r="AJ307" i="1"/>
  <c r="AH307" i="1"/>
  <c r="AG307" i="1"/>
  <c r="AC307" i="1"/>
  <c r="AA307" i="1"/>
  <c r="Z307" i="1"/>
  <c r="Y307" i="1"/>
  <c r="X307" i="1"/>
  <c r="W307" i="1"/>
  <c r="U307" i="1"/>
  <c r="T307" i="1"/>
  <c r="S307" i="1"/>
  <c r="R307" i="1"/>
  <c r="P307" i="1"/>
  <c r="O307" i="1"/>
  <c r="L307" i="1"/>
  <c r="K307" i="1"/>
  <c r="H307" i="1"/>
  <c r="G307" i="1"/>
  <c r="F307" i="1"/>
  <c r="E307" i="1"/>
  <c r="D307" i="1"/>
  <c r="C307" i="1"/>
  <c r="AT306" i="1"/>
  <c r="AS306" i="1"/>
  <c r="AQ306" i="1"/>
  <c r="AN306" i="1"/>
  <c r="AO306" i="1" s="1"/>
  <c r="AP306" i="1" s="1"/>
  <c r="AK306" i="1"/>
  <c r="AJ306" i="1"/>
  <c r="AH306" i="1"/>
  <c r="AG306" i="1"/>
  <c r="AC306" i="1"/>
  <c r="AA306" i="1"/>
  <c r="Z306" i="1"/>
  <c r="Y306" i="1"/>
  <c r="X306" i="1"/>
  <c r="W306" i="1"/>
  <c r="U306" i="1"/>
  <c r="T306" i="1"/>
  <c r="S306" i="1"/>
  <c r="R306" i="1"/>
  <c r="P306" i="1"/>
  <c r="O306" i="1"/>
  <c r="L306" i="1"/>
  <c r="K306" i="1"/>
  <c r="H306" i="1"/>
  <c r="G306" i="1"/>
  <c r="F306" i="1"/>
  <c r="E306" i="1"/>
  <c r="D306" i="1"/>
  <c r="C306" i="1"/>
  <c r="AT305" i="1"/>
  <c r="AS305" i="1"/>
  <c r="AQ305" i="1"/>
  <c r="AN305" i="1"/>
  <c r="AO305" i="1" s="1"/>
  <c r="AP305" i="1" s="1"/>
  <c r="AK305" i="1"/>
  <c r="AJ305" i="1"/>
  <c r="AH305" i="1"/>
  <c r="AG305" i="1"/>
  <c r="AC305" i="1"/>
  <c r="AA305" i="1"/>
  <c r="Z305" i="1"/>
  <c r="Y305" i="1"/>
  <c r="X305" i="1"/>
  <c r="W305" i="1"/>
  <c r="U305" i="1"/>
  <c r="T305" i="1"/>
  <c r="S305" i="1"/>
  <c r="R305" i="1"/>
  <c r="P305" i="1"/>
  <c r="O305" i="1"/>
  <c r="L305" i="1"/>
  <c r="K305" i="1"/>
  <c r="H305" i="1"/>
  <c r="G305" i="1"/>
  <c r="F305" i="1"/>
  <c r="E305" i="1"/>
  <c r="D305" i="1"/>
  <c r="C305" i="1"/>
  <c r="AT304" i="1"/>
  <c r="AS304" i="1"/>
  <c r="AQ304" i="1"/>
  <c r="AN304" i="1"/>
  <c r="AO304" i="1" s="1"/>
  <c r="AP304" i="1" s="1"/>
  <c r="AK304" i="1"/>
  <c r="AJ304" i="1"/>
  <c r="AH304" i="1"/>
  <c r="AG304" i="1"/>
  <c r="AC304" i="1"/>
  <c r="AA304" i="1"/>
  <c r="Z304" i="1"/>
  <c r="Y304" i="1"/>
  <c r="X304" i="1"/>
  <c r="W304" i="1"/>
  <c r="U304" i="1"/>
  <c r="T304" i="1"/>
  <c r="S304" i="1"/>
  <c r="R304" i="1"/>
  <c r="P304" i="1"/>
  <c r="O304" i="1"/>
  <c r="L304" i="1"/>
  <c r="K304" i="1"/>
  <c r="H304" i="1"/>
  <c r="G304" i="1"/>
  <c r="F304" i="1"/>
  <c r="E304" i="1"/>
  <c r="D304" i="1"/>
  <c r="C304" i="1"/>
  <c r="AT303" i="1"/>
  <c r="AS303" i="1"/>
  <c r="AQ303" i="1"/>
  <c r="AN303" i="1"/>
  <c r="AO303" i="1" s="1"/>
  <c r="AP303" i="1" s="1"/>
  <c r="AK303" i="1"/>
  <c r="AJ303" i="1"/>
  <c r="AH303" i="1"/>
  <c r="AG303" i="1"/>
  <c r="AC303" i="1"/>
  <c r="AA303" i="1"/>
  <c r="Z303" i="1"/>
  <c r="Y303" i="1"/>
  <c r="X303" i="1"/>
  <c r="W303" i="1"/>
  <c r="U303" i="1"/>
  <c r="T303" i="1"/>
  <c r="S303" i="1"/>
  <c r="R303" i="1"/>
  <c r="P303" i="1"/>
  <c r="O303" i="1"/>
  <c r="L303" i="1"/>
  <c r="K303" i="1"/>
  <c r="H303" i="1"/>
  <c r="G303" i="1"/>
  <c r="F303" i="1"/>
  <c r="E303" i="1"/>
  <c r="D303" i="1"/>
  <c r="C303" i="1"/>
  <c r="AT302" i="1"/>
  <c r="AS302" i="1"/>
  <c r="AQ302" i="1"/>
  <c r="AN302" i="1"/>
  <c r="AO302" i="1" s="1"/>
  <c r="AP302" i="1" s="1"/>
  <c r="AK302" i="1"/>
  <c r="AJ302" i="1"/>
  <c r="AH302" i="1"/>
  <c r="AG302" i="1"/>
  <c r="AC302" i="1"/>
  <c r="AA302" i="1"/>
  <c r="Z302" i="1"/>
  <c r="Y302" i="1"/>
  <c r="X302" i="1"/>
  <c r="W302" i="1"/>
  <c r="U302" i="1"/>
  <c r="T302" i="1"/>
  <c r="S302" i="1"/>
  <c r="R302" i="1"/>
  <c r="P302" i="1"/>
  <c r="O302" i="1"/>
  <c r="L302" i="1"/>
  <c r="K302" i="1"/>
  <c r="H302" i="1"/>
  <c r="G302" i="1"/>
  <c r="F302" i="1"/>
  <c r="E302" i="1"/>
  <c r="D302" i="1"/>
  <c r="C302" i="1"/>
  <c r="AT301" i="1"/>
  <c r="AS301" i="1"/>
  <c r="AQ301" i="1"/>
  <c r="AN301" i="1"/>
  <c r="AO301" i="1" s="1"/>
  <c r="AP301" i="1" s="1"/>
  <c r="AK301" i="1"/>
  <c r="AJ301" i="1"/>
  <c r="AH301" i="1"/>
  <c r="AG301" i="1"/>
  <c r="AC301" i="1"/>
  <c r="AA301" i="1"/>
  <c r="Z301" i="1"/>
  <c r="Y301" i="1"/>
  <c r="X301" i="1"/>
  <c r="W301" i="1"/>
  <c r="U301" i="1"/>
  <c r="T301" i="1"/>
  <c r="S301" i="1"/>
  <c r="R301" i="1"/>
  <c r="P301" i="1"/>
  <c r="O301" i="1"/>
  <c r="L301" i="1"/>
  <c r="K301" i="1"/>
  <c r="H301" i="1"/>
  <c r="G301" i="1"/>
  <c r="F301" i="1"/>
  <c r="E301" i="1"/>
  <c r="D301" i="1"/>
  <c r="C301" i="1"/>
  <c r="AT300" i="1"/>
  <c r="AS300" i="1"/>
  <c r="AQ300" i="1"/>
  <c r="AN300" i="1"/>
  <c r="AO300" i="1" s="1"/>
  <c r="AP300" i="1" s="1"/>
  <c r="AK300" i="1"/>
  <c r="AJ300" i="1"/>
  <c r="AH300" i="1"/>
  <c r="AG300" i="1"/>
  <c r="AC300" i="1"/>
  <c r="AA300" i="1"/>
  <c r="Z300" i="1"/>
  <c r="Y300" i="1"/>
  <c r="X300" i="1"/>
  <c r="W300" i="1"/>
  <c r="U300" i="1"/>
  <c r="T300" i="1"/>
  <c r="S300" i="1"/>
  <c r="R300" i="1"/>
  <c r="P300" i="1"/>
  <c r="O300" i="1"/>
  <c r="L300" i="1"/>
  <c r="K300" i="1"/>
  <c r="H300" i="1"/>
  <c r="G300" i="1"/>
  <c r="F300" i="1"/>
  <c r="E300" i="1"/>
  <c r="D300" i="1"/>
  <c r="C300" i="1"/>
  <c r="AT299" i="1"/>
  <c r="AS299" i="1"/>
  <c r="AQ299" i="1"/>
  <c r="AN299" i="1"/>
  <c r="AO299" i="1" s="1"/>
  <c r="AP299" i="1" s="1"/>
  <c r="AK299" i="1"/>
  <c r="AJ299" i="1"/>
  <c r="AH299" i="1"/>
  <c r="AG299" i="1"/>
  <c r="AC299" i="1"/>
  <c r="AA299" i="1"/>
  <c r="Z299" i="1"/>
  <c r="Y299" i="1"/>
  <c r="X299" i="1"/>
  <c r="W299" i="1"/>
  <c r="U299" i="1"/>
  <c r="T299" i="1"/>
  <c r="S299" i="1"/>
  <c r="R299" i="1"/>
  <c r="P299" i="1"/>
  <c r="O299" i="1"/>
  <c r="L299" i="1"/>
  <c r="K299" i="1"/>
  <c r="H299" i="1"/>
  <c r="G299" i="1"/>
  <c r="F299" i="1"/>
  <c r="E299" i="1"/>
  <c r="D299" i="1"/>
  <c r="C299" i="1"/>
  <c r="AT298" i="1"/>
  <c r="AS298" i="1"/>
  <c r="AQ298" i="1"/>
  <c r="AN298" i="1"/>
  <c r="AO298" i="1" s="1"/>
  <c r="AP298" i="1" s="1"/>
  <c r="AK298" i="1"/>
  <c r="AJ298" i="1"/>
  <c r="AH298" i="1"/>
  <c r="AG298" i="1"/>
  <c r="AC298" i="1"/>
  <c r="AA298" i="1"/>
  <c r="Z298" i="1"/>
  <c r="Y298" i="1"/>
  <c r="X298" i="1"/>
  <c r="W298" i="1"/>
  <c r="U298" i="1"/>
  <c r="T298" i="1"/>
  <c r="S298" i="1"/>
  <c r="R298" i="1"/>
  <c r="P298" i="1"/>
  <c r="O298" i="1"/>
  <c r="L298" i="1"/>
  <c r="K298" i="1"/>
  <c r="H298" i="1"/>
  <c r="G298" i="1"/>
  <c r="F298" i="1"/>
  <c r="E298" i="1"/>
  <c r="D298" i="1"/>
  <c r="C298" i="1"/>
  <c r="AT297" i="1"/>
  <c r="AS297" i="1"/>
  <c r="AQ297" i="1"/>
  <c r="AN297" i="1"/>
  <c r="AO297" i="1" s="1"/>
  <c r="AP297" i="1" s="1"/>
  <c r="AK297" i="1"/>
  <c r="AJ297" i="1"/>
  <c r="AH297" i="1"/>
  <c r="AG297" i="1"/>
  <c r="AC297" i="1"/>
  <c r="AA297" i="1"/>
  <c r="Z297" i="1"/>
  <c r="Y297" i="1"/>
  <c r="X297" i="1"/>
  <c r="W297" i="1"/>
  <c r="U297" i="1"/>
  <c r="T297" i="1"/>
  <c r="S297" i="1"/>
  <c r="R297" i="1"/>
  <c r="P297" i="1"/>
  <c r="O297" i="1"/>
  <c r="L297" i="1"/>
  <c r="K297" i="1"/>
  <c r="H297" i="1"/>
  <c r="G297" i="1"/>
  <c r="F297" i="1"/>
  <c r="E297" i="1"/>
  <c r="D297" i="1"/>
  <c r="C297" i="1"/>
  <c r="AT296" i="1"/>
  <c r="AS296" i="1"/>
  <c r="AQ296" i="1"/>
  <c r="AN296" i="1"/>
  <c r="AO296" i="1" s="1"/>
  <c r="AP296" i="1" s="1"/>
  <c r="AK296" i="1"/>
  <c r="AJ296" i="1"/>
  <c r="AH296" i="1"/>
  <c r="AG296" i="1"/>
  <c r="AC296" i="1"/>
  <c r="AA296" i="1"/>
  <c r="Z296" i="1"/>
  <c r="Y296" i="1"/>
  <c r="X296" i="1"/>
  <c r="W296" i="1"/>
  <c r="U296" i="1"/>
  <c r="T296" i="1"/>
  <c r="S296" i="1"/>
  <c r="R296" i="1"/>
  <c r="P296" i="1"/>
  <c r="O296" i="1"/>
  <c r="L296" i="1"/>
  <c r="K296" i="1"/>
  <c r="H296" i="1"/>
  <c r="G296" i="1"/>
  <c r="F296" i="1"/>
  <c r="E296" i="1"/>
  <c r="D296" i="1"/>
  <c r="C296" i="1"/>
  <c r="AT295" i="1"/>
  <c r="AS295" i="1"/>
  <c r="AQ295" i="1"/>
  <c r="AN295" i="1"/>
  <c r="AO295" i="1" s="1"/>
  <c r="AP295" i="1" s="1"/>
  <c r="AK295" i="1"/>
  <c r="AJ295" i="1"/>
  <c r="AH295" i="1"/>
  <c r="AG295" i="1"/>
  <c r="AC295" i="1"/>
  <c r="AA295" i="1"/>
  <c r="Z295" i="1"/>
  <c r="Y295" i="1"/>
  <c r="X295" i="1"/>
  <c r="W295" i="1"/>
  <c r="U295" i="1"/>
  <c r="T295" i="1"/>
  <c r="S295" i="1"/>
  <c r="R295" i="1"/>
  <c r="P295" i="1"/>
  <c r="O295" i="1"/>
  <c r="L295" i="1"/>
  <c r="K295" i="1"/>
  <c r="H295" i="1"/>
  <c r="G295" i="1"/>
  <c r="F295" i="1"/>
  <c r="E295" i="1"/>
  <c r="D295" i="1"/>
  <c r="C295" i="1"/>
  <c r="AT294" i="1"/>
  <c r="AS294" i="1"/>
  <c r="AQ294" i="1"/>
  <c r="AN294" i="1"/>
  <c r="AO294" i="1" s="1"/>
  <c r="AP294" i="1" s="1"/>
  <c r="AK294" i="1"/>
  <c r="AJ294" i="1"/>
  <c r="AH294" i="1"/>
  <c r="AG294" i="1"/>
  <c r="AC294" i="1"/>
  <c r="AA294" i="1"/>
  <c r="Z294" i="1"/>
  <c r="Y294" i="1"/>
  <c r="X294" i="1"/>
  <c r="W294" i="1"/>
  <c r="U294" i="1"/>
  <c r="T294" i="1"/>
  <c r="S294" i="1"/>
  <c r="R294" i="1"/>
  <c r="Q294" i="1"/>
  <c r="P294" i="1"/>
  <c r="O294" i="1"/>
  <c r="L294" i="1"/>
  <c r="K294" i="1"/>
  <c r="H294" i="1"/>
  <c r="G294" i="1"/>
  <c r="F294" i="1"/>
  <c r="E294" i="1"/>
  <c r="D294" i="1"/>
  <c r="C294" i="1"/>
  <c r="AT293" i="1"/>
  <c r="AS293" i="1"/>
  <c r="AQ293" i="1"/>
  <c r="AN293" i="1"/>
  <c r="AO293" i="1" s="1"/>
  <c r="AP293" i="1" s="1"/>
  <c r="AK293" i="1"/>
  <c r="AJ293" i="1"/>
  <c r="AH293" i="1"/>
  <c r="AG293" i="1"/>
  <c r="AC293" i="1"/>
  <c r="AA293" i="1"/>
  <c r="Z293" i="1"/>
  <c r="Y293" i="1"/>
  <c r="X293" i="1"/>
  <c r="W293" i="1"/>
  <c r="U293" i="1"/>
  <c r="T293" i="1"/>
  <c r="S293" i="1"/>
  <c r="R293" i="1"/>
  <c r="P293" i="1"/>
  <c r="O293" i="1"/>
  <c r="L293" i="1"/>
  <c r="K293" i="1"/>
  <c r="H293" i="1"/>
  <c r="G293" i="1"/>
  <c r="F293" i="1"/>
  <c r="E293" i="1"/>
  <c r="D293" i="1"/>
  <c r="C293" i="1"/>
  <c r="AT292" i="1"/>
  <c r="AS292" i="1"/>
  <c r="AQ292" i="1"/>
  <c r="AN292" i="1"/>
  <c r="AO292" i="1" s="1"/>
  <c r="AP292" i="1" s="1"/>
  <c r="AK292" i="1"/>
  <c r="AJ292" i="1"/>
  <c r="AH292" i="1"/>
  <c r="AG292" i="1"/>
  <c r="AC292" i="1"/>
  <c r="AA292" i="1"/>
  <c r="Z292" i="1"/>
  <c r="Y292" i="1"/>
  <c r="X292" i="1"/>
  <c r="W292" i="1"/>
  <c r="U292" i="1"/>
  <c r="T292" i="1"/>
  <c r="S292" i="1"/>
  <c r="R292" i="1"/>
  <c r="P292" i="1"/>
  <c r="O292" i="1"/>
  <c r="L292" i="1"/>
  <c r="K292" i="1"/>
  <c r="H292" i="1"/>
  <c r="G292" i="1"/>
  <c r="F292" i="1"/>
  <c r="E292" i="1"/>
  <c r="D292" i="1"/>
  <c r="C292" i="1"/>
  <c r="AT291" i="1"/>
  <c r="AS291" i="1"/>
  <c r="AQ291" i="1"/>
  <c r="AN291" i="1"/>
  <c r="AO291" i="1" s="1"/>
  <c r="AP291" i="1" s="1"/>
  <c r="AK291" i="1"/>
  <c r="AJ291" i="1"/>
  <c r="AH291" i="1"/>
  <c r="AG291" i="1"/>
  <c r="AC291" i="1"/>
  <c r="AA291" i="1"/>
  <c r="Z291" i="1"/>
  <c r="Y291" i="1"/>
  <c r="X291" i="1"/>
  <c r="W291" i="1"/>
  <c r="U291" i="1"/>
  <c r="T291" i="1"/>
  <c r="S291" i="1"/>
  <c r="R291" i="1"/>
  <c r="P291" i="1"/>
  <c r="O291" i="1"/>
  <c r="L291" i="1"/>
  <c r="K291" i="1"/>
  <c r="H291" i="1"/>
  <c r="G291" i="1"/>
  <c r="F291" i="1"/>
  <c r="E291" i="1"/>
  <c r="D291" i="1"/>
  <c r="C291" i="1"/>
  <c r="AT290" i="1"/>
  <c r="AS290" i="1"/>
  <c r="AQ290" i="1"/>
  <c r="AN290" i="1"/>
  <c r="AO290" i="1" s="1"/>
  <c r="AP290" i="1" s="1"/>
  <c r="AK290" i="1"/>
  <c r="AJ290" i="1"/>
  <c r="AH290" i="1"/>
  <c r="AG290" i="1"/>
  <c r="AC290" i="1"/>
  <c r="AA290" i="1"/>
  <c r="Z290" i="1"/>
  <c r="Y290" i="1"/>
  <c r="X290" i="1"/>
  <c r="W290" i="1"/>
  <c r="U290" i="1"/>
  <c r="T290" i="1"/>
  <c r="S290" i="1"/>
  <c r="R290" i="1"/>
  <c r="P290" i="1"/>
  <c r="O290" i="1"/>
  <c r="L290" i="1"/>
  <c r="K290" i="1"/>
  <c r="H290" i="1"/>
  <c r="G290" i="1"/>
  <c r="F290" i="1"/>
  <c r="E290" i="1"/>
  <c r="D290" i="1"/>
  <c r="C290" i="1"/>
  <c r="AT289" i="1"/>
  <c r="AS289" i="1"/>
  <c r="AQ289" i="1"/>
  <c r="AN289" i="1"/>
  <c r="AO289" i="1" s="1"/>
  <c r="AP289" i="1" s="1"/>
  <c r="AK289" i="1"/>
  <c r="AJ289" i="1"/>
  <c r="AH289" i="1"/>
  <c r="AG289" i="1"/>
  <c r="AC289" i="1"/>
  <c r="AA289" i="1"/>
  <c r="Z289" i="1"/>
  <c r="Y289" i="1"/>
  <c r="X289" i="1"/>
  <c r="W289" i="1"/>
  <c r="U289" i="1"/>
  <c r="T289" i="1"/>
  <c r="S289" i="1"/>
  <c r="R289" i="1"/>
  <c r="P289" i="1"/>
  <c r="O289" i="1"/>
  <c r="L289" i="1"/>
  <c r="K289" i="1"/>
  <c r="H289" i="1"/>
  <c r="G289" i="1"/>
  <c r="F289" i="1"/>
  <c r="E289" i="1"/>
  <c r="D289" i="1"/>
  <c r="C289" i="1"/>
  <c r="AT288" i="1"/>
  <c r="AS288" i="1"/>
  <c r="AQ288" i="1"/>
  <c r="AN288" i="1"/>
  <c r="AO288" i="1" s="1"/>
  <c r="AP288" i="1" s="1"/>
  <c r="AK288" i="1"/>
  <c r="AJ288" i="1"/>
  <c r="AH288" i="1"/>
  <c r="AG288" i="1"/>
  <c r="AC288" i="1"/>
  <c r="AA288" i="1"/>
  <c r="Z288" i="1"/>
  <c r="Y288" i="1"/>
  <c r="X288" i="1"/>
  <c r="W288" i="1"/>
  <c r="U288" i="1"/>
  <c r="T288" i="1"/>
  <c r="S288" i="1"/>
  <c r="R288" i="1"/>
  <c r="P288" i="1"/>
  <c r="O288" i="1"/>
  <c r="L288" i="1"/>
  <c r="K288" i="1"/>
  <c r="H288" i="1"/>
  <c r="G288" i="1"/>
  <c r="F288" i="1"/>
  <c r="E288" i="1"/>
  <c r="D288" i="1"/>
  <c r="C288" i="1"/>
  <c r="AT287" i="1"/>
  <c r="AS287" i="1"/>
  <c r="AQ287" i="1"/>
  <c r="AN287" i="1"/>
  <c r="AO287" i="1" s="1"/>
  <c r="AP287" i="1" s="1"/>
  <c r="AK287" i="1"/>
  <c r="AJ287" i="1"/>
  <c r="AH287" i="1"/>
  <c r="AG287" i="1"/>
  <c r="AC287" i="1"/>
  <c r="AA287" i="1"/>
  <c r="Z287" i="1"/>
  <c r="Y287" i="1"/>
  <c r="X287" i="1"/>
  <c r="W287" i="1"/>
  <c r="U287" i="1"/>
  <c r="T287" i="1"/>
  <c r="S287" i="1"/>
  <c r="R287" i="1"/>
  <c r="P287" i="1"/>
  <c r="O287" i="1"/>
  <c r="L287" i="1"/>
  <c r="K287" i="1"/>
  <c r="H287" i="1"/>
  <c r="G287" i="1"/>
  <c r="F287" i="1"/>
  <c r="E287" i="1"/>
  <c r="D287" i="1"/>
  <c r="C287" i="1"/>
  <c r="AT286" i="1"/>
  <c r="AS286" i="1"/>
  <c r="AQ286" i="1"/>
  <c r="AN286" i="1"/>
  <c r="AO286" i="1" s="1"/>
  <c r="AP286" i="1" s="1"/>
  <c r="AK286" i="1"/>
  <c r="AJ286" i="1"/>
  <c r="AH286" i="1"/>
  <c r="AG286" i="1"/>
  <c r="AC286" i="1"/>
  <c r="AA286" i="1"/>
  <c r="Z286" i="1"/>
  <c r="Y286" i="1"/>
  <c r="X286" i="1"/>
  <c r="W286" i="1"/>
  <c r="U286" i="1"/>
  <c r="T286" i="1"/>
  <c r="S286" i="1"/>
  <c r="R286" i="1"/>
  <c r="P286" i="1"/>
  <c r="O286" i="1"/>
  <c r="L286" i="1"/>
  <c r="K286" i="1"/>
  <c r="H286" i="1"/>
  <c r="G286" i="1"/>
  <c r="F286" i="1"/>
  <c r="E286" i="1"/>
  <c r="D286" i="1"/>
  <c r="C286" i="1"/>
  <c r="AT285" i="1"/>
  <c r="AS285" i="1"/>
  <c r="AQ285" i="1"/>
  <c r="AN285" i="1"/>
  <c r="AO285" i="1" s="1"/>
  <c r="AP285" i="1" s="1"/>
  <c r="AK285" i="1"/>
  <c r="AJ285" i="1"/>
  <c r="AH285" i="1"/>
  <c r="AG285" i="1"/>
  <c r="AC285" i="1"/>
  <c r="AA285" i="1"/>
  <c r="Z285" i="1"/>
  <c r="Y285" i="1"/>
  <c r="X285" i="1"/>
  <c r="W285" i="1"/>
  <c r="U285" i="1"/>
  <c r="T285" i="1"/>
  <c r="S285" i="1"/>
  <c r="R285" i="1"/>
  <c r="P285" i="1"/>
  <c r="O285" i="1"/>
  <c r="L285" i="1"/>
  <c r="K285" i="1"/>
  <c r="H285" i="1"/>
  <c r="G285" i="1"/>
  <c r="F285" i="1"/>
  <c r="E285" i="1"/>
  <c r="D285" i="1"/>
  <c r="C285" i="1"/>
  <c r="AT284" i="1"/>
  <c r="AS284" i="1"/>
  <c r="AQ284" i="1"/>
  <c r="AN284" i="1"/>
  <c r="AO284" i="1" s="1"/>
  <c r="AP284" i="1" s="1"/>
  <c r="AK284" i="1"/>
  <c r="AJ284" i="1"/>
  <c r="AH284" i="1"/>
  <c r="AG284" i="1"/>
  <c r="AC284" i="1"/>
  <c r="AA284" i="1"/>
  <c r="Z284" i="1"/>
  <c r="Y284" i="1"/>
  <c r="X284" i="1"/>
  <c r="W284" i="1"/>
  <c r="U284" i="1"/>
  <c r="T284" i="1"/>
  <c r="S284" i="1"/>
  <c r="R284" i="1"/>
  <c r="P284" i="1"/>
  <c r="O284" i="1"/>
  <c r="L284" i="1"/>
  <c r="K284" i="1"/>
  <c r="H284" i="1"/>
  <c r="G284" i="1"/>
  <c r="F284" i="1"/>
  <c r="E284" i="1"/>
  <c r="D284" i="1"/>
  <c r="C284" i="1"/>
  <c r="AT283" i="1"/>
  <c r="AS283" i="1"/>
  <c r="AQ283" i="1"/>
  <c r="AN283" i="1"/>
  <c r="AO283" i="1" s="1"/>
  <c r="AP283" i="1" s="1"/>
  <c r="AK283" i="1"/>
  <c r="AJ283" i="1"/>
  <c r="AH283" i="1"/>
  <c r="AG283" i="1"/>
  <c r="AC283" i="1"/>
  <c r="AA283" i="1"/>
  <c r="Z283" i="1"/>
  <c r="Y283" i="1"/>
  <c r="X283" i="1"/>
  <c r="W283" i="1"/>
  <c r="U283" i="1"/>
  <c r="T283" i="1"/>
  <c r="S283" i="1"/>
  <c r="R283" i="1"/>
  <c r="P283" i="1"/>
  <c r="O283" i="1"/>
  <c r="L283" i="1"/>
  <c r="K283" i="1"/>
  <c r="H283" i="1"/>
  <c r="G283" i="1"/>
  <c r="F283" i="1"/>
  <c r="E283" i="1"/>
  <c r="D283" i="1"/>
  <c r="C283" i="1"/>
  <c r="AT282" i="1"/>
  <c r="AS282" i="1"/>
  <c r="AQ282" i="1"/>
  <c r="AN282" i="1"/>
  <c r="AO282" i="1" s="1"/>
  <c r="AP282" i="1" s="1"/>
  <c r="AK282" i="1"/>
  <c r="AJ282" i="1"/>
  <c r="AH282" i="1"/>
  <c r="AG282" i="1"/>
  <c r="AC282" i="1"/>
  <c r="AA282" i="1"/>
  <c r="Z282" i="1"/>
  <c r="Y282" i="1"/>
  <c r="X282" i="1"/>
  <c r="W282" i="1"/>
  <c r="U282" i="1"/>
  <c r="T282" i="1"/>
  <c r="S282" i="1"/>
  <c r="R282" i="1"/>
  <c r="P282" i="1"/>
  <c r="O282" i="1"/>
  <c r="L282" i="1"/>
  <c r="K282" i="1"/>
  <c r="H282" i="1"/>
  <c r="G282" i="1"/>
  <c r="F282" i="1"/>
  <c r="E282" i="1"/>
  <c r="D282" i="1"/>
  <c r="C282" i="1"/>
  <c r="AT281" i="1"/>
  <c r="AS281" i="1"/>
  <c r="AQ281" i="1"/>
  <c r="AN281" i="1"/>
  <c r="AO281" i="1" s="1"/>
  <c r="AP281" i="1" s="1"/>
  <c r="AK281" i="1"/>
  <c r="AJ281" i="1"/>
  <c r="AH281" i="1"/>
  <c r="AG281" i="1"/>
  <c r="AC281" i="1"/>
  <c r="AA281" i="1"/>
  <c r="Z281" i="1"/>
  <c r="Y281" i="1"/>
  <c r="X281" i="1"/>
  <c r="W281" i="1"/>
  <c r="U281" i="1"/>
  <c r="T281" i="1"/>
  <c r="S281" i="1"/>
  <c r="R281" i="1"/>
  <c r="P281" i="1"/>
  <c r="O281" i="1"/>
  <c r="L281" i="1"/>
  <c r="K281" i="1"/>
  <c r="H281" i="1"/>
  <c r="G281" i="1"/>
  <c r="F281" i="1"/>
  <c r="E281" i="1"/>
  <c r="D281" i="1"/>
  <c r="C281" i="1"/>
  <c r="AT280" i="1"/>
  <c r="AS280" i="1"/>
  <c r="AQ280" i="1"/>
  <c r="AN280" i="1"/>
  <c r="AO280" i="1" s="1"/>
  <c r="AP280" i="1" s="1"/>
  <c r="AK280" i="1"/>
  <c r="AJ280" i="1"/>
  <c r="AH280" i="1"/>
  <c r="AG280" i="1"/>
  <c r="AC280" i="1"/>
  <c r="AA280" i="1"/>
  <c r="Z280" i="1"/>
  <c r="Y280" i="1"/>
  <c r="X280" i="1"/>
  <c r="W280" i="1"/>
  <c r="U280" i="1"/>
  <c r="T280" i="1"/>
  <c r="S280" i="1"/>
  <c r="R280" i="1"/>
  <c r="P280" i="1"/>
  <c r="O280" i="1"/>
  <c r="L280" i="1"/>
  <c r="K280" i="1"/>
  <c r="H280" i="1"/>
  <c r="G280" i="1"/>
  <c r="F280" i="1"/>
  <c r="E280" i="1"/>
  <c r="D280" i="1"/>
  <c r="C280" i="1"/>
  <c r="AT279" i="1"/>
  <c r="AS279" i="1"/>
  <c r="AQ279" i="1"/>
  <c r="AN279" i="1"/>
  <c r="AO279" i="1" s="1"/>
  <c r="AP279" i="1" s="1"/>
  <c r="AK279" i="1"/>
  <c r="AJ279" i="1"/>
  <c r="AH279" i="1"/>
  <c r="AG279" i="1"/>
  <c r="AC279" i="1"/>
  <c r="AA279" i="1"/>
  <c r="Z279" i="1"/>
  <c r="Y279" i="1"/>
  <c r="X279" i="1"/>
  <c r="W279" i="1"/>
  <c r="U279" i="1"/>
  <c r="T279" i="1"/>
  <c r="S279" i="1"/>
  <c r="R279" i="1"/>
  <c r="P279" i="1"/>
  <c r="O279" i="1"/>
  <c r="L279" i="1"/>
  <c r="K279" i="1"/>
  <c r="H279" i="1"/>
  <c r="G279" i="1"/>
  <c r="F279" i="1"/>
  <c r="E279" i="1"/>
  <c r="D279" i="1"/>
  <c r="C279" i="1"/>
  <c r="AT278" i="1"/>
  <c r="AS278" i="1"/>
  <c r="AQ278" i="1"/>
  <c r="AN278" i="1"/>
  <c r="AO278" i="1" s="1"/>
  <c r="AP278" i="1" s="1"/>
  <c r="AK278" i="1"/>
  <c r="AJ278" i="1"/>
  <c r="AH278" i="1"/>
  <c r="AG278" i="1"/>
  <c r="AC278" i="1"/>
  <c r="AA278" i="1"/>
  <c r="Z278" i="1"/>
  <c r="Y278" i="1"/>
  <c r="X278" i="1"/>
  <c r="W278" i="1"/>
  <c r="U278" i="1"/>
  <c r="T278" i="1"/>
  <c r="S278" i="1"/>
  <c r="R278" i="1"/>
  <c r="P278" i="1"/>
  <c r="O278" i="1"/>
  <c r="L278" i="1"/>
  <c r="K278" i="1"/>
  <c r="H278" i="1"/>
  <c r="G278" i="1"/>
  <c r="F278" i="1"/>
  <c r="E278" i="1"/>
  <c r="D278" i="1"/>
  <c r="C278" i="1"/>
  <c r="AT277" i="1"/>
  <c r="AS277" i="1"/>
  <c r="AQ277" i="1"/>
  <c r="AN277" i="1"/>
  <c r="AO277" i="1" s="1"/>
  <c r="AP277" i="1" s="1"/>
  <c r="AK277" i="1"/>
  <c r="AJ277" i="1"/>
  <c r="AH277" i="1"/>
  <c r="AG277" i="1"/>
  <c r="AC277" i="1"/>
  <c r="AA277" i="1"/>
  <c r="Z277" i="1"/>
  <c r="Y277" i="1"/>
  <c r="X277" i="1"/>
  <c r="W277" i="1"/>
  <c r="U277" i="1"/>
  <c r="T277" i="1"/>
  <c r="S277" i="1"/>
  <c r="R277" i="1"/>
  <c r="P277" i="1"/>
  <c r="O277" i="1"/>
  <c r="L277" i="1"/>
  <c r="K277" i="1"/>
  <c r="H277" i="1"/>
  <c r="G277" i="1"/>
  <c r="F277" i="1"/>
  <c r="E277" i="1"/>
  <c r="D277" i="1"/>
  <c r="C277" i="1"/>
  <c r="AT276" i="1"/>
  <c r="AS276" i="1"/>
  <c r="AQ276" i="1"/>
  <c r="AN276" i="1"/>
  <c r="AO276" i="1" s="1"/>
  <c r="AP276" i="1" s="1"/>
  <c r="AK276" i="1"/>
  <c r="AJ276" i="1"/>
  <c r="AH276" i="1"/>
  <c r="AG276" i="1"/>
  <c r="AC276" i="1"/>
  <c r="AA276" i="1"/>
  <c r="Z276" i="1"/>
  <c r="Y276" i="1"/>
  <c r="X276" i="1"/>
  <c r="W276" i="1"/>
  <c r="U276" i="1"/>
  <c r="T276" i="1"/>
  <c r="S276" i="1"/>
  <c r="R276" i="1"/>
  <c r="P276" i="1"/>
  <c r="O276" i="1"/>
  <c r="L276" i="1"/>
  <c r="K276" i="1"/>
  <c r="H276" i="1"/>
  <c r="G276" i="1"/>
  <c r="F276" i="1"/>
  <c r="E276" i="1"/>
  <c r="D276" i="1"/>
  <c r="C276" i="1"/>
  <c r="AT275" i="1"/>
  <c r="AS275" i="1"/>
  <c r="AQ275" i="1"/>
  <c r="AN275" i="1"/>
  <c r="AO275" i="1" s="1"/>
  <c r="AP275" i="1" s="1"/>
  <c r="AK275" i="1"/>
  <c r="AJ275" i="1"/>
  <c r="AH275" i="1"/>
  <c r="AG275" i="1"/>
  <c r="AC275" i="1"/>
  <c r="AA275" i="1"/>
  <c r="Z275" i="1"/>
  <c r="Y275" i="1"/>
  <c r="X275" i="1"/>
  <c r="W275" i="1"/>
  <c r="U275" i="1"/>
  <c r="T275" i="1"/>
  <c r="S275" i="1"/>
  <c r="R275" i="1"/>
  <c r="P275" i="1"/>
  <c r="O275" i="1"/>
  <c r="L275" i="1"/>
  <c r="K275" i="1"/>
  <c r="H275" i="1"/>
  <c r="G275" i="1"/>
  <c r="F275" i="1"/>
  <c r="E275" i="1"/>
  <c r="D275" i="1"/>
  <c r="C275" i="1"/>
  <c r="AT274" i="1"/>
  <c r="AS274" i="1"/>
  <c r="AQ274" i="1"/>
  <c r="AN274" i="1"/>
  <c r="AO274" i="1" s="1"/>
  <c r="AP274" i="1" s="1"/>
  <c r="AK274" i="1"/>
  <c r="AJ274" i="1"/>
  <c r="AH274" i="1"/>
  <c r="AG274" i="1"/>
  <c r="AC274" i="1"/>
  <c r="AA274" i="1"/>
  <c r="X274" i="1"/>
  <c r="U274" i="1"/>
  <c r="T274" i="1"/>
  <c r="S274" i="1"/>
  <c r="R274" i="1"/>
  <c r="P274" i="1"/>
  <c r="O274" i="1"/>
  <c r="L274" i="1"/>
  <c r="K274" i="1"/>
  <c r="H274" i="1"/>
  <c r="G274" i="1"/>
  <c r="F274" i="1"/>
  <c r="E274" i="1"/>
  <c r="D274" i="1"/>
  <c r="C274" i="1"/>
  <c r="AT273" i="1"/>
  <c r="AS273" i="1"/>
  <c r="AQ273" i="1"/>
  <c r="AN273" i="1"/>
  <c r="AO273" i="1" s="1"/>
  <c r="AP273" i="1" s="1"/>
  <c r="AK273" i="1"/>
  <c r="AJ273" i="1"/>
  <c r="AH273" i="1"/>
  <c r="AG273" i="1"/>
  <c r="AC273" i="1"/>
  <c r="AA273" i="1"/>
  <c r="Z273" i="1"/>
  <c r="Y273" i="1"/>
  <c r="X273" i="1"/>
  <c r="U273" i="1"/>
  <c r="T273" i="1"/>
  <c r="S273" i="1"/>
  <c r="R273" i="1"/>
  <c r="P273" i="1"/>
  <c r="O273" i="1"/>
  <c r="L273" i="1"/>
  <c r="K273" i="1"/>
  <c r="H273" i="1"/>
  <c r="G273" i="1"/>
  <c r="F273" i="1"/>
  <c r="E273" i="1"/>
  <c r="D273" i="1"/>
  <c r="C273" i="1"/>
  <c r="AT272" i="1"/>
  <c r="AS272" i="1"/>
  <c r="AQ272" i="1"/>
  <c r="AN272" i="1"/>
  <c r="AO272" i="1" s="1"/>
  <c r="AP272" i="1" s="1"/>
  <c r="AK272" i="1"/>
  <c r="AJ272" i="1"/>
  <c r="AH272" i="1"/>
  <c r="AG272" i="1"/>
  <c r="AC272" i="1"/>
  <c r="AA272" i="1"/>
  <c r="Z272" i="1"/>
  <c r="Y272" i="1"/>
  <c r="X272" i="1"/>
  <c r="W272" i="1"/>
  <c r="U272" i="1"/>
  <c r="T272" i="1"/>
  <c r="S272" i="1"/>
  <c r="R272" i="1"/>
  <c r="P272" i="1"/>
  <c r="O272" i="1"/>
  <c r="L272" i="1"/>
  <c r="K272" i="1"/>
  <c r="H272" i="1"/>
  <c r="G272" i="1"/>
  <c r="F272" i="1"/>
  <c r="E272" i="1"/>
  <c r="D272" i="1"/>
  <c r="C272" i="1"/>
  <c r="AT271" i="1"/>
  <c r="AS271" i="1"/>
  <c r="AQ271" i="1"/>
  <c r="AN271" i="1"/>
  <c r="AO271" i="1" s="1"/>
  <c r="AP271" i="1" s="1"/>
  <c r="AK271" i="1"/>
  <c r="AJ271" i="1"/>
  <c r="AH271" i="1"/>
  <c r="AG271" i="1"/>
  <c r="AC271" i="1"/>
  <c r="AA271" i="1"/>
  <c r="Z271" i="1"/>
  <c r="Y271" i="1"/>
  <c r="X271" i="1"/>
  <c r="W271" i="1"/>
  <c r="U271" i="1"/>
  <c r="T271" i="1"/>
  <c r="S271" i="1"/>
  <c r="R271" i="1"/>
  <c r="P271" i="1"/>
  <c r="O271" i="1"/>
  <c r="L271" i="1"/>
  <c r="K271" i="1"/>
  <c r="H271" i="1"/>
  <c r="G271" i="1"/>
  <c r="F271" i="1"/>
  <c r="E271" i="1"/>
  <c r="D271" i="1"/>
  <c r="C271" i="1"/>
  <c r="AT270" i="1"/>
  <c r="AS270" i="1"/>
  <c r="AQ270" i="1"/>
  <c r="AN270" i="1"/>
  <c r="AO270" i="1" s="1"/>
  <c r="AP270" i="1" s="1"/>
  <c r="AK270" i="1"/>
  <c r="AJ270" i="1"/>
  <c r="AH270" i="1"/>
  <c r="AG270" i="1"/>
  <c r="AC270" i="1"/>
  <c r="AA270" i="1"/>
  <c r="Z270" i="1"/>
  <c r="Y270" i="1"/>
  <c r="X270" i="1"/>
  <c r="W270" i="1"/>
  <c r="U270" i="1"/>
  <c r="T270" i="1"/>
  <c r="S270" i="1"/>
  <c r="R270" i="1"/>
  <c r="P270" i="1"/>
  <c r="O270" i="1"/>
  <c r="L270" i="1"/>
  <c r="K270" i="1"/>
  <c r="H270" i="1"/>
  <c r="G270" i="1"/>
  <c r="F270" i="1"/>
  <c r="E270" i="1"/>
  <c r="D270" i="1"/>
  <c r="C270" i="1"/>
  <c r="AT269" i="1"/>
  <c r="AS269" i="1"/>
  <c r="AQ269" i="1"/>
  <c r="AN269" i="1"/>
  <c r="AO269" i="1" s="1"/>
  <c r="AP269" i="1" s="1"/>
  <c r="AK269" i="1"/>
  <c r="AJ269" i="1"/>
  <c r="AH269" i="1"/>
  <c r="AG269" i="1"/>
  <c r="AC269" i="1"/>
  <c r="AA269" i="1"/>
  <c r="Z269" i="1"/>
  <c r="Y269" i="1"/>
  <c r="X269" i="1"/>
  <c r="W269" i="1"/>
  <c r="U269" i="1"/>
  <c r="T269" i="1"/>
  <c r="S269" i="1"/>
  <c r="R269" i="1"/>
  <c r="P269" i="1"/>
  <c r="O269" i="1"/>
  <c r="L269" i="1"/>
  <c r="K269" i="1"/>
  <c r="H269" i="1"/>
  <c r="G269" i="1"/>
  <c r="F269" i="1"/>
  <c r="E269" i="1"/>
  <c r="D269" i="1"/>
  <c r="C269" i="1"/>
  <c r="AT268" i="1"/>
  <c r="AS268" i="1"/>
  <c r="AQ268" i="1"/>
  <c r="AN268" i="1"/>
  <c r="AO268" i="1" s="1"/>
  <c r="AP268" i="1" s="1"/>
  <c r="AK268" i="1"/>
  <c r="AJ268" i="1"/>
  <c r="AH268" i="1"/>
  <c r="AG268" i="1"/>
  <c r="AC268" i="1"/>
  <c r="AA268" i="1"/>
  <c r="Z268" i="1"/>
  <c r="Y268" i="1"/>
  <c r="X268" i="1"/>
  <c r="W268" i="1"/>
  <c r="U268" i="1"/>
  <c r="T268" i="1"/>
  <c r="S268" i="1"/>
  <c r="R268" i="1"/>
  <c r="P268" i="1"/>
  <c r="O268" i="1"/>
  <c r="L268" i="1"/>
  <c r="K268" i="1"/>
  <c r="H268" i="1"/>
  <c r="G268" i="1"/>
  <c r="F268" i="1"/>
  <c r="E268" i="1"/>
  <c r="D268" i="1"/>
  <c r="C268" i="1"/>
  <c r="AT267" i="1"/>
  <c r="AS267" i="1"/>
  <c r="AQ267" i="1"/>
  <c r="AN267" i="1"/>
  <c r="AO267" i="1" s="1"/>
  <c r="AP267" i="1" s="1"/>
  <c r="AK267" i="1"/>
  <c r="AJ267" i="1"/>
  <c r="AH267" i="1"/>
  <c r="AG267" i="1"/>
  <c r="AC267" i="1"/>
  <c r="AA267" i="1"/>
  <c r="Z267" i="1"/>
  <c r="Y267" i="1"/>
  <c r="X267" i="1"/>
  <c r="W267" i="1"/>
  <c r="U267" i="1"/>
  <c r="T267" i="1"/>
  <c r="S267" i="1"/>
  <c r="R267" i="1"/>
  <c r="P267" i="1"/>
  <c r="O267" i="1"/>
  <c r="L267" i="1"/>
  <c r="K267" i="1"/>
  <c r="H267" i="1"/>
  <c r="G267" i="1"/>
  <c r="F267" i="1"/>
  <c r="E267" i="1"/>
  <c r="D267" i="1"/>
  <c r="C267" i="1"/>
  <c r="AT266" i="1"/>
  <c r="AS266" i="1"/>
  <c r="AQ266" i="1"/>
  <c r="AN266" i="1"/>
  <c r="AO266" i="1" s="1"/>
  <c r="AP266" i="1" s="1"/>
  <c r="AK266" i="1"/>
  <c r="AJ266" i="1"/>
  <c r="AH266" i="1"/>
  <c r="AG266" i="1"/>
  <c r="AC266" i="1"/>
  <c r="AA266" i="1"/>
  <c r="Z266" i="1"/>
  <c r="Y266" i="1"/>
  <c r="X266" i="1"/>
  <c r="W266" i="1"/>
  <c r="U266" i="1"/>
  <c r="T266" i="1"/>
  <c r="S266" i="1"/>
  <c r="R266" i="1"/>
  <c r="P266" i="1"/>
  <c r="O266" i="1"/>
  <c r="L266" i="1"/>
  <c r="K266" i="1"/>
  <c r="H266" i="1"/>
  <c r="G266" i="1"/>
  <c r="F266" i="1"/>
  <c r="E266" i="1"/>
  <c r="D266" i="1"/>
  <c r="C266" i="1"/>
  <c r="AT265" i="1"/>
  <c r="AS265" i="1"/>
  <c r="AQ265" i="1"/>
  <c r="AN265" i="1"/>
  <c r="AO265" i="1" s="1"/>
  <c r="AP265" i="1" s="1"/>
  <c r="AK265" i="1"/>
  <c r="AJ265" i="1"/>
  <c r="AH265" i="1"/>
  <c r="AG265" i="1"/>
  <c r="AC265" i="1"/>
  <c r="AA265" i="1"/>
  <c r="Z265" i="1"/>
  <c r="Y265" i="1"/>
  <c r="X265" i="1"/>
  <c r="W265" i="1"/>
  <c r="U265" i="1"/>
  <c r="T265" i="1"/>
  <c r="S265" i="1"/>
  <c r="R265" i="1"/>
  <c r="P265" i="1"/>
  <c r="O265" i="1"/>
  <c r="L265" i="1"/>
  <c r="K265" i="1"/>
  <c r="H265" i="1"/>
  <c r="G265" i="1"/>
  <c r="F265" i="1"/>
  <c r="E265" i="1"/>
  <c r="D265" i="1"/>
  <c r="C265" i="1"/>
  <c r="AT264" i="1"/>
  <c r="AS264" i="1"/>
  <c r="AQ264" i="1"/>
  <c r="AN264" i="1"/>
  <c r="AO264" i="1" s="1"/>
  <c r="AP264" i="1" s="1"/>
  <c r="AK264" i="1"/>
  <c r="AJ264" i="1"/>
  <c r="AH264" i="1"/>
  <c r="AG264" i="1"/>
  <c r="AC264" i="1"/>
  <c r="AA264" i="1"/>
  <c r="Z264" i="1"/>
  <c r="Y264" i="1"/>
  <c r="X264" i="1"/>
  <c r="W264" i="1"/>
  <c r="U264" i="1"/>
  <c r="T264" i="1"/>
  <c r="S264" i="1"/>
  <c r="R264" i="1"/>
  <c r="P264" i="1"/>
  <c r="O264" i="1"/>
  <c r="L264" i="1"/>
  <c r="K264" i="1"/>
  <c r="H264" i="1"/>
  <c r="G264" i="1"/>
  <c r="F264" i="1"/>
  <c r="E264" i="1"/>
  <c r="D264" i="1"/>
  <c r="C264" i="1"/>
  <c r="AT263" i="1"/>
  <c r="AS263" i="1"/>
  <c r="AQ263" i="1"/>
  <c r="AN263" i="1"/>
  <c r="AO263" i="1" s="1"/>
  <c r="AP263" i="1" s="1"/>
  <c r="AK263" i="1"/>
  <c r="AJ263" i="1"/>
  <c r="AH263" i="1"/>
  <c r="AG263" i="1"/>
  <c r="AC263" i="1"/>
  <c r="AA263" i="1"/>
  <c r="Z263" i="1"/>
  <c r="Y263" i="1"/>
  <c r="X263" i="1"/>
  <c r="W263" i="1"/>
  <c r="U263" i="1"/>
  <c r="T263" i="1"/>
  <c r="S263" i="1"/>
  <c r="R263" i="1"/>
  <c r="P263" i="1"/>
  <c r="O263" i="1"/>
  <c r="L263" i="1"/>
  <c r="K263" i="1"/>
  <c r="H263" i="1"/>
  <c r="G263" i="1"/>
  <c r="F263" i="1"/>
  <c r="E263" i="1"/>
  <c r="D263" i="1"/>
  <c r="C263" i="1"/>
  <c r="AT262" i="1"/>
  <c r="AS262" i="1"/>
  <c r="AQ262" i="1"/>
  <c r="AN262" i="1"/>
  <c r="AO262" i="1" s="1"/>
  <c r="AP262" i="1" s="1"/>
  <c r="AK262" i="1"/>
  <c r="AJ262" i="1"/>
  <c r="AH262" i="1"/>
  <c r="AG262" i="1"/>
  <c r="AC262" i="1"/>
  <c r="AA262" i="1"/>
  <c r="Z262" i="1"/>
  <c r="Y262" i="1"/>
  <c r="X262" i="1"/>
  <c r="W262" i="1"/>
  <c r="U262" i="1"/>
  <c r="T262" i="1"/>
  <c r="S262" i="1"/>
  <c r="R262" i="1"/>
  <c r="P262" i="1"/>
  <c r="O262" i="1"/>
  <c r="L262" i="1"/>
  <c r="K262" i="1"/>
  <c r="H262" i="1"/>
  <c r="G262" i="1"/>
  <c r="F262" i="1"/>
  <c r="E262" i="1"/>
  <c r="D262" i="1"/>
  <c r="C262" i="1"/>
  <c r="AT261" i="1"/>
  <c r="AS261" i="1"/>
  <c r="AQ261" i="1"/>
  <c r="AN261" i="1"/>
  <c r="AO261" i="1" s="1"/>
  <c r="AP261" i="1" s="1"/>
  <c r="AK261" i="1"/>
  <c r="AJ261" i="1"/>
  <c r="AH261" i="1"/>
  <c r="AG261" i="1"/>
  <c r="AC261" i="1"/>
  <c r="AA261" i="1"/>
  <c r="Z261" i="1"/>
  <c r="Y261" i="1"/>
  <c r="X261" i="1"/>
  <c r="W261" i="1"/>
  <c r="U261" i="1"/>
  <c r="T261" i="1"/>
  <c r="S261" i="1"/>
  <c r="R261" i="1"/>
  <c r="P261" i="1"/>
  <c r="O261" i="1"/>
  <c r="L261" i="1"/>
  <c r="K261" i="1"/>
  <c r="H261" i="1"/>
  <c r="G261" i="1"/>
  <c r="F261" i="1"/>
  <c r="E261" i="1"/>
  <c r="D261" i="1"/>
  <c r="C261" i="1"/>
  <c r="AT260" i="1"/>
  <c r="AS260" i="1"/>
  <c r="AQ260" i="1"/>
  <c r="AN260" i="1"/>
  <c r="AO260" i="1" s="1"/>
  <c r="AP260" i="1" s="1"/>
  <c r="AK260" i="1"/>
  <c r="AJ260" i="1"/>
  <c r="AH260" i="1"/>
  <c r="AG260" i="1"/>
  <c r="AC260" i="1"/>
  <c r="AA260" i="1"/>
  <c r="Z260" i="1"/>
  <c r="Y260" i="1"/>
  <c r="X260" i="1"/>
  <c r="W260" i="1"/>
  <c r="U260" i="1"/>
  <c r="T260" i="1"/>
  <c r="S260" i="1"/>
  <c r="R260" i="1"/>
  <c r="P260" i="1"/>
  <c r="O260" i="1"/>
  <c r="L260" i="1"/>
  <c r="K260" i="1"/>
  <c r="H260" i="1"/>
  <c r="G260" i="1"/>
  <c r="F260" i="1"/>
  <c r="E260" i="1"/>
  <c r="D260" i="1"/>
  <c r="C260" i="1"/>
  <c r="AT259" i="1"/>
  <c r="AS259" i="1"/>
  <c r="AQ259" i="1"/>
  <c r="AN259" i="1"/>
  <c r="AO259" i="1" s="1"/>
  <c r="AP259" i="1" s="1"/>
  <c r="AK259" i="1"/>
  <c r="AJ259" i="1"/>
  <c r="AH259" i="1"/>
  <c r="AG259" i="1"/>
  <c r="AC259" i="1"/>
  <c r="AA259" i="1"/>
  <c r="Z259" i="1"/>
  <c r="Y259" i="1"/>
  <c r="X259" i="1"/>
  <c r="W259" i="1"/>
  <c r="U259" i="1"/>
  <c r="T259" i="1"/>
  <c r="S259" i="1"/>
  <c r="R259" i="1"/>
  <c r="P259" i="1"/>
  <c r="O259" i="1"/>
  <c r="L259" i="1"/>
  <c r="K259" i="1"/>
  <c r="H259" i="1"/>
  <c r="G259" i="1"/>
  <c r="F259" i="1"/>
  <c r="E259" i="1"/>
  <c r="D259" i="1"/>
  <c r="C259" i="1"/>
  <c r="AT258" i="1"/>
  <c r="AS258" i="1"/>
  <c r="AQ258" i="1"/>
  <c r="AN258" i="1"/>
  <c r="AO258" i="1" s="1"/>
  <c r="AP258" i="1" s="1"/>
  <c r="AK258" i="1"/>
  <c r="AJ258" i="1"/>
  <c r="AH258" i="1"/>
  <c r="AG258" i="1"/>
  <c r="AC258" i="1"/>
  <c r="AA258" i="1"/>
  <c r="Z258" i="1"/>
  <c r="Y258" i="1"/>
  <c r="X258" i="1"/>
  <c r="W258" i="1"/>
  <c r="U258" i="1"/>
  <c r="T258" i="1"/>
  <c r="S258" i="1"/>
  <c r="R258" i="1"/>
  <c r="P258" i="1"/>
  <c r="O258" i="1"/>
  <c r="L258" i="1"/>
  <c r="K258" i="1"/>
  <c r="H258" i="1"/>
  <c r="G258" i="1"/>
  <c r="F258" i="1"/>
  <c r="E258" i="1"/>
  <c r="D258" i="1"/>
  <c r="C258" i="1"/>
  <c r="AT257" i="1"/>
  <c r="AS257" i="1"/>
  <c r="AQ257" i="1"/>
  <c r="AN257" i="1"/>
  <c r="AO257" i="1" s="1"/>
  <c r="AP257" i="1" s="1"/>
  <c r="AK257" i="1"/>
  <c r="AJ257" i="1"/>
  <c r="AH257" i="1"/>
  <c r="AG257" i="1"/>
  <c r="AC257" i="1"/>
  <c r="AA257" i="1"/>
  <c r="Z257" i="1"/>
  <c r="Y257" i="1"/>
  <c r="X257" i="1"/>
  <c r="W257" i="1"/>
  <c r="U257" i="1"/>
  <c r="T257" i="1"/>
  <c r="S257" i="1"/>
  <c r="R257" i="1"/>
  <c r="P257" i="1"/>
  <c r="O257" i="1"/>
  <c r="L257" i="1"/>
  <c r="K257" i="1"/>
  <c r="H257" i="1"/>
  <c r="G257" i="1"/>
  <c r="F257" i="1"/>
  <c r="E257" i="1"/>
  <c r="D257" i="1"/>
  <c r="C257" i="1"/>
  <c r="AT256" i="1"/>
  <c r="AS256" i="1"/>
  <c r="AQ256" i="1"/>
  <c r="AN256" i="1"/>
  <c r="AO256" i="1" s="1"/>
  <c r="AP256" i="1" s="1"/>
  <c r="AK256" i="1"/>
  <c r="AJ256" i="1"/>
  <c r="AH256" i="1"/>
  <c r="AG256" i="1"/>
  <c r="AC256" i="1"/>
  <c r="AA256" i="1"/>
  <c r="Z256" i="1"/>
  <c r="Y256" i="1"/>
  <c r="X256" i="1"/>
  <c r="W256" i="1"/>
  <c r="U256" i="1"/>
  <c r="T256" i="1"/>
  <c r="S256" i="1"/>
  <c r="R256" i="1"/>
  <c r="P256" i="1"/>
  <c r="O256" i="1"/>
  <c r="L256" i="1"/>
  <c r="K256" i="1"/>
  <c r="H256" i="1"/>
  <c r="G256" i="1"/>
  <c r="F256" i="1"/>
  <c r="E256" i="1"/>
  <c r="D256" i="1"/>
  <c r="C256" i="1"/>
  <c r="AT255" i="1"/>
  <c r="AS255" i="1"/>
  <c r="AQ255" i="1"/>
  <c r="AN255" i="1"/>
  <c r="AO255" i="1" s="1"/>
  <c r="AP255" i="1" s="1"/>
  <c r="AK255" i="1"/>
  <c r="AJ255" i="1"/>
  <c r="AH255" i="1"/>
  <c r="AG255" i="1"/>
  <c r="AC255" i="1"/>
  <c r="AA255" i="1"/>
  <c r="Z255" i="1"/>
  <c r="Y255" i="1"/>
  <c r="X255" i="1"/>
  <c r="W255" i="1"/>
  <c r="U255" i="1"/>
  <c r="T255" i="1"/>
  <c r="S255" i="1"/>
  <c r="R255" i="1"/>
  <c r="P255" i="1"/>
  <c r="O255" i="1"/>
  <c r="L255" i="1"/>
  <c r="K255" i="1"/>
  <c r="H255" i="1"/>
  <c r="G255" i="1"/>
  <c r="F255" i="1"/>
  <c r="E255" i="1"/>
  <c r="D255" i="1"/>
  <c r="C255" i="1"/>
  <c r="AT254" i="1"/>
  <c r="AS254" i="1"/>
  <c r="AQ254" i="1"/>
  <c r="AN254" i="1"/>
  <c r="AO254" i="1" s="1"/>
  <c r="AP254" i="1" s="1"/>
  <c r="AK254" i="1"/>
  <c r="AJ254" i="1"/>
  <c r="AH254" i="1"/>
  <c r="AG254" i="1"/>
  <c r="AC254" i="1"/>
  <c r="AA254" i="1"/>
  <c r="Z254" i="1"/>
  <c r="Y254" i="1"/>
  <c r="X254" i="1"/>
  <c r="W254" i="1"/>
  <c r="U254" i="1"/>
  <c r="T254" i="1"/>
  <c r="S254" i="1"/>
  <c r="R254" i="1"/>
  <c r="P254" i="1"/>
  <c r="O254" i="1"/>
  <c r="L254" i="1"/>
  <c r="K254" i="1"/>
  <c r="H254" i="1"/>
  <c r="G254" i="1"/>
  <c r="F254" i="1"/>
  <c r="E254" i="1"/>
  <c r="D254" i="1"/>
  <c r="C254" i="1"/>
  <c r="AT253" i="1"/>
  <c r="AS253" i="1"/>
  <c r="AQ253" i="1"/>
  <c r="AN253" i="1"/>
  <c r="AO253" i="1" s="1"/>
  <c r="AP253" i="1" s="1"/>
  <c r="AK253" i="1"/>
  <c r="AJ253" i="1"/>
  <c r="AH253" i="1"/>
  <c r="AG253" i="1"/>
  <c r="AC253" i="1"/>
  <c r="AA253" i="1"/>
  <c r="Z253" i="1"/>
  <c r="Y253" i="1"/>
  <c r="X253" i="1"/>
  <c r="W253" i="1"/>
  <c r="U253" i="1"/>
  <c r="T253" i="1"/>
  <c r="S253" i="1"/>
  <c r="R253" i="1"/>
  <c r="P253" i="1"/>
  <c r="O253" i="1"/>
  <c r="L253" i="1"/>
  <c r="K253" i="1"/>
  <c r="H253" i="1"/>
  <c r="G253" i="1"/>
  <c r="F253" i="1"/>
  <c r="E253" i="1"/>
  <c r="D253" i="1"/>
  <c r="C253" i="1"/>
  <c r="AT252" i="1"/>
  <c r="AS252" i="1"/>
  <c r="AQ252" i="1"/>
  <c r="AN252" i="1"/>
  <c r="AO252" i="1" s="1"/>
  <c r="AP252" i="1" s="1"/>
  <c r="AK252" i="1"/>
  <c r="AJ252" i="1"/>
  <c r="AH252" i="1"/>
  <c r="AG252" i="1"/>
  <c r="AC252" i="1"/>
  <c r="AA252" i="1"/>
  <c r="Z252" i="1"/>
  <c r="Y252" i="1"/>
  <c r="X252" i="1"/>
  <c r="W252" i="1"/>
  <c r="U252" i="1"/>
  <c r="T252" i="1"/>
  <c r="S252" i="1"/>
  <c r="R252" i="1"/>
  <c r="P252" i="1"/>
  <c r="O252" i="1"/>
  <c r="L252" i="1"/>
  <c r="K252" i="1"/>
  <c r="H252" i="1"/>
  <c r="G252" i="1"/>
  <c r="F252" i="1"/>
  <c r="E252" i="1"/>
  <c r="D252" i="1"/>
  <c r="C252" i="1"/>
  <c r="AT251" i="1"/>
  <c r="AS251" i="1"/>
  <c r="AQ251" i="1"/>
  <c r="AN251" i="1"/>
  <c r="AO251" i="1" s="1"/>
  <c r="AP251" i="1" s="1"/>
  <c r="AK251" i="1"/>
  <c r="AJ251" i="1"/>
  <c r="AH251" i="1"/>
  <c r="AG251" i="1"/>
  <c r="AC251" i="1"/>
  <c r="AA251" i="1"/>
  <c r="Z251" i="1"/>
  <c r="Y251" i="1"/>
  <c r="X251" i="1"/>
  <c r="W251" i="1"/>
  <c r="U251" i="1"/>
  <c r="T251" i="1"/>
  <c r="S251" i="1"/>
  <c r="R251" i="1"/>
  <c r="P251" i="1"/>
  <c r="O251" i="1"/>
  <c r="L251" i="1"/>
  <c r="K251" i="1"/>
  <c r="H251" i="1"/>
  <c r="G251" i="1"/>
  <c r="F251" i="1"/>
  <c r="E251" i="1"/>
  <c r="D251" i="1"/>
  <c r="C251" i="1"/>
  <c r="AT250" i="1"/>
  <c r="AS250" i="1"/>
  <c r="AQ250" i="1"/>
  <c r="AN250" i="1"/>
  <c r="AO250" i="1" s="1"/>
  <c r="AP250" i="1" s="1"/>
  <c r="AK250" i="1"/>
  <c r="AJ250" i="1"/>
  <c r="AH250" i="1"/>
  <c r="AG250" i="1"/>
  <c r="AC250" i="1"/>
  <c r="AA250" i="1"/>
  <c r="Z250" i="1"/>
  <c r="Y250" i="1"/>
  <c r="X250" i="1"/>
  <c r="W250" i="1"/>
  <c r="U250" i="1"/>
  <c r="T250" i="1"/>
  <c r="S250" i="1"/>
  <c r="R250" i="1"/>
  <c r="P250" i="1"/>
  <c r="O250" i="1"/>
  <c r="L250" i="1"/>
  <c r="K250" i="1"/>
  <c r="H250" i="1"/>
  <c r="G250" i="1"/>
  <c r="F250" i="1"/>
  <c r="E250" i="1"/>
  <c r="D250" i="1"/>
  <c r="C250" i="1"/>
  <c r="AT249" i="1"/>
  <c r="AS249" i="1"/>
  <c r="AQ249" i="1"/>
  <c r="AN249" i="1"/>
  <c r="AO249" i="1" s="1"/>
  <c r="AP249" i="1" s="1"/>
  <c r="AK249" i="1"/>
  <c r="AJ249" i="1"/>
  <c r="AH249" i="1"/>
  <c r="AG249" i="1"/>
  <c r="AC249" i="1"/>
  <c r="AA249" i="1"/>
  <c r="Z249" i="1"/>
  <c r="Y249" i="1"/>
  <c r="X249" i="1"/>
  <c r="W249" i="1"/>
  <c r="U249" i="1"/>
  <c r="T249" i="1"/>
  <c r="S249" i="1"/>
  <c r="R249" i="1"/>
  <c r="P249" i="1"/>
  <c r="O249" i="1"/>
  <c r="L249" i="1"/>
  <c r="K249" i="1"/>
  <c r="H249" i="1"/>
  <c r="G249" i="1"/>
  <c r="F249" i="1"/>
  <c r="E249" i="1"/>
  <c r="D249" i="1"/>
  <c r="C249" i="1"/>
  <c r="AT248" i="1"/>
  <c r="AS248" i="1"/>
  <c r="AQ248" i="1"/>
  <c r="AN248" i="1"/>
  <c r="AO248" i="1" s="1"/>
  <c r="AP248" i="1" s="1"/>
  <c r="AK248" i="1"/>
  <c r="AJ248" i="1"/>
  <c r="AH248" i="1"/>
  <c r="AG248" i="1"/>
  <c r="AC248" i="1"/>
  <c r="AA248" i="1"/>
  <c r="Z248" i="1"/>
  <c r="Y248" i="1"/>
  <c r="X248" i="1"/>
  <c r="W248" i="1"/>
  <c r="U248" i="1"/>
  <c r="T248" i="1"/>
  <c r="S248" i="1"/>
  <c r="R248" i="1"/>
  <c r="P248" i="1"/>
  <c r="O248" i="1"/>
  <c r="L248" i="1"/>
  <c r="K248" i="1"/>
  <c r="H248" i="1"/>
  <c r="G248" i="1"/>
  <c r="F248" i="1"/>
  <c r="E248" i="1"/>
  <c r="D248" i="1"/>
  <c r="C248" i="1"/>
  <c r="AT247" i="1"/>
  <c r="AS247" i="1"/>
  <c r="AQ247" i="1"/>
  <c r="AN247" i="1"/>
  <c r="AO247" i="1" s="1"/>
  <c r="AP247" i="1" s="1"/>
  <c r="AK247" i="1"/>
  <c r="AJ247" i="1"/>
  <c r="AH247" i="1"/>
  <c r="AG247" i="1"/>
  <c r="AC247" i="1"/>
  <c r="AA247" i="1"/>
  <c r="Z247" i="1"/>
  <c r="Y247" i="1"/>
  <c r="X247" i="1"/>
  <c r="W247" i="1"/>
  <c r="U247" i="1"/>
  <c r="T247" i="1"/>
  <c r="S247" i="1"/>
  <c r="R247" i="1"/>
  <c r="P247" i="1"/>
  <c r="O247" i="1"/>
  <c r="L247" i="1"/>
  <c r="K247" i="1"/>
  <c r="H247" i="1"/>
  <c r="G247" i="1"/>
  <c r="F247" i="1"/>
  <c r="E247" i="1"/>
  <c r="D247" i="1"/>
  <c r="C247" i="1"/>
  <c r="AT246" i="1"/>
  <c r="AS246" i="1"/>
  <c r="AQ246" i="1"/>
  <c r="AN246" i="1"/>
  <c r="AO246" i="1" s="1"/>
  <c r="AP246" i="1" s="1"/>
  <c r="AK246" i="1"/>
  <c r="AJ246" i="1"/>
  <c r="AH246" i="1"/>
  <c r="AG246" i="1"/>
  <c r="AC246" i="1"/>
  <c r="AA246" i="1"/>
  <c r="Z246" i="1"/>
  <c r="Y246" i="1"/>
  <c r="X246" i="1"/>
  <c r="W246" i="1"/>
  <c r="U246" i="1"/>
  <c r="T246" i="1"/>
  <c r="S246" i="1"/>
  <c r="R246" i="1"/>
  <c r="P246" i="1"/>
  <c r="O246" i="1"/>
  <c r="L246" i="1"/>
  <c r="K246" i="1"/>
  <c r="H246" i="1"/>
  <c r="G246" i="1"/>
  <c r="F246" i="1"/>
  <c r="E246" i="1"/>
  <c r="D246" i="1"/>
  <c r="C246" i="1"/>
  <c r="AT245" i="1"/>
  <c r="AS245" i="1"/>
  <c r="AQ245" i="1"/>
  <c r="AN245" i="1"/>
  <c r="AO245" i="1" s="1"/>
  <c r="AP245" i="1" s="1"/>
  <c r="AK245" i="1"/>
  <c r="AJ245" i="1"/>
  <c r="AH245" i="1"/>
  <c r="AG245" i="1"/>
  <c r="AC245" i="1"/>
  <c r="AA245" i="1"/>
  <c r="Z245" i="1"/>
  <c r="Y245" i="1"/>
  <c r="X245" i="1"/>
  <c r="W245" i="1"/>
  <c r="U245" i="1"/>
  <c r="T245" i="1"/>
  <c r="S245" i="1"/>
  <c r="R245" i="1"/>
  <c r="P245" i="1"/>
  <c r="O245" i="1"/>
  <c r="L245" i="1"/>
  <c r="K245" i="1"/>
  <c r="H245" i="1"/>
  <c r="G245" i="1"/>
  <c r="F245" i="1"/>
  <c r="E245" i="1"/>
  <c r="D245" i="1"/>
  <c r="C245" i="1"/>
  <c r="AT244" i="1"/>
  <c r="AS244" i="1"/>
  <c r="AQ244" i="1"/>
  <c r="AN244" i="1"/>
  <c r="AO244" i="1" s="1"/>
  <c r="AP244" i="1" s="1"/>
  <c r="AK244" i="1"/>
  <c r="AJ244" i="1"/>
  <c r="AH244" i="1"/>
  <c r="AG244" i="1"/>
  <c r="AC244" i="1"/>
  <c r="AA244" i="1"/>
  <c r="Z244" i="1"/>
  <c r="Y244" i="1"/>
  <c r="X244" i="1"/>
  <c r="W244" i="1"/>
  <c r="U244" i="1"/>
  <c r="T244" i="1"/>
  <c r="S244" i="1"/>
  <c r="R244" i="1"/>
  <c r="P244" i="1"/>
  <c r="O244" i="1"/>
  <c r="L244" i="1"/>
  <c r="K244" i="1"/>
  <c r="H244" i="1"/>
  <c r="G244" i="1"/>
  <c r="F244" i="1"/>
  <c r="E244" i="1"/>
  <c r="D244" i="1"/>
  <c r="C244" i="1"/>
  <c r="AT243" i="1"/>
  <c r="AS243" i="1"/>
  <c r="AQ243" i="1"/>
  <c r="AN243" i="1"/>
  <c r="AO243" i="1" s="1"/>
  <c r="AP243" i="1" s="1"/>
  <c r="AK243" i="1"/>
  <c r="AJ243" i="1"/>
  <c r="AH243" i="1"/>
  <c r="AG243" i="1"/>
  <c r="AC243" i="1"/>
  <c r="AA243" i="1"/>
  <c r="Z243" i="1"/>
  <c r="Y243" i="1"/>
  <c r="X243" i="1"/>
  <c r="W243" i="1"/>
  <c r="U243" i="1"/>
  <c r="T243" i="1"/>
  <c r="S243" i="1"/>
  <c r="R243" i="1"/>
  <c r="P243" i="1"/>
  <c r="O243" i="1"/>
  <c r="L243" i="1"/>
  <c r="K243" i="1"/>
  <c r="H243" i="1"/>
  <c r="G243" i="1"/>
  <c r="F243" i="1"/>
  <c r="E243" i="1"/>
  <c r="D243" i="1"/>
  <c r="C243" i="1"/>
  <c r="AT242" i="1"/>
  <c r="AS242" i="1"/>
  <c r="AQ242" i="1"/>
  <c r="AN242" i="1"/>
  <c r="AO242" i="1" s="1"/>
  <c r="AP242" i="1" s="1"/>
  <c r="AK242" i="1"/>
  <c r="AJ242" i="1"/>
  <c r="AH242" i="1"/>
  <c r="AG242" i="1"/>
  <c r="AC242" i="1"/>
  <c r="AA242" i="1"/>
  <c r="Z242" i="1"/>
  <c r="Y242" i="1"/>
  <c r="X242" i="1"/>
  <c r="W242" i="1"/>
  <c r="U242" i="1"/>
  <c r="T242" i="1"/>
  <c r="S242" i="1"/>
  <c r="R242" i="1"/>
  <c r="P242" i="1"/>
  <c r="O242" i="1"/>
  <c r="L242" i="1"/>
  <c r="K242" i="1"/>
  <c r="H242" i="1"/>
  <c r="G242" i="1"/>
  <c r="F242" i="1"/>
  <c r="E242" i="1"/>
  <c r="D242" i="1"/>
  <c r="C242" i="1"/>
  <c r="AT241" i="1"/>
  <c r="AS241" i="1"/>
  <c r="AQ241" i="1"/>
  <c r="AN241" i="1"/>
  <c r="AO241" i="1" s="1"/>
  <c r="AP241" i="1" s="1"/>
  <c r="AK241" i="1"/>
  <c r="AJ241" i="1"/>
  <c r="AH241" i="1"/>
  <c r="AG241" i="1"/>
  <c r="AC241" i="1"/>
  <c r="AA241" i="1"/>
  <c r="Z241" i="1"/>
  <c r="Y241" i="1"/>
  <c r="X241" i="1"/>
  <c r="W241" i="1"/>
  <c r="U241" i="1"/>
  <c r="T241" i="1"/>
  <c r="S241" i="1"/>
  <c r="R241" i="1"/>
  <c r="P241" i="1"/>
  <c r="O241" i="1"/>
  <c r="L241" i="1"/>
  <c r="K241" i="1"/>
  <c r="H241" i="1"/>
  <c r="G241" i="1"/>
  <c r="F241" i="1"/>
  <c r="E241" i="1"/>
  <c r="D241" i="1"/>
  <c r="C241" i="1"/>
  <c r="AT240" i="1"/>
  <c r="AS240" i="1"/>
  <c r="AQ240" i="1"/>
  <c r="AN240" i="1"/>
  <c r="AO240" i="1" s="1"/>
  <c r="AP240" i="1" s="1"/>
  <c r="AK240" i="1"/>
  <c r="AJ240" i="1"/>
  <c r="AH240" i="1"/>
  <c r="AG240" i="1"/>
  <c r="AC240" i="1"/>
  <c r="AA240" i="1"/>
  <c r="Z240" i="1"/>
  <c r="Y240" i="1"/>
  <c r="X240" i="1"/>
  <c r="W240" i="1"/>
  <c r="U240" i="1"/>
  <c r="T240" i="1"/>
  <c r="S240" i="1"/>
  <c r="R240" i="1"/>
  <c r="P240" i="1"/>
  <c r="O240" i="1"/>
  <c r="L240" i="1"/>
  <c r="K240" i="1"/>
  <c r="H240" i="1"/>
  <c r="G240" i="1"/>
  <c r="F240" i="1"/>
  <c r="E240" i="1"/>
  <c r="D240" i="1"/>
  <c r="C240" i="1"/>
  <c r="AT239" i="1"/>
  <c r="AS239" i="1"/>
  <c r="AQ239" i="1"/>
  <c r="AN239" i="1"/>
  <c r="AO239" i="1" s="1"/>
  <c r="AP239" i="1" s="1"/>
  <c r="AK239" i="1"/>
  <c r="AJ239" i="1"/>
  <c r="AH239" i="1"/>
  <c r="AG239" i="1"/>
  <c r="AC239" i="1"/>
  <c r="AA239" i="1"/>
  <c r="Z239" i="1"/>
  <c r="Y239" i="1"/>
  <c r="X239" i="1"/>
  <c r="W239" i="1"/>
  <c r="U239" i="1"/>
  <c r="T239" i="1"/>
  <c r="S239" i="1"/>
  <c r="R239" i="1"/>
  <c r="P239" i="1"/>
  <c r="O239" i="1"/>
  <c r="L239" i="1"/>
  <c r="K239" i="1"/>
  <c r="H239" i="1"/>
  <c r="G239" i="1"/>
  <c r="F239" i="1"/>
  <c r="E239" i="1"/>
  <c r="D239" i="1"/>
  <c r="C239" i="1"/>
  <c r="AT238" i="1"/>
  <c r="AS238" i="1"/>
  <c r="AQ238" i="1"/>
  <c r="AN238" i="1"/>
  <c r="AO238" i="1" s="1"/>
  <c r="AP238" i="1" s="1"/>
  <c r="AK238" i="1"/>
  <c r="AJ238" i="1"/>
  <c r="AH238" i="1"/>
  <c r="AG238" i="1"/>
  <c r="AC238" i="1"/>
  <c r="AA238" i="1"/>
  <c r="Z238" i="1"/>
  <c r="Y238" i="1"/>
  <c r="X238" i="1"/>
  <c r="W238" i="1"/>
  <c r="U238" i="1"/>
  <c r="T238" i="1"/>
  <c r="S238" i="1"/>
  <c r="R238" i="1"/>
  <c r="P238" i="1"/>
  <c r="O238" i="1"/>
  <c r="L238" i="1"/>
  <c r="K238" i="1"/>
  <c r="H238" i="1"/>
  <c r="G238" i="1"/>
  <c r="F238" i="1"/>
  <c r="E238" i="1"/>
  <c r="D238" i="1"/>
  <c r="C238" i="1"/>
  <c r="AT237" i="1"/>
  <c r="AS237" i="1"/>
  <c r="AQ237" i="1"/>
  <c r="AN237" i="1"/>
  <c r="AO237" i="1" s="1"/>
  <c r="AP237" i="1" s="1"/>
  <c r="AK237" i="1"/>
  <c r="AJ237" i="1"/>
  <c r="AH237" i="1"/>
  <c r="AG237" i="1"/>
  <c r="AC237" i="1"/>
  <c r="AA237" i="1"/>
  <c r="Z237" i="1"/>
  <c r="Y237" i="1"/>
  <c r="X237" i="1"/>
  <c r="W237" i="1"/>
  <c r="U237" i="1"/>
  <c r="T237" i="1"/>
  <c r="S237" i="1"/>
  <c r="R237" i="1"/>
  <c r="P237" i="1"/>
  <c r="O237" i="1"/>
  <c r="L237" i="1"/>
  <c r="K237" i="1"/>
  <c r="H237" i="1"/>
  <c r="G237" i="1"/>
  <c r="F237" i="1"/>
  <c r="E237" i="1"/>
  <c r="D237" i="1"/>
  <c r="C237" i="1"/>
  <c r="AT236" i="1"/>
  <c r="AS236" i="1"/>
  <c r="AQ236" i="1"/>
  <c r="AN236" i="1"/>
  <c r="AO236" i="1" s="1"/>
  <c r="AP236" i="1" s="1"/>
  <c r="AK236" i="1"/>
  <c r="AJ236" i="1"/>
  <c r="AH236" i="1"/>
  <c r="AG236" i="1"/>
  <c r="AC236" i="1"/>
  <c r="AA236" i="1"/>
  <c r="Z236" i="1"/>
  <c r="Y236" i="1"/>
  <c r="X236" i="1"/>
  <c r="W236" i="1"/>
  <c r="U236" i="1"/>
  <c r="T236" i="1"/>
  <c r="S236" i="1"/>
  <c r="R236" i="1"/>
  <c r="P236" i="1"/>
  <c r="O236" i="1"/>
  <c r="L236" i="1"/>
  <c r="K236" i="1"/>
  <c r="H236" i="1"/>
  <c r="G236" i="1"/>
  <c r="F236" i="1"/>
  <c r="E236" i="1"/>
  <c r="D236" i="1"/>
  <c r="C236" i="1"/>
  <c r="AT235" i="1"/>
  <c r="AS235" i="1"/>
  <c r="AQ235" i="1"/>
  <c r="AN235" i="1"/>
  <c r="AO235" i="1" s="1"/>
  <c r="AP235" i="1" s="1"/>
  <c r="AK235" i="1"/>
  <c r="AJ235" i="1"/>
  <c r="AH235" i="1"/>
  <c r="AG235" i="1"/>
  <c r="AC235" i="1"/>
  <c r="AA235" i="1"/>
  <c r="Z235" i="1"/>
  <c r="Y235" i="1"/>
  <c r="X235" i="1"/>
  <c r="W235" i="1"/>
  <c r="U235" i="1"/>
  <c r="T235" i="1"/>
  <c r="S235" i="1"/>
  <c r="R235" i="1"/>
  <c r="P235" i="1"/>
  <c r="O235" i="1"/>
  <c r="L235" i="1"/>
  <c r="K235" i="1"/>
  <c r="H235" i="1"/>
  <c r="G235" i="1"/>
  <c r="F235" i="1"/>
  <c r="E235" i="1"/>
  <c r="D235" i="1"/>
  <c r="C235" i="1"/>
  <c r="AT234" i="1"/>
  <c r="AS234" i="1"/>
  <c r="AQ234" i="1"/>
  <c r="AN234" i="1"/>
  <c r="AO234" i="1" s="1"/>
  <c r="AP234" i="1" s="1"/>
  <c r="AK234" i="1"/>
  <c r="AJ234" i="1"/>
  <c r="AH234" i="1"/>
  <c r="AG234" i="1"/>
  <c r="AC234" i="1"/>
  <c r="AA234" i="1"/>
  <c r="Z234" i="1"/>
  <c r="Y234" i="1"/>
  <c r="X234" i="1"/>
  <c r="W234" i="1"/>
  <c r="U234" i="1"/>
  <c r="T234" i="1"/>
  <c r="S234" i="1"/>
  <c r="R234" i="1"/>
  <c r="P234" i="1"/>
  <c r="O234" i="1"/>
  <c r="L234" i="1"/>
  <c r="K234" i="1"/>
  <c r="H234" i="1"/>
  <c r="G234" i="1"/>
  <c r="F234" i="1"/>
  <c r="E234" i="1"/>
  <c r="D234" i="1"/>
  <c r="C234" i="1"/>
  <c r="AT233" i="1"/>
  <c r="AS233" i="1"/>
  <c r="AQ233" i="1"/>
  <c r="AN233" i="1"/>
  <c r="AO233" i="1" s="1"/>
  <c r="AP233" i="1" s="1"/>
  <c r="AK233" i="1"/>
  <c r="AJ233" i="1"/>
  <c r="AH233" i="1"/>
  <c r="AG233" i="1"/>
  <c r="AC233" i="1"/>
  <c r="AA233" i="1"/>
  <c r="Z233" i="1"/>
  <c r="Y233" i="1"/>
  <c r="X233" i="1"/>
  <c r="W233" i="1"/>
  <c r="U233" i="1"/>
  <c r="T233" i="1"/>
  <c r="S233" i="1"/>
  <c r="R233" i="1"/>
  <c r="P233" i="1"/>
  <c r="O233" i="1"/>
  <c r="L233" i="1"/>
  <c r="K233" i="1"/>
  <c r="H233" i="1"/>
  <c r="G233" i="1"/>
  <c r="F233" i="1"/>
  <c r="E233" i="1"/>
  <c r="D233" i="1"/>
  <c r="C233" i="1"/>
  <c r="AT232" i="1"/>
  <c r="AS232" i="1"/>
  <c r="AQ232" i="1"/>
  <c r="AN232" i="1"/>
  <c r="AO232" i="1" s="1"/>
  <c r="AP232" i="1" s="1"/>
  <c r="AK232" i="1"/>
  <c r="AJ232" i="1"/>
  <c r="AH232" i="1"/>
  <c r="AG232" i="1"/>
  <c r="AC232" i="1"/>
  <c r="AA232" i="1"/>
  <c r="Z232" i="1"/>
  <c r="Y232" i="1"/>
  <c r="X232" i="1"/>
  <c r="W232" i="1"/>
  <c r="U232" i="1"/>
  <c r="T232" i="1"/>
  <c r="S232" i="1"/>
  <c r="R232" i="1"/>
  <c r="P232" i="1"/>
  <c r="O232" i="1"/>
  <c r="L232" i="1"/>
  <c r="K232" i="1"/>
  <c r="H232" i="1"/>
  <c r="G232" i="1"/>
  <c r="F232" i="1"/>
  <c r="E232" i="1"/>
  <c r="D232" i="1"/>
  <c r="C232" i="1"/>
  <c r="AT231" i="1"/>
  <c r="AS231" i="1"/>
  <c r="AQ231" i="1"/>
  <c r="AN231" i="1"/>
  <c r="AO231" i="1" s="1"/>
  <c r="AP231" i="1" s="1"/>
  <c r="AK231" i="1"/>
  <c r="AJ231" i="1"/>
  <c r="AH231" i="1"/>
  <c r="AG231" i="1"/>
  <c r="AC231" i="1"/>
  <c r="AA231" i="1"/>
  <c r="Z231" i="1"/>
  <c r="Y231" i="1"/>
  <c r="X231" i="1"/>
  <c r="W231" i="1"/>
  <c r="U231" i="1"/>
  <c r="T231" i="1"/>
  <c r="S231" i="1"/>
  <c r="R231" i="1"/>
  <c r="P231" i="1"/>
  <c r="O231" i="1"/>
  <c r="L231" i="1"/>
  <c r="K231" i="1"/>
  <c r="H231" i="1"/>
  <c r="G231" i="1"/>
  <c r="F231" i="1"/>
  <c r="E231" i="1"/>
  <c r="D231" i="1"/>
  <c r="C231" i="1"/>
  <c r="AT230" i="1"/>
  <c r="AS230" i="1"/>
  <c r="AQ230" i="1"/>
  <c r="AN230" i="1"/>
  <c r="AO230" i="1" s="1"/>
  <c r="AP230" i="1" s="1"/>
  <c r="AK230" i="1"/>
  <c r="AJ230" i="1"/>
  <c r="AH230" i="1"/>
  <c r="AG230" i="1"/>
  <c r="AC230" i="1"/>
  <c r="AA230" i="1"/>
  <c r="Z230" i="1"/>
  <c r="Y230" i="1"/>
  <c r="X230" i="1"/>
  <c r="W230" i="1"/>
  <c r="U230" i="1"/>
  <c r="T230" i="1"/>
  <c r="S230" i="1"/>
  <c r="R230" i="1"/>
  <c r="P230" i="1"/>
  <c r="O230" i="1"/>
  <c r="L230" i="1"/>
  <c r="K230" i="1"/>
  <c r="H230" i="1"/>
  <c r="G230" i="1"/>
  <c r="F230" i="1"/>
  <c r="E230" i="1"/>
  <c r="D230" i="1"/>
  <c r="C230" i="1"/>
  <c r="AT229" i="1"/>
  <c r="AS229" i="1"/>
  <c r="AQ229" i="1"/>
  <c r="AN229" i="1"/>
  <c r="AO229" i="1" s="1"/>
  <c r="AP229" i="1" s="1"/>
  <c r="AK229" i="1"/>
  <c r="AJ229" i="1"/>
  <c r="AH229" i="1"/>
  <c r="AG229" i="1"/>
  <c r="AC229" i="1"/>
  <c r="AA229" i="1"/>
  <c r="Z229" i="1"/>
  <c r="Y229" i="1"/>
  <c r="X229" i="1"/>
  <c r="W229" i="1"/>
  <c r="U229" i="1"/>
  <c r="T229" i="1"/>
  <c r="S229" i="1"/>
  <c r="R229" i="1"/>
  <c r="P229" i="1"/>
  <c r="O229" i="1"/>
  <c r="L229" i="1"/>
  <c r="K229" i="1"/>
  <c r="H229" i="1"/>
  <c r="G229" i="1"/>
  <c r="F229" i="1"/>
  <c r="E229" i="1"/>
  <c r="D229" i="1"/>
  <c r="C229" i="1"/>
  <c r="AT228" i="1"/>
  <c r="AS228" i="1"/>
  <c r="AQ228" i="1"/>
  <c r="AN228" i="1"/>
  <c r="AO228" i="1" s="1"/>
  <c r="AP228" i="1" s="1"/>
  <c r="AK228" i="1"/>
  <c r="AJ228" i="1"/>
  <c r="AH228" i="1"/>
  <c r="AG228" i="1"/>
  <c r="AC228" i="1"/>
  <c r="AA228" i="1"/>
  <c r="Z228" i="1"/>
  <c r="Y228" i="1"/>
  <c r="X228" i="1"/>
  <c r="W228" i="1"/>
  <c r="U228" i="1"/>
  <c r="T228" i="1"/>
  <c r="S228" i="1"/>
  <c r="R228" i="1"/>
  <c r="P228" i="1"/>
  <c r="O228" i="1"/>
  <c r="L228" i="1"/>
  <c r="K228" i="1"/>
  <c r="H228" i="1"/>
  <c r="G228" i="1"/>
  <c r="F228" i="1"/>
  <c r="E228" i="1"/>
  <c r="D228" i="1"/>
  <c r="C228" i="1"/>
  <c r="AT227" i="1"/>
  <c r="AS227" i="1"/>
  <c r="AQ227" i="1"/>
  <c r="AN227" i="1"/>
  <c r="AO227" i="1" s="1"/>
  <c r="AP227" i="1" s="1"/>
  <c r="AK227" i="1"/>
  <c r="AJ227" i="1"/>
  <c r="AH227" i="1"/>
  <c r="AG227" i="1"/>
  <c r="AC227" i="1"/>
  <c r="AA227" i="1"/>
  <c r="Z227" i="1"/>
  <c r="Y227" i="1"/>
  <c r="X227" i="1"/>
  <c r="W227" i="1"/>
  <c r="U227" i="1"/>
  <c r="T227" i="1"/>
  <c r="S227" i="1"/>
  <c r="R227" i="1"/>
  <c r="P227" i="1"/>
  <c r="O227" i="1"/>
  <c r="L227" i="1"/>
  <c r="K227" i="1"/>
  <c r="H227" i="1"/>
  <c r="G227" i="1"/>
  <c r="F227" i="1"/>
  <c r="E227" i="1"/>
  <c r="D227" i="1"/>
  <c r="C227" i="1"/>
  <c r="AT226" i="1"/>
  <c r="AS226" i="1"/>
  <c r="AQ226" i="1"/>
  <c r="AN226" i="1"/>
  <c r="AO226" i="1" s="1"/>
  <c r="AP226" i="1" s="1"/>
  <c r="AK226" i="1"/>
  <c r="AJ226" i="1"/>
  <c r="AH226" i="1"/>
  <c r="AG226" i="1"/>
  <c r="AC226" i="1"/>
  <c r="AA226" i="1"/>
  <c r="Z226" i="1"/>
  <c r="Y226" i="1"/>
  <c r="X226" i="1"/>
  <c r="W226" i="1"/>
  <c r="U226" i="1"/>
  <c r="T226" i="1"/>
  <c r="S226" i="1"/>
  <c r="R226" i="1"/>
  <c r="P226" i="1"/>
  <c r="O226" i="1"/>
  <c r="L226" i="1"/>
  <c r="K226" i="1"/>
  <c r="H226" i="1"/>
  <c r="G226" i="1"/>
  <c r="F226" i="1"/>
  <c r="E226" i="1"/>
  <c r="D226" i="1"/>
  <c r="C226" i="1"/>
  <c r="AT225" i="1"/>
  <c r="AS225" i="1"/>
  <c r="AQ225" i="1"/>
  <c r="AN225" i="1"/>
  <c r="AO225" i="1" s="1"/>
  <c r="AP225" i="1" s="1"/>
  <c r="AK225" i="1"/>
  <c r="AJ225" i="1"/>
  <c r="AH225" i="1"/>
  <c r="AG225" i="1"/>
  <c r="AC225" i="1"/>
  <c r="AA225" i="1"/>
  <c r="Z225" i="1"/>
  <c r="Y225" i="1"/>
  <c r="X225" i="1"/>
  <c r="W225" i="1"/>
  <c r="U225" i="1"/>
  <c r="T225" i="1"/>
  <c r="S225" i="1"/>
  <c r="R225" i="1"/>
  <c r="P225" i="1"/>
  <c r="O225" i="1"/>
  <c r="L225" i="1"/>
  <c r="K225" i="1"/>
  <c r="H225" i="1"/>
  <c r="G225" i="1"/>
  <c r="F225" i="1"/>
  <c r="E225" i="1"/>
  <c r="D225" i="1"/>
  <c r="C225" i="1"/>
  <c r="AT224" i="1"/>
  <c r="AS224" i="1"/>
  <c r="AQ224" i="1"/>
  <c r="AN224" i="1"/>
  <c r="AO224" i="1" s="1"/>
  <c r="AP224" i="1" s="1"/>
  <c r="AK224" i="1"/>
  <c r="AJ224" i="1"/>
  <c r="AH224" i="1"/>
  <c r="AG224" i="1"/>
  <c r="AC224" i="1"/>
  <c r="AA224" i="1"/>
  <c r="Z224" i="1"/>
  <c r="Y224" i="1"/>
  <c r="X224" i="1"/>
  <c r="W224" i="1"/>
  <c r="U224" i="1"/>
  <c r="T224" i="1"/>
  <c r="S224" i="1"/>
  <c r="R224" i="1"/>
  <c r="P224" i="1"/>
  <c r="O224" i="1"/>
  <c r="L224" i="1"/>
  <c r="K224" i="1"/>
  <c r="H224" i="1"/>
  <c r="G224" i="1"/>
  <c r="F224" i="1"/>
  <c r="E224" i="1"/>
  <c r="D224" i="1"/>
  <c r="C224" i="1"/>
  <c r="AT223" i="1"/>
  <c r="AS223" i="1"/>
  <c r="AQ223" i="1"/>
  <c r="AN223" i="1"/>
  <c r="AO223" i="1" s="1"/>
  <c r="AP223" i="1" s="1"/>
  <c r="AK223" i="1"/>
  <c r="AJ223" i="1"/>
  <c r="AH223" i="1"/>
  <c r="AG223" i="1"/>
  <c r="AC223" i="1"/>
  <c r="AA223" i="1"/>
  <c r="Z223" i="1"/>
  <c r="Y223" i="1"/>
  <c r="X223" i="1"/>
  <c r="W223" i="1"/>
  <c r="U223" i="1"/>
  <c r="T223" i="1"/>
  <c r="S223" i="1"/>
  <c r="R223" i="1"/>
  <c r="P223" i="1"/>
  <c r="O223" i="1"/>
  <c r="L223" i="1"/>
  <c r="K223" i="1"/>
  <c r="H223" i="1"/>
  <c r="G223" i="1"/>
  <c r="F223" i="1"/>
  <c r="E223" i="1"/>
  <c r="D223" i="1"/>
  <c r="C223" i="1"/>
  <c r="AT222" i="1"/>
  <c r="AS222" i="1"/>
  <c r="AQ222" i="1"/>
  <c r="AN222" i="1"/>
  <c r="AO222" i="1" s="1"/>
  <c r="AP222" i="1" s="1"/>
  <c r="AK222" i="1"/>
  <c r="AJ222" i="1"/>
  <c r="AH222" i="1"/>
  <c r="AG222" i="1"/>
  <c r="AC222" i="1"/>
  <c r="AA222" i="1"/>
  <c r="Z222" i="1"/>
  <c r="Y222" i="1"/>
  <c r="X222" i="1"/>
  <c r="W222" i="1"/>
  <c r="U222" i="1"/>
  <c r="T222" i="1"/>
  <c r="S222" i="1"/>
  <c r="R222" i="1"/>
  <c r="P222" i="1"/>
  <c r="O222" i="1"/>
  <c r="L222" i="1"/>
  <c r="K222" i="1"/>
  <c r="H222" i="1"/>
  <c r="G222" i="1"/>
  <c r="F222" i="1"/>
  <c r="E222" i="1"/>
  <c r="D222" i="1"/>
  <c r="C222" i="1"/>
  <c r="AT221" i="1"/>
  <c r="AS221" i="1"/>
  <c r="AQ221" i="1"/>
  <c r="AN221" i="1"/>
  <c r="AO221" i="1" s="1"/>
  <c r="AP221" i="1" s="1"/>
  <c r="AK221" i="1"/>
  <c r="AJ221" i="1"/>
  <c r="AH221" i="1"/>
  <c r="AG221" i="1"/>
  <c r="AC221" i="1"/>
  <c r="AA221" i="1"/>
  <c r="Z221" i="1"/>
  <c r="Y221" i="1"/>
  <c r="X221" i="1"/>
  <c r="W221" i="1"/>
  <c r="U221" i="1"/>
  <c r="T221" i="1"/>
  <c r="S221" i="1"/>
  <c r="R221" i="1"/>
  <c r="P221" i="1"/>
  <c r="O221" i="1"/>
  <c r="L221" i="1"/>
  <c r="K221" i="1"/>
  <c r="H221" i="1"/>
  <c r="G221" i="1"/>
  <c r="F221" i="1"/>
  <c r="E221" i="1"/>
  <c r="D221" i="1"/>
  <c r="C221" i="1"/>
  <c r="AT220" i="1"/>
  <c r="AS220" i="1"/>
  <c r="AQ220" i="1"/>
  <c r="AN220" i="1"/>
  <c r="AO220" i="1" s="1"/>
  <c r="AP220" i="1" s="1"/>
  <c r="AK220" i="1"/>
  <c r="AJ220" i="1"/>
  <c r="AH220" i="1"/>
  <c r="AG220" i="1"/>
  <c r="AC220" i="1"/>
  <c r="AA220" i="1"/>
  <c r="Z220" i="1"/>
  <c r="Y220" i="1"/>
  <c r="X220" i="1"/>
  <c r="W220" i="1"/>
  <c r="U220" i="1"/>
  <c r="T220" i="1"/>
  <c r="S220" i="1"/>
  <c r="R220" i="1"/>
  <c r="P220" i="1"/>
  <c r="O220" i="1"/>
  <c r="L220" i="1"/>
  <c r="K220" i="1"/>
  <c r="H220" i="1"/>
  <c r="G220" i="1"/>
  <c r="F220" i="1"/>
  <c r="E220" i="1"/>
  <c r="D220" i="1"/>
  <c r="C220" i="1"/>
  <c r="AT219" i="1"/>
  <c r="AS219" i="1"/>
  <c r="AQ219" i="1"/>
  <c r="AN219" i="1"/>
  <c r="AO219" i="1" s="1"/>
  <c r="AP219" i="1" s="1"/>
  <c r="AK219" i="1"/>
  <c r="AJ219" i="1"/>
  <c r="AH219" i="1"/>
  <c r="AG219" i="1"/>
  <c r="AC219" i="1"/>
  <c r="AA219" i="1"/>
  <c r="Z219" i="1"/>
  <c r="Y219" i="1"/>
  <c r="X219" i="1"/>
  <c r="W219" i="1"/>
  <c r="U219" i="1"/>
  <c r="T219" i="1"/>
  <c r="S219" i="1"/>
  <c r="R219" i="1"/>
  <c r="P219" i="1"/>
  <c r="O219" i="1"/>
  <c r="L219" i="1"/>
  <c r="K219" i="1"/>
  <c r="H219" i="1"/>
  <c r="G219" i="1"/>
  <c r="F219" i="1"/>
  <c r="E219" i="1"/>
  <c r="D219" i="1"/>
  <c r="C219" i="1"/>
  <c r="AT218" i="1"/>
  <c r="AS218" i="1"/>
  <c r="AQ218" i="1"/>
  <c r="AN218" i="1"/>
  <c r="AO218" i="1" s="1"/>
  <c r="AP218" i="1" s="1"/>
  <c r="AK218" i="1"/>
  <c r="AJ218" i="1"/>
  <c r="AH218" i="1"/>
  <c r="AG218" i="1"/>
  <c r="AC218" i="1"/>
  <c r="AA218" i="1"/>
  <c r="Z218" i="1"/>
  <c r="Y218" i="1"/>
  <c r="X218" i="1"/>
  <c r="W218" i="1"/>
  <c r="U218" i="1"/>
  <c r="T218" i="1"/>
  <c r="S218" i="1"/>
  <c r="R218" i="1"/>
  <c r="P218" i="1"/>
  <c r="O218" i="1"/>
  <c r="L218" i="1"/>
  <c r="K218" i="1"/>
  <c r="H218" i="1"/>
  <c r="G218" i="1"/>
  <c r="F218" i="1"/>
  <c r="E218" i="1"/>
  <c r="D218" i="1"/>
  <c r="C218" i="1"/>
  <c r="AT217" i="1"/>
  <c r="AS217" i="1"/>
  <c r="AQ217" i="1"/>
  <c r="AN217" i="1"/>
  <c r="AO217" i="1" s="1"/>
  <c r="AP217" i="1" s="1"/>
  <c r="AK217" i="1"/>
  <c r="AJ217" i="1"/>
  <c r="AH217" i="1"/>
  <c r="AG217" i="1"/>
  <c r="AC217" i="1"/>
  <c r="AA217" i="1"/>
  <c r="Z217" i="1"/>
  <c r="Y217" i="1"/>
  <c r="X217" i="1"/>
  <c r="W217" i="1"/>
  <c r="U217" i="1"/>
  <c r="T217" i="1"/>
  <c r="S217" i="1"/>
  <c r="R217" i="1"/>
  <c r="P217" i="1"/>
  <c r="O217" i="1"/>
  <c r="L217" i="1"/>
  <c r="K217" i="1"/>
  <c r="H217" i="1"/>
  <c r="G217" i="1"/>
  <c r="F217" i="1"/>
  <c r="E217" i="1"/>
  <c r="D217" i="1"/>
  <c r="C217" i="1"/>
  <c r="AT216" i="1"/>
  <c r="AS216" i="1"/>
  <c r="AQ216" i="1"/>
  <c r="AN216" i="1"/>
  <c r="AO216" i="1" s="1"/>
  <c r="AP216" i="1" s="1"/>
  <c r="AK216" i="1"/>
  <c r="AJ216" i="1"/>
  <c r="AH216" i="1"/>
  <c r="AG216" i="1"/>
  <c r="AC216" i="1"/>
  <c r="AA216" i="1"/>
  <c r="Z216" i="1"/>
  <c r="Y216" i="1"/>
  <c r="X216" i="1"/>
  <c r="W216" i="1"/>
  <c r="U216" i="1"/>
  <c r="T216" i="1"/>
  <c r="S216" i="1"/>
  <c r="R216" i="1"/>
  <c r="P216" i="1"/>
  <c r="O216" i="1"/>
  <c r="L216" i="1"/>
  <c r="K216" i="1"/>
  <c r="H216" i="1"/>
  <c r="G216" i="1"/>
  <c r="F216" i="1"/>
  <c r="E216" i="1"/>
  <c r="D216" i="1"/>
  <c r="C216" i="1"/>
  <c r="AT215" i="1"/>
  <c r="AS215" i="1"/>
  <c r="AQ215" i="1"/>
  <c r="AN215" i="1"/>
  <c r="AO215" i="1" s="1"/>
  <c r="AP215" i="1" s="1"/>
  <c r="AK215" i="1"/>
  <c r="AJ215" i="1"/>
  <c r="AH215" i="1"/>
  <c r="AG215" i="1"/>
  <c r="AC215" i="1"/>
  <c r="AA215" i="1"/>
  <c r="Z215" i="1"/>
  <c r="Y215" i="1"/>
  <c r="X215" i="1"/>
  <c r="W215" i="1"/>
  <c r="U215" i="1"/>
  <c r="T215" i="1"/>
  <c r="S215" i="1"/>
  <c r="R215" i="1"/>
  <c r="P215" i="1"/>
  <c r="O215" i="1"/>
  <c r="L215" i="1"/>
  <c r="K215" i="1"/>
  <c r="H215" i="1"/>
  <c r="G215" i="1"/>
  <c r="F215" i="1"/>
  <c r="E215" i="1"/>
  <c r="D215" i="1"/>
  <c r="C215" i="1"/>
  <c r="AT214" i="1"/>
  <c r="AS214" i="1"/>
  <c r="AQ214" i="1"/>
  <c r="AN214" i="1"/>
  <c r="AO214" i="1" s="1"/>
  <c r="AP214" i="1" s="1"/>
  <c r="AK214" i="1"/>
  <c r="AJ214" i="1"/>
  <c r="AH214" i="1"/>
  <c r="AG214" i="1"/>
  <c r="AC214" i="1"/>
  <c r="AA214" i="1"/>
  <c r="Z214" i="1"/>
  <c r="Y214" i="1"/>
  <c r="X214" i="1"/>
  <c r="W214" i="1"/>
  <c r="U214" i="1"/>
  <c r="T214" i="1"/>
  <c r="S214" i="1"/>
  <c r="R214" i="1"/>
  <c r="P214" i="1"/>
  <c r="O214" i="1"/>
  <c r="L214" i="1"/>
  <c r="K214" i="1"/>
  <c r="H214" i="1"/>
  <c r="G214" i="1"/>
  <c r="F214" i="1"/>
  <c r="E214" i="1"/>
  <c r="D214" i="1"/>
  <c r="C214" i="1"/>
  <c r="AT213" i="1"/>
  <c r="AS213" i="1"/>
  <c r="AQ213" i="1"/>
  <c r="AN213" i="1"/>
  <c r="AO213" i="1" s="1"/>
  <c r="AP213" i="1" s="1"/>
  <c r="AK213" i="1"/>
  <c r="AJ213" i="1"/>
  <c r="AH213" i="1"/>
  <c r="AG213" i="1"/>
  <c r="AC213" i="1"/>
  <c r="AA213" i="1"/>
  <c r="Z213" i="1"/>
  <c r="Y213" i="1"/>
  <c r="X213" i="1"/>
  <c r="W213" i="1"/>
  <c r="U213" i="1"/>
  <c r="T213" i="1"/>
  <c r="S213" i="1"/>
  <c r="R213" i="1"/>
  <c r="P213" i="1"/>
  <c r="O213" i="1"/>
  <c r="L213" i="1"/>
  <c r="K213" i="1"/>
  <c r="H213" i="1"/>
  <c r="G213" i="1"/>
  <c r="F213" i="1"/>
  <c r="E213" i="1"/>
  <c r="D213" i="1"/>
  <c r="C213" i="1"/>
  <c r="AT212" i="1"/>
  <c r="AS212" i="1"/>
  <c r="AQ212" i="1"/>
  <c r="AN212" i="1"/>
  <c r="AO212" i="1" s="1"/>
  <c r="AP212" i="1" s="1"/>
  <c r="AK212" i="1"/>
  <c r="AJ212" i="1"/>
  <c r="AH212" i="1"/>
  <c r="AG212" i="1"/>
  <c r="AC212" i="1"/>
  <c r="AA212" i="1"/>
  <c r="Z212" i="1"/>
  <c r="Y212" i="1"/>
  <c r="X212" i="1"/>
  <c r="W212" i="1"/>
  <c r="U212" i="1"/>
  <c r="T212" i="1"/>
  <c r="S212" i="1"/>
  <c r="R212" i="1"/>
  <c r="P212" i="1"/>
  <c r="O212" i="1"/>
  <c r="L212" i="1"/>
  <c r="K212" i="1"/>
  <c r="H212" i="1"/>
  <c r="G212" i="1"/>
  <c r="F212" i="1"/>
  <c r="E212" i="1"/>
  <c r="D212" i="1"/>
  <c r="C212" i="1"/>
  <c r="AT211" i="1"/>
  <c r="AS211" i="1"/>
  <c r="AQ211" i="1"/>
  <c r="AN211" i="1"/>
  <c r="AO211" i="1" s="1"/>
  <c r="AP211" i="1" s="1"/>
  <c r="AK211" i="1"/>
  <c r="AJ211" i="1"/>
  <c r="AH211" i="1"/>
  <c r="AG211" i="1"/>
  <c r="AC211" i="1"/>
  <c r="AA211" i="1"/>
  <c r="Z211" i="1"/>
  <c r="Y211" i="1"/>
  <c r="X211" i="1"/>
  <c r="W211" i="1"/>
  <c r="U211" i="1"/>
  <c r="T211" i="1"/>
  <c r="S211" i="1"/>
  <c r="R211" i="1"/>
  <c r="P211" i="1"/>
  <c r="O211" i="1"/>
  <c r="L211" i="1"/>
  <c r="K211" i="1"/>
  <c r="H211" i="1"/>
  <c r="G211" i="1"/>
  <c r="F211" i="1"/>
  <c r="E211" i="1"/>
  <c r="D211" i="1"/>
  <c r="C211" i="1"/>
  <c r="AT210" i="1"/>
  <c r="AS210" i="1"/>
  <c r="AQ210" i="1"/>
  <c r="AN210" i="1"/>
  <c r="AO210" i="1" s="1"/>
  <c r="AP210" i="1" s="1"/>
  <c r="AK210" i="1"/>
  <c r="AJ210" i="1"/>
  <c r="AH210" i="1"/>
  <c r="AG210" i="1"/>
  <c r="AC210" i="1"/>
  <c r="AA210" i="1"/>
  <c r="Z210" i="1"/>
  <c r="Y210" i="1"/>
  <c r="X210" i="1"/>
  <c r="W210" i="1"/>
  <c r="U210" i="1"/>
  <c r="T210" i="1"/>
  <c r="S210" i="1"/>
  <c r="R210" i="1"/>
  <c r="P210" i="1"/>
  <c r="O210" i="1"/>
  <c r="L210" i="1"/>
  <c r="K210" i="1"/>
  <c r="H210" i="1"/>
  <c r="G210" i="1"/>
  <c r="F210" i="1"/>
  <c r="E210" i="1"/>
  <c r="D210" i="1"/>
  <c r="C210" i="1"/>
  <c r="AT209" i="1"/>
  <c r="AS209" i="1"/>
  <c r="AQ209" i="1"/>
  <c r="AN209" i="1"/>
  <c r="AO209" i="1" s="1"/>
  <c r="AP209" i="1" s="1"/>
  <c r="AK209" i="1"/>
  <c r="AJ209" i="1"/>
  <c r="AH209" i="1"/>
  <c r="AG209" i="1"/>
  <c r="AC209" i="1"/>
  <c r="AA209" i="1"/>
  <c r="Z209" i="1"/>
  <c r="Y209" i="1"/>
  <c r="X209" i="1"/>
  <c r="W209" i="1"/>
  <c r="U209" i="1"/>
  <c r="T209" i="1"/>
  <c r="S209" i="1"/>
  <c r="R209" i="1"/>
  <c r="P209" i="1"/>
  <c r="O209" i="1"/>
  <c r="L209" i="1"/>
  <c r="K209" i="1"/>
  <c r="H209" i="1"/>
  <c r="G209" i="1"/>
  <c r="F209" i="1"/>
  <c r="E209" i="1"/>
  <c r="D209" i="1"/>
  <c r="C209" i="1"/>
  <c r="AT208" i="1"/>
  <c r="AS208" i="1"/>
  <c r="AQ208" i="1"/>
  <c r="AN208" i="1"/>
  <c r="AO208" i="1" s="1"/>
  <c r="AP208" i="1" s="1"/>
  <c r="AK208" i="1"/>
  <c r="AJ208" i="1"/>
  <c r="AH208" i="1"/>
  <c r="AG208" i="1"/>
  <c r="AC208" i="1"/>
  <c r="AA208" i="1"/>
  <c r="Z208" i="1"/>
  <c r="Y208" i="1"/>
  <c r="X208" i="1"/>
  <c r="W208" i="1"/>
  <c r="U208" i="1"/>
  <c r="T208" i="1"/>
  <c r="S208" i="1"/>
  <c r="R208" i="1"/>
  <c r="P208" i="1"/>
  <c r="O208" i="1"/>
  <c r="L208" i="1"/>
  <c r="K208" i="1"/>
  <c r="H208" i="1"/>
  <c r="G208" i="1"/>
  <c r="F208" i="1"/>
  <c r="E208" i="1"/>
  <c r="D208" i="1"/>
  <c r="C208" i="1"/>
  <c r="AT207" i="1"/>
  <c r="AS207" i="1"/>
  <c r="AQ207" i="1"/>
  <c r="AN207" i="1"/>
  <c r="AO207" i="1" s="1"/>
  <c r="AP207" i="1" s="1"/>
  <c r="AK207" i="1"/>
  <c r="AJ207" i="1"/>
  <c r="AH207" i="1"/>
  <c r="AG207" i="1"/>
  <c r="AC207" i="1"/>
  <c r="AA207" i="1"/>
  <c r="Z207" i="1"/>
  <c r="Y207" i="1"/>
  <c r="X207" i="1"/>
  <c r="W207" i="1"/>
  <c r="U207" i="1"/>
  <c r="T207" i="1"/>
  <c r="S207" i="1"/>
  <c r="R207" i="1"/>
  <c r="P207" i="1"/>
  <c r="O207" i="1"/>
  <c r="L207" i="1"/>
  <c r="K207" i="1"/>
  <c r="H207" i="1"/>
  <c r="G207" i="1"/>
  <c r="F207" i="1"/>
  <c r="E207" i="1"/>
  <c r="D207" i="1"/>
  <c r="C207" i="1"/>
  <c r="AT206" i="1"/>
  <c r="AS206" i="1"/>
  <c r="AQ206" i="1"/>
  <c r="AN206" i="1"/>
  <c r="AO206" i="1" s="1"/>
  <c r="AP206" i="1" s="1"/>
  <c r="AK206" i="1"/>
  <c r="AJ206" i="1"/>
  <c r="AH206" i="1"/>
  <c r="AG206" i="1"/>
  <c r="AC206" i="1"/>
  <c r="AA206" i="1"/>
  <c r="Z206" i="1"/>
  <c r="Y206" i="1"/>
  <c r="X206" i="1"/>
  <c r="W206" i="1"/>
  <c r="U206" i="1"/>
  <c r="T206" i="1"/>
  <c r="S206" i="1"/>
  <c r="R206" i="1"/>
  <c r="P206" i="1"/>
  <c r="O206" i="1"/>
  <c r="L206" i="1"/>
  <c r="K206" i="1"/>
  <c r="H206" i="1"/>
  <c r="G206" i="1"/>
  <c r="F206" i="1"/>
  <c r="E206" i="1"/>
  <c r="D206" i="1"/>
  <c r="C206" i="1"/>
  <c r="AT205" i="1"/>
  <c r="AS205" i="1"/>
  <c r="AQ205" i="1"/>
  <c r="AN205" i="1"/>
  <c r="AO205" i="1" s="1"/>
  <c r="AP205" i="1" s="1"/>
  <c r="AK205" i="1"/>
  <c r="AJ205" i="1"/>
  <c r="AH205" i="1"/>
  <c r="AG205" i="1"/>
  <c r="AC205" i="1"/>
  <c r="AA205" i="1"/>
  <c r="Z205" i="1"/>
  <c r="Y205" i="1"/>
  <c r="X205" i="1"/>
  <c r="W205" i="1"/>
  <c r="U205" i="1"/>
  <c r="T205" i="1"/>
  <c r="S205" i="1"/>
  <c r="R205" i="1"/>
  <c r="P205" i="1"/>
  <c r="O205" i="1"/>
  <c r="L205" i="1"/>
  <c r="K205" i="1"/>
  <c r="H205" i="1"/>
  <c r="G205" i="1"/>
  <c r="F205" i="1"/>
  <c r="E205" i="1"/>
  <c r="D205" i="1"/>
  <c r="C205" i="1"/>
  <c r="AT204" i="1"/>
  <c r="AS204" i="1"/>
  <c r="AQ204" i="1"/>
  <c r="AN204" i="1"/>
  <c r="AO204" i="1" s="1"/>
  <c r="AP204" i="1" s="1"/>
  <c r="AK204" i="1"/>
  <c r="AJ204" i="1"/>
  <c r="AH204" i="1"/>
  <c r="AG204" i="1"/>
  <c r="AC204" i="1"/>
  <c r="AA204" i="1"/>
  <c r="Z204" i="1"/>
  <c r="Y204" i="1"/>
  <c r="X204" i="1"/>
  <c r="W204" i="1"/>
  <c r="U204" i="1"/>
  <c r="T204" i="1"/>
  <c r="S204" i="1"/>
  <c r="R204" i="1"/>
  <c r="P204" i="1"/>
  <c r="O204" i="1"/>
  <c r="L204" i="1"/>
  <c r="K204" i="1"/>
  <c r="H204" i="1"/>
  <c r="G204" i="1"/>
  <c r="F204" i="1"/>
  <c r="E204" i="1"/>
  <c r="D204" i="1"/>
  <c r="C204" i="1"/>
  <c r="AT203" i="1"/>
  <c r="AS203" i="1"/>
  <c r="AQ203" i="1"/>
  <c r="AN203" i="1"/>
  <c r="AO203" i="1" s="1"/>
  <c r="AP203" i="1" s="1"/>
  <c r="AK203" i="1"/>
  <c r="AJ203" i="1"/>
  <c r="AH203" i="1"/>
  <c r="AG203" i="1"/>
  <c r="AC203" i="1"/>
  <c r="AA203" i="1"/>
  <c r="Z203" i="1"/>
  <c r="Y203" i="1"/>
  <c r="X203" i="1"/>
  <c r="W203" i="1"/>
  <c r="U203" i="1"/>
  <c r="T203" i="1"/>
  <c r="S203" i="1"/>
  <c r="R203" i="1"/>
  <c r="P203" i="1"/>
  <c r="O203" i="1"/>
  <c r="L203" i="1"/>
  <c r="K203" i="1"/>
  <c r="H203" i="1"/>
  <c r="G203" i="1"/>
  <c r="F203" i="1"/>
  <c r="E203" i="1"/>
  <c r="D203" i="1"/>
  <c r="C203" i="1"/>
  <c r="AT202" i="1"/>
  <c r="AS202" i="1"/>
  <c r="AQ202" i="1"/>
  <c r="AN202" i="1"/>
  <c r="AO202" i="1" s="1"/>
  <c r="AP202" i="1" s="1"/>
  <c r="AK202" i="1"/>
  <c r="AJ202" i="1"/>
  <c r="AH202" i="1"/>
  <c r="AG202" i="1"/>
  <c r="AC202" i="1"/>
  <c r="AA202" i="1"/>
  <c r="Z202" i="1"/>
  <c r="Y202" i="1"/>
  <c r="X202" i="1"/>
  <c r="W202" i="1"/>
  <c r="U202" i="1"/>
  <c r="T202" i="1"/>
  <c r="S202" i="1"/>
  <c r="R202" i="1"/>
  <c r="P202" i="1"/>
  <c r="O202" i="1"/>
  <c r="L202" i="1"/>
  <c r="K202" i="1"/>
  <c r="H202" i="1"/>
  <c r="G202" i="1"/>
  <c r="F202" i="1"/>
  <c r="E202" i="1"/>
  <c r="D202" i="1"/>
  <c r="C202" i="1"/>
  <c r="AT201" i="1"/>
  <c r="AS201" i="1"/>
  <c r="AQ201" i="1"/>
  <c r="AN201" i="1"/>
  <c r="AO201" i="1" s="1"/>
  <c r="AP201" i="1" s="1"/>
  <c r="AK201" i="1"/>
  <c r="AJ201" i="1"/>
  <c r="AH201" i="1"/>
  <c r="AG201" i="1"/>
  <c r="AC201" i="1"/>
  <c r="AA201" i="1"/>
  <c r="Z201" i="1"/>
  <c r="Y201" i="1"/>
  <c r="X201" i="1"/>
  <c r="W201" i="1"/>
  <c r="U201" i="1"/>
  <c r="T201" i="1"/>
  <c r="S201" i="1"/>
  <c r="R201" i="1"/>
  <c r="P201" i="1"/>
  <c r="O201" i="1"/>
  <c r="L201" i="1"/>
  <c r="K201" i="1"/>
  <c r="H201" i="1"/>
  <c r="G201" i="1"/>
  <c r="F201" i="1"/>
  <c r="E201" i="1"/>
  <c r="D201" i="1"/>
  <c r="C201" i="1"/>
  <c r="AT200" i="1"/>
  <c r="AS200" i="1"/>
  <c r="AQ200" i="1"/>
  <c r="AN200" i="1"/>
  <c r="AO200" i="1" s="1"/>
  <c r="AP200" i="1" s="1"/>
  <c r="AK200" i="1"/>
  <c r="AJ200" i="1"/>
  <c r="AH200" i="1"/>
  <c r="AG200" i="1"/>
  <c r="AC200" i="1"/>
  <c r="AA200" i="1"/>
  <c r="Z200" i="1"/>
  <c r="Y200" i="1"/>
  <c r="X200" i="1"/>
  <c r="W200" i="1"/>
  <c r="U200" i="1"/>
  <c r="T200" i="1"/>
  <c r="S200" i="1"/>
  <c r="R200" i="1"/>
  <c r="P200" i="1"/>
  <c r="O200" i="1"/>
  <c r="L200" i="1"/>
  <c r="K200" i="1"/>
  <c r="H200" i="1"/>
  <c r="G200" i="1"/>
  <c r="F200" i="1"/>
  <c r="E200" i="1"/>
  <c r="D200" i="1"/>
  <c r="C200" i="1"/>
  <c r="AT199" i="1"/>
  <c r="AS199" i="1"/>
  <c r="AQ199" i="1"/>
  <c r="AN199" i="1"/>
  <c r="AO199" i="1" s="1"/>
  <c r="AP199" i="1" s="1"/>
  <c r="AK199" i="1"/>
  <c r="AJ199" i="1"/>
  <c r="AH199" i="1"/>
  <c r="AG199" i="1"/>
  <c r="AC199" i="1"/>
  <c r="AA199" i="1"/>
  <c r="Z199" i="1"/>
  <c r="Y199" i="1"/>
  <c r="X199" i="1"/>
  <c r="W199" i="1"/>
  <c r="U199" i="1"/>
  <c r="T199" i="1"/>
  <c r="S199" i="1"/>
  <c r="R199" i="1"/>
  <c r="P199" i="1"/>
  <c r="O199" i="1"/>
  <c r="L199" i="1"/>
  <c r="K199" i="1"/>
  <c r="H199" i="1"/>
  <c r="G199" i="1"/>
  <c r="F199" i="1"/>
  <c r="E199" i="1"/>
  <c r="D199" i="1"/>
  <c r="C199" i="1"/>
  <c r="AT198" i="1"/>
  <c r="AS198" i="1"/>
  <c r="AQ198" i="1"/>
  <c r="AN198" i="1"/>
  <c r="AO198" i="1" s="1"/>
  <c r="AP198" i="1" s="1"/>
  <c r="AK198" i="1"/>
  <c r="AJ198" i="1"/>
  <c r="AH198" i="1"/>
  <c r="AG198" i="1"/>
  <c r="AC198" i="1"/>
  <c r="AA198" i="1"/>
  <c r="Z198" i="1"/>
  <c r="Y198" i="1"/>
  <c r="X198" i="1"/>
  <c r="W198" i="1"/>
  <c r="U198" i="1"/>
  <c r="T198" i="1"/>
  <c r="S198" i="1"/>
  <c r="R198" i="1"/>
  <c r="P198" i="1"/>
  <c r="O198" i="1"/>
  <c r="L198" i="1"/>
  <c r="K198" i="1"/>
  <c r="H198" i="1"/>
  <c r="G198" i="1"/>
  <c r="F198" i="1"/>
  <c r="E198" i="1"/>
  <c r="D198" i="1"/>
  <c r="C198" i="1"/>
  <c r="AT197" i="1"/>
  <c r="AS197" i="1"/>
  <c r="AQ197" i="1"/>
  <c r="AN197" i="1"/>
  <c r="AO197" i="1" s="1"/>
  <c r="AP197" i="1" s="1"/>
  <c r="AK197" i="1"/>
  <c r="AJ197" i="1"/>
  <c r="AH197" i="1"/>
  <c r="AG197" i="1"/>
  <c r="AC197" i="1"/>
  <c r="AA197" i="1"/>
  <c r="Z197" i="1"/>
  <c r="Y197" i="1"/>
  <c r="X197" i="1"/>
  <c r="W197" i="1"/>
  <c r="U197" i="1"/>
  <c r="T197" i="1"/>
  <c r="S197" i="1"/>
  <c r="R197" i="1"/>
  <c r="P197" i="1"/>
  <c r="O197" i="1"/>
  <c r="L197" i="1"/>
  <c r="K197" i="1"/>
  <c r="H197" i="1"/>
  <c r="G197" i="1"/>
  <c r="F197" i="1"/>
  <c r="E197" i="1"/>
  <c r="D197" i="1"/>
  <c r="C197" i="1"/>
  <c r="AT196" i="1"/>
  <c r="AS196" i="1"/>
  <c r="AQ196" i="1"/>
  <c r="AN196" i="1"/>
  <c r="AO196" i="1" s="1"/>
  <c r="AP196" i="1" s="1"/>
  <c r="AK196" i="1"/>
  <c r="AJ196" i="1"/>
  <c r="AH196" i="1"/>
  <c r="AG196" i="1"/>
  <c r="AC196" i="1"/>
  <c r="AA196" i="1"/>
  <c r="Z196" i="1"/>
  <c r="Y196" i="1"/>
  <c r="X196" i="1"/>
  <c r="W196" i="1"/>
  <c r="U196" i="1"/>
  <c r="T196" i="1"/>
  <c r="S196" i="1"/>
  <c r="R196" i="1"/>
  <c r="P196" i="1"/>
  <c r="O196" i="1"/>
  <c r="L196" i="1"/>
  <c r="K196" i="1"/>
  <c r="H196" i="1"/>
  <c r="G196" i="1"/>
  <c r="F196" i="1"/>
  <c r="E196" i="1"/>
  <c r="D196" i="1"/>
  <c r="C196" i="1"/>
  <c r="AT195" i="1"/>
  <c r="AS195" i="1"/>
  <c r="AQ195" i="1"/>
  <c r="AN195" i="1"/>
  <c r="AO195" i="1" s="1"/>
  <c r="AP195" i="1" s="1"/>
  <c r="AK195" i="1"/>
  <c r="AJ195" i="1"/>
  <c r="AH195" i="1"/>
  <c r="AG195" i="1"/>
  <c r="AC195" i="1"/>
  <c r="AA195" i="1"/>
  <c r="Z195" i="1"/>
  <c r="Y195" i="1"/>
  <c r="X195" i="1"/>
  <c r="W195" i="1"/>
  <c r="U195" i="1"/>
  <c r="T195" i="1"/>
  <c r="S195" i="1"/>
  <c r="R195" i="1"/>
  <c r="P195" i="1"/>
  <c r="O195" i="1"/>
  <c r="L195" i="1"/>
  <c r="K195" i="1"/>
  <c r="H195" i="1"/>
  <c r="G195" i="1"/>
  <c r="F195" i="1"/>
  <c r="E195" i="1"/>
  <c r="D195" i="1"/>
  <c r="C195" i="1"/>
  <c r="AT194" i="1"/>
  <c r="AS194" i="1"/>
  <c r="AQ194" i="1"/>
  <c r="AN194" i="1"/>
  <c r="AO194" i="1" s="1"/>
  <c r="AP194" i="1" s="1"/>
  <c r="AK194" i="1"/>
  <c r="AJ194" i="1"/>
  <c r="AH194" i="1"/>
  <c r="AG194" i="1"/>
  <c r="AC194" i="1"/>
  <c r="AA194" i="1"/>
  <c r="Z194" i="1"/>
  <c r="Y194" i="1"/>
  <c r="X194" i="1"/>
  <c r="W194" i="1"/>
  <c r="U194" i="1"/>
  <c r="T194" i="1"/>
  <c r="S194" i="1"/>
  <c r="R194" i="1"/>
  <c r="P194" i="1"/>
  <c r="O194" i="1"/>
  <c r="L194" i="1"/>
  <c r="K194" i="1"/>
  <c r="H194" i="1"/>
  <c r="G194" i="1"/>
  <c r="F194" i="1"/>
  <c r="E194" i="1"/>
  <c r="D194" i="1"/>
  <c r="C194" i="1"/>
  <c r="AT193" i="1"/>
  <c r="AS193" i="1"/>
  <c r="AQ193" i="1"/>
  <c r="AN193" i="1"/>
  <c r="AO193" i="1" s="1"/>
  <c r="AP193" i="1" s="1"/>
  <c r="AK193" i="1"/>
  <c r="AJ193" i="1"/>
  <c r="AH193" i="1"/>
  <c r="AG193" i="1"/>
  <c r="AC193" i="1"/>
  <c r="AA193" i="1"/>
  <c r="Z193" i="1"/>
  <c r="Y193" i="1"/>
  <c r="X193" i="1"/>
  <c r="W193" i="1"/>
  <c r="U193" i="1"/>
  <c r="T193" i="1"/>
  <c r="S193" i="1"/>
  <c r="R193" i="1"/>
  <c r="P193" i="1"/>
  <c r="O193" i="1"/>
  <c r="L193" i="1"/>
  <c r="K193" i="1"/>
  <c r="H193" i="1"/>
  <c r="G193" i="1"/>
  <c r="F193" i="1"/>
  <c r="E193" i="1"/>
  <c r="D193" i="1"/>
  <c r="C193" i="1"/>
  <c r="AT192" i="1"/>
  <c r="AS192" i="1"/>
  <c r="AQ192" i="1"/>
  <c r="AN192" i="1"/>
  <c r="AO192" i="1" s="1"/>
  <c r="AP192" i="1" s="1"/>
  <c r="AK192" i="1"/>
  <c r="AJ192" i="1"/>
  <c r="AH192" i="1"/>
  <c r="AG192" i="1"/>
  <c r="AC192" i="1"/>
  <c r="AA192" i="1"/>
  <c r="Z192" i="1"/>
  <c r="Y192" i="1"/>
  <c r="X192" i="1"/>
  <c r="W192" i="1"/>
  <c r="U192" i="1"/>
  <c r="T192" i="1"/>
  <c r="S192" i="1"/>
  <c r="R192" i="1"/>
  <c r="P192" i="1"/>
  <c r="O192" i="1"/>
  <c r="L192" i="1"/>
  <c r="K192" i="1"/>
  <c r="H192" i="1"/>
  <c r="G192" i="1"/>
  <c r="F192" i="1"/>
  <c r="E192" i="1"/>
  <c r="D192" i="1"/>
  <c r="C192" i="1"/>
  <c r="AT191" i="1"/>
  <c r="AS191" i="1"/>
  <c r="AQ191" i="1"/>
  <c r="AN191" i="1"/>
  <c r="AO191" i="1" s="1"/>
  <c r="AP191" i="1" s="1"/>
  <c r="AK191" i="1"/>
  <c r="AJ191" i="1"/>
  <c r="AH191" i="1"/>
  <c r="AG191" i="1"/>
  <c r="AC191" i="1"/>
  <c r="AA191" i="1"/>
  <c r="Z191" i="1"/>
  <c r="Y191" i="1"/>
  <c r="X191" i="1"/>
  <c r="W191" i="1"/>
  <c r="U191" i="1"/>
  <c r="T191" i="1"/>
  <c r="S191" i="1"/>
  <c r="R191" i="1"/>
  <c r="P191" i="1"/>
  <c r="O191" i="1"/>
  <c r="L191" i="1"/>
  <c r="K191" i="1"/>
  <c r="H191" i="1"/>
  <c r="G191" i="1"/>
  <c r="F191" i="1"/>
  <c r="E191" i="1"/>
  <c r="D191" i="1"/>
  <c r="C191" i="1"/>
  <c r="AT190" i="1"/>
  <c r="AS190" i="1"/>
  <c r="AQ190" i="1"/>
  <c r="AN190" i="1"/>
  <c r="AO190" i="1" s="1"/>
  <c r="AP190" i="1" s="1"/>
  <c r="AK190" i="1"/>
  <c r="AJ190" i="1"/>
  <c r="AH190" i="1"/>
  <c r="AG190" i="1"/>
  <c r="AC190" i="1"/>
  <c r="AA190" i="1"/>
  <c r="Z190" i="1"/>
  <c r="Y190" i="1"/>
  <c r="X190" i="1"/>
  <c r="W190" i="1"/>
  <c r="U190" i="1"/>
  <c r="T190" i="1"/>
  <c r="S190" i="1"/>
  <c r="R190" i="1"/>
  <c r="P190" i="1"/>
  <c r="O190" i="1"/>
  <c r="L190" i="1"/>
  <c r="K190" i="1"/>
  <c r="H190" i="1"/>
  <c r="G190" i="1"/>
  <c r="F190" i="1"/>
  <c r="E190" i="1"/>
  <c r="D190" i="1"/>
  <c r="C190" i="1"/>
  <c r="AT189" i="1"/>
  <c r="AS189" i="1"/>
  <c r="AQ189" i="1"/>
  <c r="AN189" i="1"/>
  <c r="AO189" i="1" s="1"/>
  <c r="AP189" i="1" s="1"/>
  <c r="AK189" i="1"/>
  <c r="AJ189" i="1"/>
  <c r="AH189" i="1"/>
  <c r="AG189" i="1"/>
  <c r="AC189" i="1"/>
  <c r="AA189" i="1"/>
  <c r="Z189" i="1"/>
  <c r="Y189" i="1"/>
  <c r="X189" i="1"/>
  <c r="W189" i="1"/>
  <c r="U189" i="1"/>
  <c r="T189" i="1"/>
  <c r="S189" i="1"/>
  <c r="R189" i="1"/>
  <c r="P189" i="1"/>
  <c r="O189" i="1"/>
  <c r="L189" i="1"/>
  <c r="K189" i="1"/>
  <c r="H189" i="1"/>
  <c r="G189" i="1"/>
  <c r="F189" i="1"/>
  <c r="E189" i="1"/>
  <c r="D189" i="1"/>
  <c r="C189" i="1"/>
  <c r="AT188" i="1"/>
  <c r="AS188" i="1"/>
  <c r="AQ188" i="1"/>
  <c r="AN188" i="1"/>
  <c r="AO188" i="1" s="1"/>
  <c r="AP188" i="1" s="1"/>
  <c r="AK188" i="1"/>
  <c r="AJ188" i="1"/>
  <c r="AH188" i="1"/>
  <c r="AG188" i="1"/>
  <c r="AC188" i="1"/>
  <c r="AA188" i="1"/>
  <c r="Z188" i="1"/>
  <c r="Y188" i="1"/>
  <c r="X188" i="1"/>
  <c r="W188" i="1"/>
  <c r="U188" i="1"/>
  <c r="T188" i="1"/>
  <c r="S188" i="1"/>
  <c r="R188" i="1"/>
  <c r="P188" i="1"/>
  <c r="O188" i="1"/>
  <c r="L188" i="1"/>
  <c r="K188" i="1"/>
  <c r="H188" i="1"/>
  <c r="G188" i="1"/>
  <c r="F188" i="1"/>
  <c r="E188" i="1"/>
  <c r="D188" i="1"/>
  <c r="C188" i="1"/>
  <c r="AT187" i="1"/>
  <c r="AS187" i="1"/>
  <c r="AQ187" i="1"/>
  <c r="AN187" i="1"/>
  <c r="AO187" i="1" s="1"/>
  <c r="AP187" i="1" s="1"/>
  <c r="AK187" i="1"/>
  <c r="AJ187" i="1"/>
  <c r="AH187" i="1"/>
  <c r="AG187" i="1"/>
  <c r="AC187" i="1"/>
  <c r="AA187" i="1"/>
  <c r="Z187" i="1"/>
  <c r="Y187" i="1"/>
  <c r="X187" i="1"/>
  <c r="W187" i="1"/>
  <c r="U187" i="1"/>
  <c r="T187" i="1"/>
  <c r="S187" i="1"/>
  <c r="R187" i="1"/>
  <c r="P187" i="1"/>
  <c r="O187" i="1"/>
  <c r="L187" i="1"/>
  <c r="K187" i="1"/>
  <c r="H187" i="1"/>
  <c r="G187" i="1"/>
  <c r="F187" i="1"/>
  <c r="E187" i="1"/>
  <c r="D187" i="1"/>
  <c r="C187" i="1"/>
  <c r="AT186" i="1"/>
  <c r="AS186" i="1"/>
  <c r="AQ186" i="1"/>
  <c r="AN186" i="1"/>
  <c r="AO186" i="1" s="1"/>
  <c r="AP186" i="1" s="1"/>
  <c r="AK186" i="1"/>
  <c r="AJ186" i="1"/>
  <c r="AH186" i="1"/>
  <c r="AG186" i="1"/>
  <c r="AC186" i="1"/>
  <c r="AA186" i="1"/>
  <c r="Z186" i="1"/>
  <c r="Y186" i="1"/>
  <c r="X186" i="1"/>
  <c r="W186" i="1"/>
  <c r="U186" i="1"/>
  <c r="T186" i="1"/>
  <c r="S186" i="1"/>
  <c r="R186" i="1"/>
  <c r="P186" i="1"/>
  <c r="O186" i="1"/>
  <c r="L186" i="1"/>
  <c r="K186" i="1"/>
  <c r="H186" i="1"/>
  <c r="G186" i="1"/>
  <c r="F186" i="1"/>
  <c r="E186" i="1"/>
  <c r="D186" i="1"/>
  <c r="C186" i="1"/>
  <c r="AT185" i="1"/>
  <c r="AS185" i="1"/>
  <c r="AQ185" i="1"/>
  <c r="AN185" i="1"/>
  <c r="AO185" i="1" s="1"/>
  <c r="AP185" i="1" s="1"/>
  <c r="AK185" i="1"/>
  <c r="AJ185" i="1"/>
  <c r="AH185" i="1"/>
  <c r="AG185" i="1"/>
  <c r="AC185" i="1"/>
  <c r="AA185" i="1"/>
  <c r="Z185" i="1"/>
  <c r="Y185" i="1"/>
  <c r="X185" i="1"/>
  <c r="W185" i="1"/>
  <c r="U185" i="1"/>
  <c r="T185" i="1"/>
  <c r="S185" i="1"/>
  <c r="R185" i="1"/>
  <c r="P185" i="1"/>
  <c r="O185" i="1"/>
  <c r="L185" i="1"/>
  <c r="K185" i="1"/>
  <c r="H185" i="1"/>
  <c r="G185" i="1"/>
  <c r="F185" i="1"/>
  <c r="E185" i="1"/>
  <c r="D185" i="1"/>
  <c r="C185" i="1"/>
  <c r="AT184" i="1"/>
  <c r="AS184" i="1"/>
  <c r="AQ184" i="1"/>
  <c r="AN184" i="1"/>
  <c r="AO184" i="1" s="1"/>
  <c r="AP184" i="1" s="1"/>
  <c r="AK184" i="1"/>
  <c r="AJ184" i="1"/>
  <c r="AH184" i="1"/>
  <c r="AG184" i="1"/>
  <c r="AC184" i="1"/>
  <c r="AA184" i="1"/>
  <c r="Z184" i="1"/>
  <c r="Y184" i="1"/>
  <c r="X184" i="1"/>
  <c r="W184" i="1"/>
  <c r="U184" i="1"/>
  <c r="T184" i="1"/>
  <c r="S184" i="1"/>
  <c r="R184" i="1"/>
  <c r="P184" i="1"/>
  <c r="O184" i="1"/>
  <c r="L184" i="1"/>
  <c r="K184" i="1"/>
  <c r="H184" i="1"/>
  <c r="G184" i="1"/>
  <c r="F184" i="1"/>
  <c r="E184" i="1"/>
  <c r="D184" i="1"/>
  <c r="C184" i="1"/>
  <c r="AT183" i="1"/>
  <c r="AS183" i="1"/>
  <c r="AQ183" i="1"/>
  <c r="AN183" i="1"/>
  <c r="AO183" i="1" s="1"/>
  <c r="AP183" i="1" s="1"/>
  <c r="AK183" i="1"/>
  <c r="AJ183" i="1"/>
  <c r="AH183" i="1"/>
  <c r="AG183" i="1"/>
  <c r="AC183" i="1"/>
  <c r="AA183" i="1"/>
  <c r="Z183" i="1"/>
  <c r="Y183" i="1"/>
  <c r="X183" i="1"/>
  <c r="W183" i="1"/>
  <c r="U183" i="1"/>
  <c r="T183" i="1"/>
  <c r="S183" i="1"/>
  <c r="R183" i="1"/>
  <c r="P183" i="1"/>
  <c r="O183" i="1"/>
  <c r="L183" i="1"/>
  <c r="K183" i="1"/>
  <c r="H183" i="1"/>
  <c r="G183" i="1"/>
  <c r="F183" i="1"/>
  <c r="E183" i="1"/>
  <c r="D183" i="1"/>
  <c r="C183" i="1"/>
  <c r="AT182" i="1"/>
  <c r="AS182" i="1"/>
  <c r="AQ182" i="1"/>
  <c r="AN182" i="1"/>
  <c r="AO182" i="1" s="1"/>
  <c r="AP182" i="1" s="1"/>
  <c r="AK182" i="1"/>
  <c r="AJ182" i="1"/>
  <c r="AH182" i="1"/>
  <c r="AG182" i="1"/>
  <c r="AC182" i="1"/>
  <c r="AA182" i="1"/>
  <c r="Z182" i="1"/>
  <c r="Y182" i="1"/>
  <c r="X182" i="1"/>
  <c r="W182" i="1"/>
  <c r="U182" i="1"/>
  <c r="T182" i="1"/>
  <c r="S182" i="1"/>
  <c r="R182" i="1"/>
  <c r="P182" i="1"/>
  <c r="O182" i="1"/>
  <c r="L182" i="1"/>
  <c r="K182" i="1"/>
  <c r="H182" i="1"/>
  <c r="G182" i="1"/>
  <c r="F182" i="1"/>
  <c r="E182" i="1"/>
  <c r="D182" i="1"/>
  <c r="C182" i="1"/>
  <c r="AT181" i="1"/>
  <c r="AS181" i="1"/>
  <c r="AQ181" i="1"/>
  <c r="AN181" i="1"/>
  <c r="AO181" i="1" s="1"/>
  <c r="AP181" i="1" s="1"/>
  <c r="AK181" i="1"/>
  <c r="AJ181" i="1"/>
  <c r="AH181" i="1"/>
  <c r="AG181" i="1"/>
  <c r="AC181" i="1"/>
  <c r="AA181" i="1"/>
  <c r="Z181" i="1"/>
  <c r="Y181" i="1"/>
  <c r="X181" i="1"/>
  <c r="W181" i="1"/>
  <c r="U181" i="1"/>
  <c r="T181" i="1"/>
  <c r="S181" i="1"/>
  <c r="R181" i="1"/>
  <c r="P181" i="1"/>
  <c r="O181" i="1"/>
  <c r="L181" i="1"/>
  <c r="K181" i="1"/>
  <c r="H181" i="1"/>
  <c r="G181" i="1"/>
  <c r="F181" i="1"/>
  <c r="E181" i="1"/>
  <c r="D181" i="1"/>
  <c r="C181" i="1"/>
  <c r="AT180" i="1"/>
  <c r="AS180" i="1"/>
  <c r="AQ180" i="1"/>
  <c r="AN180" i="1"/>
  <c r="AO180" i="1" s="1"/>
  <c r="AP180" i="1" s="1"/>
  <c r="AK180" i="1"/>
  <c r="AJ180" i="1"/>
  <c r="AH180" i="1"/>
  <c r="AG180" i="1"/>
  <c r="AC180" i="1"/>
  <c r="AA180" i="1"/>
  <c r="Z180" i="1"/>
  <c r="Y180" i="1"/>
  <c r="X180" i="1"/>
  <c r="W180" i="1"/>
  <c r="U180" i="1"/>
  <c r="T180" i="1"/>
  <c r="S180" i="1"/>
  <c r="R180" i="1"/>
  <c r="P180" i="1"/>
  <c r="O180" i="1"/>
  <c r="L180" i="1"/>
  <c r="K180" i="1"/>
  <c r="H180" i="1"/>
  <c r="G180" i="1"/>
  <c r="F180" i="1"/>
  <c r="E180" i="1"/>
  <c r="D180" i="1"/>
  <c r="C180" i="1"/>
  <c r="AT179" i="1"/>
  <c r="AS179" i="1"/>
  <c r="AQ179" i="1"/>
  <c r="AN179" i="1"/>
  <c r="AO179" i="1" s="1"/>
  <c r="AP179" i="1" s="1"/>
  <c r="AK179" i="1"/>
  <c r="AJ179" i="1"/>
  <c r="AH179" i="1"/>
  <c r="AG179" i="1"/>
  <c r="AC179" i="1"/>
  <c r="AA179" i="1"/>
  <c r="Z179" i="1"/>
  <c r="Y179" i="1"/>
  <c r="X179" i="1"/>
  <c r="W179" i="1"/>
  <c r="U179" i="1"/>
  <c r="T179" i="1"/>
  <c r="S179" i="1"/>
  <c r="R179" i="1"/>
  <c r="P179" i="1"/>
  <c r="O179" i="1"/>
  <c r="L179" i="1"/>
  <c r="K179" i="1"/>
  <c r="H179" i="1"/>
  <c r="G179" i="1"/>
  <c r="F179" i="1"/>
  <c r="E179" i="1"/>
  <c r="D179" i="1"/>
  <c r="C179" i="1"/>
  <c r="AT178" i="1"/>
  <c r="AS178" i="1"/>
  <c r="AQ178" i="1"/>
  <c r="AN178" i="1"/>
  <c r="AO178" i="1" s="1"/>
  <c r="AP178" i="1" s="1"/>
  <c r="AK178" i="1"/>
  <c r="AJ178" i="1"/>
  <c r="AH178" i="1"/>
  <c r="AG178" i="1"/>
  <c r="AC178" i="1"/>
  <c r="AA178" i="1"/>
  <c r="Z178" i="1"/>
  <c r="Y178" i="1"/>
  <c r="X178" i="1"/>
  <c r="W178" i="1"/>
  <c r="U178" i="1"/>
  <c r="T178" i="1"/>
  <c r="S178" i="1"/>
  <c r="R178" i="1"/>
  <c r="P178" i="1"/>
  <c r="O178" i="1"/>
  <c r="L178" i="1"/>
  <c r="K178" i="1"/>
  <c r="H178" i="1"/>
  <c r="G178" i="1"/>
  <c r="F178" i="1"/>
  <c r="E178" i="1"/>
  <c r="D178" i="1"/>
  <c r="C178" i="1"/>
  <c r="AT177" i="1"/>
  <c r="AS177" i="1"/>
  <c r="AQ177" i="1"/>
  <c r="AN177" i="1"/>
  <c r="AO177" i="1" s="1"/>
  <c r="AP177" i="1" s="1"/>
  <c r="AK177" i="1"/>
  <c r="AJ177" i="1"/>
  <c r="AH177" i="1"/>
  <c r="AG177" i="1"/>
  <c r="AC177" i="1"/>
  <c r="AA177" i="1"/>
  <c r="Z177" i="1"/>
  <c r="Y177" i="1"/>
  <c r="X177" i="1"/>
  <c r="W177" i="1"/>
  <c r="U177" i="1"/>
  <c r="T177" i="1"/>
  <c r="S177" i="1"/>
  <c r="R177" i="1"/>
  <c r="P177" i="1"/>
  <c r="O177" i="1"/>
  <c r="L177" i="1"/>
  <c r="K177" i="1"/>
  <c r="H177" i="1"/>
  <c r="G177" i="1"/>
  <c r="F177" i="1"/>
  <c r="E177" i="1"/>
  <c r="D177" i="1"/>
  <c r="C177" i="1"/>
  <c r="AT176" i="1"/>
  <c r="AS176" i="1"/>
  <c r="AQ176" i="1"/>
  <c r="AN176" i="1"/>
  <c r="AO176" i="1" s="1"/>
  <c r="AP176" i="1" s="1"/>
  <c r="AK176" i="1"/>
  <c r="AJ176" i="1"/>
  <c r="AH176" i="1"/>
  <c r="AG176" i="1"/>
  <c r="AC176" i="1"/>
  <c r="AA176" i="1"/>
  <c r="Z176" i="1"/>
  <c r="Y176" i="1"/>
  <c r="X176" i="1"/>
  <c r="W176" i="1"/>
  <c r="U176" i="1"/>
  <c r="T176" i="1"/>
  <c r="S176" i="1"/>
  <c r="R176" i="1"/>
  <c r="P176" i="1"/>
  <c r="O176" i="1"/>
  <c r="L176" i="1"/>
  <c r="K176" i="1"/>
  <c r="H176" i="1"/>
  <c r="G176" i="1"/>
  <c r="F176" i="1"/>
  <c r="E176" i="1"/>
  <c r="D176" i="1"/>
  <c r="C176" i="1"/>
  <c r="AT175" i="1"/>
  <c r="AS175" i="1"/>
  <c r="AQ175" i="1"/>
  <c r="AN175" i="1"/>
  <c r="AO175" i="1" s="1"/>
  <c r="AP175" i="1" s="1"/>
  <c r="AK175" i="1"/>
  <c r="AJ175" i="1"/>
  <c r="AH175" i="1"/>
  <c r="AG175" i="1"/>
  <c r="AC175" i="1"/>
  <c r="AA175" i="1"/>
  <c r="Z175" i="1"/>
  <c r="Y175" i="1"/>
  <c r="X175" i="1"/>
  <c r="W175" i="1"/>
  <c r="U175" i="1"/>
  <c r="T175" i="1"/>
  <c r="S175" i="1"/>
  <c r="R175" i="1"/>
  <c r="P175" i="1"/>
  <c r="O175" i="1"/>
  <c r="L175" i="1"/>
  <c r="K175" i="1"/>
  <c r="H175" i="1"/>
  <c r="G175" i="1"/>
  <c r="F175" i="1"/>
  <c r="E175" i="1"/>
  <c r="D175" i="1"/>
  <c r="C175" i="1"/>
  <c r="AT174" i="1"/>
  <c r="AS174" i="1"/>
  <c r="AQ174" i="1"/>
  <c r="AN174" i="1"/>
  <c r="AO174" i="1" s="1"/>
  <c r="AP174" i="1" s="1"/>
  <c r="AK174" i="1"/>
  <c r="AJ174" i="1"/>
  <c r="AH174" i="1"/>
  <c r="AG174" i="1"/>
  <c r="AC174" i="1"/>
  <c r="AA174" i="1"/>
  <c r="Z174" i="1"/>
  <c r="Y174" i="1"/>
  <c r="X174" i="1"/>
  <c r="W174" i="1"/>
  <c r="U174" i="1"/>
  <c r="T174" i="1"/>
  <c r="S174" i="1"/>
  <c r="R174" i="1"/>
  <c r="P174" i="1"/>
  <c r="O174" i="1"/>
  <c r="L174" i="1"/>
  <c r="K174" i="1"/>
  <c r="H174" i="1"/>
  <c r="G174" i="1"/>
  <c r="F174" i="1"/>
  <c r="E174" i="1"/>
  <c r="D174" i="1"/>
  <c r="C174" i="1"/>
  <c r="AT173" i="1"/>
  <c r="AS173" i="1"/>
  <c r="AQ173" i="1"/>
  <c r="AN173" i="1"/>
  <c r="AO173" i="1" s="1"/>
  <c r="AP173" i="1" s="1"/>
  <c r="AK173" i="1"/>
  <c r="AJ173" i="1"/>
  <c r="AH173" i="1"/>
  <c r="AG173" i="1"/>
  <c r="AC173" i="1"/>
  <c r="AA173" i="1"/>
  <c r="Z173" i="1"/>
  <c r="Y173" i="1"/>
  <c r="X173" i="1"/>
  <c r="W173" i="1"/>
  <c r="U173" i="1"/>
  <c r="T173" i="1"/>
  <c r="S173" i="1"/>
  <c r="R173" i="1"/>
  <c r="P173" i="1"/>
  <c r="O173" i="1"/>
  <c r="L173" i="1"/>
  <c r="K173" i="1"/>
  <c r="H173" i="1"/>
  <c r="G173" i="1"/>
  <c r="F173" i="1"/>
  <c r="E173" i="1"/>
  <c r="D173" i="1"/>
  <c r="C173" i="1"/>
  <c r="AT172" i="1"/>
  <c r="AS172" i="1"/>
  <c r="AQ172" i="1"/>
  <c r="AN172" i="1"/>
  <c r="AO172" i="1" s="1"/>
  <c r="AP172" i="1" s="1"/>
  <c r="AK172" i="1"/>
  <c r="AJ172" i="1"/>
  <c r="AH172" i="1"/>
  <c r="AG172" i="1"/>
  <c r="AC172" i="1"/>
  <c r="AA172" i="1"/>
  <c r="Z172" i="1"/>
  <c r="Y172" i="1"/>
  <c r="X172" i="1"/>
  <c r="W172" i="1"/>
  <c r="U172" i="1"/>
  <c r="T172" i="1"/>
  <c r="S172" i="1"/>
  <c r="R172" i="1"/>
  <c r="P172" i="1"/>
  <c r="O172" i="1"/>
  <c r="L172" i="1"/>
  <c r="K172" i="1"/>
  <c r="H172" i="1"/>
  <c r="G172" i="1"/>
  <c r="F172" i="1"/>
  <c r="E172" i="1"/>
  <c r="D172" i="1"/>
  <c r="C172" i="1"/>
  <c r="AT171" i="1"/>
  <c r="AS171" i="1"/>
  <c r="AQ171" i="1"/>
  <c r="AN171" i="1"/>
  <c r="AO171" i="1" s="1"/>
  <c r="AP171" i="1" s="1"/>
  <c r="AK171" i="1"/>
  <c r="AJ171" i="1"/>
  <c r="AH171" i="1"/>
  <c r="AG171" i="1"/>
  <c r="AC171" i="1"/>
  <c r="AA171" i="1"/>
  <c r="Z171" i="1"/>
  <c r="Y171" i="1"/>
  <c r="X171" i="1"/>
  <c r="W171" i="1"/>
  <c r="U171" i="1"/>
  <c r="T171" i="1"/>
  <c r="S171" i="1"/>
  <c r="R171" i="1"/>
  <c r="P171" i="1"/>
  <c r="O171" i="1"/>
  <c r="L171" i="1"/>
  <c r="K171" i="1"/>
  <c r="H171" i="1"/>
  <c r="G171" i="1"/>
  <c r="F171" i="1"/>
  <c r="E171" i="1"/>
  <c r="D171" i="1"/>
  <c r="C171" i="1"/>
  <c r="AT170" i="1"/>
  <c r="AS170" i="1"/>
  <c r="AQ170" i="1"/>
  <c r="AN170" i="1"/>
  <c r="AO170" i="1" s="1"/>
  <c r="AP170" i="1" s="1"/>
  <c r="AK170" i="1"/>
  <c r="AJ170" i="1"/>
  <c r="AH170" i="1"/>
  <c r="AG170" i="1"/>
  <c r="AC170" i="1"/>
  <c r="AA170" i="1"/>
  <c r="Z170" i="1"/>
  <c r="Y170" i="1"/>
  <c r="X170" i="1"/>
  <c r="W170" i="1"/>
  <c r="U170" i="1"/>
  <c r="T170" i="1"/>
  <c r="S170" i="1"/>
  <c r="R170" i="1"/>
  <c r="P170" i="1"/>
  <c r="O170" i="1"/>
  <c r="L170" i="1"/>
  <c r="K170" i="1"/>
  <c r="H170" i="1"/>
  <c r="G170" i="1"/>
  <c r="F170" i="1"/>
  <c r="E170" i="1"/>
  <c r="D170" i="1"/>
  <c r="C170" i="1"/>
  <c r="AT169" i="1"/>
  <c r="AS169" i="1"/>
  <c r="AQ169" i="1"/>
  <c r="AN169" i="1"/>
  <c r="AO169" i="1" s="1"/>
  <c r="AP169" i="1" s="1"/>
  <c r="AK169" i="1"/>
  <c r="AJ169" i="1"/>
  <c r="AH169" i="1"/>
  <c r="AG169" i="1"/>
  <c r="AC169" i="1"/>
  <c r="AA169" i="1"/>
  <c r="Z169" i="1"/>
  <c r="Y169" i="1"/>
  <c r="X169" i="1"/>
  <c r="W169" i="1"/>
  <c r="U169" i="1"/>
  <c r="T169" i="1"/>
  <c r="S169" i="1"/>
  <c r="R169" i="1"/>
  <c r="P169" i="1"/>
  <c r="O169" i="1"/>
  <c r="L169" i="1"/>
  <c r="K169" i="1"/>
  <c r="H169" i="1"/>
  <c r="G169" i="1"/>
  <c r="F169" i="1"/>
  <c r="E169" i="1"/>
  <c r="D169" i="1"/>
  <c r="C169" i="1"/>
  <c r="AT168" i="1"/>
  <c r="AS168" i="1"/>
  <c r="AQ168" i="1"/>
  <c r="AN168" i="1"/>
  <c r="AO168" i="1" s="1"/>
  <c r="AP168" i="1" s="1"/>
  <c r="AK168" i="1"/>
  <c r="AJ168" i="1"/>
  <c r="AH168" i="1"/>
  <c r="AG168" i="1"/>
  <c r="AC168" i="1"/>
  <c r="AA168" i="1"/>
  <c r="Z168" i="1"/>
  <c r="Y168" i="1"/>
  <c r="X168" i="1"/>
  <c r="W168" i="1"/>
  <c r="U168" i="1"/>
  <c r="T168" i="1"/>
  <c r="S168" i="1"/>
  <c r="R168" i="1"/>
  <c r="P168" i="1"/>
  <c r="O168" i="1"/>
  <c r="L168" i="1"/>
  <c r="K168" i="1"/>
  <c r="H168" i="1"/>
  <c r="G168" i="1"/>
  <c r="F168" i="1"/>
  <c r="E168" i="1"/>
  <c r="D168" i="1"/>
  <c r="C168" i="1"/>
  <c r="AT167" i="1"/>
  <c r="AS167" i="1"/>
  <c r="AQ167" i="1"/>
  <c r="AN167" i="1"/>
  <c r="AO167" i="1" s="1"/>
  <c r="AP167" i="1" s="1"/>
  <c r="AK167" i="1"/>
  <c r="AJ167" i="1"/>
  <c r="AH167" i="1"/>
  <c r="AG167" i="1"/>
  <c r="AC167" i="1"/>
  <c r="AA167" i="1"/>
  <c r="Z167" i="1"/>
  <c r="Y167" i="1"/>
  <c r="X167" i="1"/>
  <c r="W167" i="1"/>
  <c r="U167" i="1"/>
  <c r="T167" i="1"/>
  <c r="S167" i="1"/>
  <c r="R167" i="1"/>
  <c r="P167" i="1"/>
  <c r="O167" i="1"/>
  <c r="L167" i="1"/>
  <c r="K167" i="1"/>
  <c r="H167" i="1"/>
  <c r="G167" i="1"/>
  <c r="F167" i="1"/>
  <c r="E167" i="1"/>
  <c r="D167" i="1"/>
  <c r="C167" i="1"/>
  <c r="AT166" i="1"/>
  <c r="AS166" i="1"/>
  <c r="AQ166" i="1"/>
  <c r="AN166" i="1"/>
  <c r="AO166" i="1" s="1"/>
  <c r="AP166" i="1" s="1"/>
  <c r="AK166" i="1"/>
  <c r="AJ166" i="1"/>
  <c r="AH166" i="1"/>
  <c r="AG166" i="1"/>
  <c r="AC166" i="1"/>
  <c r="AA166" i="1"/>
  <c r="Z166" i="1"/>
  <c r="Y166" i="1"/>
  <c r="X166" i="1"/>
  <c r="W166" i="1"/>
  <c r="U166" i="1"/>
  <c r="T166" i="1"/>
  <c r="S166" i="1"/>
  <c r="R166" i="1"/>
  <c r="P166" i="1"/>
  <c r="O166" i="1"/>
  <c r="L166" i="1"/>
  <c r="K166" i="1"/>
  <c r="H166" i="1"/>
  <c r="G166" i="1"/>
  <c r="F166" i="1"/>
  <c r="E166" i="1"/>
  <c r="D166" i="1"/>
  <c r="C166" i="1"/>
  <c r="AT165" i="1"/>
  <c r="AS165" i="1"/>
  <c r="AQ165" i="1"/>
  <c r="AN165" i="1"/>
  <c r="AO165" i="1" s="1"/>
  <c r="AP165" i="1" s="1"/>
  <c r="AK165" i="1"/>
  <c r="AJ165" i="1"/>
  <c r="AH165" i="1"/>
  <c r="AG165" i="1"/>
  <c r="AC165" i="1"/>
  <c r="AA165" i="1"/>
  <c r="Z165" i="1"/>
  <c r="Y165" i="1"/>
  <c r="X165" i="1"/>
  <c r="W165" i="1"/>
  <c r="U165" i="1"/>
  <c r="T165" i="1"/>
  <c r="S165" i="1"/>
  <c r="R165" i="1"/>
  <c r="P165" i="1"/>
  <c r="O165" i="1"/>
  <c r="L165" i="1"/>
  <c r="K165" i="1"/>
  <c r="H165" i="1"/>
  <c r="G165" i="1"/>
  <c r="F165" i="1"/>
  <c r="E165" i="1"/>
  <c r="D165" i="1"/>
  <c r="C165" i="1"/>
  <c r="AT164" i="1"/>
  <c r="AS164" i="1"/>
  <c r="AQ164" i="1"/>
  <c r="AN164" i="1"/>
  <c r="AO164" i="1" s="1"/>
  <c r="AP164" i="1" s="1"/>
  <c r="AK164" i="1"/>
  <c r="AJ164" i="1"/>
  <c r="AH164" i="1"/>
  <c r="AG164" i="1"/>
  <c r="AC164" i="1"/>
  <c r="AA164" i="1"/>
  <c r="Z164" i="1"/>
  <c r="Y164" i="1"/>
  <c r="X164" i="1"/>
  <c r="W164" i="1"/>
  <c r="U164" i="1"/>
  <c r="T164" i="1"/>
  <c r="S164" i="1"/>
  <c r="R164" i="1"/>
  <c r="P164" i="1"/>
  <c r="O164" i="1"/>
  <c r="L164" i="1"/>
  <c r="K164" i="1"/>
  <c r="H164" i="1"/>
  <c r="G164" i="1"/>
  <c r="F164" i="1"/>
  <c r="E164" i="1"/>
  <c r="D164" i="1"/>
  <c r="C164" i="1"/>
  <c r="AT163" i="1"/>
  <c r="AS163" i="1"/>
  <c r="AQ163" i="1"/>
  <c r="AN163" i="1"/>
  <c r="AO163" i="1" s="1"/>
  <c r="AP163" i="1" s="1"/>
  <c r="AK163" i="1"/>
  <c r="AJ163" i="1"/>
  <c r="AH163" i="1"/>
  <c r="AG163" i="1"/>
  <c r="AC163" i="1"/>
  <c r="AA163" i="1"/>
  <c r="Z163" i="1"/>
  <c r="Y163" i="1"/>
  <c r="X163" i="1"/>
  <c r="W163" i="1"/>
  <c r="U163" i="1"/>
  <c r="T163" i="1"/>
  <c r="S163" i="1"/>
  <c r="R163" i="1"/>
  <c r="P163" i="1"/>
  <c r="O163" i="1"/>
  <c r="L163" i="1"/>
  <c r="K163" i="1"/>
  <c r="H163" i="1"/>
  <c r="G163" i="1"/>
  <c r="F163" i="1"/>
  <c r="E163" i="1"/>
  <c r="D163" i="1"/>
  <c r="C163" i="1"/>
  <c r="AT162" i="1"/>
  <c r="AS162" i="1"/>
  <c r="AQ162" i="1"/>
  <c r="AN162" i="1"/>
  <c r="AO162" i="1" s="1"/>
  <c r="AP162" i="1" s="1"/>
  <c r="AK162" i="1"/>
  <c r="AJ162" i="1"/>
  <c r="AH162" i="1"/>
  <c r="AG162" i="1"/>
  <c r="AC162" i="1"/>
  <c r="AA162" i="1"/>
  <c r="Z162" i="1"/>
  <c r="Y162" i="1"/>
  <c r="X162" i="1"/>
  <c r="W162" i="1"/>
  <c r="U162" i="1"/>
  <c r="T162" i="1"/>
  <c r="S162" i="1"/>
  <c r="R162" i="1"/>
  <c r="P162" i="1"/>
  <c r="O162" i="1"/>
  <c r="L162" i="1"/>
  <c r="K162" i="1"/>
  <c r="H162" i="1"/>
  <c r="G162" i="1"/>
  <c r="F162" i="1"/>
  <c r="E162" i="1"/>
  <c r="D162" i="1"/>
  <c r="C162" i="1"/>
  <c r="AT161" i="1"/>
  <c r="AS161" i="1"/>
  <c r="AQ161" i="1"/>
  <c r="AN161" i="1"/>
  <c r="AO161" i="1" s="1"/>
  <c r="AP161" i="1" s="1"/>
  <c r="AK161" i="1"/>
  <c r="AJ161" i="1"/>
  <c r="AH161" i="1"/>
  <c r="AG161" i="1"/>
  <c r="AC161" i="1"/>
  <c r="AA161" i="1"/>
  <c r="Z161" i="1"/>
  <c r="Y161" i="1"/>
  <c r="X161" i="1"/>
  <c r="W161" i="1"/>
  <c r="U161" i="1"/>
  <c r="T161" i="1"/>
  <c r="S161" i="1"/>
  <c r="R161" i="1"/>
  <c r="P161" i="1"/>
  <c r="O161" i="1"/>
  <c r="L161" i="1"/>
  <c r="K161" i="1"/>
  <c r="H161" i="1"/>
  <c r="G161" i="1"/>
  <c r="F161" i="1"/>
  <c r="E161" i="1"/>
  <c r="D161" i="1"/>
  <c r="C161" i="1"/>
  <c r="AT160" i="1"/>
  <c r="AS160" i="1"/>
  <c r="AQ160" i="1"/>
  <c r="AN160" i="1"/>
  <c r="AO160" i="1" s="1"/>
  <c r="AP160" i="1" s="1"/>
  <c r="AK160" i="1"/>
  <c r="AJ160" i="1"/>
  <c r="AH160" i="1"/>
  <c r="AG160" i="1"/>
  <c r="AC160" i="1"/>
  <c r="AA160" i="1"/>
  <c r="Z160" i="1"/>
  <c r="Y160" i="1"/>
  <c r="X160" i="1"/>
  <c r="W160" i="1"/>
  <c r="U160" i="1"/>
  <c r="T160" i="1"/>
  <c r="S160" i="1"/>
  <c r="R160" i="1"/>
  <c r="P160" i="1"/>
  <c r="O160" i="1"/>
  <c r="L160" i="1"/>
  <c r="K160" i="1"/>
  <c r="H160" i="1"/>
  <c r="G160" i="1"/>
  <c r="F160" i="1"/>
  <c r="E160" i="1"/>
  <c r="D160" i="1"/>
  <c r="C160" i="1"/>
  <c r="AT159" i="1"/>
  <c r="AS159" i="1"/>
  <c r="AQ159" i="1"/>
  <c r="AN159" i="1"/>
  <c r="AO159" i="1" s="1"/>
  <c r="AP159" i="1" s="1"/>
  <c r="AK159" i="1"/>
  <c r="AJ159" i="1"/>
  <c r="AH159" i="1"/>
  <c r="AG159" i="1"/>
  <c r="AC159" i="1"/>
  <c r="AA159" i="1"/>
  <c r="Z159" i="1"/>
  <c r="Y159" i="1"/>
  <c r="X159" i="1"/>
  <c r="W159" i="1"/>
  <c r="U159" i="1"/>
  <c r="T159" i="1"/>
  <c r="S159" i="1"/>
  <c r="R159" i="1"/>
  <c r="P159" i="1"/>
  <c r="O159" i="1"/>
  <c r="L159" i="1"/>
  <c r="K159" i="1"/>
  <c r="H159" i="1"/>
  <c r="G159" i="1"/>
  <c r="F159" i="1"/>
  <c r="E159" i="1"/>
  <c r="D159" i="1"/>
  <c r="C159" i="1"/>
  <c r="AT158" i="1"/>
  <c r="AS158" i="1"/>
  <c r="AQ158" i="1"/>
  <c r="AN158" i="1"/>
  <c r="AO158" i="1" s="1"/>
  <c r="AP158" i="1" s="1"/>
  <c r="AK158" i="1"/>
  <c r="AJ158" i="1"/>
  <c r="AH158" i="1"/>
  <c r="AG158" i="1"/>
  <c r="AC158" i="1"/>
  <c r="AA158" i="1"/>
  <c r="Z158" i="1"/>
  <c r="Y158" i="1"/>
  <c r="X158" i="1"/>
  <c r="W158" i="1"/>
  <c r="U158" i="1"/>
  <c r="T158" i="1"/>
  <c r="S158" i="1"/>
  <c r="R158" i="1"/>
  <c r="P158" i="1"/>
  <c r="O158" i="1"/>
  <c r="L158" i="1"/>
  <c r="K158" i="1"/>
  <c r="H158" i="1"/>
  <c r="G158" i="1"/>
  <c r="F158" i="1"/>
  <c r="E158" i="1"/>
  <c r="D158" i="1"/>
  <c r="C158" i="1"/>
  <c r="AT157" i="1"/>
  <c r="AS157" i="1"/>
  <c r="AQ157" i="1"/>
  <c r="AN157" i="1"/>
  <c r="AO157" i="1" s="1"/>
  <c r="AP157" i="1" s="1"/>
  <c r="AK157" i="1"/>
  <c r="AJ157" i="1"/>
  <c r="AH157" i="1"/>
  <c r="AG157" i="1"/>
  <c r="AC157" i="1"/>
  <c r="AA157" i="1"/>
  <c r="Z157" i="1"/>
  <c r="Y157" i="1"/>
  <c r="X157" i="1"/>
  <c r="W157" i="1"/>
  <c r="U157" i="1"/>
  <c r="T157" i="1"/>
  <c r="S157" i="1"/>
  <c r="R157" i="1"/>
  <c r="P157" i="1"/>
  <c r="O157" i="1"/>
  <c r="L157" i="1"/>
  <c r="K157" i="1"/>
  <c r="H157" i="1"/>
  <c r="G157" i="1"/>
  <c r="F157" i="1"/>
  <c r="E157" i="1"/>
  <c r="D157" i="1"/>
  <c r="C157" i="1"/>
  <c r="AT156" i="1"/>
  <c r="AS156" i="1"/>
  <c r="AQ156" i="1"/>
  <c r="AN156" i="1"/>
  <c r="AO156" i="1" s="1"/>
  <c r="AP156" i="1" s="1"/>
  <c r="AK156" i="1"/>
  <c r="AJ156" i="1"/>
  <c r="AH156" i="1"/>
  <c r="AG156" i="1"/>
  <c r="AC156" i="1"/>
  <c r="AA156" i="1"/>
  <c r="Z156" i="1"/>
  <c r="Y156" i="1"/>
  <c r="X156" i="1"/>
  <c r="W156" i="1"/>
  <c r="U156" i="1"/>
  <c r="T156" i="1"/>
  <c r="S156" i="1"/>
  <c r="R156" i="1"/>
  <c r="P156" i="1"/>
  <c r="O156" i="1"/>
  <c r="L156" i="1"/>
  <c r="K156" i="1"/>
  <c r="H156" i="1"/>
  <c r="G156" i="1"/>
  <c r="F156" i="1"/>
  <c r="E156" i="1"/>
  <c r="D156" i="1"/>
  <c r="C156" i="1"/>
  <c r="AT155" i="1"/>
  <c r="AS155" i="1"/>
  <c r="AQ155" i="1"/>
  <c r="AN155" i="1"/>
  <c r="AO155" i="1" s="1"/>
  <c r="AP155" i="1" s="1"/>
  <c r="AK155" i="1"/>
  <c r="AJ155" i="1"/>
  <c r="AH155" i="1"/>
  <c r="AG155" i="1"/>
  <c r="AC155" i="1"/>
  <c r="AA155" i="1"/>
  <c r="Z155" i="1"/>
  <c r="Y155" i="1"/>
  <c r="X155" i="1"/>
  <c r="W155" i="1"/>
  <c r="U155" i="1"/>
  <c r="T155" i="1"/>
  <c r="S155" i="1"/>
  <c r="R155" i="1"/>
  <c r="P155" i="1"/>
  <c r="O155" i="1"/>
  <c r="L155" i="1"/>
  <c r="K155" i="1"/>
  <c r="H155" i="1"/>
  <c r="G155" i="1"/>
  <c r="F155" i="1"/>
  <c r="E155" i="1"/>
  <c r="D155" i="1"/>
  <c r="C155" i="1"/>
  <c r="AT154" i="1"/>
  <c r="AS154" i="1"/>
  <c r="AQ154" i="1"/>
  <c r="AN154" i="1"/>
  <c r="AO154" i="1" s="1"/>
  <c r="AP154" i="1" s="1"/>
  <c r="AK154" i="1"/>
  <c r="AJ154" i="1"/>
  <c r="AH154" i="1"/>
  <c r="AG154" i="1"/>
  <c r="AC154" i="1"/>
  <c r="AA154" i="1"/>
  <c r="Z154" i="1"/>
  <c r="Y154" i="1"/>
  <c r="X154" i="1"/>
  <c r="W154" i="1"/>
  <c r="U154" i="1"/>
  <c r="T154" i="1"/>
  <c r="S154" i="1"/>
  <c r="R154" i="1"/>
  <c r="P154" i="1"/>
  <c r="O154" i="1"/>
  <c r="L154" i="1"/>
  <c r="K154" i="1"/>
  <c r="H154" i="1"/>
  <c r="G154" i="1"/>
  <c r="F154" i="1"/>
  <c r="E154" i="1"/>
  <c r="D154" i="1"/>
  <c r="C154" i="1"/>
  <c r="AT153" i="1"/>
  <c r="AS153" i="1"/>
  <c r="AQ153" i="1"/>
  <c r="AN153" i="1"/>
  <c r="AO153" i="1" s="1"/>
  <c r="AP153" i="1" s="1"/>
  <c r="AK153" i="1"/>
  <c r="AJ153" i="1"/>
  <c r="AH153" i="1"/>
  <c r="AG153" i="1"/>
  <c r="AC153" i="1"/>
  <c r="AA153" i="1"/>
  <c r="Z153" i="1"/>
  <c r="Y153" i="1"/>
  <c r="X153" i="1"/>
  <c r="W153" i="1"/>
  <c r="U153" i="1"/>
  <c r="T153" i="1"/>
  <c r="S153" i="1"/>
  <c r="R153" i="1"/>
  <c r="P153" i="1"/>
  <c r="O153" i="1"/>
  <c r="L153" i="1"/>
  <c r="K153" i="1"/>
  <c r="H153" i="1"/>
  <c r="G153" i="1"/>
  <c r="F153" i="1"/>
  <c r="E153" i="1"/>
  <c r="D153" i="1"/>
  <c r="C153" i="1"/>
  <c r="AT152" i="1"/>
  <c r="AS152" i="1"/>
  <c r="AQ152" i="1"/>
  <c r="AN152" i="1"/>
  <c r="AO152" i="1" s="1"/>
  <c r="AP152" i="1" s="1"/>
  <c r="AK152" i="1"/>
  <c r="AJ152" i="1"/>
  <c r="AH152" i="1"/>
  <c r="AG152" i="1"/>
  <c r="AC152" i="1"/>
  <c r="AA152" i="1"/>
  <c r="Z152" i="1"/>
  <c r="Y152" i="1"/>
  <c r="X152" i="1"/>
  <c r="W152" i="1"/>
  <c r="U152" i="1"/>
  <c r="T152" i="1"/>
  <c r="S152" i="1"/>
  <c r="R152" i="1"/>
  <c r="P152" i="1"/>
  <c r="O152" i="1"/>
  <c r="L152" i="1"/>
  <c r="K152" i="1"/>
  <c r="H152" i="1"/>
  <c r="G152" i="1"/>
  <c r="F152" i="1"/>
  <c r="E152" i="1"/>
  <c r="D152" i="1"/>
  <c r="C152" i="1"/>
  <c r="AT151" i="1"/>
  <c r="AS151" i="1"/>
  <c r="AQ151" i="1"/>
  <c r="AN151" i="1"/>
  <c r="AO151" i="1" s="1"/>
  <c r="AP151" i="1" s="1"/>
  <c r="AK151" i="1"/>
  <c r="AJ151" i="1"/>
  <c r="AH151" i="1"/>
  <c r="AG151" i="1"/>
  <c r="AC151" i="1"/>
  <c r="AA151" i="1"/>
  <c r="Z151" i="1"/>
  <c r="Y151" i="1"/>
  <c r="X151" i="1"/>
  <c r="W151" i="1"/>
  <c r="U151" i="1"/>
  <c r="T151" i="1"/>
  <c r="S151" i="1"/>
  <c r="R151" i="1"/>
  <c r="P151" i="1"/>
  <c r="O151" i="1"/>
  <c r="L151" i="1"/>
  <c r="K151" i="1"/>
  <c r="H151" i="1"/>
  <c r="G151" i="1"/>
  <c r="F151" i="1"/>
  <c r="E151" i="1"/>
  <c r="D151" i="1"/>
  <c r="C151" i="1"/>
  <c r="AT150" i="1"/>
  <c r="AS150" i="1"/>
  <c r="AQ150" i="1"/>
  <c r="AN150" i="1"/>
  <c r="AO150" i="1" s="1"/>
  <c r="AP150" i="1" s="1"/>
  <c r="AK150" i="1"/>
  <c r="AJ150" i="1"/>
  <c r="AH150" i="1"/>
  <c r="AG150" i="1"/>
  <c r="AC150" i="1"/>
  <c r="AA150" i="1"/>
  <c r="Z150" i="1"/>
  <c r="Y150" i="1"/>
  <c r="X150" i="1"/>
  <c r="W150" i="1"/>
  <c r="U150" i="1"/>
  <c r="T150" i="1"/>
  <c r="S150" i="1"/>
  <c r="R150" i="1"/>
  <c r="P150" i="1"/>
  <c r="O150" i="1"/>
  <c r="L150" i="1"/>
  <c r="K150" i="1"/>
  <c r="H150" i="1"/>
  <c r="G150" i="1"/>
  <c r="F150" i="1"/>
  <c r="E150" i="1"/>
  <c r="D150" i="1"/>
  <c r="C150" i="1"/>
  <c r="AT149" i="1"/>
  <c r="AS149" i="1"/>
  <c r="AQ149" i="1"/>
  <c r="AN149" i="1"/>
  <c r="AO149" i="1" s="1"/>
  <c r="AP149" i="1" s="1"/>
  <c r="AK149" i="1"/>
  <c r="AJ149" i="1"/>
  <c r="AH149" i="1"/>
  <c r="AG149" i="1"/>
  <c r="AC149" i="1"/>
  <c r="AA149" i="1"/>
  <c r="Z149" i="1"/>
  <c r="Y149" i="1"/>
  <c r="X149" i="1"/>
  <c r="W149" i="1"/>
  <c r="U149" i="1"/>
  <c r="T149" i="1"/>
  <c r="S149" i="1"/>
  <c r="R149" i="1"/>
  <c r="P149" i="1"/>
  <c r="O149" i="1"/>
  <c r="L149" i="1"/>
  <c r="K149" i="1"/>
  <c r="H149" i="1"/>
  <c r="G149" i="1"/>
  <c r="F149" i="1"/>
  <c r="E149" i="1"/>
  <c r="D149" i="1"/>
  <c r="C149" i="1"/>
  <c r="AT148" i="1"/>
  <c r="AS148" i="1"/>
  <c r="AQ148" i="1"/>
  <c r="AN148" i="1"/>
  <c r="AO148" i="1" s="1"/>
  <c r="AP148" i="1" s="1"/>
  <c r="AK148" i="1"/>
  <c r="AJ148" i="1"/>
  <c r="AH148" i="1"/>
  <c r="AG148" i="1"/>
  <c r="AC148" i="1"/>
  <c r="AA148" i="1"/>
  <c r="Z148" i="1"/>
  <c r="Y148" i="1"/>
  <c r="X148" i="1"/>
  <c r="W148" i="1"/>
  <c r="U148" i="1"/>
  <c r="T148" i="1"/>
  <c r="S148" i="1"/>
  <c r="R148" i="1"/>
  <c r="P148" i="1"/>
  <c r="O148" i="1"/>
  <c r="L148" i="1"/>
  <c r="K148" i="1"/>
  <c r="H148" i="1"/>
  <c r="G148" i="1"/>
  <c r="F148" i="1"/>
  <c r="E148" i="1"/>
  <c r="D148" i="1"/>
  <c r="C148" i="1"/>
  <c r="AT147" i="1"/>
  <c r="AS147" i="1"/>
  <c r="AQ147" i="1"/>
  <c r="AN147" i="1"/>
  <c r="AO147" i="1" s="1"/>
  <c r="AP147" i="1" s="1"/>
  <c r="AK147" i="1"/>
  <c r="AJ147" i="1"/>
  <c r="AH147" i="1"/>
  <c r="AG147" i="1"/>
  <c r="AC147" i="1"/>
  <c r="AA147" i="1"/>
  <c r="Z147" i="1"/>
  <c r="Y147" i="1"/>
  <c r="X147" i="1"/>
  <c r="W147" i="1"/>
  <c r="U147" i="1"/>
  <c r="T147" i="1"/>
  <c r="S147" i="1"/>
  <c r="R147" i="1"/>
  <c r="P147" i="1"/>
  <c r="O147" i="1"/>
  <c r="L147" i="1"/>
  <c r="K147" i="1"/>
  <c r="H147" i="1"/>
  <c r="G147" i="1"/>
  <c r="F147" i="1"/>
  <c r="E147" i="1"/>
  <c r="D147" i="1"/>
  <c r="C147" i="1"/>
  <c r="AT146" i="1"/>
  <c r="AS146" i="1"/>
  <c r="AQ146" i="1"/>
  <c r="AN146" i="1"/>
  <c r="AO146" i="1" s="1"/>
  <c r="AP146" i="1" s="1"/>
  <c r="AK146" i="1"/>
  <c r="AJ146" i="1"/>
  <c r="AH146" i="1"/>
  <c r="AG146" i="1"/>
  <c r="AC146" i="1"/>
  <c r="AA146" i="1"/>
  <c r="Z146" i="1"/>
  <c r="Y146" i="1"/>
  <c r="X146" i="1"/>
  <c r="W146" i="1"/>
  <c r="U146" i="1"/>
  <c r="T146" i="1"/>
  <c r="S146" i="1"/>
  <c r="R146" i="1"/>
  <c r="P146" i="1"/>
  <c r="O146" i="1"/>
  <c r="L146" i="1"/>
  <c r="K146" i="1"/>
  <c r="H146" i="1"/>
  <c r="G146" i="1"/>
  <c r="F146" i="1"/>
  <c r="E146" i="1"/>
  <c r="D146" i="1"/>
  <c r="C146" i="1"/>
  <c r="AT145" i="1"/>
  <c r="AS145" i="1"/>
  <c r="AQ145" i="1"/>
  <c r="AN145" i="1"/>
  <c r="AO145" i="1" s="1"/>
  <c r="AP145" i="1" s="1"/>
  <c r="AK145" i="1"/>
  <c r="AJ145" i="1"/>
  <c r="AH145" i="1"/>
  <c r="AG145" i="1"/>
  <c r="AC145" i="1"/>
  <c r="AA145" i="1"/>
  <c r="Z145" i="1"/>
  <c r="Y145" i="1"/>
  <c r="X145" i="1"/>
  <c r="W145" i="1"/>
  <c r="U145" i="1"/>
  <c r="T145" i="1"/>
  <c r="S145" i="1"/>
  <c r="R145" i="1"/>
  <c r="P145" i="1"/>
  <c r="O145" i="1"/>
  <c r="L145" i="1"/>
  <c r="K145" i="1"/>
  <c r="H145" i="1"/>
  <c r="G145" i="1"/>
  <c r="F145" i="1"/>
  <c r="E145" i="1"/>
  <c r="D145" i="1"/>
  <c r="C145" i="1"/>
  <c r="AT144" i="1"/>
  <c r="AS144" i="1"/>
  <c r="AQ144" i="1"/>
  <c r="AN144" i="1"/>
  <c r="AO144" i="1" s="1"/>
  <c r="AP144" i="1" s="1"/>
  <c r="AK144" i="1"/>
  <c r="AJ144" i="1"/>
  <c r="AH144" i="1"/>
  <c r="AG144" i="1"/>
  <c r="AC144" i="1"/>
  <c r="AA144" i="1"/>
  <c r="Z144" i="1"/>
  <c r="Y144" i="1"/>
  <c r="X144" i="1"/>
  <c r="W144" i="1"/>
  <c r="U144" i="1"/>
  <c r="T144" i="1"/>
  <c r="S144" i="1"/>
  <c r="R144" i="1"/>
  <c r="P144" i="1"/>
  <c r="O144" i="1"/>
  <c r="L144" i="1"/>
  <c r="K144" i="1"/>
  <c r="H144" i="1"/>
  <c r="G144" i="1"/>
  <c r="F144" i="1"/>
  <c r="E144" i="1"/>
  <c r="D144" i="1"/>
  <c r="C144" i="1"/>
  <c r="AT143" i="1"/>
  <c r="AS143" i="1"/>
  <c r="AQ143" i="1"/>
  <c r="AN143" i="1"/>
  <c r="AO143" i="1" s="1"/>
  <c r="AP143" i="1" s="1"/>
  <c r="AK143" i="1"/>
  <c r="AJ143" i="1"/>
  <c r="AH143" i="1"/>
  <c r="AG143" i="1"/>
  <c r="AC143" i="1"/>
  <c r="AA143" i="1"/>
  <c r="Z143" i="1"/>
  <c r="Y143" i="1"/>
  <c r="X143" i="1"/>
  <c r="W143" i="1"/>
  <c r="U143" i="1"/>
  <c r="T143" i="1"/>
  <c r="S143" i="1"/>
  <c r="R143" i="1"/>
  <c r="P143" i="1"/>
  <c r="O143" i="1"/>
  <c r="L143" i="1"/>
  <c r="K143" i="1"/>
  <c r="H143" i="1"/>
  <c r="G143" i="1"/>
  <c r="F143" i="1"/>
  <c r="E143" i="1"/>
  <c r="D143" i="1"/>
  <c r="C143" i="1"/>
  <c r="AT142" i="1"/>
  <c r="AS142" i="1"/>
  <c r="AQ142" i="1"/>
  <c r="AN142" i="1"/>
  <c r="AO142" i="1" s="1"/>
  <c r="AP142" i="1" s="1"/>
  <c r="AK142" i="1"/>
  <c r="AJ142" i="1"/>
  <c r="AH142" i="1"/>
  <c r="AG142" i="1"/>
  <c r="AC142" i="1"/>
  <c r="AA142" i="1"/>
  <c r="Z142" i="1"/>
  <c r="Y142" i="1"/>
  <c r="X142" i="1"/>
  <c r="W142" i="1"/>
  <c r="U142" i="1"/>
  <c r="T142" i="1"/>
  <c r="S142" i="1"/>
  <c r="R142" i="1"/>
  <c r="P142" i="1"/>
  <c r="O142" i="1"/>
  <c r="L142" i="1"/>
  <c r="K142" i="1"/>
  <c r="H142" i="1"/>
  <c r="G142" i="1"/>
  <c r="F142" i="1"/>
  <c r="E142" i="1"/>
  <c r="D142" i="1"/>
  <c r="C142" i="1"/>
  <c r="AT141" i="1"/>
  <c r="AS141" i="1"/>
  <c r="AQ141" i="1"/>
  <c r="AN141" i="1"/>
  <c r="AO141" i="1" s="1"/>
  <c r="AP141" i="1" s="1"/>
  <c r="AK141" i="1"/>
  <c r="AJ141" i="1"/>
  <c r="AH141" i="1"/>
  <c r="AG141" i="1"/>
  <c r="AC141" i="1"/>
  <c r="AA141" i="1"/>
  <c r="Z141" i="1"/>
  <c r="Y141" i="1"/>
  <c r="X141" i="1"/>
  <c r="W141" i="1"/>
  <c r="U141" i="1"/>
  <c r="T141" i="1"/>
  <c r="S141" i="1"/>
  <c r="R141" i="1"/>
  <c r="P141" i="1"/>
  <c r="O141" i="1"/>
  <c r="L141" i="1"/>
  <c r="K141" i="1"/>
  <c r="H141" i="1"/>
  <c r="G141" i="1"/>
  <c r="F141" i="1"/>
  <c r="E141" i="1"/>
  <c r="D141" i="1"/>
  <c r="C141" i="1"/>
  <c r="AT140" i="1"/>
  <c r="AS140" i="1"/>
  <c r="AQ140" i="1"/>
  <c r="AN140" i="1"/>
  <c r="AO140" i="1" s="1"/>
  <c r="AP140" i="1" s="1"/>
  <c r="AK140" i="1"/>
  <c r="AJ140" i="1"/>
  <c r="AH140" i="1"/>
  <c r="AG140" i="1"/>
  <c r="AC140" i="1"/>
  <c r="AA140" i="1"/>
  <c r="Z140" i="1"/>
  <c r="Y140" i="1"/>
  <c r="X140" i="1"/>
  <c r="W140" i="1"/>
  <c r="U140" i="1"/>
  <c r="T140" i="1"/>
  <c r="S140" i="1"/>
  <c r="R140" i="1"/>
  <c r="P140" i="1"/>
  <c r="O140" i="1"/>
  <c r="L140" i="1"/>
  <c r="K140" i="1"/>
  <c r="H140" i="1"/>
  <c r="G140" i="1"/>
  <c r="F140" i="1"/>
  <c r="E140" i="1"/>
  <c r="D140" i="1"/>
  <c r="C140" i="1"/>
  <c r="AT139" i="1"/>
  <c r="AS139" i="1"/>
  <c r="AQ139" i="1"/>
  <c r="AN139" i="1"/>
  <c r="AO139" i="1" s="1"/>
  <c r="AP139" i="1" s="1"/>
  <c r="AK139" i="1"/>
  <c r="AJ139" i="1"/>
  <c r="AH139" i="1"/>
  <c r="AG139" i="1"/>
  <c r="AC139" i="1"/>
  <c r="AA139" i="1"/>
  <c r="Z139" i="1"/>
  <c r="Y139" i="1"/>
  <c r="X139" i="1"/>
  <c r="W139" i="1"/>
  <c r="U139" i="1"/>
  <c r="T139" i="1"/>
  <c r="S139" i="1"/>
  <c r="R139" i="1"/>
  <c r="P139" i="1"/>
  <c r="O139" i="1"/>
  <c r="L139" i="1"/>
  <c r="K139" i="1"/>
  <c r="H139" i="1"/>
  <c r="G139" i="1"/>
  <c r="F139" i="1"/>
  <c r="E139" i="1"/>
  <c r="D139" i="1"/>
  <c r="C139" i="1"/>
  <c r="AT138" i="1"/>
  <c r="AS138" i="1"/>
  <c r="AQ138" i="1"/>
  <c r="AN138" i="1"/>
  <c r="AO138" i="1" s="1"/>
  <c r="AP138" i="1" s="1"/>
  <c r="AK138" i="1"/>
  <c r="AJ138" i="1"/>
  <c r="AH138" i="1"/>
  <c r="AG138" i="1"/>
  <c r="AC138" i="1"/>
  <c r="AA138" i="1"/>
  <c r="Z138" i="1"/>
  <c r="Y138" i="1"/>
  <c r="X138" i="1"/>
  <c r="W138" i="1"/>
  <c r="U138" i="1"/>
  <c r="T138" i="1"/>
  <c r="S138" i="1"/>
  <c r="R138" i="1"/>
  <c r="P138" i="1"/>
  <c r="O138" i="1"/>
  <c r="L138" i="1"/>
  <c r="K138" i="1"/>
  <c r="H138" i="1"/>
  <c r="G138" i="1"/>
  <c r="F138" i="1"/>
  <c r="E138" i="1"/>
  <c r="D138" i="1"/>
  <c r="C138" i="1"/>
  <c r="AT137" i="1"/>
  <c r="AS137" i="1"/>
  <c r="AQ137" i="1"/>
  <c r="AN137" i="1"/>
  <c r="AO137" i="1" s="1"/>
  <c r="AP137" i="1" s="1"/>
  <c r="AK137" i="1"/>
  <c r="AJ137" i="1"/>
  <c r="AH137" i="1"/>
  <c r="AG137" i="1"/>
  <c r="AC137" i="1"/>
  <c r="AA137" i="1"/>
  <c r="Z137" i="1"/>
  <c r="Y137" i="1"/>
  <c r="X137" i="1"/>
  <c r="W137" i="1"/>
  <c r="U137" i="1"/>
  <c r="T137" i="1"/>
  <c r="S137" i="1"/>
  <c r="R137" i="1"/>
  <c r="P137" i="1"/>
  <c r="O137" i="1"/>
  <c r="L137" i="1"/>
  <c r="K137" i="1"/>
  <c r="H137" i="1"/>
  <c r="G137" i="1"/>
  <c r="F137" i="1"/>
  <c r="E137" i="1"/>
  <c r="D137" i="1"/>
  <c r="C137" i="1"/>
  <c r="AT136" i="1"/>
  <c r="AS136" i="1"/>
  <c r="AQ136" i="1"/>
  <c r="AN136" i="1"/>
  <c r="AO136" i="1" s="1"/>
  <c r="AP136" i="1" s="1"/>
  <c r="AK136" i="1"/>
  <c r="AJ136" i="1"/>
  <c r="AH136" i="1"/>
  <c r="AG136" i="1"/>
  <c r="AC136" i="1"/>
  <c r="AA136" i="1"/>
  <c r="Z136" i="1"/>
  <c r="Y136" i="1"/>
  <c r="X136" i="1"/>
  <c r="W136" i="1"/>
  <c r="U136" i="1"/>
  <c r="T136" i="1"/>
  <c r="S136" i="1"/>
  <c r="R136" i="1"/>
  <c r="P136" i="1"/>
  <c r="O136" i="1"/>
  <c r="L136" i="1"/>
  <c r="K136" i="1"/>
  <c r="H136" i="1"/>
  <c r="G136" i="1"/>
  <c r="F136" i="1"/>
  <c r="E136" i="1"/>
  <c r="D136" i="1"/>
  <c r="C136" i="1"/>
  <c r="AT135" i="1"/>
  <c r="AS135" i="1"/>
  <c r="AQ135" i="1"/>
  <c r="AN135" i="1"/>
  <c r="AO135" i="1" s="1"/>
  <c r="AP135" i="1" s="1"/>
  <c r="AK135" i="1"/>
  <c r="AJ135" i="1"/>
  <c r="AH135" i="1"/>
  <c r="AG135" i="1"/>
  <c r="AC135" i="1"/>
  <c r="AA135" i="1"/>
  <c r="Z135" i="1"/>
  <c r="Y135" i="1"/>
  <c r="X135" i="1"/>
  <c r="W135" i="1"/>
  <c r="U135" i="1"/>
  <c r="T135" i="1"/>
  <c r="S135" i="1"/>
  <c r="R135" i="1"/>
  <c r="P135" i="1"/>
  <c r="O135" i="1"/>
  <c r="L135" i="1"/>
  <c r="K135" i="1"/>
  <c r="H135" i="1"/>
  <c r="G135" i="1"/>
  <c r="F135" i="1"/>
  <c r="E135" i="1"/>
  <c r="D135" i="1"/>
  <c r="C135" i="1"/>
  <c r="AT134" i="1"/>
  <c r="AS134" i="1"/>
  <c r="AQ134" i="1"/>
  <c r="AN134" i="1"/>
  <c r="AO134" i="1" s="1"/>
  <c r="AP134" i="1" s="1"/>
  <c r="AK134" i="1"/>
  <c r="AJ134" i="1"/>
  <c r="AH134" i="1"/>
  <c r="AG134" i="1"/>
  <c r="AC134" i="1"/>
  <c r="AA134" i="1"/>
  <c r="Z134" i="1"/>
  <c r="Y134" i="1"/>
  <c r="X134" i="1"/>
  <c r="W134" i="1"/>
  <c r="U134" i="1"/>
  <c r="T134" i="1"/>
  <c r="S134" i="1"/>
  <c r="R134" i="1"/>
  <c r="P134" i="1"/>
  <c r="O134" i="1"/>
  <c r="L134" i="1"/>
  <c r="K134" i="1"/>
  <c r="H134" i="1"/>
  <c r="G134" i="1"/>
  <c r="F134" i="1"/>
  <c r="E134" i="1"/>
  <c r="D134" i="1"/>
  <c r="C134" i="1"/>
  <c r="AT133" i="1"/>
  <c r="AS133" i="1"/>
  <c r="AQ133" i="1"/>
  <c r="AN133" i="1"/>
  <c r="AO133" i="1" s="1"/>
  <c r="AP133" i="1" s="1"/>
  <c r="AK133" i="1"/>
  <c r="AJ133" i="1"/>
  <c r="AH133" i="1"/>
  <c r="AG133" i="1"/>
  <c r="AC133" i="1"/>
  <c r="AA133" i="1"/>
  <c r="Z133" i="1"/>
  <c r="Y133" i="1"/>
  <c r="X133" i="1"/>
  <c r="W133" i="1"/>
  <c r="U133" i="1"/>
  <c r="T133" i="1"/>
  <c r="S133" i="1"/>
  <c r="R133" i="1"/>
  <c r="P133" i="1"/>
  <c r="O133" i="1"/>
  <c r="L133" i="1"/>
  <c r="K133" i="1"/>
  <c r="H133" i="1"/>
  <c r="G133" i="1"/>
  <c r="F133" i="1"/>
  <c r="E133" i="1"/>
  <c r="D133" i="1"/>
  <c r="C133" i="1"/>
  <c r="AT132" i="1"/>
  <c r="AS132" i="1"/>
  <c r="AQ132" i="1"/>
  <c r="AN132" i="1"/>
  <c r="AO132" i="1" s="1"/>
  <c r="AP132" i="1" s="1"/>
  <c r="AK132" i="1"/>
  <c r="AJ132" i="1"/>
  <c r="AH132" i="1"/>
  <c r="AG132" i="1"/>
  <c r="AC132" i="1"/>
  <c r="AA132" i="1"/>
  <c r="Z132" i="1"/>
  <c r="Y132" i="1"/>
  <c r="X132" i="1"/>
  <c r="W132" i="1"/>
  <c r="U132" i="1"/>
  <c r="T132" i="1"/>
  <c r="S132" i="1"/>
  <c r="R132" i="1"/>
  <c r="P132" i="1"/>
  <c r="O132" i="1"/>
  <c r="L132" i="1"/>
  <c r="K132" i="1"/>
  <c r="H132" i="1"/>
  <c r="G132" i="1"/>
  <c r="F132" i="1"/>
  <c r="E132" i="1"/>
  <c r="D132" i="1"/>
  <c r="C132" i="1"/>
  <c r="AT131" i="1"/>
  <c r="AS131" i="1"/>
  <c r="AQ131" i="1"/>
  <c r="AN131" i="1"/>
  <c r="AO131" i="1" s="1"/>
  <c r="AP131" i="1" s="1"/>
  <c r="AK131" i="1"/>
  <c r="AJ131" i="1"/>
  <c r="AH131" i="1"/>
  <c r="AG131" i="1"/>
  <c r="AC131" i="1"/>
  <c r="AA131" i="1"/>
  <c r="Z131" i="1"/>
  <c r="Y131" i="1"/>
  <c r="X131" i="1"/>
  <c r="W131" i="1"/>
  <c r="U131" i="1"/>
  <c r="T131" i="1"/>
  <c r="S131" i="1"/>
  <c r="R131" i="1"/>
  <c r="P131" i="1"/>
  <c r="O131" i="1"/>
  <c r="L131" i="1"/>
  <c r="K131" i="1"/>
  <c r="H131" i="1"/>
  <c r="G131" i="1"/>
  <c r="F131" i="1"/>
  <c r="E131" i="1"/>
  <c r="D131" i="1"/>
  <c r="C131" i="1"/>
  <c r="AT130" i="1"/>
  <c r="AS130" i="1"/>
  <c r="AQ130" i="1"/>
  <c r="AN130" i="1"/>
  <c r="AO130" i="1" s="1"/>
  <c r="AP130" i="1" s="1"/>
  <c r="AK130" i="1"/>
  <c r="AJ130" i="1"/>
  <c r="AH130" i="1"/>
  <c r="AG130" i="1"/>
  <c r="AC130" i="1"/>
  <c r="AA130" i="1"/>
  <c r="Z130" i="1"/>
  <c r="Y130" i="1"/>
  <c r="X130" i="1"/>
  <c r="W130" i="1"/>
  <c r="U130" i="1"/>
  <c r="T130" i="1"/>
  <c r="S130" i="1"/>
  <c r="R130" i="1"/>
  <c r="P130" i="1"/>
  <c r="O130" i="1"/>
  <c r="L130" i="1"/>
  <c r="K130" i="1"/>
  <c r="H130" i="1"/>
  <c r="G130" i="1"/>
  <c r="F130" i="1"/>
  <c r="E130" i="1"/>
  <c r="D130" i="1"/>
  <c r="C130" i="1"/>
  <c r="AT129" i="1"/>
  <c r="AS129" i="1"/>
  <c r="AQ129" i="1"/>
  <c r="AN129" i="1"/>
  <c r="AO129" i="1" s="1"/>
  <c r="AP129" i="1" s="1"/>
  <c r="AK129" i="1"/>
  <c r="AJ129" i="1"/>
  <c r="AH129" i="1"/>
  <c r="AG129" i="1"/>
  <c r="AC129" i="1"/>
  <c r="AA129" i="1"/>
  <c r="Z129" i="1"/>
  <c r="Y129" i="1"/>
  <c r="X129" i="1"/>
  <c r="W129" i="1"/>
  <c r="U129" i="1"/>
  <c r="T129" i="1"/>
  <c r="S129" i="1"/>
  <c r="R129" i="1"/>
  <c r="P129" i="1"/>
  <c r="O129" i="1"/>
  <c r="L129" i="1"/>
  <c r="K129" i="1"/>
  <c r="H129" i="1"/>
  <c r="G129" i="1"/>
  <c r="F129" i="1"/>
  <c r="E129" i="1"/>
  <c r="D129" i="1"/>
  <c r="C129" i="1"/>
  <c r="AT128" i="1"/>
  <c r="AS128" i="1"/>
  <c r="AQ128" i="1"/>
  <c r="AN128" i="1"/>
  <c r="AO128" i="1" s="1"/>
  <c r="AP128" i="1" s="1"/>
  <c r="AK128" i="1"/>
  <c r="AJ128" i="1"/>
  <c r="AH128" i="1"/>
  <c r="AG128" i="1"/>
  <c r="AC128" i="1"/>
  <c r="AA128" i="1"/>
  <c r="Z128" i="1"/>
  <c r="Y128" i="1"/>
  <c r="X128" i="1"/>
  <c r="W128" i="1"/>
  <c r="U128" i="1"/>
  <c r="T128" i="1"/>
  <c r="S128" i="1"/>
  <c r="R128" i="1"/>
  <c r="P128" i="1"/>
  <c r="O128" i="1"/>
  <c r="L128" i="1"/>
  <c r="K128" i="1"/>
  <c r="H128" i="1"/>
  <c r="G128" i="1"/>
  <c r="F128" i="1"/>
  <c r="E128" i="1"/>
  <c r="D128" i="1"/>
  <c r="C128" i="1"/>
  <c r="AT127" i="1"/>
  <c r="AS127" i="1"/>
  <c r="AQ127" i="1"/>
  <c r="AN127" i="1"/>
  <c r="AO127" i="1" s="1"/>
  <c r="AP127" i="1" s="1"/>
  <c r="AK127" i="1"/>
  <c r="AJ127" i="1"/>
  <c r="AH127" i="1"/>
  <c r="AG127" i="1"/>
  <c r="AC127" i="1"/>
  <c r="AA127" i="1"/>
  <c r="Z127" i="1"/>
  <c r="Y127" i="1"/>
  <c r="X127" i="1"/>
  <c r="W127" i="1"/>
  <c r="U127" i="1"/>
  <c r="T127" i="1"/>
  <c r="S127" i="1"/>
  <c r="R127" i="1"/>
  <c r="P127" i="1"/>
  <c r="O127" i="1"/>
  <c r="L127" i="1"/>
  <c r="K127" i="1"/>
  <c r="H127" i="1"/>
  <c r="G127" i="1"/>
  <c r="F127" i="1"/>
  <c r="E127" i="1"/>
  <c r="D127" i="1"/>
  <c r="C127" i="1"/>
  <c r="AT126" i="1"/>
  <c r="AS126" i="1"/>
  <c r="AQ126" i="1"/>
  <c r="AN126" i="1"/>
  <c r="AO126" i="1" s="1"/>
  <c r="AP126" i="1" s="1"/>
  <c r="AK126" i="1"/>
  <c r="AJ126" i="1"/>
  <c r="AH126" i="1"/>
  <c r="AG126" i="1"/>
  <c r="AC126" i="1"/>
  <c r="AA126" i="1"/>
  <c r="Z126" i="1"/>
  <c r="Y126" i="1"/>
  <c r="X126" i="1"/>
  <c r="W126" i="1"/>
  <c r="U126" i="1"/>
  <c r="T126" i="1"/>
  <c r="S126" i="1"/>
  <c r="R126" i="1"/>
  <c r="P126" i="1"/>
  <c r="O126" i="1"/>
  <c r="L126" i="1"/>
  <c r="K126" i="1"/>
  <c r="H126" i="1"/>
  <c r="G126" i="1"/>
  <c r="F126" i="1"/>
  <c r="E126" i="1"/>
  <c r="D126" i="1"/>
  <c r="C126" i="1"/>
  <c r="AT125" i="1"/>
  <c r="AS125" i="1"/>
  <c r="AQ125" i="1"/>
  <c r="AN125" i="1"/>
  <c r="AO125" i="1" s="1"/>
  <c r="AP125" i="1" s="1"/>
  <c r="AK125" i="1"/>
  <c r="AJ125" i="1"/>
  <c r="AH125" i="1"/>
  <c r="AG125" i="1"/>
  <c r="AC125" i="1"/>
  <c r="AA125" i="1"/>
  <c r="Z125" i="1"/>
  <c r="Y125" i="1"/>
  <c r="X125" i="1"/>
  <c r="W125" i="1"/>
  <c r="U125" i="1"/>
  <c r="T125" i="1"/>
  <c r="S125" i="1"/>
  <c r="R125" i="1"/>
  <c r="P125" i="1"/>
  <c r="O125" i="1"/>
  <c r="L125" i="1"/>
  <c r="K125" i="1"/>
  <c r="H125" i="1"/>
  <c r="G125" i="1"/>
  <c r="F125" i="1"/>
  <c r="E125" i="1"/>
  <c r="D125" i="1"/>
  <c r="C125" i="1"/>
  <c r="AT124" i="1"/>
  <c r="AS124" i="1"/>
  <c r="AQ124" i="1"/>
  <c r="AN124" i="1"/>
  <c r="AO124" i="1" s="1"/>
  <c r="AP124" i="1" s="1"/>
  <c r="AK124" i="1"/>
  <c r="AJ124" i="1"/>
  <c r="AH124" i="1"/>
  <c r="AG124" i="1"/>
  <c r="AC124" i="1"/>
  <c r="AA124" i="1"/>
  <c r="Z124" i="1"/>
  <c r="Y124" i="1"/>
  <c r="X124" i="1"/>
  <c r="W124" i="1"/>
  <c r="U124" i="1"/>
  <c r="T124" i="1"/>
  <c r="S124" i="1"/>
  <c r="R124" i="1"/>
  <c r="P124" i="1"/>
  <c r="O124" i="1"/>
  <c r="L124" i="1"/>
  <c r="K124" i="1"/>
  <c r="H124" i="1"/>
  <c r="G124" i="1"/>
  <c r="F124" i="1"/>
  <c r="E124" i="1"/>
  <c r="D124" i="1"/>
  <c r="C124" i="1"/>
  <c r="AT123" i="1"/>
  <c r="AS123" i="1"/>
  <c r="AQ123" i="1"/>
  <c r="AN123" i="1"/>
  <c r="AO123" i="1" s="1"/>
  <c r="AP123" i="1" s="1"/>
  <c r="AK123" i="1"/>
  <c r="AJ123" i="1"/>
  <c r="AH123" i="1"/>
  <c r="AG123" i="1"/>
  <c r="AC123" i="1"/>
  <c r="AA123" i="1"/>
  <c r="Z123" i="1"/>
  <c r="Y123" i="1"/>
  <c r="X123" i="1"/>
  <c r="W123" i="1"/>
  <c r="U123" i="1"/>
  <c r="T123" i="1"/>
  <c r="S123" i="1"/>
  <c r="R123" i="1"/>
  <c r="P123" i="1"/>
  <c r="O123" i="1"/>
  <c r="L123" i="1"/>
  <c r="K123" i="1"/>
  <c r="H123" i="1"/>
  <c r="G123" i="1"/>
  <c r="F123" i="1"/>
  <c r="E123" i="1"/>
  <c r="D123" i="1"/>
  <c r="C123" i="1"/>
  <c r="AT122" i="1"/>
  <c r="AS122" i="1"/>
  <c r="AQ122" i="1"/>
  <c r="AN122" i="1"/>
  <c r="AO122" i="1" s="1"/>
  <c r="AP122" i="1" s="1"/>
  <c r="AK122" i="1"/>
  <c r="AJ122" i="1"/>
  <c r="AH122" i="1"/>
  <c r="AG122" i="1"/>
  <c r="AC122" i="1"/>
  <c r="AA122" i="1"/>
  <c r="Z122" i="1"/>
  <c r="Y122" i="1"/>
  <c r="X122" i="1"/>
  <c r="W122" i="1"/>
  <c r="U122" i="1"/>
  <c r="T122" i="1"/>
  <c r="S122" i="1"/>
  <c r="R122" i="1"/>
  <c r="P122" i="1"/>
  <c r="O122" i="1"/>
  <c r="L122" i="1"/>
  <c r="K122" i="1"/>
  <c r="H122" i="1"/>
  <c r="G122" i="1"/>
  <c r="F122" i="1"/>
  <c r="E122" i="1"/>
  <c r="D122" i="1"/>
  <c r="C122" i="1"/>
  <c r="AT121" i="1"/>
  <c r="AS121" i="1"/>
  <c r="AQ121" i="1"/>
  <c r="AN121" i="1"/>
  <c r="AO121" i="1" s="1"/>
  <c r="AP121" i="1" s="1"/>
  <c r="AM121" i="1"/>
  <c r="AL121" i="1"/>
  <c r="AK121" i="1"/>
  <c r="AJ121" i="1"/>
  <c r="AI121" i="1"/>
  <c r="AH121" i="1"/>
  <c r="AG121" i="1"/>
  <c r="AC121" i="1"/>
  <c r="AA121" i="1"/>
  <c r="Z121" i="1"/>
  <c r="Y121" i="1"/>
  <c r="X121" i="1"/>
  <c r="W121" i="1"/>
  <c r="U121" i="1"/>
  <c r="T121" i="1"/>
  <c r="S121" i="1"/>
  <c r="R121" i="1"/>
  <c r="P121" i="1"/>
  <c r="O121" i="1"/>
  <c r="L121" i="1"/>
  <c r="K121" i="1"/>
  <c r="H121" i="1"/>
  <c r="G121" i="1"/>
  <c r="F121" i="1"/>
  <c r="E121" i="1"/>
  <c r="D121" i="1"/>
  <c r="C121" i="1"/>
  <c r="AT120" i="1"/>
  <c r="AS120" i="1"/>
  <c r="AQ120" i="1"/>
  <c r="AN120" i="1"/>
  <c r="AO120" i="1" s="1"/>
  <c r="AP120" i="1" s="1"/>
  <c r="AK120" i="1"/>
  <c r="AJ120" i="1"/>
  <c r="AH120" i="1"/>
  <c r="AG120" i="1"/>
  <c r="AC120" i="1"/>
  <c r="AA120" i="1"/>
  <c r="Z120" i="1"/>
  <c r="Y120" i="1"/>
  <c r="X120" i="1"/>
  <c r="W120" i="1"/>
  <c r="U120" i="1"/>
  <c r="T120" i="1"/>
  <c r="S120" i="1"/>
  <c r="R120" i="1"/>
  <c r="P120" i="1"/>
  <c r="O120" i="1"/>
  <c r="L120" i="1"/>
  <c r="K120" i="1"/>
  <c r="H120" i="1"/>
  <c r="G120" i="1"/>
  <c r="F120" i="1"/>
  <c r="E120" i="1"/>
  <c r="D120" i="1"/>
  <c r="C120" i="1"/>
  <c r="AT119" i="1"/>
  <c r="AS119" i="1"/>
  <c r="AQ119" i="1"/>
  <c r="AN119" i="1"/>
  <c r="AO119" i="1" s="1"/>
  <c r="AP119" i="1" s="1"/>
  <c r="AK119" i="1"/>
  <c r="AJ119" i="1"/>
  <c r="AH119" i="1"/>
  <c r="AG119" i="1"/>
  <c r="AC119" i="1"/>
  <c r="AA119" i="1"/>
  <c r="Z119" i="1"/>
  <c r="Y119" i="1"/>
  <c r="X119" i="1"/>
  <c r="W119" i="1"/>
  <c r="U119" i="1"/>
  <c r="T119" i="1"/>
  <c r="S119" i="1"/>
  <c r="R119" i="1"/>
  <c r="P119" i="1"/>
  <c r="O119" i="1"/>
  <c r="L119" i="1"/>
  <c r="K119" i="1"/>
  <c r="H119" i="1"/>
  <c r="G119" i="1"/>
  <c r="F119" i="1"/>
  <c r="E119" i="1"/>
  <c r="D119" i="1"/>
  <c r="C119" i="1"/>
  <c r="AT118" i="1"/>
  <c r="AS118" i="1"/>
  <c r="AQ118" i="1"/>
  <c r="AN118" i="1"/>
  <c r="AO118" i="1" s="1"/>
  <c r="AP118" i="1" s="1"/>
  <c r="AK118" i="1"/>
  <c r="AJ118" i="1"/>
  <c r="AH118" i="1"/>
  <c r="AG118" i="1"/>
  <c r="AC118" i="1"/>
  <c r="AA118" i="1"/>
  <c r="Z118" i="1"/>
  <c r="Y118" i="1"/>
  <c r="X118" i="1"/>
  <c r="W118" i="1"/>
  <c r="U118" i="1"/>
  <c r="T118" i="1"/>
  <c r="S118" i="1"/>
  <c r="R118" i="1"/>
  <c r="P118" i="1"/>
  <c r="O118" i="1"/>
  <c r="L118" i="1"/>
  <c r="K118" i="1"/>
  <c r="H118" i="1"/>
  <c r="G118" i="1"/>
  <c r="F118" i="1"/>
  <c r="E118" i="1"/>
  <c r="D118" i="1"/>
  <c r="C118" i="1"/>
  <c r="AT117" i="1"/>
  <c r="AS117" i="1"/>
  <c r="AQ117" i="1"/>
  <c r="AN117" i="1"/>
  <c r="AO117" i="1" s="1"/>
  <c r="AP117" i="1" s="1"/>
  <c r="AK117" i="1"/>
  <c r="AJ117" i="1"/>
  <c r="AH117" i="1"/>
  <c r="AG117" i="1"/>
  <c r="AC117" i="1"/>
  <c r="AA117" i="1"/>
  <c r="Z117" i="1"/>
  <c r="Y117" i="1"/>
  <c r="X117" i="1"/>
  <c r="W117" i="1"/>
  <c r="U117" i="1"/>
  <c r="T117" i="1"/>
  <c r="S117" i="1"/>
  <c r="R117" i="1"/>
  <c r="P117" i="1"/>
  <c r="O117" i="1"/>
  <c r="L117" i="1"/>
  <c r="K117" i="1"/>
  <c r="H117" i="1"/>
  <c r="G117" i="1"/>
  <c r="F117" i="1"/>
  <c r="E117" i="1"/>
  <c r="D117" i="1"/>
  <c r="C117" i="1"/>
  <c r="AT116" i="1"/>
  <c r="AS116" i="1"/>
  <c r="AQ116" i="1"/>
  <c r="AN116" i="1"/>
  <c r="AO116" i="1" s="1"/>
  <c r="AP116" i="1" s="1"/>
  <c r="AK116" i="1"/>
  <c r="AJ116" i="1"/>
  <c r="AH116" i="1"/>
  <c r="AG116" i="1"/>
  <c r="AC116" i="1"/>
  <c r="AA116" i="1"/>
  <c r="Z116" i="1"/>
  <c r="Y116" i="1"/>
  <c r="X116" i="1"/>
  <c r="W116" i="1"/>
  <c r="U116" i="1"/>
  <c r="T116" i="1"/>
  <c r="S116" i="1"/>
  <c r="R116" i="1"/>
  <c r="P116" i="1"/>
  <c r="O116" i="1"/>
  <c r="L116" i="1"/>
  <c r="K116" i="1"/>
  <c r="H116" i="1"/>
  <c r="G116" i="1"/>
  <c r="F116" i="1"/>
  <c r="E116" i="1"/>
  <c r="D116" i="1"/>
  <c r="C116" i="1"/>
  <c r="AT115" i="1"/>
  <c r="AS115" i="1"/>
  <c r="AQ115" i="1"/>
  <c r="AN115" i="1"/>
  <c r="AO115" i="1" s="1"/>
  <c r="AP115" i="1" s="1"/>
  <c r="AK115" i="1"/>
  <c r="AJ115" i="1"/>
  <c r="AH115" i="1"/>
  <c r="AG115" i="1"/>
  <c r="AC115" i="1"/>
  <c r="AA115" i="1"/>
  <c r="Z115" i="1"/>
  <c r="Y115" i="1"/>
  <c r="X115" i="1"/>
  <c r="W115" i="1"/>
  <c r="U115" i="1"/>
  <c r="T115" i="1"/>
  <c r="S115" i="1"/>
  <c r="R115" i="1"/>
  <c r="P115" i="1"/>
  <c r="O115" i="1"/>
  <c r="L115" i="1"/>
  <c r="K115" i="1"/>
  <c r="H115" i="1"/>
  <c r="G115" i="1"/>
  <c r="F115" i="1"/>
  <c r="E115" i="1"/>
  <c r="D115" i="1"/>
  <c r="C115" i="1"/>
  <c r="AT114" i="1"/>
  <c r="AS114" i="1"/>
  <c r="AQ114" i="1"/>
  <c r="AN114" i="1"/>
  <c r="AO114" i="1" s="1"/>
  <c r="AP114" i="1" s="1"/>
  <c r="AK114" i="1"/>
  <c r="AJ114" i="1"/>
  <c r="AH114" i="1"/>
  <c r="AG114" i="1"/>
  <c r="AC114" i="1"/>
  <c r="AA114" i="1"/>
  <c r="Z114" i="1"/>
  <c r="Y114" i="1"/>
  <c r="X114" i="1"/>
  <c r="W114" i="1"/>
  <c r="U114" i="1"/>
  <c r="T114" i="1"/>
  <c r="S114" i="1"/>
  <c r="R114" i="1"/>
  <c r="P114" i="1"/>
  <c r="O114" i="1"/>
  <c r="L114" i="1"/>
  <c r="K114" i="1"/>
  <c r="H114" i="1"/>
  <c r="G114" i="1"/>
  <c r="F114" i="1"/>
  <c r="E114" i="1"/>
  <c r="D114" i="1"/>
  <c r="C114" i="1"/>
  <c r="AT113" i="1"/>
  <c r="AS113" i="1"/>
  <c r="AQ113" i="1"/>
  <c r="AN113" i="1"/>
  <c r="AO113" i="1" s="1"/>
  <c r="AP113" i="1" s="1"/>
  <c r="AK113" i="1"/>
  <c r="AJ113" i="1"/>
  <c r="AH113" i="1"/>
  <c r="AG113" i="1"/>
  <c r="AC113" i="1"/>
  <c r="AA113" i="1"/>
  <c r="Z113" i="1"/>
  <c r="Y113" i="1"/>
  <c r="X113" i="1"/>
  <c r="W113" i="1"/>
  <c r="U113" i="1"/>
  <c r="T113" i="1"/>
  <c r="S113" i="1"/>
  <c r="R113" i="1"/>
  <c r="P113" i="1"/>
  <c r="O113" i="1"/>
  <c r="L113" i="1"/>
  <c r="K113" i="1"/>
  <c r="H113" i="1"/>
  <c r="G113" i="1"/>
  <c r="F113" i="1"/>
  <c r="E113" i="1"/>
  <c r="D113" i="1"/>
  <c r="C113" i="1"/>
  <c r="AT112" i="1"/>
  <c r="AS112" i="1"/>
  <c r="AQ112" i="1"/>
  <c r="AN112" i="1"/>
  <c r="AO112" i="1" s="1"/>
  <c r="AP112" i="1" s="1"/>
  <c r="AK112" i="1"/>
  <c r="AJ112" i="1"/>
  <c r="AH112" i="1"/>
  <c r="AG112" i="1"/>
  <c r="AC112" i="1"/>
  <c r="AA112" i="1"/>
  <c r="Z112" i="1"/>
  <c r="Y112" i="1"/>
  <c r="X112" i="1"/>
  <c r="W112" i="1"/>
  <c r="U112" i="1"/>
  <c r="T112" i="1"/>
  <c r="S112" i="1"/>
  <c r="R112" i="1"/>
  <c r="P112" i="1"/>
  <c r="O112" i="1"/>
  <c r="L112" i="1"/>
  <c r="K112" i="1"/>
  <c r="H112" i="1"/>
  <c r="G112" i="1"/>
  <c r="F112" i="1"/>
  <c r="E112" i="1"/>
  <c r="D112" i="1"/>
  <c r="C112" i="1"/>
  <c r="AT111" i="1"/>
  <c r="AS111" i="1"/>
  <c r="AQ111" i="1"/>
  <c r="AN111" i="1"/>
  <c r="AO111" i="1" s="1"/>
  <c r="AP111" i="1" s="1"/>
  <c r="AK111" i="1"/>
  <c r="AJ111" i="1"/>
  <c r="AH111" i="1"/>
  <c r="AG111" i="1"/>
  <c r="AC111" i="1"/>
  <c r="AA111" i="1"/>
  <c r="Z111" i="1"/>
  <c r="Y111" i="1"/>
  <c r="X111" i="1"/>
  <c r="W111" i="1"/>
  <c r="U111" i="1"/>
  <c r="T111" i="1"/>
  <c r="S111" i="1"/>
  <c r="R111" i="1"/>
  <c r="P111" i="1"/>
  <c r="O111" i="1"/>
  <c r="L111" i="1"/>
  <c r="K111" i="1"/>
  <c r="H111" i="1"/>
  <c r="G111" i="1"/>
  <c r="F111" i="1"/>
  <c r="E111" i="1"/>
  <c r="D111" i="1"/>
  <c r="C111" i="1"/>
  <c r="AT110" i="1"/>
  <c r="AS110" i="1"/>
  <c r="AQ110" i="1"/>
  <c r="AN110" i="1"/>
  <c r="AO110" i="1" s="1"/>
  <c r="AP110" i="1" s="1"/>
  <c r="AK110" i="1"/>
  <c r="AJ110" i="1"/>
  <c r="AH110" i="1"/>
  <c r="AG110" i="1"/>
  <c r="AC110" i="1"/>
  <c r="AA110" i="1"/>
  <c r="Z110" i="1"/>
  <c r="Y110" i="1"/>
  <c r="X110" i="1"/>
  <c r="W110" i="1"/>
  <c r="U110" i="1"/>
  <c r="T110" i="1"/>
  <c r="S110" i="1"/>
  <c r="R110" i="1"/>
  <c r="P110" i="1"/>
  <c r="O110" i="1"/>
  <c r="L110" i="1"/>
  <c r="K110" i="1"/>
  <c r="H110" i="1"/>
  <c r="G110" i="1"/>
  <c r="F110" i="1"/>
  <c r="E110" i="1"/>
  <c r="D110" i="1"/>
  <c r="C110" i="1"/>
  <c r="AT109" i="1"/>
  <c r="AS109" i="1"/>
  <c r="AQ109" i="1"/>
  <c r="AN109" i="1"/>
  <c r="AO109" i="1" s="1"/>
  <c r="AP109" i="1" s="1"/>
  <c r="AK109" i="1"/>
  <c r="AJ109" i="1"/>
  <c r="AH109" i="1"/>
  <c r="AG109" i="1"/>
  <c r="AC109" i="1"/>
  <c r="AA109" i="1"/>
  <c r="Z109" i="1"/>
  <c r="Y109" i="1"/>
  <c r="X109" i="1"/>
  <c r="W109" i="1"/>
  <c r="U109" i="1"/>
  <c r="T109" i="1"/>
  <c r="S109" i="1"/>
  <c r="R109" i="1"/>
  <c r="P109" i="1"/>
  <c r="O109" i="1"/>
  <c r="L109" i="1"/>
  <c r="K109" i="1"/>
  <c r="H109" i="1"/>
  <c r="G109" i="1"/>
  <c r="F109" i="1"/>
  <c r="E109" i="1"/>
  <c r="D109" i="1"/>
  <c r="C109" i="1"/>
  <c r="AT108" i="1"/>
  <c r="AS108" i="1"/>
  <c r="AQ108" i="1"/>
  <c r="AN108" i="1"/>
  <c r="AO108" i="1" s="1"/>
  <c r="AP108" i="1" s="1"/>
  <c r="AK108" i="1"/>
  <c r="AJ108" i="1"/>
  <c r="AH108" i="1"/>
  <c r="AG108" i="1"/>
  <c r="AC108" i="1"/>
  <c r="AA108" i="1"/>
  <c r="Z108" i="1"/>
  <c r="Y108" i="1"/>
  <c r="X108" i="1"/>
  <c r="W108" i="1"/>
  <c r="U108" i="1"/>
  <c r="T108" i="1"/>
  <c r="S108" i="1"/>
  <c r="R108" i="1"/>
  <c r="P108" i="1"/>
  <c r="O108" i="1"/>
  <c r="L108" i="1"/>
  <c r="K108" i="1"/>
  <c r="H108" i="1"/>
  <c r="G108" i="1"/>
  <c r="F108" i="1"/>
  <c r="E108" i="1"/>
  <c r="D108" i="1"/>
  <c r="C108" i="1"/>
  <c r="AT107" i="1"/>
  <c r="AS107" i="1"/>
  <c r="AQ107" i="1"/>
  <c r="AN107" i="1"/>
  <c r="AO107" i="1" s="1"/>
  <c r="AP107" i="1" s="1"/>
  <c r="AK107" i="1"/>
  <c r="AJ107" i="1"/>
  <c r="AH107" i="1"/>
  <c r="AG107" i="1"/>
  <c r="AC107" i="1"/>
  <c r="AA107" i="1"/>
  <c r="Z107" i="1"/>
  <c r="Y107" i="1"/>
  <c r="X107" i="1"/>
  <c r="W107" i="1"/>
  <c r="U107" i="1"/>
  <c r="T107" i="1"/>
  <c r="S107" i="1"/>
  <c r="R107" i="1"/>
  <c r="P107" i="1"/>
  <c r="O107" i="1"/>
  <c r="L107" i="1"/>
  <c r="K107" i="1"/>
  <c r="H107" i="1"/>
  <c r="G107" i="1"/>
  <c r="F107" i="1"/>
  <c r="E107" i="1"/>
  <c r="D107" i="1"/>
  <c r="C107" i="1"/>
  <c r="AT106" i="1"/>
  <c r="AS106" i="1"/>
  <c r="AQ106" i="1"/>
  <c r="AN106" i="1"/>
  <c r="AO106" i="1" s="1"/>
  <c r="AP106" i="1" s="1"/>
  <c r="AK106" i="1"/>
  <c r="AJ106" i="1"/>
  <c r="AH106" i="1"/>
  <c r="AG106" i="1"/>
  <c r="AC106" i="1"/>
  <c r="AA106" i="1"/>
  <c r="Z106" i="1"/>
  <c r="Y106" i="1"/>
  <c r="X106" i="1"/>
  <c r="W106" i="1"/>
  <c r="U106" i="1"/>
  <c r="T106" i="1"/>
  <c r="S106" i="1"/>
  <c r="R106" i="1"/>
  <c r="P106" i="1"/>
  <c r="O106" i="1"/>
  <c r="L106" i="1"/>
  <c r="K106" i="1"/>
  <c r="H106" i="1"/>
  <c r="G106" i="1"/>
  <c r="F106" i="1"/>
  <c r="E106" i="1"/>
  <c r="D106" i="1"/>
  <c r="C106" i="1"/>
  <c r="AT105" i="1"/>
  <c r="AS105" i="1"/>
  <c r="AQ105" i="1"/>
  <c r="AN105" i="1"/>
  <c r="AO105" i="1" s="1"/>
  <c r="AP105" i="1" s="1"/>
  <c r="AK105" i="1"/>
  <c r="AJ105" i="1"/>
  <c r="AH105" i="1"/>
  <c r="AG105" i="1"/>
  <c r="AC105" i="1"/>
  <c r="AA105" i="1"/>
  <c r="Z105" i="1"/>
  <c r="Y105" i="1"/>
  <c r="X105" i="1"/>
  <c r="W105" i="1"/>
  <c r="U105" i="1"/>
  <c r="T105" i="1"/>
  <c r="S105" i="1"/>
  <c r="R105" i="1"/>
  <c r="P105" i="1"/>
  <c r="O105" i="1"/>
  <c r="L105" i="1"/>
  <c r="K105" i="1"/>
  <c r="H105" i="1"/>
  <c r="G105" i="1"/>
  <c r="F105" i="1"/>
  <c r="E105" i="1"/>
  <c r="D105" i="1"/>
  <c r="C105" i="1"/>
  <c r="AT104" i="1"/>
  <c r="AS104" i="1"/>
  <c r="AQ104" i="1"/>
  <c r="AN104" i="1"/>
  <c r="AO104" i="1" s="1"/>
  <c r="AP104" i="1" s="1"/>
  <c r="AK104" i="1"/>
  <c r="AJ104" i="1"/>
  <c r="AH104" i="1"/>
  <c r="AG104" i="1"/>
  <c r="AC104" i="1"/>
  <c r="AA104" i="1"/>
  <c r="Z104" i="1"/>
  <c r="Y104" i="1"/>
  <c r="X104" i="1"/>
  <c r="W104" i="1"/>
  <c r="U104" i="1"/>
  <c r="T104" i="1"/>
  <c r="S104" i="1"/>
  <c r="R104" i="1"/>
  <c r="P104" i="1"/>
  <c r="O104" i="1"/>
  <c r="L104" i="1"/>
  <c r="K104" i="1"/>
  <c r="H104" i="1"/>
  <c r="G104" i="1"/>
  <c r="F104" i="1"/>
  <c r="E104" i="1"/>
  <c r="D104" i="1"/>
  <c r="C104" i="1"/>
  <c r="AT103" i="1"/>
  <c r="AS103" i="1"/>
  <c r="AQ103" i="1"/>
  <c r="AN103" i="1"/>
  <c r="AO103" i="1" s="1"/>
  <c r="AP103" i="1" s="1"/>
  <c r="AK103" i="1"/>
  <c r="AJ103" i="1"/>
  <c r="AH103" i="1"/>
  <c r="AG103" i="1"/>
  <c r="AC103" i="1"/>
  <c r="AA103" i="1"/>
  <c r="Z103" i="1"/>
  <c r="Y103" i="1"/>
  <c r="X103" i="1"/>
  <c r="W103" i="1"/>
  <c r="U103" i="1"/>
  <c r="T103" i="1"/>
  <c r="S103" i="1"/>
  <c r="R103" i="1"/>
  <c r="P103" i="1"/>
  <c r="O103" i="1"/>
  <c r="L103" i="1"/>
  <c r="K103" i="1"/>
  <c r="H103" i="1"/>
  <c r="G103" i="1"/>
  <c r="F103" i="1"/>
  <c r="E103" i="1"/>
  <c r="D103" i="1"/>
  <c r="C103" i="1"/>
  <c r="AT102" i="1"/>
  <c r="AS102" i="1"/>
  <c r="AQ102" i="1"/>
  <c r="AN102" i="1"/>
  <c r="AO102" i="1" s="1"/>
  <c r="AP102" i="1" s="1"/>
  <c r="AK102" i="1"/>
  <c r="AJ102" i="1"/>
  <c r="AH102" i="1"/>
  <c r="AG102" i="1"/>
  <c r="AC102" i="1"/>
  <c r="AA102" i="1"/>
  <c r="Z102" i="1"/>
  <c r="Y102" i="1"/>
  <c r="X102" i="1"/>
  <c r="W102" i="1"/>
  <c r="U102" i="1"/>
  <c r="T102" i="1"/>
  <c r="S102" i="1"/>
  <c r="R102" i="1"/>
  <c r="P102" i="1"/>
  <c r="O102" i="1"/>
  <c r="L102" i="1"/>
  <c r="K102" i="1"/>
  <c r="H102" i="1"/>
  <c r="G102" i="1"/>
  <c r="F102" i="1"/>
  <c r="E102" i="1"/>
  <c r="D102" i="1"/>
  <c r="C102" i="1"/>
  <c r="AT101" i="1"/>
  <c r="AS101" i="1"/>
  <c r="AQ101" i="1"/>
  <c r="AN101" i="1"/>
  <c r="AO101" i="1" s="1"/>
  <c r="AP101" i="1" s="1"/>
  <c r="AK101" i="1"/>
  <c r="AJ101" i="1"/>
  <c r="AH101" i="1"/>
  <c r="AG101" i="1"/>
  <c r="AC101" i="1"/>
  <c r="AA101" i="1"/>
  <c r="Z101" i="1"/>
  <c r="Y101" i="1"/>
  <c r="X101" i="1"/>
  <c r="W101" i="1"/>
  <c r="U101" i="1"/>
  <c r="T101" i="1"/>
  <c r="S101" i="1"/>
  <c r="R101" i="1"/>
  <c r="P101" i="1"/>
  <c r="O101" i="1"/>
  <c r="L101" i="1"/>
  <c r="K101" i="1"/>
  <c r="H101" i="1"/>
  <c r="G101" i="1"/>
  <c r="F101" i="1"/>
  <c r="E101" i="1"/>
  <c r="D101" i="1"/>
  <c r="C101" i="1"/>
  <c r="AT100" i="1"/>
  <c r="AS100" i="1"/>
  <c r="AQ100" i="1"/>
  <c r="AN100" i="1"/>
  <c r="AO100" i="1" s="1"/>
  <c r="AP100" i="1" s="1"/>
  <c r="AK100" i="1"/>
  <c r="AJ100" i="1"/>
  <c r="AH100" i="1"/>
  <c r="AG100" i="1"/>
  <c r="AC100" i="1"/>
  <c r="AA100" i="1"/>
  <c r="Z100" i="1"/>
  <c r="Y100" i="1"/>
  <c r="X100" i="1"/>
  <c r="W100" i="1"/>
  <c r="U100" i="1"/>
  <c r="T100" i="1"/>
  <c r="S100" i="1"/>
  <c r="R100" i="1"/>
  <c r="P100" i="1"/>
  <c r="O100" i="1"/>
  <c r="L100" i="1"/>
  <c r="K100" i="1"/>
  <c r="H100" i="1"/>
  <c r="G100" i="1"/>
  <c r="F100" i="1"/>
  <c r="E100" i="1"/>
  <c r="D100" i="1"/>
  <c r="C100" i="1"/>
  <c r="AT99" i="1"/>
  <c r="AS99" i="1"/>
  <c r="AQ99" i="1"/>
  <c r="AN99" i="1"/>
  <c r="AO99" i="1" s="1"/>
  <c r="AP99" i="1" s="1"/>
  <c r="AK99" i="1"/>
  <c r="AJ99" i="1"/>
  <c r="AH99" i="1"/>
  <c r="AG99" i="1"/>
  <c r="AC99" i="1"/>
  <c r="AA99" i="1"/>
  <c r="Z99" i="1"/>
  <c r="Y99" i="1"/>
  <c r="X99" i="1"/>
  <c r="W99" i="1"/>
  <c r="U99" i="1"/>
  <c r="T99" i="1"/>
  <c r="S99" i="1"/>
  <c r="R99" i="1"/>
  <c r="P99" i="1"/>
  <c r="O99" i="1"/>
  <c r="L99" i="1"/>
  <c r="K99" i="1"/>
  <c r="H99" i="1"/>
  <c r="G99" i="1"/>
  <c r="F99" i="1"/>
  <c r="E99" i="1"/>
  <c r="D99" i="1"/>
  <c r="C99" i="1"/>
  <c r="AT98" i="1"/>
  <c r="AS98" i="1"/>
  <c r="AQ98" i="1"/>
  <c r="AN98" i="1"/>
  <c r="AO98" i="1" s="1"/>
  <c r="AP98" i="1" s="1"/>
  <c r="AK98" i="1"/>
  <c r="AJ98" i="1"/>
  <c r="AH98" i="1"/>
  <c r="AG98" i="1"/>
  <c r="AC98" i="1"/>
  <c r="AA98" i="1"/>
  <c r="Z98" i="1"/>
  <c r="Y98" i="1"/>
  <c r="X98" i="1"/>
  <c r="W98" i="1"/>
  <c r="U98" i="1"/>
  <c r="T98" i="1"/>
  <c r="S98" i="1"/>
  <c r="R98" i="1"/>
  <c r="P98" i="1"/>
  <c r="O98" i="1"/>
  <c r="L98" i="1"/>
  <c r="K98" i="1"/>
  <c r="H98" i="1"/>
  <c r="G98" i="1"/>
  <c r="F98" i="1"/>
  <c r="E98" i="1"/>
  <c r="D98" i="1"/>
  <c r="C98" i="1"/>
  <c r="AT97" i="1"/>
  <c r="AS97" i="1"/>
  <c r="AQ97" i="1"/>
  <c r="AN97" i="1"/>
  <c r="AO97" i="1" s="1"/>
  <c r="AP97" i="1" s="1"/>
  <c r="AK97" i="1"/>
  <c r="AJ97" i="1"/>
  <c r="AH97" i="1"/>
  <c r="AG97" i="1"/>
  <c r="AC97" i="1"/>
  <c r="AA97" i="1"/>
  <c r="Z97" i="1"/>
  <c r="Y97" i="1"/>
  <c r="X97" i="1"/>
  <c r="W97" i="1"/>
  <c r="U97" i="1"/>
  <c r="T97" i="1"/>
  <c r="S97" i="1"/>
  <c r="R97" i="1"/>
  <c r="P97" i="1"/>
  <c r="O97" i="1"/>
  <c r="L97" i="1"/>
  <c r="K97" i="1"/>
  <c r="H97" i="1"/>
  <c r="G97" i="1"/>
  <c r="F97" i="1"/>
  <c r="E97" i="1"/>
  <c r="D97" i="1"/>
  <c r="C97" i="1"/>
  <c r="AT96" i="1"/>
  <c r="AS96" i="1"/>
  <c r="AQ96" i="1"/>
  <c r="AN96" i="1"/>
  <c r="AO96" i="1" s="1"/>
  <c r="AP96" i="1" s="1"/>
  <c r="AK96" i="1"/>
  <c r="AJ96" i="1"/>
  <c r="AH96" i="1"/>
  <c r="AG96" i="1"/>
  <c r="AC96" i="1"/>
  <c r="AA96" i="1"/>
  <c r="Z96" i="1"/>
  <c r="Y96" i="1"/>
  <c r="X96" i="1"/>
  <c r="W96" i="1"/>
  <c r="U96" i="1"/>
  <c r="T96" i="1"/>
  <c r="S96" i="1"/>
  <c r="R96" i="1"/>
  <c r="P96" i="1"/>
  <c r="O96" i="1"/>
  <c r="L96" i="1"/>
  <c r="K96" i="1"/>
  <c r="H96" i="1"/>
  <c r="G96" i="1"/>
  <c r="F96" i="1"/>
  <c r="E96" i="1"/>
  <c r="D96" i="1"/>
  <c r="C96" i="1"/>
  <c r="AT95" i="1"/>
  <c r="AS95" i="1"/>
  <c r="AQ95" i="1"/>
  <c r="AN95" i="1"/>
  <c r="AO95" i="1" s="1"/>
  <c r="AP95" i="1" s="1"/>
  <c r="AK95" i="1"/>
  <c r="AJ95" i="1"/>
  <c r="AH95" i="1"/>
  <c r="AG95" i="1"/>
  <c r="AC95" i="1"/>
  <c r="AA95" i="1"/>
  <c r="Z95" i="1"/>
  <c r="Y95" i="1"/>
  <c r="X95" i="1"/>
  <c r="W95" i="1"/>
  <c r="U95" i="1"/>
  <c r="T95" i="1"/>
  <c r="S95" i="1"/>
  <c r="R95" i="1"/>
  <c r="P95" i="1"/>
  <c r="O95" i="1"/>
  <c r="L95" i="1"/>
  <c r="K95" i="1"/>
  <c r="H95" i="1"/>
  <c r="G95" i="1"/>
  <c r="F95" i="1"/>
  <c r="E95" i="1"/>
  <c r="D95" i="1"/>
  <c r="C95" i="1"/>
  <c r="AT94" i="1"/>
  <c r="AS94" i="1"/>
  <c r="AQ94" i="1"/>
  <c r="AN94" i="1"/>
  <c r="AO94" i="1" s="1"/>
  <c r="AP94" i="1" s="1"/>
  <c r="AK94" i="1"/>
  <c r="AJ94" i="1"/>
  <c r="AH94" i="1"/>
  <c r="AG94" i="1"/>
  <c r="AC94" i="1"/>
  <c r="AA94" i="1"/>
  <c r="Z94" i="1"/>
  <c r="Y94" i="1"/>
  <c r="X94" i="1"/>
  <c r="W94" i="1"/>
  <c r="U94" i="1"/>
  <c r="T94" i="1"/>
  <c r="S94" i="1"/>
  <c r="R94" i="1"/>
  <c r="P94" i="1"/>
  <c r="O94" i="1"/>
  <c r="L94" i="1"/>
  <c r="K94" i="1"/>
  <c r="H94" i="1"/>
  <c r="G94" i="1"/>
  <c r="F94" i="1"/>
  <c r="E94" i="1"/>
  <c r="D94" i="1"/>
  <c r="C94" i="1"/>
  <c r="AT93" i="1"/>
  <c r="AS93" i="1"/>
  <c r="AQ93" i="1"/>
  <c r="AN93" i="1"/>
  <c r="AO93" i="1" s="1"/>
  <c r="AP93" i="1" s="1"/>
  <c r="AK93" i="1"/>
  <c r="AJ93" i="1"/>
  <c r="AH93" i="1"/>
  <c r="AG93" i="1"/>
  <c r="AC93" i="1"/>
  <c r="AA93" i="1"/>
  <c r="Z93" i="1"/>
  <c r="Y93" i="1"/>
  <c r="X93" i="1"/>
  <c r="W93" i="1"/>
  <c r="U93" i="1"/>
  <c r="T93" i="1"/>
  <c r="S93" i="1"/>
  <c r="R93" i="1"/>
  <c r="P93" i="1"/>
  <c r="O93" i="1"/>
  <c r="L93" i="1"/>
  <c r="K93" i="1"/>
  <c r="H93" i="1"/>
  <c r="G93" i="1"/>
  <c r="F93" i="1"/>
  <c r="E93" i="1"/>
  <c r="D93" i="1"/>
  <c r="C93" i="1"/>
  <c r="AT92" i="1"/>
  <c r="AS92" i="1"/>
  <c r="AQ92" i="1"/>
  <c r="AN92" i="1"/>
  <c r="AO92" i="1" s="1"/>
  <c r="AP92" i="1" s="1"/>
  <c r="AK92" i="1"/>
  <c r="AJ92" i="1"/>
  <c r="AH92" i="1"/>
  <c r="AG92" i="1"/>
  <c r="AC92" i="1"/>
  <c r="AA92" i="1"/>
  <c r="Z92" i="1"/>
  <c r="Y92" i="1"/>
  <c r="X92" i="1"/>
  <c r="W92" i="1"/>
  <c r="U92" i="1"/>
  <c r="T92" i="1"/>
  <c r="S92" i="1"/>
  <c r="R92" i="1"/>
  <c r="P92" i="1"/>
  <c r="O92" i="1"/>
  <c r="L92" i="1"/>
  <c r="K92" i="1"/>
  <c r="H92" i="1"/>
  <c r="G92" i="1"/>
  <c r="F92" i="1"/>
  <c r="E92" i="1"/>
  <c r="D92" i="1"/>
  <c r="C92" i="1"/>
  <c r="AT91" i="1"/>
  <c r="AS91" i="1"/>
  <c r="AQ91" i="1"/>
  <c r="AN91" i="1"/>
  <c r="AO91" i="1" s="1"/>
  <c r="AP91" i="1" s="1"/>
  <c r="AK91" i="1"/>
  <c r="AJ91" i="1"/>
  <c r="AH91" i="1"/>
  <c r="AG91" i="1"/>
  <c r="AC91" i="1"/>
  <c r="AA91" i="1"/>
  <c r="Z91" i="1"/>
  <c r="Y91" i="1"/>
  <c r="X91" i="1"/>
  <c r="W91" i="1"/>
  <c r="U91" i="1"/>
  <c r="T91" i="1"/>
  <c r="S91" i="1"/>
  <c r="R91" i="1"/>
  <c r="P91" i="1"/>
  <c r="O91" i="1"/>
  <c r="L91" i="1"/>
  <c r="K91" i="1"/>
  <c r="H91" i="1"/>
  <c r="G91" i="1"/>
  <c r="F91" i="1"/>
  <c r="E91" i="1"/>
  <c r="D91" i="1"/>
  <c r="C91" i="1"/>
  <c r="AT90" i="1"/>
  <c r="AS90" i="1"/>
  <c r="AQ90" i="1"/>
  <c r="AN90" i="1"/>
  <c r="AO90" i="1" s="1"/>
  <c r="AP90" i="1" s="1"/>
  <c r="AK90" i="1"/>
  <c r="AJ90" i="1"/>
  <c r="AH90" i="1"/>
  <c r="AG90" i="1"/>
  <c r="AC90" i="1"/>
  <c r="AA90" i="1"/>
  <c r="Z90" i="1"/>
  <c r="Y90" i="1"/>
  <c r="X90" i="1"/>
  <c r="W90" i="1"/>
  <c r="U90" i="1"/>
  <c r="T90" i="1"/>
  <c r="S90" i="1"/>
  <c r="R90" i="1"/>
  <c r="P90" i="1"/>
  <c r="O90" i="1"/>
  <c r="L90" i="1"/>
  <c r="K90" i="1"/>
  <c r="H90" i="1"/>
  <c r="G90" i="1"/>
  <c r="F90" i="1"/>
  <c r="E90" i="1"/>
  <c r="D90" i="1"/>
  <c r="C90" i="1"/>
  <c r="AT89" i="1"/>
  <c r="AS89" i="1"/>
  <c r="AQ89" i="1"/>
  <c r="AN89" i="1"/>
  <c r="AO89" i="1" s="1"/>
  <c r="AP89" i="1" s="1"/>
  <c r="AK89" i="1"/>
  <c r="AJ89" i="1"/>
  <c r="AH89" i="1"/>
  <c r="AG89" i="1"/>
  <c r="AC89" i="1"/>
  <c r="AA89" i="1"/>
  <c r="Z89" i="1"/>
  <c r="Y89" i="1"/>
  <c r="X89" i="1"/>
  <c r="W89" i="1"/>
  <c r="U89" i="1"/>
  <c r="T89" i="1"/>
  <c r="S89" i="1"/>
  <c r="R89" i="1"/>
  <c r="P89" i="1"/>
  <c r="O89" i="1"/>
  <c r="L89" i="1"/>
  <c r="K89" i="1"/>
  <c r="H89" i="1"/>
  <c r="G89" i="1"/>
  <c r="F89" i="1"/>
  <c r="E89" i="1"/>
  <c r="D89" i="1"/>
  <c r="C89" i="1"/>
  <c r="AT88" i="1"/>
  <c r="AS88" i="1"/>
  <c r="AQ88" i="1"/>
  <c r="AN88" i="1"/>
  <c r="AO88" i="1" s="1"/>
  <c r="AP88" i="1" s="1"/>
  <c r="AK88" i="1"/>
  <c r="AJ88" i="1"/>
  <c r="AH88" i="1"/>
  <c r="AG88" i="1"/>
  <c r="AC88" i="1"/>
  <c r="AA88" i="1"/>
  <c r="Z88" i="1"/>
  <c r="Y88" i="1"/>
  <c r="X88" i="1"/>
  <c r="W88" i="1"/>
  <c r="U88" i="1"/>
  <c r="T88" i="1"/>
  <c r="S88" i="1"/>
  <c r="R88" i="1"/>
  <c r="P88" i="1"/>
  <c r="O88" i="1"/>
  <c r="L88" i="1"/>
  <c r="K88" i="1"/>
  <c r="H88" i="1"/>
  <c r="G88" i="1"/>
  <c r="F88" i="1"/>
  <c r="E88" i="1"/>
  <c r="D88" i="1"/>
  <c r="C88" i="1"/>
  <c r="AT87" i="1"/>
  <c r="AS87" i="1"/>
  <c r="AQ87" i="1"/>
  <c r="AN87" i="1"/>
  <c r="AO87" i="1" s="1"/>
  <c r="AP87" i="1" s="1"/>
  <c r="AK87" i="1"/>
  <c r="AJ87" i="1"/>
  <c r="AH87" i="1"/>
  <c r="AG87" i="1"/>
  <c r="AC87" i="1"/>
  <c r="AA87" i="1"/>
  <c r="Z87" i="1"/>
  <c r="Y87" i="1"/>
  <c r="X87" i="1"/>
  <c r="W87" i="1"/>
  <c r="U87" i="1"/>
  <c r="T87" i="1"/>
  <c r="S87" i="1"/>
  <c r="R87" i="1"/>
  <c r="P87" i="1"/>
  <c r="O87" i="1"/>
  <c r="L87" i="1"/>
  <c r="K87" i="1"/>
  <c r="H87" i="1"/>
  <c r="G87" i="1"/>
  <c r="F87" i="1"/>
  <c r="E87" i="1"/>
  <c r="D87" i="1"/>
  <c r="C87" i="1"/>
  <c r="AT86" i="1"/>
  <c r="AS86" i="1"/>
  <c r="AQ86" i="1"/>
  <c r="AN86" i="1"/>
  <c r="AO86" i="1" s="1"/>
  <c r="AP86" i="1" s="1"/>
  <c r="AK86" i="1"/>
  <c r="AJ86" i="1"/>
  <c r="AH86" i="1"/>
  <c r="AG86" i="1"/>
  <c r="AC86" i="1"/>
  <c r="AA86" i="1"/>
  <c r="Z86" i="1"/>
  <c r="Y86" i="1"/>
  <c r="X86" i="1"/>
  <c r="W86" i="1"/>
  <c r="U86" i="1"/>
  <c r="T86" i="1"/>
  <c r="S86" i="1"/>
  <c r="R86" i="1"/>
  <c r="P86" i="1"/>
  <c r="O86" i="1"/>
  <c r="L86" i="1"/>
  <c r="K86" i="1"/>
  <c r="H86" i="1"/>
  <c r="G86" i="1"/>
  <c r="F86" i="1"/>
  <c r="E86" i="1"/>
  <c r="D86" i="1"/>
  <c r="C86" i="1"/>
  <c r="AT85" i="1"/>
  <c r="AS85" i="1"/>
  <c r="AQ85" i="1"/>
  <c r="AN85" i="1"/>
  <c r="AO85" i="1" s="1"/>
  <c r="AP85" i="1" s="1"/>
  <c r="AK85" i="1"/>
  <c r="AJ85" i="1"/>
  <c r="AH85" i="1"/>
  <c r="AG85" i="1"/>
  <c r="AC85" i="1"/>
  <c r="AA85" i="1"/>
  <c r="Z85" i="1"/>
  <c r="Y85" i="1"/>
  <c r="X85" i="1"/>
  <c r="W85" i="1"/>
  <c r="U85" i="1"/>
  <c r="T85" i="1"/>
  <c r="S85" i="1"/>
  <c r="R85" i="1"/>
  <c r="P85" i="1"/>
  <c r="O85" i="1"/>
  <c r="L85" i="1"/>
  <c r="K85" i="1"/>
  <c r="H85" i="1"/>
  <c r="G85" i="1"/>
  <c r="F85" i="1"/>
  <c r="E85" i="1"/>
  <c r="D85" i="1"/>
  <c r="C85" i="1"/>
  <c r="AT84" i="1"/>
  <c r="AS84" i="1"/>
  <c r="AQ84" i="1"/>
  <c r="AN84" i="1"/>
  <c r="AO84" i="1" s="1"/>
  <c r="AP84" i="1" s="1"/>
  <c r="AK84" i="1"/>
  <c r="AJ84" i="1"/>
  <c r="AH84" i="1"/>
  <c r="AG84" i="1"/>
  <c r="AC84" i="1"/>
  <c r="AA84" i="1"/>
  <c r="Z84" i="1"/>
  <c r="Y84" i="1"/>
  <c r="X84" i="1"/>
  <c r="W84" i="1"/>
  <c r="U84" i="1"/>
  <c r="T84" i="1"/>
  <c r="S84" i="1"/>
  <c r="R84" i="1"/>
  <c r="P84" i="1"/>
  <c r="O84" i="1"/>
  <c r="L84" i="1"/>
  <c r="K84" i="1"/>
  <c r="H84" i="1"/>
  <c r="G84" i="1"/>
  <c r="F84" i="1"/>
  <c r="E84" i="1"/>
  <c r="D84" i="1"/>
  <c r="C84" i="1"/>
  <c r="AT83" i="1"/>
  <c r="AS83" i="1"/>
  <c r="AQ83" i="1"/>
  <c r="AN83" i="1"/>
  <c r="AO83" i="1" s="1"/>
  <c r="AP83" i="1" s="1"/>
  <c r="AK83" i="1"/>
  <c r="AJ83" i="1"/>
  <c r="AH83" i="1"/>
  <c r="AG83" i="1"/>
  <c r="AC83" i="1"/>
  <c r="AA83" i="1"/>
  <c r="Z83" i="1"/>
  <c r="Y83" i="1"/>
  <c r="X83" i="1"/>
  <c r="W83" i="1"/>
  <c r="U83" i="1"/>
  <c r="T83" i="1"/>
  <c r="S83" i="1"/>
  <c r="R83" i="1"/>
  <c r="P83" i="1"/>
  <c r="O83" i="1"/>
  <c r="L83" i="1"/>
  <c r="K83" i="1"/>
  <c r="H83" i="1"/>
  <c r="G83" i="1"/>
  <c r="F83" i="1"/>
  <c r="E83" i="1"/>
  <c r="D83" i="1"/>
  <c r="C83" i="1"/>
  <c r="AT82" i="1"/>
  <c r="AS82" i="1"/>
  <c r="AQ82" i="1"/>
  <c r="AN82" i="1"/>
  <c r="AO82" i="1" s="1"/>
  <c r="AP82" i="1" s="1"/>
  <c r="AK82" i="1"/>
  <c r="AJ82" i="1"/>
  <c r="AH82" i="1"/>
  <c r="AG82" i="1"/>
  <c r="AC82" i="1"/>
  <c r="AA82" i="1"/>
  <c r="Z82" i="1"/>
  <c r="Y82" i="1"/>
  <c r="X82" i="1"/>
  <c r="W82" i="1"/>
  <c r="U82" i="1"/>
  <c r="T82" i="1"/>
  <c r="S82" i="1"/>
  <c r="R82" i="1"/>
  <c r="P82" i="1"/>
  <c r="O82" i="1"/>
  <c r="L82" i="1"/>
  <c r="K82" i="1"/>
  <c r="H82" i="1"/>
  <c r="G82" i="1"/>
  <c r="F82" i="1"/>
  <c r="E82" i="1"/>
  <c r="D82" i="1"/>
  <c r="C82" i="1"/>
  <c r="AT81" i="1"/>
  <c r="AS81" i="1"/>
  <c r="AQ81" i="1"/>
  <c r="AN81" i="1"/>
  <c r="AO81" i="1" s="1"/>
  <c r="AP81" i="1" s="1"/>
  <c r="AK81" i="1"/>
  <c r="AJ81" i="1"/>
  <c r="AH81" i="1"/>
  <c r="AG81" i="1"/>
  <c r="AC81" i="1"/>
  <c r="AA81" i="1"/>
  <c r="Z81" i="1"/>
  <c r="Y81" i="1"/>
  <c r="X81" i="1"/>
  <c r="W81" i="1"/>
  <c r="U81" i="1"/>
  <c r="T81" i="1"/>
  <c r="S81" i="1"/>
  <c r="R81" i="1"/>
  <c r="P81" i="1"/>
  <c r="O81" i="1"/>
  <c r="L81" i="1"/>
  <c r="K81" i="1"/>
  <c r="H81" i="1"/>
  <c r="G81" i="1"/>
  <c r="F81" i="1"/>
  <c r="E81" i="1"/>
  <c r="D81" i="1"/>
  <c r="C81" i="1"/>
  <c r="AT80" i="1"/>
  <c r="AS80" i="1"/>
  <c r="AQ80" i="1"/>
  <c r="AN80" i="1"/>
  <c r="AO80" i="1" s="1"/>
  <c r="AP80" i="1" s="1"/>
  <c r="AK80" i="1"/>
  <c r="AJ80" i="1"/>
  <c r="AH80" i="1"/>
  <c r="AG80" i="1"/>
  <c r="AC80" i="1"/>
  <c r="AA80" i="1"/>
  <c r="Z80" i="1"/>
  <c r="Y80" i="1"/>
  <c r="X80" i="1"/>
  <c r="W80" i="1"/>
  <c r="U80" i="1"/>
  <c r="T80" i="1"/>
  <c r="S80" i="1"/>
  <c r="R80" i="1"/>
  <c r="P80" i="1"/>
  <c r="O80" i="1"/>
  <c r="L80" i="1"/>
  <c r="K80" i="1"/>
  <c r="H80" i="1"/>
  <c r="G80" i="1"/>
  <c r="F80" i="1"/>
  <c r="E80" i="1"/>
  <c r="D80" i="1"/>
  <c r="C80" i="1"/>
  <c r="AT79" i="1"/>
  <c r="AS79" i="1"/>
  <c r="AQ79" i="1"/>
  <c r="AN79" i="1"/>
  <c r="AO79" i="1" s="1"/>
  <c r="AP79" i="1" s="1"/>
  <c r="AK79" i="1"/>
  <c r="AJ79" i="1"/>
  <c r="AH79" i="1"/>
  <c r="AG79" i="1"/>
  <c r="AC79" i="1"/>
  <c r="AA79" i="1"/>
  <c r="Z79" i="1"/>
  <c r="Y79" i="1"/>
  <c r="X79" i="1"/>
  <c r="W79" i="1"/>
  <c r="U79" i="1"/>
  <c r="T79" i="1"/>
  <c r="S79" i="1"/>
  <c r="R79" i="1"/>
  <c r="P79" i="1"/>
  <c r="O79" i="1"/>
  <c r="L79" i="1"/>
  <c r="K79" i="1"/>
  <c r="H79" i="1"/>
  <c r="G79" i="1"/>
  <c r="F79" i="1"/>
  <c r="E79" i="1"/>
  <c r="D79" i="1"/>
  <c r="C79" i="1"/>
  <c r="AT78" i="1"/>
  <c r="AS78" i="1"/>
  <c r="AQ78" i="1"/>
  <c r="AN78" i="1"/>
  <c r="AO78" i="1" s="1"/>
  <c r="AP78" i="1" s="1"/>
  <c r="AM78" i="1"/>
  <c r="AK78" i="1"/>
  <c r="AJ78" i="1"/>
  <c r="AH78" i="1"/>
  <c r="AG78" i="1"/>
  <c r="AE78" i="1"/>
  <c r="AD78" i="1"/>
  <c r="AC78" i="1"/>
  <c r="AA78" i="1"/>
  <c r="Z78" i="1"/>
  <c r="Y78" i="1"/>
  <c r="X78" i="1"/>
  <c r="W78" i="1"/>
  <c r="U78" i="1"/>
  <c r="T78" i="1"/>
  <c r="S78" i="1"/>
  <c r="R78" i="1"/>
  <c r="P78" i="1"/>
  <c r="O78" i="1"/>
  <c r="L78" i="1"/>
  <c r="K78" i="1"/>
  <c r="H78" i="1"/>
  <c r="G78" i="1"/>
  <c r="F78" i="1"/>
  <c r="E78" i="1"/>
  <c r="D78" i="1"/>
  <c r="C78" i="1"/>
  <c r="AT77" i="1"/>
  <c r="AS77" i="1"/>
  <c r="AQ77" i="1"/>
  <c r="AN77" i="1"/>
  <c r="AO77" i="1" s="1"/>
  <c r="AP77" i="1" s="1"/>
  <c r="AK77" i="1"/>
  <c r="AJ77" i="1"/>
  <c r="AH77" i="1"/>
  <c r="AG77" i="1"/>
  <c r="AC77" i="1"/>
  <c r="AA77" i="1"/>
  <c r="Z77" i="1"/>
  <c r="Y77" i="1"/>
  <c r="X77" i="1"/>
  <c r="W77" i="1"/>
  <c r="U77" i="1"/>
  <c r="T77" i="1"/>
  <c r="S77" i="1"/>
  <c r="R77" i="1"/>
  <c r="P77" i="1"/>
  <c r="O77" i="1"/>
  <c r="L77" i="1"/>
  <c r="K77" i="1"/>
  <c r="H77" i="1"/>
  <c r="G77" i="1"/>
  <c r="F77" i="1"/>
  <c r="E77" i="1"/>
  <c r="D77" i="1"/>
  <c r="C77" i="1"/>
  <c r="AT76" i="1"/>
  <c r="AS76" i="1"/>
  <c r="AQ76" i="1"/>
  <c r="AN76" i="1"/>
  <c r="AO76" i="1" s="1"/>
  <c r="AP76" i="1" s="1"/>
  <c r="AK76" i="1"/>
  <c r="AJ76" i="1"/>
  <c r="AH76" i="1"/>
  <c r="AG76" i="1"/>
  <c r="AC76" i="1"/>
  <c r="AA76" i="1"/>
  <c r="Z76" i="1"/>
  <c r="Y76" i="1"/>
  <c r="X76" i="1"/>
  <c r="W76" i="1"/>
  <c r="U76" i="1"/>
  <c r="T76" i="1"/>
  <c r="S76" i="1"/>
  <c r="R76" i="1"/>
  <c r="P76" i="1"/>
  <c r="O76" i="1"/>
  <c r="L76" i="1"/>
  <c r="K76" i="1"/>
  <c r="H76" i="1"/>
  <c r="G76" i="1"/>
  <c r="F76" i="1"/>
  <c r="E76" i="1"/>
  <c r="D76" i="1"/>
  <c r="C76" i="1"/>
  <c r="AT75" i="1"/>
  <c r="AS75" i="1"/>
  <c r="AQ75" i="1"/>
  <c r="AN75" i="1"/>
  <c r="AO75" i="1" s="1"/>
  <c r="AP75" i="1" s="1"/>
  <c r="AK75" i="1"/>
  <c r="AJ75" i="1"/>
  <c r="AH75" i="1"/>
  <c r="AG75" i="1"/>
  <c r="AC75" i="1"/>
  <c r="AA75" i="1"/>
  <c r="Z75" i="1"/>
  <c r="Y75" i="1"/>
  <c r="X75" i="1"/>
  <c r="W75" i="1"/>
  <c r="U75" i="1"/>
  <c r="T75" i="1"/>
  <c r="S75" i="1"/>
  <c r="R75" i="1"/>
  <c r="P75" i="1"/>
  <c r="O75" i="1"/>
  <c r="L75" i="1"/>
  <c r="K75" i="1"/>
  <c r="H75" i="1"/>
  <c r="G75" i="1"/>
  <c r="F75" i="1"/>
  <c r="E75" i="1"/>
  <c r="D75" i="1"/>
  <c r="C75" i="1"/>
  <c r="AT74" i="1"/>
  <c r="AS74" i="1"/>
  <c r="AQ74" i="1"/>
  <c r="AN74" i="1"/>
  <c r="AO74" i="1" s="1"/>
  <c r="AP74" i="1" s="1"/>
  <c r="AK74" i="1"/>
  <c r="AJ74" i="1"/>
  <c r="AH74" i="1"/>
  <c r="AG74" i="1"/>
  <c r="AC74" i="1"/>
  <c r="AA74" i="1"/>
  <c r="Z74" i="1"/>
  <c r="Y74" i="1"/>
  <c r="X74" i="1"/>
  <c r="W74" i="1"/>
  <c r="U74" i="1"/>
  <c r="T74" i="1"/>
  <c r="S74" i="1"/>
  <c r="R74" i="1"/>
  <c r="P74" i="1"/>
  <c r="O74" i="1"/>
  <c r="L74" i="1"/>
  <c r="K74" i="1"/>
  <c r="H74" i="1"/>
  <c r="G74" i="1"/>
  <c r="F74" i="1"/>
  <c r="E74" i="1"/>
  <c r="D74" i="1"/>
  <c r="C74" i="1"/>
  <c r="AT73" i="1"/>
  <c r="AS73" i="1"/>
  <c r="AQ73" i="1"/>
  <c r="AN73" i="1"/>
  <c r="AO73" i="1" s="1"/>
  <c r="AP73" i="1" s="1"/>
  <c r="AK73" i="1"/>
  <c r="AJ73" i="1"/>
  <c r="AH73" i="1"/>
  <c r="AG73" i="1"/>
  <c r="AC73" i="1"/>
  <c r="AA73" i="1"/>
  <c r="Z73" i="1"/>
  <c r="Y73" i="1"/>
  <c r="X73" i="1"/>
  <c r="W73" i="1"/>
  <c r="U73" i="1"/>
  <c r="T73" i="1"/>
  <c r="S73" i="1"/>
  <c r="R73" i="1"/>
  <c r="P73" i="1"/>
  <c r="O73" i="1"/>
  <c r="L73" i="1"/>
  <c r="K73" i="1"/>
  <c r="H73" i="1"/>
  <c r="G73" i="1"/>
  <c r="F73" i="1"/>
  <c r="E73" i="1"/>
  <c r="D73" i="1"/>
  <c r="C73" i="1"/>
  <c r="AT72" i="1"/>
  <c r="AS72" i="1"/>
  <c r="AQ72" i="1"/>
  <c r="AN72" i="1"/>
  <c r="AO72" i="1" s="1"/>
  <c r="AP72" i="1" s="1"/>
  <c r="AK72" i="1"/>
  <c r="AJ72" i="1"/>
  <c r="AH72" i="1"/>
  <c r="AG72" i="1"/>
  <c r="AC72" i="1"/>
  <c r="AA72" i="1"/>
  <c r="Z72" i="1"/>
  <c r="Y72" i="1"/>
  <c r="X72" i="1"/>
  <c r="W72" i="1"/>
  <c r="U72" i="1"/>
  <c r="T72" i="1"/>
  <c r="S72" i="1"/>
  <c r="R72" i="1"/>
  <c r="P72" i="1"/>
  <c r="O72" i="1"/>
  <c r="L72" i="1"/>
  <c r="K72" i="1"/>
  <c r="H72" i="1"/>
  <c r="G72" i="1"/>
  <c r="F72" i="1"/>
  <c r="E72" i="1"/>
  <c r="D72" i="1"/>
  <c r="C72" i="1"/>
  <c r="AT71" i="1"/>
  <c r="AS71" i="1"/>
  <c r="AQ71" i="1"/>
  <c r="AN71" i="1"/>
  <c r="AO71" i="1" s="1"/>
  <c r="AP71" i="1" s="1"/>
  <c r="AK71" i="1"/>
  <c r="AJ71" i="1"/>
  <c r="AH71" i="1"/>
  <c r="AG71" i="1"/>
  <c r="AC71" i="1"/>
  <c r="AA71" i="1"/>
  <c r="Z71" i="1"/>
  <c r="Y71" i="1"/>
  <c r="X71" i="1"/>
  <c r="W71" i="1"/>
  <c r="U71" i="1"/>
  <c r="T71" i="1"/>
  <c r="S71" i="1"/>
  <c r="R71" i="1"/>
  <c r="P71" i="1"/>
  <c r="O71" i="1"/>
  <c r="L71" i="1"/>
  <c r="K71" i="1"/>
  <c r="H71" i="1"/>
  <c r="G71" i="1"/>
  <c r="F71" i="1"/>
  <c r="E71" i="1"/>
  <c r="D71" i="1"/>
  <c r="C71" i="1"/>
  <c r="AT70" i="1"/>
  <c r="AS70" i="1"/>
  <c r="AQ70" i="1"/>
  <c r="AN70" i="1"/>
  <c r="AO70" i="1" s="1"/>
  <c r="AP70" i="1" s="1"/>
  <c r="AK70" i="1"/>
  <c r="AJ70" i="1"/>
  <c r="AH70" i="1"/>
  <c r="AG70" i="1"/>
  <c r="AC70" i="1"/>
  <c r="AA70" i="1"/>
  <c r="Z70" i="1"/>
  <c r="Y70" i="1"/>
  <c r="X70" i="1"/>
  <c r="W70" i="1"/>
  <c r="U70" i="1"/>
  <c r="T70" i="1"/>
  <c r="S70" i="1"/>
  <c r="R70" i="1"/>
  <c r="P70" i="1"/>
  <c r="O70" i="1"/>
  <c r="L70" i="1"/>
  <c r="K70" i="1"/>
  <c r="H70" i="1"/>
  <c r="G70" i="1"/>
  <c r="F70" i="1"/>
  <c r="E70" i="1"/>
  <c r="D70" i="1"/>
  <c r="C70" i="1"/>
  <c r="AT69" i="1"/>
  <c r="AS69" i="1"/>
  <c r="AQ69" i="1"/>
  <c r="AN69" i="1"/>
  <c r="AO69" i="1" s="1"/>
  <c r="AP69" i="1" s="1"/>
  <c r="AK69" i="1"/>
  <c r="AJ69" i="1"/>
  <c r="AH69" i="1"/>
  <c r="AG69" i="1"/>
  <c r="AC69" i="1"/>
  <c r="AA69" i="1"/>
  <c r="Z69" i="1"/>
  <c r="Y69" i="1"/>
  <c r="X69" i="1"/>
  <c r="W69" i="1"/>
  <c r="U69" i="1"/>
  <c r="T69" i="1"/>
  <c r="S69" i="1"/>
  <c r="R69" i="1"/>
  <c r="P69" i="1"/>
  <c r="O69" i="1"/>
  <c r="L69" i="1"/>
  <c r="K69" i="1"/>
  <c r="H69" i="1"/>
  <c r="G69" i="1"/>
  <c r="F69" i="1"/>
  <c r="E69" i="1"/>
  <c r="D69" i="1"/>
  <c r="C69" i="1"/>
  <c r="AT68" i="1"/>
  <c r="AS68" i="1"/>
  <c r="AQ68" i="1"/>
  <c r="AN68" i="1"/>
  <c r="AO68" i="1" s="1"/>
  <c r="AP68" i="1" s="1"/>
  <c r="AK68" i="1"/>
  <c r="AJ68" i="1"/>
  <c r="AH68" i="1"/>
  <c r="AG68" i="1"/>
  <c r="AC68" i="1"/>
  <c r="AA68" i="1"/>
  <c r="Z68" i="1"/>
  <c r="Y68" i="1"/>
  <c r="X68" i="1"/>
  <c r="W68" i="1"/>
  <c r="U68" i="1"/>
  <c r="T68" i="1"/>
  <c r="S68" i="1"/>
  <c r="R68" i="1"/>
  <c r="P68" i="1"/>
  <c r="O68" i="1"/>
  <c r="L68" i="1"/>
  <c r="K68" i="1"/>
  <c r="H68" i="1"/>
  <c r="G68" i="1"/>
  <c r="F68" i="1"/>
  <c r="E68" i="1"/>
  <c r="D68" i="1"/>
  <c r="C68" i="1"/>
  <c r="AT67" i="1"/>
  <c r="AS67" i="1"/>
  <c r="AQ67" i="1"/>
  <c r="AN67" i="1"/>
  <c r="AO67" i="1" s="1"/>
  <c r="AP67" i="1" s="1"/>
  <c r="AK67" i="1"/>
  <c r="AJ67" i="1"/>
  <c r="AH67" i="1"/>
  <c r="AG67" i="1"/>
  <c r="AC67" i="1"/>
  <c r="AA67" i="1"/>
  <c r="Z67" i="1"/>
  <c r="Y67" i="1"/>
  <c r="X67" i="1"/>
  <c r="W67" i="1"/>
  <c r="U67" i="1"/>
  <c r="T67" i="1"/>
  <c r="S67" i="1"/>
  <c r="R67" i="1"/>
  <c r="P67" i="1"/>
  <c r="O67" i="1"/>
  <c r="L67" i="1"/>
  <c r="K67" i="1"/>
  <c r="H67" i="1"/>
  <c r="G67" i="1"/>
  <c r="F67" i="1"/>
  <c r="E67" i="1"/>
  <c r="D67" i="1"/>
  <c r="C67" i="1"/>
  <c r="AT66" i="1"/>
  <c r="AS66" i="1"/>
  <c r="AQ66" i="1"/>
  <c r="AN66" i="1"/>
  <c r="AO66" i="1" s="1"/>
  <c r="AP66" i="1" s="1"/>
  <c r="AK66" i="1"/>
  <c r="AJ66" i="1"/>
  <c r="AH66" i="1"/>
  <c r="AG66" i="1"/>
  <c r="AC66" i="1"/>
  <c r="AA66" i="1"/>
  <c r="Z66" i="1"/>
  <c r="Y66" i="1"/>
  <c r="X66" i="1"/>
  <c r="W66" i="1"/>
  <c r="U66" i="1"/>
  <c r="T66" i="1"/>
  <c r="S66" i="1"/>
  <c r="R66" i="1"/>
  <c r="P66" i="1"/>
  <c r="O66" i="1"/>
  <c r="L66" i="1"/>
  <c r="K66" i="1"/>
  <c r="H66" i="1"/>
  <c r="G66" i="1"/>
  <c r="F66" i="1"/>
  <c r="E66" i="1"/>
  <c r="D66" i="1"/>
  <c r="C66" i="1"/>
  <c r="AT65" i="1"/>
  <c r="AS65" i="1"/>
  <c r="AQ65" i="1"/>
  <c r="AN65" i="1"/>
  <c r="AO65" i="1" s="1"/>
  <c r="AP65" i="1" s="1"/>
  <c r="AK65" i="1"/>
  <c r="AJ65" i="1"/>
  <c r="AH65" i="1"/>
  <c r="AG65" i="1"/>
  <c r="AC65" i="1"/>
  <c r="AA65" i="1"/>
  <c r="Z65" i="1"/>
  <c r="Y65" i="1"/>
  <c r="X65" i="1"/>
  <c r="W65" i="1"/>
  <c r="U65" i="1"/>
  <c r="T65" i="1"/>
  <c r="S65" i="1"/>
  <c r="R65" i="1"/>
  <c r="P65" i="1"/>
  <c r="O65" i="1"/>
  <c r="L65" i="1"/>
  <c r="K65" i="1"/>
  <c r="H65" i="1"/>
  <c r="G65" i="1"/>
  <c r="F65" i="1"/>
  <c r="E65" i="1"/>
  <c r="D65" i="1"/>
  <c r="C65" i="1"/>
  <c r="AT64" i="1"/>
  <c r="AS64" i="1"/>
  <c r="AQ64" i="1"/>
  <c r="AN64" i="1"/>
  <c r="AO64" i="1" s="1"/>
  <c r="AP64" i="1" s="1"/>
  <c r="AK64" i="1"/>
  <c r="AJ64" i="1"/>
  <c r="AH64" i="1"/>
  <c r="AG64" i="1"/>
  <c r="AC64" i="1"/>
  <c r="AA64" i="1"/>
  <c r="Z64" i="1"/>
  <c r="Y64" i="1"/>
  <c r="X64" i="1"/>
  <c r="W64" i="1"/>
  <c r="U64" i="1"/>
  <c r="T64" i="1"/>
  <c r="S64" i="1"/>
  <c r="R64" i="1"/>
  <c r="P64" i="1"/>
  <c r="O64" i="1"/>
  <c r="L64" i="1"/>
  <c r="K64" i="1"/>
  <c r="H64" i="1"/>
  <c r="G64" i="1"/>
  <c r="F64" i="1"/>
  <c r="E64" i="1"/>
  <c r="D64" i="1"/>
  <c r="C64" i="1"/>
  <c r="AT63" i="1"/>
  <c r="AS63" i="1"/>
  <c r="AQ63" i="1"/>
  <c r="AN63" i="1"/>
  <c r="AO63" i="1" s="1"/>
  <c r="AP63" i="1" s="1"/>
  <c r="AK63" i="1"/>
  <c r="AJ63" i="1"/>
  <c r="AH63" i="1"/>
  <c r="AG63" i="1"/>
  <c r="AC63" i="1"/>
  <c r="AA63" i="1"/>
  <c r="Z63" i="1"/>
  <c r="Y63" i="1"/>
  <c r="X63" i="1"/>
  <c r="W63" i="1"/>
  <c r="U63" i="1"/>
  <c r="T63" i="1"/>
  <c r="S63" i="1"/>
  <c r="R63" i="1"/>
  <c r="P63" i="1"/>
  <c r="O63" i="1"/>
  <c r="L63" i="1"/>
  <c r="K63" i="1"/>
  <c r="H63" i="1"/>
  <c r="G63" i="1"/>
  <c r="F63" i="1"/>
  <c r="E63" i="1"/>
  <c r="D63" i="1"/>
  <c r="C63" i="1"/>
  <c r="AT62" i="1"/>
  <c r="AS62" i="1"/>
  <c r="AQ62" i="1"/>
  <c r="AN62" i="1"/>
  <c r="AO62" i="1" s="1"/>
  <c r="AP62" i="1" s="1"/>
  <c r="AK62" i="1"/>
  <c r="AJ62" i="1"/>
  <c r="AH62" i="1"/>
  <c r="AG62" i="1"/>
  <c r="AC62" i="1"/>
  <c r="AA62" i="1"/>
  <c r="Z62" i="1"/>
  <c r="Y62" i="1"/>
  <c r="X62" i="1"/>
  <c r="W62" i="1"/>
  <c r="U62" i="1"/>
  <c r="T62" i="1"/>
  <c r="S62" i="1"/>
  <c r="R62" i="1"/>
  <c r="P62" i="1"/>
  <c r="O62" i="1"/>
  <c r="L62" i="1"/>
  <c r="K62" i="1"/>
  <c r="H62" i="1"/>
  <c r="G62" i="1"/>
  <c r="F62" i="1"/>
  <c r="E62" i="1"/>
  <c r="D62" i="1"/>
  <c r="C62" i="1"/>
  <c r="AT61" i="1"/>
  <c r="AS61" i="1"/>
  <c r="AQ61" i="1"/>
  <c r="AN61" i="1"/>
  <c r="AO61" i="1" s="1"/>
  <c r="AP61" i="1" s="1"/>
  <c r="AK61" i="1"/>
  <c r="AJ61" i="1"/>
  <c r="AH61" i="1"/>
  <c r="AG61" i="1"/>
  <c r="AC61" i="1"/>
  <c r="AA61" i="1"/>
  <c r="Z61" i="1"/>
  <c r="Y61" i="1"/>
  <c r="X61" i="1"/>
  <c r="W61" i="1"/>
  <c r="U61" i="1"/>
  <c r="T61" i="1"/>
  <c r="S61" i="1"/>
  <c r="R61" i="1"/>
  <c r="P61" i="1"/>
  <c r="O61" i="1"/>
  <c r="L61" i="1"/>
  <c r="K61" i="1"/>
  <c r="H61" i="1"/>
  <c r="G61" i="1"/>
  <c r="F61" i="1"/>
  <c r="E61" i="1"/>
  <c r="D61" i="1"/>
  <c r="C61" i="1"/>
  <c r="AT60" i="1"/>
  <c r="AS60" i="1"/>
  <c r="AQ60" i="1"/>
  <c r="AN60" i="1"/>
  <c r="AO60" i="1" s="1"/>
  <c r="AP60" i="1" s="1"/>
  <c r="AK60" i="1"/>
  <c r="AJ60" i="1"/>
  <c r="AH60" i="1"/>
  <c r="AG60" i="1"/>
  <c r="AC60" i="1"/>
  <c r="AA60" i="1"/>
  <c r="Z60" i="1"/>
  <c r="Y60" i="1"/>
  <c r="X60" i="1"/>
  <c r="W60" i="1"/>
  <c r="U60" i="1"/>
  <c r="T60" i="1"/>
  <c r="S60" i="1"/>
  <c r="R60" i="1"/>
  <c r="P60" i="1"/>
  <c r="O60" i="1"/>
  <c r="L60" i="1"/>
  <c r="K60" i="1"/>
  <c r="H60" i="1"/>
  <c r="G60" i="1"/>
  <c r="F60" i="1"/>
  <c r="E60" i="1"/>
  <c r="D60" i="1"/>
  <c r="C60" i="1"/>
  <c r="AT59" i="1"/>
  <c r="AS59" i="1"/>
  <c r="AQ59" i="1"/>
  <c r="AN59" i="1"/>
  <c r="AO59" i="1" s="1"/>
  <c r="AP59" i="1" s="1"/>
  <c r="AK59" i="1"/>
  <c r="AJ59" i="1"/>
  <c r="AH59" i="1"/>
  <c r="AG59" i="1"/>
  <c r="AC59" i="1"/>
  <c r="AA59" i="1"/>
  <c r="Z59" i="1"/>
  <c r="Y59" i="1"/>
  <c r="X59" i="1"/>
  <c r="W59" i="1"/>
  <c r="U59" i="1"/>
  <c r="T59" i="1"/>
  <c r="S59" i="1"/>
  <c r="R59" i="1"/>
  <c r="P59" i="1"/>
  <c r="O59" i="1"/>
  <c r="L59" i="1"/>
  <c r="K59" i="1"/>
  <c r="H59" i="1"/>
  <c r="G59" i="1"/>
  <c r="F59" i="1"/>
  <c r="E59" i="1"/>
  <c r="D59" i="1"/>
  <c r="C59" i="1"/>
  <c r="AT58" i="1"/>
  <c r="AS58" i="1"/>
  <c r="AQ58" i="1"/>
  <c r="AN58" i="1"/>
  <c r="AO58" i="1" s="1"/>
  <c r="AP58" i="1" s="1"/>
  <c r="AK58" i="1"/>
  <c r="AJ58" i="1"/>
  <c r="AH58" i="1"/>
  <c r="AG58" i="1"/>
  <c r="AC58" i="1"/>
  <c r="AA58" i="1"/>
  <c r="Z58" i="1"/>
  <c r="Y58" i="1"/>
  <c r="X58" i="1"/>
  <c r="W58" i="1"/>
  <c r="U58" i="1"/>
  <c r="T58" i="1"/>
  <c r="S58" i="1"/>
  <c r="R58" i="1"/>
  <c r="P58" i="1"/>
  <c r="O58" i="1"/>
  <c r="L58" i="1"/>
  <c r="K58" i="1"/>
  <c r="H58" i="1"/>
  <c r="G58" i="1"/>
  <c r="F58" i="1"/>
  <c r="E58" i="1"/>
  <c r="D58" i="1"/>
  <c r="C58" i="1"/>
  <c r="AT57" i="1"/>
  <c r="AS57" i="1"/>
  <c r="AQ57" i="1"/>
  <c r="AN57" i="1"/>
  <c r="AO57" i="1" s="1"/>
  <c r="AP57" i="1" s="1"/>
  <c r="AK57" i="1"/>
  <c r="AJ57" i="1"/>
  <c r="AH57" i="1"/>
  <c r="AG57" i="1"/>
  <c r="AC57" i="1"/>
  <c r="AA57" i="1"/>
  <c r="Z57" i="1"/>
  <c r="Y57" i="1"/>
  <c r="X57" i="1"/>
  <c r="W57" i="1"/>
  <c r="U57" i="1"/>
  <c r="T57" i="1"/>
  <c r="S57" i="1"/>
  <c r="R57" i="1"/>
  <c r="P57" i="1"/>
  <c r="O57" i="1"/>
  <c r="L57" i="1"/>
  <c r="K57" i="1"/>
  <c r="H57" i="1"/>
  <c r="G57" i="1"/>
  <c r="F57" i="1"/>
  <c r="E57" i="1"/>
  <c r="D57" i="1"/>
  <c r="C57" i="1"/>
  <c r="AT56" i="1"/>
  <c r="AS56" i="1"/>
  <c r="AQ56" i="1"/>
  <c r="AN56" i="1"/>
  <c r="AO56" i="1" s="1"/>
  <c r="AP56" i="1" s="1"/>
  <c r="AK56" i="1"/>
  <c r="AJ56" i="1"/>
  <c r="AH56" i="1"/>
  <c r="AG56" i="1"/>
  <c r="AC56" i="1"/>
  <c r="AA56" i="1"/>
  <c r="Z56" i="1"/>
  <c r="Y56" i="1"/>
  <c r="X56" i="1"/>
  <c r="W56" i="1"/>
  <c r="U56" i="1"/>
  <c r="T56" i="1"/>
  <c r="S56" i="1"/>
  <c r="R56" i="1"/>
  <c r="P56" i="1"/>
  <c r="O56" i="1"/>
  <c r="L56" i="1"/>
  <c r="K56" i="1"/>
  <c r="H56" i="1"/>
  <c r="G56" i="1"/>
  <c r="F56" i="1"/>
  <c r="E56" i="1"/>
  <c r="D56" i="1"/>
  <c r="C56" i="1"/>
  <c r="AT55" i="1"/>
  <c r="AS55" i="1"/>
  <c r="AQ55" i="1"/>
  <c r="AN55" i="1"/>
  <c r="AO55" i="1" s="1"/>
  <c r="AP55" i="1" s="1"/>
  <c r="AK55" i="1"/>
  <c r="AJ55" i="1"/>
  <c r="AH55" i="1"/>
  <c r="AG55" i="1"/>
  <c r="AC55" i="1"/>
  <c r="AA55" i="1"/>
  <c r="Z55" i="1"/>
  <c r="Y55" i="1"/>
  <c r="X55" i="1"/>
  <c r="W55" i="1"/>
  <c r="U55" i="1"/>
  <c r="T55" i="1"/>
  <c r="S55" i="1"/>
  <c r="R55" i="1"/>
  <c r="P55" i="1"/>
  <c r="O55" i="1"/>
  <c r="L55" i="1"/>
  <c r="K55" i="1"/>
  <c r="H55" i="1"/>
  <c r="G55" i="1"/>
  <c r="F55" i="1"/>
  <c r="E55" i="1"/>
  <c r="D55" i="1"/>
  <c r="C55" i="1"/>
  <c r="AT54" i="1"/>
  <c r="AS54" i="1"/>
  <c r="AQ54" i="1"/>
  <c r="AN54" i="1"/>
  <c r="AO54" i="1" s="1"/>
  <c r="AP54" i="1" s="1"/>
  <c r="AK54" i="1"/>
  <c r="AJ54" i="1"/>
  <c r="AH54" i="1"/>
  <c r="AG54" i="1"/>
  <c r="AC54" i="1"/>
  <c r="AA54" i="1"/>
  <c r="Z54" i="1"/>
  <c r="Y54" i="1"/>
  <c r="X54" i="1"/>
  <c r="W54" i="1"/>
  <c r="U54" i="1"/>
  <c r="T54" i="1"/>
  <c r="S54" i="1"/>
  <c r="R54" i="1"/>
  <c r="P54" i="1"/>
  <c r="O54" i="1"/>
  <c r="L54" i="1"/>
  <c r="K54" i="1"/>
  <c r="H54" i="1"/>
  <c r="G54" i="1"/>
  <c r="F54" i="1"/>
  <c r="E54" i="1"/>
  <c r="D54" i="1"/>
  <c r="C54" i="1"/>
  <c r="AT53" i="1"/>
  <c r="AS53" i="1"/>
  <c r="AQ53" i="1"/>
  <c r="AN53" i="1"/>
  <c r="AO53" i="1" s="1"/>
  <c r="AP53" i="1" s="1"/>
  <c r="AK53" i="1"/>
  <c r="AJ53" i="1"/>
  <c r="AH53" i="1"/>
  <c r="AG53" i="1"/>
  <c r="AC53" i="1"/>
  <c r="AA53" i="1"/>
  <c r="Z53" i="1"/>
  <c r="Y53" i="1"/>
  <c r="X53" i="1"/>
  <c r="W53" i="1"/>
  <c r="U53" i="1"/>
  <c r="T53" i="1"/>
  <c r="S53" i="1"/>
  <c r="R53" i="1"/>
  <c r="P53" i="1"/>
  <c r="O53" i="1"/>
  <c r="L53" i="1"/>
  <c r="K53" i="1"/>
  <c r="H53" i="1"/>
  <c r="G53" i="1"/>
  <c r="F53" i="1"/>
  <c r="E53" i="1"/>
  <c r="D53" i="1"/>
  <c r="C53" i="1"/>
  <c r="AT52" i="1"/>
  <c r="AS52" i="1"/>
  <c r="AQ52" i="1"/>
  <c r="AN52" i="1"/>
  <c r="AO52" i="1" s="1"/>
  <c r="AP52" i="1" s="1"/>
  <c r="AK52" i="1"/>
  <c r="AJ52" i="1"/>
  <c r="AH52" i="1"/>
  <c r="AG52" i="1"/>
  <c r="AC52" i="1"/>
  <c r="AA52" i="1"/>
  <c r="Z52" i="1"/>
  <c r="Y52" i="1"/>
  <c r="X52" i="1"/>
  <c r="W52" i="1"/>
  <c r="U52" i="1"/>
  <c r="T52" i="1"/>
  <c r="S52" i="1"/>
  <c r="R52" i="1"/>
  <c r="P52" i="1"/>
  <c r="O52" i="1"/>
  <c r="L52" i="1"/>
  <c r="K52" i="1"/>
  <c r="H52" i="1"/>
  <c r="G52" i="1"/>
  <c r="F52" i="1"/>
  <c r="E52" i="1"/>
  <c r="D52" i="1"/>
  <c r="C52" i="1"/>
  <c r="AT51" i="1"/>
  <c r="AS51" i="1"/>
  <c r="AQ51" i="1"/>
  <c r="AN51" i="1"/>
  <c r="AO51" i="1" s="1"/>
  <c r="AP51" i="1" s="1"/>
  <c r="AK51" i="1"/>
  <c r="AJ51" i="1"/>
  <c r="AH51" i="1"/>
  <c r="AG51" i="1"/>
  <c r="AC51" i="1"/>
  <c r="AA51" i="1"/>
  <c r="Z51" i="1"/>
  <c r="Y51" i="1"/>
  <c r="X51" i="1"/>
  <c r="W51" i="1"/>
  <c r="U51" i="1"/>
  <c r="T51" i="1"/>
  <c r="S51" i="1"/>
  <c r="R51" i="1"/>
  <c r="P51" i="1"/>
  <c r="O51" i="1"/>
  <c r="L51" i="1"/>
  <c r="K51" i="1"/>
  <c r="H51" i="1"/>
  <c r="G51" i="1"/>
  <c r="F51" i="1"/>
  <c r="E51" i="1"/>
  <c r="D51" i="1"/>
  <c r="C51" i="1"/>
  <c r="AT50" i="1"/>
  <c r="AS50" i="1"/>
  <c r="AQ50" i="1"/>
  <c r="AN50" i="1"/>
  <c r="AO50" i="1" s="1"/>
  <c r="AP50" i="1" s="1"/>
  <c r="AK50" i="1"/>
  <c r="AJ50" i="1"/>
  <c r="AH50" i="1"/>
  <c r="AG50" i="1"/>
  <c r="AC50" i="1"/>
  <c r="AA50" i="1"/>
  <c r="Z50" i="1"/>
  <c r="Y50" i="1"/>
  <c r="X50" i="1"/>
  <c r="W50" i="1"/>
  <c r="U50" i="1"/>
  <c r="T50" i="1"/>
  <c r="S50" i="1"/>
  <c r="R50" i="1"/>
  <c r="P50" i="1"/>
  <c r="O50" i="1"/>
  <c r="L50" i="1"/>
  <c r="K50" i="1"/>
  <c r="H50" i="1"/>
  <c r="G50" i="1"/>
  <c r="F50" i="1"/>
  <c r="E50" i="1"/>
  <c r="D50" i="1"/>
  <c r="C50" i="1"/>
  <c r="AT49" i="1"/>
  <c r="AS49" i="1"/>
  <c r="AQ49" i="1"/>
  <c r="AN49" i="1"/>
  <c r="AO49" i="1" s="1"/>
  <c r="AP49" i="1" s="1"/>
  <c r="AK49" i="1"/>
  <c r="AJ49" i="1"/>
  <c r="AH49" i="1"/>
  <c r="AG49" i="1"/>
  <c r="AC49" i="1"/>
  <c r="AA49" i="1"/>
  <c r="Z49" i="1"/>
  <c r="Y49" i="1"/>
  <c r="X49" i="1"/>
  <c r="W49" i="1"/>
  <c r="U49" i="1"/>
  <c r="T49" i="1"/>
  <c r="S49" i="1"/>
  <c r="R49" i="1"/>
  <c r="P49" i="1"/>
  <c r="O49" i="1"/>
  <c r="L49" i="1"/>
  <c r="K49" i="1"/>
  <c r="H49" i="1"/>
  <c r="G49" i="1"/>
  <c r="F49" i="1"/>
  <c r="E49" i="1"/>
  <c r="D49" i="1"/>
  <c r="C49" i="1"/>
  <c r="AT48" i="1"/>
  <c r="AS48" i="1"/>
  <c r="AQ48" i="1"/>
  <c r="AN48" i="1"/>
  <c r="AO48" i="1" s="1"/>
  <c r="AP48" i="1" s="1"/>
  <c r="AK48" i="1"/>
  <c r="AJ48" i="1"/>
  <c r="AH48" i="1"/>
  <c r="AG48" i="1"/>
  <c r="AC48" i="1"/>
  <c r="AA48" i="1"/>
  <c r="Z48" i="1"/>
  <c r="Y48" i="1"/>
  <c r="X48" i="1"/>
  <c r="W48" i="1"/>
  <c r="U48" i="1"/>
  <c r="T48" i="1"/>
  <c r="S48" i="1"/>
  <c r="R48" i="1"/>
  <c r="P48" i="1"/>
  <c r="O48" i="1"/>
  <c r="L48" i="1"/>
  <c r="K48" i="1"/>
  <c r="H48" i="1"/>
  <c r="G48" i="1"/>
  <c r="F48" i="1"/>
  <c r="E48" i="1"/>
  <c r="D48" i="1"/>
  <c r="C48" i="1"/>
  <c r="AT47" i="1"/>
  <c r="AS47" i="1"/>
  <c r="AQ47" i="1"/>
  <c r="AN47" i="1"/>
  <c r="AO47" i="1" s="1"/>
  <c r="AP47" i="1" s="1"/>
  <c r="AK47" i="1"/>
  <c r="AJ47" i="1"/>
  <c r="AH47" i="1"/>
  <c r="AG47" i="1"/>
  <c r="AC47" i="1"/>
  <c r="AA47" i="1"/>
  <c r="Z47" i="1"/>
  <c r="Y47" i="1"/>
  <c r="X47" i="1"/>
  <c r="W47" i="1"/>
  <c r="U47" i="1"/>
  <c r="T47" i="1"/>
  <c r="S47" i="1"/>
  <c r="R47" i="1"/>
  <c r="P47" i="1"/>
  <c r="O47" i="1"/>
  <c r="L47" i="1"/>
  <c r="K47" i="1"/>
  <c r="H47" i="1"/>
  <c r="G47" i="1"/>
  <c r="F47" i="1"/>
  <c r="E47" i="1"/>
  <c r="D47" i="1"/>
  <c r="C47" i="1"/>
  <c r="AT46" i="1"/>
  <c r="AS46" i="1"/>
  <c r="AQ46" i="1"/>
  <c r="AN46" i="1"/>
  <c r="AO46" i="1" s="1"/>
  <c r="AP46" i="1" s="1"/>
  <c r="AK46" i="1"/>
  <c r="AJ46" i="1"/>
  <c r="AH46" i="1"/>
  <c r="AG46" i="1"/>
  <c r="AC46" i="1"/>
  <c r="AA46" i="1"/>
  <c r="Z46" i="1"/>
  <c r="Y46" i="1"/>
  <c r="X46" i="1"/>
  <c r="W46" i="1"/>
  <c r="U46" i="1"/>
  <c r="T46" i="1"/>
  <c r="S46" i="1"/>
  <c r="R46" i="1"/>
  <c r="P46" i="1"/>
  <c r="O46" i="1"/>
  <c r="L46" i="1"/>
  <c r="K46" i="1"/>
  <c r="H46" i="1"/>
  <c r="G46" i="1"/>
  <c r="F46" i="1"/>
  <c r="E46" i="1"/>
  <c r="D46" i="1"/>
  <c r="C46" i="1"/>
  <c r="AT45" i="1"/>
  <c r="AS45" i="1"/>
  <c r="AQ45" i="1"/>
  <c r="AN45" i="1"/>
  <c r="AO45" i="1" s="1"/>
  <c r="AP45" i="1" s="1"/>
  <c r="AK45" i="1"/>
  <c r="AJ45" i="1"/>
  <c r="AH45" i="1"/>
  <c r="AG45" i="1"/>
  <c r="AC45" i="1"/>
  <c r="AA45" i="1"/>
  <c r="Z45" i="1"/>
  <c r="Y45" i="1"/>
  <c r="X45" i="1"/>
  <c r="W45" i="1"/>
  <c r="U45" i="1"/>
  <c r="T45" i="1"/>
  <c r="S45" i="1"/>
  <c r="R45" i="1"/>
  <c r="P45" i="1"/>
  <c r="O45" i="1"/>
  <c r="L45" i="1"/>
  <c r="K45" i="1"/>
  <c r="H45" i="1"/>
  <c r="G45" i="1"/>
  <c r="F45" i="1"/>
  <c r="E45" i="1"/>
  <c r="D45" i="1"/>
  <c r="C45" i="1"/>
  <c r="AT44" i="1"/>
  <c r="AS44" i="1"/>
  <c r="AQ44" i="1"/>
  <c r="AN44" i="1"/>
  <c r="AO44" i="1" s="1"/>
  <c r="AP44" i="1" s="1"/>
  <c r="AK44" i="1"/>
  <c r="AJ44" i="1"/>
  <c r="AH44" i="1"/>
  <c r="AG44" i="1"/>
  <c r="AC44" i="1"/>
  <c r="AA44" i="1"/>
  <c r="Z44" i="1"/>
  <c r="Y44" i="1"/>
  <c r="X44" i="1"/>
  <c r="W44" i="1"/>
  <c r="U44" i="1"/>
  <c r="T44" i="1"/>
  <c r="S44" i="1"/>
  <c r="R44" i="1"/>
  <c r="P44" i="1"/>
  <c r="O44" i="1"/>
  <c r="L44" i="1"/>
  <c r="K44" i="1"/>
  <c r="H44" i="1"/>
  <c r="G44" i="1"/>
  <c r="F44" i="1"/>
  <c r="E44" i="1"/>
  <c r="D44" i="1"/>
  <c r="C44" i="1"/>
  <c r="AT43" i="1"/>
  <c r="AS43" i="1"/>
  <c r="AQ43" i="1"/>
  <c r="AN43" i="1"/>
  <c r="AO43" i="1" s="1"/>
  <c r="AP43" i="1" s="1"/>
  <c r="AK43" i="1"/>
  <c r="AJ43" i="1"/>
  <c r="AH43" i="1"/>
  <c r="AG43" i="1"/>
  <c r="AC43" i="1"/>
  <c r="AA43" i="1"/>
  <c r="Z43" i="1"/>
  <c r="Y43" i="1"/>
  <c r="X43" i="1"/>
  <c r="W43" i="1"/>
  <c r="U43" i="1"/>
  <c r="T43" i="1"/>
  <c r="S43" i="1"/>
  <c r="R43" i="1"/>
  <c r="P43" i="1"/>
  <c r="O43" i="1"/>
  <c r="L43" i="1"/>
  <c r="K43" i="1"/>
  <c r="H43" i="1"/>
  <c r="G43" i="1"/>
  <c r="F43" i="1"/>
  <c r="E43" i="1"/>
  <c r="D43" i="1"/>
  <c r="C43" i="1"/>
  <c r="AT42" i="1"/>
  <c r="AS42" i="1"/>
  <c r="AQ42" i="1"/>
  <c r="AN42" i="1"/>
  <c r="AO42" i="1" s="1"/>
  <c r="AP42" i="1" s="1"/>
  <c r="AK42" i="1"/>
  <c r="AJ42" i="1"/>
  <c r="AH42" i="1"/>
  <c r="AG42" i="1"/>
  <c r="AC42" i="1"/>
  <c r="AA42" i="1"/>
  <c r="Z42" i="1"/>
  <c r="Y42" i="1"/>
  <c r="X42" i="1"/>
  <c r="W42" i="1"/>
  <c r="U42" i="1"/>
  <c r="T42" i="1"/>
  <c r="S42" i="1"/>
  <c r="R42" i="1"/>
  <c r="P42" i="1"/>
  <c r="O42" i="1"/>
  <c r="L42" i="1"/>
  <c r="K42" i="1"/>
  <c r="H42" i="1"/>
  <c r="G42" i="1"/>
  <c r="F42" i="1"/>
  <c r="E42" i="1"/>
  <c r="D42" i="1"/>
  <c r="C42" i="1"/>
  <c r="AT41" i="1"/>
  <c r="AS41" i="1"/>
  <c r="AQ41" i="1"/>
  <c r="AN41" i="1"/>
  <c r="AO41" i="1" s="1"/>
  <c r="AP41" i="1" s="1"/>
  <c r="AK41" i="1"/>
  <c r="AJ41" i="1"/>
  <c r="AH41" i="1"/>
  <c r="AG41" i="1"/>
  <c r="AC41" i="1"/>
  <c r="AA41" i="1"/>
  <c r="Z41" i="1"/>
  <c r="Y41" i="1"/>
  <c r="X41" i="1"/>
  <c r="W41" i="1"/>
  <c r="U41" i="1"/>
  <c r="T41" i="1"/>
  <c r="S41" i="1"/>
  <c r="R41" i="1"/>
  <c r="P41" i="1"/>
  <c r="O41" i="1"/>
  <c r="L41" i="1"/>
  <c r="K41" i="1"/>
  <c r="H41" i="1"/>
  <c r="G41" i="1"/>
  <c r="F41" i="1"/>
  <c r="E41" i="1"/>
  <c r="D41" i="1"/>
  <c r="C41" i="1"/>
  <c r="AT40" i="1"/>
  <c r="AS40" i="1"/>
  <c r="AQ40" i="1"/>
  <c r="AN40" i="1"/>
  <c r="AO40" i="1" s="1"/>
  <c r="AP40" i="1" s="1"/>
  <c r="AK40" i="1"/>
  <c r="AJ40" i="1"/>
  <c r="AH40" i="1"/>
  <c r="AG40" i="1"/>
  <c r="AC40" i="1"/>
  <c r="AA40" i="1"/>
  <c r="Z40" i="1"/>
  <c r="Y40" i="1"/>
  <c r="X40" i="1"/>
  <c r="W40" i="1"/>
  <c r="U40" i="1"/>
  <c r="T40" i="1"/>
  <c r="S40" i="1"/>
  <c r="R40" i="1"/>
  <c r="P40" i="1"/>
  <c r="O40" i="1"/>
  <c r="L40" i="1"/>
  <c r="K40" i="1"/>
  <c r="H40" i="1"/>
  <c r="G40" i="1"/>
  <c r="F40" i="1"/>
  <c r="E40" i="1"/>
  <c r="D40" i="1"/>
  <c r="C40" i="1"/>
  <c r="AT39" i="1"/>
  <c r="AS39" i="1"/>
  <c r="AQ39" i="1"/>
  <c r="AN39" i="1"/>
  <c r="AO39" i="1" s="1"/>
  <c r="AP39" i="1" s="1"/>
  <c r="AK39" i="1"/>
  <c r="AJ39" i="1"/>
  <c r="AH39" i="1"/>
  <c r="AG39" i="1"/>
  <c r="AC39" i="1"/>
  <c r="AA39" i="1"/>
  <c r="Z39" i="1"/>
  <c r="Y39" i="1"/>
  <c r="X39" i="1"/>
  <c r="W39" i="1"/>
  <c r="U39" i="1"/>
  <c r="T39" i="1"/>
  <c r="S39" i="1"/>
  <c r="R39" i="1"/>
  <c r="P39" i="1"/>
  <c r="O39" i="1"/>
  <c r="L39" i="1"/>
  <c r="K39" i="1"/>
  <c r="H39" i="1"/>
  <c r="G39" i="1"/>
  <c r="F39" i="1"/>
  <c r="E39" i="1"/>
  <c r="D39" i="1"/>
  <c r="C39" i="1"/>
  <c r="AT38" i="1"/>
  <c r="AS38" i="1"/>
  <c r="AQ38" i="1"/>
  <c r="AN38" i="1"/>
  <c r="AO38" i="1" s="1"/>
  <c r="AP38" i="1" s="1"/>
  <c r="AK38" i="1"/>
  <c r="AJ38" i="1"/>
  <c r="AH38" i="1"/>
  <c r="AG38" i="1"/>
  <c r="AC38" i="1"/>
  <c r="AA38" i="1"/>
  <c r="Z38" i="1"/>
  <c r="Y38" i="1"/>
  <c r="X38" i="1"/>
  <c r="W38" i="1"/>
  <c r="U38" i="1"/>
  <c r="T38" i="1"/>
  <c r="S38" i="1"/>
  <c r="R38" i="1"/>
  <c r="P38" i="1"/>
  <c r="O38" i="1"/>
  <c r="L38" i="1"/>
  <c r="K38" i="1"/>
  <c r="H38" i="1"/>
  <c r="G38" i="1"/>
  <c r="F38" i="1"/>
  <c r="E38" i="1"/>
  <c r="D38" i="1"/>
  <c r="C38" i="1"/>
  <c r="AT37" i="1"/>
  <c r="AS37" i="1"/>
  <c r="AQ37" i="1"/>
  <c r="AN37" i="1"/>
  <c r="AO37" i="1" s="1"/>
  <c r="AP37" i="1" s="1"/>
  <c r="AK37" i="1"/>
  <c r="AJ37" i="1"/>
  <c r="AH37" i="1"/>
  <c r="AG37" i="1"/>
  <c r="AC37" i="1"/>
  <c r="AA37" i="1"/>
  <c r="Z37" i="1"/>
  <c r="Y37" i="1"/>
  <c r="X37" i="1"/>
  <c r="W37" i="1"/>
  <c r="U37" i="1"/>
  <c r="T37" i="1"/>
  <c r="S37" i="1"/>
  <c r="R37" i="1"/>
  <c r="P37" i="1"/>
  <c r="O37" i="1"/>
  <c r="L37" i="1"/>
  <c r="K37" i="1"/>
  <c r="H37" i="1"/>
  <c r="G37" i="1"/>
  <c r="F37" i="1"/>
  <c r="E37" i="1"/>
  <c r="D37" i="1"/>
  <c r="C37" i="1"/>
  <c r="AT36" i="1"/>
  <c r="AS36" i="1"/>
  <c r="AQ36" i="1"/>
  <c r="AN36" i="1"/>
  <c r="AO36" i="1" s="1"/>
  <c r="AP36" i="1" s="1"/>
  <c r="AK36" i="1"/>
  <c r="AJ36" i="1"/>
  <c r="AH36" i="1"/>
  <c r="AG36" i="1"/>
  <c r="AC36" i="1"/>
  <c r="AB36" i="1"/>
  <c r="AA36" i="1"/>
  <c r="Z36" i="1"/>
  <c r="Y36" i="1"/>
  <c r="X36" i="1"/>
  <c r="W36" i="1"/>
  <c r="U36" i="1"/>
  <c r="T36" i="1"/>
  <c r="S36" i="1"/>
  <c r="R36" i="1"/>
  <c r="P36" i="1"/>
  <c r="O36" i="1"/>
  <c r="L36" i="1"/>
  <c r="K36" i="1"/>
  <c r="H36" i="1"/>
  <c r="G36" i="1"/>
  <c r="F36" i="1"/>
  <c r="E36" i="1"/>
  <c r="D36" i="1"/>
  <c r="C36" i="1"/>
  <c r="AT35" i="1"/>
  <c r="AS35" i="1"/>
  <c r="AQ35" i="1"/>
  <c r="AN35" i="1"/>
  <c r="AO35" i="1" s="1"/>
  <c r="AP35" i="1" s="1"/>
  <c r="AK35" i="1"/>
  <c r="AJ35" i="1"/>
  <c r="AH35" i="1"/>
  <c r="AG35" i="1"/>
  <c r="AC35" i="1"/>
  <c r="AB35" i="1"/>
  <c r="AA35" i="1"/>
  <c r="Z35" i="1"/>
  <c r="Y35" i="1"/>
  <c r="X35" i="1"/>
  <c r="W35" i="1"/>
  <c r="U35" i="1"/>
  <c r="T35" i="1"/>
  <c r="S35" i="1"/>
  <c r="R35" i="1"/>
  <c r="P35" i="1"/>
  <c r="O35" i="1"/>
  <c r="L35" i="1"/>
  <c r="K35" i="1"/>
  <c r="H35" i="1"/>
  <c r="G35" i="1"/>
  <c r="F35" i="1"/>
  <c r="E35" i="1"/>
  <c r="D35" i="1"/>
  <c r="C35" i="1"/>
  <c r="AT34" i="1"/>
  <c r="AS34" i="1"/>
  <c r="AQ34" i="1"/>
  <c r="AN34" i="1"/>
  <c r="AO34" i="1" s="1"/>
  <c r="AP34" i="1" s="1"/>
  <c r="AK34" i="1"/>
  <c r="AJ34" i="1"/>
  <c r="AH34" i="1"/>
  <c r="AG34" i="1"/>
  <c r="AF34" i="1"/>
  <c r="AC34" i="1"/>
  <c r="AB34" i="1"/>
  <c r="AA34" i="1"/>
  <c r="Z34" i="1"/>
  <c r="Y34" i="1"/>
  <c r="X34" i="1"/>
  <c r="W34" i="1"/>
  <c r="U34" i="1"/>
  <c r="T34" i="1"/>
  <c r="S34" i="1"/>
  <c r="R34" i="1"/>
  <c r="Q34" i="1"/>
  <c r="P34" i="1"/>
  <c r="O34" i="1"/>
  <c r="L34" i="1"/>
  <c r="K34" i="1"/>
  <c r="H34" i="1"/>
  <c r="G34" i="1"/>
  <c r="F34" i="1"/>
  <c r="E34" i="1"/>
  <c r="D34" i="1"/>
  <c r="C34" i="1"/>
  <c r="AT33" i="1"/>
  <c r="AS33" i="1"/>
  <c r="AQ33" i="1"/>
  <c r="AN33" i="1"/>
  <c r="AO33" i="1" s="1"/>
  <c r="AP33" i="1" s="1"/>
  <c r="AK33" i="1"/>
  <c r="AJ33" i="1"/>
  <c r="AH33" i="1"/>
  <c r="AG33" i="1"/>
  <c r="AF33" i="1"/>
  <c r="AC33" i="1"/>
  <c r="AB33" i="1"/>
  <c r="AA33" i="1"/>
  <c r="Z33" i="1"/>
  <c r="Y33" i="1"/>
  <c r="X33" i="1"/>
  <c r="W33" i="1"/>
  <c r="U33" i="1"/>
  <c r="T33" i="1"/>
  <c r="S33" i="1"/>
  <c r="R33" i="1"/>
  <c r="Q33" i="1"/>
  <c r="P33" i="1"/>
  <c r="O33" i="1"/>
  <c r="L33" i="1"/>
  <c r="K33" i="1"/>
  <c r="H33" i="1"/>
  <c r="G33" i="1"/>
  <c r="F33" i="1"/>
  <c r="E33" i="1"/>
  <c r="D33" i="1"/>
  <c r="C33" i="1"/>
  <c r="AT32" i="1"/>
  <c r="AS32" i="1"/>
  <c r="AQ32" i="1"/>
  <c r="AN32" i="1"/>
  <c r="AO32" i="1" s="1"/>
  <c r="AP32" i="1" s="1"/>
  <c r="AK32" i="1"/>
  <c r="AJ32" i="1"/>
  <c r="AH32" i="1"/>
  <c r="AG32" i="1"/>
  <c r="AF32" i="1"/>
  <c r="AC32" i="1"/>
  <c r="AB32" i="1"/>
  <c r="AA32" i="1"/>
  <c r="Z32" i="1"/>
  <c r="Y32" i="1"/>
  <c r="X32" i="1"/>
  <c r="W32" i="1"/>
  <c r="U32" i="1"/>
  <c r="T32" i="1"/>
  <c r="S32" i="1"/>
  <c r="R32" i="1"/>
  <c r="Q32" i="1"/>
  <c r="P32" i="1"/>
  <c r="O32" i="1"/>
  <c r="L32" i="1"/>
  <c r="K32" i="1"/>
  <c r="H32" i="1"/>
  <c r="G32" i="1"/>
  <c r="F32" i="1"/>
  <c r="E32" i="1"/>
  <c r="D32" i="1"/>
  <c r="C32" i="1"/>
  <c r="AT31" i="1"/>
  <c r="AS31" i="1"/>
  <c r="AQ31" i="1"/>
  <c r="AN31" i="1"/>
  <c r="AO31" i="1" s="1"/>
  <c r="AP31" i="1" s="1"/>
  <c r="AK31" i="1"/>
  <c r="AJ31" i="1"/>
  <c r="AH31" i="1"/>
  <c r="AG31" i="1"/>
  <c r="AF31" i="1"/>
  <c r="AC31" i="1"/>
  <c r="AB31" i="1"/>
  <c r="AA31" i="1"/>
  <c r="Z31" i="1"/>
  <c r="Y31" i="1"/>
  <c r="X31" i="1"/>
  <c r="W31" i="1"/>
  <c r="U31" i="1"/>
  <c r="T31" i="1"/>
  <c r="S31" i="1"/>
  <c r="R31" i="1"/>
  <c r="Q31" i="1"/>
  <c r="P31" i="1"/>
  <c r="O31" i="1"/>
  <c r="L31" i="1"/>
  <c r="K31" i="1"/>
  <c r="H31" i="1"/>
  <c r="G31" i="1"/>
  <c r="F31" i="1"/>
  <c r="E31" i="1"/>
  <c r="D31" i="1"/>
  <c r="C31" i="1"/>
  <c r="AT30" i="1"/>
  <c r="AS30" i="1"/>
  <c r="AQ30" i="1"/>
  <c r="AN30" i="1"/>
  <c r="AO30" i="1" s="1"/>
  <c r="AP30" i="1" s="1"/>
  <c r="AK30" i="1"/>
  <c r="AJ30" i="1"/>
  <c r="AH30" i="1"/>
  <c r="AG30" i="1"/>
  <c r="AF30" i="1"/>
  <c r="AC30" i="1"/>
  <c r="AB30" i="1"/>
  <c r="AA30" i="1"/>
  <c r="Z30" i="1"/>
  <c r="Y30" i="1"/>
  <c r="X30" i="1"/>
  <c r="W30" i="1"/>
  <c r="U30" i="1"/>
  <c r="T30" i="1"/>
  <c r="S30" i="1"/>
  <c r="R30" i="1"/>
  <c r="Q30" i="1"/>
  <c r="P30" i="1"/>
  <c r="O30" i="1"/>
  <c r="L30" i="1"/>
  <c r="K30" i="1"/>
  <c r="H30" i="1"/>
  <c r="G30" i="1"/>
  <c r="F30" i="1"/>
  <c r="E30" i="1"/>
  <c r="D30" i="1"/>
  <c r="C30" i="1"/>
  <c r="AT29" i="1"/>
  <c r="AS29" i="1"/>
  <c r="AQ29" i="1"/>
  <c r="AN29" i="1"/>
  <c r="AO29" i="1" s="1"/>
  <c r="AP29" i="1" s="1"/>
  <c r="AK29" i="1"/>
  <c r="AJ29" i="1"/>
  <c r="AH29" i="1"/>
  <c r="AG29" i="1"/>
  <c r="AF29" i="1"/>
  <c r="AC29" i="1"/>
  <c r="AB29" i="1"/>
  <c r="AA29" i="1"/>
  <c r="Z29" i="1"/>
  <c r="Y29" i="1"/>
  <c r="X29" i="1"/>
  <c r="W29" i="1"/>
  <c r="U29" i="1"/>
  <c r="T29" i="1"/>
  <c r="S29" i="1"/>
  <c r="R29" i="1"/>
  <c r="Q29" i="1"/>
  <c r="P29" i="1"/>
  <c r="O29" i="1"/>
  <c r="L29" i="1"/>
  <c r="K29" i="1"/>
  <c r="H29" i="1"/>
  <c r="G29" i="1"/>
  <c r="F29" i="1"/>
  <c r="E29" i="1"/>
  <c r="D29" i="1"/>
  <c r="C29" i="1"/>
  <c r="AT28" i="1"/>
  <c r="AS28" i="1"/>
  <c r="AQ28" i="1"/>
  <c r="AN28" i="1"/>
  <c r="AO28" i="1" s="1"/>
  <c r="AP28" i="1" s="1"/>
  <c r="AK28" i="1"/>
  <c r="AJ28" i="1"/>
  <c r="AH28" i="1"/>
  <c r="AG28" i="1"/>
  <c r="AF28" i="1"/>
  <c r="AC28" i="1"/>
  <c r="AB28" i="1"/>
  <c r="AA28" i="1"/>
  <c r="Z28" i="1"/>
  <c r="Y28" i="1"/>
  <c r="X28" i="1"/>
  <c r="W28" i="1"/>
  <c r="U28" i="1"/>
  <c r="T28" i="1"/>
  <c r="S28" i="1"/>
  <c r="R28" i="1"/>
  <c r="Q28" i="1"/>
  <c r="P28" i="1"/>
  <c r="O28" i="1"/>
  <c r="L28" i="1"/>
  <c r="K28" i="1"/>
  <c r="H28" i="1"/>
  <c r="G28" i="1"/>
  <c r="F28" i="1"/>
  <c r="E28" i="1"/>
  <c r="D28" i="1"/>
  <c r="C28" i="1"/>
  <c r="AT27" i="1"/>
  <c r="AS27" i="1"/>
  <c r="AQ27" i="1"/>
  <c r="AN27" i="1"/>
  <c r="AO27" i="1" s="1"/>
  <c r="AP27" i="1" s="1"/>
  <c r="AK27" i="1"/>
  <c r="AJ27" i="1"/>
  <c r="AH27" i="1"/>
  <c r="AG27" i="1"/>
  <c r="AF27" i="1"/>
  <c r="AC27" i="1"/>
  <c r="AB27" i="1"/>
  <c r="AA27" i="1"/>
  <c r="Z27" i="1"/>
  <c r="Y27" i="1"/>
  <c r="X27" i="1"/>
  <c r="W27" i="1"/>
  <c r="U27" i="1"/>
  <c r="T27" i="1"/>
  <c r="S27" i="1"/>
  <c r="R27" i="1"/>
  <c r="Q27" i="1"/>
  <c r="P27" i="1"/>
  <c r="O27" i="1"/>
  <c r="L27" i="1"/>
  <c r="K27" i="1"/>
  <c r="H27" i="1"/>
  <c r="G27" i="1"/>
  <c r="F27" i="1"/>
  <c r="E27" i="1"/>
  <c r="D27" i="1"/>
  <c r="C27" i="1"/>
  <c r="AT26" i="1"/>
  <c r="AS26" i="1"/>
  <c r="AQ26" i="1"/>
  <c r="AN26" i="1"/>
  <c r="AO26" i="1" s="1"/>
  <c r="AP26" i="1" s="1"/>
  <c r="AK26" i="1"/>
  <c r="AJ26" i="1"/>
  <c r="AH26" i="1"/>
  <c r="AG26" i="1"/>
  <c r="AF26" i="1"/>
  <c r="AC26" i="1"/>
  <c r="AB26" i="1"/>
  <c r="AA26" i="1"/>
  <c r="Z26" i="1"/>
  <c r="Y26" i="1"/>
  <c r="X26" i="1"/>
  <c r="W26" i="1"/>
  <c r="U26" i="1"/>
  <c r="T26" i="1"/>
  <c r="S26" i="1"/>
  <c r="R26" i="1"/>
  <c r="Q26" i="1"/>
  <c r="P26" i="1"/>
  <c r="O26" i="1"/>
  <c r="L26" i="1"/>
  <c r="K26" i="1"/>
  <c r="H26" i="1"/>
  <c r="G26" i="1"/>
  <c r="F26" i="1"/>
  <c r="E26" i="1"/>
  <c r="D26" i="1"/>
  <c r="C26" i="1"/>
  <c r="AT25" i="1"/>
  <c r="AS25" i="1"/>
  <c r="AQ25" i="1"/>
  <c r="AN25" i="1"/>
  <c r="AO25" i="1" s="1"/>
  <c r="AP25" i="1" s="1"/>
  <c r="AK25" i="1"/>
  <c r="AJ25" i="1"/>
  <c r="AH25" i="1"/>
  <c r="AG25" i="1"/>
  <c r="AF25" i="1"/>
  <c r="AC25" i="1"/>
  <c r="AB25" i="1"/>
  <c r="AA25" i="1"/>
  <c r="Z25" i="1"/>
  <c r="Y25" i="1"/>
  <c r="X25" i="1"/>
  <c r="W25" i="1"/>
  <c r="U25" i="1"/>
  <c r="T25" i="1"/>
  <c r="S25" i="1"/>
  <c r="R25" i="1"/>
  <c r="Q25" i="1"/>
  <c r="P25" i="1"/>
  <c r="O25" i="1"/>
  <c r="L25" i="1"/>
  <c r="K25" i="1"/>
  <c r="H25" i="1"/>
  <c r="G25" i="1"/>
  <c r="F25" i="1"/>
  <c r="E25" i="1"/>
  <c r="D25" i="1"/>
  <c r="C25" i="1"/>
  <c r="AT24" i="1"/>
  <c r="AS24" i="1"/>
  <c r="AQ24" i="1"/>
  <c r="AN24" i="1"/>
  <c r="AO24" i="1" s="1"/>
  <c r="AP24" i="1" s="1"/>
  <c r="AK24" i="1"/>
  <c r="AJ24" i="1"/>
  <c r="AH24" i="1"/>
  <c r="AG24" i="1"/>
  <c r="AF24" i="1"/>
  <c r="AC24" i="1"/>
  <c r="AB24" i="1"/>
  <c r="AA24" i="1"/>
  <c r="Z24" i="1"/>
  <c r="Y24" i="1"/>
  <c r="X24" i="1"/>
  <c r="W24" i="1"/>
  <c r="U24" i="1"/>
  <c r="T24" i="1"/>
  <c r="S24" i="1"/>
  <c r="R24" i="1"/>
  <c r="Q24" i="1"/>
  <c r="P24" i="1"/>
  <c r="O24" i="1"/>
  <c r="L24" i="1"/>
  <c r="K24" i="1"/>
  <c r="H24" i="1"/>
  <c r="G24" i="1"/>
  <c r="F24" i="1"/>
  <c r="E24" i="1"/>
  <c r="D24" i="1"/>
  <c r="C24" i="1"/>
  <c r="AT23" i="1"/>
  <c r="AS23" i="1"/>
  <c r="AQ23" i="1"/>
  <c r="AN23" i="1"/>
  <c r="AO23" i="1" s="1"/>
  <c r="AP23" i="1" s="1"/>
  <c r="AK23" i="1"/>
  <c r="AJ23" i="1"/>
  <c r="AH23" i="1"/>
  <c r="AG23" i="1"/>
  <c r="AF23" i="1"/>
  <c r="AC23" i="1"/>
  <c r="AB23" i="1"/>
  <c r="AA23" i="1"/>
  <c r="Z23" i="1"/>
  <c r="Y23" i="1"/>
  <c r="X23" i="1"/>
  <c r="W23" i="1"/>
  <c r="U23" i="1"/>
  <c r="T23" i="1"/>
  <c r="S23" i="1"/>
  <c r="R23" i="1"/>
  <c r="Q23" i="1"/>
  <c r="P23" i="1"/>
  <c r="O23" i="1"/>
  <c r="L23" i="1"/>
  <c r="K23" i="1"/>
  <c r="H23" i="1"/>
  <c r="G23" i="1"/>
  <c r="F23" i="1"/>
  <c r="E23" i="1"/>
  <c r="D23" i="1"/>
  <c r="C23" i="1"/>
  <c r="AT22" i="1"/>
  <c r="AS22" i="1"/>
  <c r="AQ22" i="1"/>
  <c r="AN22" i="1"/>
  <c r="AO22" i="1" s="1"/>
  <c r="AP22" i="1" s="1"/>
  <c r="AK22" i="1"/>
  <c r="AJ22" i="1"/>
  <c r="AH22" i="1"/>
  <c r="AG22" i="1"/>
  <c r="AF22" i="1"/>
  <c r="AC22" i="1"/>
  <c r="AB22" i="1"/>
  <c r="AA22" i="1"/>
  <c r="Z22" i="1"/>
  <c r="Y22" i="1"/>
  <c r="X22" i="1"/>
  <c r="W22" i="1"/>
  <c r="U22" i="1"/>
  <c r="T22" i="1"/>
  <c r="S22" i="1"/>
  <c r="R22" i="1"/>
  <c r="Q22" i="1"/>
  <c r="P22" i="1"/>
  <c r="O22" i="1"/>
  <c r="L22" i="1"/>
  <c r="K22" i="1"/>
  <c r="H22" i="1"/>
  <c r="G22" i="1"/>
  <c r="F22" i="1"/>
  <c r="E22" i="1"/>
  <c r="D22" i="1"/>
  <c r="C22" i="1"/>
  <c r="AT21" i="1"/>
  <c r="AS21" i="1"/>
  <c r="AQ21" i="1"/>
  <c r="AN21" i="1"/>
  <c r="AO21" i="1" s="1"/>
  <c r="AP21" i="1" s="1"/>
  <c r="AK21" i="1"/>
  <c r="AJ21" i="1"/>
  <c r="AH21" i="1"/>
  <c r="AG21" i="1"/>
  <c r="AF21" i="1"/>
  <c r="AC21" i="1"/>
  <c r="AB21" i="1"/>
  <c r="AA21" i="1"/>
  <c r="Z21" i="1"/>
  <c r="Y21" i="1"/>
  <c r="X21" i="1"/>
  <c r="W21" i="1"/>
  <c r="U21" i="1"/>
  <c r="T21" i="1"/>
  <c r="S21" i="1"/>
  <c r="R21" i="1"/>
  <c r="Q21" i="1"/>
  <c r="P21" i="1"/>
  <c r="O21" i="1"/>
  <c r="L21" i="1"/>
  <c r="K21" i="1"/>
  <c r="H21" i="1"/>
  <c r="G21" i="1"/>
  <c r="F21" i="1"/>
  <c r="E21" i="1"/>
  <c r="D21" i="1"/>
  <c r="C21" i="1"/>
  <c r="AT20" i="1"/>
  <c r="AS20" i="1"/>
  <c r="AQ20" i="1"/>
  <c r="AN20" i="1"/>
  <c r="AO20" i="1" s="1"/>
  <c r="AP20" i="1" s="1"/>
  <c r="AK20" i="1"/>
  <c r="AJ20" i="1"/>
  <c r="AH20" i="1"/>
  <c r="AG20" i="1"/>
  <c r="AF20" i="1"/>
  <c r="AC20" i="1"/>
  <c r="AB20" i="1"/>
  <c r="AA20" i="1"/>
  <c r="Z20" i="1"/>
  <c r="Y20" i="1"/>
  <c r="X20" i="1"/>
  <c r="W20" i="1"/>
  <c r="U20" i="1"/>
  <c r="T20" i="1"/>
  <c r="S20" i="1"/>
  <c r="R20" i="1"/>
  <c r="Q20" i="1"/>
  <c r="P20" i="1"/>
  <c r="O20" i="1"/>
  <c r="L20" i="1"/>
  <c r="K20" i="1"/>
  <c r="H20" i="1"/>
  <c r="G20" i="1"/>
  <c r="F20" i="1"/>
  <c r="E20" i="1"/>
  <c r="D20" i="1"/>
  <c r="C20" i="1"/>
  <c r="AT19" i="1"/>
  <c r="AS19" i="1"/>
  <c r="AQ19" i="1"/>
  <c r="AN19" i="1"/>
  <c r="AO19" i="1" s="1"/>
  <c r="AP19" i="1" s="1"/>
  <c r="AK19" i="1"/>
  <c r="AJ19" i="1"/>
  <c r="AH19" i="1"/>
  <c r="AG19" i="1"/>
  <c r="AF19" i="1"/>
  <c r="AC19" i="1"/>
  <c r="AB19" i="1"/>
  <c r="AA19" i="1"/>
  <c r="Z19" i="1"/>
  <c r="Y19" i="1"/>
  <c r="X19" i="1"/>
  <c r="W19" i="1"/>
  <c r="U19" i="1"/>
  <c r="T19" i="1"/>
  <c r="S19" i="1"/>
  <c r="R19" i="1"/>
  <c r="Q19" i="1"/>
  <c r="P19" i="1"/>
  <c r="O19" i="1"/>
  <c r="L19" i="1"/>
  <c r="K19" i="1"/>
  <c r="H19" i="1"/>
  <c r="G19" i="1"/>
  <c r="F19" i="1"/>
  <c r="E19" i="1"/>
  <c r="D19" i="1"/>
  <c r="C19" i="1"/>
  <c r="AT18" i="1"/>
  <c r="AS18" i="1"/>
  <c r="AQ18" i="1"/>
  <c r="AN18" i="1"/>
  <c r="AO18" i="1" s="1"/>
  <c r="AP18" i="1" s="1"/>
  <c r="AK18" i="1"/>
  <c r="AJ18" i="1"/>
  <c r="AH18" i="1"/>
  <c r="AG18" i="1"/>
  <c r="AF18" i="1"/>
  <c r="AC18" i="1"/>
  <c r="AB18" i="1"/>
  <c r="AA18" i="1"/>
  <c r="Z18" i="1"/>
  <c r="Y18" i="1"/>
  <c r="X18" i="1"/>
  <c r="W18" i="1"/>
  <c r="U18" i="1"/>
  <c r="T18" i="1"/>
  <c r="S18" i="1"/>
  <c r="R18" i="1"/>
  <c r="Q18" i="1"/>
  <c r="P18" i="1"/>
  <c r="O18" i="1"/>
  <c r="L18" i="1"/>
  <c r="K18" i="1"/>
  <c r="H18" i="1"/>
  <c r="G18" i="1"/>
  <c r="F18" i="1"/>
  <c r="E18" i="1"/>
  <c r="D18" i="1"/>
  <c r="C18" i="1"/>
  <c r="AT17" i="1"/>
  <c r="AS17" i="1"/>
  <c r="AQ17" i="1"/>
  <c r="AN17" i="1"/>
  <c r="AO17" i="1" s="1"/>
  <c r="AP17" i="1" s="1"/>
  <c r="AK17" i="1"/>
  <c r="AJ17" i="1"/>
  <c r="AH17" i="1"/>
  <c r="AG17" i="1"/>
  <c r="AF17" i="1"/>
  <c r="AC17" i="1"/>
  <c r="AB17" i="1"/>
  <c r="AA17" i="1"/>
  <c r="Z17" i="1"/>
  <c r="Y17" i="1"/>
  <c r="X17" i="1"/>
  <c r="W17" i="1"/>
  <c r="U17" i="1"/>
  <c r="T17" i="1"/>
  <c r="S17" i="1"/>
  <c r="R17" i="1"/>
  <c r="Q17" i="1"/>
  <c r="P17" i="1"/>
  <c r="O17" i="1"/>
  <c r="L17" i="1"/>
  <c r="K17" i="1"/>
  <c r="H17" i="1"/>
  <c r="G17" i="1"/>
  <c r="F17" i="1"/>
  <c r="E17" i="1"/>
  <c r="D17" i="1"/>
  <c r="C17" i="1"/>
  <c r="AT16" i="1"/>
  <c r="AS16" i="1"/>
  <c r="AQ16" i="1"/>
  <c r="AN16" i="1"/>
  <c r="AO16" i="1" s="1"/>
  <c r="AP16" i="1" s="1"/>
  <c r="AK16" i="1"/>
  <c r="AJ16" i="1"/>
  <c r="AH16" i="1"/>
  <c r="AG16" i="1"/>
  <c r="AF16" i="1"/>
  <c r="AC16" i="1"/>
  <c r="AB16" i="1"/>
  <c r="AA16" i="1"/>
  <c r="Z16" i="1"/>
  <c r="Y16" i="1"/>
  <c r="X16" i="1"/>
  <c r="W16" i="1"/>
  <c r="U16" i="1"/>
  <c r="T16" i="1"/>
  <c r="S16" i="1"/>
  <c r="R16" i="1"/>
  <c r="Q16" i="1"/>
  <c r="P16" i="1"/>
  <c r="O16" i="1"/>
  <c r="L16" i="1"/>
  <c r="K16" i="1"/>
  <c r="H16" i="1"/>
  <c r="G16" i="1"/>
  <c r="F16" i="1"/>
  <c r="E16" i="1"/>
  <c r="D16" i="1"/>
  <c r="C16" i="1"/>
  <c r="AT15" i="1"/>
  <c r="AS15" i="1"/>
  <c r="AQ15" i="1"/>
  <c r="AN15" i="1"/>
  <c r="AO15" i="1" s="1"/>
  <c r="AP15" i="1" s="1"/>
  <c r="AK15" i="1"/>
  <c r="AJ15" i="1"/>
  <c r="AH15" i="1"/>
  <c r="AG15" i="1"/>
  <c r="AF15" i="1"/>
  <c r="AC15" i="1"/>
  <c r="AB15" i="1"/>
  <c r="AA15" i="1"/>
  <c r="Z15" i="1"/>
  <c r="Y15" i="1"/>
  <c r="X15" i="1"/>
  <c r="W15" i="1"/>
  <c r="U15" i="1"/>
  <c r="T15" i="1"/>
  <c r="S15" i="1"/>
  <c r="R15" i="1"/>
  <c r="Q15" i="1"/>
  <c r="P15" i="1"/>
  <c r="O15" i="1"/>
  <c r="L15" i="1"/>
  <c r="K15" i="1"/>
  <c r="H15" i="1"/>
  <c r="G15" i="1"/>
  <c r="F15" i="1"/>
  <c r="E15" i="1"/>
  <c r="D15" i="1"/>
  <c r="C15" i="1"/>
  <c r="AT14" i="1"/>
  <c r="AS14" i="1"/>
  <c r="AQ14" i="1"/>
  <c r="AN14" i="1"/>
  <c r="AO14" i="1" s="1"/>
  <c r="AP14" i="1" s="1"/>
  <c r="AK14" i="1"/>
  <c r="AJ14" i="1"/>
  <c r="AH14" i="1"/>
  <c r="AG14" i="1"/>
  <c r="AF14" i="1"/>
  <c r="AC14" i="1"/>
  <c r="AB14" i="1"/>
  <c r="AA14" i="1"/>
  <c r="Z14" i="1"/>
  <c r="Y14" i="1"/>
  <c r="X14" i="1"/>
  <c r="W14" i="1"/>
  <c r="U14" i="1"/>
  <c r="T14" i="1"/>
  <c r="S14" i="1"/>
  <c r="R14" i="1"/>
  <c r="Q14" i="1"/>
  <c r="P14" i="1"/>
  <c r="O14" i="1"/>
  <c r="L14" i="1"/>
  <c r="K14" i="1"/>
  <c r="H14" i="1"/>
  <c r="G14" i="1"/>
  <c r="F14" i="1"/>
  <c r="E14" i="1"/>
  <c r="D14" i="1"/>
  <c r="C14" i="1"/>
  <c r="AT13" i="1"/>
  <c r="AS13" i="1"/>
  <c r="AQ13" i="1"/>
  <c r="AN13" i="1"/>
  <c r="AO13" i="1" s="1"/>
  <c r="AP13" i="1" s="1"/>
  <c r="AK13" i="1"/>
  <c r="AJ13" i="1"/>
  <c r="AH13" i="1"/>
  <c r="AG13" i="1"/>
  <c r="AF13" i="1"/>
  <c r="AC13" i="1"/>
  <c r="AB13" i="1"/>
  <c r="AA13" i="1"/>
  <c r="Z13" i="1"/>
  <c r="Y13" i="1"/>
  <c r="X13" i="1"/>
  <c r="W13" i="1"/>
  <c r="U13" i="1"/>
  <c r="T13" i="1"/>
  <c r="S13" i="1"/>
  <c r="R13" i="1"/>
  <c r="Q13" i="1"/>
  <c r="P13" i="1"/>
  <c r="O13" i="1"/>
  <c r="L13" i="1"/>
  <c r="K13" i="1"/>
  <c r="H13" i="1"/>
  <c r="G13" i="1"/>
  <c r="F13" i="1"/>
  <c r="E13" i="1"/>
  <c r="D13" i="1"/>
  <c r="C13" i="1"/>
  <c r="AT12" i="1"/>
  <c r="AS12" i="1"/>
  <c r="AQ12" i="1"/>
  <c r="AN12" i="1"/>
  <c r="AO12" i="1" s="1"/>
  <c r="AP12" i="1" s="1"/>
  <c r="AK12" i="1"/>
  <c r="AJ12" i="1"/>
  <c r="AH12" i="1"/>
  <c r="AG12" i="1"/>
  <c r="AF12" i="1"/>
  <c r="AC12" i="1"/>
  <c r="AB12" i="1"/>
  <c r="AA12" i="1"/>
  <c r="Z12" i="1"/>
  <c r="Y12" i="1"/>
  <c r="X12" i="1"/>
  <c r="W12" i="1"/>
  <c r="U12" i="1"/>
  <c r="T12" i="1"/>
  <c r="S12" i="1"/>
  <c r="R12" i="1"/>
  <c r="Q12" i="1"/>
  <c r="P12" i="1"/>
  <c r="O12" i="1"/>
  <c r="L12" i="1"/>
  <c r="K12" i="1"/>
  <c r="H12" i="1"/>
  <c r="G12" i="1"/>
  <c r="F12" i="1"/>
  <c r="E12" i="1"/>
  <c r="D12" i="1"/>
  <c r="C12" i="1"/>
  <c r="AT11" i="1"/>
  <c r="AS11" i="1"/>
  <c r="AQ11" i="1"/>
  <c r="AN11" i="1"/>
  <c r="AO11" i="1" s="1"/>
  <c r="AP11" i="1" s="1"/>
  <c r="AK11" i="1"/>
  <c r="AJ11" i="1"/>
  <c r="AH11" i="1"/>
  <c r="AG11" i="1"/>
  <c r="AF11" i="1"/>
  <c r="AC11" i="1"/>
  <c r="AB11" i="1"/>
  <c r="AA11" i="1"/>
  <c r="Z11" i="1"/>
  <c r="Y11" i="1"/>
  <c r="X11" i="1"/>
  <c r="W11" i="1"/>
  <c r="U11" i="1"/>
  <c r="T11" i="1"/>
  <c r="S11" i="1"/>
  <c r="R11" i="1"/>
  <c r="Q11" i="1"/>
  <c r="P11" i="1"/>
  <c r="O11" i="1"/>
  <c r="L11" i="1"/>
  <c r="K11" i="1"/>
  <c r="H11" i="1"/>
  <c r="G11" i="1"/>
  <c r="F11" i="1"/>
  <c r="E11" i="1"/>
  <c r="D11" i="1"/>
  <c r="C11" i="1"/>
  <c r="AT10" i="1"/>
  <c r="AS10" i="1"/>
  <c r="AQ10" i="1"/>
  <c r="AN10" i="1"/>
  <c r="AO10" i="1" s="1"/>
  <c r="AP10" i="1" s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H10" i="1"/>
  <c r="G10" i="1"/>
  <c r="F10" i="1"/>
  <c r="E10" i="1"/>
  <c r="D10" i="1"/>
  <c r="C10" i="1"/>
  <c r="AT9" i="1"/>
  <c r="AS9" i="1"/>
  <c r="AQ9" i="1"/>
  <c r="AN9" i="1"/>
  <c r="AO9" i="1" s="1"/>
  <c r="AP9" i="1" s="1"/>
  <c r="AK9" i="1"/>
  <c r="AJ9" i="1"/>
  <c r="AH9" i="1"/>
  <c r="AG9" i="1"/>
  <c r="AF9" i="1"/>
  <c r="AC9" i="1"/>
  <c r="AB9" i="1"/>
  <c r="AA9" i="1"/>
  <c r="Z9" i="1"/>
  <c r="Y9" i="1"/>
  <c r="X9" i="1"/>
  <c r="W9" i="1"/>
  <c r="U9" i="1"/>
  <c r="T9" i="1"/>
  <c r="S9" i="1"/>
  <c r="R9" i="1"/>
  <c r="Q9" i="1"/>
  <c r="P9" i="1"/>
  <c r="O9" i="1"/>
  <c r="L9" i="1"/>
  <c r="K9" i="1"/>
  <c r="H9" i="1"/>
  <c r="G9" i="1"/>
  <c r="F9" i="1"/>
  <c r="E9" i="1"/>
  <c r="D9" i="1"/>
  <c r="C9" i="1"/>
  <c r="AT8" i="1"/>
  <c r="AS8" i="1"/>
  <c r="AQ8" i="1"/>
  <c r="AN8" i="1"/>
  <c r="AO8" i="1" s="1"/>
  <c r="AP8" i="1" s="1"/>
  <c r="AK8" i="1"/>
  <c r="AJ8" i="1"/>
  <c r="AH8" i="1"/>
  <c r="AG8" i="1"/>
  <c r="AF8" i="1"/>
  <c r="AC8" i="1"/>
  <c r="AB8" i="1"/>
  <c r="AA8" i="1"/>
  <c r="Z8" i="1"/>
  <c r="Y8" i="1"/>
  <c r="X8" i="1"/>
  <c r="W8" i="1"/>
  <c r="U8" i="1"/>
  <c r="T8" i="1"/>
  <c r="S8" i="1"/>
  <c r="R8" i="1"/>
  <c r="Q8" i="1"/>
  <c r="P8" i="1"/>
  <c r="O8" i="1"/>
  <c r="L8" i="1"/>
  <c r="K8" i="1"/>
  <c r="H8" i="1"/>
  <c r="G8" i="1"/>
  <c r="F8" i="1"/>
  <c r="E8" i="1"/>
  <c r="D8" i="1"/>
  <c r="C8" i="1"/>
  <c r="AT7" i="1"/>
  <c r="AS7" i="1"/>
  <c r="AQ7" i="1"/>
  <c r="AN7" i="1"/>
  <c r="AO7" i="1" s="1"/>
  <c r="AP7" i="1" s="1"/>
  <c r="AK7" i="1"/>
  <c r="AJ7" i="1"/>
  <c r="AH7" i="1"/>
  <c r="AG7" i="1"/>
  <c r="AF7" i="1"/>
  <c r="AC7" i="1"/>
  <c r="AB7" i="1"/>
  <c r="AA7" i="1"/>
  <c r="Z7" i="1"/>
  <c r="Y7" i="1"/>
  <c r="X7" i="1"/>
  <c r="W7" i="1"/>
  <c r="U7" i="1"/>
  <c r="T7" i="1"/>
  <c r="S7" i="1"/>
  <c r="R7" i="1"/>
  <c r="Q7" i="1"/>
  <c r="P7" i="1"/>
  <c r="O7" i="1"/>
  <c r="L7" i="1"/>
  <c r="K7" i="1"/>
  <c r="H7" i="1"/>
  <c r="G7" i="1"/>
  <c r="F7" i="1"/>
  <c r="E7" i="1"/>
  <c r="D7" i="1"/>
  <c r="C7" i="1"/>
  <c r="AT6" i="1"/>
  <c r="AS6" i="1"/>
  <c r="AQ6" i="1"/>
  <c r="AN6" i="1"/>
  <c r="AO6" i="1" s="1"/>
  <c r="AP6" i="1" s="1"/>
  <c r="AK6" i="1"/>
  <c r="AJ6" i="1"/>
  <c r="AH6" i="1"/>
  <c r="AG6" i="1"/>
  <c r="AF6" i="1"/>
  <c r="AC6" i="1"/>
  <c r="AB6" i="1"/>
  <c r="AA6" i="1"/>
  <c r="Z6" i="1"/>
  <c r="Y6" i="1"/>
  <c r="X6" i="1"/>
  <c r="W6" i="1"/>
  <c r="U6" i="1"/>
  <c r="T6" i="1"/>
  <c r="S6" i="1"/>
  <c r="R6" i="1"/>
  <c r="Q6" i="1"/>
  <c r="P6" i="1"/>
  <c r="O6" i="1"/>
  <c r="L6" i="1"/>
  <c r="K6" i="1"/>
  <c r="H6" i="1"/>
  <c r="G6" i="1"/>
  <c r="F6" i="1"/>
  <c r="E6" i="1"/>
  <c r="D6" i="1"/>
  <c r="C6" i="1"/>
  <c r="AT5" i="1"/>
  <c r="AS5" i="1"/>
  <c r="AQ5" i="1"/>
  <c r="AN5" i="1"/>
  <c r="AO5" i="1" s="1"/>
  <c r="AP5" i="1" s="1"/>
  <c r="AK5" i="1"/>
  <c r="AJ5" i="1"/>
  <c r="AH5" i="1"/>
  <c r="AG5" i="1"/>
  <c r="AF5" i="1"/>
  <c r="AC5" i="1"/>
  <c r="AB5" i="1"/>
  <c r="AA5" i="1"/>
  <c r="Z5" i="1"/>
  <c r="Y5" i="1"/>
  <c r="X5" i="1"/>
  <c r="W5" i="1"/>
  <c r="U5" i="1"/>
  <c r="T5" i="1"/>
  <c r="S5" i="1"/>
  <c r="R5" i="1"/>
  <c r="Q5" i="1"/>
  <c r="P5" i="1"/>
  <c r="O5" i="1"/>
  <c r="L5" i="1"/>
  <c r="K5" i="1"/>
  <c r="H5" i="1"/>
  <c r="G5" i="1"/>
  <c r="F5" i="1"/>
  <c r="E5" i="1"/>
  <c r="D5" i="1"/>
  <c r="C5" i="1"/>
  <c r="AT4" i="1"/>
  <c r="AS4" i="1"/>
  <c r="AQ4" i="1"/>
  <c r="AN4" i="1"/>
  <c r="AO4" i="1" s="1"/>
  <c r="AP4" i="1" s="1"/>
  <c r="AK4" i="1"/>
  <c r="AJ4" i="1"/>
  <c r="AH4" i="1"/>
  <c r="AG4" i="1"/>
  <c r="AF4" i="1"/>
  <c r="AC4" i="1"/>
  <c r="AB4" i="1"/>
  <c r="AA4" i="1"/>
  <c r="Z4" i="1"/>
  <c r="Y4" i="1"/>
  <c r="X4" i="1"/>
  <c r="W4" i="1"/>
  <c r="U4" i="1"/>
  <c r="T4" i="1"/>
  <c r="S4" i="1"/>
  <c r="R4" i="1"/>
  <c r="Q4" i="1"/>
  <c r="P4" i="1"/>
  <c r="O4" i="1"/>
  <c r="L4" i="1"/>
  <c r="K4" i="1"/>
  <c r="H4" i="1"/>
  <c r="G4" i="1"/>
  <c r="F4" i="1"/>
  <c r="E4" i="1"/>
  <c r="D4" i="1"/>
  <c r="C4" i="1"/>
  <c r="AT3" i="1"/>
  <c r="AS3" i="1"/>
  <c r="AQ3" i="1"/>
  <c r="AN3" i="1"/>
  <c r="AO3" i="1" s="1"/>
  <c r="AP3" i="1" s="1"/>
  <c r="AK3" i="1"/>
  <c r="AJ3" i="1"/>
  <c r="AH3" i="1"/>
  <c r="AG3" i="1"/>
  <c r="AF3" i="1"/>
  <c r="AC3" i="1"/>
  <c r="AB3" i="1"/>
  <c r="AA3" i="1"/>
  <c r="Z3" i="1"/>
  <c r="Y3" i="1"/>
  <c r="X3" i="1"/>
  <c r="W3" i="1"/>
  <c r="U3" i="1"/>
  <c r="T3" i="1"/>
  <c r="S3" i="1"/>
  <c r="R3" i="1"/>
  <c r="Q3" i="1"/>
  <c r="P3" i="1"/>
  <c r="O3" i="1"/>
  <c r="L3" i="1"/>
  <c r="K3" i="1"/>
  <c r="H3" i="1"/>
  <c r="G3" i="1"/>
  <c r="F3" i="1"/>
  <c r="E3" i="1"/>
  <c r="D3" i="1"/>
  <c r="C3" i="1"/>
  <c r="AT2" i="1"/>
  <c r="AS2" i="1"/>
  <c r="AQ2" i="1"/>
  <c r="AN2" i="1"/>
  <c r="AO2" i="1" s="1"/>
  <c r="AP2" i="1" s="1"/>
  <c r="AK2" i="1"/>
  <c r="AJ2" i="1"/>
  <c r="AH2" i="1"/>
  <c r="AG2" i="1"/>
  <c r="AF2" i="1"/>
  <c r="AC2" i="1"/>
  <c r="AB2" i="1"/>
  <c r="AA2" i="1"/>
  <c r="Z2" i="1"/>
  <c r="Y2" i="1"/>
  <c r="X2" i="1"/>
  <c r="W2" i="1"/>
  <c r="U2" i="1"/>
  <c r="T2" i="1"/>
  <c r="S2" i="1"/>
  <c r="R2" i="1"/>
  <c r="Q2" i="1"/>
  <c r="P2" i="1"/>
  <c r="O2" i="1"/>
  <c r="L2" i="1"/>
  <c r="K2" i="1"/>
  <c r="H2" i="1"/>
  <c r="G2" i="1"/>
  <c r="F2" i="1"/>
  <c r="E2" i="1"/>
  <c r="D2" i="1"/>
  <c r="C2" i="1"/>
  <c r="AT1" i="1"/>
  <c r="AQ1" i="1"/>
  <c r="AN1" i="1"/>
  <c r="AD7" i="1" l="1"/>
  <c r="D1060" i="5"/>
  <c r="AD8" i="1"/>
  <c r="D1053" i="5"/>
  <c r="AD9" i="1"/>
  <c r="D1046" i="5"/>
  <c r="AD11" i="1"/>
  <c r="D1032" i="5"/>
  <c r="AD12" i="1"/>
  <c r="D1025" i="5"/>
  <c r="AD13" i="1"/>
  <c r="D1018" i="5"/>
  <c r="AD14" i="1"/>
  <c r="D1011" i="5"/>
  <c r="AD15" i="1"/>
  <c r="D1004" i="5"/>
  <c r="AD16" i="1"/>
  <c r="D997" i="5"/>
  <c r="AD17" i="1"/>
  <c r="D990" i="5"/>
  <c r="AD18" i="1"/>
  <c r="D983" i="5"/>
  <c r="AD19" i="1"/>
  <c r="D976" i="5"/>
  <c r="AD20" i="1"/>
  <c r="D969" i="5"/>
  <c r="AD21" i="1"/>
  <c r="D962" i="5"/>
  <c r="AD22" i="1"/>
  <c r="D955" i="5"/>
  <c r="AD23" i="1"/>
  <c r="D948" i="5"/>
  <c r="AD24" i="1"/>
  <c r="D941" i="5"/>
  <c r="AD25" i="1"/>
  <c r="D934" i="5"/>
  <c r="AD26" i="1"/>
  <c r="D927" i="5"/>
  <c r="AD27" i="1"/>
  <c r="D920" i="5"/>
  <c r="AD28" i="1"/>
  <c r="D913" i="5"/>
  <c r="AD29" i="1"/>
  <c r="D906" i="5"/>
  <c r="AD30" i="1"/>
  <c r="D899" i="5"/>
  <c r="AD31" i="1"/>
  <c r="D892" i="5"/>
  <c r="AD32" i="1"/>
  <c r="D885" i="5"/>
  <c r="AD33" i="1"/>
  <c r="D878" i="5"/>
  <c r="AD34" i="1"/>
  <c r="D871" i="5"/>
  <c r="AD35" i="1"/>
  <c r="D864" i="5"/>
  <c r="AD36" i="1"/>
  <c r="D855" i="5"/>
  <c r="AD37" i="1"/>
  <c r="D852" i="5"/>
  <c r="AD38" i="1"/>
  <c r="D851" i="5"/>
  <c r="AD39" i="1"/>
  <c r="D850" i="5"/>
  <c r="AD40" i="1"/>
  <c r="D849" i="5"/>
  <c r="AD44" i="1"/>
  <c r="D843" i="5"/>
  <c r="AD45" i="1"/>
  <c r="D842" i="5"/>
  <c r="AD46" i="1"/>
  <c r="D837" i="5"/>
  <c r="AD47" i="1"/>
  <c r="D836" i="5"/>
  <c r="AD48" i="1"/>
  <c r="D835" i="5"/>
  <c r="AD51" i="1"/>
  <c r="D830" i="5"/>
  <c r="AD52" i="1"/>
  <c r="D829" i="5"/>
  <c r="AD53" i="1"/>
  <c r="D828" i="5"/>
  <c r="AD54" i="1"/>
  <c r="D824" i="5"/>
  <c r="AD55" i="1"/>
  <c r="D823" i="5"/>
  <c r="AD56" i="1"/>
  <c r="D822" i="5"/>
  <c r="AD57" i="1"/>
  <c r="D821" i="5"/>
  <c r="AD58" i="1"/>
  <c r="D820" i="5"/>
  <c r="AD59" i="1"/>
  <c r="D817" i="5"/>
  <c r="AD60" i="1"/>
  <c r="D816" i="5"/>
  <c r="AD61" i="1"/>
  <c r="D815" i="5"/>
  <c r="AD65" i="1"/>
  <c r="D809" i="5"/>
  <c r="AD66" i="1"/>
  <c r="D808" i="5"/>
  <c r="AD67" i="1"/>
  <c r="D803" i="5"/>
  <c r="AD68" i="1"/>
  <c r="D802" i="5"/>
  <c r="AD69" i="1"/>
  <c r="D801" i="5"/>
  <c r="AD70" i="1"/>
  <c r="D800" i="5"/>
  <c r="AD71" i="1"/>
  <c r="D799" i="5"/>
  <c r="AD72" i="1"/>
  <c r="D796" i="5"/>
  <c r="AD79" i="1"/>
  <c r="D787" i="5"/>
  <c r="AD80" i="1"/>
  <c r="D786" i="5"/>
  <c r="AD81" i="1"/>
  <c r="D785" i="5"/>
  <c r="AD82" i="1"/>
  <c r="D782" i="5"/>
  <c r="AD83" i="1"/>
  <c r="D781" i="5"/>
  <c r="AD84" i="1"/>
  <c r="D780" i="5"/>
  <c r="AD85" i="1"/>
  <c r="D779" i="5"/>
  <c r="AD86" i="1"/>
  <c r="D778" i="5"/>
  <c r="AD87" i="1"/>
  <c r="D775" i="5"/>
  <c r="AD88" i="1"/>
  <c r="D774" i="5"/>
  <c r="AD89" i="1"/>
  <c r="D773" i="5"/>
  <c r="AD90" i="1"/>
  <c r="D772" i="5"/>
  <c r="AD91" i="1"/>
  <c r="D771" i="5"/>
  <c r="AD92" i="1"/>
  <c r="D768" i="5"/>
  <c r="AD93" i="1"/>
  <c r="D767" i="5"/>
  <c r="AD94" i="1"/>
  <c r="D766" i="5"/>
  <c r="AD95" i="1"/>
  <c r="D765" i="5"/>
  <c r="AD96" i="1"/>
  <c r="D764" i="5"/>
  <c r="AD97" i="1"/>
  <c r="D761" i="5"/>
  <c r="AD98" i="1"/>
  <c r="D760" i="5"/>
  <c r="AD99" i="1"/>
  <c r="D759" i="5"/>
  <c r="AD100" i="1"/>
  <c r="D758" i="5"/>
  <c r="AD101" i="1"/>
  <c r="D757" i="5"/>
  <c r="AD102" i="1"/>
  <c r="D754" i="5"/>
  <c r="AD103" i="1"/>
  <c r="D753" i="5"/>
  <c r="AD104" i="1"/>
  <c r="D752" i="5"/>
  <c r="AD105" i="1"/>
  <c r="D751" i="5"/>
  <c r="AD106" i="1"/>
  <c r="D750" i="5"/>
  <c r="AD107" i="1"/>
  <c r="D747" i="5"/>
  <c r="AD108" i="1"/>
  <c r="D746" i="5"/>
  <c r="AD109" i="1"/>
  <c r="D745" i="5"/>
  <c r="AM110" i="1"/>
  <c r="D1110" i="5"/>
  <c r="AD110" i="1"/>
  <c r="D744" i="5"/>
  <c r="AM111" i="1"/>
  <c r="D1109" i="5"/>
  <c r="AD111" i="1"/>
  <c r="D743" i="5"/>
  <c r="AM112" i="1"/>
  <c r="D1106" i="5"/>
  <c r="AD112" i="1"/>
  <c r="D740" i="5"/>
  <c r="AM113" i="1"/>
  <c r="D1105" i="5"/>
  <c r="AD113" i="1"/>
  <c r="D739" i="5"/>
  <c r="AM114" i="1"/>
  <c r="D1104" i="5"/>
  <c r="AD114" i="1"/>
  <c r="D738" i="5"/>
  <c r="AM115" i="1"/>
  <c r="D1103" i="5"/>
  <c r="AD115" i="1"/>
  <c r="D737" i="5"/>
  <c r="AM116" i="1"/>
  <c r="D1102" i="5"/>
  <c r="AD116" i="1"/>
  <c r="D736" i="5"/>
  <c r="G4" i="8"/>
  <c r="B3" i="8" s="1"/>
  <c r="AE800" i="2"/>
  <c r="AE35" i="1" s="1"/>
  <c r="Q800" i="2"/>
  <c r="Q785" i="2"/>
  <c r="AE791" i="2"/>
  <c r="AE36" i="1" s="1"/>
  <c r="Q784" i="2"/>
  <c r="AE788" i="2"/>
  <c r="AE37" i="1" s="1"/>
  <c r="AE787" i="2"/>
  <c r="AE38" i="1" s="1"/>
  <c r="Q781" i="2"/>
  <c r="AE786" i="2"/>
  <c r="AE39" i="1" s="1"/>
  <c r="Q780" i="2"/>
  <c r="Q779" i="2"/>
  <c r="AE785" i="2"/>
  <c r="AE40" i="1" s="1"/>
  <c r="AL784" i="2"/>
  <c r="AL41" i="1" s="1"/>
  <c r="AL780" i="2"/>
  <c r="AL43" i="1" s="1"/>
  <c r="AL781" i="2"/>
  <c r="AL42" i="1" s="1"/>
  <c r="AI784" i="2"/>
  <c r="AI41" i="1" s="1"/>
  <c r="AI780" i="2"/>
  <c r="AI43" i="1" s="1"/>
  <c r="AI781" i="2"/>
  <c r="AI42" i="1" s="1"/>
  <c r="AB780" i="2"/>
  <c r="AB43" i="1" s="1"/>
  <c r="AB784" i="2"/>
  <c r="AB41" i="1" s="1"/>
  <c r="AB781" i="2"/>
  <c r="AB42" i="1" s="1"/>
  <c r="AM784" i="2"/>
  <c r="AM780" i="2"/>
  <c r="AM781" i="2"/>
  <c r="AD781" i="2"/>
  <c r="AD784" i="2"/>
  <c r="AD780" i="2"/>
  <c r="AE781" i="2"/>
  <c r="AE42" i="1" s="1"/>
  <c r="AE780" i="2"/>
  <c r="AE43" i="1" s="1"/>
  <c r="AE784" i="2"/>
  <c r="AE41" i="1" s="1"/>
  <c r="Q778" i="2"/>
  <c r="Q773" i="2"/>
  <c r="AE779" i="2"/>
  <c r="AE44" i="1" s="1"/>
  <c r="Q772" i="2"/>
  <c r="AE778" i="2"/>
  <c r="AE45" i="1" s="1"/>
  <c r="Q767" i="2"/>
  <c r="AE773" i="2"/>
  <c r="AE46" i="1" s="1"/>
  <c r="Q766" i="2"/>
  <c r="AE772" i="2"/>
  <c r="AE47" i="1" s="1"/>
  <c r="AE771" i="2"/>
  <c r="AE48" i="1" s="1"/>
  <c r="Q765" i="2"/>
  <c r="AL770" i="2"/>
  <c r="AL49" i="1" s="1"/>
  <c r="AL767" i="2"/>
  <c r="AL50" i="1" s="1"/>
  <c r="AI767" i="2"/>
  <c r="AI50" i="1" s="1"/>
  <c r="AI770" i="2"/>
  <c r="AI49" i="1" s="1"/>
  <c r="AB770" i="2"/>
  <c r="AB49" i="1" s="1"/>
  <c r="AB767" i="2"/>
  <c r="AB50" i="1" s="1"/>
  <c r="AM767" i="2"/>
  <c r="AM770" i="2"/>
  <c r="AD770" i="2"/>
  <c r="AD767" i="2"/>
  <c r="AE770" i="2"/>
  <c r="AE49" i="1" s="1"/>
  <c r="AE767" i="2"/>
  <c r="AE50" i="1" s="1"/>
  <c r="Q764" i="2"/>
  <c r="Q760" i="2"/>
  <c r="AE766" i="2"/>
  <c r="AE51" i="1" s="1"/>
  <c r="Q759" i="2"/>
  <c r="AE765" i="2"/>
  <c r="AE52" i="1" s="1"/>
  <c r="AE764" i="2"/>
  <c r="AE53" i="1" s="1"/>
  <c r="Q758" i="2"/>
  <c r="Q756" i="2"/>
  <c r="AE760" i="2"/>
  <c r="AE54" i="1" s="1"/>
  <c r="Q753" i="2"/>
  <c r="AE759" i="2"/>
  <c r="AE55" i="1" s="1"/>
  <c r="Q752" i="2"/>
  <c r="AE758" i="2"/>
  <c r="AE56" i="1" s="1"/>
  <c r="AE757" i="2"/>
  <c r="AE57" i="1" s="1"/>
  <c r="Q751" i="2"/>
  <c r="AE756" i="2"/>
  <c r="AE58" i="1" s="1"/>
  <c r="Q750" i="2"/>
  <c r="AE753" i="2"/>
  <c r="AE59" i="1" s="1"/>
  <c r="Q749" i="2"/>
  <c r="Q746" i="2"/>
  <c r="AE752" i="2"/>
  <c r="AE60" i="1" s="1"/>
  <c r="Q745" i="2"/>
  <c r="AE751" i="2"/>
  <c r="AE61" i="1" s="1"/>
  <c r="AL749" i="2"/>
  <c r="AL63" i="1" s="1"/>
  <c r="AL746" i="2"/>
  <c r="AL64" i="1" s="1"/>
  <c r="AL750" i="2"/>
  <c r="AL62" i="1" s="1"/>
  <c r="AI750" i="2"/>
  <c r="AI62" i="1" s="1"/>
  <c r="AI749" i="2"/>
  <c r="AI63" i="1" s="1"/>
  <c r="AI746" i="2"/>
  <c r="AI64" i="1" s="1"/>
  <c r="AB750" i="2"/>
  <c r="AB62" i="1" s="1"/>
  <c r="AB746" i="2"/>
  <c r="AB64" i="1" s="1"/>
  <c r="AB749" i="2"/>
  <c r="AB63" i="1" s="1"/>
  <c r="AM750" i="2"/>
  <c r="AM746" i="2"/>
  <c r="AM749" i="2"/>
  <c r="AD750" i="2"/>
  <c r="AD746" i="2"/>
  <c r="AD749" i="2"/>
  <c r="AE749" i="2"/>
  <c r="AE63" i="1" s="1"/>
  <c r="AE750" i="2"/>
  <c r="AE62" i="1" s="1"/>
  <c r="AE746" i="2"/>
  <c r="AE64" i="1" s="1"/>
  <c r="Q744" i="2"/>
  <c r="Q739" i="2"/>
  <c r="AE745" i="2"/>
  <c r="AE65" i="1" s="1"/>
  <c r="AE744" i="2"/>
  <c r="AE66" i="1" s="1"/>
  <c r="Q738" i="2"/>
  <c r="Q735" i="2"/>
  <c r="AE739" i="2"/>
  <c r="AE67" i="1" s="1"/>
  <c r="Q732" i="2"/>
  <c r="AE738" i="2"/>
  <c r="AE68" i="1" s="1"/>
  <c r="Q731" i="2"/>
  <c r="AE737" i="2"/>
  <c r="AE69" i="1" s="1"/>
  <c r="Q730" i="2"/>
  <c r="AF730" i="2" s="1"/>
  <c r="AE736" i="2"/>
  <c r="AE70" i="1" s="1"/>
  <c r="AE735" i="2"/>
  <c r="AE71" i="1" s="1"/>
  <c r="Q729" i="2"/>
  <c r="Q728" i="2"/>
  <c r="AE732" i="2"/>
  <c r="AE72" i="1" s="1"/>
  <c r="AM725" i="2"/>
  <c r="AM730" i="2"/>
  <c r="AM731" i="2"/>
  <c r="AM729" i="2"/>
  <c r="AM728" i="2"/>
  <c r="AD730" i="2"/>
  <c r="AD729" i="2"/>
  <c r="AD728" i="2"/>
  <c r="AD725" i="2"/>
  <c r="AD731" i="2"/>
  <c r="AE731" i="2"/>
  <c r="AE73" i="1" s="1"/>
  <c r="AE730" i="2"/>
  <c r="AE74" i="1" s="1"/>
  <c r="AE729" i="2"/>
  <c r="AE75" i="1" s="1"/>
  <c r="AE728" i="2"/>
  <c r="AE76" i="1" s="1"/>
  <c r="Q725" i="2"/>
  <c r="AE725" i="2"/>
  <c r="AE77" i="1" s="1"/>
  <c r="AL728" i="2"/>
  <c r="AL76" i="1" s="1"/>
  <c r="AL724" i="2"/>
  <c r="AL78" i="1" s="1"/>
  <c r="AL725" i="2"/>
  <c r="AL77" i="1" s="1"/>
  <c r="AL730" i="2"/>
  <c r="AL74" i="1" s="1"/>
  <c r="AL729" i="2"/>
  <c r="AL75" i="1" s="1"/>
  <c r="AI724" i="2"/>
  <c r="AI78" i="1" s="1"/>
  <c r="AI725" i="2"/>
  <c r="AI77" i="1" s="1"/>
  <c r="AI728" i="2"/>
  <c r="AI76" i="1" s="1"/>
  <c r="AI730" i="2"/>
  <c r="AI74" i="1" s="1"/>
  <c r="AI729" i="2"/>
  <c r="AI75" i="1" s="1"/>
  <c r="AB725" i="2"/>
  <c r="AB77" i="1" s="1"/>
  <c r="AB728" i="2"/>
  <c r="AB76" i="1" s="1"/>
  <c r="AB730" i="2"/>
  <c r="AB74" i="1" s="1"/>
  <c r="AB729" i="2"/>
  <c r="AB75" i="1" s="1"/>
  <c r="AB724" i="2"/>
  <c r="AB78" i="1" s="1"/>
  <c r="Q78" i="1"/>
  <c r="AF729" i="2"/>
  <c r="Q79" i="1"/>
  <c r="AF728" i="2"/>
  <c r="Q80" i="1"/>
  <c r="AF725" i="2"/>
  <c r="Q81" i="1"/>
  <c r="AF724" i="2"/>
  <c r="Q82" i="1"/>
  <c r="Q717" i="2"/>
  <c r="AE723" i="2"/>
  <c r="AE79" i="1" s="1"/>
  <c r="Q716" i="2"/>
  <c r="AE722" i="2"/>
  <c r="AE80" i="1" s="1"/>
  <c r="Q715" i="2"/>
  <c r="AE721" i="2"/>
  <c r="AE81" i="1" s="1"/>
  <c r="Q714" i="2"/>
  <c r="AE718" i="2"/>
  <c r="AE82" i="1" s="1"/>
  <c r="AE717" i="2"/>
  <c r="AE83" i="1" s="1"/>
  <c r="Q711" i="2"/>
  <c r="AE716" i="2"/>
  <c r="AE84" i="1" s="1"/>
  <c r="Q710" i="2"/>
  <c r="AE715" i="2"/>
  <c r="AE85" i="1" s="1"/>
  <c r="Q709" i="2"/>
  <c r="Q708" i="2"/>
  <c r="AE714" i="2"/>
  <c r="AE86" i="1" s="1"/>
  <c r="Q707" i="2"/>
  <c r="AE711" i="2"/>
  <c r="AE87" i="1" s="1"/>
  <c r="AE710" i="2"/>
  <c r="AE88" i="1" s="1"/>
  <c r="Q704" i="2"/>
  <c r="AE709" i="2"/>
  <c r="AE89" i="1" s="1"/>
  <c r="Q703" i="2"/>
  <c r="Q702" i="2"/>
  <c r="AE708" i="2"/>
  <c r="AE90" i="1" s="1"/>
  <c r="AE707" i="2"/>
  <c r="AE91" i="1" s="1"/>
  <c r="Q701" i="2"/>
  <c r="AE704" i="2"/>
  <c r="AE92" i="1" s="1"/>
  <c r="Q700" i="2"/>
  <c r="Q697" i="2"/>
  <c r="AE703" i="2"/>
  <c r="AE93" i="1" s="1"/>
  <c r="AE702" i="2"/>
  <c r="AE94" i="1" s="1"/>
  <c r="Q696" i="2"/>
  <c r="Q695" i="2"/>
  <c r="AE701" i="2"/>
  <c r="AE95" i="1" s="1"/>
  <c r="AE700" i="2"/>
  <c r="AE96" i="1" s="1"/>
  <c r="Q694" i="2"/>
  <c r="AE697" i="2"/>
  <c r="AE97" i="1" s="1"/>
  <c r="Q693" i="2"/>
  <c r="Q690" i="2"/>
  <c r="AE696" i="2"/>
  <c r="AE98" i="1" s="1"/>
  <c r="AE695" i="2"/>
  <c r="AE99" i="1" s="1"/>
  <c r="Q689" i="2"/>
  <c r="AE694" i="2"/>
  <c r="AE100" i="1" s="1"/>
  <c r="Q688" i="2"/>
  <c r="AE693" i="2"/>
  <c r="AE101" i="1" s="1"/>
  <c r="Q687" i="2"/>
  <c r="AE690" i="2"/>
  <c r="AE102" i="1" s="1"/>
  <c r="Q686" i="2"/>
  <c r="AE689" i="2"/>
  <c r="AE103" i="1" s="1"/>
  <c r="Q683" i="2"/>
  <c r="Q682" i="2"/>
  <c r="AE688" i="2"/>
  <c r="AE104" i="1" s="1"/>
  <c r="Q681" i="2"/>
  <c r="AE687" i="2"/>
  <c r="AE105" i="1" s="1"/>
  <c r="AE686" i="2"/>
  <c r="AE106" i="1" s="1"/>
  <c r="Q680" i="2"/>
  <c r="AE683" i="2"/>
  <c r="AE107" i="1" s="1"/>
  <c r="Q679" i="2"/>
  <c r="AE682" i="2"/>
  <c r="AE108" i="1" s="1"/>
  <c r="Q676" i="2"/>
  <c r="Q675" i="2"/>
  <c r="AE681" i="2"/>
  <c r="AE109" i="1" s="1"/>
  <c r="AE680" i="2"/>
  <c r="AE110" i="1" s="1"/>
  <c r="Q674" i="2"/>
  <c r="AE679" i="2"/>
  <c r="AE111" i="1" s="1"/>
  <c r="Q673" i="2"/>
  <c r="AE676" i="2"/>
  <c r="AE112" i="1" s="1"/>
  <c r="Q672" i="2"/>
  <c r="Q669" i="2"/>
  <c r="AE675" i="2"/>
  <c r="AE113" i="1" s="1"/>
  <c r="AE674" i="2"/>
  <c r="AE114" i="1" s="1"/>
  <c r="Q668" i="2"/>
  <c r="AE673" i="2"/>
  <c r="AE115" i="1" s="1"/>
  <c r="Q667" i="2"/>
  <c r="AL672" i="2"/>
  <c r="AL116" i="1" s="1"/>
  <c r="AL668" i="2"/>
  <c r="AL118" i="1" s="1"/>
  <c r="AL669" i="2"/>
  <c r="AL117" i="1" s="1"/>
  <c r="AI668" i="2"/>
  <c r="AI118" i="1" s="1"/>
  <c r="AI672" i="2"/>
  <c r="AI116" i="1" s="1"/>
  <c r="AI669" i="2"/>
  <c r="AI117" i="1" s="1"/>
  <c r="Q666" i="2"/>
  <c r="AE672" i="2"/>
  <c r="AE116" i="1" s="1"/>
  <c r="AB669" i="2"/>
  <c r="AB117" i="1" s="1"/>
  <c r="AB668" i="2"/>
  <c r="AB118" i="1" s="1"/>
  <c r="AM668" i="2"/>
  <c r="AM118" i="1" s="1"/>
  <c r="AM669" i="2"/>
  <c r="AM117" i="1" s="1"/>
  <c r="AD669" i="2"/>
  <c r="AD117" i="1" s="1"/>
  <c r="AD668" i="2"/>
  <c r="AD118" i="1" s="1"/>
  <c r="AE668" i="2"/>
  <c r="AE118" i="1" s="1"/>
  <c r="AE669" i="2"/>
  <c r="AE117" i="1" s="1"/>
  <c r="Q665" i="2"/>
  <c r="Q661" i="2"/>
  <c r="AE667" i="2"/>
  <c r="AE119" i="1" s="1"/>
  <c r="Q660" i="2"/>
  <c r="AE666" i="2"/>
  <c r="AE120" i="1" s="1"/>
  <c r="Q659" i="2"/>
  <c r="AE665" i="2"/>
  <c r="AE121" i="1" s="1"/>
  <c r="AE661" i="2"/>
  <c r="AE122" i="1" s="1"/>
  <c r="Q655" i="2"/>
  <c r="Q654" i="2"/>
  <c r="AE660" i="2"/>
  <c r="AE123" i="1" s="1"/>
  <c r="AE659" i="2"/>
  <c r="AE124" i="1" s="1"/>
  <c r="Q653" i="2"/>
  <c r="Q652" i="2"/>
  <c r="AE658" i="2"/>
  <c r="AE125" i="1" s="1"/>
  <c r="AE655" i="2"/>
  <c r="AE126" i="1" s="1"/>
  <c r="Q651" i="2"/>
  <c r="AE654" i="2"/>
  <c r="AE127" i="1" s="1"/>
  <c r="Q648" i="2"/>
  <c r="Q647" i="2"/>
  <c r="AE653" i="2"/>
  <c r="AE128" i="1" s="1"/>
  <c r="Q646" i="2"/>
  <c r="AE652" i="2"/>
  <c r="AE129" i="1" s="1"/>
  <c r="AE651" i="2"/>
  <c r="AE130" i="1" s="1"/>
  <c r="Q645" i="2"/>
  <c r="Q644" i="2"/>
  <c r="AE648" i="2"/>
  <c r="AE131" i="1" s="1"/>
  <c r="Q641" i="2"/>
  <c r="AE647" i="2"/>
  <c r="AE132" i="1" s="1"/>
  <c r="Q640" i="2"/>
  <c r="AE646" i="2"/>
  <c r="AE133" i="1" s="1"/>
  <c r="AE645" i="2"/>
  <c r="AE134" i="1" s="1"/>
  <c r="Q639" i="2"/>
  <c r="AE644" i="2"/>
  <c r="AE135" i="1" s="1"/>
  <c r="Q638" i="2"/>
  <c r="Q637" i="2"/>
  <c r="AE641" i="2"/>
  <c r="AE136" i="1" s="1"/>
  <c r="Q634" i="2"/>
  <c r="AE640" i="2"/>
  <c r="AE137" i="1" s="1"/>
  <c r="AE639" i="2"/>
  <c r="AE138" i="1" s="1"/>
  <c r="Q633" i="2"/>
  <c r="Q632" i="2"/>
  <c r="AE638" i="2"/>
  <c r="AE139" i="1" s="1"/>
  <c r="AE637" i="2"/>
  <c r="AE140" i="1" s="1"/>
  <c r="Q631" i="2"/>
  <c r="AE634" i="2"/>
  <c r="AE141" i="1" s="1"/>
  <c r="Q630" i="2"/>
  <c r="Q627" i="2"/>
  <c r="AE633" i="2"/>
  <c r="AE142" i="1" s="1"/>
  <c r="AE632" i="2"/>
  <c r="AE143" i="1" s="1"/>
  <c r="Q626" i="2"/>
  <c r="AE631" i="2"/>
  <c r="AE144" i="1" s="1"/>
  <c r="Q625" i="2"/>
  <c r="Q624" i="2"/>
  <c r="AE630" i="2"/>
  <c r="AE145" i="1" s="1"/>
  <c r="AE627" i="2"/>
  <c r="AE146" i="1" s="1"/>
  <c r="Q623" i="2"/>
  <c r="Q620" i="2"/>
  <c r="AE626" i="2"/>
  <c r="AE147" i="1" s="1"/>
  <c r="Q619" i="2"/>
  <c r="AE625" i="2"/>
  <c r="AE148" i="1" s="1"/>
  <c r="AE624" i="2"/>
  <c r="AE149" i="1" s="1"/>
  <c r="Q618" i="2"/>
  <c r="AE623" i="2"/>
  <c r="AE150" i="1" s="1"/>
  <c r="Q617" i="2"/>
  <c r="AE620" i="2"/>
  <c r="AE151" i="1" s="1"/>
  <c r="Q616" i="2"/>
  <c r="AE619" i="2"/>
  <c r="AE152" i="1" s="1"/>
  <c r="Q613" i="2"/>
  <c r="AE618" i="2"/>
  <c r="AE153" i="1" s="1"/>
  <c r="Q612" i="2"/>
  <c r="AE617" i="2"/>
  <c r="AE154" i="1" s="1"/>
  <c r="Q611" i="2"/>
  <c r="AE616" i="2"/>
  <c r="AE155" i="1" s="1"/>
  <c r="Q610" i="2"/>
  <c r="AE613" i="2"/>
  <c r="AE156" i="1" s="1"/>
  <c r="Q609" i="2"/>
  <c r="Q606" i="2"/>
  <c r="AE612" i="2"/>
  <c r="AE157" i="1" s="1"/>
  <c r="AE611" i="2"/>
  <c r="AE158" i="1" s="1"/>
  <c r="Q605" i="2"/>
  <c r="Q604" i="2"/>
  <c r="AE610" i="2"/>
  <c r="AE159" i="1" s="1"/>
  <c r="AE609" i="2"/>
  <c r="AE160" i="1" s="1"/>
  <c r="Q603" i="2"/>
  <c r="AE606" i="2"/>
  <c r="AE161" i="1" s="1"/>
  <c r="Q602" i="2"/>
  <c r="AE605" i="2"/>
  <c r="AE162" i="1" s="1"/>
  <c r="Q599" i="2"/>
  <c r="AE604" i="2"/>
  <c r="AE163" i="1" s="1"/>
  <c r="Q598" i="2"/>
  <c r="Q597" i="2"/>
  <c r="AE603" i="2"/>
  <c r="AE164" i="1" s="1"/>
  <c r="AE602" i="2"/>
  <c r="AE165" i="1" s="1"/>
  <c r="Q596" i="2"/>
  <c r="Q595" i="2"/>
  <c r="AE599" i="2"/>
  <c r="AE166" i="1" s="1"/>
  <c r="AE598" i="2"/>
  <c r="AE167" i="1" s="1"/>
  <c r="Q592" i="2"/>
  <c r="Q591" i="2"/>
  <c r="AE597" i="2"/>
  <c r="AE168" i="1" s="1"/>
  <c r="Q590" i="2"/>
  <c r="AE596" i="2"/>
  <c r="AE169" i="1" s="1"/>
  <c r="AE595" i="2"/>
  <c r="AE170" i="1" s="1"/>
  <c r="Q589" i="2"/>
  <c r="AE592" i="2"/>
  <c r="AE171" i="1" s="1"/>
  <c r="Q588" i="2"/>
  <c r="AE591" i="2"/>
  <c r="AE172" i="1" s="1"/>
  <c r="Q585" i="2"/>
  <c r="AE590" i="2"/>
  <c r="AE173" i="1" s="1"/>
  <c r="Q584" i="2"/>
  <c r="Q583" i="2"/>
  <c r="AE589" i="2"/>
  <c r="AE174" i="1" s="1"/>
  <c r="AE588" i="2"/>
  <c r="AE175" i="1" s="1"/>
  <c r="Q582" i="2"/>
  <c r="AE585" i="2"/>
  <c r="AE176" i="1" s="1"/>
  <c r="Q581" i="2"/>
  <c r="Q578" i="2"/>
  <c r="AE584" i="2"/>
  <c r="AE177" i="1" s="1"/>
  <c r="AE583" i="2"/>
  <c r="AE178" i="1" s="1"/>
  <c r="Q577" i="2"/>
  <c r="AE582" i="2"/>
  <c r="AE179" i="1" s="1"/>
  <c r="Q576" i="2"/>
  <c r="Q575" i="2"/>
  <c r="AE581" i="2"/>
  <c r="AE180" i="1" s="1"/>
  <c r="AE578" i="2"/>
  <c r="AE181" i="1" s="1"/>
  <c r="Q574" i="2"/>
  <c r="AE577" i="2"/>
  <c r="AE182" i="1" s="1"/>
  <c r="Q571" i="2"/>
  <c r="Q570" i="2"/>
  <c r="AE576" i="2"/>
  <c r="AE183" i="1" s="1"/>
  <c r="Q569" i="2"/>
  <c r="AE575" i="2"/>
  <c r="AE184" i="1" s="1"/>
  <c r="AE574" i="2"/>
  <c r="AE185" i="1" s="1"/>
  <c r="Q568" i="2"/>
  <c r="AE571" i="2"/>
  <c r="AE186" i="1" s="1"/>
  <c r="Q567" i="2"/>
  <c r="AE570" i="2"/>
  <c r="AE187" i="1" s="1"/>
  <c r="Q564" i="2"/>
  <c r="AE569" i="2"/>
  <c r="AE188" i="1" s="1"/>
  <c r="Q563" i="2"/>
  <c r="AE568" i="2"/>
  <c r="AE189" i="1" s="1"/>
  <c r="Q562" i="2"/>
  <c r="AE567" i="2"/>
  <c r="AE190" i="1" s="1"/>
  <c r="Q561" i="2"/>
  <c r="AE564" i="2"/>
  <c r="AE191" i="1" s="1"/>
  <c r="Q560" i="2"/>
  <c r="AE563" i="2"/>
  <c r="AE192" i="1" s="1"/>
  <c r="Q557" i="2"/>
  <c r="AE562" i="2"/>
  <c r="AE193" i="1" s="1"/>
  <c r="Q556" i="2"/>
  <c r="AE561" i="2"/>
  <c r="AE194" i="1" s="1"/>
  <c r="Q555" i="2"/>
  <c r="AE560" i="2"/>
  <c r="AE195" i="1" s="1"/>
  <c r="Q554" i="2"/>
  <c r="AE557" i="2"/>
  <c r="AE196" i="1" s="1"/>
  <c r="Q553" i="2"/>
  <c r="AE556" i="2"/>
  <c r="AE197" i="1" s="1"/>
  <c r="Q550" i="2"/>
  <c r="AE555" i="2"/>
  <c r="AE198" i="1" s="1"/>
  <c r="Q549" i="2"/>
  <c r="AE554" i="2"/>
  <c r="AE199" i="1" s="1"/>
  <c r="Q548" i="2"/>
  <c r="Q547" i="2"/>
  <c r="AE553" i="2"/>
  <c r="AE200" i="1" s="1"/>
  <c r="AE550" i="2"/>
  <c r="AE201" i="1" s="1"/>
  <c r="Q546" i="2"/>
  <c r="AE549" i="2"/>
  <c r="AE202" i="1" s="1"/>
  <c r="Q543" i="2"/>
  <c r="AE548" i="2"/>
  <c r="AE203" i="1" s="1"/>
  <c r="Q542" i="2"/>
  <c r="Q541" i="2"/>
  <c r="AE547" i="2"/>
  <c r="AE204" i="1" s="1"/>
  <c r="AE546" i="2"/>
  <c r="AE205" i="1" s="1"/>
  <c r="Q540" i="2"/>
  <c r="AL543" i="2"/>
  <c r="AL206" i="1" s="1"/>
  <c r="AL542" i="2"/>
  <c r="AL207" i="1" s="1"/>
  <c r="AI543" i="2"/>
  <c r="AI206" i="1" s="1"/>
  <c r="AI542" i="2"/>
  <c r="AI207" i="1" s="1"/>
  <c r="AB543" i="2"/>
  <c r="AB206" i="1" s="1"/>
  <c r="AB542" i="2"/>
  <c r="AB207" i="1" s="1"/>
  <c r="AM543" i="2"/>
  <c r="AM206" i="1" s="1"/>
  <c r="AM542" i="2"/>
  <c r="AM207" i="1" s="1"/>
  <c r="AD542" i="2"/>
  <c r="AD207" i="1" s="1"/>
  <c r="AD543" i="2"/>
  <c r="AD206" i="1" s="1"/>
  <c r="Q539" i="2"/>
  <c r="AE542" i="2"/>
  <c r="AE207" i="1" s="1"/>
  <c r="AE543" i="2"/>
  <c r="AE206" i="1" s="1"/>
  <c r="AE541" i="2"/>
  <c r="AE208" i="1" s="1"/>
  <c r="Q535" i="2"/>
  <c r="AE540" i="2"/>
  <c r="AE209" i="1" s="1"/>
  <c r="Q534" i="2"/>
  <c r="AE539" i="2"/>
  <c r="AE210" i="1" s="1"/>
  <c r="Q533" i="2"/>
  <c r="AE535" i="2"/>
  <c r="AE211" i="1" s="1"/>
  <c r="Q529" i="2"/>
  <c r="Q528" i="2"/>
  <c r="AE534" i="2"/>
  <c r="AE212" i="1" s="1"/>
  <c r="AE533" i="2"/>
  <c r="AE213" i="1" s="1"/>
  <c r="Q527" i="2"/>
  <c r="AE532" i="2"/>
  <c r="AE214" i="1" s="1"/>
  <c r="Q526" i="2"/>
  <c r="Q525" i="2"/>
  <c r="AE529" i="2"/>
  <c r="AE215" i="1" s="1"/>
  <c r="AE528" i="2"/>
  <c r="AE216" i="1" s="1"/>
  <c r="Q522" i="2"/>
  <c r="AE527" i="2"/>
  <c r="AE217" i="1" s="1"/>
  <c r="Q521" i="2"/>
  <c r="Q520" i="2"/>
  <c r="AE526" i="2"/>
  <c r="AE218" i="1" s="1"/>
  <c r="AE525" i="2"/>
  <c r="AE219" i="1" s="1"/>
  <c r="Q519" i="2"/>
  <c r="AE522" i="2"/>
  <c r="AE220" i="1" s="1"/>
  <c r="Q518" i="2"/>
  <c r="Q515" i="2"/>
  <c r="AE521" i="2"/>
  <c r="AE221" i="1" s="1"/>
  <c r="AE520" i="2"/>
  <c r="AE222" i="1" s="1"/>
  <c r="Q514" i="2"/>
  <c r="AE519" i="2"/>
  <c r="AE223" i="1" s="1"/>
  <c r="Q513" i="2"/>
  <c r="AE518" i="2"/>
  <c r="AE224" i="1" s="1"/>
  <c r="Q512" i="2"/>
  <c r="Q511" i="2"/>
  <c r="AE515" i="2"/>
  <c r="AE225" i="1" s="1"/>
  <c r="AE514" i="2"/>
  <c r="AE226" i="1" s="1"/>
  <c r="Q508" i="2"/>
  <c r="AE513" i="2"/>
  <c r="AE227" i="1" s="1"/>
  <c r="Q507" i="2"/>
  <c r="AE512" i="2"/>
  <c r="AE228" i="1" s="1"/>
  <c r="Q506" i="2"/>
  <c r="AE511" i="2"/>
  <c r="AE229" i="1" s="1"/>
  <c r="Q505" i="2"/>
  <c r="AE508" i="2"/>
  <c r="AE230" i="1" s="1"/>
  <c r="Q504" i="2"/>
  <c r="AE507" i="2"/>
  <c r="AE231" i="1" s="1"/>
  <c r="Q501" i="2"/>
  <c r="Q500" i="2"/>
  <c r="AE506" i="2"/>
  <c r="AE232" i="1" s="1"/>
  <c r="Q499" i="2"/>
  <c r="AE505" i="2"/>
  <c r="AE233" i="1" s="1"/>
  <c r="Q498" i="2"/>
  <c r="AE504" i="2"/>
  <c r="AE234" i="1" s="1"/>
  <c r="AE501" i="2"/>
  <c r="AE235" i="1" s="1"/>
  <c r="Q497" i="2"/>
  <c r="AE500" i="2"/>
  <c r="AE236" i="1" s="1"/>
  <c r="Q494" i="2"/>
  <c r="Q493" i="2"/>
  <c r="AE499" i="2"/>
  <c r="AE237" i="1" s="1"/>
  <c r="AE498" i="2"/>
  <c r="AE238" i="1" s="1"/>
  <c r="Q492" i="2"/>
  <c r="AE497" i="2"/>
  <c r="AE239" i="1" s="1"/>
  <c r="Q491" i="2"/>
  <c r="Q490" i="2"/>
  <c r="AE494" i="2"/>
  <c r="AE240" i="1" s="1"/>
  <c r="AE493" i="2"/>
  <c r="AE241" i="1" s="1"/>
  <c r="Q487" i="2"/>
  <c r="AE492" i="2"/>
  <c r="AE242" i="1" s="1"/>
  <c r="Q486" i="2"/>
  <c r="AE491" i="2"/>
  <c r="AE243" i="1" s="1"/>
  <c r="Q485" i="2"/>
  <c r="AE490" i="2"/>
  <c r="AE244" i="1" s="1"/>
  <c r="Q484" i="2"/>
  <c r="AE487" i="2"/>
  <c r="AE245" i="1" s="1"/>
  <c r="Q483" i="2"/>
  <c r="Q480" i="2"/>
  <c r="AE486" i="2"/>
  <c r="AE246" i="1" s="1"/>
  <c r="AE485" i="2"/>
  <c r="AE247" i="1" s="1"/>
  <c r="Q479" i="2"/>
  <c r="AE484" i="2"/>
  <c r="AE248" i="1" s="1"/>
  <c r="Q478" i="2"/>
  <c r="Q477" i="2"/>
  <c r="AE483" i="2"/>
  <c r="AE249" i="1" s="1"/>
  <c r="AE480" i="2"/>
  <c r="AE250" i="1" s="1"/>
  <c r="Q476" i="2"/>
  <c r="Q473" i="2"/>
  <c r="AE479" i="2"/>
  <c r="AE251" i="1" s="1"/>
  <c r="Q472" i="2"/>
  <c r="AE478" i="2"/>
  <c r="AE252" i="1" s="1"/>
  <c r="Q471" i="2"/>
  <c r="AE477" i="2"/>
  <c r="AE253" i="1" s="1"/>
  <c r="AE476" i="2"/>
  <c r="AE254" i="1" s="1"/>
  <c r="Q470" i="2"/>
  <c r="AE473" i="2"/>
  <c r="AE255" i="1" s="1"/>
  <c r="Q469" i="2"/>
  <c r="AE472" i="2"/>
  <c r="AE256" i="1" s="1"/>
  <c r="Q466" i="2"/>
  <c r="AE471" i="2"/>
  <c r="AE257" i="1" s="1"/>
  <c r="Q465" i="2"/>
  <c r="AE470" i="2"/>
  <c r="AE258" i="1" s="1"/>
  <c r="Q464" i="2"/>
  <c r="Q463" i="2"/>
  <c r="AE469" i="2"/>
  <c r="AE259" i="1" s="1"/>
  <c r="AE466" i="2"/>
  <c r="AE260" i="1" s="1"/>
  <c r="Q460" i="2"/>
  <c r="AE465" i="2"/>
  <c r="AE261" i="1" s="1"/>
  <c r="Q459" i="2"/>
  <c r="AE464" i="2"/>
  <c r="AE262" i="1" s="1"/>
  <c r="Q458" i="2"/>
  <c r="AE463" i="2"/>
  <c r="AE263" i="1" s="1"/>
  <c r="Q457" i="2"/>
  <c r="AE462" i="2"/>
  <c r="AE264" i="1" s="1"/>
  <c r="Q456" i="2"/>
  <c r="AE461" i="2"/>
  <c r="AE265" i="1" s="1"/>
  <c r="Q455" i="2"/>
  <c r="AE460" i="2"/>
  <c r="AE266" i="1" s="1"/>
  <c r="Q454" i="2"/>
  <c r="AE459" i="2"/>
  <c r="AE267" i="1" s="1"/>
  <c r="Q453" i="2"/>
  <c r="W452" i="2"/>
  <c r="W274" i="1" s="1"/>
  <c r="Y452" i="2"/>
  <c r="Y274" i="1" s="1"/>
  <c r="Z452" i="2"/>
  <c r="Z274" i="1" s="1"/>
  <c r="W453" i="2"/>
  <c r="W273" i="1" s="1"/>
  <c r="AE458" i="2"/>
  <c r="AE268" i="1" s="1"/>
  <c r="Q452" i="2"/>
  <c r="AE457" i="2"/>
  <c r="AE269" i="1" s="1"/>
  <c r="Q451" i="2"/>
  <c r="Q450" i="2"/>
  <c r="AE456" i="2"/>
  <c r="AE270" i="1" s="1"/>
  <c r="AE455" i="2"/>
  <c r="AE271" i="1" s="1"/>
  <c r="Q449" i="2"/>
  <c r="AE454" i="2"/>
  <c r="AE272" i="1" s="1"/>
  <c r="Q448" i="2"/>
  <c r="AE453" i="2"/>
  <c r="AE273" i="1" s="1"/>
  <c r="Q447" i="2"/>
  <c r="Q446" i="2"/>
  <c r="AE452" i="2"/>
  <c r="AE274" i="1" s="1"/>
  <c r="AE451" i="2"/>
  <c r="AE275" i="1" s="1"/>
  <c r="Q445" i="2"/>
  <c r="Q444" i="2"/>
  <c r="AE450" i="2"/>
  <c r="AE276" i="1" s="1"/>
  <c r="Q443" i="2"/>
  <c r="AE449" i="2"/>
  <c r="AE277" i="1" s="1"/>
  <c r="Q442" i="2"/>
  <c r="AE448" i="2"/>
  <c r="AE278" i="1" s="1"/>
  <c r="AE447" i="2"/>
  <c r="AE279" i="1" s="1"/>
  <c r="Q441" i="2"/>
  <c r="AE446" i="2"/>
  <c r="AE280" i="1" s="1"/>
  <c r="Q440" i="2"/>
  <c r="AE445" i="2"/>
  <c r="AE281" i="1" s="1"/>
  <c r="Q439" i="2"/>
  <c r="AE444" i="2"/>
  <c r="AE282" i="1" s="1"/>
  <c r="Q438" i="2"/>
  <c r="Q437" i="2"/>
  <c r="AE443" i="2"/>
  <c r="AE283" i="1" s="1"/>
  <c r="AE442" i="2"/>
  <c r="AE284" i="1" s="1"/>
  <c r="Q436" i="2"/>
  <c r="Q435" i="2"/>
  <c r="AE441" i="2"/>
  <c r="AE285" i="1" s="1"/>
  <c r="AE440" i="2"/>
  <c r="AE286" i="1" s="1"/>
  <c r="Q434" i="2"/>
  <c r="AE439" i="2"/>
  <c r="AE287" i="1" s="1"/>
  <c r="Q433" i="2"/>
  <c r="AF438" i="2" s="1"/>
  <c r="AF288" i="1" s="1"/>
  <c r="Q431" i="2"/>
  <c r="AE437" i="2"/>
  <c r="AE289" i="1" s="1"/>
  <c r="AE436" i="2"/>
  <c r="AE290" i="1" s="1"/>
  <c r="Q430" i="2"/>
  <c r="AE435" i="2"/>
  <c r="AE291" i="1" s="1"/>
  <c r="Q429" i="2"/>
  <c r="AE434" i="2"/>
  <c r="AE292" i="1" s="1"/>
  <c r="Q428" i="2"/>
  <c r="Q427" i="2"/>
  <c r="AE433" i="2"/>
  <c r="AE293" i="1" s="1"/>
  <c r="Q426" i="2"/>
  <c r="AE432" i="2"/>
  <c r="AE294" i="1" s="1"/>
  <c r="Q425" i="2"/>
  <c r="AE431" i="2"/>
  <c r="AE295" i="1" s="1"/>
  <c r="Q424" i="2"/>
  <c r="AE430" i="2"/>
  <c r="AE296" i="1" s="1"/>
  <c r="Q423" i="2"/>
  <c r="AE429" i="2"/>
  <c r="AE297" i="1" s="1"/>
  <c r="AE428" i="2"/>
  <c r="AE298" i="1" s="1"/>
  <c r="Q422" i="2"/>
  <c r="Q421" i="2"/>
  <c r="AE427" i="2"/>
  <c r="AE299" i="1" s="1"/>
  <c r="Q420" i="2"/>
  <c r="AE426" i="2"/>
  <c r="AE300" i="1" s="1"/>
  <c r="Q419" i="2"/>
  <c r="AF424" i="2" s="1"/>
  <c r="AF302" i="1" s="1"/>
  <c r="AE425" i="2"/>
  <c r="AE301" i="1" s="1"/>
  <c r="Q417" i="2"/>
  <c r="AE423" i="2"/>
  <c r="AE303" i="1" s="1"/>
  <c r="Q416" i="2"/>
  <c r="AE422" i="2"/>
  <c r="AE304" i="1" s="1"/>
  <c r="AE421" i="2"/>
  <c r="AE305" i="1" s="1"/>
  <c r="Q415" i="2"/>
  <c r="Q414" i="2"/>
  <c r="AE420" i="2"/>
  <c r="AE306" i="1" s="1"/>
  <c r="AE419" i="2"/>
  <c r="AE307" i="1" s="1"/>
  <c r="Q413" i="2"/>
  <c r="AE418" i="2"/>
  <c r="AE308" i="1" s="1"/>
  <c r="Q412" i="2"/>
  <c r="AE417" i="2"/>
  <c r="AE309" i="1" s="1"/>
  <c r="Q411" i="2"/>
  <c r="Q410" i="2"/>
  <c r="AE416" i="2"/>
  <c r="AE310" i="1" s="1"/>
  <c r="Q409" i="2"/>
  <c r="AE415" i="2"/>
  <c r="AE311" i="1" s="1"/>
  <c r="AE414" i="2"/>
  <c r="AE312" i="1" s="1"/>
  <c r="Q408" i="2"/>
  <c r="AE413" i="2"/>
  <c r="AE313" i="1" s="1"/>
  <c r="Q407" i="2"/>
  <c r="AE412" i="2"/>
  <c r="AE314" i="1" s="1"/>
  <c r="Q406" i="2"/>
  <c r="Q405" i="2"/>
  <c r="AE411" i="2"/>
  <c r="AE315" i="1" s="1"/>
  <c r="AE410" i="2"/>
  <c r="AE316" i="1" s="1"/>
  <c r="Q404" i="2"/>
  <c r="Q403" i="2"/>
  <c r="AE409" i="2"/>
  <c r="AE317" i="1" s="1"/>
  <c r="AE408" i="2"/>
  <c r="AE318" i="1" s="1"/>
  <c r="Q402" i="2"/>
  <c r="AE407" i="2"/>
  <c r="AE319" i="1" s="1"/>
  <c r="Q401" i="2"/>
  <c r="Q400" i="2"/>
  <c r="AE406" i="2"/>
  <c r="AE320" i="1" s="1"/>
  <c r="Q399" i="2"/>
  <c r="AE405" i="2"/>
  <c r="AE321" i="1" s="1"/>
  <c r="Q398" i="2"/>
  <c r="AE404" i="2"/>
  <c r="AE322" i="1" s="1"/>
  <c r="AE403" i="2"/>
  <c r="AE323" i="1" s="1"/>
  <c r="Q397" i="2"/>
  <c r="AE402" i="2"/>
  <c r="AE324" i="1" s="1"/>
  <c r="Q396" i="2"/>
  <c r="Q395" i="2"/>
  <c r="AE401" i="2"/>
  <c r="AE325" i="1" s="1"/>
  <c r="AL399" i="2"/>
  <c r="AL327" i="1" s="1"/>
  <c r="AL400" i="2"/>
  <c r="AL326" i="1" s="1"/>
  <c r="AE400" i="2"/>
  <c r="AE326" i="1" s="1"/>
  <c r="Q394" i="2"/>
  <c r="AE399" i="2"/>
  <c r="AE327" i="1" s="1"/>
  <c r="Q393" i="2"/>
  <c r="AE398" i="2"/>
  <c r="AE328" i="1" s="1"/>
  <c r="Q392" i="2"/>
  <c r="Q391" i="2"/>
  <c r="AE397" i="2"/>
  <c r="AE329" i="1" s="1"/>
  <c r="Q390" i="2"/>
  <c r="AE396" i="2"/>
  <c r="AE330" i="1" s="1"/>
  <c r="Q389" i="2"/>
  <c r="AF394" i="2" s="1"/>
  <c r="AF332" i="1" s="1"/>
  <c r="AE395" i="2"/>
  <c r="AE331" i="1" s="1"/>
  <c r="AE393" i="2"/>
  <c r="AE333" i="1" s="1"/>
  <c r="Q387" i="2"/>
  <c r="Q386" i="2"/>
  <c r="AE392" i="2"/>
  <c r="AE334" i="1" s="1"/>
  <c r="Q385" i="2"/>
  <c r="AE391" i="2"/>
  <c r="AE335" i="1" s="1"/>
  <c r="Q384" i="2"/>
  <c r="AE390" i="2"/>
  <c r="AE336" i="1" s="1"/>
  <c r="Q383" i="2"/>
  <c r="AE389" i="2"/>
  <c r="AE337" i="1" s="1"/>
  <c r="Q382" i="2"/>
  <c r="AE388" i="2"/>
  <c r="AE338" i="1" s="1"/>
  <c r="AE387" i="2"/>
  <c r="AE339" i="1" s="1"/>
  <c r="Q381" i="2"/>
  <c r="AE386" i="2"/>
  <c r="AE340" i="1" s="1"/>
  <c r="Q380" i="2"/>
  <c r="Q379" i="2"/>
  <c r="AE385" i="2"/>
  <c r="AE341" i="1" s="1"/>
  <c r="AE384" i="2"/>
  <c r="AE342" i="1" s="1"/>
  <c r="Q378" i="2"/>
  <c r="Q377" i="2"/>
  <c r="AE383" i="2"/>
  <c r="AE343" i="1" s="1"/>
  <c r="Q376" i="2"/>
  <c r="AE382" i="2"/>
  <c r="AE344" i="1" s="1"/>
  <c r="Q375" i="2"/>
  <c r="AE381" i="2"/>
  <c r="AE345" i="1" s="1"/>
  <c r="Q374" i="2"/>
  <c r="AE380" i="2"/>
  <c r="AE346" i="1" s="1"/>
  <c r="Q373" i="2"/>
  <c r="AE379" i="2"/>
  <c r="AE347" i="1" s="1"/>
  <c r="Q372" i="2"/>
  <c r="AE378" i="2"/>
  <c r="AE348" i="1" s="1"/>
  <c r="Q371" i="2"/>
  <c r="AE377" i="2"/>
  <c r="AE349" i="1" s="1"/>
  <c r="Q370" i="2"/>
  <c r="AE376" i="2"/>
  <c r="AE350" i="1" s="1"/>
  <c r="Q369" i="2"/>
  <c r="AE375" i="2"/>
  <c r="AE351" i="1" s="1"/>
  <c r="Q368" i="2"/>
  <c r="AE374" i="2"/>
  <c r="AE352" i="1" s="1"/>
  <c r="Q367" i="2"/>
  <c r="AE373" i="2"/>
  <c r="AE353" i="1" s="1"/>
  <c r="AE372" i="2"/>
  <c r="AE354" i="1" s="1"/>
  <c r="Q366" i="2"/>
  <c r="AE371" i="2"/>
  <c r="AE355" i="1" s="1"/>
  <c r="Q365" i="2"/>
  <c r="AE370" i="2"/>
  <c r="AE356" i="1" s="1"/>
  <c r="Q364" i="2"/>
  <c r="AE369" i="2"/>
  <c r="AE357" i="1" s="1"/>
  <c r="Q363" i="2"/>
  <c r="Q362" i="2"/>
  <c r="AE368" i="2"/>
  <c r="AE358" i="1" s="1"/>
  <c r="AE367" i="2"/>
  <c r="AE359" i="1" s="1"/>
  <c r="Q361" i="2"/>
  <c r="AE366" i="2"/>
  <c r="AE360" i="1" s="1"/>
  <c r="Q360" i="2"/>
  <c r="AE365" i="2"/>
  <c r="AE361" i="1" s="1"/>
  <c r="Q359" i="2"/>
  <c r="AE364" i="2"/>
  <c r="AE362" i="1" s="1"/>
  <c r="Q358" i="2"/>
  <c r="Q357" i="2"/>
  <c r="AE363" i="2"/>
  <c r="AE363" i="1" s="1"/>
  <c r="Q356" i="2"/>
  <c r="AE362" i="2"/>
  <c r="AE364" i="1" s="1"/>
  <c r="Q355" i="2"/>
  <c r="AE361" i="2"/>
  <c r="AE365" i="1" s="1"/>
  <c r="Q354" i="2"/>
  <c r="AF359" i="2" s="1"/>
  <c r="AF367" i="1" s="1"/>
  <c r="AE360" i="2"/>
  <c r="AE366" i="1" s="1"/>
  <c r="I354" i="2"/>
  <c r="I372" i="1" s="1"/>
  <c r="N354" i="2"/>
  <c r="N372" i="1" s="1"/>
  <c r="J354" i="2"/>
  <c r="J372" i="1" s="1"/>
  <c r="V354" i="2"/>
  <c r="V372" i="1" s="1"/>
  <c r="B355" i="2"/>
  <c r="AO355" i="1" s="1"/>
  <c r="AP355" i="1" s="1"/>
  <c r="M354" i="2"/>
  <c r="M372" i="1" s="1"/>
  <c r="AE358" i="2"/>
  <c r="AE368" i="1" s="1"/>
  <c r="Q352" i="2"/>
  <c r="AE357" i="2"/>
  <c r="AE369" i="1" s="1"/>
  <c r="Q351" i="2"/>
  <c r="Q350" i="2"/>
  <c r="AE356" i="2"/>
  <c r="AE370" i="1" s="1"/>
  <c r="AE355" i="2"/>
  <c r="AE371" i="1" s="1"/>
  <c r="Q349" i="2"/>
  <c r="AE354" i="2"/>
  <c r="AE372" i="1" s="1"/>
  <c r="Q348" i="2"/>
  <c r="Q347" i="2"/>
  <c r="AE353" i="2"/>
  <c r="AE373" i="1" s="1"/>
  <c r="Q346" i="2"/>
  <c r="AE352" i="2"/>
  <c r="AE374" i="1" s="1"/>
  <c r="AE351" i="2"/>
  <c r="AE375" i="1" s="1"/>
  <c r="Q345" i="2"/>
  <c r="Q344" i="2"/>
  <c r="AE350" i="2"/>
  <c r="AE376" i="1" s="1"/>
  <c r="AE349" i="2"/>
  <c r="AE377" i="1" s="1"/>
  <c r="Q343" i="2"/>
  <c r="Q342" i="2"/>
  <c r="AE348" i="2"/>
  <c r="AE378" i="1" s="1"/>
  <c r="AM347" i="2"/>
  <c r="AM379" i="1" s="1"/>
  <c r="AM341" i="2"/>
  <c r="AM385" i="1" s="1"/>
  <c r="AM342" i="2"/>
  <c r="AM384" i="1" s="1"/>
  <c r="AM343" i="2"/>
  <c r="AM383" i="1" s="1"/>
  <c r="AM345" i="2"/>
  <c r="AM381" i="1" s="1"/>
  <c r="AM344" i="2"/>
  <c r="AM382" i="1" s="1"/>
  <c r="AM346" i="2"/>
  <c r="AM380" i="1" s="1"/>
  <c r="AD341" i="2"/>
  <c r="AD385" i="1" s="1"/>
  <c r="AD342" i="2"/>
  <c r="AD384" i="1" s="1"/>
  <c r="AD343" i="2"/>
  <c r="AD383" i="1" s="1"/>
  <c r="AD346" i="2"/>
  <c r="AD380" i="1" s="1"/>
  <c r="AD345" i="2"/>
  <c r="AD381" i="1" s="1"/>
  <c r="AD347" i="2"/>
  <c r="AD379" i="1" s="1"/>
  <c r="AD344" i="2"/>
  <c r="AD382" i="1" s="1"/>
  <c r="Q341" i="2"/>
  <c r="AE341" i="2"/>
  <c r="AE385" i="1" s="1"/>
  <c r="AE342" i="2"/>
  <c r="AE384" i="1" s="1"/>
  <c r="AE344" i="2"/>
  <c r="AE382" i="1" s="1"/>
  <c r="AE347" i="2"/>
  <c r="AE379" i="1" s="1"/>
  <c r="AE346" i="2"/>
  <c r="AE380" i="1" s="1"/>
  <c r="D8" i="4" a="1"/>
  <c r="D8" i="4" s="1"/>
  <c r="AE345" i="2"/>
  <c r="AE381" i="1" s="1"/>
  <c r="AE343" i="2"/>
  <c r="AE383" i="1" s="1"/>
  <c r="AL345" i="2"/>
  <c r="AL381" i="1" s="1"/>
  <c r="AL343" i="2"/>
  <c r="AL383" i="1" s="1"/>
  <c r="AL341" i="2"/>
  <c r="AL385" i="1" s="1"/>
  <c r="AL346" i="2"/>
  <c r="AL380" i="1" s="1"/>
  <c r="AL340" i="2"/>
  <c r="AL386" i="1" s="1"/>
  <c r="AL344" i="2"/>
  <c r="AL382" i="1" s="1"/>
  <c r="AL342" i="2"/>
  <c r="AL384" i="1" s="1"/>
  <c r="AI342" i="2"/>
  <c r="AI384" i="1" s="1"/>
  <c r="AI341" i="2"/>
  <c r="AI385" i="1" s="1"/>
  <c r="AI346" i="2"/>
  <c r="AI380" i="1" s="1"/>
  <c r="AI340" i="2"/>
  <c r="AI386" i="1" s="1"/>
  <c r="AI344" i="2"/>
  <c r="AI382" i="1" s="1"/>
  <c r="AI345" i="2"/>
  <c r="AI381" i="1" s="1"/>
  <c r="AI343" i="2"/>
  <c r="AI383" i="1" s="1"/>
  <c r="AB341" i="2"/>
  <c r="AB385" i="1" s="1"/>
  <c r="AB344" i="2"/>
  <c r="AB382" i="1" s="1"/>
  <c r="AB345" i="2"/>
  <c r="AB381" i="1" s="1"/>
  <c r="AB340" i="2"/>
  <c r="AB386" i="1" s="1"/>
  <c r="AB346" i="2"/>
  <c r="AB380" i="1" s="1"/>
  <c r="AB343" i="2"/>
  <c r="AB383" i="1" s="1"/>
  <c r="AB342" i="2"/>
  <c r="AB384" i="1" s="1"/>
  <c r="AF346" i="2"/>
  <c r="AF380" i="1" s="1"/>
  <c r="Q386" i="1"/>
  <c r="AF345" i="2"/>
  <c r="AF381" i="1" s="1"/>
  <c r="Q387" i="1"/>
  <c r="Q388" i="1"/>
  <c r="AF344" i="2"/>
  <c r="AF382" i="1" s="1"/>
  <c r="AF343" i="2"/>
  <c r="AF383" i="1" s="1"/>
  <c r="Q389" i="1"/>
  <c r="AF342" i="2"/>
  <c r="AF384" i="1" s="1"/>
  <c r="Q390" i="1"/>
  <c r="AF341" i="2"/>
  <c r="AF385" i="1" s="1"/>
  <c r="Q391" i="1"/>
  <c r="AF340" i="2"/>
  <c r="AF386" i="1" s="1"/>
  <c r="Q392" i="1"/>
  <c r="AE339" i="2"/>
  <c r="AE387" i="1" s="1"/>
  <c r="Q333" i="2"/>
  <c r="Q332" i="2"/>
  <c r="AE338" i="2"/>
  <c r="AE388" i="1" s="1"/>
  <c r="Q331" i="2"/>
  <c r="AE337" i="2"/>
  <c r="AE389" i="1" s="1"/>
  <c r="Q330" i="2"/>
  <c r="AE336" i="2"/>
  <c r="AE390" i="1" s="1"/>
  <c r="AE335" i="2"/>
  <c r="AE391" i="1" s="1"/>
  <c r="Q329" i="2"/>
  <c r="Q328" i="2"/>
  <c r="AE334" i="2"/>
  <c r="AE392" i="1" s="1"/>
  <c r="AE333" i="2"/>
  <c r="AE393" i="1" s="1"/>
  <c r="Q327" i="2"/>
  <c r="Q326" i="2"/>
  <c r="AE332" i="2"/>
  <c r="AE394" i="1" s="1"/>
  <c r="AE331" i="2"/>
  <c r="AE395" i="1" s="1"/>
  <c r="Q325" i="2"/>
  <c r="AL329" i="2"/>
  <c r="AL397" i="1" s="1"/>
  <c r="AL330" i="2"/>
  <c r="AL396" i="1" s="1"/>
  <c r="Q324" i="2"/>
  <c r="AE330" i="2"/>
  <c r="AE396" i="1" s="1"/>
  <c r="AE329" i="2"/>
  <c r="AE397" i="1" s="1"/>
  <c r="Q323" i="2"/>
  <c r="AE328" i="2"/>
  <c r="AE398" i="1" s="1"/>
  <c r="Q322" i="2"/>
  <c r="AE327" i="2"/>
  <c r="AE399" i="1" s="1"/>
  <c r="Q321" i="2"/>
  <c r="AE326" i="2"/>
  <c r="AE400" i="1" s="1"/>
  <c r="Q320" i="2"/>
  <c r="AE325" i="2"/>
  <c r="AE401" i="1" s="1"/>
  <c r="Q319" i="2"/>
  <c r="AE324" i="2"/>
  <c r="AE402" i="1" s="1"/>
  <c r="Q318" i="2"/>
  <c r="Q317" i="2"/>
  <c r="AE323" i="2"/>
  <c r="AE403" i="1" s="1"/>
  <c r="AI321" i="2"/>
  <c r="AI405" i="1" s="1"/>
  <c r="AI322" i="2"/>
  <c r="AI404" i="1" s="1"/>
  <c r="AI320" i="2"/>
  <c r="AI406" i="1" s="1"/>
  <c r="AI319" i="2"/>
  <c r="AI407" i="1" s="1"/>
  <c r="AE322" i="2"/>
  <c r="AE404" i="1" s="1"/>
  <c r="Q316" i="2"/>
  <c r="Q315" i="2"/>
  <c r="AE321" i="2"/>
  <c r="AE405" i="1" s="1"/>
  <c r="AE320" i="2"/>
  <c r="AE406" i="1" s="1"/>
  <c r="Q314" i="2"/>
  <c r="AM318" i="2"/>
  <c r="AM408" i="1" s="1"/>
  <c r="AM317" i="2"/>
  <c r="AM409" i="1" s="1"/>
  <c r="AM319" i="2"/>
  <c r="AM407" i="1" s="1"/>
  <c r="AE319" i="2"/>
  <c r="AE407" i="1" s="1"/>
  <c r="Q313" i="2"/>
  <c r="AE318" i="2"/>
  <c r="AE408" i="1" s="1"/>
  <c r="Q312" i="2"/>
  <c r="AE317" i="2"/>
  <c r="AE409" i="1" s="1"/>
  <c r="Q311" i="2"/>
  <c r="AE316" i="2"/>
  <c r="AE410" i="1" s="1"/>
  <c r="AE315" i="2"/>
  <c r="AE411" i="1" s="1"/>
  <c r="Q310" i="2"/>
  <c r="AF315" i="2" s="1"/>
  <c r="AF411" i="1" s="1"/>
  <c r="AI314" i="2"/>
  <c r="AI412" i="1" s="1"/>
  <c r="AI313" i="2"/>
  <c r="AI413" i="1" s="1"/>
  <c r="AI312" i="2"/>
  <c r="AI414" i="1" s="1"/>
  <c r="AI315" i="2"/>
  <c r="AI411" i="1" s="1"/>
  <c r="AI311" i="2"/>
  <c r="AI415" i="1" s="1"/>
  <c r="AE314" i="2"/>
  <c r="AE412" i="1" s="1"/>
  <c r="Q308" i="2"/>
  <c r="AE313" i="2"/>
  <c r="AE413" i="1" s="1"/>
  <c r="Q307" i="2"/>
  <c r="AE312" i="2"/>
  <c r="AE414" i="1" s="1"/>
  <c r="Q306" i="2"/>
  <c r="AG307" i="2"/>
  <c r="AG419" i="1" s="1"/>
  <c r="AG420" i="1"/>
  <c r="Q305" i="2"/>
  <c r="AE311" i="2"/>
  <c r="AE415" i="1" s="1"/>
  <c r="AE310" i="2"/>
  <c r="AE416" i="1" s="1"/>
  <c r="Q304" i="2"/>
  <c r="Q303" i="2"/>
  <c r="AE309" i="2"/>
  <c r="AE417" i="1" s="1"/>
  <c r="AI308" i="2"/>
  <c r="AI418" i="1" s="1"/>
  <c r="AI307" i="2"/>
  <c r="AI419" i="1" s="1"/>
  <c r="AE308" i="2"/>
  <c r="AE418" i="1" s="1"/>
  <c r="Q302" i="2"/>
  <c r="AE307" i="2"/>
  <c r="AE419" i="1" s="1"/>
  <c r="Q301" i="2"/>
  <c r="AE306" i="2"/>
  <c r="AE420" i="1" s="1"/>
  <c r="Q300" i="2"/>
  <c r="AE305" i="2"/>
  <c r="AE421" i="1" s="1"/>
  <c r="Q299" i="2"/>
  <c r="AE304" i="2"/>
  <c r="AE422" i="1" s="1"/>
  <c r="Q298" i="2"/>
  <c r="Q297" i="2"/>
  <c r="AE303" i="2"/>
  <c r="AE423" i="1" s="1"/>
  <c r="Q296" i="2"/>
  <c r="AE302" i="2"/>
  <c r="AE424" i="1" s="1"/>
  <c r="AE301" i="2"/>
  <c r="AE425" i="1" s="1"/>
  <c r="Q295" i="2"/>
  <c r="AE300" i="2"/>
  <c r="AE426" i="1" s="1"/>
  <c r="Q294" i="2"/>
  <c r="AE299" i="2"/>
  <c r="AE427" i="1" s="1"/>
  <c r="Q293" i="2"/>
  <c r="Q292" i="2"/>
  <c r="AE298" i="2"/>
  <c r="AE428" i="1" s="1"/>
  <c r="Q291" i="2"/>
  <c r="AE297" i="2"/>
  <c r="AE429" i="1" s="1"/>
  <c r="AE296" i="2"/>
  <c r="AE430" i="1" s="1"/>
  <c r="Q290" i="2"/>
  <c r="AE295" i="2"/>
  <c r="AE431" i="1" s="1"/>
  <c r="AE294" i="2"/>
  <c r="AE432" i="1" s="1"/>
  <c r="Q289" i="2"/>
  <c r="AF294" i="2" s="1"/>
  <c r="AF432" i="1" s="1"/>
  <c r="Q287" i="2"/>
  <c r="AE293" i="2"/>
  <c r="AE433" i="1" s="1"/>
  <c r="AE292" i="2"/>
  <c r="AE434" i="1" s="1"/>
  <c r="Q286" i="2"/>
  <c r="AE291" i="2"/>
  <c r="AE435" i="1" s="1"/>
  <c r="Q285" i="2"/>
  <c r="AE290" i="2"/>
  <c r="AE436" i="1" s="1"/>
  <c r="Q284" i="2"/>
  <c r="AE289" i="2"/>
  <c r="AE437" i="1" s="1"/>
  <c r="Q283" i="2"/>
  <c r="AE287" i="2"/>
  <c r="AE439" i="1" s="1"/>
  <c r="AE288" i="2"/>
  <c r="AE438" i="1" s="1"/>
  <c r="Q282" i="2"/>
  <c r="AF287" i="2" s="1"/>
  <c r="AF439" i="1" s="1"/>
  <c r="AE286" i="2"/>
  <c r="AE440" i="1" s="1"/>
  <c r="Q280" i="2"/>
  <c r="AE285" i="2"/>
  <c r="AE441" i="1" s="1"/>
  <c r="Q279" i="2"/>
  <c r="Q278" i="2"/>
  <c r="AE284" i="2"/>
  <c r="AE442" i="1" s="1"/>
  <c r="AE283" i="2"/>
  <c r="AE443" i="1" s="1"/>
  <c r="Q277" i="2"/>
  <c r="AE282" i="2"/>
  <c r="AE444" i="1" s="1"/>
  <c r="AE281" i="2"/>
  <c r="AE445" i="1" s="1"/>
  <c r="Q276" i="2"/>
  <c r="AF281" i="2" s="1"/>
  <c r="AF445" i="1" s="1"/>
  <c r="AE280" i="2"/>
  <c r="AE446" i="1" s="1"/>
  <c r="Q274" i="2"/>
  <c r="AE279" i="2"/>
  <c r="AE447" i="1" s="1"/>
  <c r="Q273" i="2"/>
  <c r="AE278" i="2"/>
  <c r="AE448" i="1" s="1"/>
  <c r="Q272" i="2"/>
  <c r="Q271" i="2"/>
  <c r="AE277" i="2"/>
  <c r="AE449" i="1" s="1"/>
  <c r="Q270" i="2"/>
  <c r="AE276" i="2"/>
  <c r="AE450" i="1" s="1"/>
  <c r="AE275" i="2"/>
  <c r="AE451" i="1" s="1"/>
  <c r="Q269" i="2"/>
  <c r="AE274" i="2"/>
  <c r="AE452" i="1" s="1"/>
  <c r="Q268" i="2"/>
  <c r="Q267" i="2"/>
  <c r="AE273" i="2"/>
  <c r="AE453" i="1" s="1"/>
  <c r="Q266" i="2"/>
  <c r="AE272" i="2"/>
  <c r="AE454" i="1" s="1"/>
  <c r="Q265" i="2"/>
  <c r="AE271" i="2"/>
  <c r="AE455" i="1" s="1"/>
  <c r="AE270" i="2"/>
  <c r="AE456" i="1" s="1"/>
  <c r="Q264" i="2"/>
  <c r="AE269" i="2"/>
  <c r="AE457" i="1" s="1"/>
  <c r="Q263" i="2"/>
  <c r="Q262" i="2"/>
  <c r="AE268" i="2"/>
  <c r="AE458" i="1" s="1"/>
  <c r="Q261" i="2"/>
  <c r="AE267" i="2"/>
  <c r="AE459" i="1" s="1"/>
  <c r="Q260" i="2"/>
  <c r="AE266" i="2"/>
  <c r="AE460" i="1" s="1"/>
  <c r="AE264" i="2"/>
  <c r="AE462" i="1" s="1"/>
  <c r="Q258" i="2"/>
  <c r="AE263" i="2"/>
  <c r="AE463" i="1" s="1"/>
  <c r="Q257" i="2"/>
  <c r="AE262" i="2"/>
  <c r="AE464" i="1" s="1"/>
  <c r="Q256" i="2"/>
  <c r="Q255" i="2"/>
  <c r="AE261" i="2"/>
  <c r="AE465" i="1" s="1"/>
  <c r="Q254" i="2"/>
  <c r="AE260" i="2"/>
  <c r="AE466" i="1" s="1"/>
  <c r="Q253" i="2"/>
  <c r="AE259" i="2"/>
  <c r="AE467" i="1" s="1"/>
  <c r="AE258" i="2"/>
  <c r="AE468" i="1" s="1"/>
  <c r="Q252" i="2"/>
  <c r="AE257" i="2"/>
  <c r="AE469" i="1" s="1"/>
  <c r="Q251" i="2"/>
  <c r="AE256" i="2"/>
  <c r="AE470" i="1" s="1"/>
  <c r="Q250" i="2"/>
  <c r="Q249" i="2"/>
  <c r="AE255" i="2"/>
  <c r="AE471" i="1" s="1"/>
  <c r="AE254" i="2"/>
  <c r="AE472" i="1" s="1"/>
  <c r="Q248" i="2"/>
  <c r="AE253" i="2"/>
  <c r="AE473" i="1" s="1"/>
  <c r="Q247" i="2"/>
  <c r="AE252" i="2"/>
  <c r="AE474" i="1" s="1"/>
  <c r="Q246" i="2"/>
  <c r="Q245" i="2"/>
  <c r="AE251" i="2"/>
  <c r="AE475" i="1" s="1"/>
  <c r="Q244" i="2"/>
  <c r="AE250" i="2"/>
  <c r="AE476" i="1" s="1"/>
  <c r="AE249" i="2"/>
  <c r="AE477" i="1" s="1"/>
  <c r="Q243" i="2"/>
  <c r="Q242" i="2"/>
  <c r="AE248" i="2"/>
  <c r="AE478" i="1" s="1"/>
  <c r="Q241" i="2"/>
  <c r="AE247" i="2"/>
  <c r="AE479" i="1" s="1"/>
  <c r="AE246" i="2"/>
  <c r="AE480" i="1" s="1"/>
  <c r="Q240" i="2"/>
  <c r="Q239" i="2"/>
  <c r="AE245" i="2"/>
  <c r="AE481" i="1" s="1"/>
  <c r="AE244" i="2"/>
  <c r="AE482" i="1" s="1"/>
  <c r="Q238" i="2"/>
  <c r="AE243" i="2"/>
  <c r="AE483" i="1" s="1"/>
  <c r="Q237" i="2"/>
  <c r="AE242" i="2"/>
  <c r="AE484" i="1" s="1"/>
  <c r="Q236" i="2"/>
  <c r="Q235" i="2"/>
  <c r="AE241" i="2"/>
  <c r="AE485" i="1" s="1"/>
  <c r="AE240" i="2"/>
  <c r="AE486" i="1" s="1"/>
  <c r="Q234" i="2"/>
  <c r="AE239" i="2"/>
  <c r="AE487" i="1" s="1"/>
  <c r="Q233" i="2"/>
  <c r="AE238" i="2"/>
  <c r="AE488" i="1" s="1"/>
  <c r="Q232" i="2"/>
  <c r="AD237" i="2"/>
  <c r="AD489" i="1" s="1"/>
  <c r="AD236" i="2"/>
  <c r="AD490" i="1" s="1"/>
  <c r="AD235" i="2"/>
  <c r="AD491" i="1" s="1"/>
  <c r="AE237" i="2"/>
  <c r="AE489" i="1" s="1"/>
  <c r="Q231" i="2"/>
  <c r="S232" i="2"/>
  <c r="N231" i="2"/>
  <c r="N495" i="1" s="1"/>
  <c r="S231" i="2"/>
  <c r="Q230" i="2"/>
  <c r="AE236" i="2"/>
  <c r="AE490" i="1" s="1"/>
  <c r="AE235" i="2"/>
  <c r="AE491" i="1" s="1"/>
  <c r="Q229" i="2"/>
  <c r="AE234" i="2"/>
  <c r="AE492" i="1" s="1"/>
  <c r="Q228" i="2"/>
  <c r="AE233" i="2"/>
  <c r="AE493" i="1" s="1"/>
  <c r="Q227" i="2"/>
  <c r="AE232" i="2"/>
  <c r="AE494" i="1" s="1"/>
  <c r="AE231" i="2"/>
  <c r="AE495" i="1" s="1"/>
  <c r="Q226" i="2"/>
  <c r="AF231" i="2" s="1"/>
  <c r="AF495" i="1" s="1"/>
  <c r="Q224" i="2"/>
  <c r="AE230" i="2"/>
  <c r="AE496" i="1" s="1"/>
  <c r="AE229" i="2"/>
  <c r="AE497" i="1" s="1"/>
  <c r="Q223" i="2"/>
  <c r="AE228" i="2"/>
  <c r="AE498" i="1" s="1"/>
  <c r="Q222" i="2"/>
  <c r="Q221" i="2"/>
  <c r="AE227" i="2"/>
  <c r="AE499" i="1" s="1"/>
  <c r="Q220" i="2"/>
  <c r="AE226" i="2"/>
  <c r="AE500" i="1" s="1"/>
  <c r="AM222" i="2"/>
  <c r="AM504" i="1" s="1"/>
  <c r="AM225" i="2"/>
  <c r="AM501" i="1" s="1"/>
  <c r="AM219" i="2"/>
  <c r="AM507" i="1" s="1"/>
  <c r="AM224" i="2"/>
  <c r="AM502" i="1" s="1"/>
  <c r="AM220" i="2"/>
  <c r="AM506" i="1" s="1"/>
  <c r="AM223" i="2"/>
  <c r="AM503" i="1" s="1"/>
  <c r="AM221" i="2"/>
  <c r="AM505" i="1" s="1"/>
  <c r="AD221" i="2"/>
  <c r="AD505" i="1" s="1"/>
  <c r="AD224" i="2"/>
  <c r="AD502" i="1" s="1"/>
  <c r="AD219" i="2"/>
  <c r="AD507" i="1" s="1"/>
  <c r="AD222" i="2"/>
  <c r="AD504" i="1" s="1"/>
  <c r="AD223" i="2"/>
  <c r="AD503" i="1" s="1"/>
  <c r="AD225" i="2"/>
  <c r="AD501" i="1" s="1"/>
  <c r="AD220" i="2"/>
  <c r="AD506" i="1" s="1"/>
  <c r="AE225" i="2"/>
  <c r="AE501" i="1" s="1"/>
  <c r="AE224" i="2"/>
  <c r="AE502" i="1" s="1"/>
  <c r="AE220" i="2"/>
  <c r="AE506" i="1" s="1"/>
  <c r="AE221" i="2"/>
  <c r="AE505" i="1" s="1"/>
  <c r="AE223" i="2"/>
  <c r="AE503" i="1" s="1"/>
  <c r="AE219" i="2"/>
  <c r="AE507" i="1" s="1"/>
  <c r="Q219" i="2"/>
  <c r="AE222" i="2"/>
  <c r="AE504" i="1" s="1"/>
  <c r="AM41" i="1" l="1"/>
  <c r="D1214" i="5"/>
  <c r="AM43" i="1"/>
  <c r="D1210" i="5"/>
  <c r="AM42" i="1"/>
  <c r="D1211" i="5"/>
  <c r="AD42" i="1"/>
  <c r="D845" i="5"/>
  <c r="AD41" i="1"/>
  <c r="D848" i="5"/>
  <c r="AD43" i="1"/>
  <c r="D844" i="5"/>
  <c r="AM50" i="1"/>
  <c r="D1197" i="5"/>
  <c r="AM49" i="1"/>
  <c r="D1200" i="5"/>
  <c r="AD49" i="1"/>
  <c r="D834" i="5"/>
  <c r="AD50" i="1"/>
  <c r="D831" i="5"/>
  <c r="AM62" i="1"/>
  <c r="D1180" i="5"/>
  <c r="AM64" i="1"/>
  <c r="D1176" i="5"/>
  <c r="AM63" i="1"/>
  <c r="D1179" i="5"/>
  <c r="AD62" i="1"/>
  <c r="D814" i="5"/>
  <c r="AD64" i="1"/>
  <c r="D810" i="5"/>
  <c r="AD63" i="1"/>
  <c r="D813" i="5"/>
  <c r="D1526" i="5"/>
  <c r="AF74" i="1"/>
  <c r="AM77" i="1"/>
  <c r="D1155" i="5"/>
  <c r="AM74" i="1"/>
  <c r="D1160" i="5"/>
  <c r="AM73" i="1"/>
  <c r="D1161" i="5"/>
  <c r="AM75" i="1"/>
  <c r="D1159" i="5"/>
  <c r="AM76" i="1"/>
  <c r="D1158" i="5"/>
  <c r="AD74" i="1"/>
  <c r="D794" i="5"/>
  <c r="AD75" i="1"/>
  <c r="D793" i="5"/>
  <c r="AD76" i="1"/>
  <c r="D792" i="5"/>
  <c r="AD77" i="1"/>
  <c r="D789" i="5"/>
  <c r="AD73" i="1"/>
  <c r="D795" i="5"/>
  <c r="AF75" i="1"/>
  <c r="D1525" i="5"/>
  <c r="AF76" i="1"/>
  <c r="D1524" i="5"/>
  <c r="AF77" i="1"/>
  <c r="D1521" i="5"/>
  <c r="AF78" i="1"/>
  <c r="D1520" i="5"/>
  <c r="AM231" i="2"/>
  <c r="AM495" i="1" s="1"/>
  <c r="AM232" i="2"/>
  <c r="AM494" i="1" s="1"/>
  <c r="AM234" i="2"/>
  <c r="AM492" i="1" s="1"/>
  <c r="AM233" i="2"/>
  <c r="AM493" i="1" s="1"/>
  <c r="AM235" i="2"/>
  <c r="AM491" i="1" s="1"/>
  <c r="AM236" i="2"/>
  <c r="AM490" i="1" s="1"/>
  <c r="AF800" i="2"/>
  <c r="Q35" i="1"/>
  <c r="AF791" i="2"/>
  <c r="Q40" i="1"/>
  <c r="AF788" i="2"/>
  <c r="Q41" i="1"/>
  <c r="AF787" i="2"/>
  <c r="Q42" i="1"/>
  <c r="AF786" i="2"/>
  <c r="Q43" i="1"/>
  <c r="AF785" i="2"/>
  <c r="Q44" i="1"/>
  <c r="AF780" i="2"/>
  <c r="AF781" i="2"/>
  <c r="AF784" i="2"/>
  <c r="Q45" i="1"/>
  <c r="AF779" i="2"/>
  <c r="Q46" i="1"/>
  <c r="AF778" i="2"/>
  <c r="Q47" i="1"/>
  <c r="AF773" i="2"/>
  <c r="Q50" i="1"/>
  <c r="AF772" i="2"/>
  <c r="Q51" i="1"/>
  <c r="AF771" i="2"/>
  <c r="Q52" i="1"/>
  <c r="AF767" i="2"/>
  <c r="AF770" i="2"/>
  <c r="Q53" i="1"/>
  <c r="AF766" i="2"/>
  <c r="Q54" i="1"/>
  <c r="AF765" i="2"/>
  <c r="Q55" i="1"/>
  <c r="AF764" i="2"/>
  <c r="Q56" i="1"/>
  <c r="AF760" i="2"/>
  <c r="Q58" i="1"/>
  <c r="AF759" i="2"/>
  <c r="Q59" i="1"/>
  <c r="AF758" i="2"/>
  <c r="Q60" i="1"/>
  <c r="AF757" i="2"/>
  <c r="Q61" i="1"/>
  <c r="AF756" i="2"/>
  <c r="Q62" i="1"/>
  <c r="AF753" i="2"/>
  <c r="Q63" i="1"/>
  <c r="AF752" i="2"/>
  <c r="Q64" i="1"/>
  <c r="AF751" i="2"/>
  <c r="Q65" i="1"/>
  <c r="AF746" i="2"/>
  <c r="AF749" i="2"/>
  <c r="AF750" i="2"/>
  <c r="Q66" i="1"/>
  <c r="AF745" i="2"/>
  <c r="Q67" i="1"/>
  <c r="AF744" i="2"/>
  <c r="Q68" i="1"/>
  <c r="AF739" i="2"/>
  <c r="Q71" i="1"/>
  <c r="AF738" i="2"/>
  <c r="Q72" i="1"/>
  <c r="AF737" i="2"/>
  <c r="Q73" i="1"/>
  <c r="AF736" i="2"/>
  <c r="Q74" i="1"/>
  <c r="AF735" i="2"/>
  <c r="Q75" i="1"/>
  <c r="AF732" i="2"/>
  <c r="Q76" i="1"/>
  <c r="AF731" i="2"/>
  <c r="Q77" i="1"/>
  <c r="AF723" i="2"/>
  <c r="Q83" i="1"/>
  <c r="AF722" i="2"/>
  <c r="Q84" i="1"/>
  <c r="AF721" i="2"/>
  <c r="Q85" i="1"/>
  <c r="AF718" i="2"/>
  <c r="Q86" i="1"/>
  <c r="AF717" i="2"/>
  <c r="Q87" i="1"/>
  <c r="AF716" i="2"/>
  <c r="Q88" i="1"/>
  <c r="AF715" i="2"/>
  <c r="Q89" i="1"/>
  <c r="AF714" i="2"/>
  <c r="Q90" i="1"/>
  <c r="AF711" i="2"/>
  <c r="Q91" i="1"/>
  <c r="AF710" i="2"/>
  <c r="Q92" i="1"/>
  <c r="AF709" i="2"/>
  <c r="Q93" i="1"/>
  <c r="AF708" i="2"/>
  <c r="Q94" i="1"/>
  <c r="AF707" i="2"/>
  <c r="Q95" i="1"/>
  <c r="AF704" i="2"/>
  <c r="Q96" i="1"/>
  <c r="AF703" i="2"/>
  <c r="Q97" i="1"/>
  <c r="AF702" i="2"/>
  <c r="Q98" i="1"/>
  <c r="AF701" i="2"/>
  <c r="Q99" i="1"/>
  <c r="AF700" i="2"/>
  <c r="Q100" i="1"/>
  <c r="AF697" i="2"/>
  <c r="Q101" i="1"/>
  <c r="AF696" i="2"/>
  <c r="Q102" i="1"/>
  <c r="AF695" i="2"/>
  <c r="Q103" i="1"/>
  <c r="AF694" i="2"/>
  <c r="Q104" i="1"/>
  <c r="AF693" i="2"/>
  <c r="Q105" i="1"/>
  <c r="AF690" i="2"/>
  <c r="Q106" i="1"/>
  <c r="AF689" i="2"/>
  <c r="Q107" i="1"/>
  <c r="AF688" i="2"/>
  <c r="Q108" i="1"/>
  <c r="AF687" i="2"/>
  <c r="Q109" i="1"/>
  <c r="AF686" i="2"/>
  <c r="Q110" i="1"/>
  <c r="AF683" i="2"/>
  <c r="Q111" i="1"/>
  <c r="AF682" i="2"/>
  <c r="Q112" i="1"/>
  <c r="AF681" i="2"/>
  <c r="Q113" i="1"/>
  <c r="AF680" i="2"/>
  <c r="Q114" i="1"/>
  <c r="AF679" i="2"/>
  <c r="Q115" i="1"/>
  <c r="AF676" i="2"/>
  <c r="Q116" i="1"/>
  <c r="AF675" i="2"/>
  <c r="Q117" i="1"/>
  <c r="AF674" i="2"/>
  <c r="Q118" i="1"/>
  <c r="AF673" i="2"/>
  <c r="Q119" i="1"/>
  <c r="AF672" i="2"/>
  <c r="Q120" i="1"/>
  <c r="AF668" i="2"/>
  <c r="AF118" i="1" s="1"/>
  <c r="AF669" i="2"/>
  <c r="AF117" i="1" s="1"/>
  <c r="Q121" i="1"/>
  <c r="AF667" i="2"/>
  <c r="AF119" i="1" s="1"/>
  <c r="Q122" i="1"/>
  <c r="AF666" i="2"/>
  <c r="AF120" i="1" s="1"/>
  <c r="Q123" i="1"/>
  <c r="AF665" i="2"/>
  <c r="AF121" i="1" s="1"/>
  <c r="Q124" i="1"/>
  <c r="AF661" i="2"/>
  <c r="AF122" i="1" s="1"/>
  <c r="Q126" i="1"/>
  <c r="AF660" i="2"/>
  <c r="AF123" i="1" s="1"/>
  <c r="Q127" i="1"/>
  <c r="AF659" i="2"/>
  <c r="AF124" i="1" s="1"/>
  <c r="Q128" i="1"/>
  <c r="AF658" i="2"/>
  <c r="AF125" i="1" s="1"/>
  <c r="Q129" i="1"/>
  <c r="AF655" i="2"/>
  <c r="AF126" i="1" s="1"/>
  <c r="Q130" i="1"/>
  <c r="AF654" i="2"/>
  <c r="AF127" i="1" s="1"/>
  <c r="Q131" i="1"/>
  <c r="AF653" i="2"/>
  <c r="AF128" i="1" s="1"/>
  <c r="Q132" i="1"/>
  <c r="AF652" i="2"/>
  <c r="AF129" i="1" s="1"/>
  <c r="Q133" i="1"/>
  <c r="AF651" i="2"/>
  <c r="AF130" i="1" s="1"/>
  <c r="Q134" i="1"/>
  <c r="AF648" i="2"/>
  <c r="AF131" i="1" s="1"/>
  <c r="Q135" i="1"/>
  <c r="AF647" i="2"/>
  <c r="AF132" i="1" s="1"/>
  <c r="Q136" i="1"/>
  <c r="AF646" i="2"/>
  <c r="AF133" i="1" s="1"/>
  <c r="Q137" i="1"/>
  <c r="AF645" i="2"/>
  <c r="AF134" i="1" s="1"/>
  <c r="Q138" i="1"/>
  <c r="AF644" i="2"/>
  <c r="AF135" i="1" s="1"/>
  <c r="Q139" i="1"/>
  <c r="AF641" i="2"/>
  <c r="AF136" i="1" s="1"/>
  <c r="Q140" i="1"/>
  <c r="AF640" i="2"/>
  <c r="AF137" i="1" s="1"/>
  <c r="Q141" i="1"/>
  <c r="AF639" i="2"/>
  <c r="AF138" i="1" s="1"/>
  <c r="Q142" i="1"/>
  <c r="AF638" i="2"/>
  <c r="AF139" i="1" s="1"/>
  <c r="Q143" i="1"/>
  <c r="AF637" i="2"/>
  <c r="AF140" i="1" s="1"/>
  <c r="Q144" i="1"/>
  <c r="AF634" i="2"/>
  <c r="AF141" i="1" s="1"/>
  <c r="Q145" i="1"/>
  <c r="AF633" i="2"/>
  <c r="AF142" i="1" s="1"/>
  <c r="Q146" i="1"/>
  <c r="AF632" i="2"/>
  <c r="AF143" i="1" s="1"/>
  <c r="Q147" i="1"/>
  <c r="AF631" i="2"/>
  <c r="AF144" i="1" s="1"/>
  <c r="Q148" i="1"/>
  <c r="AF630" i="2"/>
  <c r="AF145" i="1" s="1"/>
  <c r="Q149" i="1"/>
  <c r="AF627" i="2"/>
  <c r="AF146" i="1" s="1"/>
  <c r="Q150" i="1"/>
  <c r="AF626" i="2"/>
  <c r="AF147" i="1" s="1"/>
  <c r="Q151" i="1"/>
  <c r="AF625" i="2"/>
  <c r="AF148" i="1" s="1"/>
  <c r="Q152" i="1"/>
  <c r="AF624" i="2"/>
  <c r="AF149" i="1" s="1"/>
  <c r="Q153" i="1"/>
  <c r="AF623" i="2"/>
  <c r="AF150" i="1" s="1"/>
  <c r="Q154" i="1"/>
  <c r="AF620" i="2"/>
  <c r="AF151" i="1" s="1"/>
  <c r="Q155" i="1"/>
  <c r="AF619" i="2"/>
  <c r="AF152" i="1" s="1"/>
  <c r="Q156" i="1"/>
  <c r="AF618" i="2"/>
  <c r="AF153" i="1" s="1"/>
  <c r="Q157" i="1"/>
  <c r="AF617" i="2"/>
  <c r="AF154" i="1" s="1"/>
  <c r="Q158" i="1"/>
  <c r="AF616" i="2"/>
  <c r="AF155" i="1" s="1"/>
  <c r="Q159" i="1"/>
  <c r="AF613" i="2"/>
  <c r="AF156" i="1" s="1"/>
  <c r="Q160" i="1"/>
  <c r="AF612" i="2"/>
  <c r="AF157" i="1" s="1"/>
  <c r="Q161" i="1"/>
  <c r="AF611" i="2"/>
  <c r="AF158" i="1" s="1"/>
  <c r="Q162" i="1"/>
  <c r="AF610" i="2"/>
  <c r="AF159" i="1" s="1"/>
  <c r="Q163" i="1"/>
  <c r="AF609" i="2"/>
  <c r="AF160" i="1" s="1"/>
  <c r="Q164" i="1"/>
  <c r="AF606" i="2"/>
  <c r="AF161" i="1" s="1"/>
  <c r="Q165" i="1"/>
  <c r="AF605" i="2"/>
  <c r="AF162" i="1" s="1"/>
  <c r="Q166" i="1"/>
  <c r="AF604" i="2"/>
  <c r="AF163" i="1" s="1"/>
  <c r="Q167" i="1"/>
  <c r="AF603" i="2"/>
  <c r="AF164" i="1" s="1"/>
  <c r="Q168" i="1"/>
  <c r="AF602" i="2"/>
  <c r="AF165" i="1" s="1"/>
  <c r="Q169" i="1"/>
  <c r="AF599" i="2"/>
  <c r="AF166" i="1" s="1"/>
  <c r="Q170" i="1"/>
  <c r="AF598" i="2"/>
  <c r="AF167" i="1" s="1"/>
  <c r="Q171" i="1"/>
  <c r="AF597" i="2"/>
  <c r="AF168" i="1" s="1"/>
  <c r="Q172" i="1"/>
  <c r="AF596" i="2"/>
  <c r="AF169" i="1" s="1"/>
  <c r="Q173" i="1"/>
  <c r="AF595" i="2"/>
  <c r="AF170" i="1" s="1"/>
  <c r="Q174" i="1"/>
  <c r="AF592" i="2"/>
  <c r="AF171" i="1" s="1"/>
  <c r="Q175" i="1"/>
  <c r="AF591" i="2"/>
  <c r="AF172" i="1" s="1"/>
  <c r="Q176" i="1"/>
  <c r="AF590" i="2"/>
  <c r="AF173" i="1" s="1"/>
  <c r="Q177" i="1"/>
  <c r="AF589" i="2"/>
  <c r="AF174" i="1" s="1"/>
  <c r="Q178" i="1"/>
  <c r="AF588" i="2"/>
  <c r="AF175" i="1" s="1"/>
  <c r="Q179" i="1"/>
  <c r="AF585" i="2"/>
  <c r="AF176" i="1" s="1"/>
  <c r="Q180" i="1"/>
  <c r="AF584" i="2"/>
  <c r="AF177" i="1" s="1"/>
  <c r="Q181" i="1"/>
  <c r="AF583" i="2"/>
  <c r="AF178" i="1" s="1"/>
  <c r="Q182" i="1"/>
  <c r="AF582" i="2"/>
  <c r="AF179" i="1" s="1"/>
  <c r="Q183" i="1"/>
  <c r="AF581" i="2"/>
  <c r="AF180" i="1" s="1"/>
  <c r="Q184" i="1"/>
  <c r="AF578" i="2"/>
  <c r="AF181" i="1" s="1"/>
  <c r="Q185" i="1"/>
  <c r="AF577" i="2"/>
  <c r="AF182" i="1" s="1"/>
  <c r="Q186" i="1"/>
  <c r="AF576" i="2"/>
  <c r="AF183" i="1" s="1"/>
  <c r="Q187" i="1"/>
  <c r="AF575" i="2"/>
  <c r="AF184" i="1" s="1"/>
  <c r="Q188" i="1"/>
  <c r="AF574" i="2"/>
  <c r="AF185" i="1" s="1"/>
  <c r="Q189" i="1"/>
  <c r="AF571" i="2"/>
  <c r="AF186" i="1" s="1"/>
  <c r="Q190" i="1"/>
  <c r="AF570" i="2"/>
  <c r="AF187" i="1" s="1"/>
  <c r="Q191" i="1"/>
  <c r="AF569" i="2"/>
  <c r="AF188" i="1" s="1"/>
  <c r="Q192" i="1"/>
  <c r="AF568" i="2"/>
  <c r="AF189" i="1" s="1"/>
  <c r="Q193" i="1"/>
  <c r="AF567" i="2"/>
  <c r="AF190" i="1" s="1"/>
  <c r="Q194" i="1"/>
  <c r="AF564" i="2"/>
  <c r="AF191" i="1" s="1"/>
  <c r="Q195" i="1"/>
  <c r="AF563" i="2"/>
  <c r="AF192" i="1" s="1"/>
  <c r="Q196" i="1"/>
  <c r="AF562" i="2"/>
  <c r="AF193" i="1" s="1"/>
  <c r="Q197" i="1"/>
  <c r="AF561" i="2"/>
  <c r="AF194" i="1" s="1"/>
  <c r="Q198" i="1"/>
  <c r="AF560" i="2"/>
  <c r="AF195" i="1" s="1"/>
  <c r="Q199" i="1"/>
  <c r="AF557" i="2"/>
  <c r="AF196" i="1" s="1"/>
  <c r="Q200" i="1"/>
  <c r="AF556" i="2"/>
  <c r="AF197" i="1" s="1"/>
  <c r="Q201" i="1"/>
  <c r="AF555" i="2"/>
  <c r="AF198" i="1" s="1"/>
  <c r="Q202" i="1"/>
  <c r="AF554" i="2"/>
  <c r="AF199" i="1" s="1"/>
  <c r="Q203" i="1"/>
  <c r="AF553" i="2"/>
  <c r="AF200" i="1" s="1"/>
  <c r="Q204" i="1"/>
  <c r="AF550" i="2"/>
  <c r="AF201" i="1" s="1"/>
  <c r="Q205" i="1"/>
  <c r="AF549" i="2"/>
  <c r="AF202" i="1" s="1"/>
  <c r="Q206" i="1"/>
  <c r="AF548" i="2"/>
  <c r="AF203" i="1" s="1"/>
  <c r="Q207" i="1"/>
  <c r="AF547" i="2"/>
  <c r="AF204" i="1" s="1"/>
  <c r="Q208" i="1"/>
  <c r="AF546" i="2"/>
  <c r="AF205" i="1" s="1"/>
  <c r="Q209" i="1"/>
  <c r="AF542" i="2"/>
  <c r="AF207" i="1" s="1"/>
  <c r="AF543" i="2"/>
  <c r="AF206" i="1" s="1"/>
  <c r="Q210" i="1"/>
  <c r="AF541" i="2"/>
  <c r="AF208" i="1" s="1"/>
  <c r="Q211" i="1"/>
  <c r="AF540" i="2"/>
  <c r="AF209" i="1" s="1"/>
  <c r="Q212" i="1"/>
  <c r="AF539" i="2"/>
  <c r="AF210" i="1" s="1"/>
  <c r="Q213" i="1"/>
  <c r="AF535" i="2"/>
  <c r="AF211" i="1" s="1"/>
  <c r="Q215" i="1"/>
  <c r="AF534" i="2"/>
  <c r="AF212" i="1" s="1"/>
  <c r="Q216" i="1"/>
  <c r="AF533" i="2"/>
  <c r="AF213" i="1" s="1"/>
  <c r="Q217" i="1"/>
  <c r="AF532" i="2"/>
  <c r="AF214" i="1" s="1"/>
  <c r="Q218" i="1"/>
  <c r="AF529" i="2"/>
  <c r="AF215" i="1" s="1"/>
  <c r="Q219" i="1"/>
  <c r="AF528" i="2"/>
  <c r="AF216" i="1" s="1"/>
  <c r="Q220" i="1"/>
  <c r="AF527" i="2"/>
  <c r="AF217" i="1" s="1"/>
  <c r="Q221" i="1"/>
  <c r="AF526" i="2"/>
  <c r="AF218" i="1" s="1"/>
  <c r="Q222" i="1"/>
  <c r="AF525" i="2"/>
  <c r="AF219" i="1" s="1"/>
  <c r="Q223" i="1"/>
  <c r="AF522" i="2"/>
  <c r="AF220" i="1" s="1"/>
  <c r="Q224" i="1"/>
  <c r="AF521" i="2"/>
  <c r="AF221" i="1" s="1"/>
  <c r="Q225" i="1"/>
  <c r="AF520" i="2"/>
  <c r="AF222" i="1" s="1"/>
  <c r="Q226" i="1"/>
  <c r="AF519" i="2"/>
  <c r="AF223" i="1" s="1"/>
  <c r="Q227" i="1"/>
  <c r="AF518" i="2"/>
  <c r="AF224" i="1" s="1"/>
  <c r="D4" i="4"/>
  <c r="Q228" i="1"/>
  <c r="AF515" i="2"/>
  <c r="AF225" i="1" s="1"/>
  <c r="Q229" i="1"/>
  <c r="AF514" i="2"/>
  <c r="AF226" i="1" s="1"/>
  <c r="Q230" i="1"/>
  <c r="AF513" i="2"/>
  <c r="AF227" i="1" s="1"/>
  <c r="Q231" i="1"/>
  <c r="AF512" i="2"/>
  <c r="AF228" i="1" s="1"/>
  <c r="Q232" i="1"/>
  <c r="AF511" i="2"/>
  <c r="AF229" i="1" s="1"/>
  <c r="Q233" i="1"/>
  <c r="AF508" i="2"/>
  <c r="AF230" i="1" s="1"/>
  <c r="Q234" i="1"/>
  <c r="AF507" i="2"/>
  <c r="AF231" i="1" s="1"/>
  <c r="Q235" i="1"/>
  <c r="AF506" i="2"/>
  <c r="AF232" i="1" s="1"/>
  <c r="Q236" i="1"/>
  <c r="AF505" i="2"/>
  <c r="AF233" i="1" s="1"/>
  <c r="Q237" i="1"/>
  <c r="AF504" i="2"/>
  <c r="AF234" i="1" s="1"/>
  <c r="Q238" i="1"/>
  <c r="AF501" i="2"/>
  <c r="AF235" i="1" s="1"/>
  <c r="Q239" i="1"/>
  <c r="AF500" i="2"/>
  <c r="AF236" i="1" s="1"/>
  <c r="Q240" i="1"/>
  <c r="AF499" i="2"/>
  <c r="AF237" i="1" s="1"/>
  <c r="Q241" i="1"/>
  <c r="AF498" i="2"/>
  <c r="AF238" i="1" s="1"/>
  <c r="Q242" i="1"/>
  <c r="AF497" i="2"/>
  <c r="AF239" i="1" s="1"/>
  <c r="Q243" i="1"/>
  <c r="AF494" i="2"/>
  <c r="AF240" i="1" s="1"/>
  <c r="Q244" i="1"/>
  <c r="AF493" i="2"/>
  <c r="AF241" i="1" s="1"/>
  <c r="Q245" i="1"/>
  <c r="AF492" i="2"/>
  <c r="AF242" i="1" s="1"/>
  <c r="Q246" i="1"/>
  <c r="AF491" i="2"/>
  <c r="AF243" i="1" s="1"/>
  <c r="Q247" i="1"/>
  <c r="AF490" i="2"/>
  <c r="AF244" i="1" s="1"/>
  <c r="Q248" i="1"/>
  <c r="AF487" i="2"/>
  <c r="AF245" i="1" s="1"/>
  <c r="Q249" i="1"/>
  <c r="AF486" i="2"/>
  <c r="AF246" i="1" s="1"/>
  <c r="Q250" i="1"/>
  <c r="AF485" i="2"/>
  <c r="AF247" i="1" s="1"/>
  <c r="Q251" i="1"/>
  <c r="AF484" i="2"/>
  <c r="AF248" i="1" s="1"/>
  <c r="Q252" i="1"/>
  <c r="AF483" i="2"/>
  <c r="AF249" i="1" s="1"/>
  <c r="Q253" i="1"/>
  <c r="AF480" i="2"/>
  <c r="AF250" i="1" s="1"/>
  <c r="Q254" i="1"/>
  <c r="AF479" i="2"/>
  <c r="AF251" i="1" s="1"/>
  <c r="Q255" i="1"/>
  <c r="AF478" i="2"/>
  <c r="AF252" i="1" s="1"/>
  <c r="Q256" i="1"/>
  <c r="AF477" i="2"/>
  <c r="AF253" i="1" s="1"/>
  <c r="Q257" i="1"/>
  <c r="AF476" i="2"/>
  <c r="AF254" i="1" s="1"/>
  <c r="Q258" i="1"/>
  <c r="AF473" i="2"/>
  <c r="AF255" i="1" s="1"/>
  <c r="Q259" i="1"/>
  <c r="AF472" i="2"/>
  <c r="AF256" i="1" s="1"/>
  <c r="Q260" i="1"/>
  <c r="AF471" i="2"/>
  <c r="AF257" i="1" s="1"/>
  <c r="Q261" i="1"/>
  <c r="AF470" i="2"/>
  <c r="AF258" i="1" s="1"/>
  <c r="Q262" i="1"/>
  <c r="AF469" i="2"/>
  <c r="AF259" i="1" s="1"/>
  <c r="Q263" i="1"/>
  <c r="AF466" i="2"/>
  <c r="AF260" i="1" s="1"/>
  <c r="Q266" i="1"/>
  <c r="AF465" i="2"/>
  <c r="AF261" i="1" s="1"/>
  <c r="Q267" i="1"/>
  <c r="AF464" i="2"/>
  <c r="AF262" i="1" s="1"/>
  <c r="Q268" i="1"/>
  <c r="AF463" i="2"/>
  <c r="AF263" i="1" s="1"/>
  <c r="Q269" i="1"/>
  <c r="AF462" i="2"/>
  <c r="AF264" i="1" s="1"/>
  <c r="Q270" i="1"/>
  <c r="AF461" i="2"/>
  <c r="AF265" i="1" s="1"/>
  <c r="Q271" i="1"/>
  <c r="Q272" i="1"/>
  <c r="AF460" i="2"/>
  <c r="AF266" i="1" s="1"/>
  <c r="AF459" i="2"/>
  <c r="AF267" i="1" s="1"/>
  <c r="Q273" i="1"/>
  <c r="Q274" i="1"/>
  <c r="AF458" i="2"/>
  <c r="AF268" i="1" s="1"/>
  <c r="Q275" i="1"/>
  <c r="AF457" i="2"/>
  <c r="AF269" i="1" s="1"/>
  <c r="Q276" i="1"/>
  <c r="AF456" i="2"/>
  <c r="AF270" i="1" s="1"/>
  <c r="Q277" i="1"/>
  <c r="AF455" i="2"/>
  <c r="AF271" i="1" s="1"/>
  <c r="Q278" i="1"/>
  <c r="AF454" i="2"/>
  <c r="AF272" i="1" s="1"/>
  <c r="AF453" i="2"/>
  <c r="AF273" i="1" s="1"/>
  <c r="Q279" i="1"/>
  <c r="Q280" i="1"/>
  <c r="AF452" i="2"/>
  <c r="AF274" i="1" s="1"/>
  <c r="AF451" i="2"/>
  <c r="AF275" i="1" s="1"/>
  <c r="Q281" i="1"/>
  <c r="AF450" i="2"/>
  <c r="AF276" i="1" s="1"/>
  <c r="Q282" i="1"/>
  <c r="AF449" i="2"/>
  <c r="AF277" i="1" s="1"/>
  <c r="Q283" i="1"/>
  <c r="AF448" i="2"/>
  <c r="AF278" i="1" s="1"/>
  <c r="Q284" i="1"/>
  <c r="AF447" i="2"/>
  <c r="AF279" i="1" s="1"/>
  <c r="Q285" i="1"/>
  <c r="AF446" i="2"/>
  <c r="AF280" i="1" s="1"/>
  <c r="Q286" i="1"/>
  <c r="AF445" i="2"/>
  <c r="AF281" i="1" s="1"/>
  <c r="Q287" i="1"/>
  <c r="AF444" i="2"/>
  <c r="AF282" i="1" s="1"/>
  <c r="Q288" i="1"/>
  <c r="AF443" i="2"/>
  <c r="AF283" i="1" s="1"/>
  <c r="Q289" i="1"/>
  <c r="AF442" i="2"/>
  <c r="AF284" i="1" s="1"/>
  <c r="Q290" i="1"/>
  <c r="AF441" i="2"/>
  <c r="AF285" i="1" s="1"/>
  <c r="Q291" i="1"/>
  <c r="Q292" i="1"/>
  <c r="AF440" i="2"/>
  <c r="AF286" i="1" s="1"/>
  <c r="AF439" i="2"/>
  <c r="AF287" i="1" s="1"/>
  <c r="Q293" i="1"/>
  <c r="AF437" i="2"/>
  <c r="AF289" i="1" s="1"/>
  <c r="Q295" i="1"/>
  <c r="AF436" i="2"/>
  <c r="AF290" i="1" s="1"/>
  <c r="Q296" i="1"/>
  <c r="AF435" i="2"/>
  <c r="AF291" i="1" s="1"/>
  <c r="Q297" i="1"/>
  <c r="AF434" i="2"/>
  <c r="AF292" i="1" s="1"/>
  <c r="Q298" i="1"/>
  <c r="AF433" i="2"/>
  <c r="AF293" i="1" s="1"/>
  <c r="Q299" i="1"/>
  <c r="AF432" i="2"/>
  <c r="AF294" i="1" s="1"/>
  <c r="Q300" i="1"/>
  <c r="AF431" i="2"/>
  <c r="AF295" i="1" s="1"/>
  <c r="Q301" i="1"/>
  <c r="Q302" i="1"/>
  <c r="AF430" i="2"/>
  <c r="AF296" i="1" s="1"/>
  <c r="AF429" i="2"/>
  <c r="AF297" i="1" s="1"/>
  <c r="Q303" i="1"/>
  <c r="AF428" i="2"/>
  <c r="AF298" i="1" s="1"/>
  <c r="Q304" i="1"/>
  <c r="AF427" i="2"/>
  <c r="AF299" i="1" s="1"/>
  <c r="Q305" i="1"/>
  <c r="AF426" i="2"/>
  <c r="AF300" i="1" s="1"/>
  <c r="Q306" i="1"/>
  <c r="AF425" i="2"/>
  <c r="AF301" i="1" s="1"/>
  <c r="Q307" i="1"/>
  <c r="Q309" i="1"/>
  <c r="AF423" i="2"/>
  <c r="AF303" i="1" s="1"/>
  <c r="Q310" i="1"/>
  <c r="AF422" i="2"/>
  <c r="AF304" i="1" s="1"/>
  <c r="Q311" i="1"/>
  <c r="AF421" i="2"/>
  <c r="AF305" i="1" s="1"/>
  <c r="AF420" i="2"/>
  <c r="AF306" i="1" s="1"/>
  <c r="Q312" i="1"/>
  <c r="AF419" i="2"/>
  <c r="AF307" i="1" s="1"/>
  <c r="Q313" i="1"/>
  <c r="AF418" i="2"/>
  <c r="AF308" i="1" s="1"/>
  <c r="Q314" i="1"/>
  <c r="AF417" i="2"/>
  <c r="AF309" i="1" s="1"/>
  <c r="Q315" i="1"/>
  <c r="AF416" i="2"/>
  <c r="AF310" i="1" s="1"/>
  <c r="Q316" i="1"/>
  <c r="AF415" i="2"/>
  <c r="AF311" i="1" s="1"/>
  <c r="Q317" i="1"/>
  <c r="AF414" i="2"/>
  <c r="AF312" i="1" s="1"/>
  <c r="Q318" i="1"/>
  <c r="AF413" i="2"/>
  <c r="AF313" i="1" s="1"/>
  <c r="Q319" i="1"/>
  <c r="AF412" i="2"/>
  <c r="AF314" i="1" s="1"/>
  <c r="Q320" i="1"/>
  <c r="AF411" i="2"/>
  <c r="AF315" i="1" s="1"/>
  <c r="Q321" i="1"/>
  <c r="Q322" i="1"/>
  <c r="AF410" i="2"/>
  <c r="AF316" i="1" s="1"/>
  <c r="Q323" i="1"/>
  <c r="AF409" i="2"/>
  <c r="AF317" i="1" s="1"/>
  <c r="AF408" i="2"/>
  <c r="AF318" i="1" s="1"/>
  <c r="Q324" i="1"/>
  <c r="AF407" i="2"/>
  <c r="AF319" i="1" s="1"/>
  <c r="Q325" i="1"/>
  <c r="AF406" i="2"/>
  <c r="AF320" i="1" s="1"/>
  <c r="Q326" i="1"/>
  <c r="AF405" i="2"/>
  <c r="AF321" i="1" s="1"/>
  <c r="Q327" i="1"/>
  <c r="AF404" i="2"/>
  <c r="AF322" i="1" s="1"/>
  <c r="Q328" i="1"/>
  <c r="AF403" i="2"/>
  <c r="AF323" i="1" s="1"/>
  <c r="Q329" i="1"/>
  <c r="Q330" i="1"/>
  <c r="AF402" i="2"/>
  <c r="AF324" i="1" s="1"/>
  <c r="AF401" i="2"/>
  <c r="AF325" i="1" s="1"/>
  <c r="Q331" i="1"/>
  <c r="Q332" i="1"/>
  <c r="AF400" i="2"/>
  <c r="AF326" i="1" s="1"/>
  <c r="AF399" i="2"/>
  <c r="AF327" i="1" s="1"/>
  <c r="Q333" i="1"/>
  <c r="AF398" i="2"/>
  <c r="AF328" i="1" s="1"/>
  <c r="Q334" i="1"/>
  <c r="AF397" i="2"/>
  <c r="AF329" i="1" s="1"/>
  <c r="Q335" i="1"/>
  <c r="AF396" i="2"/>
  <c r="AF330" i="1" s="1"/>
  <c r="Q336" i="1"/>
  <c r="Q337" i="1"/>
  <c r="AF395" i="2"/>
  <c r="AF331" i="1" s="1"/>
  <c r="Q339" i="1"/>
  <c r="AF393" i="2"/>
  <c r="AF333" i="1" s="1"/>
  <c r="AF392" i="2"/>
  <c r="AF334" i="1" s="1"/>
  <c r="Q340" i="1"/>
  <c r="AF391" i="2"/>
  <c r="AF335" i="1" s="1"/>
  <c r="Q341" i="1"/>
  <c r="Q342" i="1"/>
  <c r="AF390" i="2"/>
  <c r="AF336" i="1" s="1"/>
  <c r="AF389" i="2"/>
  <c r="AF337" i="1" s="1"/>
  <c r="Q343" i="1"/>
  <c r="AF388" i="2"/>
  <c r="AF338" i="1" s="1"/>
  <c r="Q344" i="1"/>
  <c r="AF387" i="2"/>
  <c r="AF339" i="1" s="1"/>
  <c r="Q345" i="1"/>
  <c r="AF386" i="2"/>
  <c r="AF340" i="1" s="1"/>
  <c r="Q346" i="1"/>
  <c r="AF385" i="2"/>
  <c r="AF341" i="1" s="1"/>
  <c r="Q347" i="1"/>
  <c r="AF384" i="2"/>
  <c r="AF342" i="1" s="1"/>
  <c r="Q348" i="1"/>
  <c r="AF383" i="2"/>
  <c r="AF343" i="1" s="1"/>
  <c r="Q349" i="1"/>
  <c r="AF382" i="2"/>
  <c r="AF344" i="1" s="1"/>
  <c r="Q350" i="1"/>
  <c r="AF381" i="2"/>
  <c r="AF345" i="1" s="1"/>
  <c r="Q351" i="1"/>
  <c r="AF380" i="2"/>
  <c r="AF346" i="1" s="1"/>
  <c r="Q352" i="1"/>
  <c r="Q353" i="1"/>
  <c r="AF379" i="2"/>
  <c r="AF347" i="1" s="1"/>
  <c r="AF378" i="2"/>
  <c r="AF348" i="1" s="1"/>
  <c r="Q354" i="1"/>
  <c r="Q355" i="1"/>
  <c r="AF377" i="2"/>
  <c r="AF349" i="1" s="1"/>
  <c r="AF376" i="2"/>
  <c r="AF350" i="1" s="1"/>
  <c r="Q356" i="1"/>
  <c r="AF375" i="2"/>
  <c r="AF351" i="1" s="1"/>
  <c r="Q357" i="1"/>
  <c r="Q358" i="1"/>
  <c r="AF374" i="2"/>
  <c r="AF352" i="1" s="1"/>
  <c r="AF373" i="2"/>
  <c r="AF353" i="1" s="1"/>
  <c r="Q359" i="1"/>
  <c r="AF372" i="2"/>
  <c r="AF354" i="1" s="1"/>
  <c r="Q360" i="1"/>
  <c r="AF371" i="2"/>
  <c r="AF355" i="1" s="1"/>
  <c r="Q361" i="1"/>
  <c r="AF370" i="2"/>
  <c r="AF356" i="1" s="1"/>
  <c r="Q362" i="1"/>
  <c r="AF369" i="2"/>
  <c r="AF357" i="1" s="1"/>
  <c r="Q363" i="1"/>
  <c r="AF368" i="2"/>
  <c r="AF358" i="1" s="1"/>
  <c r="Q364" i="1"/>
  <c r="Q365" i="1"/>
  <c r="AF367" i="2"/>
  <c r="AF359" i="1" s="1"/>
  <c r="AF366" i="2"/>
  <c r="AF360" i="1" s="1"/>
  <c r="Q366" i="1"/>
  <c r="Q367" i="1"/>
  <c r="AF365" i="2"/>
  <c r="AF361" i="1" s="1"/>
  <c r="Q368" i="1"/>
  <c r="AF364" i="2"/>
  <c r="AF362" i="1" s="1"/>
  <c r="AF363" i="2"/>
  <c r="AF363" i="1" s="1"/>
  <c r="Q369" i="1"/>
  <c r="AF362" i="2"/>
  <c r="AF364" i="1" s="1"/>
  <c r="Q370" i="1"/>
  <c r="AF361" i="2"/>
  <c r="AF365" i="1" s="1"/>
  <c r="Q371" i="1"/>
  <c r="Q372" i="1"/>
  <c r="AF360" i="2"/>
  <c r="AF366" i="1" s="1"/>
  <c r="I355" i="2"/>
  <c r="I371" i="1" s="1"/>
  <c r="J355" i="2"/>
  <c r="J371" i="1" s="1"/>
  <c r="M355" i="2"/>
  <c r="M371" i="1" s="1"/>
  <c r="N355" i="2"/>
  <c r="N371" i="1" s="1"/>
  <c r="V355" i="2"/>
  <c r="V371" i="1" s="1"/>
  <c r="B356" i="2"/>
  <c r="AO356" i="1" s="1"/>
  <c r="AP356" i="1" s="1"/>
  <c r="B371" i="1"/>
  <c r="Q374" i="1"/>
  <c r="AF358" i="2"/>
  <c r="AF368" i="1" s="1"/>
  <c r="AF357" i="2"/>
  <c r="AF369" i="1" s="1"/>
  <c r="Q375" i="1"/>
  <c r="AF356" i="2"/>
  <c r="AF370" i="1" s="1"/>
  <c r="Q376" i="1"/>
  <c r="AF355" i="2"/>
  <c r="AF371" i="1" s="1"/>
  <c r="Q377" i="1"/>
  <c r="AF354" i="2"/>
  <c r="AF372" i="1" s="1"/>
  <c r="Q378" i="1"/>
  <c r="AF353" i="2"/>
  <c r="AF373" i="1" s="1"/>
  <c r="Q379" i="1"/>
  <c r="AF352" i="2"/>
  <c r="AF374" i="1" s="1"/>
  <c r="Q380" i="1"/>
  <c r="AF351" i="2"/>
  <c r="AF375" i="1" s="1"/>
  <c r="Q381" i="1"/>
  <c r="AF350" i="2"/>
  <c r="AF376" i="1" s="1"/>
  <c r="Q382" i="1"/>
  <c r="AF349" i="2"/>
  <c r="AF377" i="1" s="1"/>
  <c r="Q383" i="1"/>
  <c r="AF348" i="2"/>
  <c r="AF378" i="1" s="1"/>
  <c r="Q384" i="1"/>
  <c r="AF347" i="2"/>
  <c r="AF379" i="1" s="1"/>
  <c r="Q385" i="1"/>
  <c r="AF339" i="2"/>
  <c r="AF387" i="1" s="1"/>
  <c r="Q393" i="1"/>
  <c r="AF338" i="2"/>
  <c r="AF388" i="1" s="1"/>
  <c r="Q394" i="1"/>
  <c r="AF337" i="2"/>
  <c r="AF389" i="1" s="1"/>
  <c r="Q395" i="1"/>
  <c r="AF336" i="2"/>
  <c r="AF390" i="1" s="1"/>
  <c r="Q396" i="1"/>
  <c r="AF335" i="2"/>
  <c r="AF391" i="1" s="1"/>
  <c r="Q397" i="1"/>
  <c r="AF334" i="2"/>
  <c r="AF392" i="1" s="1"/>
  <c r="Q398" i="1"/>
  <c r="AF333" i="2"/>
  <c r="AF393" i="1" s="1"/>
  <c r="Q399" i="1"/>
  <c r="AF332" i="2"/>
  <c r="AF394" i="1" s="1"/>
  <c r="Q400" i="1"/>
  <c r="AF331" i="2"/>
  <c r="AF395" i="1" s="1"/>
  <c r="Q401" i="1"/>
  <c r="AF330" i="2"/>
  <c r="AF396" i="1" s="1"/>
  <c r="Q402" i="1"/>
  <c r="AF329" i="2"/>
  <c r="AF397" i="1" s="1"/>
  <c r="Q403" i="1"/>
  <c r="AF328" i="2"/>
  <c r="AF398" i="1" s="1"/>
  <c r="Q404" i="1"/>
  <c r="AF327" i="2"/>
  <c r="AF399" i="1" s="1"/>
  <c r="Q405" i="1"/>
  <c r="AF326" i="2"/>
  <c r="AF400" i="1" s="1"/>
  <c r="Q406" i="1"/>
  <c r="AF325" i="2"/>
  <c r="AF401" i="1" s="1"/>
  <c r="Q407" i="1"/>
  <c r="AF324" i="2"/>
  <c r="AF402" i="1" s="1"/>
  <c r="Q408" i="1"/>
  <c r="AF323" i="2"/>
  <c r="AF403" i="1" s="1"/>
  <c r="Q409" i="1"/>
  <c r="AF322" i="2"/>
  <c r="AF404" i="1" s="1"/>
  <c r="Q410" i="1"/>
  <c r="AF321" i="2"/>
  <c r="AF405" i="1" s="1"/>
  <c r="Q411" i="1"/>
  <c r="AF320" i="2"/>
  <c r="AF406" i="1" s="1"/>
  <c r="Q412" i="1"/>
  <c r="AF319" i="2"/>
  <c r="AF407" i="1" s="1"/>
  <c r="Q413" i="1"/>
  <c r="AF318" i="2"/>
  <c r="AF408" i="1" s="1"/>
  <c r="Q414" i="1"/>
  <c r="AF317" i="2"/>
  <c r="AF409" i="1" s="1"/>
  <c r="Q415" i="1"/>
  <c r="AF316" i="2"/>
  <c r="AF410" i="1" s="1"/>
  <c r="Q416" i="1"/>
  <c r="AF314" i="2"/>
  <c r="AF412" i="1" s="1"/>
  <c r="Q418" i="1"/>
  <c r="AF313" i="2"/>
  <c r="AF413" i="1" s="1"/>
  <c r="Q419" i="1"/>
  <c r="AF312" i="2"/>
  <c r="AF414" i="1" s="1"/>
  <c r="Q420" i="1"/>
  <c r="AF311" i="2"/>
  <c r="AF415" i="1" s="1"/>
  <c r="Q421" i="1"/>
  <c r="AF310" i="2"/>
  <c r="AF416" i="1" s="1"/>
  <c r="Q422" i="1"/>
  <c r="AF309" i="2"/>
  <c r="AF417" i="1" s="1"/>
  <c r="Q423" i="1"/>
  <c r="AF308" i="2"/>
  <c r="AF418" i="1" s="1"/>
  <c r="Q424" i="1"/>
  <c r="AF307" i="2"/>
  <c r="AF419" i="1" s="1"/>
  <c r="Q425" i="1"/>
  <c r="AF306" i="2"/>
  <c r="AF420" i="1" s="1"/>
  <c r="Q426" i="1"/>
  <c r="AF305" i="2"/>
  <c r="AF421" i="1" s="1"/>
  <c r="Q427" i="1"/>
  <c r="AF304" i="2"/>
  <c r="AF422" i="1" s="1"/>
  <c r="Q428" i="1"/>
  <c r="AF303" i="2"/>
  <c r="AF423" i="1" s="1"/>
  <c r="Q429" i="1"/>
  <c r="AF302" i="2"/>
  <c r="AF424" i="1" s="1"/>
  <c r="Q430" i="1"/>
  <c r="AF301" i="2"/>
  <c r="AF425" i="1" s="1"/>
  <c r="Q431" i="1"/>
  <c r="AF300" i="2"/>
  <c r="AF426" i="1" s="1"/>
  <c r="Q432" i="1"/>
  <c r="AF299" i="2"/>
  <c r="AF427" i="1" s="1"/>
  <c r="Q433" i="1"/>
  <c r="AF298" i="2"/>
  <c r="AF428" i="1" s="1"/>
  <c r="Q434" i="1"/>
  <c r="AF297" i="2"/>
  <c r="AF429" i="1" s="1"/>
  <c r="Q435" i="1"/>
  <c r="AF296" i="2"/>
  <c r="AF430" i="1" s="1"/>
  <c r="Q436" i="1"/>
  <c r="AF295" i="2"/>
  <c r="AF431" i="1" s="1"/>
  <c r="Q437" i="1"/>
  <c r="AF293" i="2"/>
  <c r="AF433" i="1" s="1"/>
  <c r="Q439" i="1"/>
  <c r="AF292" i="2"/>
  <c r="AF434" i="1" s="1"/>
  <c r="Q440" i="1"/>
  <c r="AF291" i="2"/>
  <c r="AF435" i="1" s="1"/>
  <c r="Q441" i="1"/>
  <c r="AF290" i="2"/>
  <c r="AF436" i="1" s="1"/>
  <c r="Q442" i="1"/>
  <c r="AF289" i="2"/>
  <c r="AF437" i="1" s="1"/>
  <c r="Q443" i="1"/>
  <c r="AF288" i="2"/>
  <c r="AF438" i="1" s="1"/>
  <c r="Q444" i="1"/>
  <c r="AF286" i="2"/>
  <c r="AF440" i="1" s="1"/>
  <c r="Q446" i="1"/>
  <c r="AF285" i="2"/>
  <c r="AF441" i="1" s="1"/>
  <c r="Q447" i="1"/>
  <c r="AF284" i="2"/>
  <c r="AF442" i="1" s="1"/>
  <c r="Q448" i="1"/>
  <c r="AF283" i="2"/>
  <c r="AF443" i="1" s="1"/>
  <c r="Q449" i="1"/>
  <c r="AF282" i="2"/>
  <c r="AF444" i="1" s="1"/>
  <c r="Q450" i="1"/>
  <c r="AF280" i="2"/>
  <c r="AF446" i="1" s="1"/>
  <c r="Q452" i="1"/>
  <c r="AF279" i="2"/>
  <c r="AF447" i="1" s="1"/>
  <c r="Q453" i="1"/>
  <c r="AF278" i="2"/>
  <c r="AF448" i="1" s="1"/>
  <c r="Q454" i="1"/>
  <c r="AF277" i="2"/>
  <c r="AF449" i="1" s="1"/>
  <c r="Q455" i="1"/>
  <c r="AF276" i="2"/>
  <c r="AF450" i="1" s="1"/>
  <c r="Q456" i="1"/>
  <c r="AF275" i="2"/>
  <c r="AF451" i="1" s="1"/>
  <c r="Q457" i="1"/>
  <c r="AF274" i="2"/>
  <c r="AF452" i="1" s="1"/>
  <c r="Q458" i="1"/>
  <c r="AF273" i="2"/>
  <c r="AF453" i="1" s="1"/>
  <c r="Q459" i="1"/>
  <c r="AF272" i="2"/>
  <c r="AF454" i="1" s="1"/>
  <c r="Q460" i="1"/>
  <c r="AF271" i="2"/>
  <c r="AF455" i="1" s="1"/>
  <c r="Q461" i="1"/>
  <c r="AF270" i="2"/>
  <c r="AF456" i="1" s="1"/>
  <c r="Q462" i="1"/>
  <c r="AF269" i="2"/>
  <c r="AF457" i="1" s="1"/>
  <c r="Q463" i="1"/>
  <c r="AF268" i="2"/>
  <c r="AF458" i="1" s="1"/>
  <c r="Q464" i="1"/>
  <c r="AF267" i="2"/>
  <c r="AF459" i="1" s="1"/>
  <c r="Q465" i="1"/>
  <c r="AF265" i="2"/>
  <c r="AF461" i="1" s="1"/>
  <c r="AF266" i="2"/>
  <c r="AF460" i="1" s="1"/>
  <c r="Q466" i="1"/>
  <c r="AF264" i="2"/>
  <c r="AF462" i="1" s="1"/>
  <c r="Q468" i="1"/>
  <c r="AF263" i="2"/>
  <c r="AF463" i="1" s="1"/>
  <c r="Q469" i="1"/>
  <c r="AF262" i="2"/>
  <c r="AF464" i="1" s="1"/>
  <c r="Q470" i="1"/>
  <c r="AF261" i="2"/>
  <c r="AF465" i="1" s="1"/>
  <c r="Q471" i="1"/>
  <c r="AF260" i="2"/>
  <c r="AF466" i="1" s="1"/>
  <c r="Q472" i="1"/>
  <c r="AF259" i="2"/>
  <c r="AF467" i="1" s="1"/>
  <c r="Q473" i="1"/>
  <c r="AF258" i="2"/>
  <c r="AF468" i="1" s="1"/>
  <c r="Q474" i="1"/>
  <c r="AF257" i="2"/>
  <c r="AF469" i="1" s="1"/>
  <c r="Q475" i="1"/>
  <c r="AF256" i="2"/>
  <c r="AF470" i="1" s="1"/>
  <c r="Q476" i="1"/>
  <c r="AF255" i="2"/>
  <c r="AF471" i="1" s="1"/>
  <c r="Q477" i="1"/>
  <c r="AF254" i="2"/>
  <c r="AF472" i="1" s="1"/>
  <c r="Q478" i="1"/>
  <c r="AF253" i="2"/>
  <c r="AF473" i="1" s="1"/>
  <c r="Q479" i="1"/>
  <c r="AF252" i="2"/>
  <c r="AF474" i="1" s="1"/>
  <c r="Q480" i="1"/>
  <c r="AF251" i="2"/>
  <c r="AF475" i="1" s="1"/>
  <c r="Q481" i="1"/>
  <c r="AF250" i="2"/>
  <c r="AF476" i="1" s="1"/>
  <c r="Q482" i="1"/>
  <c r="AF249" i="2"/>
  <c r="AF477" i="1" s="1"/>
  <c r="Q483" i="1"/>
  <c r="AF248" i="2"/>
  <c r="AF478" i="1" s="1"/>
  <c r="Q484" i="1"/>
  <c r="AF247" i="2"/>
  <c r="AF479" i="1" s="1"/>
  <c r="Q485" i="1"/>
  <c r="AF246" i="2"/>
  <c r="AF480" i="1" s="1"/>
  <c r="Q486" i="1"/>
  <c r="AF245" i="2"/>
  <c r="AF481" i="1" s="1"/>
  <c r="Q487" i="1"/>
  <c r="AF244" i="2"/>
  <c r="AF482" i="1" s="1"/>
  <c r="Q488" i="1"/>
  <c r="AF243" i="2"/>
  <c r="AF483" i="1" s="1"/>
  <c r="Q489" i="1"/>
  <c r="AF242" i="2"/>
  <c r="AF484" i="1" s="1"/>
  <c r="Q490" i="1"/>
  <c r="AF241" i="2"/>
  <c r="AF485" i="1" s="1"/>
  <c r="Q491" i="1"/>
  <c r="AF240" i="2"/>
  <c r="AF486" i="1" s="1"/>
  <c r="Q492" i="1"/>
  <c r="AF239" i="2"/>
  <c r="AF487" i="1" s="1"/>
  <c r="Q493" i="1"/>
  <c r="AF238" i="2"/>
  <c r="AF488" i="1" s="1"/>
  <c r="Q494" i="1"/>
  <c r="AF237" i="2"/>
  <c r="AF489" i="1" s="1"/>
  <c r="Q495" i="1"/>
  <c r="AM238" i="2"/>
  <c r="AM488" i="1" s="1"/>
  <c r="S494" i="1"/>
  <c r="AM237" i="2"/>
  <c r="AM489" i="1" s="1"/>
  <c r="S495" i="1"/>
  <c r="AF236" i="2"/>
  <c r="AF490" i="1" s="1"/>
  <c r="Q496" i="1"/>
  <c r="AF235" i="2"/>
  <c r="AF491" i="1" s="1"/>
  <c r="Q497" i="1"/>
  <c r="AF234" i="2"/>
  <c r="AF492" i="1" s="1"/>
  <c r="Q498" i="1"/>
  <c r="AF233" i="2"/>
  <c r="AF493" i="1" s="1"/>
  <c r="Q499" i="1"/>
  <c r="AF232" i="2"/>
  <c r="AF494" i="1" s="1"/>
  <c r="Q500" i="1"/>
  <c r="AF230" i="2"/>
  <c r="AF496" i="1" s="1"/>
  <c r="Q502" i="1"/>
  <c r="AF229" i="2"/>
  <c r="AF497" i="1" s="1"/>
  <c r="Q503" i="1"/>
  <c r="AF228" i="2"/>
  <c r="AF498" i="1" s="1"/>
  <c r="Q504" i="1"/>
  <c r="AF227" i="2"/>
  <c r="AF499" i="1" s="1"/>
  <c r="Q505" i="1"/>
  <c r="AF226" i="2"/>
  <c r="AF500" i="1" s="1"/>
  <c r="Q506" i="1"/>
  <c r="AF219" i="2"/>
  <c r="AF507" i="1" s="1"/>
  <c r="AF220" i="2"/>
  <c r="AF506" i="1" s="1"/>
  <c r="AF221" i="2"/>
  <c r="AF505" i="1" s="1"/>
  <c r="AF222" i="2"/>
  <c r="AF504" i="1" s="1"/>
  <c r="AF223" i="2"/>
  <c r="AF503" i="1" s="1"/>
  <c r="AF224" i="2"/>
  <c r="AF502" i="1" s="1"/>
  <c r="AF225" i="2"/>
  <c r="AF501" i="1" s="1"/>
  <c r="Q507" i="1"/>
  <c r="AF35" i="1" l="1"/>
  <c r="D1596" i="5"/>
  <c r="AF36" i="1"/>
  <c r="D1587" i="5"/>
  <c r="AF37" i="1"/>
  <c r="D1584" i="5"/>
  <c r="AF38" i="1"/>
  <c r="D1583" i="5"/>
  <c r="AF39" i="1"/>
  <c r="D1582" i="5"/>
  <c r="AF40" i="1"/>
  <c r="D1581" i="5"/>
  <c r="AF43" i="1"/>
  <c r="D1576" i="5"/>
  <c r="AF42" i="1"/>
  <c r="D1577" i="5"/>
  <c r="AF41" i="1"/>
  <c r="D1580" i="5"/>
  <c r="AF44" i="1"/>
  <c r="D1575" i="5"/>
  <c r="AF45" i="1"/>
  <c r="D1574" i="5"/>
  <c r="AF46" i="1"/>
  <c r="D1569" i="5"/>
  <c r="AF47" i="1"/>
  <c r="D1568" i="5"/>
  <c r="AF48" i="1"/>
  <c r="D1567" i="5"/>
  <c r="AF50" i="1"/>
  <c r="D1563" i="5"/>
  <c r="AF49" i="1"/>
  <c r="D1566" i="5"/>
  <c r="AF51" i="1"/>
  <c r="D1562" i="5"/>
  <c r="AF52" i="1"/>
  <c r="D1561" i="5"/>
  <c r="AF53" i="1"/>
  <c r="D1560" i="5"/>
  <c r="AF54" i="1"/>
  <c r="D1556" i="5"/>
  <c r="AF55" i="1"/>
  <c r="D1555" i="5"/>
  <c r="AF56" i="1"/>
  <c r="D1554" i="5"/>
  <c r="AF57" i="1"/>
  <c r="D1553" i="5"/>
  <c r="AF58" i="1"/>
  <c r="D1552" i="5"/>
  <c r="AF59" i="1"/>
  <c r="D1549" i="5"/>
  <c r="AF60" i="1"/>
  <c r="D1548" i="5"/>
  <c r="AF61" i="1"/>
  <c r="D1547" i="5"/>
  <c r="AF64" i="1"/>
  <c r="D1542" i="5"/>
  <c r="AF63" i="1"/>
  <c r="D1545" i="5"/>
  <c r="AF62" i="1"/>
  <c r="D1546" i="5"/>
  <c r="AF65" i="1"/>
  <c r="D1541" i="5"/>
  <c r="AF66" i="1"/>
  <c r="D1540" i="5"/>
  <c r="AF67" i="1"/>
  <c r="D1535" i="5"/>
  <c r="AF68" i="1"/>
  <c r="D1534" i="5"/>
  <c r="AF69" i="1"/>
  <c r="D1533" i="5"/>
  <c r="AF70" i="1"/>
  <c r="D1532" i="5"/>
  <c r="AF71" i="1"/>
  <c r="D1531" i="5"/>
  <c r="AF72" i="1"/>
  <c r="D1528" i="5"/>
  <c r="AF73" i="1"/>
  <c r="D1527" i="5"/>
  <c r="AF79" i="1"/>
  <c r="D1519" i="5"/>
  <c r="AF80" i="1"/>
  <c r="D1518" i="5"/>
  <c r="AF81" i="1"/>
  <c r="D1517" i="5"/>
  <c r="AF82" i="1"/>
  <c r="D1514" i="5"/>
  <c r="AF83" i="1"/>
  <c r="D1513" i="5"/>
  <c r="AF84" i="1"/>
  <c r="D1512" i="5"/>
  <c r="AF85" i="1"/>
  <c r="D1511" i="5"/>
  <c r="AF86" i="1"/>
  <c r="D1510" i="5"/>
  <c r="AF87" i="1"/>
  <c r="D1507" i="5"/>
  <c r="AF88" i="1"/>
  <c r="D1506" i="5"/>
  <c r="AF89" i="1"/>
  <c r="D1505" i="5"/>
  <c r="AF90" i="1"/>
  <c r="D1504" i="5"/>
  <c r="AF91" i="1"/>
  <c r="D1503" i="5"/>
  <c r="AF92" i="1"/>
  <c r="D1500" i="5"/>
  <c r="AF93" i="1"/>
  <c r="D1499" i="5"/>
  <c r="AF94" i="1"/>
  <c r="D1498" i="5"/>
  <c r="AF95" i="1"/>
  <c r="D1497" i="5"/>
  <c r="AF96" i="1"/>
  <c r="D1496" i="5"/>
  <c r="AF97" i="1"/>
  <c r="D1493" i="5"/>
  <c r="AF98" i="1"/>
  <c r="D1492" i="5"/>
  <c r="AF99" i="1"/>
  <c r="D1491" i="5"/>
  <c r="AF100" i="1"/>
  <c r="D1490" i="5"/>
  <c r="AF101" i="1"/>
  <c r="D1489" i="5"/>
  <c r="AF102" i="1"/>
  <c r="D1486" i="5"/>
  <c r="AF103" i="1"/>
  <c r="D1485" i="5"/>
  <c r="AF104" i="1"/>
  <c r="D1484" i="5"/>
  <c r="AF105" i="1"/>
  <c r="D1483" i="5"/>
  <c r="AF106" i="1"/>
  <c r="D1482" i="5"/>
  <c r="AF107" i="1"/>
  <c r="D1479" i="5"/>
  <c r="AF108" i="1"/>
  <c r="D1478" i="5"/>
  <c r="AF109" i="1"/>
  <c r="D1477" i="5"/>
  <c r="AF110" i="1"/>
  <c r="D1476" i="5"/>
  <c r="AF111" i="1"/>
  <c r="D1475" i="5"/>
  <c r="AF112" i="1"/>
  <c r="D1472" i="5"/>
  <c r="AF113" i="1"/>
  <c r="D1471" i="5"/>
  <c r="AF114" i="1"/>
  <c r="D1470" i="5"/>
  <c r="AF115" i="1"/>
  <c r="D1469" i="5"/>
  <c r="AF116" i="1"/>
  <c r="D1468" i="5"/>
  <c r="I356" i="2"/>
  <c r="I370" i="1" s="1"/>
  <c r="J356" i="2"/>
  <c r="J370" i="1" s="1"/>
  <c r="M356" i="2"/>
  <c r="M370" i="1" s="1"/>
  <c r="N356" i="2"/>
  <c r="N370" i="1" s="1"/>
  <c r="V356" i="2"/>
  <c r="V370" i="1" s="1"/>
  <c r="B357" i="2"/>
  <c r="AO357" i="1" s="1"/>
  <c r="AP357" i="1" s="1"/>
  <c r="B370" i="1"/>
  <c r="J357" i="2" l="1"/>
  <c r="J369" i="1" s="1"/>
  <c r="M357" i="2"/>
  <c r="M369" i="1" s="1"/>
  <c r="V357" i="2"/>
  <c r="V369" i="1" s="1"/>
  <c r="B358" i="2"/>
  <c r="AO358" i="1" s="1"/>
  <c r="AP358" i="1" s="1"/>
  <c r="B369" i="1"/>
  <c r="I357" i="2"/>
  <c r="I369" i="1" s="1"/>
  <c r="N357" i="2"/>
  <c r="N369" i="1" s="1"/>
  <c r="I358" i="2" l="1"/>
  <c r="I368" i="1" s="1"/>
  <c r="N358" i="2"/>
  <c r="N368" i="1" s="1"/>
  <c r="V358" i="2"/>
  <c r="V368" i="1" s="1"/>
  <c r="B368" i="1"/>
  <c r="J358" i="2"/>
  <c r="J368" i="1" s="1"/>
  <c r="M358" i="2"/>
  <c r="M368" i="1" s="1"/>
  <c r="B359" i="2"/>
  <c r="AO359" i="1" s="1"/>
  <c r="AP359" i="1" s="1"/>
  <c r="N359" i="2" l="1"/>
  <c r="N367" i="1" s="1"/>
  <c r="I359" i="2"/>
  <c r="I367" i="1" s="1"/>
  <c r="J359" i="2"/>
  <c r="J367" i="1" s="1"/>
  <c r="M359" i="2"/>
  <c r="M367" i="1" s="1"/>
  <c r="V359" i="2"/>
  <c r="V367" i="1" s="1"/>
  <c r="B360" i="2"/>
  <c r="AO360" i="1" s="1"/>
  <c r="AP360" i="1" s="1"/>
  <c r="B367" i="1"/>
  <c r="I360" i="2" l="1"/>
  <c r="I366" i="1" s="1"/>
  <c r="J360" i="2"/>
  <c r="J366" i="1" s="1"/>
  <c r="M360" i="2"/>
  <c r="M366" i="1" s="1"/>
  <c r="N360" i="2"/>
  <c r="N366" i="1" s="1"/>
  <c r="V360" i="2"/>
  <c r="V366" i="1" s="1"/>
  <c r="B361" i="2"/>
  <c r="AO361" i="1" s="1"/>
  <c r="AP361" i="1" s="1"/>
  <c r="B366" i="1"/>
  <c r="I361" i="2" l="1"/>
  <c r="I365" i="1" s="1"/>
  <c r="J361" i="2"/>
  <c r="J365" i="1" s="1"/>
  <c r="N361" i="2"/>
  <c r="N365" i="1" s="1"/>
  <c r="V361" i="2"/>
  <c r="V365" i="1" s="1"/>
  <c r="B362" i="2"/>
  <c r="AO362" i="1" s="1"/>
  <c r="AP362" i="1" s="1"/>
  <c r="B365" i="1"/>
  <c r="M361" i="2"/>
  <c r="M365" i="1" s="1"/>
  <c r="I362" i="2" l="1"/>
  <c r="I364" i="1" s="1"/>
  <c r="M362" i="2"/>
  <c r="M364" i="1" s="1"/>
  <c r="V362" i="2"/>
  <c r="V364" i="1" s="1"/>
  <c r="B363" i="2"/>
  <c r="AO363" i="1" s="1"/>
  <c r="AP363" i="1" s="1"/>
  <c r="B364" i="1"/>
  <c r="J362" i="2"/>
  <c r="J364" i="1" s="1"/>
  <c r="N362" i="2"/>
  <c r="N364" i="1" s="1"/>
  <c r="I363" i="2" l="1"/>
  <c r="I363" i="1" s="1"/>
  <c r="M363" i="2"/>
  <c r="M363" i="1" s="1"/>
  <c r="V363" i="2"/>
  <c r="V363" i="1" s="1"/>
  <c r="B364" i="2"/>
  <c r="AO364" i="1" s="1"/>
  <c r="AP364" i="1" s="1"/>
  <c r="B363" i="1"/>
  <c r="J363" i="2"/>
  <c r="J363" i="1" s="1"/>
  <c r="N363" i="2"/>
  <c r="N363" i="1" s="1"/>
  <c r="J364" i="2" l="1"/>
  <c r="J362" i="1" s="1"/>
  <c r="M364" i="2"/>
  <c r="M362" i="1" s="1"/>
  <c r="N364" i="2"/>
  <c r="N362" i="1" s="1"/>
  <c r="V364" i="2"/>
  <c r="V362" i="1" s="1"/>
  <c r="B365" i="2"/>
  <c r="AO365" i="1" s="1"/>
  <c r="AP365" i="1" s="1"/>
  <c r="B362" i="1"/>
  <c r="I364" i="2"/>
  <c r="I362" i="1" s="1"/>
  <c r="I365" i="2" l="1"/>
  <c r="I361" i="1" s="1"/>
  <c r="J365" i="2"/>
  <c r="J361" i="1" s="1"/>
  <c r="M365" i="2"/>
  <c r="M361" i="1" s="1"/>
  <c r="N365" i="2"/>
  <c r="N361" i="1" s="1"/>
  <c r="V365" i="2"/>
  <c r="V361" i="1" s="1"/>
  <c r="B366" i="2"/>
  <c r="AO366" i="1" s="1"/>
  <c r="AP366" i="1" s="1"/>
  <c r="B361" i="1"/>
  <c r="J366" i="2" l="1"/>
  <c r="J360" i="1" s="1"/>
  <c r="N366" i="2"/>
  <c r="N360" i="1" s="1"/>
  <c r="V366" i="2"/>
  <c r="V360" i="1" s="1"/>
  <c r="B360" i="1"/>
  <c r="I366" i="2"/>
  <c r="I360" i="1" s="1"/>
  <c r="M366" i="2"/>
  <c r="M360" i="1" s="1"/>
  <c r="B367" i="2"/>
  <c r="AO367" i="1" s="1"/>
  <c r="AP367" i="1" s="1"/>
  <c r="B368" i="2" l="1"/>
  <c r="AO368" i="1" s="1"/>
  <c r="AP368" i="1" s="1"/>
  <c r="I367" i="2"/>
  <c r="I359" i="1" s="1"/>
  <c r="J367" i="2"/>
  <c r="J359" i="1" s="1"/>
  <c r="M367" i="2"/>
  <c r="M359" i="1" s="1"/>
  <c r="N367" i="2"/>
  <c r="N359" i="1" s="1"/>
  <c r="V367" i="2"/>
  <c r="V359" i="1" s="1"/>
  <c r="B359" i="1"/>
  <c r="J368" i="2" l="1"/>
  <c r="J358" i="1" s="1"/>
  <c r="N368" i="2"/>
  <c r="N358" i="1" s="1"/>
  <c r="B369" i="2"/>
  <c r="AO369" i="1" s="1"/>
  <c r="AP369" i="1" s="1"/>
  <c r="I368" i="2"/>
  <c r="I358" i="1" s="1"/>
  <c r="M368" i="2"/>
  <c r="M358" i="1" s="1"/>
  <c r="V368" i="2"/>
  <c r="V358" i="1" s="1"/>
  <c r="B358" i="1"/>
  <c r="I369" i="2" l="1"/>
  <c r="I357" i="1" s="1"/>
  <c r="J369" i="2"/>
  <c r="J357" i="1" s="1"/>
  <c r="M369" i="2"/>
  <c r="M357" i="1" s="1"/>
  <c r="N369" i="2"/>
  <c r="N357" i="1" s="1"/>
  <c r="V369" i="2"/>
  <c r="V357" i="1" s="1"/>
  <c r="B370" i="2"/>
  <c r="AO370" i="1" s="1"/>
  <c r="AP370" i="1" s="1"/>
  <c r="B357" i="1"/>
  <c r="I370" i="2" l="1"/>
  <c r="I356" i="1" s="1"/>
  <c r="J370" i="2"/>
  <c r="J356" i="1" s="1"/>
  <c r="M370" i="2"/>
  <c r="M356" i="1" s="1"/>
  <c r="N370" i="2"/>
  <c r="N356" i="1" s="1"/>
  <c r="V370" i="2"/>
  <c r="V356" i="1" s="1"/>
  <c r="B356" i="1"/>
  <c r="B371" i="2"/>
  <c r="AO371" i="1" s="1"/>
  <c r="AP371" i="1" s="1"/>
  <c r="N371" i="2" l="1"/>
  <c r="N355" i="1" s="1"/>
  <c r="I371" i="2"/>
  <c r="I355" i="1" s="1"/>
  <c r="J371" i="2"/>
  <c r="J355" i="1" s="1"/>
  <c r="M371" i="2"/>
  <c r="M355" i="1" s="1"/>
  <c r="V371" i="2"/>
  <c r="V355" i="1" s="1"/>
  <c r="B372" i="2"/>
  <c r="AO372" i="1" s="1"/>
  <c r="AP372" i="1" s="1"/>
  <c r="B355" i="1"/>
  <c r="I372" i="2" l="1"/>
  <c r="I354" i="1" s="1"/>
  <c r="J372" i="2"/>
  <c r="J354" i="1" s="1"/>
  <c r="M372" i="2"/>
  <c r="M354" i="1" s="1"/>
  <c r="N372" i="2"/>
  <c r="N354" i="1" s="1"/>
  <c r="V372" i="2"/>
  <c r="V354" i="1" s="1"/>
  <c r="B373" i="2"/>
  <c r="AO373" i="1" s="1"/>
  <c r="AP373" i="1" s="1"/>
  <c r="B354" i="1"/>
  <c r="I373" i="2" l="1"/>
  <c r="I353" i="1" s="1"/>
  <c r="J373" i="2"/>
  <c r="J353" i="1" s="1"/>
  <c r="M373" i="2"/>
  <c r="M353" i="1" s="1"/>
  <c r="N373" i="2"/>
  <c r="N353" i="1" s="1"/>
  <c r="V373" i="2"/>
  <c r="V353" i="1" s="1"/>
  <c r="B353" i="1"/>
  <c r="B374" i="2"/>
  <c r="AO374" i="1" s="1"/>
  <c r="AP374" i="1" s="1"/>
  <c r="I374" i="2" l="1"/>
  <c r="I352" i="1" s="1"/>
  <c r="J374" i="2"/>
  <c r="J352" i="1" s="1"/>
  <c r="M374" i="2"/>
  <c r="M352" i="1" s="1"/>
  <c r="N374" i="2"/>
  <c r="N352" i="1" s="1"/>
  <c r="V374" i="2"/>
  <c r="V352" i="1" s="1"/>
  <c r="B375" i="2"/>
  <c r="AO375" i="1" s="1"/>
  <c r="AP375" i="1" s="1"/>
  <c r="B352" i="1"/>
  <c r="I375" i="2" l="1"/>
  <c r="I351" i="1" s="1"/>
  <c r="M375" i="2"/>
  <c r="M351" i="1" s="1"/>
  <c r="V375" i="2"/>
  <c r="V351" i="1" s="1"/>
  <c r="B376" i="2"/>
  <c r="AO376" i="1" s="1"/>
  <c r="AP376" i="1" s="1"/>
  <c r="B351" i="1"/>
  <c r="J375" i="2"/>
  <c r="J351" i="1" s="1"/>
  <c r="N375" i="2"/>
  <c r="N351" i="1" s="1"/>
  <c r="I376" i="2" l="1"/>
  <c r="I350" i="1" s="1"/>
  <c r="M376" i="2"/>
  <c r="M350" i="1" s="1"/>
  <c r="B377" i="2"/>
  <c r="AO377" i="1" s="1"/>
  <c r="AP377" i="1" s="1"/>
  <c r="B350" i="1"/>
  <c r="J376" i="2"/>
  <c r="J350" i="1" s="1"/>
  <c r="N376" i="2"/>
  <c r="N350" i="1" s="1"/>
  <c r="V376" i="2"/>
  <c r="V350" i="1" s="1"/>
  <c r="J377" i="2" l="1"/>
  <c r="J349" i="1" s="1"/>
  <c r="M377" i="2"/>
  <c r="M349" i="1" s="1"/>
  <c r="V377" i="2"/>
  <c r="V349" i="1" s="1"/>
  <c r="B349" i="1"/>
  <c r="I377" i="2"/>
  <c r="I349" i="1" s="1"/>
  <c r="N377" i="2"/>
  <c r="N349" i="1" s="1"/>
  <c r="B378" i="2"/>
  <c r="AO378" i="1" s="1"/>
  <c r="AP378" i="1" s="1"/>
  <c r="I378" i="2" l="1"/>
  <c r="I348" i="1" s="1"/>
  <c r="M378" i="2"/>
  <c r="M348" i="1" s="1"/>
  <c r="J378" i="2"/>
  <c r="J348" i="1" s="1"/>
  <c r="N378" i="2"/>
  <c r="N348" i="1" s="1"/>
  <c r="V378" i="2"/>
  <c r="V348" i="1" s="1"/>
  <c r="B379" i="2"/>
  <c r="AO379" i="1" s="1"/>
  <c r="AP379" i="1" s="1"/>
  <c r="B348" i="1"/>
  <c r="I379" i="2" l="1"/>
  <c r="I347" i="1" s="1"/>
  <c r="M379" i="2"/>
  <c r="M347" i="1" s="1"/>
  <c r="V379" i="2"/>
  <c r="V347" i="1" s="1"/>
  <c r="B380" i="2"/>
  <c r="AO380" i="1" s="1"/>
  <c r="AP380" i="1" s="1"/>
  <c r="B347" i="1"/>
  <c r="J379" i="2"/>
  <c r="J347" i="1" s="1"/>
  <c r="N379" i="2"/>
  <c r="N347" i="1" s="1"/>
  <c r="I380" i="2" l="1"/>
  <c r="I346" i="1" s="1"/>
  <c r="M380" i="2"/>
  <c r="M346" i="1" s="1"/>
  <c r="V380" i="2"/>
  <c r="V346" i="1" s="1"/>
  <c r="B381" i="2"/>
  <c r="AO381" i="1" s="1"/>
  <c r="AP381" i="1" s="1"/>
  <c r="B346" i="1"/>
  <c r="J380" i="2"/>
  <c r="J346" i="1" s="1"/>
  <c r="N380" i="2"/>
  <c r="N346" i="1" s="1"/>
  <c r="I381" i="2" l="1"/>
  <c r="I345" i="1" s="1"/>
  <c r="J381" i="2"/>
  <c r="J345" i="1" s="1"/>
  <c r="M381" i="2"/>
  <c r="M345" i="1" s="1"/>
  <c r="V381" i="2"/>
  <c r="V345" i="1" s="1"/>
  <c r="B382" i="2"/>
  <c r="AO382" i="1" s="1"/>
  <c r="AP382" i="1" s="1"/>
  <c r="B345" i="1"/>
  <c r="N381" i="2"/>
  <c r="N345" i="1" s="1"/>
  <c r="I382" i="2" l="1"/>
  <c r="I344" i="1" s="1"/>
  <c r="N382" i="2"/>
  <c r="N344" i="1" s="1"/>
  <c r="B344" i="1"/>
  <c r="J382" i="2"/>
  <c r="J344" i="1" s="1"/>
  <c r="M382" i="2"/>
  <c r="M344" i="1" s="1"/>
  <c r="V382" i="2"/>
  <c r="V344" i="1" s="1"/>
  <c r="B383" i="2"/>
  <c r="AO383" i="1" s="1"/>
  <c r="AP383" i="1" s="1"/>
  <c r="I383" i="2" l="1"/>
  <c r="I343" i="1" s="1"/>
  <c r="N383" i="2"/>
  <c r="N343" i="1" s="1"/>
  <c r="B384" i="2"/>
  <c r="AO384" i="1" s="1"/>
  <c r="AP384" i="1" s="1"/>
  <c r="J383" i="2"/>
  <c r="J343" i="1" s="1"/>
  <c r="M383" i="2"/>
  <c r="M343" i="1" s="1"/>
  <c r="V383" i="2"/>
  <c r="V343" i="1" s="1"/>
  <c r="B343" i="1"/>
  <c r="J384" i="2" l="1"/>
  <c r="J342" i="1" s="1"/>
  <c r="N384" i="2"/>
  <c r="N342" i="1" s="1"/>
  <c r="I384" i="2"/>
  <c r="I342" i="1" s="1"/>
  <c r="M384" i="2"/>
  <c r="M342" i="1" s="1"/>
  <c r="V384" i="2"/>
  <c r="V342" i="1" s="1"/>
  <c r="B385" i="2"/>
  <c r="AO385" i="1" s="1"/>
  <c r="AP385" i="1" s="1"/>
  <c r="B342" i="1"/>
  <c r="J385" i="2" l="1"/>
  <c r="J341" i="1" s="1"/>
  <c r="M385" i="2"/>
  <c r="M341" i="1" s="1"/>
  <c r="N385" i="2"/>
  <c r="N341" i="1" s="1"/>
  <c r="V385" i="2"/>
  <c r="V341" i="1" s="1"/>
  <c r="B386" i="2"/>
  <c r="AO386" i="1" s="1"/>
  <c r="AP386" i="1" s="1"/>
  <c r="B341" i="1"/>
  <c r="I385" i="2"/>
  <c r="I341" i="1" s="1"/>
  <c r="I386" i="2" l="1"/>
  <c r="I340" i="1" s="1"/>
  <c r="J386" i="2"/>
  <c r="J340" i="1" s="1"/>
  <c r="M386" i="2"/>
  <c r="M340" i="1" s="1"/>
  <c r="N386" i="2"/>
  <c r="N340" i="1" s="1"/>
  <c r="V386" i="2"/>
  <c r="V340" i="1" s="1"/>
  <c r="B340" i="1"/>
  <c r="B387" i="2"/>
  <c r="AO387" i="1" s="1"/>
  <c r="AP387" i="1" s="1"/>
  <c r="I387" i="2" l="1"/>
  <c r="I339" i="1" s="1"/>
  <c r="M387" i="2"/>
  <c r="M339" i="1" s="1"/>
  <c r="J387" i="2"/>
  <c r="J339" i="1" s="1"/>
  <c r="N387" i="2"/>
  <c r="N339" i="1" s="1"/>
  <c r="V387" i="2"/>
  <c r="V339" i="1" s="1"/>
  <c r="B388" i="2"/>
  <c r="AO388" i="1" s="1"/>
  <c r="AP388" i="1" s="1"/>
  <c r="B339" i="1"/>
  <c r="I388" i="2" l="1"/>
  <c r="I338" i="1" s="1"/>
  <c r="M388" i="2"/>
  <c r="M338" i="1" s="1"/>
  <c r="N388" i="2"/>
  <c r="N338" i="1" s="1"/>
  <c r="B389" i="2"/>
  <c r="AO389" i="1" s="1"/>
  <c r="AP389" i="1" s="1"/>
  <c r="B338" i="1"/>
  <c r="J388" i="2"/>
  <c r="J338" i="1" s="1"/>
  <c r="V388" i="2"/>
  <c r="V338" i="1" s="1"/>
  <c r="I389" i="2" l="1"/>
  <c r="I337" i="1" s="1"/>
  <c r="J389" i="2"/>
  <c r="J337" i="1" s="1"/>
  <c r="M389" i="2"/>
  <c r="M337" i="1" s="1"/>
  <c r="N389" i="2"/>
  <c r="N337" i="1" s="1"/>
  <c r="B337" i="1"/>
  <c r="V389" i="2"/>
  <c r="V337" i="1" s="1"/>
  <c r="B390" i="2"/>
  <c r="AO390" i="1" s="1"/>
  <c r="AP390" i="1" s="1"/>
  <c r="I390" i="2" l="1"/>
  <c r="I336" i="1" s="1"/>
  <c r="N390" i="2"/>
  <c r="N336" i="1" s="1"/>
  <c r="V390" i="2"/>
  <c r="V336" i="1" s="1"/>
  <c r="J390" i="2"/>
  <c r="J336" i="1" s="1"/>
  <c r="M390" i="2"/>
  <c r="M336" i="1" s="1"/>
  <c r="B391" i="2"/>
  <c r="AO391" i="1" s="1"/>
  <c r="AP391" i="1" s="1"/>
  <c r="B336" i="1"/>
  <c r="I391" i="2" l="1"/>
  <c r="I335" i="1" s="1"/>
  <c r="N391" i="2"/>
  <c r="N335" i="1" s="1"/>
  <c r="B335" i="1"/>
  <c r="J391" i="2"/>
  <c r="J335" i="1" s="1"/>
  <c r="M391" i="2"/>
  <c r="M335" i="1" s="1"/>
  <c r="V391" i="2"/>
  <c r="V335" i="1" s="1"/>
  <c r="B392" i="2"/>
  <c r="AO392" i="1" s="1"/>
  <c r="AP392" i="1" s="1"/>
  <c r="I392" i="2" l="1"/>
  <c r="I334" i="1" s="1"/>
  <c r="N392" i="2"/>
  <c r="N334" i="1" s="1"/>
  <c r="V392" i="2"/>
  <c r="V334" i="1" s="1"/>
  <c r="B393" i="2"/>
  <c r="AO393" i="1" s="1"/>
  <c r="AP393" i="1" s="1"/>
  <c r="J392" i="2"/>
  <c r="J334" i="1" s="1"/>
  <c r="M392" i="2"/>
  <c r="M334" i="1" s="1"/>
  <c r="B334" i="1"/>
  <c r="I393" i="2" l="1"/>
  <c r="I333" i="1" s="1"/>
  <c r="M393" i="2"/>
  <c r="M333" i="1" s="1"/>
  <c r="V393" i="2"/>
  <c r="V333" i="1" s="1"/>
  <c r="B394" i="2"/>
  <c r="AO394" i="1" s="1"/>
  <c r="AP394" i="1" s="1"/>
  <c r="J393" i="2"/>
  <c r="J333" i="1" s="1"/>
  <c r="N393" i="2"/>
  <c r="N333" i="1" s="1"/>
  <c r="B333" i="1"/>
  <c r="I394" i="2" l="1"/>
  <c r="I332" i="1" s="1"/>
  <c r="M394" i="2"/>
  <c r="M332" i="1" s="1"/>
  <c r="J394" i="2"/>
  <c r="J332" i="1" s="1"/>
  <c r="N394" i="2"/>
  <c r="N332" i="1" s="1"/>
  <c r="V394" i="2"/>
  <c r="V332" i="1" s="1"/>
  <c r="B395" i="2"/>
  <c r="AO395" i="1" s="1"/>
  <c r="AP395" i="1" s="1"/>
  <c r="B332" i="1"/>
  <c r="J395" i="2" l="1"/>
  <c r="J331" i="1" s="1"/>
  <c r="N395" i="2"/>
  <c r="N331" i="1" s="1"/>
  <c r="B396" i="2"/>
  <c r="AO396" i="1" s="1"/>
  <c r="AP396" i="1" s="1"/>
  <c r="B331" i="1"/>
  <c r="I395" i="2"/>
  <c r="I331" i="1" s="1"/>
  <c r="M395" i="2"/>
  <c r="M331" i="1" s="1"/>
  <c r="V395" i="2"/>
  <c r="V331" i="1" s="1"/>
  <c r="I396" i="2" l="1"/>
  <c r="I330" i="1" s="1"/>
  <c r="J396" i="2"/>
  <c r="J330" i="1" s="1"/>
  <c r="M396" i="2"/>
  <c r="M330" i="1" s="1"/>
  <c r="N396" i="2"/>
  <c r="N330" i="1" s="1"/>
  <c r="V396" i="2"/>
  <c r="V330" i="1" s="1"/>
  <c r="B330" i="1"/>
  <c r="B397" i="2"/>
  <c r="AO397" i="1" s="1"/>
  <c r="AP397" i="1" s="1"/>
  <c r="I397" i="2" l="1"/>
  <c r="I329" i="1" s="1"/>
  <c r="J397" i="2"/>
  <c r="J329" i="1" s="1"/>
  <c r="M397" i="2"/>
  <c r="M329" i="1" s="1"/>
  <c r="N397" i="2"/>
  <c r="N329" i="1" s="1"/>
  <c r="V397" i="2"/>
  <c r="V329" i="1" s="1"/>
  <c r="B398" i="2"/>
  <c r="AO398" i="1" s="1"/>
  <c r="AP398" i="1" s="1"/>
  <c r="B329" i="1"/>
  <c r="I398" i="2" l="1"/>
  <c r="I328" i="1" s="1"/>
  <c r="M398" i="2"/>
  <c r="M328" i="1" s="1"/>
  <c r="B328" i="1"/>
  <c r="J398" i="2"/>
  <c r="J328" i="1" s="1"/>
  <c r="N398" i="2"/>
  <c r="N328" i="1" s="1"/>
  <c r="V398" i="2"/>
  <c r="V328" i="1" s="1"/>
  <c r="B399" i="2"/>
  <c r="AO399" i="1" s="1"/>
  <c r="AP399" i="1" s="1"/>
  <c r="I399" i="2" l="1"/>
  <c r="I327" i="1" s="1"/>
  <c r="M399" i="2"/>
  <c r="M327" i="1" s="1"/>
  <c r="V399" i="2"/>
  <c r="V327" i="1" s="1"/>
  <c r="B400" i="2"/>
  <c r="AO400" i="1" s="1"/>
  <c r="AP400" i="1" s="1"/>
  <c r="J399" i="2"/>
  <c r="J327" i="1" s="1"/>
  <c r="N399" i="2"/>
  <c r="N327" i="1" s="1"/>
  <c r="B327" i="1"/>
  <c r="I400" i="2" l="1"/>
  <c r="I326" i="1" s="1"/>
  <c r="J400" i="2"/>
  <c r="J326" i="1" s="1"/>
  <c r="M400" i="2"/>
  <c r="M326" i="1" s="1"/>
  <c r="N400" i="2"/>
  <c r="N326" i="1" s="1"/>
  <c r="V400" i="2"/>
  <c r="V326" i="1" s="1"/>
  <c r="B401" i="2"/>
  <c r="AO401" i="1" s="1"/>
  <c r="AP401" i="1" s="1"/>
  <c r="B326" i="1"/>
  <c r="I401" i="2" l="1"/>
  <c r="I325" i="1" s="1"/>
  <c r="M401" i="2"/>
  <c r="M325" i="1" s="1"/>
  <c r="V401" i="2"/>
  <c r="V325" i="1" s="1"/>
  <c r="B402" i="2"/>
  <c r="AO402" i="1" s="1"/>
  <c r="AP402" i="1" s="1"/>
  <c r="B325" i="1"/>
  <c r="J401" i="2"/>
  <c r="J325" i="1" s="1"/>
  <c r="N401" i="2"/>
  <c r="N325" i="1" s="1"/>
  <c r="I402" i="2" l="1"/>
  <c r="I324" i="1" s="1"/>
  <c r="N402" i="2"/>
  <c r="N324" i="1" s="1"/>
  <c r="B403" i="2"/>
  <c r="AO403" i="1" s="1"/>
  <c r="AP403" i="1" s="1"/>
  <c r="B324" i="1"/>
  <c r="J402" i="2"/>
  <c r="J324" i="1" s="1"/>
  <c r="M402" i="2"/>
  <c r="M324" i="1" s="1"/>
  <c r="V402" i="2"/>
  <c r="V324" i="1" s="1"/>
  <c r="I403" i="2" l="1"/>
  <c r="I323" i="1" s="1"/>
  <c r="N403" i="2"/>
  <c r="N323" i="1" s="1"/>
  <c r="B323" i="1"/>
  <c r="J403" i="2"/>
  <c r="J323" i="1" s="1"/>
  <c r="M403" i="2"/>
  <c r="M323" i="1" s="1"/>
  <c r="V403" i="2"/>
  <c r="V323" i="1" s="1"/>
  <c r="B404" i="2"/>
  <c r="AO404" i="1" s="1"/>
  <c r="AP404" i="1" s="1"/>
  <c r="I404" i="2" l="1"/>
  <c r="I322" i="1" s="1"/>
  <c r="J404" i="2"/>
  <c r="J322" i="1" s="1"/>
  <c r="M404" i="2"/>
  <c r="M322" i="1" s="1"/>
  <c r="B405" i="2"/>
  <c r="AO405" i="1" s="1"/>
  <c r="AP405" i="1" s="1"/>
  <c r="N404" i="2"/>
  <c r="N322" i="1" s="1"/>
  <c r="V404" i="2"/>
  <c r="V322" i="1" s="1"/>
  <c r="B322" i="1"/>
  <c r="I405" i="2" l="1"/>
  <c r="I321" i="1" s="1"/>
  <c r="N405" i="2"/>
  <c r="N321" i="1" s="1"/>
  <c r="V405" i="2"/>
  <c r="V321" i="1" s="1"/>
  <c r="J405" i="2"/>
  <c r="J321" i="1" s="1"/>
  <c r="M405" i="2"/>
  <c r="M321" i="1" s="1"/>
  <c r="B406" i="2"/>
  <c r="AO406" i="1" s="1"/>
  <c r="AP406" i="1" s="1"/>
  <c r="B321" i="1"/>
  <c r="I406" i="2" l="1"/>
  <c r="I320" i="1" s="1"/>
  <c r="N406" i="2"/>
  <c r="N320" i="1" s="1"/>
  <c r="V406" i="2"/>
  <c r="V320" i="1" s="1"/>
  <c r="B320" i="1"/>
  <c r="J406" i="2"/>
  <c r="J320" i="1" s="1"/>
  <c r="M406" i="2"/>
  <c r="M320" i="1" s="1"/>
  <c r="B407" i="2"/>
  <c r="AO407" i="1" s="1"/>
  <c r="AP407" i="1" s="1"/>
  <c r="I407" i="2" l="1"/>
  <c r="I319" i="1" s="1"/>
  <c r="N407" i="2"/>
  <c r="N319" i="1" s="1"/>
  <c r="J407" i="2"/>
  <c r="J319" i="1" s="1"/>
  <c r="M407" i="2"/>
  <c r="M319" i="1" s="1"/>
  <c r="V407" i="2"/>
  <c r="V319" i="1" s="1"/>
  <c r="B408" i="2"/>
  <c r="AO408" i="1" s="1"/>
  <c r="AP408" i="1" s="1"/>
  <c r="B319" i="1"/>
  <c r="I408" i="2" l="1"/>
  <c r="I318" i="1" s="1"/>
  <c r="M408" i="2"/>
  <c r="M318" i="1" s="1"/>
  <c r="V408" i="2"/>
  <c r="V318" i="1" s="1"/>
  <c r="B318" i="1"/>
  <c r="J408" i="2"/>
  <c r="J318" i="1" s="1"/>
  <c r="N408" i="2"/>
  <c r="N318" i="1" s="1"/>
  <c r="B409" i="2"/>
  <c r="AO409" i="1" s="1"/>
  <c r="AP409" i="1" s="1"/>
  <c r="I409" i="2" l="1"/>
  <c r="I317" i="1" s="1"/>
  <c r="N409" i="2"/>
  <c r="N317" i="1" s="1"/>
  <c r="J409" i="2"/>
  <c r="J317" i="1" s="1"/>
  <c r="M409" i="2"/>
  <c r="M317" i="1" s="1"/>
  <c r="V409" i="2"/>
  <c r="V317" i="1" s="1"/>
  <c r="B410" i="2"/>
  <c r="AO410" i="1" s="1"/>
  <c r="AP410" i="1" s="1"/>
  <c r="B317" i="1"/>
  <c r="I410" i="2" l="1"/>
  <c r="I316" i="1" s="1"/>
  <c r="N410" i="2"/>
  <c r="N316" i="1" s="1"/>
  <c r="V410" i="2"/>
  <c r="V316" i="1" s="1"/>
  <c r="B316" i="1"/>
  <c r="J410" i="2"/>
  <c r="J316" i="1" s="1"/>
  <c r="M410" i="2"/>
  <c r="M316" i="1" s="1"/>
  <c r="B411" i="2"/>
  <c r="AO411" i="1" s="1"/>
  <c r="AP411" i="1" s="1"/>
  <c r="I411" i="2" l="1"/>
  <c r="I315" i="1" s="1"/>
  <c r="V411" i="2"/>
  <c r="V315" i="1" s="1"/>
  <c r="B412" i="2"/>
  <c r="AO412" i="1" s="1"/>
  <c r="AP412" i="1" s="1"/>
  <c r="J411" i="2"/>
  <c r="J315" i="1" s="1"/>
  <c r="M411" i="2"/>
  <c r="M315" i="1" s="1"/>
  <c r="N411" i="2"/>
  <c r="N315" i="1" s="1"/>
  <c r="B315" i="1"/>
  <c r="N412" i="2" l="1"/>
  <c r="N314" i="1" s="1"/>
  <c r="V412" i="2"/>
  <c r="V314" i="1" s="1"/>
  <c r="B413" i="2"/>
  <c r="AO413" i="1" s="1"/>
  <c r="AP413" i="1" s="1"/>
  <c r="I412" i="2"/>
  <c r="I314" i="1" s="1"/>
  <c r="J412" i="2"/>
  <c r="J314" i="1" s="1"/>
  <c r="M412" i="2"/>
  <c r="M314" i="1" s="1"/>
  <c r="B314" i="1"/>
  <c r="I413" i="2" l="1"/>
  <c r="I313" i="1" s="1"/>
  <c r="N413" i="2"/>
  <c r="N313" i="1" s="1"/>
  <c r="J413" i="2"/>
  <c r="J313" i="1" s="1"/>
  <c r="M413" i="2"/>
  <c r="M313" i="1" s="1"/>
  <c r="V413" i="2"/>
  <c r="V313" i="1" s="1"/>
  <c r="B414" i="2"/>
  <c r="AO414" i="1" s="1"/>
  <c r="AP414" i="1" s="1"/>
  <c r="B313" i="1"/>
  <c r="I414" i="2" l="1"/>
  <c r="I312" i="1" s="1"/>
  <c r="J414" i="2"/>
  <c r="J312" i="1" s="1"/>
  <c r="M414" i="2"/>
  <c r="M312" i="1" s="1"/>
  <c r="V414" i="2"/>
  <c r="V312" i="1" s="1"/>
  <c r="B312" i="1"/>
  <c r="N414" i="2"/>
  <c r="N312" i="1" s="1"/>
  <c r="B415" i="2"/>
  <c r="AO415" i="1" s="1"/>
  <c r="AP415" i="1" s="1"/>
  <c r="J415" i="2" l="1"/>
  <c r="J311" i="1" s="1"/>
  <c r="M415" i="2"/>
  <c r="M311" i="1" s="1"/>
  <c r="I415" i="2"/>
  <c r="I311" i="1" s="1"/>
  <c r="N415" i="2"/>
  <c r="N311" i="1" s="1"/>
  <c r="V415" i="2"/>
  <c r="V311" i="1" s="1"/>
  <c r="B416" i="2"/>
  <c r="AO416" i="1" s="1"/>
  <c r="AP416" i="1" s="1"/>
  <c r="B311" i="1"/>
  <c r="I416" i="2" l="1"/>
  <c r="I310" i="1" s="1"/>
  <c r="J416" i="2"/>
  <c r="J310" i="1" s="1"/>
  <c r="M416" i="2"/>
  <c r="M310" i="1" s="1"/>
  <c r="N416" i="2"/>
  <c r="N310" i="1" s="1"/>
  <c r="B310" i="1"/>
  <c r="V416" i="2"/>
  <c r="V310" i="1" s="1"/>
  <c r="B417" i="2"/>
  <c r="AO417" i="1" s="1"/>
  <c r="AP417" i="1" s="1"/>
  <c r="I417" i="2" l="1"/>
  <c r="I309" i="1" s="1"/>
  <c r="N417" i="2"/>
  <c r="N309" i="1" s="1"/>
  <c r="V417" i="2"/>
  <c r="V309" i="1" s="1"/>
  <c r="J417" i="2"/>
  <c r="J309" i="1" s="1"/>
  <c r="M417" i="2"/>
  <c r="M309" i="1" s="1"/>
  <c r="B418" i="2"/>
  <c r="AO418" i="1" s="1"/>
  <c r="AP418" i="1" s="1"/>
  <c r="B309" i="1"/>
  <c r="I418" i="2" l="1"/>
  <c r="I308" i="1" s="1"/>
  <c r="N418" i="2"/>
  <c r="N308" i="1" s="1"/>
  <c r="V418" i="2"/>
  <c r="V308" i="1" s="1"/>
  <c r="B419" i="2"/>
  <c r="AO419" i="1" s="1"/>
  <c r="AP419" i="1" s="1"/>
  <c r="B308" i="1"/>
  <c r="J418" i="2"/>
  <c r="J308" i="1" s="1"/>
  <c r="M418" i="2"/>
  <c r="M308" i="1" s="1"/>
  <c r="I419" i="2" l="1"/>
  <c r="I307" i="1" s="1"/>
  <c r="V419" i="2"/>
  <c r="V307" i="1" s="1"/>
  <c r="B420" i="2"/>
  <c r="AO420" i="1" s="1"/>
  <c r="AP420" i="1" s="1"/>
  <c r="B307" i="1"/>
  <c r="J419" i="2"/>
  <c r="J307" i="1" s="1"/>
  <c r="M419" i="2"/>
  <c r="M307" i="1" s="1"/>
  <c r="N419" i="2"/>
  <c r="N307" i="1" s="1"/>
  <c r="I420" i="2" l="1"/>
  <c r="I306" i="1" s="1"/>
  <c r="J420" i="2"/>
  <c r="J306" i="1" s="1"/>
  <c r="M420" i="2"/>
  <c r="M306" i="1" s="1"/>
  <c r="V420" i="2"/>
  <c r="V306" i="1" s="1"/>
  <c r="B306" i="1"/>
  <c r="N420" i="2"/>
  <c r="N306" i="1" s="1"/>
  <c r="B421" i="2"/>
  <c r="AO421" i="1" s="1"/>
  <c r="AP421" i="1" s="1"/>
  <c r="I421" i="2" l="1"/>
  <c r="I305" i="1" s="1"/>
  <c r="J421" i="2"/>
  <c r="J305" i="1" s="1"/>
  <c r="M421" i="2"/>
  <c r="M305" i="1" s="1"/>
  <c r="N421" i="2"/>
  <c r="N305" i="1" s="1"/>
  <c r="V421" i="2"/>
  <c r="V305" i="1" s="1"/>
  <c r="B422" i="2"/>
  <c r="AO422" i="1" s="1"/>
  <c r="AP422" i="1" s="1"/>
  <c r="B305" i="1"/>
  <c r="I422" i="2" l="1"/>
  <c r="I304" i="1" s="1"/>
  <c r="J422" i="2"/>
  <c r="J304" i="1" s="1"/>
  <c r="M422" i="2"/>
  <c r="M304" i="1" s="1"/>
  <c r="N422" i="2"/>
  <c r="N304" i="1" s="1"/>
  <c r="V422" i="2"/>
  <c r="V304" i="1" s="1"/>
  <c r="B423" i="2"/>
  <c r="AO423" i="1" s="1"/>
  <c r="AP423" i="1" s="1"/>
  <c r="B304" i="1"/>
  <c r="I423" i="2" l="1"/>
  <c r="I303" i="1" s="1"/>
  <c r="J423" i="2"/>
  <c r="J303" i="1" s="1"/>
  <c r="M423" i="2"/>
  <c r="M303" i="1" s="1"/>
  <c r="N423" i="2"/>
  <c r="N303" i="1" s="1"/>
  <c r="V423" i="2"/>
  <c r="V303" i="1" s="1"/>
  <c r="B424" i="2"/>
  <c r="AO424" i="1" s="1"/>
  <c r="AP424" i="1" s="1"/>
  <c r="B303" i="1"/>
  <c r="J424" i="2" l="1"/>
  <c r="J302" i="1" s="1"/>
  <c r="M424" i="2"/>
  <c r="M302" i="1" s="1"/>
  <c r="B425" i="2"/>
  <c r="AO425" i="1" s="1"/>
  <c r="AP425" i="1" s="1"/>
  <c r="I424" i="2"/>
  <c r="I302" i="1" s="1"/>
  <c r="N424" i="2"/>
  <c r="N302" i="1" s="1"/>
  <c r="V424" i="2"/>
  <c r="V302" i="1" s="1"/>
  <c r="B302" i="1"/>
  <c r="I425" i="2" l="1"/>
  <c r="I301" i="1" s="1"/>
  <c r="N425" i="2"/>
  <c r="N301" i="1" s="1"/>
  <c r="V425" i="2"/>
  <c r="V301" i="1" s="1"/>
  <c r="J425" i="2"/>
  <c r="J301" i="1" s="1"/>
  <c r="M425" i="2"/>
  <c r="M301" i="1" s="1"/>
  <c r="B426" i="2"/>
  <c r="AO426" i="1" s="1"/>
  <c r="AP426" i="1" s="1"/>
  <c r="B301" i="1"/>
  <c r="J426" i="2" l="1"/>
  <c r="J300" i="1" s="1"/>
  <c r="M426" i="2"/>
  <c r="M300" i="1" s="1"/>
  <c r="B300" i="1"/>
  <c r="I426" i="2"/>
  <c r="I300" i="1" s="1"/>
  <c r="N426" i="2"/>
  <c r="N300" i="1" s="1"/>
  <c r="V426" i="2"/>
  <c r="V300" i="1" s="1"/>
  <c r="B427" i="2"/>
  <c r="AO427" i="1" s="1"/>
  <c r="AP427" i="1" s="1"/>
  <c r="I427" i="2" l="1"/>
  <c r="I299" i="1" s="1"/>
  <c r="J427" i="2"/>
  <c r="J299" i="1" s="1"/>
  <c r="M427" i="2"/>
  <c r="M299" i="1" s="1"/>
  <c r="N427" i="2"/>
  <c r="N299" i="1" s="1"/>
  <c r="V427" i="2"/>
  <c r="V299" i="1" s="1"/>
  <c r="B428" i="2"/>
  <c r="AO428" i="1" s="1"/>
  <c r="AP428" i="1" s="1"/>
  <c r="B299" i="1"/>
  <c r="I428" i="2" l="1"/>
  <c r="I298" i="1" s="1"/>
  <c r="J428" i="2"/>
  <c r="J298" i="1" s="1"/>
  <c r="M428" i="2"/>
  <c r="M298" i="1" s="1"/>
  <c r="N428" i="2"/>
  <c r="N298" i="1" s="1"/>
  <c r="V428" i="2"/>
  <c r="V298" i="1" s="1"/>
  <c r="B429" i="2"/>
  <c r="AO429" i="1" s="1"/>
  <c r="AP429" i="1" s="1"/>
  <c r="B298" i="1"/>
  <c r="I429" i="2" l="1"/>
  <c r="I297" i="1" s="1"/>
  <c r="J429" i="2"/>
  <c r="J297" i="1" s="1"/>
  <c r="M429" i="2"/>
  <c r="M297" i="1" s="1"/>
  <c r="N429" i="2"/>
  <c r="N297" i="1" s="1"/>
  <c r="V429" i="2"/>
  <c r="V297" i="1" s="1"/>
  <c r="B430" i="2"/>
  <c r="AO430" i="1" s="1"/>
  <c r="AP430" i="1" s="1"/>
  <c r="B297" i="1"/>
  <c r="I430" i="2" l="1"/>
  <c r="I296" i="1" s="1"/>
  <c r="J430" i="2"/>
  <c r="J296" i="1" s="1"/>
  <c r="M430" i="2"/>
  <c r="M296" i="1" s="1"/>
  <c r="N430" i="2"/>
  <c r="N296" i="1" s="1"/>
  <c r="V430" i="2"/>
  <c r="V296" i="1" s="1"/>
  <c r="B431" i="2"/>
  <c r="AO431" i="1" s="1"/>
  <c r="AP431" i="1" s="1"/>
  <c r="B296" i="1"/>
  <c r="I431" i="2" l="1"/>
  <c r="I295" i="1" s="1"/>
  <c r="J431" i="2"/>
  <c r="J295" i="1" s="1"/>
  <c r="M431" i="2"/>
  <c r="M295" i="1" s="1"/>
  <c r="N431" i="2"/>
  <c r="N295" i="1" s="1"/>
  <c r="V431" i="2"/>
  <c r="V295" i="1" s="1"/>
  <c r="B432" i="2"/>
  <c r="AO432" i="1" s="1"/>
  <c r="AP432" i="1" s="1"/>
  <c r="B295" i="1"/>
  <c r="I432" i="2" l="1"/>
  <c r="I294" i="1" s="1"/>
  <c r="J432" i="2"/>
  <c r="J294" i="1" s="1"/>
  <c r="M432" i="2"/>
  <c r="M294" i="1" s="1"/>
  <c r="N432" i="2"/>
  <c r="N294" i="1" s="1"/>
  <c r="V432" i="2"/>
  <c r="V294" i="1" s="1"/>
  <c r="B433" i="2"/>
  <c r="AO433" i="1" s="1"/>
  <c r="AP433" i="1" s="1"/>
  <c r="B294" i="1"/>
  <c r="I433" i="2" l="1"/>
  <c r="I293" i="1" s="1"/>
  <c r="N433" i="2"/>
  <c r="N293" i="1" s="1"/>
  <c r="V433" i="2"/>
  <c r="V293" i="1" s="1"/>
  <c r="B293" i="1"/>
  <c r="J433" i="2"/>
  <c r="J293" i="1" s="1"/>
  <c r="M433" i="2"/>
  <c r="M293" i="1" s="1"/>
  <c r="B434" i="2"/>
  <c r="AO434" i="1" s="1"/>
  <c r="AP434" i="1" s="1"/>
  <c r="I434" i="2" l="1"/>
  <c r="I292" i="1" s="1"/>
  <c r="M434" i="2"/>
  <c r="M292" i="1" s="1"/>
  <c r="V434" i="2"/>
  <c r="V292" i="1" s="1"/>
  <c r="B435" i="2"/>
  <c r="AO435" i="1" s="1"/>
  <c r="AP435" i="1" s="1"/>
  <c r="B292" i="1"/>
  <c r="J434" i="2"/>
  <c r="J292" i="1" s="1"/>
  <c r="N434" i="2"/>
  <c r="N292" i="1" s="1"/>
  <c r="I435" i="2" l="1"/>
  <c r="I291" i="1" s="1"/>
  <c r="J435" i="2"/>
  <c r="J291" i="1" s="1"/>
  <c r="M435" i="2"/>
  <c r="M291" i="1" s="1"/>
  <c r="N435" i="2"/>
  <c r="N291" i="1" s="1"/>
  <c r="V435" i="2"/>
  <c r="V291" i="1" s="1"/>
  <c r="B436" i="2"/>
  <c r="AO436" i="1" s="1"/>
  <c r="AP436" i="1" s="1"/>
  <c r="B291" i="1"/>
  <c r="I436" i="2" l="1"/>
  <c r="I290" i="1" s="1"/>
  <c r="J436" i="2"/>
  <c r="J290" i="1" s="1"/>
  <c r="M436" i="2"/>
  <c r="M290" i="1" s="1"/>
  <c r="N436" i="2"/>
  <c r="N290" i="1" s="1"/>
  <c r="V436" i="2"/>
  <c r="V290" i="1" s="1"/>
  <c r="B437" i="2"/>
  <c r="AO437" i="1" s="1"/>
  <c r="AP437" i="1" s="1"/>
  <c r="B290" i="1"/>
  <c r="I437" i="2" l="1"/>
  <c r="I289" i="1" s="1"/>
  <c r="J437" i="2"/>
  <c r="J289" i="1" s="1"/>
  <c r="M437" i="2"/>
  <c r="M289" i="1" s="1"/>
  <c r="N437" i="2"/>
  <c r="N289" i="1" s="1"/>
  <c r="V437" i="2"/>
  <c r="V289" i="1" s="1"/>
  <c r="B438" i="2"/>
  <c r="AO438" i="1" s="1"/>
  <c r="AP438" i="1" s="1"/>
  <c r="B289" i="1"/>
  <c r="I438" i="2" l="1"/>
  <c r="I288" i="1" s="1"/>
  <c r="J438" i="2"/>
  <c r="J288" i="1" s="1"/>
  <c r="M438" i="2"/>
  <c r="M288" i="1" s="1"/>
  <c r="N438" i="2"/>
  <c r="N288" i="1" s="1"/>
  <c r="V438" i="2"/>
  <c r="V288" i="1" s="1"/>
  <c r="B439" i="2"/>
  <c r="AO439" i="1" s="1"/>
  <c r="AP439" i="1" s="1"/>
  <c r="B288" i="1"/>
  <c r="I439" i="2" l="1"/>
  <c r="I287" i="1" s="1"/>
  <c r="J439" i="2"/>
  <c r="J287" i="1" s="1"/>
  <c r="B440" i="2"/>
  <c r="AO440" i="1" s="1"/>
  <c r="AP440" i="1" s="1"/>
  <c r="B287" i="1"/>
  <c r="M439" i="2"/>
  <c r="M287" i="1" s="1"/>
  <c r="N439" i="2"/>
  <c r="N287" i="1" s="1"/>
  <c r="V439" i="2"/>
  <c r="V287" i="1" s="1"/>
  <c r="I440" i="2" l="1"/>
  <c r="I286" i="1" s="1"/>
  <c r="J440" i="2"/>
  <c r="J286" i="1" s="1"/>
  <c r="M440" i="2"/>
  <c r="M286" i="1" s="1"/>
  <c r="V440" i="2"/>
  <c r="V286" i="1" s="1"/>
  <c r="B441" i="2"/>
  <c r="AO441" i="1" s="1"/>
  <c r="AP441" i="1" s="1"/>
  <c r="B286" i="1"/>
  <c r="N440" i="2"/>
  <c r="N286" i="1" s="1"/>
  <c r="I441" i="2" l="1"/>
  <c r="I285" i="1" s="1"/>
  <c r="J441" i="2"/>
  <c r="J285" i="1" s="1"/>
  <c r="M441" i="2"/>
  <c r="M285" i="1" s="1"/>
  <c r="V441" i="2"/>
  <c r="V285" i="1" s="1"/>
  <c r="B442" i="2"/>
  <c r="AO442" i="1" s="1"/>
  <c r="AP442" i="1" s="1"/>
  <c r="N441" i="2"/>
  <c r="N285" i="1" s="1"/>
  <c r="B285" i="1"/>
  <c r="I442" i="2" l="1"/>
  <c r="I284" i="1" s="1"/>
  <c r="N442" i="2"/>
  <c r="N284" i="1" s="1"/>
  <c r="B443" i="2"/>
  <c r="AO443" i="1" s="1"/>
  <c r="AP443" i="1" s="1"/>
  <c r="J442" i="2"/>
  <c r="J284" i="1" s="1"/>
  <c r="M442" i="2"/>
  <c r="M284" i="1" s="1"/>
  <c r="V442" i="2"/>
  <c r="V284" i="1" s="1"/>
  <c r="B284" i="1"/>
  <c r="N443" i="2" l="1"/>
  <c r="N283" i="1" s="1"/>
  <c r="I443" i="2"/>
  <c r="I283" i="1" s="1"/>
  <c r="J443" i="2"/>
  <c r="J283" i="1" s="1"/>
  <c r="M443" i="2"/>
  <c r="M283" i="1" s="1"/>
  <c r="V443" i="2"/>
  <c r="V283" i="1" s="1"/>
  <c r="B444" i="2"/>
  <c r="AO444" i="1" s="1"/>
  <c r="AP444" i="1" s="1"/>
  <c r="B283" i="1"/>
  <c r="I444" i="2" l="1"/>
  <c r="I282" i="1" s="1"/>
  <c r="N444" i="2"/>
  <c r="N282" i="1" s="1"/>
  <c r="V444" i="2"/>
  <c r="V282" i="1" s="1"/>
  <c r="B445" i="2"/>
  <c r="AO445" i="1" s="1"/>
  <c r="AP445" i="1" s="1"/>
  <c r="J444" i="2"/>
  <c r="J282" i="1" s="1"/>
  <c r="M444" i="2"/>
  <c r="M282" i="1" s="1"/>
  <c r="B282" i="1"/>
  <c r="I445" i="2" l="1"/>
  <c r="I281" i="1" s="1"/>
  <c r="J445" i="2"/>
  <c r="J281" i="1" s="1"/>
  <c r="M445" i="2"/>
  <c r="M281" i="1" s="1"/>
  <c r="N445" i="2"/>
  <c r="N281" i="1" s="1"/>
  <c r="V445" i="2"/>
  <c r="V281" i="1" s="1"/>
  <c r="B446" i="2"/>
  <c r="AO446" i="1" s="1"/>
  <c r="AP446" i="1" s="1"/>
  <c r="B281" i="1"/>
  <c r="I446" i="2" l="1"/>
  <c r="I280" i="1" s="1"/>
  <c r="J446" i="2"/>
  <c r="J280" i="1" s="1"/>
  <c r="M446" i="2"/>
  <c r="M280" i="1" s="1"/>
  <c r="N446" i="2"/>
  <c r="N280" i="1" s="1"/>
  <c r="V446" i="2"/>
  <c r="V280" i="1" s="1"/>
  <c r="B447" i="2"/>
  <c r="AO447" i="1" s="1"/>
  <c r="AP447" i="1" s="1"/>
  <c r="B280" i="1"/>
  <c r="I447" i="2" l="1"/>
  <c r="I279" i="1" s="1"/>
  <c r="J447" i="2"/>
  <c r="J279" i="1" s="1"/>
  <c r="M447" i="2"/>
  <c r="M279" i="1" s="1"/>
  <c r="N447" i="2"/>
  <c r="N279" i="1" s="1"/>
  <c r="V447" i="2"/>
  <c r="V279" i="1" s="1"/>
  <c r="B448" i="2"/>
  <c r="AO448" i="1" s="1"/>
  <c r="AP448" i="1" s="1"/>
  <c r="B279" i="1"/>
  <c r="I448" i="2" l="1"/>
  <c r="I278" i="1" s="1"/>
  <c r="J448" i="2"/>
  <c r="J278" i="1" s="1"/>
  <c r="M448" i="2"/>
  <c r="M278" i="1" s="1"/>
  <c r="N448" i="2"/>
  <c r="N278" i="1" s="1"/>
  <c r="V448" i="2"/>
  <c r="V278" i="1" s="1"/>
  <c r="B449" i="2"/>
  <c r="AO449" i="1" s="1"/>
  <c r="AP449" i="1" s="1"/>
  <c r="B278" i="1"/>
  <c r="I449" i="2" l="1"/>
  <c r="I277" i="1" s="1"/>
  <c r="J449" i="2"/>
  <c r="J277" i="1" s="1"/>
  <c r="M449" i="2"/>
  <c r="M277" i="1" s="1"/>
  <c r="N449" i="2"/>
  <c r="N277" i="1" s="1"/>
  <c r="V449" i="2"/>
  <c r="V277" i="1" s="1"/>
  <c r="B450" i="2"/>
  <c r="AO450" i="1" s="1"/>
  <c r="AP450" i="1" s="1"/>
  <c r="B277" i="1"/>
  <c r="I450" i="2" l="1"/>
  <c r="I276" i="1" s="1"/>
  <c r="J450" i="2"/>
  <c r="J276" i="1" s="1"/>
  <c r="M450" i="2"/>
  <c r="M276" i="1" s="1"/>
  <c r="N450" i="2"/>
  <c r="N276" i="1" s="1"/>
  <c r="V450" i="2"/>
  <c r="V276" i="1" s="1"/>
  <c r="B451" i="2"/>
  <c r="AO451" i="1" s="1"/>
  <c r="AP451" i="1" s="1"/>
  <c r="B276" i="1"/>
  <c r="I451" i="2" l="1"/>
  <c r="I275" i="1" s="1"/>
  <c r="J451" i="2"/>
  <c r="J275" i="1" s="1"/>
  <c r="M451" i="2"/>
  <c r="M275" i="1" s="1"/>
  <c r="N451" i="2"/>
  <c r="N275" i="1" s="1"/>
  <c r="V451" i="2"/>
  <c r="V275" i="1" s="1"/>
  <c r="B275" i="1"/>
  <c r="B452" i="2"/>
  <c r="AO452" i="1" s="1"/>
  <c r="AP452" i="1" s="1"/>
  <c r="I452" i="2" l="1"/>
  <c r="I274" i="1" s="1"/>
  <c r="J452" i="2"/>
  <c r="J274" i="1" s="1"/>
  <c r="M452" i="2"/>
  <c r="M274" i="1" s="1"/>
  <c r="V452" i="2"/>
  <c r="V274" i="1" s="1"/>
  <c r="N452" i="2"/>
  <c r="N274" i="1" s="1"/>
  <c r="B453" i="2"/>
  <c r="AO453" i="1" s="1"/>
  <c r="AP453" i="1" s="1"/>
  <c r="B274" i="1"/>
  <c r="I453" i="2" l="1"/>
  <c r="I273" i="1" s="1"/>
  <c r="J453" i="2"/>
  <c r="J273" i="1" s="1"/>
  <c r="M453" i="2"/>
  <c r="M273" i="1" s="1"/>
  <c r="V453" i="2"/>
  <c r="V273" i="1" s="1"/>
  <c r="B454" i="2"/>
  <c r="AO454" i="1" s="1"/>
  <c r="AP454" i="1" s="1"/>
  <c r="B273" i="1"/>
  <c r="N453" i="2"/>
  <c r="N273" i="1" s="1"/>
  <c r="I454" i="2" l="1"/>
  <c r="I272" i="1" s="1"/>
  <c r="N454" i="2"/>
  <c r="N272" i="1" s="1"/>
  <c r="B272" i="1"/>
  <c r="J454" i="2"/>
  <c r="J272" i="1" s="1"/>
  <c r="M454" i="2"/>
  <c r="M272" i="1" s="1"/>
  <c r="V454" i="2"/>
  <c r="V272" i="1" s="1"/>
  <c r="B455" i="2"/>
  <c r="AO455" i="1" s="1"/>
  <c r="AP455" i="1" s="1"/>
  <c r="I455" i="2" l="1"/>
  <c r="I271" i="1" s="1"/>
  <c r="J455" i="2"/>
  <c r="J271" i="1" s="1"/>
  <c r="M455" i="2"/>
  <c r="M271" i="1" s="1"/>
  <c r="N455" i="2"/>
  <c r="N271" i="1" s="1"/>
  <c r="V455" i="2"/>
  <c r="V271" i="1" s="1"/>
  <c r="B456" i="2"/>
  <c r="AO456" i="1" s="1"/>
  <c r="AP456" i="1" s="1"/>
  <c r="B271" i="1"/>
  <c r="I456" i="2" l="1"/>
  <c r="I270" i="1" s="1"/>
  <c r="J456" i="2"/>
  <c r="J270" i="1" s="1"/>
  <c r="M456" i="2"/>
  <c r="M270" i="1" s="1"/>
  <c r="N456" i="2"/>
  <c r="N270" i="1" s="1"/>
  <c r="V456" i="2"/>
  <c r="V270" i="1" s="1"/>
  <c r="B457" i="2"/>
  <c r="AO457" i="1" s="1"/>
  <c r="AP457" i="1" s="1"/>
  <c r="B270" i="1"/>
  <c r="I457" i="2" l="1"/>
  <c r="I269" i="1" s="1"/>
  <c r="J457" i="2"/>
  <c r="J269" i="1" s="1"/>
  <c r="M457" i="2"/>
  <c r="M269" i="1" s="1"/>
  <c r="N457" i="2"/>
  <c r="N269" i="1" s="1"/>
  <c r="V457" i="2"/>
  <c r="V269" i="1" s="1"/>
  <c r="B458" i="2"/>
  <c r="AO458" i="1" s="1"/>
  <c r="AP458" i="1" s="1"/>
  <c r="B269" i="1"/>
  <c r="I458" i="2" l="1"/>
  <c r="I268" i="1" s="1"/>
  <c r="J458" i="2"/>
  <c r="J268" i="1" s="1"/>
  <c r="M458" i="2"/>
  <c r="M268" i="1" s="1"/>
  <c r="N458" i="2"/>
  <c r="N268" i="1" s="1"/>
  <c r="V458" i="2"/>
  <c r="V268" i="1" s="1"/>
  <c r="B459" i="2"/>
  <c r="AO459" i="1" s="1"/>
  <c r="AP459" i="1" s="1"/>
  <c r="B268" i="1"/>
  <c r="I459" i="2" l="1"/>
  <c r="I267" i="1" s="1"/>
  <c r="J459" i="2"/>
  <c r="J267" i="1" s="1"/>
  <c r="M459" i="2"/>
  <c r="M267" i="1" s="1"/>
  <c r="N459" i="2"/>
  <c r="N267" i="1" s="1"/>
  <c r="V459" i="2"/>
  <c r="V267" i="1" s="1"/>
  <c r="B460" i="2"/>
  <c r="AO460" i="1" s="1"/>
  <c r="AP460" i="1" s="1"/>
  <c r="B267" i="1"/>
  <c r="I460" i="2" l="1"/>
  <c r="I266" i="1" s="1"/>
  <c r="J460" i="2"/>
  <c r="J266" i="1" s="1"/>
  <c r="M460" i="2"/>
  <c r="M266" i="1" s="1"/>
  <c r="N460" i="2"/>
  <c r="N266" i="1" s="1"/>
  <c r="V460" i="2"/>
  <c r="V266" i="1" s="1"/>
  <c r="B461" i="2"/>
  <c r="AO461" i="1" s="1"/>
  <c r="AP461" i="1" s="1"/>
  <c r="B266" i="1"/>
  <c r="I461" i="2" l="1"/>
  <c r="I265" i="1" s="1"/>
  <c r="J461" i="2"/>
  <c r="J265" i="1" s="1"/>
  <c r="M461" i="2"/>
  <c r="M265" i="1" s="1"/>
  <c r="N461" i="2"/>
  <c r="N265" i="1" s="1"/>
  <c r="V461" i="2"/>
  <c r="V265" i="1" s="1"/>
  <c r="B462" i="2"/>
  <c r="AO462" i="1" s="1"/>
  <c r="AP462" i="1" s="1"/>
  <c r="B265" i="1"/>
  <c r="I462" i="2" l="1"/>
  <c r="I264" i="1" s="1"/>
  <c r="J462" i="2"/>
  <c r="J264" i="1" s="1"/>
  <c r="M462" i="2"/>
  <c r="M264" i="1" s="1"/>
  <c r="N462" i="2"/>
  <c r="N264" i="1" s="1"/>
  <c r="V462" i="2"/>
  <c r="V264" i="1" s="1"/>
  <c r="B463" i="2"/>
  <c r="AO463" i="1" s="1"/>
  <c r="AP463" i="1" s="1"/>
  <c r="B264" i="1"/>
  <c r="I463" i="2" l="1"/>
  <c r="I263" i="1" s="1"/>
  <c r="J463" i="2"/>
  <c r="J263" i="1" s="1"/>
  <c r="M463" i="2"/>
  <c r="M263" i="1" s="1"/>
  <c r="N463" i="2"/>
  <c r="N263" i="1" s="1"/>
  <c r="V463" i="2"/>
  <c r="V263" i="1" s="1"/>
  <c r="B464" i="2"/>
  <c r="AO464" i="1" s="1"/>
  <c r="AP464" i="1" s="1"/>
  <c r="B263" i="1"/>
  <c r="I464" i="2" l="1"/>
  <c r="I262" i="1" s="1"/>
  <c r="J464" i="2"/>
  <c r="J262" i="1" s="1"/>
  <c r="M464" i="2"/>
  <c r="M262" i="1" s="1"/>
  <c r="N464" i="2"/>
  <c r="N262" i="1" s="1"/>
  <c r="V464" i="2"/>
  <c r="V262" i="1" s="1"/>
  <c r="B465" i="2"/>
  <c r="AO465" i="1" s="1"/>
  <c r="AP465" i="1" s="1"/>
  <c r="B262" i="1"/>
  <c r="I465" i="2" l="1"/>
  <c r="I261" i="1" s="1"/>
  <c r="J465" i="2"/>
  <c r="J261" i="1" s="1"/>
  <c r="M465" i="2"/>
  <c r="M261" i="1" s="1"/>
  <c r="N465" i="2"/>
  <c r="N261" i="1" s="1"/>
  <c r="V465" i="2"/>
  <c r="V261" i="1" s="1"/>
  <c r="B466" i="2"/>
  <c r="AO466" i="1" s="1"/>
  <c r="AP466" i="1" s="1"/>
  <c r="B261" i="1"/>
  <c r="I466" i="2" l="1"/>
  <c r="I260" i="1" s="1"/>
  <c r="J466" i="2"/>
  <c r="J260" i="1" s="1"/>
  <c r="M466" i="2"/>
  <c r="M260" i="1" s="1"/>
  <c r="N466" i="2"/>
  <c r="N260" i="1" s="1"/>
  <c r="V466" i="2"/>
  <c r="V260" i="1" s="1"/>
  <c r="B469" i="2"/>
  <c r="AO469" i="1" s="1"/>
  <c r="AP469" i="1" s="1"/>
  <c r="B260" i="1"/>
  <c r="I469" i="2" l="1"/>
  <c r="I259" i="1" s="1"/>
  <c r="J469" i="2"/>
  <c r="J259" i="1" s="1"/>
  <c r="M469" i="2"/>
  <c r="M259" i="1" s="1"/>
  <c r="N469" i="2"/>
  <c r="N259" i="1" s="1"/>
  <c r="V469" i="2"/>
  <c r="V259" i="1" s="1"/>
  <c r="B470" i="2"/>
  <c r="AO470" i="1" s="1"/>
  <c r="AP470" i="1" s="1"/>
  <c r="B259" i="1"/>
  <c r="I470" i="2" l="1"/>
  <c r="I258" i="1" s="1"/>
  <c r="J470" i="2"/>
  <c r="J258" i="1" s="1"/>
  <c r="M470" i="2"/>
  <c r="M258" i="1" s="1"/>
  <c r="N470" i="2"/>
  <c r="N258" i="1" s="1"/>
  <c r="V470" i="2"/>
  <c r="V258" i="1" s="1"/>
  <c r="B471" i="2"/>
  <c r="AO471" i="1" s="1"/>
  <c r="AP471" i="1" s="1"/>
  <c r="B258" i="1"/>
  <c r="I471" i="2" l="1"/>
  <c r="I257" i="1" s="1"/>
  <c r="J471" i="2"/>
  <c r="J257" i="1" s="1"/>
  <c r="M471" i="2"/>
  <c r="M257" i="1" s="1"/>
  <c r="N471" i="2"/>
  <c r="N257" i="1" s="1"/>
  <c r="V471" i="2"/>
  <c r="V257" i="1" s="1"/>
  <c r="B472" i="2"/>
  <c r="AO472" i="1" s="1"/>
  <c r="AP472" i="1" s="1"/>
  <c r="B257" i="1"/>
  <c r="I472" i="2" l="1"/>
  <c r="I256" i="1" s="1"/>
  <c r="J472" i="2"/>
  <c r="J256" i="1" s="1"/>
  <c r="M472" i="2"/>
  <c r="M256" i="1" s="1"/>
  <c r="N472" i="2"/>
  <c r="N256" i="1" s="1"/>
  <c r="V472" i="2"/>
  <c r="V256" i="1" s="1"/>
  <c r="B473" i="2"/>
  <c r="AO473" i="1" s="1"/>
  <c r="AP473" i="1" s="1"/>
  <c r="B256" i="1"/>
  <c r="I473" i="2" l="1"/>
  <c r="I255" i="1" s="1"/>
  <c r="J473" i="2"/>
  <c r="J255" i="1" s="1"/>
  <c r="M473" i="2"/>
  <c r="M255" i="1" s="1"/>
  <c r="N473" i="2"/>
  <c r="N255" i="1" s="1"/>
  <c r="V473" i="2"/>
  <c r="V255" i="1" s="1"/>
  <c r="B476" i="2"/>
  <c r="AO476" i="1" s="1"/>
  <c r="AP476" i="1" s="1"/>
  <c r="B255" i="1"/>
  <c r="I476" i="2" l="1"/>
  <c r="I254" i="1" s="1"/>
  <c r="J476" i="2"/>
  <c r="J254" i="1" s="1"/>
  <c r="M476" i="2"/>
  <c r="M254" i="1" s="1"/>
  <c r="N476" i="2"/>
  <c r="N254" i="1" s="1"/>
  <c r="V476" i="2"/>
  <c r="V254" i="1" s="1"/>
  <c r="B477" i="2"/>
  <c r="AO477" i="1" s="1"/>
  <c r="AP477" i="1" s="1"/>
  <c r="B254" i="1"/>
  <c r="I477" i="2" l="1"/>
  <c r="I253" i="1" s="1"/>
  <c r="J477" i="2"/>
  <c r="J253" i="1" s="1"/>
  <c r="M477" i="2"/>
  <c r="M253" i="1" s="1"/>
  <c r="N477" i="2"/>
  <c r="N253" i="1" s="1"/>
  <c r="V477" i="2"/>
  <c r="V253" i="1" s="1"/>
  <c r="B478" i="2"/>
  <c r="AO478" i="1" s="1"/>
  <c r="AP478" i="1" s="1"/>
  <c r="B253" i="1"/>
  <c r="I478" i="2" l="1"/>
  <c r="I252" i="1" s="1"/>
  <c r="J478" i="2"/>
  <c r="J252" i="1" s="1"/>
  <c r="M478" i="2"/>
  <c r="M252" i="1" s="1"/>
  <c r="N478" i="2"/>
  <c r="N252" i="1" s="1"/>
  <c r="V478" i="2"/>
  <c r="V252" i="1" s="1"/>
  <c r="B479" i="2"/>
  <c r="AO479" i="1" s="1"/>
  <c r="AP479" i="1" s="1"/>
  <c r="B252" i="1"/>
  <c r="I479" i="2" l="1"/>
  <c r="I251" i="1" s="1"/>
  <c r="J479" i="2"/>
  <c r="J251" i="1" s="1"/>
  <c r="M479" i="2"/>
  <c r="M251" i="1" s="1"/>
  <c r="N479" i="2"/>
  <c r="N251" i="1" s="1"/>
  <c r="V479" i="2"/>
  <c r="V251" i="1" s="1"/>
  <c r="B480" i="2"/>
  <c r="AO480" i="1" s="1"/>
  <c r="AP480" i="1" s="1"/>
  <c r="B251" i="1"/>
  <c r="I480" i="2" l="1"/>
  <c r="I250" i="1" s="1"/>
  <c r="J480" i="2"/>
  <c r="J250" i="1" s="1"/>
  <c r="M480" i="2"/>
  <c r="M250" i="1" s="1"/>
  <c r="N480" i="2"/>
  <c r="N250" i="1" s="1"/>
  <c r="V480" i="2"/>
  <c r="V250" i="1" s="1"/>
  <c r="B483" i="2"/>
  <c r="AO483" i="1" s="1"/>
  <c r="AP483" i="1" s="1"/>
  <c r="B250" i="1"/>
  <c r="I483" i="2" l="1"/>
  <c r="I249" i="1" s="1"/>
  <c r="J483" i="2"/>
  <c r="J249" i="1" s="1"/>
  <c r="M483" i="2"/>
  <c r="M249" i="1" s="1"/>
  <c r="N483" i="2"/>
  <c r="N249" i="1" s="1"/>
  <c r="V483" i="2"/>
  <c r="V249" i="1" s="1"/>
  <c r="B484" i="2"/>
  <c r="AO484" i="1" s="1"/>
  <c r="AP484" i="1" s="1"/>
  <c r="B249" i="1"/>
  <c r="I484" i="2" l="1"/>
  <c r="I248" i="1" s="1"/>
  <c r="J484" i="2"/>
  <c r="J248" i="1" s="1"/>
  <c r="M484" i="2"/>
  <c r="M248" i="1" s="1"/>
  <c r="N484" i="2"/>
  <c r="N248" i="1" s="1"/>
  <c r="V484" i="2"/>
  <c r="V248" i="1" s="1"/>
  <c r="B485" i="2"/>
  <c r="AO485" i="1" s="1"/>
  <c r="AP485" i="1" s="1"/>
  <c r="B248" i="1"/>
  <c r="I485" i="2" l="1"/>
  <c r="I247" i="1" s="1"/>
  <c r="J485" i="2"/>
  <c r="J247" i="1" s="1"/>
  <c r="M485" i="2"/>
  <c r="M247" i="1" s="1"/>
  <c r="N485" i="2"/>
  <c r="N247" i="1" s="1"/>
  <c r="V485" i="2"/>
  <c r="V247" i="1" s="1"/>
  <c r="B486" i="2"/>
  <c r="AO486" i="1" s="1"/>
  <c r="AP486" i="1" s="1"/>
  <c r="B247" i="1"/>
  <c r="I486" i="2" l="1"/>
  <c r="I246" i="1" s="1"/>
  <c r="J486" i="2"/>
  <c r="J246" i="1" s="1"/>
  <c r="M486" i="2"/>
  <c r="M246" i="1" s="1"/>
  <c r="N486" i="2"/>
  <c r="N246" i="1" s="1"/>
  <c r="V486" i="2"/>
  <c r="V246" i="1" s="1"/>
  <c r="B487" i="2"/>
  <c r="AO487" i="1" s="1"/>
  <c r="AP487" i="1" s="1"/>
  <c r="B246" i="1"/>
  <c r="I487" i="2" l="1"/>
  <c r="I245" i="1" s="1"/>
  <c r="J487" i="2"/>
  <c r="J245" i="1" s="1"/>
  <c r="M487" i="2"/>
  <c r="M245" i="1" s="1"/>
  <c r="N487" i="2"/>
  <c r="N245" i="1" s="1"/>
  <c r="V487" i="2"/>
  <c r="V245" i="1" s="1"/>
  <c r="B490" i="2"/>
  <c r="AO490" i="1" s="1"/>
  <c r="AP490" i="1" s="1"/>
  <c r="B245" i="1"/>
  <c r="I490" i="2" l="1"/>
  <c r="I244" i="1" s="1"/>
  <c r="J490" i="2"/>
  <c r="J244" i="1" s="1"/>
  <c r="M490" i="2"/>
  <c r="M244" i="1" s="1"/>
  <c r="N490" i="2"/>
  <c r="N244" i="1" s="1"/>
  <c r="V490" i="2"/>
  <c r="V244" i="1" s="1"/>
  <c r="B491" i="2"/>
  <c r="AO491" i="1" s="1"/>
  <c r="AP491" i="1" s="1"/>
  <c r="B244" i="1"/>
  <c r="I491" i="2" l="1"/>
  <c r="I243" i="1" s="1"/>
  <c r="J491" i="2"/>
  <c r="J243" i="1" s="1"/>
  <c r="M491" i="2"/>
  <c r="M243" i="1" s="1"/>
  <c r="N491" i="2"/>
  <c r="N243" i="1" s="1"/>
  <c r="V491" i="2"/>
  <c r="V243" i="1" s="1"/>
  <c r="B492" i="2"/>
  <c r="AO492" i="1" s="1"/>
  <c r="AP492" i="1" s="1"/>
  <c r="B243" i="1"/>
  <c r="I492" i="2" l="1"/>
  <c r="I242" i="1" s="1"/>
  <c r="J492" i="2"/>
  <c r="J242" i="1" s="1"/>
  <c r="M492" i="2"/>
  <c r="M242" i="1" s="1"/>
  <c r="N492" i="2"/>
  <c r="N242" i="1" s="1"/>
  <c r="V492" i="2"/>
  <c r="V242" i="1" s="1"/>
  <c r="B493" i="2"/>
  <c r="AO493" i="1" s="1"/>
  <c r="AP493" i="1" s="1"/>
  <c r="B242" i="1"/>
  <c r="I493" i="2" l="1"/>
  <c r="I241" i="1" s="1"/>
  <c r="J493" i="2"/>
  <c r="J241" i="1" s="1"/>
  <c r="M493" i="2"/>
  <c r="M241" i="1" s="1"/>
  <c r="N493" i="2"/>
  <c r="N241" i="1" s="1"/>
  <c r="V493" i="2"/>
  <c r="V241" i="1" s="1"/>
  <c r="B494" i="2"/>
  <c r="AO494" i="1" s="1"/>
  <c r="AP494" i="1" s="1"/>
  <c r="B241" i="1"/>
  <c r="I494" i="2" l="1"/>
  <c r="I240" i="1" s="1"/>
  <c r="J494" i="2"/>
  <c r="J240" i="1" s="1"/>
  <c r="M494" i="2"/>
  <c r="M240" i="1" s="1"/>
  <c r="N494" i="2"/>
  <c r="N240" i="1" s="1"/>
  <c r="V494" i="2"/>
  <c r="V240" i="1" s="1"/>
  <c r="B497" i="2"/>
  <c r="AO497" i="1" s="1"/>
  <c r="AP497" i="1" s="1"/>
  <c r="B240" i="1"/>
  <c r="I497" i="2" l="1"/>
  <c r="I239" i="1" s="1"/>
  <c r="J497" i="2"/>
  <c r="J239" i="1" s="1"/>
  <c r="M497" i="2"/>
  <c r="M239" i="1" s="1"/>
  <c r="N497" i="2"/>
  <c r="N239" i="1" s="1"/>
  <c r="V497" i="2"/>
  <c r="V239" i="1" s="1"/>
  <c r="B498" i="2"/>
  <c r="AO498" i="1" s="1"/>
  <c r="AP498" i="1" s="1"/>
  <c r="B239" i="1"/>
  <c r="I498" i="2" l="1"/>
  <c r="I238" i="1" s="1"/>
  <c r="J498" i="2"/>
  <c r="J238" i="1" s="1"/>
  <c r="M498" i="2"/>
  <c r="M238" i="1" s="1"/>
  <c r="N498" i="2"/>
  <c r="N238" i="1" s="1"/>
  <c r="V498" i="2"/>
  <c r="V238" i="1" s="1"/>
  <c r="B499" i="2"/>
  <c r="AO499" i="1" s="1"/>
  <c r="AP499" i="1" s="1"/>
  <c r="B238" i="1"/>
  <c r="I499" i="2" l="1"/>
  <c r="I237" i="1" s="1"/>
  <c r="J499" i="2"/>
  <c r="J237" i="1" s="1"/>
  <c r="M499" i="2"/>
  <c r="M237" i="1" s="1"/>
  <c r="N499" i="2"/>
  <c r="N237" i="1" s="1"/>
  <c r="V499" i="2"/>
  <c r="V237" i="1" s="1"/>
  <c r="B500" i="2"/>
  <c r="AO500" i="1" s="1"/>
  <c r="AP500" i="1" s="1"/>
  <c r="B237" i="1"/>
  <c r="I500" i="2" l="1"/>
  <c r="I236" i="1" s="1"/>
  <c r="J500" i="2"/>
  <c r="J236" i="1" s="1"/>
  <c r="M500" i="2"/>
  <c r="M236" i="1" s="1"/>
  <c r="N500" i="2"/>
  <c r="N236" i="1" s="1"/>
  <c r="V500" i="2"/>
  <c r="V236" i="1" s="1"/>
  <c r="B501" i="2"/>
  <c r="AO501" i="1" s="1"/>
  <c r="AP501" i="1" s="1"/>
  <c r="B236" i="1"/>
  <c r="I501" i="2" l="1"/>
  <c r="I235" i="1" s="1"/>
  <c r="J501" i="2"/>
  <c r="J235" i="1" s="1"/>
  <c r="M501" i="2"/>
  <c r="M235" i="1" s="1"/>
  <c r="N501" i="2"/>
  <c r="N235" i="1" s="1"/>
  <c r="V501" i="2"/>
  <c r="V235" i="1" s="1"/>
  <c r="B504" i="2"/>
  <c r="AO504" i="1" s="1"/>
  <c r="AP504" i="1" s="1"/>
  <c r="B235" i="1"/>
  <c r="I504" i="2" l="1"/>
  <c r="I234" i="1" s="1"/>
  <c r="J504" i="2"/>
  <c r="J234" i="1" s="1"/>
  <c r="M504" i="2"/>
  <c r="M234" i="1" s="1"/>
  <c r="N504" i="2"/>
  <c r="N234" i="1" s="1"/>
  <c r="V504" i="2"/>
  <c r="V234" i="1" s="1"/>
  <c r="B505" i="2"/>
  <c r="AO505" i="1" s="1"/>
  <c r="AP505" i="1" s="1"/>
  <c r="B234" i="1"/>
  <c r="I505" i="2" l="1"/>
  <c r="I233" i="1" s="1"/>
  <c r="J505" i="2"/>
  <c r="J233" i="1" s="1"/>
  <c r="M505" i="2"/>
  <c r="M233" i="1" s="1"/>
  <c r="N505" i="2"/>
  <c r="N233" i="1" s="1"/>
  <c r="V505" i="2"/>
  <c r="V233" i="1" s="1"/>
  <c r="B506" i="2"/>
  <c r="AO506" i="1" s="1"/>
  <c r="AP506" i="1" s="1"/>
  <c r="B233" i="1"/>
  <c r="I506" i="2" l="1"/>
  <c r="I232" i="1" s="1"/>
  <c r="J506" i="2"/>
  <c r="J232" i="1" s="1"/>
  <c r="M506" i="2"/>
  <c r="M232" i="1" s="1"/>
  <c r="N506" i="2"/>
  <c r="N232" i="1" s="1"/>
  <c r="V506" i="2"/>
  <c r="V232" i="1" s="1"/>
  <c r="B507" i="2"/>
  <c r="AO507" i="1" s="1"/>
  <c r="AP507" i="1" s="1"/>
  <c r="B232" i="1"/>
  <c r="I507" i="2" l="1"/>
  <c r="I231" i="1" s="1"/>
  <c r="J507" i="2"/>
  <c r="J231" i="1" s="1"/>
  <c r="M507" i="2"/>
  <c r="M231" i="1" s="1"/>
  <c r="N507" i="2"/>
  <c r="N231" i="1" s="1"/>
  <c r="V507" i="2"/>
  <c r="V231" i="1" s="1"/>
  <c r="B508" i="2"/>
  <c r="AO508" i="1" s="1"/>
  <c r="AP508" i="1" s="1"/>
  <c r="B231" i="1"/>
  <c r="I508" i="2" l="1"/>
  <c r="I230" i="1" s="1"/>
  <c r="J508" i="2"/>
  <c r="J230" i="1" s="1"/>
  <c r="M508" i="2"/>
  <c r="M230" i="1" s="1"/>
  <c r="N508" i="2"/>
  <c r="N230" i="1" s="1"/>
  <c r="V508" i="2"/>
  <c r="V230" i="1" s="1"/>
  <c r="B511" i="2"/>
  <c r="AO511" i="1" s="1"/>
  <c r="AP511" i="1" s="1"/>
  <c r="B230" i="1"/>
  <c r="I511" i="2" l="1"/>
  <c r="I229" i="1" s="1"/>
  <c r="J511" i="2"/>
  <c r="J229" i="1" s="1"/>
  <c r="M511" i="2"/>
  <c r="M229" i="1" s="1"/>
  <c r="N511" i="2"/>
  <c r="N229" i="1" s="1"/>
  <c r="V511" i="2"/>
  <c r="V229" i="1" s="1"/>
  <c r="B512" i="2"/>
  <c r="AO512" i="1" s="1"/>
  <c r="AP512" i="1" s="1"/>
  <c r="B229" i="1"/>
  <c r="I512" i="2" l="1"/>
  <c r="I228" i="1" s="1"/>
  <c r="J512" i="2"/>
  <c r="J228" i="1" s="1"/>
  <c r="M512" i="2"/>
  <c r="M228" i="1" s="1"/>
  <c r="N512" i="2"/>
  <c r="N228" i="1" s="1"/>
  <c r="V512" i="2"/>
  <c r="V228" i="1" s="1"/>
  <c r="B513" i="2"/>
  <c r="AO513" i="1" s="1"/>
  <c r="AP513" i="1" s="1"/>
  <c r="B228" i="1"/>
  <c r="I513" i="2" l="1"/>
  <c r="I227" i="1" s="1"/>
  <c r="J513" i="2"/>
  <c r="J227" i="1" s="1"/>
  <c r="M513" i="2"/>
  <c r="M227" i="1" s="1"/>
  <c r="N513" i="2"/>
  <c r="N227" i="1" s="1"/>
  <c r="V513" i="2"/>
  <c r="V227" i="1" s="1"/>
  <c r="B514" i="2"/>
  <c r="AO514" i="1" s="1"/>
  <c r="AP514" i="1" s="1"/>
  <c r="B227" i="1"/>
  <c r="I514" i="2" l="1"/>
  <c r="I226" i="1" s="1"/>
  <c r="J514" i="2"/>
  <c r="J226" i="1" s="1"/>
  <c r="M514" i="2"/>
  <c r="M226" i="1" s="1"/>
  <c r="N514" i="2"/>
  <c r="N226" i="1" s="1"/>
  <c r="V514" i="2"/>
  <c r="V226" i="1" s="1"/>
  <c r="B515" i="2"/>
  <c r="AO515" i="1" s="1"/>
  <c r="AP515" i="1" s="1"/>
  <c r="B226" i="1"/>
  <c r="I515" i="2" l="1"/>
  <c r="I225" i="1" s="1"/>
  <c r="J515" i="2"/>
  <c r="J225" i="1" s="1"/>
  <c r="M515" i="2"/>
  <c r="M225" i="1" s="1"/>
  <c r="N515" i="2"/>
  <c r="N225" i="1" s="1"/>
  <c r="V515" i="2"/>
  <c r="V225" i="1" s="1"/>
  <c r="B518" i="2"/>
  <c r="AO518" i="1" s="1"/>
  <c r="AP518" i="1" s="1"/>
  <c r="B225" i="1"/>
  <c r="I518" i="2" l="1"/>
  <c r="I224" i="1" s="1"/>
  <c r="J518" i="2"/>
  <c r="J224" i="1" s="1"/>
  <c r="M518" i="2"/>
  <c r="M224" i="1" s="1"/>
  <c r="N518" i="2"/>
  <c r="N224" i="1" s="1"/>
  <c r="V518" i="2"/>
  <c r="V224" i="1" s="1"/>
  <c r="B519" i="2"/>
  <c r="AO519" i="1" s="1"/>
  <c r="AP519" i="1" s="1"/>
  <c r="B224" i="1"/>
  <c r="I519" i="2" l="1"/>
  <c r="I223" i="1" s="1"/>
  <c r="J519" i="2"/>
  <c r="J223" i="1" s="1"/>
  <c r="M519" i="2"/>
  <c r="M223" i="1" s="1"/>
  <c r="N519" i="2"/>
  <c r="N223" i="1" s="1"/>
  <c r="V519" i="2"/>
  <c r="V223" i="1" s="1"/>
  <c r="B520" i="2"/>
  <c r="AO520" i="1" s="1"/>
  <c r="AP520" i="1" s="1"/>
  <c r="B223" i="1"/>
  <c r="I520" i="2" l="1"/>
  <c r="I222" i="1" s="1"/>
  <c r="J520" i="2"/>
  <c r="J222" i="1" s="1"/>
  <c r="M520" i="2"/>
  <c r="M222" i="1" s="1"/>
  <c r="N520" i="2"/>
  <c r="N222" i="1" s="1"/>
  <c r="V520" i="2"/>
  <c r="V222" i="1" s="1"/>
  <c r="B521" i="2"/>
  <c r="AO521" i="1" s="1"/>
  <c r="AP521" i="1" s="1"/>
  <c r="B222" i="1"/>
  <c r="I521" i="2" l="1"/>
  <c r="I221" i="1" s="1"/>
  <c r="J521" i="2"/>
  <c r="J221" i="1" s="1"/>
  <c r="M521" i="2"/>
  <c r="M221" i="1" s="1"/>
  <c r="N521" i="2"/>
  <c r="N221" i="1" s="1"/>
  <c r="V521" i="2"/>
  <c r="V221" i="1" s="1"/>
  <c r="B522" i="2"/>
  <c r="AO522" i="1" s="1"/>
  <c r="AP522" i="1" s="1"/>
  <c r="B221" i="1"/>
  <c r="I522" i="2" l="1"/>
  <c r="I220" i="1" s="1"/>
  <c r="J522" i="2"/>
  <c r="J220" i="1" s="1"/>
  <c r="M522" i="2"/>
  <c r="M220" i="1" s="1"/>
  <c r="N522" i="2"/>
  <c r="N220" i="1" s="1"/>
  <c r="V522" i="2"/>
  <c r="V220" i="1" s="1"/>
  <c r="B525" i="2"/>
  <c r="AO525" i="1" s="1"/>
  <c r="AP525" i="1" s="1"/>
  <c r="B220" i="1"/>
  <c r="I525" i="2" l="1"/>
  <c r="I219" i="1" s="1"/>
  <c r="J525" i="2"/>
  <c r="J219" i="1" s="1"/>
  <c r="M525" i="2"/>
  <c r="M219" i="1" s="1"/>
  <c r="N525" i="2"/>
  <c r="N219" i="1" s="1"/>
  <c r="V525" i="2"/>
  <c r="V219" i="1" s="1"/>
  <c r="B526" i="2"/>
  <c r="AO526" i="1" s="1"/>
  <c r="AP526" i="1" s="1"/>
  <c r="B219" i="1"/>
  <c r="I526" i="2" l="1"/>
  <c r="I218" i="1" s="1"/>
  <c r="J526" i="2"/>
  <c r="J218" i="1" s="1"/>
  <c r="M526" i="2"/>
  <c r="M218" i="1" s="1"/>
  <c r="N526" i="2"/>
  <c r="N218" i="1" s="1"/>
  <c r="V526" i="2"/>
  <c r="V218" i="1" s="1"/>
  <c r="B527" i="2"/>
  <c r="AO527" i="1" s="1"/>
  <c r="AP527" i="1" s="1"/>
  <c r="B218" i="1"/>
  <c r="I527" i="2" l="1"/>
  <c r="I217" i="1" s="1"/>
  <c r="J527" i="2"/>
  <c r="J217" i="1" s="1"/>
  <c r="M527" i="2"/>
  <c r="M217" i="1" s="1"/>
  <c r="N527" i="2"/>
  <c r="N217" i="1" s="1"/>
  <c r="V527" i="2"/>
  <c r="V217" i="1" s="1"/>
  <c r="B528" i="2"/>
  <c r="AO528" i="1" s="1"/>
  <c r="AP528" i="1" s="1"/>
  <c r="B217" i="1"/>
  <c r="I528" i="2" l="1"/>
  <c r="I216" i="1" s="1"/>
  <c r="J528" i="2"/>
  <c r="J216" i="1" s="1"/>
  <c r="M528" i="2"/>
  <c r="M216" i="1" s="1"/>
  <c r="N528" i="2"/>
  <c r="N216" i="1" s="1"/>
  <c r="V528" i="2"/>
  <c r="V216" i="1" s="1"/>
  <c r="B529" i="2"/>
  <c r="AO529" i="1" s="1"/>
  <c r="AP529" i="1" s="1"/>
  <c r="B216" i="1"/>
  <c r="I529" i="2" l="1"/>
  <c r="I215" i="1" s="1"/>
  <c r="J529" i="2"/>
  <c r="J215" i="1" s="1"/>
  <c r="M529" i="2"/>
  <c r="M215" i="1" s="1"/>
  <c r="N529" i="2"/>
  <c r="N215" i="1" s="1"/>
  <c r="V529" i="2"/>
  <c r="V215" i="1" s="1"/>
  <c r="B532" i="2"/>
  <c r="AO532" i="1" s="1"/>
  <c r="AP532" i="1" s="1"/>
  <c r="B215" i="1"/>
  <c r="I532" i="2" l="1"/>
  <c r="I214" i="1" s="1"/>
  <c r="J532" i="2"/>
  <c r="J214" i="1" s="1"/>
  <c r="M532" i="2"/>
  <c r="M214" i="1" s="1"/>
  <c r="N532" i="2"/>
  <c r="N214" i="1" s="1"/>
  <c r="V532" i="2"/>
  <c r="V214" i="1" s="1"/>
  <c r="B533" i="2"/>
  <c r="AO533" i="1" s="1"/>
  <c r="AP533" i="1" s="1"/>
  <c r="B214" i="1"/>
  <c r="I533" i="2" l="1"/>
  <c r="I213" i="1" s="1"/>
  <c r="J533" i="2"/>
  <c r="J213" i="1" s="1"/>
  <c r="M533" i="2"/>
  <c r="M213" i="1" s="1"/>
  <c r="N533" i="2"/>
  <c r="N213" i="1" s="1"/>
  <c r="V533" i="2"/>
  <c r="V213" i="1" s="1"/>
  <c r="B534" i="2"/>
  <c r="AO534" i="1" s="1"/>
  <c r="AP534" i="1" s="1"/>
  <c r="B213" i="1"/>
  <c r="I534" i="2" l="1"/>
  <c r="I212" i="1" s="1"/>
  <c r="J534" i="2"/>
  <c r="J212" i="1" s="1"/>
  <c r="M534" i="2"/>
  <c r="M212" i="1" s="1"/>
  <c r="N534" i="2"/>
  <c r="N212" i="1" s="1"/>
  <c r="V534" i="2"/>
  <c r="V212" i="1" s="1"/>
  <c r="B535" i="2"/>
  <c r="AO535" i="1" s="1"/>
  <c r="AP535" i="1" s="1"/>
  <c r="B212" i="1"/>
  <c r="I535" i="2" l="1"/>
  <c r="I211" i="1" s="1"/>
  <c r="J535" i="2"/>
  <c r="J211" i="1" s="1"/>
  <c r="M535" i="2"/>
  <c r="M211" i="1" s="1"/>
  <c r="N535" i="2"/>
  <c r="N211" i="1" s="1"/>
  <c r="V535" i="2"/>
  <c r="V211" i="1" s="1"/>
  <c r="B539" i="2"/>
  <c r="AO539" i="1" s="1"/>
  <c r="AP539" i="1" s="1"/>
  <c r="B211" i="1"/>
  <c r="I539" i="2" l="1"/>
  <c r="I210" i="1" s="1"/>
  <c r="J539" i="2"/>
  <c r="J210" i="1" s="1"/>
  <c r="M539" i="2"/>
  <c r="M210" i="1" s="1"/>
  <c r="N539" i="2"/>
  <c r="N210" i="1" s="1"/>
  <c r="V539" i="2"/>
  <c r="V210" i="1" s="1"/>
  <c r="B540" i="2"/>
  <c r="AO540" i="1" s="1"/>
  <c r="AP540" i="1" s="1"/>
  <c r="B210" i="1"/>
  <c r="I540" i="2" l="1"/>
  <c r="I209" i="1" s="1"/>
  <c r="J540" i="2"/>
  <c r="J209" i="1" s="1"/>
  <c r="M540" i="2"/>
  <c r="M209" i="1" s="1"/>
  <c r="N540" i="2"/>
  <c r="N209" i="1" s="1"/>
  <c r="V540" i="2"/>
  <c r="V209" i="1" s="1"/>
  <c r="B541" i="2"/>
  <c r="AO541" i="1" s="1"/>
  <c r="AP541" i="1" s="1"/>
  <c r="B209" i="1"/>
  <c r="I541" i="2" l="1"/>
  <c r="I208" i="1" s="1"/>
  <c r="J541" i="2"/>
  <c r="J208" i="1" s="1"/>
  <c r="M541" i="2"/>
  <c r="M208" i="1" s="1"/>
  <c r="N541" i="2"/>
  <c r="N208" i="1" s="1"/>
  <c r="V541" i="2"/>
  <c r="V208" i="1" s="1"/>
  <c r="B542" i="2"/>
  <c r="AO542" i="1" s="1"/>
  <c r="AP542" i="1" s="1"/>
  <c r="B208" i="1"/>
  <c r="I542" i="2" l="1"/>
  <c r="I207" i="1" s="1"/>
  <c r="J542" i="2"/>
  <c r="J207" i="1" s="1"/>
  <c r="M542" i="2"/>
  <c r="M207" i="1" s="1"/>
  <c r="N542" i="2"/>
  <c r="N207" i="1" s="1"/>
  <c r="V542" i="2"/>
  <c r="V207" i="1" s="1"/>
  <c r="B543" i="2"/>
  <c r="AO543" i="1" s="1"/>
  <c r="AP543" i="1" s="1"/>
  <c r="B207" i="1"/>
  <c r="I543" i="2" l="1"/>
  <c r="I206" i="1" s="1"/>
  <c r="J543" i="2"/>
  <c r="J206" i="1" s="1"/>
  <c r="M543" i="2"/>
  <c r="M206" i="1" s="1"/>
  <c r="N543" i="2"/>
  <c r="N206" i="1" s="1"/>
  <c r="V543" i="2"/>
  <c r="V206" i="1" s="1"/>
  <c r="B546" i="2"/>
  <c r="AO546" i="1" s="1"/>
  <c r="AP546" i="1" s="1"/>
  <c r="B206" i="1"/>
  <c r="I546" i="2" l="1"/>
  <c r="I205" i="1" s="1"/>
  <c r="J546" i="2"/>
  <c r="J205" i="1" s="1"/>
  <c r="M546" i="2"/>
  <c r="M205" i="1" s="1"/>
  <c r="N546" i="2"/>
  <c r="N205" i="1" s="1"/>
  <c r="V546" i="2"/>
  <c r="V205" i="1" s="1"/>
  <c r="B547" i="2"/>
  <c r="AO547" i="1" s="1"/>
  <c r="AP547" i="1" s="1"/>
  <c r="B205" i="1"/>
  <c r="I547" i="2" l="1"/>
  <c r="I204" i="1" s="1"/>
  <c r="J547" i="2"/>
  <c r="J204" i="1" s="1"/>
  <c r="M547" i="2"/>
  <c r="M204" i="1" s="1"/>
  <c r="N547" i="2"/>
  <c r="N204" i="1" s="1"/>
  <c r="V547" i="2"/>
  <c r="V204" i="1" s="1"/>
  <c r="B548" i="2"/>
  <c r="AO548" i="1" s="1"/>
  <c r="AP548" i="1" s="1"/>
  <c r="B204" i="1"/>
  <c r="I548" i="2" l="1"/>
  <c r="I203" i="1" s="1"/>
  <c r="J548" i="2"/>
  <c r="J203" i="1" s="1"/>
  <c r="M548" i="2"/>
  <c r="M203" i="1" s="1"/>
  <c r="N548" i="2"/>
  <c r="N203" i="1" s="1"/>
  <c r="V548" i="2"/>
  <c r="V203" i="1" s="1"/>
  <c r="B549" i="2"/>
  <c r="AO549" i="1" s="1"/>
  <c r="AP549" i="1" s="1"/>
  <c r="B203" i="1"/>
  <c r="I549" i="2" l="1"/>
  <c r="I202" i="1" s="1"/>
  <c r="J549" i="2"/>
  <c r="J202" i="1" s="1"/>
  <c r="M549" i="2"/>
  <c r="M202" i="1" s="1"/>
  <c r="N549" i="2"/>
  <c r="N202" i="1" s="1"/>
  <c r="V549" i="2"/>
  <c r="V202" i="1" s="1"/>
  <c r="B550" i="2"/>
  <c r="AO550" i="1" s="1"/>
  <c r="AP550" i="1" s="1"/>
  <c r="B202" i="1"/>
  <c r="I550" i="2" l="1"/>
  <c r="I201" i="1" s="1"/>
  <c r="J550" i="2"/>
  <c r="J201" i="1" s="1"/>
  <c r="M550" i="2"/>
  <c r="M201" i="1" s="1"/>
  <c r="N550" i="2"/>
  <c r="N201" i="1" s="1"/>
  <c r="V550" i="2"/>
  <c r="V201" i="1" s="1"/>
  <c r="B553" i="2"/>
  <c r="AO553" i="1" s="1"/>
  <c r="AP553" i="1" s="1"/>
  <c r="B201" i="1"/>
  <c r="I553" i="2" l="1"/>
  <c r="I200" i="1" s="1"/>
  <c r="J553" i="2"/>
  <c r="J200" i="1" s="1"/>
  <c r="M553" i="2"/>
  <c r="M200" i="1" s="1"/>
  <c r="N553" i="2"/>
  <c r="N200" i="1" s="1"/>
  <c r="V553" i="2"/>
  <c r="V200" i="1" s="1"/>
  <c r="B554" i="2"/>
  <c r="AO554" i="1" s="1"/>
  <c r="AP554" i="1" s="1"/>
  <c r="B200" i="1"/>
  <c r="I554" i="2" l="1"/>
  <c r="I199" i="1" s="1"/>
  <c r="J554" i="2"/>
  <c r="J199" i="1" s="1"/>
  <c r="M554" i="2"/>
  <c r="M199" i="1" s="1"/>
  <c r="N554" i="2"/>
  <c r="N199" i="1" s="1"/>
  <c r="V554" i="2"/>
  <c r="V199" i="1" s="1"/>
  <c r="B555" i="2"/>
  <c r="AO555" i="1" s="1"/>
  <c r="AP555" i="1" s="1"/>
  <c r="B199" i="1"/>
  <c r="I555" i="2" l="1"/>
  <c r="I198" i="1" s="1"/>
  <c r="J555" i="2"/>
  <c r="J198" i="1" s="1"/>
  <c r="M555" i="2"/>
  <c r="M198" i="1" s="1"/>
  <c r="N555" i="2"/>
  <c r="N198" i="1" s="1"/>
  <c r="V555" i="2"/>
  <c r="V198" i="1" s="1"/>
  <c r="B556" i="2"/>
  <c r="AO556" i="1" s="1"/>
  <c r="AP556" i="1" s="1"/>
  <c r="B198" i="1"/>
  <c r="I556" i="2" l="1"/>
  <c r="I197" i="1" s="1"/>
  <c r="J556" i="2"/>
  <c r="J197" i="1" s="1"/>
  <c r="M556" i="2"/>
  <c r="M197" i="1" s="1"/>
  <c r="N556" i="2"/>
  <c r="N197" i="1" s="1"/>
  <c r="V556" i="2"/>
  <c r="V197" i="1" s="1"/>
  <c r="B557" i="2"/>
  <c r="AO557" i="1" s="1"/>
  <c r="AP557" i="1" s="1"/>
  <c r="B197" i="1"/>
  <c r="I557" i="2" l="1"/>
  <c r="I196" i="1" s="1"/>
  <c r="J557" i="2"/>
  <c r="J196" i="1" s="1"/>
  <c r="M557" i="2"/>
  <c r="M196" i="1" s="1"/>
  <c r="N557" i="2"/>
  <c r="N196" i="1" s="1"/>
  <c r="V557" i="2"/>
  <c r="V196" i="1" s="1"/>
  <c r="B560" i="2"/>
  <c r="AO560" i="1" s="1"/>
  <c r="AP560" i="1" s="1"/>
  <c r="B196" i="1"/>
  <c r="I560" i="2" l="1"/>
  <c r="I195" i="1" s="1"/>
  <c r="J560" i="2"/>
  <c r="J195" i="1" s="1"/>
  <c r="M560" i="2"/>
  <c r="M195" i="1" s="1"/>
  <c r="N560" i="2"/>
  <c r="N195" i="1" s="1"/>
  <c r="V560" i="2"/>
  <c r="V195" i="1" s="1"/>
  <c r="B561" i="2"/>
  <c r="AO561" i="1" s="1"/>
  <c r="AP561" i="1" s="1"/>
  <c r="B195" i="1"/>
  <c r="I561" i="2" l="1"/>
  <c r="I194" i="1" s="1"/>
  <c r="J561" i="2"/>
  <c r="J194" i="1" s="1"/>
  <c r="M561" i="2"/>
  <c r="M194" i="1" s="1"/>
  <c r="N561" i="2"/>
  <c r="N194" i="1" s="1"/>
  <c r="V561" i="2"/>
  <c r="V194" i="1" s="1"/>
  <c r="B562" i="2"/>
  <c r="AO562" i="1" s="1"/>
  <c r="AP562" i="1" s="1"/>
  <c r="B194" i="1"/>
  <c r="I562" i="2" l="1"/>
  <c r="I193" i="1" s="1"/>
  <c r="J562" i="2"/>
  <c r="J193" i="1" s="1"/>
  <c r="M562" i="2"/>
  <c r="M193" i="1" s="1"/>
  <c r="N562" i="2"/>
  <c r="N193" i="1" s="1"/>
  <c r="V562" i="2"/>
  <c r="V193" i="1" s="1"/>
  <c r="B563" i="2"/>
  <c r="AO563" i="1" s="1"/>
  <c r="AP563" i="1" s="1"/>
  <c r="B193" i="1"/>
  <c r="I563" i="2" l="1"/>
  <c r="I192" i="1" s="1"/>
  <c r="J563" i="2"/>
  <c r="J192" i="1" s="1"/>
  <c r="M563" i="2"/>
  <c r="M192" i="1" s="1"/>
  <c r="N563" i="2"/>
  <c r="N192" i="1" s="1"/>
  <c r="V563" i="2"/>
  <c r="V192" i="1" s="1"/>
  <c r="B564" i="2"/>
  <c r="AO564" i="1" s="1"/>
  <c r="AP564" i="1" s="1"/>
  <c r="B192" i="1"/>
  <c r="I564" i="2" l="1"/>
  <c r="I191" i="1" s="1"/>
  <c r="J564" i="2"/>
  <c r="J191" i="1" s="1"/>
  <c r="M564" i="2"/>
  <c r="M191" i="1" s="1"/>
  <c r="N564" i="2"/>
  <c r="N191" i="1" s="1"/>
  <c r="V564" i="2"/>
  <c r="V191" i="1" s="1"/>
  <c r="B567" i="2"/>
  <c r="AO567" i="1" s="1"/>
  <c r="AP567" i="1" s="1"/>
  <c r="B191" i="1"/>
  <c r="I567" i="2" l="1"/>
  <c r="I190" i="1" s="1"/>
  <c r="J567" i="2"/>
  <c r="J190" i="1" s="1"/>
  <c r="M567" i="2"/>
  <c r="M190" i="1" s="1"/>
  <c r="N567" i="2"/>
  <c r="N190" i="1" s="1"/>
  <c r="V567" i="2"/>
  <c r="V190" i="1" s="1"/>
  <c r="B568" i="2"/>
  <c r="AO568" i="1" s="1"/>
  <c r="AP568" i="1" s="1"/>
  <c r="B190" i="1"/>
  <c r="I568" i="2" l="1"/>
  <c r="I189" i="1" s="1"/>
  <c r="J568" i="2"/>
  <c r="J189" i="1" s="1"/>
  <c r="M568" i="2"/>
  <c r="M189" i="1" s="1"/>
  <c r="N568" i="2"/>
  <c r="N189" i="1" s="1"/>
  <c r="V568" i="2"/>
  <c r="V189" i="1" s="1"/>
  <c r="B569" i="2"/>
  <c r="AO569" i="1" s="1"/>
  <c r="AP569" i="1" s="1"/>
  <c r="B189" i="1"/>
  <c r="I569" i="2" l="1"/>
  <c r="I188" i="1" s="1"/>
  <c r="J569" i="2"/>
  <c r="J188" i="1" s="1"/>
  <c r="M569" i="2"/>
  <c r="M188" i="1" s="1"/>
  <c r="N569" i="2"/>
  <c r="N188" i="1" s="1"/>
  <c r="V569" i="2"/>
  <c r="V188" i="1" s="1"/>
  <c r="B570" i="2"/>
  <c r="AO570" i="1" s="1"/>
  <c r="AP570" i="1" s="1"/>
  <c r="B188" i="1"/>
  <c r="I570" i="2" l="1"/>
  <c r="I187" i="1" s="1"/>
  <c r="J570" i="2"/>
  <c r="J187" i="1" s="1"/>
  <c r="M570" i="2"/>
  <c r="M187" i="1" s="1"/>
  <c r="N570" i="2"/>
  <c r="N187" i="1" s="1"/>
  <c r="V570" i="2"/>
  <c r="V187" i="1" s="1"/>
  <c r="B571" i="2"/>
  <c r="AO571" i="1" s="1"/>
  <c r="AP571" i="1" s="1"/>
  <c r="B187" i="1"/>
  <c r="I571" i="2" l="1"/>
  <c r="I186" i="1" s="1"/>
  <c r="J571" i="2"/>
  <c r="J186" i="1" s="1"/>
  <c r="M571" i="2"/>
  <c r="M186" i="1" s="1"/>
  <c r="N571" i="2"/>
  <c r="N186" i="1" s="1"/>
  <c r="V571" i="2"/>
  <c r="V186" i="1" s="1"/>
  <c r="B574" i="2"/>
  <c r="AO574" i="1" s="1"/>
  <c r="AP574" i="1" s="1"/>
  <c r="B186" i="1"/>
  <c r="I574" i="2" l="1"/>
  <c r="I185" i="1" s="1"/>
  <c r="J574" i="2"/>
  <c r="J185" i="1" s="1"/>
  <c r="M574" i="2"/>
  <c r="M185" i="1" s="1"/>
  <c r="N574" i="2"/>
  <c r="N185" i="1" s="1"/>
  <c r="V574" i="2"/>
  <c r="V185" i="1" s="1"/>
  <c r="B575" i="2"/>
  <c r="AO575" i="1" s="1"/>
  <c r="AP575" i="1" s="1"/>
  <c r="B185" i="1"/>
  <c r="I575" i="2" l="1"/>
  <c r="I184" i="1" s="1"/>
  <c r="J575" i="2"/>
  <c r="J184" i="1" s="1"/>
  <c r="M575" i="2"/>
  <c r="M184" i="1" s="1"/>
  <c r="N575" i="2"/>
  <c r="N184" i="1" s="1"/>
  <c r="V575" i="2"/>
  <c r="V184" i="1" s="1"/>
  <c r="B576" i="2"/>
  <c r="AO576" i="1" s="1"/>
  <c r="AP576" i="1" s="1"/>
  <c r="B184" i="1"/>
  <c r="I576" i="2" l="1"/>
  <c r="I183" i="1" s="1"/>
  <c r="J576" i="2"/>
  <c r="J183" i="1" s="1"/>
  <c r="M576" i="2"/>
  <c r="M183" i="1" s="1"/>
  <c r="N576" i="2"/>
  <c r="N183" i="1" s="1"/>
  <c r="V576" i="2"/>
  <c r="V183" i="1" s="1"/>
  <c r="B577" i="2"/>
  <c r="AO577" i="1" s="1"/>
  <c r="AP577" i="1" s="1"/>
  <c r="B183" i="1"/>
  <c r="I577" i="2" l="1"/>
  <c r="I182" i="1" s="1"/>
  <c r="J577" i="2"/>
  <c r="J182" i="1" s="1"/>
  <c r="M577" i="2"/>
  <c r="M182" i="1" s="1"/>
  <c r="N577" i="2"/>
  <c r="N182" i="1" s="1"/>
  <c r="V577" i="2"/>
  <c r="V182" i="1" s="1"/>
  <c r="B578" i="2"/>
  <c r="AO578" i="1" s="1"/>
  <c r="AP578" i="1" s="1"/>
  <c r="B182" i="1"/>
  <c r="I578" i="2" l="1"/>
  <c r="I181" i="1" s="1"/>
  <c r="J578" i="2"/>
  <c r="J181" i="1" s="1"/>
  <c r="M578" i="2"/>
  <c r="M181" i="1" s="1"/>
  <c r="N578" i="2"/>
  <c r="N181" i="1" s="1"/>
  <c r="V578" i="2"/>
  <c r="V181" i="1" s="1"/>
  <c r="B581" i="2"/>
  <c r="AO581" i="1" s="1"/>
  <c r="AP581" i="1" s="1"/>
  <c r="B181" i="1"/>
  <c r="I581" i="2" l="1"/>
  <c r="I180" i="1" s="1"/>
  <c r="J581" i="2"/>
  <c r="J180" i="1" s="1"/>
  <c r="M581" i="2"/>
  <c r="M180" i="1" s="1"/>
  <c r="N581" i="2"/>
  <c r="N180" i="1" s="1"/>
  <c r="V581" i="2"/>
  <c r="V180" i="1" s="1"/>
  <c r="B582" i="2"/>
  <c r="AO582" i="1" s="1"/>
  <c r="AP582" i="1" s="1"/>
  <c r="B180" i="1"/>
  <c r="I582" i="2" l="1"/>
  <c r="I179" i="1" s="1"/>
  <c r="J582" i="2"/>
  <c r="J179" i="1" s="1"/>
  <c r="M582" i="2"/>
  <c r="M179" i="1" s="1"/>
  <c r="N582" i="2"/>
  <c r="N179" i="1" s="1"/>
  <c r="V582" i="2"/>
  <c r="V179" i="1" s="1"/>
  <c r="B583" i="2"/>
  <c r="AO583" i="1" s="1"/>
  <c r="AP583" i="1" s="1"/>
  <c r="B179" i="1"/>
  <c r="I583" i="2" l="1"/>
  <c r="I178" i="1" s="1"/>
  <c r="J583" i="2"/>
  <c r="J178" i="1" s="1"/>
  <c r="M583" i="2"/>
  <c r="M178" i="1" s="1"/>
  <c r="N583" i="2"/>
  <c r="N178" i="1" s="1"/>
  <c r="V583" i="2"/>
  <c r="V178" i="1" s="1"/>
  <c r="B584" i="2"/>
  <c r="AO584" i="1" s="1"/>
  <c r="AP584" i="1" s="1"/>
  <c r="B178" i="1"/>
  <c r="I584" i="2" l="1"/>
  <c r="I177" i="1" s="1"/>
  <c r="J584" i="2"/>
  <c r="J177" i="1" s="1"/>
  <c r="M584" i="2"/>
  <c r="M177" i="1" s="1"/>
  <c r="N584" i="2"/>
  <c r="N177" i="1" s="1"/>
  <c r="V584" i="2"/>
  <c r="V177" i="1" s="1"/>
  <c r="B585" i="2"/>
  <c r="AO585" i="1" s="1"/>
  <c r="AP585" i="1" s="1"/>
  <c r="B177" i="1"/>
  <c r="I585" i="2" l="1"/>
  <c r="I176" i="1" s="1"/>
  <c r="J585" i="2"/>
  <c r="J176" i="1" s="1"/>
  <c r="M585" i="2"/>
  <c r="M176" i="1" s="1"/>
  <c r="N585" i="2"/>
  <c r="N176" i="1" s="1"/>
  <c r="V585" i="2"/>
  <c r="V176" i="1" s="1"/>
  <c r="B588" i="2"/>
  <c r="AO588" i="1" s="1"/>
  <c r="AP588" i="1" s="1"/>
  <c r="B176" i="1"/>
  <c r="I588" i="2" l="1"/>
  <c r="I175" i="1" s="1"/>
  <c r="J588" i="2"/>
  <c r="J175" i="1" s="1"/>
  <c r="M588" i="2"/>
  <c r="M175" i="1" s="1"/>
  <c r="N588" i="2"/>
  <c r="N175" i="1" s="1"/>
  <c r="V588" i="2"/>
  <c r="V175" i="1" s="1"/>
  <c r="B589" i="2"/>
  <c r="AO589" i="1" s="1"/>
  <c r="AP589" i="1" s="1"/>
  <c r="B175" i="1"/>
  <c r="I589" i="2" l="1"/>
  <c r="I174" i="1" s="1"/>
  <c r="J589" i="2"/>
  <c r="J174" i="1" s="1"/>
  <c r="M589" i="2"/>
  <c r="M174" i="1" s="1"/>
  <c r="N589" i="2"/>
  <c r="N174" i="1" s="1"/>
  <c r="V589" i="2"/>
  <c r="V174" i="1" s="1"/>
  <c r="B590" i="2"/>
  <c r="AO590" i="1" s="1"/>
  <c r="AP590" i="1" s="1"/>
  <c r="B174" i="1"/>
  <c r="I590" i="2" l="1"/>
  <c r="I173" i="1" s="1"/>
  <c r="J590" i="2"/>
  <c r="J173" i="1" s="1"/>
  <c r="M590" i="2"/>
  <c r="M173" i="1" s="1"/>
  <c r="N590" i="2"/>
  <c r="N173" i="1" s="1"/>
  <c r="V590" i="2"/>
  <c r="V173" i="1" s="1"/>
  <c r="B591" i="2"/>
  <c r="AO591" i="1" s="1"/>
  <c r="AP591" i="1" s="1"/>
  <c r="B173" i="1"/>
  <c r="I591" i="2" l="1"/>
  <c r="I172" i="1" s="1"/>
  <c r="J591" i="2"/>
  <c r="J172" i="1" s="1"/>
  <c r="M591" i="2"/>
  <c r="M172" i="1" s="1"/>
  <c r="N591" i="2"/>
  <c r="N172" i="1" s="1"/>
  <c r="V591" i="2"/>
  <c r="V172" i="1" s="1"/>
  <c r="B592" i="2"/>
  <c r="AO592" i="1" s="1"/>
  <c r="AP592" i="1" s="1"/>
  <c r="B172" i="1"/>
  <c r="I592" i="2" l="1"/>
  <c r="I171" i="1" s="1"/>
  <c r="J592" i="2"/>
  <c r="J171" i="1" s="1"/>
  <c r="M592" i="2"/>
  <c r="M171" i="1" s="1"/>
  <c r="N592" i="2"/>
  <c r="N171" i="1" s="1"/>
  <c r="V592" i="2"/>
  <c r="V171" i="1" s="1"/>
  <c r="B595" i="2"/>
  <c r="AO595" i="1" s="1"/>
  <c r="AP595" i="1" s="1"/>
  <c r="B171" i="1"/>
  <c r="I595" i="2" l="1"/>
  <c r="I170" i="1" s="1"/>
  <c r="J595" i="2"/>
  <c r="J170" i="1" s="1"/>
  <c r="M595" i="2"/>
  <c r="M170" i="1" s="1"/>
  <c r="N595" i="2"/>
  <c r="N170" i="1" s="1"/>
  <c r="V595" i="2"/>
  <c r="V170" i="1" s="1"/>
  <c r="B596" i="2"/>
  <c r="AO596" i="1" s="1"/>
  <c r="AP596" i="1" s="1"/>
  <c r="B170" i="1"/>
  <c r="I596" i="2" l="1"/>
  <c r="I169" i="1" s="1"/>
  <c r="J596" i="2"/>
  <c r="J169" i="1" s="1"/>
  <c r="M596" i="2"/>
  <c r="M169" i="1" s="1"/>
  <c r="N596" i="2"/>
  <c r="N169" i="1" s="1"/>
  <c r="V596" i="2"/>
  <c r="V169" i="1" s="1"/>
  <c r="B597" i="2"/>
  <c r="AO597" i="1" s="1"/>
  <c r="AP597" i="1" s="1"/>
  <c r="B169" i="1"/>
  <c r="I597" i="2" l="1"/>
  <c r="I168" i="1" s="1"/>
  <c r="J597" i="2"/>
  <c r="J168" i="1" s="1"/>
  <c r="M597" i="2"/>
  <c r="M168" i="1" s="1"/>
  <c r="N597" i="2"/>
  <c r="N168" i="1" s="1"/>
  <c r="V597" i="2"/>
  <c r="V168" i="1" s="1"/>
  <c r="B598" i="2"/>
  <c r="AO598" i="1" s="1"/>
  <c r="AP598" i="1" s="1"/>
  <c r="B168" i="1"/>
  <c r="I598" i="2" l="1"/>
  <c r="I167" i="1" s="1"/>
  <c r="J598" i="2"/>
  <c r="J167" i="1" s="1"/>
  <c r="M598" i="2"/>
  <c r="M167" i="1" s="1"/>
  <c r="N598" i="2"/>
  <c r="N167" i="1" s="1"/>
  <c r="V598" i="2"/>
  <c r="V167" i="1" s="1"/>
  <c r="B599" i="2"/>
  <c r="AO599" i="1" s="1"/>
  <c r="AP599" i="1" s="1"/>
  <c r="B167" i="1"/>
  <c r="I599" i="2" l="1"/>
  <c r="I166" i="1" s="1"/>
  <c r="J599" i="2"/>
  <c r="J166" i="1" s="1"/>
  <c r="M599" i="2"/>
  <c r="M166" i="1" s="1"/>
  <c r="N599" i="2"/>
  <c r="N166" i="1" s="1"/>
  <c r="V599" i="2"/>
  <c r="V166" i="1" s="1"/>
  <c r="B602" i="2"/>
  <c r="AO602" i="1" s="1"/>
  <c r="AP602" i="1" s="1"/>
  <c r="B166" i="1"/>
  <c r="I602" i="2" l="1"/>
  <c r="I165" i="1" s="1"/>
  <c r="J602" i="2"/>
  <c r="J165" i="1" s="1"/>
  <c r="M602" i="2"/>
  <c r="M165" i="1" s="1"/>
  <c r="N602" i="2"/>
  <c r="N165" i="1" s="1"/>
  <c r="V602" i="2"/>
  <c r="V165" i="1" s="1"/>
  <c r="B603" i="2"/>
  <c r="AO603" i="1" s="1"/>
  <c r="AP603" i="1" s="1"/>
  <c r="B165" i="1"/>
  <c r="I603" i="2" l="1"/>
  <c r="I164" i="1" s="1"/>
  <c r="J603" i="2"/>
  <c r="J164" i="1" s="1"/>
  <c r="M603" i="2"/>
  <c r="M164" i="1" s="1"/>
  <c r="N603" i="2"/>
  <c r="N164" i="1" s="1"/>
  <c r="V603" i="2"/>
  <c r="V164" i="1" s="1"/>
  <c r="B604" i="2"/>
  <c r="AO604" i="1" s="1"/>
  <c r="AP604" i="1" s="1"/>
  <c r="B164" i="1"/>
  <c r="I604" i="2" l="1"/>
  <c r="I163" i="1" s="1"/>
  <c r="J604" i="2"/>
  <c r="J163" i="1" s="1"/>
  <c r="M604" i="2"/>
  <c r="M163" i="1" s="1"/>
  <c r="N604" i="2"/>
  <c r="N163" i="1" s="1"/>
  <c r="V604" i="2"/>
  <c r="V163" i="1" s="1"/>
  <c r="B605" i="2"/>
  <c r="AO605" i="1" s="1"/>
  <c r="AP605" i="1" s="1"/>
  <c r="B163" i="1"/>
  <c r="I605" i="2" l="1"/>
  <c r="I162" i="1" s="1"/>
  <c r="J605" i="2"/>
  <c r="J162" i="1" s="1"/>
  <c r="M605" i="2"/>
  <c r="M162" i="1" s="1"/>
  <c r="N605" i="2"/>
  <c r="N162" i="1" s="1"/>
  <c r="V605" i="2"/>
  <c r="V162" i="1" s="1"/>
  <c r="B606" i="2"/>
  <c r="AO606" i="1" s="1"/>
  <c r="AP606" i="1" s="1"/>
  <c r="B162" i="1"/>
  <c r="I606" i="2" l="1"/>
  <c r="I161" i="1" s="1"/>
  <c r="J606" i="2"/>
  <c r="J161" i="1" s="1"/>
  <c r="M606" i="2"/>
  <c r="M161" i="1" s="1"/>
  <c r="N606" i="2"/>
  <c r="N161" i="1" s="1"/>
  <c r="V606" i="2"/>
  <c r="V161" i="1" s="1"/>
  <c r="B609" i="2"/>
  <c r="AO609" i="1" s="1"/>
  <c r="AP609" i="1" s="1"/>
  <c r="B161" i="1"/>
  <c r="I609" i="2" l="1"/>
  <c r="I160" i="1" s="1"/>
  <c r="J609" i="2"/>
  <c r="J160" i="1" s="1"/>
  <c r="M609" i="2"/>
  <c r="M160" i="1" s="1"/>
  <c r="N609" i="2"/>
  <c r="N160" i="1" s="1"/>
  <c r="V609" i="2"/>
  <c r="V160" i="1" s="1"/>
  <c r="B610" i="2"/>
  <c r="AO610" i="1" s="1"/>
  <c r="AP610" i="1" s="1"/>
  <c r="B160" i="1"/>
  <c r="I610" i="2" l="1"/>
  <c r="I159" i="1" s="1"/>
  <c r="J610" i="2"/>
  <c r="J159" i="1" s="1"/>
  <c r="M610" i="2"/>
  <c r="M159" i="1" s="1"/>
  <c r="N610" i="2"/>
  <c r="N159" i="1" s="1"/>
  <c r="V610" i="2"/>
  <c r="V159" i="1" s="1"/>
  <c r="B611" i="2"/>
  <c r="AO611" i="1" s="1"/>
  <c r="AP611" i="1" s="1"/>
  <c r="B159" i="1"/>
  <c r="I611" i="2" l="1"/>
  <c r="I158" i="1" s="1"/>
  <c r="J611" i="2"/>
  <c r="J158" i="1" s="1"/>
  <c r="M611" i="2"/>
  <c r="M158" i="1" s="1"/>
  <c r="N611" i="2"/>
  <c r="N158" i="1" s="1"/>
  <c r="V611" i="2"/>
  <c r="V158" i="1" s="1"/>
  <c r="B612" i="2"/>
  <c r="AO612" i="1" s="1"/>
  <c r="AP612" i="1" s="1"/>
  <c r="B158" i="1"/>
  <c r="I612" i="2" l="1"/>
  <c r="I157" i="1" s="1"/>
  <c r="J612" i="2"/>
  <c r="J157" i="1" s="1"/>
  <c r="M612" i="2"/>
  <c r="M157" i="1" s="1"/>
  <c r="N612" i="2"/>
  <c r="N157" i="1" s="1"/>
  <c r="V612" i="2"/>
  <c r="V157" i="1" s="1"/>
  <c r="B613" i="2"/>
  <c r="AO613" i="1" s="1"/>
  <c r="AP613" i="1" s="1"/>
  <c r="B157" i="1"/>
  <c r="I613" i="2" l="1"/>
  <c r="I156" i="1" s="1"/>
  <c r="J613" i="2"/>
  <c r="J156" i="1" s="1"/>
  <c r="M613" i="2"/>
  <c r="M156" i="1" s="1"/>
  <c r="N613" i="2"/>
  <c r="N156" i="1" s="1"/>
  <c r="V613" i="2"/>
  <c r="V156" i="1" s="1"/>
  <c r="B616" i="2"/>
  <c r="AO616" i="1" s="1"/>
  <c r="AP616" i="1" s="1"/>
  <c r="B156" i="1"/>
  <c r="I616" i="2" l="1"/>
  <c r="I155" i="1" s="1"/>
  <c r="J616" i="2"/>
  <c r="J155" i="1" s="1"/>
  <c r="M616" i="2"/>
  <c r="M155" i="1" s="1"/>
  <c r="N616" i="2"/>
  <c r="N155" i="1" s="1"/>
  <c r="V616" i="2"/>
  <c r="V155" i="1" s="1"/>
  <c r="B617" i="2"/>
  <c r="AO617" i="1" s="1"/>
  <c r="AP617" i="1" s="1"/>
  <c r="B155" i="1"/>
  <c r="I617" i="2" l="1"/>
  <c r="I154" i="1" s="1"/>
  <c r="J617" i="2"/>
  <c r="J154" i="1" s="1"/>
  <c r="M617" i="2"/>
  <c r="M154" i="1" s="1"/>
  <c r="N617" i="2"/>
  <c r="N154" i="1" s="1"/>
  <c r="V617" i="2"/>
  <c r="V154" i="1" s="1"/>
  <c r="B618" i="2"/>
  <c r="AO618" i="1" s="1"/>
  <c r="AP618" i="1" s="1"/>
  <c r="B154" i="1"/>
  <c r="I618" i="2" l="1"/>
  <c r="I153" i="1" s="1"/>
  <c r="J618" i="2"/>
  <c r="J153" i="1" s="1"/>
  <c r="M618" i="2"/>
  <c r="M153" i="1" s="1"/>
  <c r="N618" i="2"/>
  <c r="N153" i="1" s="1"/>
  <c r="V618" i="2"/>
  <c r="V153" i="1" s="1"/>
  <c r="B619" i="2"/>
  <c r="AO619" i="1" s="1"/>
  <c r="AP619" i="1" s="1"/>
  <c r="B153" i="1"/>
  <c r="I619" i="2" l="1"/>
  <c r="I152" i="1" s="1"/>
  <c r="J619" i="2"/>
  <c r="J152" i="1" s="1"/>
  <c r="M619" i="2"/>
  <c r="M152" i="1" s="1"/>
  <c r="N619" i="2"/>
  <c r="N152" i="1" s="1"/>
  <c r="V619" i="2"/>
  <c r="V152" i="1" s="1"/>
  <c r="B620" i="2"/>
  <c r="AO620" i="1" s="1"/>
  <c r="AP620" i="1" s="1"/>
  <c r="B152" i="1"/>
  <c r="I620" i="2" l="1"/>
  <c r="I151" i="1" s="1"/>
  <c r="J620" i="2"/>
  <c r="J151" i="1" s="1"/>
  <c r="M620" i="2"/>
  <c r="M151" i="1" s="1"/>
  <c r="N620" i="2"/>
  <c r="N151" i="1" s="1"/>
  <c r="V620" i="2"/>
  <c r="V151" i="1" s="1"/>
  <c r="B623" i="2"/>
  <c r="AO623" i="1" s="1"/>
  <c r="AP623" i="1" s="1"/>
  <c r="B151" i="1"/>
  <c r="I623" i="2" l="1"/>
  <c r="I150" i="1" s="1"/>
  <c r="J623" i="2"/>
  <c r="J150" i="1" s="1"/>
  <c r="M623" i="2"/>
  <c r="M150" i="1" s="1"/>
  <c r="N623" i="2"/>
  <c r="N150" i="1" s="1"/>
  <c r="V623" i="2"/>
  <c r="V150" i="1" s="1"/>
  <c r="B624" i="2"/>
  <c r="AO624" i="1" s="1"/>
  <c r="AP624" i="1" s="1"/>
  <c r="B150" i="1"/>
  <c r="I624" i="2" l="1"/>
  <c r="I149" i="1" s="1"/>
  <c r="J624" i="2"/>
  <c r="J149" i="1" s="1"/>
  <c r="M624" i="2"/>
  <c r="M149" i="1" s="1"/>
  <c r="N624" i="2"/>
  <c r="N149" i="1" s="1"/>
  <c r="V624" i="2"/>
  <c r="V149" i="1" s="1"/>
  <c r="B625" i="2"/>
  <c r="AO625" i="1" s="1"/>
  <c r="AP625" i="1" s="1"/>
  <c r="B149" i="1"/>
  <c r="I625" i="2" l="1"/>
  <c r="I148" i="1" s="1"/>
  <c r="J625" i="2"/>
  <c r="J148" i="1" s="1"/>
  <c r="M625" i="2"/>
  <c r="M148" i="1" s="1"/>
  <c r="N625" i="2"/>
  <c r="N148" i="1" s="1"/>
  <c r="V625" i="2"/>
  <c r="V148" i="1" s="1"/>
  <c r="B626" i="2"/>
  <c r="AO626" i="1" s="1"/>
  <c r="AP626" i="1" s="1"/>
  <c r="B148" i="1"/>
  <c r="I626" i="2" l="1"/>
  <c r="I147" i="1" s="1"/>
  <c r="J626" i="2"/>
  <c r="J147" i="1" s="1"/>
  <c r="M626" i="2"/>
  <c r="M147" i="1" s="1"/>
  <c r="N626" i="2"/>
  <c r="N147" i="1" s="1"/>
  <c r="V626" i="2"/>
  <c r="V147" i="1" s="1"/>
  <c r="B627" i="2"/>
  <c r="AO627" i="1" s="1"/>
  <c r="AP627" i="1" s="1"/>
  <c r="B147" i="1"/>
  <c r="I627" i="2" l="1"/>
  <c r="I146" i="1" s="1"/>
  <c r="J627" i="2"/>
  <c r="J146" i="1" s="1"/>
  <c r="M627" i="2"/>
  <c r="M146" i="1" s="1"/>
  <c r="N627" i="2"/>
  <c r="N146" i="1" s="1"/>
  <c r="V627" i="2"/>
  <c r="V146" i="1" s="1"/>
  <c r="B630" i="2"/>
  <c r="AO630" i="1" s="1"/>
  <c r="AP630" i="1" s="1"/>
  <c r="B146" i="1"/>
  <c r="I630" i="2" l="1"/>
  <c r="I145" i="1" s="1"/>
  <c r="J630" i="2"/>
  <c r="J145" i="1" s="1"/>
  <c r="M630" i="2"/>
  <c r="M145" i="1" s="1"/>
  <c r="N630" i="2"/>
  <c r="N145" i="1" s="1"/>
  <c r="V630" i="2"/>
  <c r="V145" i="1" s="1"/>
  <c r="B631" i="2"/>
  <c r="AO631" i="1" s="1"/>
  <c r="AP631" i="1" s="1"/>
  <c r="B145" i="1"/>
  <c r="I631" i="2" l="1"/>
  <c r="I144" i="1" s="1"/>
  <c r="J631" i="2"/>
  <c r="J144" i="1" s="1"/>
  <c r="M631" i="2"/>
  <c r="M144" i="1" s="1"/>
  <c r="N631" i="2"/>
  <c r="N144" i="1" s="1"/>
  <c r="V631" i="2"/>
  <c r="V144" i="1" s="1"/>
  <c r="B632" i="2"/>
  <c r="AO632" i="1" s="1"/>
  <c r="AP632" i="1" s="1"/>
  <c r="B144" i="1"/>
  <c r="I632" i="2" l="1"/>
  <c r="I143" i="1" s="1"/>
  <c r="J632" i="2"/>
  <c r="J143" i="1" s="1"/>
  <c r="M632" i="2"/>
  <c r="M143" i="1" s="1"/>
  <c r="N632" i="2"/>
  <c r="N143" i="1" s="1"/>
  <c r="V632" i="2"/>
  <c r="V143" i="1" s="1"/>
  <c r="B633" i="2"/>
  <c r="AO633" i="1" s="1"/>
  <c r="AP633" i="1" s="1"/>
  <c r="B143" i="1"/>
  <c r="I633" i="2" l="1"/>
  <c r="I142" i="1" s="1"/>
  <c r="J633" i="2"/>
  <c r="J142" i="1" s="1"/>
  <c r="M633" i="2"/>
  <c r="M142" i="1" s="1"/>
  <c r="N633" i="2"/>
  <c r="N142" i="1" s="1"/>
  <c r="V633" i="2"/>
  <c r="V142" i="1" s="1"/>
  <c r="B634" i="2"/>
  <c r="AO634" i="1" s="1"/>
  <c r="AP634" i="1" s="1"/>
  <c r="B142" i="1"/>
  <c r="I634" i="2" l="1"/>
  <c r="I141" i="1" s="1"/>
  <c r="J634" i="2"/>
  <c r="J141" i="1" s="1"/>
  <c r="M634" i="2"/>
  <c r="M141" i="1" s="1"/>
  <c r="N634" i="2"/>
  <c r="N141" i="1" s="1"/>
  <c r="V634" i="2"/>
  <c r="V141" i="1" s="1"/>
  <c r="B637" i="2"/>
  <c r="AO637" i="1" s="1"/>
  <c r="AP637" i="1" s="1"/>
  <c r="B141" i="1"/>
  <c r="I637" i="2" l="1"/>
  <c r="I140" i="1" s="1"/>
  <c r="J637" i="2"/>
  <c r="J140" i="1" s="1"/>
  <c r="M637" i="2"/>
  <c r="M140" i="1" s="1"/>
  <c r="N637" i="2"/>
  <c r="N140" i="1" s="1"/>
  <c r="V637" i="2"/>
  <c r="V140" i="1" s="1"/>
  <c r="B638" i="2"/>
  <c r="AO638" i="1" s="1"/>
  <c r="AP638" i="1" s="1"/>
  <c r="B140" i="1"/>
  <c r="I638" i="2" l="1"/>
  <c r="I139" i="1" s="1"/>
  <c r="J638" i="2"/>
  <c r="J139" i="1" s="1"/>
  <c r="M638" i="2"/>
  <c r="M139" i="1" s="1"/>
  <c r="N638" i="2"/>
  <c r="N139" i="1" s="1"/>
  <c r="V638" i="2"/>
  <c r="V139" i="1" s="1"/>
  <c r="B639" i="2"/>
  <c r="AO639" i="1" s="1"/>
  <c r="AP639" i="1" s="1"/>
  <c r="B139" i="1"/>
  <c r="I639" i="2" l="1"/>
  <c r="I138" i="1" s="1"/>
  <c r="J639" i="2"/>
  <c r="J138" i="1" s="1"/>
  <c r="M639" i="2"/>
  <c r="M138" i="1" s="1"/>
  <c r="N639" i="2"/>
  <c r="N138" i="1" s="1"/>
  <c r="V639" i="2"/>
  <c r="V138" i="1" s="1"/>
  <c r="B640" i="2"/>
  <c r="AO640" i="1" s="1"/>
  <c r="AP640" i="1" s="1"/>
  <c r="B138" i="1"/>
  <c r="I640" i="2" l="1"/>
  <c r="I137" i="1" s="1"/>
  <c r="J640" i="2"/>
  <c r="J137" i="1" s="1"/>
  <c r="M640" i="2"/>
  <c r="M137" i="1" s="1"/>
  <c r="N640" i="2"/>
  <c r="N137" i="1" s="1"/>
  <c r="V640" i="2"/>
  <c r="V137" i="1" s="1"/>
  <c r="B641" i="2"/>
  <c r="AO641" i="1" s="1"/>
  <c r="AP641" i="1" s="1"/>
  <c r="B137" i="1"/>
  <c r="I641" i="2" l="1"/>
  <c r="I136" i="1" s="1"/>
  <c r="J641" i="2"/>
  <c r="J136" i="1" s="1"/>
  <c r="M641" i="2"/>
  <c r="M136" i="1" s="1"/>
  <c r="N641" i="2"/>
  <c r="N136" i="1" s="1"/>
  <c r="V641" i="2"/>
  <c r="V136" i="1" s="1"/>
  <c r="B644" i="2"/>
  <c r="AO644" i="1" s="1"/>
  <c r="AP644" i="1" s="1"/>
  <c r="B136" i="1"/>
  <c r="I644" i="2" l="1"/>
  <c r="I135" i="1" s="1"/>
  <c r="J644" i="2"/>
  <c r="J135" i="1" s="1"/>
  <c r="M644" i="2"/>
  <c r="M135" i="1" s="1"/>
  <c r="N644" i="2"/>
  <c r="N135" i="1" s="1"/>
  <c r="V644" i="2"/>
  <c r="V135" i="1" s="1"/>
  <c r="B645" i="2"/>
  <c r="AO645" i="1" s="1"/>
  <c r="AP645" i="1" s="1"/>
  <c r="B135" i="1"/>
  <c r="I645" i="2" l="1"/>
  <c r="I134" i="1" s="1"/>
  <c r="J645" i="2"/>
  <c r="J134" i="1" s="1"/>
  <c r="M645" i="2"/>
  <c r="M134" i="1" s="1"/>
  <c r="N645" i="2"/>
  <c r="N134" i="1" s="1"/>
  <c r="V645" i="2"/>
  <c r="V134" i="1" s="1"/>
  <c r="B646" i="2"/>
  <c r="AO646" i="1" s="1"/>
  <c r="AP646" i="1" s="1"/>
  <c r="B134" i="1"/>
  <c r="I646" i="2" l="1"/>
  <c r="I133" i="1" s="1"/>
  <c r="J646" i="2"/>
  <c r="J133" i="1" s="1"/>
  <c r="M646" i="2"/>
  <c r="M133" i="1" s="1"/>
  <c r="N646" i="2"/>
  <c r="N133" i="1" s="1"/>
  <c r="V646" i="2"/>
  <c r="V133" i="1" s="1"/>
  <c r="B647" i="2"/>
  <c r="AO647" i="1" s="1"/>
  <c r="AP647" i="1" s="1"/>
  <c r="B133" i="1"/>
  <c r="I647" i="2" l="1"/>
  <c r="I132" i="1" s="1"/>
  <c r="J647" i="2"/>
  <c r="J132" i="1" s="1"/>
  <c r="M647" i="2"/>
  <c r="M132" i="1" s="1"/>
  <c r="N647" i="2"/>
  <c r="N132" i="1" s="1"/>
  <c r="V647" i="2"/>
  <c r="V132" i="1" s="1"/>
  <c r="B648" i="2"/>
  <c r="AO648" i="1" s="1"/>
  <c r="AP648" i="1" s="1"/>
  <c r="B132" i="1"/>
  <c r="I648" i="2" l="1"/>
  <c r="I131" i="1" s="1"/>
  <c r="J648" i="2"/>
  <c r="J131" i="1" s="1"/>
  <c r="M648" i="2"/>
  <c r="M131" i="1" s="1"/>
  <c r="N648" i="2"/>
  <c r="N131" i="1" s="1"/>
  <c r="V648" i="2"/>
  <c r="V131" i="1" s="1"/>
  <c r="B651" i="2"/>
  <c r="AO651" i="1" s="1"/>
  <c r="AP651" i="1" s="1"/>
  <c r="B131" i="1"/>
  <c r="I651" i="2" l="1"/>
  <c r="I130" i="1" s="1"/>
  <c r="J651" i="2"/>
  <c r="J130" i="1" s="1"/>
  <c r="M651" i="2"/>
  <c r="M130" i="1" s="1"/>
  <c r="N651" i="2"/>
  <c r="N130" i="1" s="1"/>
  <c r="V651" i="2"/>
  <c r="V130" i="1" s="1"/>
  <c r="B652" i="2"/>
  <c r="AO652" i="1" s="1"/>
  <c r="AP652" i="1" s="1"/>
  <c r="B130" i="1"/>
  <c r="I652" i="2" l="1"/>
  <c r="I129" i="1" s="1"/>
  <c r="J652" i="2"/>
  <c r="J129" i="1" s="1"/>
  <c r="M652" i="2"/>
  <c r="M129" i="1" s="1"/>
  <c r="N652" i="2"/>
  <c r="N129" i="1" s="1"/>
  <c r="V652" i="2"/>
  <c r="V129" i="1" s="1"/>
  <c r="B653" i="2"/>
  <c r="AO653" i="1" s="1"/>
  <c r="AP653" i="1" s="1"/>
  <c r="B129" i="1"/>
  <c r="I653" i="2" l="1"/>
  <c r="I128" i="1" s="1"/>
  <c r="J653" i="2"/>
  <c r="J128" i="1" s="1"/>
  <c r="M653" i="2"/>
  <c r="M128" i="1" s="1"/>
  <c r="N653" i="2"/>
  <c r="N128" i="1" s="1"/>
  <c r="V653" i="2"/>
  <c r="V128" i="1" s="1"/>
  <c r="B654" i="2"/>
  <c r="AO654" i="1" s="1"/>
  <c r="AP654" i="1" s="1"/>
  <c r="B128" i="1"/>
  <c r="I654" i="2" l="1"/>
  <c r="I127" i="1" s="1"/>
  <c r="J654" i="2"/>
  <c r="J127" i="1" s="1"/>
  <c r="M654" i="2"/>
  <c r="M127" i="1" s="1"/>
  <c r="N654" i="2"/>
  <c r="N127" i="1" s="1"/>
  <c r="V654" i="2"/>
  <c r="V127" i="1" s="1"/>
  <c r="B655" i="2"/>
  <c r="AO655" i="1" s="1"/>
  <c r="AP655" i="1" s="1"/>
  <c r="B127" i="1"/>
  <c r="I655" i="2" l="1"/>
  <c r="I126" i="1" s="1"/>
  <c r="J655" i="2"/>
  <c r="J126" i="1" s="1"/>
  <c r="M655" i="2"/>
  <c r="M126" i="1" s="1"/>
  <c r="N655" i="2"/>
  <c r="N126" i="1" s="1"/>
  <c r="V655" i="2"/>
  <c r="V126" i="1" s="1"/>
  <c r="B658" i="2"/>
  <c r="AO658" i="1" s="1"/>
  <c r="AP658" i="1" s="1"/>
  <c r="B126" i="1"/>
  <c r="I658" i="2" l="1"/>
  <c r="I125" i="1" s="1"/>
  <c r="J658" i="2"/>
  <c r="J125" i="1" s="1"/>
  <c r="M658" i="2"/>
  <c r="M125" i="1" s="1"/>
  <c r="N658" i="2"/>
  <c r="N125" i="1" s="1"/>
  <c r="V658" i="2"/>
  <c r="V125" i="1" s="1"/>
  <c r="B659" i="2"/>
  <c r="AO659" i="1" s="1"/>
  <c r="AP659" i="1" s="1"/>
  <c r="B125" i="1"/>
  <c r="I659" i="2" l="1"/>
  <c r="I124" i="1" s="1"/>
  <c r="J659" i="2"/>
  <c r="J124" i="1" s="1"/>
  <c r="M659" i="2"/>
  <c r="M124" i="1" s="1"/>
  <c r="N659" i="2"/>
  <c r="N124" i="1" s="1"/>
  <c r="V659" i="2"/>
  <c r="V124" i="1" s="1"/>
  <c r="B660" i="2"/>
  <c r="AO660" i="1" s="1"/>
  <c r="AP660" i="1" s="1"/>
  <c r="B124" i="1"/>
  <c r="I660" i="2" l="1"/>
  <c r="I123" i="1" s="1"/>
  <c r="J660" i="2"/>
  <c r="J123" i="1" s="1"/>
  <c r="M660" i="2"/>
  <c r="M123" i="1" s="1"/>
  <c r="N660" i="2"/>
  <c r="N123" i="1" s="1"/>
  <c r="V660" i="2"/>
  <c r="V123" i="1" s="1"/>
  <c r="B661" i="2"/>
  <c r="AO661" i="1" s="1"/>
  <c r="AP661" i="1" s="1"/>
  <c r="B123" i="1"/>
  <c r="I661" i="2" l="1"/>
  <c r="I122" i="1" s="1"/>
  <c r="J661" i="2"/>
  <c r="J122" i="1" s="1"/>
  <c r="M661" i="2"/>
  <c r="M122" i="1" s="1"/>
  <c r="N661" i="2"/>
  <c r="N122" i="1" s="1"/>
  <c r="V661" i="2"/>
  <c r="V122" i="1" s="1"/>
  <c r="B665" i="2"/>
  <c r="AO665" i="1" s="1"/>
  <c r="AP665" i="1" s="1"/>
  <c r="B122" i="1"/>
  <c r="I665" i="2" l="1"/>
  <c r="I121" i="1" s="1"/>
  <c r="J665" i="2"/>
  <c r="J121" i="1" s="1"/>
  <c r="M665" i="2"/>
  <c r="M121" i="1" s="1"/>
  <c r="N665" i="2"/>
  <c r="N121" i="1" s="1"/>
  <c r="V665" i="2"/>
  <c r="V121" i="1" s="1"/>
  <c r="B666" i="2"/>
  <c r="AO666" i="1" s="1"/>
  <c r="AP666" i="1" s="1"/>
  <c r="B121" i="1"/>
  <c r="I666" i="2" l="1"/>
  <c r="I120" i="1" s="1"/>
  <c r="J666" i="2"/>
  <c r="J120" i="1" s="1"/>
  <c r="M666" i="2"/>
  <c r="M120" i="1" s="1"/>
  <c r="N666" i="2"/>
  <c r="N120" i="1" s="1"/>
  <c r="V666" i="2"/>
  <c r="V120" i="1" s="1"/>
  <c r="B667" i="2"/>
  <c r="AO667" i="1" s="1"/>
  <c r="AP667" i="1" s="1"/>
  <c r="B120" i="1"/>
  <c r="I667" i="2" l="1"/>
  <c r="I119" i="1" s="1"/>
  <c r="J667" i="2"/>
  <c r="J119" i="1" s="1"/>
  <c r="M667" i="2"/>
  <c r="M119" i="1" s="1"/>
  <c r="N667" i="2"/>
  <c r="N119" i="1" s="1"/>
  <c r="V667" i="2"/>
  <c r="V119" i="1" s="1"/>
  <c r="B668" i="2"/>
  <c r="AO668" i="1" s="1"/>
  <c r="AP668" i="1" s="1"/>
  <c r="B119" i="1"/>
  <c r="I668" i="2" l="1"/>
  <c r="I118" i="1" s="1"/>
  <c r="J668" i="2"/>
  <c r="J118" i="1" s="1"/>
  <c r="M668" i="2"/>
  <c r="M118" i="1" s="1"/>
  <c r="N668" i="2"/>
  <c r="N118" i="1" s="1"/>
  <c r="V668" i="2"/>
  <c r="V118" i="1" s="1"/>
  <c r="B669" i="2"/>
  <c r="AO669" i="1" s="1"/>
  <c r="AP669" i="1" s="1"/>
  <c r="B118" i="1"/>
  <c r="I669" i="2" l="1"/>
  <c r="I117" i="1" s="1"/>
  <c r="J669" i="2"/>
  <c r="J117" i="1" s="1"/>
  <c r="M669" i="2"/>
  <c r="M117" i="1" s="1"/>
  <c r="N669" i="2"/>
  <c r="N117" i="1" s="1"/>
  <c r="V669" i="2"/>
  <c r="V117" i="1" s="1"/>
  <c r="B672" i="2"/>
  <c r="AO672" i="1" s="1"/>
  <c r="AP672" i="1" s="1"/>
  <c r="B117" i="1"/>
  <c r="I672" i="2" l="1"/>
  <c r="I116" i="1" s="1"/>
  <c r="J672" i="2"/>
  <c r="J116" i="1" s="1"/>
  <c r="M672" i="2"/>
  <c r="M116" i="1" s="1"/>
  <c r="N672" i="2"/>
  <c r="N116" i="1" s="1"/>
  <c r="V672" i="2"/>
  <c r="V116" i="1" s="1"/>
  <c r="B673" i="2"/>
  <c r="AO673" i="1" s="1"/>
  <c r="AP673" i="1" s="1"/>
  <c r="B116" i="1"/>
  <c r="I673" i="2" l="1"/>
  <c r="I115" i="1" s="1"/>
  <c r="J673" i="2"/>
  <c r="J115" i="1" s="1"/>
  <c r="M673" i="2"/>
  <c r="M115" i="1" s="1"/>
  <c r="N673" i="2"/>
  <c r="N115" i="1" s="1"/>
  <c r="V673" i="2"/>
  <c r="V115" i="1" s="1"/>
  <c r="B674" i="2"/>
  <c r="AO674" i="1" s="1"/>
  <c r="AP674" i="1" s="1"/>
  <c r="B115" i="1"/>
  <c r="I674" i="2" l="1"/>
  <c r="I114" i="1" s="1"/>
  <c r="J674" i="2"/>
  <c r="J114" i="1" s="1"/>
  <c r="M674" i="2"/>
  <c r="M114" i="1" s="1"/>
  <c r="N674" i="2"/>
  <c r="N114" i="1" s="1"/>
  <c r="V674" i="2"/>
  <c r="V114" i="1" s="1"/>
  <c r="B675" i="2"/>
  <c r="AO675" i="1" s="1"/>
  <c r="AP675" i="1" s="1"/>
  <c r="B114" i="1"/>
  <c r="I675" i="2" l="1"/>
  <c r="I113" i="1" s="1"/>
  <c r="J675" i="2"/>
  <c r="J113" i="1" s="1"/>
  <c r="M675" i="2"/>
  <c r="M113" i="1" s="1"/>
  <c r="N675" i="2"/>
  <c r="N113" i="1" s="1"/>
  <c r="V675" i="2"/>
  <c r="V113" i="1" s="1"/>
  <c r="B676" i="2"/>
  <c r="AO676" i="1" s="1"/>
  <c r="AP676" i="1" s="1"/>
  <c r="B113" i="1"/>
  <c r="I676" i="2" l="1"/>
  <c r="I112" i="1" s="1"/>
  <c r="J676" i="2"/>
  <c r="J112" i="1" s="1"/>
  <c r="M676" i="2"/>
  <c r="M112" i="1" s="1"/>
  <c r="N676" i="2"/>
  <c r="N112" i="1" s="1"/>
  <c r="V676" i="2"/>
  <c r="V112" i="1" s="1"/>
  <c r="B679" i="2"/>
  <c r="AO679" i="1" s="1"/>
  <c r="AP679" i="1" s="1"/>
  <c r="B112" i="1"/>
  <c r="I679" i="2" l="1"/>
  <c r="I111" i="1" s="1"/>
  <c r="J679" i="2"/>
  <c r="J111" i="1" s="1"/>
  <c r="M679" i="2"/>
  <c r="M111" i="1" s="1"/>
  <c r="N679" i="2"/>
  <c r="N111" i="1" s="1"/>
  <c r="V679" i="2"/>
  <c r="V111" i="1" s="1"/>
  <c r="B680" i="2"/>
  <c r="AO680" i="1" s="1"/>
  <c r="AP680" i="1" s="1"/>
  <c r="B111" i="1"/>
  <c r="I680" i="2" l="1"/>
  <c r="I110" i="1" s="1"/>
  <c r="J680" i="2"/>
  <c r="J110" i="1" s="1"/>
  <c r="M680" i="2"/>
  <c r="M110" i="1" s="1"/>
  <c r="N680" i="2"/>
  <c r="N110" i="1" s="1"/>
  <c r="V680" i="2"/>
  <c r="V110" i="1" s="1"/>
  <c r="B681" i="2"/>
  <c r="AO681" i="1" s="1"/>
  <c r="AP681" i="1" s="1"/>
  <c r="B110" i="1"/>
  <c r="I681" i="2" l="1"/>
  <c r="I109" i="1" s="1"/>
  <c r="J681" i="2"/>
  <c r="J109" i="1" s="1"/>
  <c r="M681" i="2"/>
  <c r="M109" i="1" s="1"/>
  <c r="N681" i="2"/>
  <c r="N109" i="1" s="1"/>
  <c r="V681" i="2"/>
  <c r="V109" i="1" s="1"/>
  <c r="B682" i="2"/>
  <c r="AO682" i="1" s="1"/>
  <c r="AP682" i="1" s="1"/>
  <c r="B109" i="1"/>
  <c r="I682" i="2" l="1"/>
  <c r="I108" i="1" s="1"/>
  <c r="J682" i="2"/>
  <c r="J108" i="1" s="1"/>
  <c r="M682" i="2"/>
  <c r="M108" i="1" s="1"/>
  <c r="N682" i="2"/>
  <c r="N108" i="1" s="1"/>
  <c r="V682" i="2"/>
  <c r="V108" i="1" s="1"/>
  <c r="B683" i="2"/>
  <c r="AO683" i="1" s="1"/>
  <c r="AP683" i="1" s="1"/>
  <c r="B108" i="1"/>
  <c r="I683" i="2" l="1"/>
  <c r="I107" i="1" s="1"/>
  <c r="J683" i="2"/>
  <c r="J107" i="1" s="1"/>
  <c r="M683" i="2"/>
  <c r="M107" i="1" s="1"/>
  <c r="N683" i="2"/>
  <c r="N107" i="1" s="1"/>
  <c r="V683" i="2"/>
  <c r="V107" i="1" s="1"/>
  <c r="B686" i="2"/>
  <c r="AO686" i="1" s="1"/>
  <c r="AP686" i="1" s="1"/>
  <c r="B107" i="1"/>
  <c r="I686" i="2" l="1"/>
  <c r="I106" i="1" s="1"/>
  <c r="J686" i="2"/>
  <c r="J106" i="1" s="1"/>
  <c r="M686" i="2"/>
  <c r="M106" i="1" s="1"/>
  <c r="N686" i="2"/>
  <c r="N106" i="1" s="1"/>
  <c r="V686" i="2"/>
  <c r="V106" i="1" s="1"/>
  <c r="B687" i="2"/>
  <c r="AO687" i="1" s="1"/>
  <c r="AP687" i="1" s="1"/>
  <c r="B106" i="1"/>
  <c r="I687" i="2" l="1"/>
  <c r="I105" i="1" s="1"/>
  <c r="J687" i="2"/>
  <c r="J105" i="1" s="1"/>
  <c r="M687" i="2"/>
  <c r="M105" i="1" s="1"/>
  <c r="N687" i="2"/>
  <c r="N105" i="1" s="1"/>
  <c r="V687" i="2"/>
  <c r="V105" i="1" s="1"/>
  <c r="B688" i="2"/>
  <c r="AO688" i="1" s="1"/>
  <c r="AP688" i="1" s="1"/>
  <c r="B105" i="1"/>
  <c r="I688" i="2" l="1"/>
  <c r="I104" i="1" s="1"/>
  <c r="J688" i="2"/>
  <c r="J104" i="1" s="1"/>
  <c r="M688" i="2"/>
  <c r="M104" i="1" s="1"/>
  <c r="N688" i="2"/>
  <c r="N104" i="1" s="1"/>
  <c r="V688" i="2"/>
  <c r="V104" i="1" s="1"/>
  <c r="B689" i="2"/>
  <c r="AO689" i="1" s="1"/>
  <c r="AP689" i="1" s="1"/>
  <c r="B104" i="1"/>
  <c r="I689" i="2" l="1"/>
  <c r="I103" i="1" s="1"/>
  <c r="J689" i="2"/>
  <c r="J103" i="1" s="1"/>
  <c r="M689" i="2"/>
  <c r="M103" i="1" s="1"/>
  <c r="N689" i="2"/>
  <c r="N103" i="1" s="1"/>
  <c r="V689" i="2"/>
  <c r="V103" i="1" s="1"/>
  <c r="B690" i="2"/>
  <c r="AO690" i="1" s="1"/>
  <c r="AP690" i="1" s="1"/>
  <c r="B103" i="1"/>
  <c r="I690" i="2" l="1"/>
  <c r="I102" i="1" s="1"/>
  <c r="J690" i="2"/>
  <c r="J102" i="1" s="1"/>
  <c r="M690" i="2"/>
  <c r="M102" i="1" s="1"/>
  <c r="N690" i="2"/>
  <c r="N102" i="1" s="1"/>
  <c r="V690" i="2"/>
  <c r="V102" i="1" s="1"/>
  <c r="B693" i="2"/>
  <c r="AO693" i="1" s="1"/>
  <c r="AP693" i="1" s="1"/>
  <c r="B102" i="1"/>
  <c r="I693" i="2" l="1"/>
  <c r="I101" i="1" s="1"/>
  <c r="J693" i="2"/>
  <c r="J101" i="1" s="1"/>
  <c r="M693" i="2"/>
  <c r="M101" i="1" s="1"/>
  <c r="N693" i="2"/>
  <c r="N101" i="1" s="1"/>
  <c r="V693" i="2"/>
  <c r="V101" i="1" s="1"/>
  <c r="B694" i="2"/>
  <c r="AO694" i="1" s="1"/>
  <c r="AP694" i="1" s="1"/>
  <c r="B101" i="1"/>
  <c r="I694" i="2" l="1"/>
  <c r="I100" i="1" s="1"/>
  <c r="J694" i="2"/>
  <c r="J100" i="1" s="1"/>
  <c r="M694" i="2"/>
  <c r="M100" i="1" s="1"/>
  <c r="N694" i="2"/>
  <c r="N100" i="1" s="1"/>
  <c r="V694" i="2"/>
  <c r="V100" i="1" s="1"/>
  <c r="B695" i="2"/>
  <c r="AO695" i="1" s="1"/>
  <c r="AP695" i="1" s="1"/>
  <c r="B100" i="1"/>
  <c r="I695" i="2" l="1"/>
  <c r="I99" i="1" s="1"/>
  <c r="J695" i="2"/>
  <c r="J99" i="1" s="1"/>
  <c r="M695" i="2"/>
  <c r="M99" i="1" s="1"/>
  <c r="N695" i="2"/>
  <c r="N99" i="1" s="1"/>
  <c r="V695" i="2"/>
  <c r="V99" i="1" s="1"/>
  <c r="B696" i="2"/>
  <c r="AO696" i="1" s="1"/>
  <c r="AP696" i="1" s="1"/>
  <c r="B99" i="1"/>
  <c r="I696" i="2" l="1"/>
  <c r="I98" i="1" s="1"/>
  <c r="J696" i="2"/>
  <c r="J98" i="1" s="1"/>
  <c r="M696" i="2"/>
  <c r="M98" i="1" s="1"/>
  <c r="N696" i="2"/>
  <c r="N98" i="1" s="1"/>
  <c r="V696" i="2"/>
  <c r="V98" i="1" s="1"/>
  <c r="B697" i="2"/>
  <c r="AO697" i="1" s="1"/>
  <c r="AP697" i="1" s="1"/>
  <c r="B98" i="1"/>
  <c r="I697" i="2" l="1"/>
  <c r="I97" i="1" s="1"/>
  <c r="J697" i="2"/>
  <c r="J97" i="1" s="1"/>
  <c r="M697" i="2"/>
  <c r="M97" i="1" s="1"/>
  <c r="N697" i="2"/>
  <c r="N97" i="1" s="1"/>
  <c r="V697" i="2"/>
  <c r="V97" i="1" s="1"/>
  <c r="B700" i="2"/>
  <c r="AO700" i="1" s="1"/>
  <c r="AP700" i="1" s="1"/>
  <c r="B97" i="1"/>
  <c r="I700" i="2" l="1"/>
  <c r="I96" i="1" s="1"/>
  <c r="J700" i="2"/>
  <c r="J96" i="1" s="1"/>
  <c r="M700" i="2"/>
  <c r="M96" i="1" s="1"/>
  <c r="N700" i="2"/>
  <c r="N96" i="1" s="1"/>
  <c r="V700" i="2"/>
  <c r="V96" i="1" s="1"/>
  <c r="B701" i="2"/>
  <c r="AO701" i="1" s="1"/>
  <c r="AP701" i="1" s="1"/>
  <c r="B96" i="1"/>
  <c r="I701" i="2" l="1"/>
  <c r="I95" i="1" s="1"/>
  <c r="J701" i="2"/>
  <c r="J95" i="1" s="1"/>
  <c r="M701" i="2"/>
  <c r="M95" i="1" s="1"/>
  <c r="N701" i="2"/>
  <c r="N95" i="1" s="1"/>
  <c r="V701" i="2"/>
  <c r="V95" i="1" s="1"/>
  <c r="B702" i="2"/>
  <c r="AO702" i="1" s="1"/>
  <c r="AP702" i="1" s="1"/>
  <c r="B95" i="1"/>
  <c r="I702" i="2" l="1"/>
  <c r="I94" i="1" s="1"/>
  <c r="J702" i="2"/>
  <c r="J94" i="1" s="1"/>
  <c r="M702" i="2"/>
  <c r="M94" i="1" s="1"/>
  <c r="N702" i="2"/>
  <c r="N94" i="1" s="1"/>
  <c r="V702" i="2"/>
  <c r="V94" i="1" s="1"/>
  <c r="B703" i="2"/>
  <c r="AO703" i="1" s="1"/>
  <c r="AP703" i="1" s="1"/>
  <c r="B94" i="1"/>
  <c r="I703" i="2" l="1"/>
  <c r="I93" i="1" s="1"/>
  <c r="J703" i="2"/>
  <c r="J93" i="1" s="1"/>
  <c r="M703" i="2"/>
  <c r="M93" i="1" s="1"/>
  <c r="N703" i="2"/>
  <c r="N93" i="1" s="1"/>
  <c r="V703" i="2"/>
  <c r="V93" i="1" s="1"/>
  <c r="B704" i="2"/>
  <c r="AO704" i="1" s="1"/>
  <c r="AP704" i="1" s="1"/>
  <c r="B93" i="1"/>
  <c r="I704" i="2" l="1"/>
  <c r="I92" i="1" s="1"/>
  <c r="J704" i="2"/>
  <c r="J92" i="1" s="1"/>
  <c r="M704" i="2"/>
  <c r="M92" i="1" s="1"/>
  <c r="N704" i="2"/>
  <c r="N92" i="1" s="1"/>
  <c r="V704" i="2"/>
  <c r="V92" i="1" s="1"/>
  <c r="B707" i="2"/>
  <c r="AO707" i="1" s="1"/>
  <c r="AP707" i="1" s="1"/>
  <c r="B92" i="1"/>
  <c r="I707" i="2" l="1"/>
  <c r="I91" i="1" s="1"/>
  <c r="J707" i="2"/>
  <c r="J91" i="1" s="1"/>
  <c r="M707" i="2"/>
  <c r="M91" i="1" s="1"/>
  <c r="N707" i="2"/>
  <c r="N91" i="1" s="1"/>
  <c r="V707" i="2"/>
  <c r="V91" i="1" s="1"/>
  <c r="B708" i="2"/>
  <c r="AO708" i="1" s="1"/>
  <c r="AP708" i="1" s="1"/>
  <c r="B91" i="1"/>
  <c r="I708" i="2" l="1"/>
  <c r="I90" i="1" s="1"/>
  <c r="J708" i="2"/>
  <c r="J90" i="1" s="1"/>
  <c r="M708" i="2"/>
  <c r="M90" i="1" s="1"/>
  <c r="N708" i="2"/>
  <c r="N90" i="1" s="1"/>
  <c r="V708" i="2"/>
  <c r="V90" i="1" s="1"/>
  <c r="B709" i="2"/>
  <c r="AO709" i="1" s="1"/>
  <c r="AP709" i="1" s="1"/>
  <c r="B90" i="1"/>
  <c r="I709" i="2" l="1"/>
  <c r="I89" i="1" s="1"/>
  <c r="J709" i="2"/>
  <c r="J89" i="1" s="1"/>
  <c r="M709" i="2"/>
  <c r="M89" i="1" s="1"/>
  <c r="N709" i="2"/>
  <c r="N89" i="1" s="1"/>
  <c r="V709" i="2"/>
  <c r="V89" i="1" s="1"/>
  <c r="B710" i="2"/>
  <c r="AO710" i="1" s="1"/>
  <c r="AP710" i="1" s="1"/>
  <c r="B89" i="1"/>
  <c r="I710" i="2" l="1"/>
  <c r="I88" i="1" s="1"/>
  <c r="J710" i="2"/>
  <c r="J88" i="1" s="1"/>
  <c r="M710" i="2"/>
  <c r="M88" i="1" s="1"/>
  <c r="N710" i="2"/>
  <c r="N88" i="1" s="1"/>
  <c r="V710" i="2"/>
  <c r="V88" i="1" s="1"/>
  <c r="B711" i="2"/>
  <c r="AO711" i="1" s="1"/>
  <c r="AP711" i="1" s="1"/>
  <c r="B88" i="1"/>
  <c r="I711" i="2" l="1"/>
  <c r="I87" i="1" s="1"/>
  <c r="J711" i="2"/>
  <c r="J87" i="1" s="1"/>
  <c r="M711" i="2"/>
  <c r="M87" i="1" s="1"/>
  <c r="N711" i="2"/>
  <c r="N87" i="1" s="1"/>
  <c r="V711" i="2"/>
  <c r="V87" i="1" s="1"/>
  <c r="B714" i="2"/>
  <c r="AO714" i="1" s="1"/>
  <c r="AP714" i="1" s="1"/>
  <c r="B87" i="1"/>
  <c r="I714" i="2" l="1"/>
  <c r="I86" i="1" s="1"/>
  <c r="J714" i="2"/>
  <c r="J86" i="1" s="1"/>
  <c r="M714" i="2"/>
  <c r="M86" i="1" s="1"/>
  <c r="N714" i="2"/>
  <c r="N86" i="1" s="1"/>
  <c r="V714" i="2"/>
  <c r="V86" i="1" s="1"/>
  <c r="B715" i="2"/>
  <c r="AO715" i="1" s="1"/>
  <c r="AP715" i="1" s="1"/>
  <c r="B86" i="1"/>
  <c r="I715" i="2" l="1"/>
  <c r="I85" i="1" s="1"/>
  <c r="J715" i="2"/>
  <c r="J85" i="1" s="1"/>
  <c r="M715" i="2"/>
  <c r="M85" i="1" s="1"/>
  <c r="N715" i="2"/>
  <c r="N85" i="1" s="1"/>
  <c r="V715" i="2"/>
  <c r="V85" i="1" s="1"/>
  <c r="B716" i="2"/>
  <c r="AO716" i="1" s="1"/>
  <c r="AP716" i="1" s="1"/>
  <c r="B85" i="1"/>
  <c r="I716" i="2" l="1"/>
  <c r="I84" i="1" s="1"/>
  <c r="J716" i="2"/>
  <c r="J84" i="1" s="1"/>
  <c r="M716" i="2"/>
  <c r="M84" i="1" s="1"/>
  <c r="N716" i="2"/>
  <c r="N84" i="1" s="1"/>
  <c r="V716" i="2"/>
  <c r="V84" i="1" s="1"/>
  <c r="B717" i="2"/>
  <c r="AO717" i="1" s="1"/>
  <c r="AP717" i="1" s="1"/>
  <c r="B84" i="1"/>
  <c r="I717" i="2" l="1"/>
  <c r="I83" i="1" s="1"/>
  <c r="J717" i="2"/>
  <c r="J83" i="1" s="1"/>
  <c r="M717" i="2"/>
  <c r="M83" i="1" s="1"/>
  <c r="N717" i="2"/>
  <c r="N83" i="1" s="1"/>
  <c r="V717" i="2"/>
  <c r="V83" i="1" s="1"/>
  <c r="B718" i="2"/>
  <c r="AO718" i="1" s="1"/>
  <c r="AP718" i="1" s="1"/>
  <c r="B83" i="1"/>
  <c r="I718" i="2" l="1"/>
  <c r="I82" i="1" s="1"/>
  <c r="J718" i="2"/>
  <c r="J82" i="1" s="1"/>
  <c r="M718" i="2"/>
  <c r="M82" i="1" s="1"/>
  <c r="N718" i="2"/>
  <c r="N82" i="1" s="1"/>
  <c r="V718" i="2"/>
  <c r="V82" i="1" s="1"/>
  <c r="B721" i="2"/>
  <c r="AO721" i="1" s="1"/>
  <c r="AP721" i="1" s="1"/>
  <c r="B82" i="1"/>
  <c r="I721" i="2" l="1"/>
  <c r="I81" i="1" s="1"/>
  <c r="J721" i="2"/>
  <c r="J81" i="1" s="1"/>
  <c r="M721" i="2"/>
  <c r="M81" i="1" s="1"/>
  <c r="N721" i="2"/>
  <c r="N81" i="1" s="1"/>
  <c r="V721" i="2"/>
  <c r="V81" i="1" s="1"/>
  <c r="B722" i="2"/>
  <c r="AO722" i="1" s="1"/>
  <c r="AP722" i="1" s="1"/>
  <c r="B81" i="1"/>
  <c r="I722" i="2" l="1"/>
  <c r="I80" i="1" s="1"/>
  <c r="J722" i="2"/>
  <c r="J80" i="1" s="1"/>
  <c r="M722" i="2"/>
  <c r="M80" i="1" s="1"/>
  <c r="N722" i="2"/>
  <c r="N80" i="1" s="1"/>
  <c r="V722" i="2"/>
  <c r="V80" i="1" s="1"/>
  <c r="B723" i="2"/>
  <c r="AO723" i="1" s="1"/>
  <c r="AP723" i="1" s="1"/>
  <c r="B80" i="1"/>
  <c r="I723" i="2" l="1"/>
  <c r="I79" i="1" s="1"/>
  <c r="J723" i="2"/>
  <c r="J79" i="1" s="1"/>
  <c r="M723" i="2"/>
  <c r="M79" i="1" s="1"/>
  <c r="N723" i="2"/>
  <c r="N79" i="1" s="1"/>
  <c r="V723" i="2"/>
  <c r="V79" i="1" s="1"/>
  <c r="B724" i="2"/>
  <c r="AO724" i="1" s="1"/>
  <c r="AP724" i="1" s="1"/>
  <c r="B79" i="1"/>
  <c r="I724" i="2" l="1"/>
  <c r="I78" i="1" s="1"/>
  <c r="J724" i="2"/>
  <c r="J78" i="1" s="1"/>
  <c r="M724" i="2"/>
  <c r="M78" i="1" s="1"/>
  <c r="N724" i="2"/>
  <c r="N78" i="1" s="1"/>
  <c r="V724" i="2"/>
  <c r="V78" i="1" s="1"/>
  <c r="B725" i="2"/>
  <c r="AO725" i="1" s="1"/>
  <c r="AP725" i="1" s="1"/>
  <c r="B78" i="1"/>
  <c r="I725" i="2" l="1"/>
  <c r="I77" i="1" s="1"/>
  <c r="J725" i="2"/>
  <c r="J77" i="1" s="1"/>
  <c r="M725" i="2"/>
  <c r="M77" i="1" s="1"/>
  <c r="N725" i="2"/>
  <c r="N77" i="1" s="1"/>
  <c r="V725" i="2"/>
  <c r="V77" i="1" s="1"/>
  <c r="B728" i="2"/>
  <c r="AO728" i="1" s="1"/>
  <c r="AP728" i="1" s="1"/>
  <c r="B77" i="1"/>
  <c r="I728" i="2" l="1"/>
  <c r="I76" i="1" s="1"/>
  <c r="J728" i="2"/>
  <c r="J76" i="1" s="1"/>
  <c r="M728" i="2"/>
  <c r="M76" i="1" s="1"/>
  <c r="N728" i="2"/>
  <c r="N76" i="1" s="1"/>
  <c r="V728" i="2"/>
  <c r="V76" i="1" s="1"/>
  <c r="B729" i="2"/>
  <c r="AO729" i="1" s="1"/>
  <c r="AP729" i="1" s="1"/>
  <c r="B76" i="1"/>
  <c r="I729" i="2" l="1"/>
  <c r="I75" i="1" s="1"/>
  <c r="J729" i="2"/>
  <c r="J75" i="1" s="1"/>
  <c r="M729" i="2"/>
  <c r="M75" i="1" s="1"/>
  <c r="N729" i="2"/>
  <c r="N75" i="1" s="1"/>
  <c r="V729" i="2"/>
  <c r="V75" i="1" s="1"/>
  <c r="B730" i="2"/>
  <c r="AO730" i="1" s="1"/>
  <c r="AP730" i="1" s="1"/>
  <c r="B75" i="1"/>
  <c r="I730" i="2" l="1"/>
  <c r="I74" i="1" s="1"/>
  <c r="J730" i="2"/>
  <c r="J74" i="1" s="1"/>
  <c r="M730" i="2"/>
  <c r="M74" i="1" s="1"/>
  <c r="N730" i="2"/>
  <c r="N74" i="1" s="1"/>
  <c r="V730" i="2"/>
  <c r="V74" i="1" s="1"/>
  <c r="B731" i="2"/>
  <c r="AO731" i="1" s="1"/>
  <c r="AP731" i="1" s="1"/>
  <c r="B74" i="1"/>
  <c r="I731" i="2" l="1"/>
  <c r="I73" i="1" s="1"/>
  <c r="J731" i="2"/>
  <c r="J73" i="1" s="1"/>
  <c r="M731" i="2"/>
  <c r="M73" i="1" s="1"/>
  <c r="N731" i="2"/>
  <c r="N73" i="1" s="1"/>
  <c r="V731" i="2"/>
  <c r="V73" i="1" s="1"/>
  <c r="B732" i="2"/>
  <c r="AO732" i="1" s="1"/>
  <c r="AP732" i="1" s="1"/>
  <c r="B73" i="1"/>
  <c r="I732" i="2" l="1"/>
  <c r="I72" i="1" s="1"/>
  <c r="J732" i="2"/>
  <c r="J72" i="1" s="1"/>
  <c r="M732" i="2"/>
  <c r="M72" i="1" s="1"/>
  <c r="N732" i="2"/>
  <c r="N72" i="1" s="1"/>
  <c r="V732" i="2"/>
  <c r="V72" i="1" s="1"/>
  <c r="B735" i="2"/>
  <c r="AO735" i="1" s="1"/>
  <c r="AP735" i="1" s="1"/>
  <c r="B72" i="1"/>
  <c r="I735" i="2" l="1"/>
  <c r="I71" i="1" s="1"/>
  <c r="J735" i="2"/>
  <c r="J71" i="1" s="1"/>
  <c r="M735" i="2"/>
  <c r="M71" i="1" s="1"/>
  <c r="N735" i="2"/>
  <c r="N71" i="1" s="1"/>
  <c r="V735" i="2"/>
  <c r="V71" i="1" s="1"/>
  <c r="B736" i="2"/>
  <c r="AO736" i="1" s="1"/>
  <c r="AP736" i="1" s="1"/>
  <c r="B71" i="1"/>
  <c r="I736" i="2" l="1"/>
  <c r="I70" i="1" s="1"/>
  <c r="J736" i="2"/>
  <c r="J70" i="1" s="1"/>
  <c r="M736" i="2"/>
  <c r="M70" i="1" s="1"/>
  <c r="N736" i="2"/>
  <c r="N70" i="1" s="1"/>
  <c r="V736" i="2"/>
  <c r="V70" i="1" s="1"/>
  <c r="B737" i="2"/>
  <c r="AO737" i="1" s="1"/>
  <c r="AP737" i="1" s="1"/>
  <c r="B70" i="1"/>
  <c r="I737" i="2" l="1"/>
  <c r="I69" i="1" s="1"/>
  <c r="J737" i="2"/>
  <c r="J69" i="1" s="1"/>
  <c r="M737" i="2"/>
  <c r="M69" i="1" s="1"/>
  <c r="N737" i="2"/>
  <c r="N69" i="1" s="1"/>
  <c r="V737" i="2"/>
  <c r="V69" i="1" s="1"/>
  <c r="B738" i="2"/>
  <c r="AO738" i="1" s="1"/>
  <c r="AP738" i="1" s="1"/>
  <c r="B69" i="1"/>
  <c r="I738" i="2" l="1"/>
  <c r="I68" i="1" s="1"/>
  <c r="J738" i="2"/>
  <c r="J68" i="1" s="1"/>
  <c r="M738" i="2"/>
  <c r="M68" i="1" s="1"/>
  <c r="N738" i="2"/>
  <c r="N68" i="1" s="1"/>
  <c r="V738" i="2"/>
  <c r="V68" i="1" s="1"/>
  <c r="B739" i="2"/>
  <c r="AO739" i="1" s="1"/>
  <c r="AP739" i="1" s="1"/>
  <c r="B68" i="1"/>
  <c r="I739" i="2" l="1"/>
  <c r="I67" i="1" s="1"/>
  <c r="J739" i="2"/>
  <c r="J67" i="1" s="1"/>
  <c r="M739" i="2"/>
  <c r="M67" i="1" s="1"/>
  <c r="N739" i="2"/>
  <c r="N67" i="1" s="1"/>
  <c r="V739" i="2"/>
  <c r="V67" i="1" s="1"/>
  <c r="B744" i="2"/>
  <c r="AO744" i="1" s="1"/>
  <c r="AP744" i="1" s="1"/>
  <c r="B67" i="1"/>
  <c r="I744" i="2" l="1"/>
  <c r="I66" i="1" s="1"/>
  <c r="J744" i="2"/>
  <c r="J66" i="1" s="1"/>
  <c r="M744" i="2"/>
  <c r="M66" i="1" s="1"/>
  <c r="N744" i="2"/>
  <c r="N66" i="1" s="1"/>
  <c r="V744" i="2"/>
  <c r="V66" i="1" s="1"/>
  <c r="B745" i="2"/>
  <c r="AO745" i="1" s="1"/>
  <c r="AP745" i="1" s="1"/>
  <c r="B66" i="1"/>
  <c r="I745" i="2" l="1"/>
  <c r="I65" i="1" s="1"/>
  <c r="J745" i="2"/>
  <c r="J65" i="1" s="1"/>
  <c r="M745" i="2"/>
  <c r="M65" i="1" s="1"/>
  <c r="N745" i="2"/>
  <c r="N65" i="1" s="1"/>
  <c r="V745" i="2"/>
  <c r="V65" i="1" s="1"/>
  <c r="B746" i="2"/>
  <c r="AO746" i="1" s="1"/>
  <c r="AP746" i="1" s="1"/>
  <c r="B65" i="1"/>
  <c r="I746" i="2" l="1"/>
  <c r="I64" i="1" s="1"/>
  <c r="J746" i="2"/>
  <c r="J64" i="1" s="1"/>
  <c r="M746" i="2"/>
  <c r="M64" i="1" s="1"/>
  <c r="N746" i="2"/>
  <c r="N64" i="1" s="1"/>
  <c r="V746" i="2"/>
  <c r="V64" i="1" s="1"/>
  <c r="B749" i="2"/>
  <c r="AO749" i="1" s="1"/>
  <c r="AP749" i="1" s="1"/>
  <c r="B64" i="1"/>
  <c r="I749" i="2" l="1"/>
  <c r="I63" i="1" s="1"/>
  <c r="J749" i="2"/>
  <c r="J63" i="1" s="1"/>
  <c r="M749" i="2"/>
  <c r="M63" i="1" s="1"/>
  <c r="N749" i="2"/>
  <c r="N63" i="1" s="1"/>
  <c r="V749" i="2"/>
  <c r="V63" i="1" s="1"/>
  <c r="B750" i="2"/>
  <c r="AO750" i="1" s="1"/>
  <c r="AP750" i="1" s="1"/>
  <c r="B63" i="1"/>
  <c r="I750" i="2" l="1"/>
  <c r="I62" i="1" s="1"/>
  <c r="J750" i="2"/>
  <c r="J62" i="1" s="1"/>
  <c r="M750" i="2"/>
  <c r="M62" i="1" s="1"/>
  <c r="N750" i="2"/>
  <c r="N62" i="1" s="1"/>
  <c r="V750" i="2"/>
  <c r="V62" i="1" s="1"/>
  <c r="B751" i="2"/>
  <c r="AO751" i="1" s="1"/>
  <c r="AP751" i="1" s="1"/>
  <c r="B62" i="1"/>
  <c r="I751" i="2" l="1"/>
  <c r="I61" i="1" s="1"/>
  <c r="J751" i="2"/>
  <c r="J61" i="1" s="1"/>
  <c r="M751" i="2"/>
  <c r="M61" i="1" s="1"/>
  <c r="N751" i="2"/>
  <c r="N61" i="1" s="1"/>
  <c r="V751" i="2"/>
  <c r="V61" i="1" s="1"/>
  <c r="B752" i="2"/>
  <c r="AO752" i="1" s="1"/>
  <c r="AP752" i="1" s="1"/>
  <c r="B61" i="1"/>
  <c r="I752" i="2" l="1"/>
  <c r="I60" i="1" s="1"/>
  <c r="J752" i="2"/>
  <c r="J60" i="1" s="1"/>
  <c r="M752" i="2"/>
  <c r="M60" i="1" s="1"/>
  <c r="N752" i="2"/>
  <c r="N60" i="1" s="1"/>
  <c r="V752" i="2"/>
  <c r="V60" i="1" s="1"/>
  <c r="B753" i="2"/>
  <c r="AO753" i="1" s="1"/>
  <c r="AP753" i="1" s="1"/>
  <c r="B60" i="1"/>
  <c r="I753" i="2" l="1"/>
  <c r="I59" i="1" s="1"/>
  <c r="J753" i="2"/>
  <c r="J59" i="1" s="1"/>
  <c r="M753" i="2"/>
  <c r="M59" i="1" s="1"/>
  <c r="N753" i="2"/>
  <c r="N59" i="1" s="1"/>
  <c r="V753" i="2"/>
  <c r="V59" i="1" s="1"/>
  <c r="B756" i="2"/>
  <c r="AO756" i="1" s="1"/>
  <c r="AP756" i="1" s="1"/>
  <c r="B59" i="1"/>
  <c r="I756" i="2" l="1"/>
  <c r="I58" i="1" s="1"/>
  <c r="J756" i="2"/>
  <c r="J58" i="1" s="1"/>
  <c r="M756" i="2"/>
  <c r="M58" i="1" s="1"/>
  <c r="N756" i="2"/>
  <c r="N58" i="1" s="1"/>
  <c r="V756" i="2"/>
  <c r="V58" i="1" s="1"/>
  <c r="B757" i="2"/>
  <c r="AO757" i="1" s="1"/>
  <c r="AP757" i="1" s="1"/>
  <c r="B58" i="1"/>
  <c r="I757" i="2" l="1"/>
  <c r="I57" i="1" s="1"/>
  <c r="J757" i="2"/>
  <c r="J57" i="1" s="1"/>
  <c r="M757" i="2"/>
  <c r="M57" i="1" s="1"/>
  <c r="N757" i="2"/>
  <c r="N57" i="1" s="1"/>
  <c r="V757" i="2"/>
  <c r="V57" i="1" s="1"/>
  <c r="B758" i="2"/>
  <c r="AO758" i="1" s="1"/>
  <c r="AP758" i="1" s="1"/>
  <c r="B57" i="1"/>
  <c r="I758" i="2" l="1"/>
  <c r="I56" i="1" s="1"/>
  <c r="J758" i="2"/>
  <c r="J56" i="1" s="1"/>
  <c r="M758" i="2"/>
  <c r="M56" i="1" s="1"/>
  <c r="N758" i="2"/>
  <c r="N56" i="1" s="1"/>
  <c r="V758" i="2"/>
  <c r="V56" i="1" s="1"/>
  <c r="B759" i="2"/>
  <c r="AO759" i="1" s="1"/>
  <c r="AP759" i="1" s="1"/>
  <c r="B56" i="1"/>
  <c r="I759" i="2" l="1"/>
  <c r="I55" i="1" s="1"/>
  <c r="J759" i="2"/>
  <c r="J55" i="1" s="1"/>
  <c r="M759" i="2"/>
  <c r="M55" i="1" s="1"/>
  <c r="N759" i="2"/>
  <c r="N55" i="1" s="1"/>
  <c r="V759" i="2"/>
  <c r="V55" i="1" s="1"/>
  <c r="B760" i="2"/>
  <c r="AO760" i="1" s="1"/>
  <c r="AP760" i="1" s="1"/>
  <c r="B55" i="1"/>
  <c r="I760" i="2" l="1"/>
  <c r="I54" i="1" s="1"/>
  <c r="J760" i="2"/>
  <c r="J54" i="1" s="1"/>
  <c r="M760" i="2"/>
  <c r="M54" i="1" s="1"/>
  <c r="N760" i="2"/>
  <c r="N54" i="1" s="1"/>
  <c r="V760" i="2"/>
  <c r="V54" i="1" s="1"/>
  <c r="B764" i="2"/>
  <c r="AO764" i="1" s="1"/>
  <c r="AP764" i="1" s="1"/>
  <c r="B54" i="1"/>
  <c r="I764" i="2" l="1"/>
  <c r="I53" i="1" s="1"/>
  <c r="J764" i="2"/>
  <c r="J53" i="1" s="1"/>
  <c r="M764" i="2"/>
  <c r="M53" i="1" s="1"/>
  <c r="N764" i="2"/>
  <c r="N53" i="1" s="1"/>
  <c r="V764" i="2"/>
  <c r="V53" i="1" s="1"/>
  <c r="B765" i="2"/>
  <c r="AO765" i="1" s="1"/>
  <c r="AP765" i="1" s="1"/>
  <c r="B53" i="1"/>
  <c r="I765" i="2" l="1"/>
  <c r="I52" i="1" s="1"/>
  <c r="J765" i="2"/>
  <c r="J52" i="1" s="1"/>
  <c r="M765" i="2"/>
  <c r="M52" i="1" s="1"/>
  <c r="N765" i="2"/>
  <c r="N52" i="1" s="1"/>
  <c r="V765" i="2"/>
  <c r="V52" i="1" s="1"/>
  <c r="B766" i="2"/>
  <c r="AO766" i="1" s="1"/>
  <c r="AP766" i="1" s="1"/>
  <c r="B52" i="1"/>
  <c r="I766" i="2" l="1"/>
  <c r="I51" i="1" s="1"/>
  <c r="J766" i="2"/>
  <c r="J51" i="1" s="1"/>
  <c r="M766" i="2"/>
  <c r="M51" i="1" s="1"/>
  <c r="N766" i="2"/>
  <c r="N51" i="1" s="1"/>
  <c r="V766" i="2"/>
  <c r="V51" i="1" s="1"/>
  <c r="B767" i="2"/>
  <c r="AO767" i="1" s="1"/>
  <c r="AP767" i="1" s="1"/>
  <c r="B51" i="1"/>
  <c r="I767" i="2" l="1"/>
  <c r="I50" i="1" s="1"/>
  <c r="J767" i="2"/>
  <c r="J50" i="1" s="1"/>
  <c r="M767" i="2"/>
  <c r="M50" i="1" s="1"/>
  <c r="N767" i="2"/>
  <c r="N50" i="1" s="1"/>
  <c r="V767" i="2"/>
  <c r="V50" i="1" s="1"/>
  <c r="B770" i="2"/>
  <c r="AO770" i="1" s="1"/>
  <c r="AP770" i="1" s="1"/>
  <c r="B50" i="1"/>
  <c r="I770" i="2" l="1"/>
  <c r="I49" i="1" s="1"/>
  <c r="J770" i="2"/>
  <c r="J49" i="1" s="1"/>
  <c r="M770" i="2"/>
  <c r="M49" i="1" s="1"/>
  <c r="N770" i="2"/>
  <c r="N49" i="1" s="1"/>
  <c r="V770" i="2"/>
  <c r="V49" i="1" s="1"/>
  <c r="B771" i="2"/>
  <c r="AO771" i="1" s="1"/>
  <c r="AP771" i="1" s="1"/>
  <c r="B49" i="1"/>
  <c r="I771" i="2" l="1"/>
  <c r="I48" i="1" s="1"/>
  <c r="J771" i="2"/>
  <c r="J48" i="1" s="1"/>
  <c r="M771" i="2"/>
  <c r="M48" i="1" s="1"/>
  <c r="N771" i="2"/>
  <c r="N48" i="1" s="1"/>
  <c r="V771" i="2"/>
  <c r="V48" i="1" s="1"/>
  <c r="B772" i="2"/>
  <c r="AO772" i="1" s="1"/>
  <c r="AP772" i="1" s="1"/>
  <c r="B48" i="1"/>
  <c r="I772" i="2" l="1"/>
  <c r="I47" i="1" s="1"/>
  <c r="J772" i="2"/>
  <c r="J47" i="1" s="1"/>
  <c r="M772" i="2"/>
  <c r="M47" i="1" s="1"/>
  <c r="N772" i="2"/>
  <c r="N47" i="1" s="1"/>
  <c r="V772" i="2"/>
  <c r="V47" i="1" s="1"/>
  <c r="B773" i="2"/>
  <c r="AO773" i="1" s="1"/>
  <c r="AP773" i="1" s="1"/>
  <c r="B47" i="1"/>
  <c r="I773" i="2" l="1"/>
  <c r="I46" i="1" s="1"/>
  <c r="J773" i="2"/>
  <c r="J46" i="1" s="1"/>
  <c r="M773" i="2"/>
  <c r="M46" i="1" s="1"/>
  <c r="N773" i="2"/>
  <c r="N46" i="1" s="1"/>
  <c r="V773" i="2"/>
  <c r="V46" i="1" s="1"/>
  <c r="B778" i="2"/>
  <c r="AO778" i="1" s="1"/>
  <c r="AP778" i="1" s="1"/>
  <c r="B46" i="1"/>
  <c r="I778" i="2" l="1"/>
  <c r="I45" i="1" s="1"/>
  <c r="J778" i="2"/>
  <c r="J45" i="1" s="1"/>
  <c r="M778" i="2"/>
  <c r="M45" i="1" s="1"/>
  <c r="N778" i="2"/>
  <c r="N45" i="1" s="1"/>
  <c r="V778" i="2"/>
  <c r="V45" i="1" s="1"/>
  <c r="B779" i="2"/>
  <c r="AO779" i="1" s="1"/>
  <c r="AP779" i="1" s="1"/>
  <c r="B45" i="1"/>
  <c r="I779" i="2" l="1"/>
  <c r="I44" i="1" s="1"/>
  <c r="J779" i="2"/>
  <c r="J44" i="1" s="1"/>
  <c r="M779" i="2"/>
  <c r="M44" i="1" s="1"/>
  <c r="N779" i="2"/>
  <c r="N44" i="1" s="1"/>
  <c r="V779" i="2"/>
  <c r="V44" i="1" s="1"/>
  <c r="B780" i="2"/>
  <c r="AO780" i="1" s="1"/>
  <c r="AP780" i="1" s="1"/>
  <c r="B44" i="1"/>
  <c r="I780" i="2" l="1"/>
  <c r="I43" i="1" s="1"/>
  <c r="J780" i="2"/>
  <c r="J43" i="1" s="1"/>
  <c r="M780" i="2"/>
  <c r="M43" i="1" s="1"/>
  <c r="N780" i="2"/>
  <c r="N43" i="1" s="1"/>
  <c r="V780" i="2"/>
  <c r="V43" i="1" s="1"/>
  <c r="B781" i="2"/>
  <c r="AO781" i="1" s="1"/>
  <c r="AP781" i="1" s="1"/>
  <c r="B43" i="1"/>
  <c r="I781" i="2" l="1"/>
  <c r="I42" i="1" s="1"/>
  <c r="J781" i="2"/>
  <c r="J42" i="1" s="1"/>
  <c r="M781" i="2"/>
  <c r="M42" i="1" s="1"/>
  <c r="N781" i="2"/>
  <c r="N42" i="1" s="1"/>
  <c r="V781" i="2"/>
  <c r="V42" i="1" s="1"/>
  <c r="B784" i="2"/>
  <c r="AO784" i="1" s="1"/>
  <c r="AP784" i="1" s="1"/>
  <c r="B42" i="1"/>
  <c r="I784" i="2" l="1"/>
  <c r="I41" i="1" s="1"/>
  <c r="J784" i="2"/>
  <c r="J41" i="1" s="1"/>
  <c r="M784" i="2"/>
  <c r="M41" i="1" s="1"/>
  <c r="N784" i="2"/>
  <c r="N41" i="1" s="1"/>
  <c r="V784" i="2"/>
  <c r="V41" i="1" s="1"/>
  <c r="B785" i="2"/>
  <c r="AO785" i="1" s="1"/>
  <c r="AP785" i="1" s="1"/>
  <c r="B41" i="1"/>
  <c r="I785" i="2" l="1"/>
  <c r="I40" i="1" s="1"/>
  <c r="J785" i="2"/>
  <c r="J40" i="1" s="1"/>
  <c r="M785" i="2"/>
  <c r="M40" i="1" s="1"/>
  <c r="N785" i="2"/>
  <c r="N40" i="1" s="1"/>
  <c r="V785" i="2"/>
  <c r="V40" i="1" s="1"/>
  <c r="B786" i="2"/>
  <c r="AO786" i="1" s="1"/>
  <c r="AP786" i="1" s="1"/>
  <c r="B40" i="1"/>
  <c r="I786" i="2" l="1"/>
  <c r="I39" i="1" s="1"/>
  <c r="J786" i="2"/>
  <c r="J39" i="1" s="1"/>
  <c r="M786" i="2"/>
  <c r="M39" i="1" s="1"/>
  <c r="N786" i="2"/>
  <c r="N39" i="1" s="1"/>
  <c r="V786" i="2"/>
  <c r="V39" i="1" s="1"/>
  <c r="B787" i="2"/>
  <c r="AO787" i="1" s="1"/>
  <c r="AP787" i="1" s="1"/>
  <c r="B39" i="1"/>
  <c r="I787" i="2" l="1"/>
  <c r="I38" i="1" s="1"/>
  <c r="J787" i="2"/>
  <c r="J38" i="1" s="1"/>
  <c r="M787" i="2"/>
  <c r="M38" i="1" s="1"/>
  <c r="N787" i="2"/>
  <c r="N38" i="1" s="1"/>
  <c r="V787" i="2"/>
  <c r="V38" i="1" s="1"/>
  <c r="B788" i="2"/>
  <c r="AO788" i="1" s="1"/>
  <c r="AP788" i="1" s="1"/>
  <c r="B38" i="1"/>
  <c r="I788" i="2" l="1"/>
  <c r="I37" i="1" s="1"/>
  <c r="J788" i="2"/>
  <c r="J37" i="1" s="1"/>
  <c r="M788" i="2"/>
  <c r="M37" i="1" s="1"/>
  <c r="N788" i="2"/>
  <c r="N37" i="1" s="1"/>
  <c r="V788" i="2"/>
  <c r="V37" i="1" s="1"/>
  <c r="B791" i="2"/>
  <c r="AO791" i="1" s="1"/>
  <c r="AP791" i="1" s="1"/>
  <c r="B37" i="1"/>
  <c r="I791" i="2" l="1"/>
  <c r="I36" i="1" s="1"/>
  <c r="J791" i="2"/>
  <c r="J36" i="1" s="1"/>
  <c r="M791" i="2"/>
  <c r="M36" i="1" s="1"/>
  <c r="N791" i="2"/>
  <c r="N36" i="1" s="1"/>
  <c r="V791" i="2"/>
  <c r="V36" i="1" s="1"/>
  <c r="B800" i="2"/>
  <c r="AO800" i="1" s="1"/>
  <c r="AP800" i="1" s="1"/>
  <c r="B36" i="1"/>
  <c r="I800" i="2" l="1"/>
  <c r="I35" i="1" s="1"/>
  <c r="J800" i="2"/>
  <c r="J35" i="1" s="1"/>
  <c r="M800" i="2"/>
  <c r="M35" i="1" s="1"/>
  <c r="N800" i="2"/>
  <c r="N35" i="1" s="1"/>
  <c r="V800" i="2"/>
  <c r="V35" i="1" s="1"/>
  <c r="B807" i="2"/>
  <c r="AO807" i="1" s="1"/>
  <c r="AP807" i="1" s="1"/>
  <c r="B35" i="1"/>
  <c r="I807" i="2" l="1"/>
  <c r="I34" i="1" s="1"/>
  <c r="J807" i="2"/>
  <c r="J34" i="1" s="1"/>
  <c r="M807" i="2"/>
  <c r="M34" i="1" s="1"/>
  <c r="N807" i="2"/>
  <c r="N34" i="1" s="1"/>
  <c r="V807" i="2"/>
  <c r="V34" i="1" s="1"/>
  <c r="B814" i="2"/>
  <c r="AO814" i="1" s="1"/>
  <c r="AP814" i="1" s="1"/>
  <c r="B34" i="1"/>
  <c r="I814" i="2" l="1"/>
  <c r="I33" i="1" s="1"/>
  <c r="J814" i="2"/>
  <c r="J33" i="1" s="1"/>
  <c r="M814" i="2"/>
  <c r="M33" i="1" s="1"/>
  <c r="N814" i="2"/>
  <c r="N33" i="1" s="1"/>
  <c r="V814" i="2"/>
  <c r="V33" i="1" s="1"/>
  <c r="B821" i="2"/>
  <c r="AO821" i="1" s="1"/>
  <c r="AP821" i="1" s="1"/>
  <c r="B33" i="1"/>
  <c r="I821" i="2" l="1"/>
  <c r="I32" i="1" s="1"/>
  <c r="J821" i="2"/>
  <c r="J32" i="1" s="1"/>
  <c r="M821" i="2"/>
  <c r="M32" i="1" s="1"/>
  <c r="N821" i="2"/>
  <c r="N32" i="1" s="1"/>
  <c r="V821" i="2"/>
  <c r="V32" i="1" s="1"/>
  <c r="B828" i="2"/>
  <c r="AO828" i="1" s="1"/>
  <c r="AP828" i="1" s="1"/>
  <c r="B32" i="1"/>
  <c r="I828" i="2" l="1"/>
  <c r="I31" i="1" s="1"/>
  <c r="J828" i="2"/>
  <c r="J31" i="1" s="1"/>
  <c r="M828" i="2"/>
  <c r="M31" i="1" s="1"/>
  <c r="N828" i="2"/>
  <c r="N31" i="1" s="1"/>
  <c r="V828" i="2"/>
  <c r="V31" i="1" s="1"/>
  <c r="B835" i="2"/>
  <c r="AO835" i="1" s="1"/>
  <c r="AP835" i="1" s="1"/>
  <c r="B31" i="1"/>
  <c r="I835" i="2" l="1"/>
  <c r="I30" i="1" s="1"/>
  <c r="J835" i="2"/>
  <c r="J30" i="1" s="1"/>
  <c r="M835" i="2"/>
  <c r="M30" i="1" s="1"/>
  <c r="N835" i="2"/>
  <c r="N30" i="1" s="1"/>
  <c r="V835" i="2"/>
  <c r="V30" i="1" s="1"/>
  <c r="B842" i="2"/>
  <c r="AO842" i="1" s="1"/>
  <c r="AP842" i="1" s="1"/>
  <c r="B30" i="1"/>
  <c r="I842" i="2" l="1"/>
  <c r="I29" i="1" s="1"/>
  <c r="J842" i="2"/>
  <c r="J29" i="1" s="1"/>
  <c r="M842" i="2"/>
  <c r="M29" i="1" s="1"/>
  <c r="N842" i="2"/>
  <c r="N29" i="1" s="1"/>
  <c r="V842" i="2"/>
  <c r="V29" i="1" s="1"/>
  <c r="B849" i="2"/>
  <c r="AO849" i="1" s="1"/>
  <c r="AP849" i="1" s="1"/>
  <c r="B29" i="1"/>
  <c r="I849" i="2" l="1"/>
  <c r="I28" i="1" s="1"/>
  <c r="J849" i="2"/>
  <c r="J28" i="1" s="1"/>
  <c r="M849" i="2"/>
  <c r="M28" i="1" s="1"/>
  <c r="N849" i="2"/>
  <c r="N28" i="1" s="1"/>
  <c r="V849" i="2"/>
  <c r="V28" i="1" s="1"/>
  <c r="B856" i="2"/>
  <c r="AO856" i="1" s="1"/>
  <c r="AP856" i="1" s="1"/>
  <c r="B28" i="1"/>
  <c r="I856" i="2" l="1"/>
  <c r="I27" i="1" s="1"/>
  <c r="J856" i="2"/>
  <c r="J27" i="1" s="1"/>
  <c r="M856" i="2"/>
  <c r="M27" i="1" s="1"/>
  <c r="N856" i="2"/>
  <c r="N27" i="1" s="1"/>
  <c r="V856" i="2"/>
  <c r="V27" i="1" s="1"/>
  <c r="B863" i="2"/>
  <c r="AO863" i="1" s="1"/>
  <c r="AP863" i="1" s="1"/>
  <c r="B27" i="1"/>
  <c r="I863" i="2" l="1"/>
  <c r="I26" i="1" s="1"/>
  <c r="J863" i="2"/>
  <c r="J26" i="1" s="1"/>
  <c r="M863" i="2"/>
  <c r="M26" i="1" s="1"/>
  <c r="N863" i="2"/>
  <c r="N26" i="1" s="1"/>
  <c r="V863" i="2"/>
  <c r="V26" i="1" s="1"/>
  <c r="B870" i="2"/>
  <c r="AO870" i="1" s="1"/>
  <c r="AP870" i="1" s="1"/>
  <c r="B26" i="1"/>
  <c r="I870" i="2" l="1"/>
  <c r="I25" i="1" s="1"/>
  <c r="J870" i="2"/>
  <c r="J25" i="1" s="1"/>
  <c r="M870" i="2"/>
  <c r="M25" i="1" s="1"/>
  <c r="N870" i="2"/>
  <c r="N25" i="1" s="1"/>
  <c r="V870" i="2"/>
  <c r="V25" i="1" s="1"/>
  <c r="B877" i="2"/>
  <c r="AO877" i="1" s="1"/>
  <c r="AP877" i="1" s="1"/>
  <c r="B25" i="1"/>
  <c r="I877" i="2" l="1"/>
  <c r="I24" i="1" s="1"/>
  <c r="J877" i="2"/>
  <c r="J24" i="1" s="1"/>
  <c r="M877" i="2"/>
  <c r="M24" i="1" s="1"/>
  <c r="N877" i="2"/>
  <c r="N24" i="1" s="1"/>
  <c r="V877" i="2"/>
  <c r="V24" i="1" s="1"/>
  <c r="B884" i="2"/>
  <c r="AO884" i="1" s="1"/>
  <c r="AP884" i="1" s="1"/>
  <c r="B24" i="1"/>
  <c r="I884" i="2" l="1"/>
  <c r="I23" i="1" s="1"/>
  <c r="J884" i="2"/>
  <c r="J23" i="1" s="1"/>
  <c r="M884" i="2"/>
  <c r="M23" i="1" s="1"/>
  <c r="N884" i="2"/>
  <c r="N23" i="1" s="1"/>
  <c r="V884" i="2"/>
  <c r="V23" i="1" s="1"/>
  <c r="B891" i="2"/>
  <c r="AO891" i="1" s="1"/>
  <c r="AP891" i="1" s="1"/>
  <c r="B23" i="1"/>
  <c r="I891" i="2" l="1"/>
  <c r="I22" i="1" s="1"/>
  <c r="J891" i="2"/>
  <c r="J22" i="1" s="1"/>
  <c r="M891" i="2"/>
  <c r="M22" i="1" s="1"/>
  <c r="N891" i="2"/>
  <c r="N22" i="1" s="1"/>
  <c r="V891" i="2"/>
  <c r="V22" i="1" s="1"/>
  <c r="B898" i="2"/>
  <c r="AO898" i="1" s="1"/>
  <c r="AP898" i="1" s="1"/>
  <c r="B22" i="1"/>
  <c r="I898" i="2" l="1"/>
  <c r="I21" i="1" s="1"/>
  <c r="J898" i="2"/>
  <c r="J21" i="1" s="1"/>
  <c r="M898" i="2"/>
  <c r="M21" i="1" s="1"/>
  <c r="N898" i="2"/>
  <c r="N21" i="1" s="1"/>
  <c r="V898" i="2"/>
  <c r="V21" i="1" s="1"/>
  <c r="B905" i="2"/>
  <c r="AO905" i="1" s="1"/>
  <c r="AP905" i="1" s="1"/>
  <c r="B21" i="1"/>
  <c r="I905" i="2" l="1"/>
  <c r="I20" i="1" s="1"/>
  <c r="J905" i="2"/>
  <c r="J20" i="1" s="1"/>
  <c r="M905" i="2"/>
  <c r="M20" i="1" s="1"/>
  <c r="N905" i="2"/>
  <c r="N20" i="1" s="1"/>
  <c r="V905" i="2"/>
  <c r="V20" i="1" s="1"/>
  <c r="B912" i="2"/>
  <c r="AO912" i="1" s="1"/>
  <c r="AP912" i="1" s="1"/>
  <c r="B20" i="1"/>
  <c r="I912" i="2" l="1"/>
  <c r="I19" i="1" s="1"/>
  <c r="J912" i="2"/>
  <c r="J19" i="1" s="1"/>
  <c r="M912" i="2"/>
  <c r="M19" i="1" s="1"/>
  <c r="N912" i="2"/>
  <c r="N19" i="1" s="1"/>
  <c r="V912" i="2"/>
  <c r="V19" i="1" s="1"/>
  <c r="B919" i="2"/>
  <c r="AO919" i="1" s="1"/>
  <c r="AP919" i="1" s="1"/>
  <c r="B19" i="1"/>
  <c r="I919" i="2" l="1"/>
  <c r="I18" i="1" s="1"/>
  <c r="J919" i="2"/>
  <c r="J18" i="1" s="1"/>
  <c r="M919" i="2"/>
  <c r="M18" i="1" s="1"/>
  <c r="N919" i="2"/>
  <c r="N18" i="1" s="1"/>
  <c r="V919" i="2"/>
  <c r="V18" i="1" s="1"/>
  <c r="B926" i="2"/>
  <c r="AO926" i="1" s="1"/>
  <c r="AP926" i="1" s="1"/>
  <c r="B18" i="1"/>
  <c r="I926" i="2" l="1"/>
  <c r="I17" i="1" s="1"/>
  <c r="J926" i="2"/>
  <c r="J17" i="1" s="1"/>
  <c r="M926" i="2"/>
  <c r="M17" i="1" s="1"/>
  <c r="N926" i="2"/>
  <c r="N17" i="1" s="1"/>
  <c r="V926" i="2"/>
  <c r="V17" i="1" s="1"/>
  <c r="B933" i="2"/>
  <c r="AO933" i="1" s="1"/>
  <c r="AP933" i="1" s="1"/>
  <c r="B17" i="1"/>
  <c r="I933" i="2" l="1"/>
  <c r="I16" i="1" s="1"/>
  <c r="J933" i="2"/>
  <c r="J16" i="1" s="1"/>
  <c r="M933" i="2"/>
  <c r="M16" i="1" s="1"/>
  <c r="N933" i="2"/>
  <c r="N16" i="1" s="1"/>
  <c r="V933" i="2"/>
  <c r="V16" i="1" s="1"/>
  <c r="B940" i="2"/>
  <c r="AO940" i="1" s="1"/>
  <c r="AP940" i="1" s="1"/>
  <c r="B16" i="1"/>
  <c r="I940" i="2" l="1"/>
  <c r="I15" i="1" s="1"/>
  <c r="J940" i="2"/>
  <c r="J15" i="1" s="1"/>
  <c r="M940" i="2"/>
  <c r="M15" i="1" s="1"/>
  <c r="N940" i="2"/>
  <c r="N15" i="1" s="1"/>
  <c r="V940" i="2"/>
  <c r="V15" i="1" s="1"/>
  <c r="B947" i="2"/>
  <c r="AO947" i="1" s="1"/>
  <c r="AP947" i="1" s="1"/>
  <c r="B15" i="1"/>
  <c r="I947" i="2" l="1"/>
  <c r="I14" i="1" s="1"/>
  <c r="J947" i="2"/>
  <c r="J14" i="1" s="1"/>
  <c r="M947" i="2"/>
  <c r="M14" i="1" s="1"/>
  <c r="N947" i="2"/>
  <c r="N14" i="1" s="1"/>
  <c r="V947" i="2"/>
  <c r="V14" i="1" s="1"/>
  <c r="B954" i="2"/>
  <c r="AO954" i="1" s="1"/>
  <c r="AP954" i="1" s="1"/>
  <c r="B14" i="1"/>
  <c r="I954" i="2" l="1"/>
  <c r="I13" i="1" s="1"/>
  <c r="J954" i="2"/>
  <c r="J13" i="1" s="1"/>
  <c r="M954" i="2"/>
  <c r="M13" i="1" s="1"/>
  <c r="N954" i="2"/>
  <c r="N13" i="1" s="1"/>
  <c r="V954" i="2"/>
  <c r="V13" i="1" s="1"/>
  <c r="B961" i="2"/>
  <c r="AO961" i="1" s="1"/>
  <c r="AP961" i="1" s="1"/>
  <c r="B13" i="1"/>
  <c r="I961" i="2" l="1"/>
  <c r="I12" i="1" s="1"/>
  <c r="J961" i="2"/>
  <c r="J12" i="1" s="1"/>
  <c r="M961" i="2"/>
  <c r="M12" i="1" s="1"/>
  <c r="N961" i="2"/>
  <c r="N12" i="1" s="1"/>
  <c r="V961" i="2"/>
  <c r="V12" i="1" s="1"/>
  <c r="B968" i="2"/>
  <c r="AO968" i="1" s="1"/>
  <c r="AP968" i="1" s="1"/>
  <c r="B12" i="1"/>
  <c r="I968" i="2" l="1"/>
  <c r="I11" i="1" s="1"/>
  <c r="J968" i="2"/>
  <c r="J11" i="1" s="1"/>
  <c r="M968" i="2"/>
  <c r="M11" i="1" s="1"/>
  <c r="N968" i="2"/>
  <c r="N11" i="1" s="1"/>
  <c r="V968" i="2"/>
  <c r="V11" i="1" s="1"/>
  <c r="B975" i="2"/>
  <c r="AO975" i="1" s="1"/>
  <c r="AP975" i="1" s="1"/>
  <c r="B11" i="1"/>
  <c r="I975" i="2" l="1"/>
  <c r="I10" i="1" s="1"/>
  <c r="J975" i="2"/>
  <c r="J10" i="1" s="1"/>
  <c r="B982" i="2"/>
  <c r="AO982" i="1" s="1"/>
  <c r="AP982" i="1" s="1"/>
  <c r="B10" i="1"/>
  <c r="I982" i="2" l="1"/>
  <c r="I9" i="1" s="1"/>
  <c r="J982" i="2"/>
  <c r="J9" i="1" s="1"/>
  <c r="M982" i="2"/>
  <c r="M9" i="1" s="1"/>
  <c r="N982" i="2"/>
  <c r="N9" i="1" s="1"/>
  <c r="V982" i="2"/>
  <c r="V9" i="1" s="1"/>
  <c r="B989" i="2"/>
  <c r="AO989" i="1" s="1"/>
  <c r="AP989" i="1" s="1"/>
  <c r="B9" i="1"/>
  <c r="I989" i="2" l="1"/>
  <c r="I8" i="1" s="1"/>
  <c r="J989" i="2"/>
  <c r="J8" i="1" s="1"/>
  <c r="M989" i="2"/>
  <c r="M8" i="1" s="1"/>
  <c r="N989" i="2"/>
  <c r="N8" i="1" s="1"/>
  <c r="V989" i="2"/>
  <c r="V8" i="1" s="1"/>
  <c r="B996" i="2"/>
  <c r="AO996" i="1" s="1"/>
  <c r="AP996" i="1" s="1"/>
  <c r="B8" i="1"/>
  <c r="I996" i="2" l="1"/>
  <c r="I7" i="1" s="1"/>
  <c r="J996" i="2"/>
  <c r="J7" i="1" s="1"/>
  <c r="M996" i="2"/>
  <c r="M7" i="1" s="1"/>
  <c r="N996" i="2"/>
  <c r="N7" i="1" s="1"/>
  <c r="V996" i="2"/>
  <c r="V7" i="1" s="1"/>
  <c r="B1003" i="2"/>
  <c r="AO1003" i="1" s="1"/>
  <c r="AP1003" i="1" s="1"/>
  <c r="B7" i="1"/>
  <c r="I1003" i="2" l="1"/>
  <c r="I6" i="1" s="1"/>
  <c r="J1003" i="2"/>
  <c r="J6" i="1" s="1"/>
  <c r="M1003" i="2"/>
  <c r="M6" i="1" s="1"/>
  <c r="N1003" i="2"/>
  <c r="N6" i="1" s="1"/>
  <c r="V1003" i="2"/>
  <c r="V6" i="1" s="1"/>
  <c r="B1010" i="2"/>
  <c r="AO1010" i="1" s="1"/>
  <c r="AP1010" i="1" s="1"/>
  <c r="B6" i="1"/>
  <c r="I1010" i="2" l="1"/>
  <c r="I5" i="1" s="1"/>
  <c r="J1010" i="2"/>
  <c r="J5" i="1" s="1"/>
  <c r="M1010" i="2"/>
  <c r="M5" i="1" s="1"/>
  <c r="N1010" i="2"/>
  <c r="N5" i="1" s="1"/>
  <c r="V1010" i="2"/>
  <c r="V5" i="1" s="1"/>
  <c r="B1017" i="2"/>
  <c r="AO1017" i="1" s="1"/>
  <c r="AP1017" i="1" s="1"/>
  <c r="B5" i="1"/>
  <c r="I1017" i="2" l="1"/>
  <c r="I4" i="1" s="1"/>
  <c r="J1017" i="2"/>
  <c r="J4" i="1" s="1"/>
  <c r="M1017" i="2"/>
  <c r="M4" i="1" s="1"/>
  <c r="N1017" i="2"/>
  <c r="N4" i="1" s="1"/>
  <c r="V1017" i="2"/>
  <c r="V4" i="1" s="1"/>
  <c r="B1024" i="2"/>
  <c r="AO1024" i="1" s="1"/>
  <c r="AP1024" i="1" s="1"/>
  <c r="B4" i="1"/>
  <c r="I1024" i="2" l="1"/>
  <c r="I3" i="1" s="1"/>
  <c r="J1024" i="2"/>
  <c r="J3" i="1" s="1"/>
  <c r="M1024" i="2"/>
  <c r="N1024" i="2"/>
  <c r="N3" i="1" s="1"/>
  <c r="V1024" i="2"/>
  <c r="V3" i="1" s="1"/>
  <c r="B1031" i="2"/>
  <c r="AO1031" i="1" s="1"/>
  <c r="AP1031" i="1" s="1"/>
  <c r="A2" i="8"/>
  <c r="B3" i="1"/>
  <c r="C5" i="4" l="1"/>
  <c r="B5" i="4" s="1"/>
  <c r="M3" i="1"/>
  <c r="I1031" i="2"/>
  <c r="I2" i="1" s="1"/>
  <c r="J1031" i="2"/>
  <c r="J2" i="1" s="1"/>
  <c r="M1031" i="2"/>
  <c r="M2" i="1" s="1"/>
  <c r="N1031" i="2"/>
  <c r="N2" i="1" s="1"/>
  <c r="V1031" i="2"/>
  <c r="V2" i="1" s="1"/>
  <c r="B2" i="1"/>
</calcChain>
</file>

<file path=xl/sharedStrings.xml><?xml version="1.0" encoding="utf-8"?>
<sst xmlns="http://schemas.openxmlformats.org/spreadsheetml/2006/main" count="5352" uniqueCount="110">
  <si>
    <t>Dátum</t>
  </si>
  <si>
    <t>Regisztrált esetek száma</t>
  </si>
  <si>
    <t>Új esetek száma</t>
  </si>
  <si>
    <t>Elhunytak</t>
  </si>
  <si>
    <t>Gyógyultak</t>
  </si>
  <si>
    <t>Mintavétel száma</t>
  </si>
  <si>
    <t>Egymillió lakosra elvégzett tesztek száma</t>
  </si>
  <si>
    <t>Kórházi karanténba zártak száma</t>
  </si>
  <si>
    <t>Regisztrált esetek százalékos változása az előző naphoz viszonyítva</t>
  </si>
  <si>
    <t>Pozitív tesztek aránya</t>
  </si>
  <si>
    <t>A mintavételek számának százalékos változása az előző naphoz képest</t>
  </si>
  <si>
    <t>Aktív fertőzöttek száma</t>
  </si>
  <si>
    <t>Elhunytak aránya Magyarországon</t>
  </si>
  <si>
    <t>Gyógyultak aránya Magyarországon</t>
  </si>
  <si>
    <t>Hatósági házi karantén</t>
  </si>
  <si>
    <t>Új mintavételek száma</t>
  </si>
  <si>
    <t>Új esetek aránya az új mintavételekhez képest</t>
  </si>
  <si>
    <t>Új elhunytak száma</t>
  </si>
  <si>
    <t>Új gyógyultak száma</t>
  </si>
  <si>
    <t>Kórházi ápoltak száma</t>
  </si>
  <si>
    <t>Lélegeztetőgépen lévők száma</t>
  </si>
  <si>
    <t>Aktív esetek/összes eset</t>
  </si>
  <si>
    <t>Kórházi ápoltak számának változása az előző naphoz képest</t>
  </si>
  <si>
    <t>Lélegeztetőgépen lévők számának változása az előző naphoz képest</t>
  </si>
  <si>
    <t>Kórházi ápoltak aránya az aktív eseteken belül</t>
  </si>
  <si>
    <t>Lélegeztetőgépen lévők aránya a kórházi ápoltakon belül</t>
  </si>
  <si>
    <t>Növekedési faktor</t>
  </si>
  <si>
    <t>Hétnapos mozgóátlag</t>
  </si>
  <si>
    <t>Hétnapos csúszóátlag</t>
  </si>
  <si>
    <t>Beoltottak száma Magyarországon</t>
  </si>
  <si>
    <t>Új beoltottak száma Magyarországon</t>
  </si>
  <si>
    <t>Második oltás</t>
  </si>
  <si>
    <t>Második oltás napi</t>
  </si>
  <si>
    <t>Regeset</t>
  </si>
  <si>
    <t>Az új elhunytak száma naponta</t>
  </si>
  <si>
    <t>Új gyógyultak naponta</t>
  </si>
  <si>
    <t>Bács-Kiskun</t>
  </si>
  <si>
    <t>Baranya</t>
  </si>
  <si>
    <t>Békés</t>
  </si>
  <si>
    <t>Borsod-Abaúj-Zemplén</t>
  </si>
  <si>
    <t>Budapest</t>
  </si>
  <si>
    <t>Csongrád</t>
  </si>
  <si>
    <t>Fejér</t>
  </si>
  <si>
    <t>Győr-Moson-Sopron</t>
  </si>
  <si>
    <t>Hajdú-Bihar</t>
  </si>
  <si>
    <t>Heves</t>
  </si>
  <si>
    <t>Jász-Nagykun-Szolnok</t>
  </si>
  <si>
    <t>Komárom-Esztergom</t>
  </si>
  <si>
    <t>Nógrád</t>
  </si>
  <si>
    <t>Pest</t>
  </si>
  <si>
    <t>Somogy</t>
  </si>
  <si>
    <t>Szabolcs-Szatmár-Bereg</t>
  </si>
  <si>
    <t>Tolna</t>
  </si>
  <si>
    <t>Vas</t>
  </si>
  <si>
    <t>Veszprém</t>
  </si>
  <si>
    <t>Zala</t>
  </si>
  <si>
    <t>Összesen</t>
  </si>
  <si>
    <t>Adatok frissültek:</t>
  </si>
  <si>
    <t>Fertőzött</t>
  </si>
  <si>
    <t>Aktív</t>
  </si>
  <si>
    <t>pozitívak aránya</t>
  </si>
  <si>
    <t>Elhunyt</t>
  </si>
  <si>
    <t>Halálozások aránya</t>
  </si>
  <si>
    <t>Új esetek</t>
  </si>
  <si>
    <t>tesztek száma</t>
  </si>
  <si>
    <t>változás előző naphoz</t>
  </si>
  <si>
    <t>kórházban</t>
  </si>
  <si>
    <t>lélegeztetőgépen</t>
  </si>
  <si>
    <t>Kategória</t>
  </si>
  <si>
    <t>Kategória2</t>
  </si>
  <si>
    <t>Új elhunytak hétnapos átlaga</t>
  </si>
  <si>
    <t>Új gyógyultak hétnapos átlaga</t>
  </si>
  <si>
    <t>Pozitív tesztek arányának hétnapos átlaga</t>
  </si>
  <si>
    <t xml:space="preserve"> </t>
  </si>
  <si>
    <t>1. hullám</t>
  </si>
  <si>
    <t>2. hullám</t>
  </si>
  <si>
    <t>3. hullám</t>
  </si>
  <si>
    <t>4. hullám</t>
  </si>
  <si>
    <t>5. hullám</t>
  </si>
  <si>
    <t>Megye</t>
  </si>
  <si>
    <t>Azonosított fertőzöttek száma</t>
  </si>
  <si>
    <t>Azonosított fertőzöttek százalékos aránya</t>
  </si>
  <si>
    <t>Heti új esetek száma</t>
  </si>
  <si>
    <t>Új esetek száma az előző héthez képest</t>
  </si>
  <si>
    <t>Heti új esetek száma 100 000 főre</t>
  </si>
  <si>
    <t>Lakosság</t>
  </si>
  <si>
    <t>wkt</t>
  </si>
  <si>
    <t>{"type":"MultiPolygon","coordinates":[[[[18.733072,46.045452],[18.738517,46.048894],[18.756458,46.067603],[18.769995,46.094671],[18.780377,46.09927],[18.79787,46.103878],[18.802774,46.108841],[18.815366,46.108483],[18.819737,46.109255],[18.816453,46.110388],[18.810956,46.114567],[18.825117,46.133635],[18.826759,46.13326],[18.83219,46.143931],[18.835875,46.142783],[18.83822,46.14318],[18.839861,46.14547],[18.840919,46.153088],[18.839247,46.161459],[18.841422,46.166414],[18.839223,46.167557],[18.844096,46.183556],[18.851765,46.18471],[18.851204,46.189283],[18.854476,46.192716],[18.87093,46.193121],[18.870915,46.197689],[18.866513,46.201109],[18.865947,46.207585],[18.867036,46.210252],[18.87141,46.212924],[18.871924,46.222444],[18.86754,46.222437],[18.849484,46.20832],[18.833062,46.201051],[18.827576,46.202565],[18.822083,46.205603],[18.822615,46.208647],[18.82971,46.217803],[18.832444,46.219711],[18.842305,46.223157],[18.849948,46.233068],[18.853777,46.236124],[18.862015,46.234997],[18.866964,46.231956],[18.87517,46.238061],[18.876803,46.241113],[18.876789,46.245681],[18.867433,46.254802],[18.862459,46.264698],[18.862998,46.266602],[18.867383,46.270036],[18.876166,46.270434],[18.886074,46.262447],[18.892121,46.259791],[18.905294,46.258667],[18.911328,46.260956],[18.910772,46.265529],[18.912931,46.277716],[18.917843,46.290285],[18.917835,46.293712],[18.918936,46.293336],[18.921663,46.300956],[18.922201,46.308189],[18.919438,46.315425],[18.907868,46.324547],[18.899604,46.334056],[18.897946,46.338244],[18.893479,46.361083],[18.892896,46.37403],[18.885122,46.39573],[18.885656,46.402964],[18.888937,46.411348],[18.900468,46.421261],[18.913634,46.438793],[18.920224,46.449845],[18.924046,46.464321],[18.922363,46.47498],[18.917363,46.491349],[18.910369,46.495157],[18.911839,46.497057],[18.896342,46.51912],[18.895216,46.52712],[18.896849,46.533977],[18.89573,46.538921],[18.89736,46.550346],[18.895671,46.55987],[18.884583,46.575467],[18.864085,46.595995],[18.859646,46.603226],[18.859076,46.606653],[18.862362,46.616178],[18.868975,46.620757],[18.882742,46.636774],[18.88882,46.638301],[18.917569,46.637575],[18.917007,46.639099],[18.923088,46.639868],[18.92419,46.641772],[18.933031,46.644068],[18.942424,46.649408],[18.949603,46.650939],[18.955682,46.653609],[18.956248,46.648657],[18.967849,46.65438],[18.978341,46.663523],[18.993255,46.682955],[19.003757,46.691717],[19.006526,46.699335],[19.00596,46.708855],[19.002078,46.717989],[18.986561,46.734741],[18.983787,46.740447],[18.982667,46.749211],[18.979887,46.752252],[18.97711,46.759105],[18.978211,46.765198],[18.971006,46.764431],[18.967113,46.774333],[18.961562,46.782324],[18.956568,46.785363],[18.953782,46.794881],[18.949895,46.798689],[18.953771,46.80098],[18.935452,46.808958],[18.92656,46.817707],[18.924333,46.824175],[18.925418,46.831793],[18.924265,46.854259],[18.926453,46.865306],[18.931987,46.875972],[18.947804,46.891337],[18.955821,46.901125],[18.959138,46.907604],[18.965215,46.931216],[18.965758,46.936931],[18.962962,46.949114],[18.952541,46.96957],[18.950224,46.980865],[18.951037,46.99218],[18.95674,46.999615],[18.965831,47.008023],[18.968858,47.019613],[18.966715,47.03004],[18.972853,47.034419],[18.977303,47.041277],[18.973323,47.046184],[18.957779,47.056113],[18.95665,47.064106],[18.993433,47.057275],[19.020176,47.054242],[19.02074,47.051193],[19.022408,47.051193],[19.024087,47.048906],[19.03912,47.043963],[19.046364,47.0432],[19.064186,47.038632],[19.069759,47.034441],[19.073096,47.037867],[19.087586,47.043571],[19.095385,47.045471],[19.098729,47.054233],[19.098185,47.06299],[19.106504,47.067525],[19.13219,47.071727],[19.139437,47.077052],[19.143357,47.082763],[19.158979,47.090743],[19.164008,47.09569],[19.20248,47.097547],[19.209143,47.089159],[19.237167,47.131005],[19.251123,47.133262],[19.268981,47.134375],[19.282349,47.128256],[19.298519,47.125935],[19.311876,47.120575],[19.327434,47.109494],[19.338535,47.099568],[19.347985,47.093445],[19.328936,47.075979],[19.314394,47.066879],[19.295304,47.036076],[19.319134,47.012793],[19.325311,47.022676],[19.333127,47.026846],[19.358221,47.032873],[19.374373,47.032827],[19.386099,47.03813],[19.42917,47.063888],[19.440283,47.059276],[19.461966,47.053491],[19.474793,47.055347],[19.486078,47.072441],[19.493517,47.096397],[19.505983,47.119199],[19.532686,47.111472],[19.561651,47.107539],[19.570022,47.108642],[19.577878,47.112795],[19.58744,47.12113],[19.603989,47.10353],[19.620491,47.082506],[19.629193,47.06266],[19.636732,47.038252],[19.663744,47.014501],[19.674237,47.007589],[19.689668,46.994172],[19.699054,46.98841],[19.72563,46.977973],[19.73558,46.972962],[19.77975,46.948694],[19.80209,46.955403],[19.829176,46.94456],[19.840296,46.944484],[19.844238,46.947884],[19.857886,46.96759],[19.861263,46.970609],[19.861304,46.973274],[19.874397,46.992605],[19.876708,46.997918],[19.908169,46.981688],[19.926978,46.975074],[19.934174,46.972731],[19.953632,46.9722],[19.98351,46.962817],[19.98275,46.983011],[19.999716,46.998483],[20.026594,47.007392],[20.060662,47.013188],[20.069692,47.019585],[20.07136,47.01957],[20.08842,47.009132],[20.116052,46.998972],[20.129281,46.992377],[20.139117,46.983903],[20.130685,46.979415],[20.126691,46.974501],[20.128272,46.970296],[20.133747,46.965676],[20.133109,46.961876],[20.130268,46.958853],[20.112437,46.957118],[20.105714,46.954515],[20.103412,46.950725],[20.104904,46.941953],[20.108789,46.936576],[20.112694,46.937302],[20.116553,46.940704],[20.126069,46.943664],[20.140488,46.942002],[20.148775,46.939257],[20.158552,46.928116],[20.160058,46.920484],[20.155475,46.913673],[20.148187,46.9107],[20.136469,46.908148],[20.129236,46.907832],[20.123085,46.905988],[20.123478,46.897604],[20.120625,46.894203],[20.099838,46.882211],[20.093073,46.876942],[20.085808,46.874722],[20.094423,46.860932],[20.107083,46.855484],[20.115207,46.845126],[20.114601,46.84285],[20.103428,46.838764],[20.093471,46.840381],[20.078489,46.840518],[20.070759,46.84249],[20.061292,46.84105],[20.04346,46.837018],[20.042817,46.832077],[20.041678,46.830562],[20.038325,46.829445],[20.024443,46.828809],[20.013824,46.824325],[20.00213,46.821758],[20.000945,46.817578],[20.004165,46.811843],[20.011841,46.806447],[20.02065,46.802945],[20.029953,46.796387],[20.035508,46.797102],[20.040046,46.802393],[20.040159,46.808485],[20.03253,46.815791],[20.030916,46.818848],[20.032642,46.821883],[20.037676,46.82412],[20.043786,46.824451],[20.047009,46.819092],[20.057481,46.815188],[20.061312,46.812488],[20.061755,46.806769],[20.024679,46.780819],[19.999796,46.752847],[19.981259,46.738534],[19.969429,46.726823],[20.005564,46.703677],[20.011503,46.695246],[20.0079,46.679663],[19.9932,46.661508],[19.98534,46.654718],[19.980608,46.637234],[19.991029,46.632202],[19.994179,46.623033],[19.99229,46.609723],[19.989416,46.603269],[19.994736,46.591801],[19.976298,46.579384],[19.961181,46.567321],[19.943748,46.548419],[19.930652,46.55728],[19.892342,46.578523],[19.83961,46.560241],[19.815727,46.550123],[19.780159,46.53208],[19.809587,46.50599],[19.837745,46.508462],[19.848268,46.511053],[19.873377,46.494119],[19.885967,46.488311],[19.895214,46.480625],[19.90108,46.468017],[19.89985,46.460031],[19.882535,46.44454],[19.898195,46.425004],[19.898667,46.41967],[19.89464,46.408655],[19.88516,46.401109],[19.881079,46.386288],[19.866634,46.376873],[19.85722,46.373136],[19.827688,46.384767],[19.819491,46.389013],[19.793977,46.374328],[19.767406,46.361937],[19.75632,46.35553],[19.743605,46.350279],[19.72231,46.362216],[19.696977,46.359315],[19.656135,46.34698],[19.662557,46.33171],[19.67999,46.318288],[19.689192,46.306051],[19.653162,46.278068],[19.638185,46.264438],[19.683209,46.217732],[19.686449,46.213146],[19.695514,46.191767],[19.69931,46.188324],[19.686297,46.181798],[19.686523,46.180111],[19.682544,46.179735],[19.676557,46.181841],[19.670283,46.18656],[19.669582,46.184019],[19.661538,46.190052],[19.6316,46.169243],[19.607977,46.172773],[19.606366,46.172128],[19.605511,46.17314],[19.567629,46.178718],[19.56315,46.176978],[19.564262,46.175618],[19.559832,46.173929],[19.563169,46.169758],[19.558632,46.168016],[19.560443,46.166298],[19.526563,46.147692],[19.516759,46.151735],[19.502454,46.142086],[19.509442,46.137353],[19.507473,46.13463],[19.508082,46.133599],[19.527068,46.120937],[19.508966,46.110724],[19.485772,46.103494],[19.485006,46.104737],[19.48184,46.104804],[19.48035,46.101765],[19.471328,46.097744],[19.470782,46.09659],[19.464423,46.095275],[19.466929,46.089006],[19.466528,46.081649],[19.438252,46.066178],[19.423006,46.05494],[19.415439,46.045731],[19.39507,46.041968],[19.38018,46.035806],[19.364162,46.05217],[19.281601,46.014522],[19.302711,45.991551],[19.296538,45.987797],[19.28535,45.996758],[19.236657,45.995058],[19.232709,45.999355],[19.199587,45.998161],[19.204917,45.992684],[19.165619,45.994275],[19.165601,45.995973],[19.147739,45.996125],[19.145647,46.001375],[19.147209,46.00801],[19.14438,46.0125],[19.139101,46.027762],[19.133786,46.037071],[19.11364,46.037954],[19.104579,46.039988],[19.090097,46.0238],[19.065676,46.000043],[19.079557,45.963533],[19.063286,45.963772],[19.055003,45.9655],[19.032688,45.964653],[19.01878,45.963138],[19.005814,45.958709],[18.997875,45.946211],[19.00885,45.923297],[18.994696,45.923883],[18.987973,45.932214],[18.962018,45.925871],[18.944878,45.92787],[18.934997,45.930733],[18.906005,45.935274],[18.89076,45.92338],[18.889923,45.921377],[18.886462,45.921391],[18.887306,45.92114],[18.879146,45.916437],[18.871192,45.916199],[18.86462,45.920741],[18.865139,45.916889],[18.868205,45.911238],[18.82755,45.904791],[18.821634,45.914634],[18.813436,45.920754],[18.814525,45.921519],[18.812335,45.923039],[18.803589,45.926825],[18.804673,45.92873],[18.803021,45.930629],[18.807374,45.93445],[18.810644,45.934073],[18.813913,45.935989],[18.819917,45.936001],[18.827548,45.937919],[18.829179,45.938684],[18.82808,45.9402],[18.831353,45.941353],[18.835174,45.940976],[18.835158,45.945166],[18.837884,45.945555],[18.838442,45.943647],[18.838429,45.947075],[18.84225,45.946704],[18.84388,45.947847],[18.845526,45.947088],[18.846617,45.945187],[18.846091,45.940996],[18.852091,45.942154],[18.854821,45.941396],[18.856449,45.943301],[18.846602,45.949376],[18.843874,45.949371],[18.842233,45.951271],[18.840598,45.951268],[18.841133,45.953172],[18.836762,45.955451],[18.829658,45.956577],[18.828018,45.955812],[18.825285,45.956953],[18.825271,45.96038],[18.82746,45.959622],[18.840506,45.975637],[18.839413,45.975635],[18.837209,45.980204],[18.835574,45.979817],[18.868746,46.021002],[18.843574,46.030094],[18.847381,46.035053],[18.844637,46.038475],[18.838066,46.041891],[18.808073,46.024316],[18.803698,46.023923],[18.798227,46.02582],[18.794403,46.025427],[18.788375,46.028462],[18.783466,46.026164],[18.781272,46.027299],[18.774732,46.023856],[18.771432,46.027275],[18.764311,46.031447],[18.757204,46.031051],[18.752297,46.028751],[18.747372,46.029501],[18.742999,46.028727],[18.739676,46.037475],[18.733072,46.045452]]]]}</t>
  </si>
  <si>
    <t>{"type":"MultiPolygon","coordinates":[[[[20.407504,46.859533],[20.432875,46.874457],[20.443816,46.88956],[20.452861,46.895542],[20.451819,46.898221],[20.458,46.90081],[20.460284,46.903069],[20.473468,46.897574],[20.476152,46.894112],[20.486273,46.891328],[20.496512,46.89047],[20.537694,46.900168],[20.545783,46.906192],[20.545977,46.914245],[20.553387,46.916936],[20.5601,46.913303],[20.586115,46.912102],[20.591652,46.913979],[20.599054,46.918398],[20.604587,46.916804],[20.606833,46.917536],[20.641339,46.900297],[20.672863,46.913948],[20.693166,46.910768],[20.70365,46.921118],[20.720659,46.931538],[20.720205,46.934973],[20.727051,46.940582],[20.727767,46.945524],[20.725614,46.947843],[20.72747,46.95391],[20.725864,46.955837],[20.712502,46.95527],[20.705883,46.957269],[20.704266,46.958818],[20.705449,46.961088],[20.711615,46.962524],[20.72371,46.958156],[20.726545,46.959633],[20.725587,46.9646],[20.722367,46.96846],[20.716319,46.97083],[20.713612,46.973157],[20.714235,46.975429],[20.720354,46.97534],[20.70964,46.978153],[20.712349,46.986125],[20.713222,46.996397],[20.718349,47.000128],[20.715604,47.001309],[20.716413,47.005531],[20.710876,47.01198],[20.702035,47.012553],[20.7081,47.035134],[20.71164,47.033802],[20.716238,47.034444],[20.723028,47.030477],[20.725787,47.03403],[20.727501,47.043412],[20.746137,47.05114],[20.756236,47.053271],[20.759902,47.045981],[20.759572,47.035702],[20.806405,47.036894],[20.811454,47.037963],[20.802809,47.046093],[20.812322,47.047471],[20.811794,47.048236],[20.825856,47.052209],[20.832664,47.055915],[20.838409,47.061157],[20.840588,47.059597],[20.84132,47.064917],[20.843705,47.069455],[20.848629,47.066706],[20.856925,47.064671],[20.856246,47.061254],[20.861325,47.063083],[20.859734,47.065389],[20.861454,47.066887],[20.849937,47.072401],[20.844497,47.076293],[20.843472,47.078981],[20.852288,47.092549],[20.843959,47.093442],[20.847516,47.099864],[20.847644,47.103669],[20.845025,47.108663],[20.844741,47.116665],[20.868312,47.120867],[20.862241,47.122867],[20.860134,47.126328],[20.860921,47.133172],[20.847477,47.148237],[20.894164,47.174535],[20.909752,47.173142],[20.910962,47.175788],[20.918436,47.18176],[20.925736,47.182782],[20.926371,47.185059],[20.932608,47.187622],[20.944854,47.186279],[20.955228,47.20894],[20.967491,47.22551],[20.977306,47.230542],[20.987635,47.225934],[20.992091,47.232193],[21.009663,47.232037],[21.014425,47.224715],[21.020046,47.225381],[21.051712,47.190554],[21.0658,47.193736],[21.060796,47.209056],[21.068002,47.20741],[21.113884,47.179928],[21.125426,47.175143],[21.209928,47.165204],[21.229982,47.150347],[21.240704,47.153186],[21.254415,47.147212],[21.272829,47.146856],[21.294085,47.147966],[21.300915,47.150876],[21.293942,47.131204],[21.299435,47.129192],[21.301539,47.126101],[21.301185,47.117731],[21.300053,47.117369],[21.307583,47.110747],[21.291672,47.103819],[21.295662,47.092698],[21.295405,47.086608],[21.288513,47.08179],[21.231844,47.059648],[21.232741,47.054299],[21.239031,47.044655],[21.24041,47.037387],[21.235119,47.030637],[21.233131,47.023056],[21.238453,47.016859],[21.247074,47.009836],[21.247501,47.006777],[21.254863,47.009686],[21.269136,47.004833],[21.342336,46.984722],[21.354961,46.980655],[21.354944,46.979791],[21.392133,46.977994],[21.403055,46.976186],[21.407114,46.976922],[21.415012,46.976541],[21.420931,46.974732],[21.42513,46.968934],[21.43857,46.970935],[21.438909,46.965974],[21.442476,46.958663],[21.430177,46.957395],[21.431587,46.951655],[21.425447,46.95102],[21.423419,46.943064],[21.443487,46.956354],[21.472089,46.949276],[21.47678,46.942318],[21.479531,46.941497],[21.481851,46.943735],[21.482342,46.9422],[21.484533,46.94139],[21.489077,46.943581],[21.490329,46.946599],[21.494271,46.947661],[21.494357,46.949563],[21.496687,46.951795],[21.498799,46.949468],[21.501129,46.9517],[21.503836,46.950122],[21.512938,46.954496],[21.514594,46.954082],[21.514506,46.952174],[21.517248,46.951352],[21.517888,46.953248],[21.521244,46.953553],[21.519649,46.955113],[21.521402,46.956979],[21.524179,46.956919],[21.525659,46.952695],[21.528988,46.952622],[21.529478,46.951086],[21.533955,46.951752],[21.535103,46.952489],[21.53535,46.957817],[21.539418,46.961541],[21.542107,46.959579],[21.54322,46.959555],[21.543291,46.961072],[21.548205,46.959061],[21.562805,46.961791],[21.553565,46.978377],[21.557396,46.988958],[21.564825,46.992987],[21.569185,47.002793],[21.575126,46.998855],[21.59565,46.997258],[21.60349,46.998223],[21.61155,47.00376],[21.618305,47.005127],[21.621213,47.007728],[21.624011,47.00805],[21.622971,47.009599],[21.619693,47.010814],[21.619278,47.013868],[21.625382,47.013352],[21.62829,47.015952],[21.626099,47.016765],[21.627397,47.020543],[21.634818,47.024189],[21.639882,47.025215],[21.641985,47.017725],[21.6521,47.018949],[21.659216,47.022634],[21.661551,47.020336],[21.677878,47.01839],[21.678365,47.012183],[21.681086,47.006243],[21.682672,47.004012],[21.688016,47.003055],[21.688951,47.00182],[21.687456,46.999363],[21.679333,46.997959],[21.67603,46.992557],[21.677632,46.989119],[21.676217,46.986124],[21.670373,46.980151],[21.670547,46.976773],[21.667934,46.97019],[21.676411,46.969235],[21.681843,46.966931],[21.678827,46.960414],[21.675723,46.959072],[21.673153,46.953711],[21.658021,46.956018],[21.655542,46.952083],[21.655888,46.949937],[21.65124,46.947684],[21.649018,46.942995],[21.640721,46.938904],[21.63833,46.932997],[21.606204,46.932519],[21.604038,46.932189],[21.598684,46.927466],[21.597366,46.918053],[21.599425,46.916074],[21.599041,46.909197],[21.600226,46.9092],[21.600153,46.906598],[21.602723,46.903984],[21.607114,46.904329],[21.6142,46.886529],[21.603512,46.885004],[21.60108,46.878924],[21.603306,46.868737],[21.601159,46.865744],[21.597726,46.864665],[21.596816,46.861317],[21.584418,46.85986],[21.580885,46.857496],[21.569973,46.855503],[21.569048,46.853927],[21.557008,46.853705],[21.548082,46.84881],[21.537924,46.847409],[21.537813,46.844068],[21.534456,46.839491],[21.522967,46.838976],[21.519212,46.835914],[21.520276,46.833264],[21.519183,46.829797],[21.520501,46.827387],[21.51905,46.820926],[21.521244,46.819919],[21.522562,46.813907],[21.521016,46.811865],[21.522203,46.808497],[21.519405,46.805392],[21.518681,46.799863],[21.513843,46.795564],[21.515231,46.793855],[21.511712,46.790032],[21.509225,46.78336],[21.493463,46.774966],[21.490201,46.775815],[21.483219,46.764715],[21.484772,46.758474],[21.493171,46.757486],[21.511653,46.745362],[21.526663,46.739194],[21.527946,46.737295],[21.530325,46.727323],[21.529342,46.72081],[21.519534,46.713784],[21.515866,46.712163],[21.511102,46.711722],[21.512351,46.707823],[21.507465,46.704864],[21.50931,46.701256],[21.507267,46.700255],[21.507564,46.698064],[21.502469,46.697073],[21.500172,46.69549],[21.495462,46.687732],[21.490838,46.68573],[21.483698,46.691712],[21.47938,46.69214],[21.477499,46.694187],[21.474408,46.694238],[21.473003,46.695637],[21.470126,46.694607],[21.469668,46.695438],[21.451163,46.68853],[21.434403,46.695609],[21.430051,46.693866],[21.427621,46.689346],[21.428577,46.68581],[21.431584,46.682194],[21.430264,46.680492],[21.430955,46.678137],[21.442394,46.666577],[21.446988,46.665951],[21.455708,46.667103],[21.454886,46.661155],[21.449243,46.658029],[21.441476,46.651465],[21.432492,46.648138],[21.421734,46.6465],[21.41642,46.642518],[21.409989,46.621837],[21.381567,46.628276],[21.378643,46.633009],[21.365614,46.637831],[21.353202,46.630206],[21.34781,46.631348],[21.334837,46.629007],[21.329968,46.631574],[21.32476,46.628094],[21.314088,46.617594],[21.306879,46.601793],[21.306843,46.59892],[21.301122,46.590816],[21.307045,46.586384],[21.308457,46.587505],[21.314042,46.584131],[21.316087,46.585579],[21.32078,46.582814],[21.303434,46.56433],[21.304959,46.560635],[21.297505,46.553432],[21.293644,46.552218],[21.289651,46.544311],[21.280325,46.544957],[21.274219,46.54071],[21.276209,46.535023],[21.260414,46.501961],[21.272796,46.483408],[21.274306,46.476463],[21.284171,46.477242],[21.296325,46.476151],[21.317767,46.450692],[21.313163,46.449544],[21.311516,46.439843],[21.295905,46.42335],[21.293464,46.417688],[21.289518,46.415478],[21.289439,46.413577],[21.29628,46.406696],[21.283195,46.403221],[21.275398,46.406688],[21.24776,46.410498],[21.239633,46.410338],[21.225359,46.413535],[21.219118,46.411098],[21.216324,46.401834],[21.206315,46.40323],[21.196542,46.370813],[21.199471,46.347909],[21.190027,46.339309],[21.176227,46.335766],[21.178907,46.330422],[21.175885,46.329621],[21.177441,46.32344],[21.173119,46.318443],[21.180594,46.304116],[21.175778,46.302752],[21.174569,46.300279],[21.167852,46.297762],[21.154491,46.298477],[21.151544,46.297557],[21.147516,46.29913],[21.145336,46.304635],[21.122567,46.300934],[21.115501,46.30166],[21.109133,46.27797],[21.103161,46.262589],[21.100371,46.264038],[21.094249,46.262277],[21.090821,46.258495],[21.087009,46.259327],[21.086306,46.255148],[21.08464,46.2548],[21.082523,46.256742],[21.079601,46.252226],[21.070879,46.253901],[21.066083,46.242939],[21.060118,46.244956],[21.036624,46.248039],[21.024672,46.266533],[21.015767,46.26326],[20.990353,46.25954],[20.960817,46.262304],[20.952684,46.265108],[20.946585,46.279303],[20.92507,46.276619],[20.922156,46.261835],[20.890544,46.271393],[20.873271,46.287756],[20.789155,46.273121],[20.783299,46.273643],[20.763694,46.279956],[20.748647,46.290462],[20.762892,46.341285],[20.754144,46.360468],[20.748877,46.367783],[20.742969,46.37244],[20.738943,46.38431],[20.693709,46.380789],[20.682354,46.351247],[20.623607,46.354749],[20.621861,46.351345],[20.595701,46.359704],[20.588102,46.363236],[20.585793,46.359461],[20.571672,46.365747],[20.578976,46.371357],[20.548732,46.391569],[20.553907,46.399497],[20.560132,46.405507],[20.571239,46.40917],[20.582782,46.408252],[20.58239,46.452822],[20.605027,46.454415],[20.60399,46.456711],[20.606218,46.457443],[20.602145,46.46893],[20.598814,46.468213],[20.594662,46.477029],[20.596312,46.477007],[20.600803,46.479989],[20.598825,46.487635],[20.601732,46.492926],[20.601996,46.502066],[20.604258,46.503938],[20.606162,46.512671],[20.609498,46.513772],[20.61128,46.517932],[20.613532,46.519426],[20.613709,46.525517],[20.615416,46.527396],[20.614915,46.529313],[20.613252,46.528951],[20.610706,46.536227],[20.615158,46.537684],[20.608563,46.538538],[20.604757,46.540494],[20.579484,46.564073],[20.574417,46.61899],[20.576448,46.631913],[20.569294,46.63315],[20.575165,46.664686],[20.576283,46.665049],[20.575018,46.679156],[20.59275,46.680063],[20.589524,46.683151],[20.584368,46.696555],[20.584309,46.71369],[20.581706,46.719441],[20.584832,46.73197],[20.5956,46.759627],[20.562808,46.776062],[20.537795,46.773349],[20.503423,46.77341],[20.492718,46.787258],[20.480194,46.795798],[20.468147,46.801664],[20.453447,46.812124],[20.442785,46.807309],[20.424386,46.803721],[20.421889,46.814419],[20.418154,46.820173],[20.416862,46.834663],[20.407504,46.859533]]]]}</t>
  </si>
  <si>
    <t>{"type":"MultiPolygon","coordinates":[[[[17.625072,45.988137],[17.653394,45.991158],[17.653034,46.005243],[17.65735,46.007584],[17.648995,46.013573],[17.641288,46.015764],[17.63848,46.018772],[17.637208,46.025612],[17.633895,46.027095],[17.63428,46.033193],[17.631982,46.037355],[17.632455,46.040404],[17.62856,46.043026],[17.62851,46.044929],[17.632849,46.046124],[17.631685,46.048775],[17.656174,46.053649],[17.655446,46.06088],[17.670164,46.062587],[17.669914,46.072483],[17.676998,46.07371],[17.675798,46.077885],[17.677978,46.078297],[17.677796,46.085528],[17.676615,46.088941],[17.680929,46.091659],[17.671536,46.094973],[17.665341,46.101752],[17.687589,46.109642],[17.684806,46.111511],[17.68024,46.119074],[17.6835,46.119876],[17.683995,46.122163],[17.682251,46.125954],[17.681506,46.133941],[17.688161,46.152686],[17.686397,46.157233],[17.686893,46.159526],[17.688543,46.159162],[17.692311,46.161873],[17.69337,46.16341],[17.692207,46.166062],[17.695393,46.17029],[17.697568,46.171079],[17.697989,46.17603],[17.696826,46.178688],[17.699058,46.17719],[17.699143,46.173763],[17.700784,46.173783],[17.705528,46.181458],[17.706006,46.184507],[17.704881,46.185634],[17.707057,46.186044],[17.704224,46.189817],[17.702994,46.195139],[17.710124,46.195224],[17.707891,46.196716],[17.709542,46.196736],[17.712225,46.199055],[17.717197,46.197589],[17.720951,46.201061],[17.723155,46.200709],[17.723109,46.202611],[17.727905,46.208376],[17.723254,46.21899],[17.719913,46.220853],[17.716647,46.220052],[17.715465,46.223466],[17.718131,46.226547],[17.728383,46.233524],[17.731696,46.2328],[17.7356,46.23018],[17.749897,46.205966],[17.757618,46.204152],[17.758234,46.201494],[17.769211,46.200857],[17.77685,46.202846],[17.776225,46.205889],[17.778841,46.211249],[17.783188,46.213201],[17.784777,46.215506],[17.784082,46.221969],[17.794394,46.226659],[17.797258,46.22136],[17.802801,46.219134],[17.808213,46.222237],[17.812605,46.222286],[17.814291,46.220401],[17.815052,46.210889],[17.821604,46.212485],[17.824932,46.210618],[17.83151,46.211067],[17.834872,46.207676],[17.837076,46.207322],[17.840888,46.208503],[17.843025,46.211191],[17.845765,46.21122],[17.845161,46.213879],[17.847289,46.216567],[17.850625,46.2147],[17.853919,46.214735],[17.857112,46.218959],[17.860917,46.220524],[17.870906,46.215298],[17.875769,46.218777],[17.87785,46.224129],[17.882242,46.22379],[17.884413,46.224959],[17.888879,46.221577],[17.892742,46.22047],[17.897671,46.220905],[17.902006,46.22323],[17.905188,46.228599],[17.912338,46.227909],[17.914566,46.226029],[17.919534,46.224554],[17.927633,46.231106],[17.931331,46.237998],[17.934572,46.240695],[17.931167,46.245992],[17.931073,46.250566],[17.927682,46.2551],[17.927643,46.257003],[17.932474,46.262381],[17.934064,46.265447],[17.933986,46.269252],[17.937703,46.275381],[17.934896,46.278025],[17.934195,46.28563],[17.94866,46.303673],[17.953658,46.301056],[17.959117,46.302634],[17.960179,46.304547],[17.97549,46.308121],[17.978259,46.307385],[18.001845,46.309131],[18.001432,46.302272],[18.005291,46.301545],[18.007571,46.297376],[18.011365,46.300076],[18.014714,46.297441],[18.017459,46.297467],[18.024521,46.301343],[18.027871,46.298702],[18.031177,46.298353],[18.035638,46.294588],[18.048305,46.292792],[18.053192,46.295884],[18.05876,46.292121],[18.059804,46.29518],[18.065335,46.292941],[18.071909,46.293761],[18.076342,46.291896],[18.076287,46.294945],[18.078957,46.299152],[18.082249,46.299564],[18.08496,46.30149],[18.087705,46.301514],[18.087718,46.300751],[18.091031,46.300017],[18.101425,46.302392],[18.110924,46.292951],[18.11438,46.283837],[18.117117,46.284244],[18.122667,46.28124],[18.132369,46.291602],[18.129054,46.2931],[18.12472,46.289259],[18.115329,46.292603],[18.114748,46.294123],[18.118504,46.299869],[18.110602,46.311611],[18.114322,46.318875],[18.117057,46.320038],[18.122582,46.318181],[18.124769,46.318961],[18.126904,46.322784],[18.139014,46.321364],[18.139639,46.317179],[18.146243,46.316469],[18.147324,46.317618],[18.152821,46.317284],[18.154436,46.3192],[18.152163,46.324134],[18.153771,46.326428],[18.156623,46.319979],[18.164322,46.319656],[18.167116,46.323043],[18.172032,46.325572],[18.173011,46.328119],[18.180457,46.332821],[18.184826,46.333052],[18.192968,46.33113],[18.200919,46.331989],[18.199848,46.332498],[18.199794,46.335925],[18.202488,46.339373],[18.202995,46.34242],[18.202775,46.356513],[18.199484,46.355726],[18.195582,46.359124],[18.196116,46.359891],[18.188913,46.363642],[18.18561,46.397893],[18.220713,46.405772],[18.237284,46.402465],[18.239467,46.403237],[18.243807,46.407842],[18.251026,46.403703],[18.267013,46.401527],[18.272462,46.405755],[18.276845,46.406925],[18.281804,46.406581],[18.293324,46.409323],[18.2977,46.41164],[18.303751,46.412058],[18.307562,46.415132],[18.313033,46.417449],[18.322994,46.413707],[18.330219,46.408801],[18.335188,46.407692],[18.337923,46.40885],[18.345737,46.400519],[18.347434,46.396724],[18.344163,46.3948],[18.344192,46.392513],[18.342014,46.390597],[18.341666,46.37536],[18.343363,46.371565],[18.35057,46.36742],[18.35121,46.360191],[18.355049,46.360976],[18.368836,46.358011],[18.371607,46.356124],[18.376011,46.356151],[18.376044,46.353486],[18.38653,46.35012],[18.390508,46.339483],[18.389444,46.336427],[18.373054,46.328335],[18.37368,46.322624],[18.375905,46.319972],[18.376568,46.311218],[18.374946,46.309306],[18.372751,46.308909],[18.375567,46.303217],[18.372291,46.301288],[18.375685,46.293697],[18.378979,46.294095],[18.380638,46.292964],[18.383937,46.292984],[18.389463,46.289967],[18.391644,46.291504],[18.395524,46.288477],[18.396056,46.289627],[18.398287,46.286975],[18.414712,46.291258],[18.422018,46.277204],[18.416534,46.276033],[18.413862,46.269926],[18.411695,46.268011],[18.410113,46.261909],[18.409014,46.261903],[18.410127,46.260763],[18.409073,46.256951],[18.404767,46.250072],[18.405344,46.24741],[18.403709,46.246638],[18.403745,46.243589],[18.399369,46.242045],[18.395039,46.237446],[18.384091,46.235102],[18.380293,46.231652],[18.366046,46.23042],[18.361672,46.228875],[18.359519,46.225434],[18.361735,46.223923],[18.363984,46.219747],[18.368396,46.217486],[18.377186,46.216399],[18.378851,46.215268],[18.381587,46.215662],[18.389767,46.2199],[18.396823,46.225656],[18.411051,46.229164],[18.417017,46.234528],[18.423594,46.235705],[18.426846,46.238773],[18.438342,46.241878],[18.440504,46.244177],[18.444345,46.244198],[18.445964,46.24725],[18.444243,46.253333],[18.454678,46.253388],[18.457982,46.251887],[18.460175,46.252277],[18.459614,46.253799],[18.466743,46.253835],[18.467829,46.254981],[18.460626,46.261799],[18.462811,46.262195],[18.464439,46.264484],[18.468265,46.266028],[18.477582,46.267216],[18.480298,46.269895],[18.480669,46.287419],[18.475589,46.30034],[18.47888,46.301119],[18.485112,46.293172],[18.488289,46.293927],[18.498185,46.293214],[18.508641,46.290983],[18.509233,46.287174],[18.518851,46.284141],[18.519742,46.279228],[18.514852,46.273875],[18.517069,46.271983],[18.530274,46.268617],[18.531913,46.270143],[18.530738,46.278139],[18.531272,46.279282],[18.534595,46.276632],[18.534613,46.274729],[18.539002,46.274749],[18.54231,46.273617],[18.542331,46.271336],[18.539073,46.267132],[18.540857,46.253052],[18.538746,46.243901],[18.533871,46.237024],[18.528417,46.233956],[18.52898,46.232049],[18.532859,46.227877],[18.547163,46.224136],[18.54827,46.222238],[18.546634,46.221469],[18.552146,46.219206],[18.55489,46.21884],[18.563082,46.222303],[18.563643,46.221543],[18.568567,46.223089],[18.570814,46.216244],[18.565891,46.214698],[18.565377,46.211268],[18.567613,46.20671],[18.572019,46.204064],[18.569872,46.199481],[18.581415,46.196101],[18.590802,46.187767],[18.593048,46.181683],[18.600164,46.18323],[18.608332,46.189361],[18.613257,46.19052],[18.617157,46.18254],[18.62102,46.179127],[18.641929,46.168923],[18.657396,46.151456],[18.665098,46.148055],[18.672805,46.142373],[18.678841,46.139728],[18.68603,46.129847],[18.686055,46.126042],[18.687473,46.124851],[18.693169,46.127205],[18.693151,46.12987],[18.690407,46.131008],[18.68984,46.133287],[18.693663,46.134823],[18.70192,46.128756],[18.718384,46.122714],[18.721145,46.118532],[18.725523,46.119685],[18.728789,46.121981],[18.729894,46.12046],[18.738676,46.116679],[18.74693,46.109846],[18.751292,46.112145],[18.752394,46.111001],[18.75788,46.109875],[18.761139,46.113689],[18.775375,46.114486],[18.779778,46.108789],[18.794012,46.109584],[18.802774,46.108841],[18.79787,46.103878],[18.780377,46.09927],[18.769995,46.094671],[18.756458,46.067603],[18.738517,46.048894],[18.733072,46.045452],[18.739676,46.037475],[18.742999,46.028727],[18.747372,46.029501],[18.752297,46.028751],[18.757204,46.031051],[18.764311,46.031447],[18.771432,46.027275],[18.774732,46.023856],[18.781272,46.027299],[18.783466,46.026164],[18.788375,46.028462],[18.794403,46.025427],[18.798227,46.02582],[18.805886,46.023928],[18.812433,46.026228],[18.82661,46.035777],[18.838066,46.041891],[18.844637,46.038475],[18.847381,46.035053],[18.843574,46.030094],[18.868746,46.021002],[18.835574,45.979817],[18.837209,45.980204],[18.839413,45.975635],[18.840506,45.975637],[18.82746,45.959622],[18.825271,45.96038],[18.825285,45.956953],[18.828018,45.955812],[18.829658,45.956577],[18.836762,45.955451],[18.841133,45.953172],[18.840598,45.951268],[18.842233,45.951271],[18.843874,45.949371],[18.846602,45.949376],[18.856449,45.943301],[18.854821,45.941396],[18.852091,45.942154],[18.846091,45.940996],[18.846617,45.945187],[18.845526,45.947088],[18.84388,45.947847],[18.84225,45.946704],[18.838429,45.947075],[18.838442,45.943647],[18.837884,45.945555],[18.835158,45.945166],[18.835174,45.940976],[18.831353,45.941353],[18.82808,45.9402],[18.829179,45.938684],[18.827548,45.937919],[18.819917,45.936001],[18.813913,45.935989],[18.810644,45.934073],[18.807374,45.93445],[18.803021,45.930629],[18.804673,45.92873],[18.803589,45.926825],[18.812335,45.923039],[18.814525,45.921519],[18.813436,45.920754],[18.821634,45.914634],[18.807249,45.903191],[18.811517,45.897763],[18.8126,45.890816],[18.808931,45.879463],[18.791096,45.878162],[18.785266,45.880068],[18.778361,45.885563],[18.773048,45.887984],[18.767221,45.889425],[18.760232,45.888636],[18.760532,45.893102],[18.756904,45.896793],[18.75047,45.898028],[18.750063,45.900345],[18.738294,45.90067],[18.721629,45.905228],[18.710041,45.912316],[18.704787,45.918049],[18.675949,45.914822],[18.66952,45.910687],[18.662724,45.916724],[18.659533,45.916886],[18.660023,45.904698],[18.662154,45.900884],[18.665006,45.899435],[18.661979,45.899392],[18.661048,45.89532],[18.654482,45.895399],[18.648303,45.892089],[18.646013,45.892261],[18.641281,45.88904],[18.641856,45.884468],[18.654922,45.874199],[18.64957,45.873074],[18.637622,45.868085],[18.631559,45.87682],[18.630485,45.874529],[18.627771,45.873378],[18.626229,45.861566],[18.623553,45.854324],[18.614845,45.853144],[18.623666,45.839853],[18.601095,45.83379],[18.603536,45.828035],[18.595499,45.821467],[18.585186,45.816851],[18.573239,45.813758],[18.574921,45.800434],[18.559819,45.803673],[18.555439,45.794642],[18.548368,45.793849],[18.544005,45.795354],[18.539123,45.793429],[18.534228,45.793022],[18.532591,45.793777],[18.52121,45.78801],[18.52235,45.782686],[18.518517,45.785333],[18.510188,45.784805],[18.504882,45.788316],[18.505393,45.792124],[18.502102,45.794395],[18.497741,45.795514],[18.494484,45.794358],[18.490671,45.794717],[18.489044,45.793568],[18.488538,45.790139],[18.485858,45.78632],[18.48536,45.781366],[18.482696,45.776022],[18.48219,45.765503],[18.480721,45.766495],[18.463801,45.766235],[18.456283,45.769523],[18.445076,45.76052],[18.449057,45.75796],[18.447926,45.748714],[18.450073,45.745785],[18.446853,45.737128],[18.434613,45.738848],[18.4275,45.741487],[18.423511,45.740065],[18.418902,45.740986],[18.410573,45.738923],[18.40763,45.739712],[18.400987,45.743058],[18.400742,45.744353],[18.397913,45.74465],[18.396872,45.749464],[18.399521,45.750574],[18.40014,45.755244],[18.397171,45.753137],[18.394543,45.757171],[18.392031,45.757766],[18.391895,45.761698],[18.385637,45.764773],[18.380732,45.763667],[18.371959,45.768529],[18.372326,45.769318],[18.37041,45.769166],[18.364226,45.772936],[18.366677,45.766722],[18.365001,45.765648],[18.356433,45.766879],[18.356523,45.763918],[18.354683,45.764004],[18.346396,45.755065],[18.345002,45.749956],[18.339089,45.747006],[18.337846,45.747204],[18.337199,45.75158],[18.333349,45.75422],[18.309748,45.756408],[18.296816,45.76122],[18.292469,45.76119],[18.28382,45.75732],[18.275821,45.755747],[18.260912,45.761351],[18.25057,45.76204],[18.244047,45.761231],[18.236875,45.768418],[18.23459,45.775634],[18.230731,45.779033],[18.224181,45.780509],[18.205115,45.781508],[18.198523,45.785647],[18.19087,45.787876],[18.184907,45.786305],[18.17201,45.776301],[18.166012,45.777016],[18.15997,45.780396],[18.156082,45.785317],[18.145892,45.788661],[18.130446,45.784411],[18.119858,45.784565],[18.117138,45.783473],[18.110026,45.773133],[18.106807,45.770826],[18.096004,45.76616],[18.081892,45.764521],[18.056166,45.773053],[18.035997,45.775153],[18.020665,45.779965],[18.013512,45.784467],[18.004097,45.792759],[17.995881,45.795731],[17.986647,45.794497],[17.976939,45.789837],[17.972605,45.789033],[17.96715,45.789365],[17.954559,45.793048],[17.949669,45.792622],[17.941008,45.790249],[17.935092,45.787141],[17.930209,45.78633],[17.925852,45.786286],[17.906676,45.792569],[17.898541,45.790961],[17.875934,45.779303],[17.872192,45.776215],[17.869097,45.768187],[17.866943,45.767024],[17.859297,45.768467],[17.856545,45.769956],[17.852597,45.776391],[17.854151,45.779835],[17.852447,45.783245],[17.839867,45.786153],[17.833204,45.791795],[17.830712,45.80624],[17.826275,45.809996],[17.820819,45.810322],[17.817061,45.807994],[17.815491,45.804927],[17.808979,45.804099],[17.800767,45.80591],[17.790846,45.811508],[17.786931,45.816038],[17.780905,45.817488],[17.772195,45.817389],[17.767862,45.816199],[17.764141,45.812351],[17.76034,45.811923],[17.757035,45.81341],[17.745809,45.827752],[17.740863,45.829598],[17.730474,45.831001],[17.72177,45.830513],[17.715732,45.832344],[17.707029,45.831862],[17.700915,45.837119],[17.688883,45.838877],[17.672641,45.834873],[17.666051,45.836694],[17.656082,45.843426],[17.652135,45.848329],[17.655367,45.849894],[17.659209,45.848795],[17.666274,45.849645],[17.668388,45.852337],[17.666699,45.854219],[17.668823,45.856532],[17.670195,45.866832],[17.674037,45.866117],[17.679938,45.869617],[17.685383,45.870068],[17.689112,45.873534],[17.695278,45.86676],[17.693303,45.858356],[17.697601,45.860695],[17.703409,45.868377],[17.709488,45.865022],[17.716034,45.864722],[17.715978,45.867008],[17.722002,45.865933],[17.722524,45.867086],[17.728025,45.864864],[17.731242,45.867189],[17.726796,45.870564],[17.7273,45.872473],[17.731627,45.873664],[17.734845,45.875989],[17.734772,45.879032],[17.731444,45.88128],[17.728152,45.882004],[17.726261,45.892642],[17.729453,45.896108],[17.73381,45.896159],[17.734324,45.89769],[17.730416,45.90145],[17.720499,45.905523],[17.724232,45.908995],[17.724607,45.915854],[17.714668,45.920689],[17.694926,45.925021],[17.6873,45.924166],[17.683473,45.924504],[17.681811,45.925624],[17.681754,45.92791],[17.676091,45.936215],[17.682086,45.936289],[17.689105,45.939423],[17.687462,45.939782],[17.685182,45.943566],[17.677553,45.943089],[17.676984,45.943844],[17.669403,45.941464],[17.668746,45.94603],[17.662771,45.94481],[17.659319,45.951623],[17.653894,45.950415],[17.659697,45.936776],[17.647168,45.935858],[17.646656,45.934711],[17.645022,45.93469],[17.642879,45.954083],[17.63319,45.96996],[17.629977,45.988577],[17.625072,45.988137]]]]}</t>
  </si>
  <si>
    <t>{"type":"MultiPolygon","coordinates":[[[[20.051907,48.16772],[20.054178,48.169709],[20.056372,48.174633],[20.058944,48.175151],[20.061339,48.178365],[20.065891,48.178048],[20.071474,48.179116],[20.078844,48.183739],[20.076222,48.184619],[20.07399,48.187177],[20.069967,48.186617],[20.067814,48.188054],[20.070037,48.191702],[20.076295,48.194266],[20.076388,48.195557],[20.078257,48.196427],[20.082606,48.19667],[20.085173,48.195484],[20.09076,48.19701],[20.093092,48.198929],[20.093012,48.200875],[20.095473,48.203998],[20.098281,48.203585],[20.100362,48.204584],[20.100782,48.206066],[20.099542,48.206738],[20.102,48.209453],[20.105519,48.209971],[20.109613,48.212366],[20.112544,48.216074],[20.11669,48.216007],[20.120115,48.217241],[20.1226,48.220708],[20.127525,48.220677],[20.132232,48.225008],[20.134091,48.225182],[20.133746,48.233578],[20.134666,48.235926],[20.139184,48.239993],[20.139631,48.242869],[20.132149,48.247338],[20.132235,48.249701],[20.134113,48.251726],[20.133188,48.253982],[20.136703,48.255153],[20.141151,48.254295],[20.144049,48.255379],[20.147459,48.254647],[20.153819,48.25026],[20.156448,48.251234],[20.159721,48.250569],[20.168429,48.251604],[20.172505,48.250779],[20.174306,48.249135],[20.181371,48.249393],[20.184933,48.247978],[20.195557,48.248476],[20.197433,48.250044],[20.206162,48.250979],[20.207713,48.252933],[20.203129,48.259079],[20.20383,48.261906],[20.206125,48.262108],[20.20921,48.259627],[20.214605,48.2589],[20.220937,48.262892],[20.228466,48.262779],[20.228655,48.265841],[20.235381,48.2713],[20.22906,48.275052],[20.22798,48.277232],[20.230986,48.277285],[20.234947,48.279933],[20.241318,48.280493],[20.245826,48.277916],[20.249724,48.279106],[20.255742,48.274963],[20.261124,48.274732],[20.263049,48.271747],[20.268971,48.270331],[20.269623,48.268013],[20.280329,48.266402],[20.283315,48.262723],[20.286858,48.26164],[20.290768,48.261587],[20.293902,48.263064],[20.299662,48.263168],[20.303426,48.264711],[20.310963,48.265591],[20.309456,48.268514],[20.305762,48.269889],[20.307711,48.273067],[20.325711,48.272794],[20.3281,48.288447],[20.335755,48.287672],[20.334028,48.289331],[20.335841,48.290537],[20.332479,48.29177],[20.33343,48.292437],[20.332122,48.293044],[20.333334,48.293498],[20.33347,48.296568],[20.335323,48.295837],[20.336208,48.296401],[20.335269,48.299022],[20.339044,48.301223],[20.337465,48.301667],[20.339458,48.301451],[20.34706,48.305934],[20.357908,48.309766],[20.356404,48.312794],[20.365658,48.316606],[20.374279,48.326989],[20.36856,48.329814],[20.367629,48.332187],[20.371848,48.333703],[20.386524,48.34775],[20.38575,48.350336],[20.384123,48.351155],[20.394898,48.356232],[20.398992,48.356491],[20.400425,48.358282],[20.398989,48.358943],[20.407478,48.362821],[20.407503,48.36464],[20.409812,48.365875],[20.409238,48.368236],[20.411843,48.369768],[20.41148,48.371091],[20.408004,48.375523],[20.406851,48.379372],[20.402529,48.382567],[20.412646,48.38781],[20.416682,48.394543],[20.416688,48.400556],[20.42058,48.404145],[20.417668,48.408961],[20.414613,48.410274],[20.416724,48.418988],[20.427098,48.425022],[20.429313,48.428639],[20.434515,48.430171],[20.435738,48.432941],[20.44307,48.4387],[20.445537,48.444487],[20.449914,48.446348],[20.451757,48.448565],[20.461294,48.450003],[20.467314,48.452923],[20.469819,48.452546],[20.469469,48.459853],[20.464164,48.464184],[20.473094,48.46615],[20.488669,48.475857],[20.491557,48.484038],[20.495066,48.487668],[20.50776,48.489316],[20.50471,48.490363],[20.5073,48.509506],[20.510445,48.512374],[20.508741,48.51586],[20.502492,48.51985],[20.502792,48.521191],[20.505133,48.52225],[20.502268,48.523285],[20.504516,48.525852],[20.501967,48.527262],[20.505467,48.533089],[20.507081,48.531673],[20.508336,48.532348],[20.506507,48.534415],[20.515115,48.535844],[20.5191,48.537519],[20.525215,48.530385],[20.529028,48.530522],[20.533322,48.528461],[20.537471,48.527878],[20.541496,48.538659],[20.544465,48.540827],[20.546494,48.544292],[20.551123,48.542349],[20.559362,48.542811],[20.586595,48.535759],[20.587187,48.538848],[20.592549,48.539333],[20.599872,48.542551],[20.603761,48.542951],[20.606754,48.542133],[20.610389,48.543477],[20.61613,48.543583],[20.619044,48.547508],[20.623465,48.550759],[20.634142,48.55096],[20.640468,48.555438],[20.643734,48.554044],[20.643361,48.55199],[20.644056,48.551977],[20.653874,48.561413],[20.665601,48.559942],[20.67171,48.562527],[20.679502,48.559516],[20.681886,48.561377],[20.706584,48.569128],[20.708512,48.569455],[20.709758,48.568273],[20.713132,48.570391],[20.720936,48.569294],[20.726234,48.56961],[20.727112,48.564408],[20.728106,48.56448],[20.72783,48.566334],[20.734749,48.566693],[20.733904,48.570085],[20.796101,48.575227],[20.799421,48.574579],[20.815774,48.577729],[20.815722,48.578892],[20.819347,48.578858],[20.835792,48.582788],[20.839589,48.580243],[20.835387,48.576499],[20.837775,48.574234],[20.850463,48.58146],[20.84733,48.568354],[20.84533,48.566505],[20.845899,48.565723],[20.849724,48.566959],[20.855241,48.566815],[20.861129,48.5573],[20.86246,48.557548],[20.863637,48.555183],[20.868155,48.551818],[20.870567,48.553193],[20.875195,48.553684],[20.877106,48.550778],[20.916282,48.560172],[20.922323,48.559453],[20.921965,48.558458],[20.929149,48.55353],[20.93073,48.546572],[20.934682,48.541186],[20.934632,48.538355],[20.941726,48.542892],[20.940982,48.534535],[20.945638,48.536399],[20.955882,48.533963],[20.956182,48.521611],[20.965375,48.520373],[20.976087,48.524443],[20.981569,48.517712],[20.989327,48.521741],[20.99014,48.523375],[20.989135,48.525154],[20.990586,48.526378],[21.004084,48.527347],[21.015114,48.532313],[21.023265,48.529458],[21.026511,48.531465],[21.030282,48.530771],[21.033939,48.527087],[21.037929,48.527492],[21.044141,48.52566],[21.053209,48.526156],[21.053353,48.52214],[21.066321,48.525894],[21.068965,48.522724],[21.069983,48.523365],[21.074704,48.520613],[21.090169,48.517478],[21.098018,48.510465],[21.097844,48.504157],[21.094459,48.501396],[21.094978,48.499713],[21.101149,48.494565],[21.10866,48.492298],[21.117331,48.49109],[21.128311,48.492399],[21.133938,48.495422],[21.135017,48.499008],[21.14213,48.508037],[21.145556,48.509756],[21.152189,48.516625],[21.155794,48.516485],[21.159477,48.517947],[21.160875,48.521499],[21.16725,48.521031],[21.173449,48.521938],[21.179634,48.518232],[21.181951,48.519929],[21.18536,48.52054],[21.188016,48.524827],[21.191231,48.522648],[21.192597,48.526588],[21.195534,48.524651],[21.199046,48.524455],[21.205566,48.527294],[21.209127,48.527372],[21.209267,48.533512],[21.216554,48.531525],[21.221061,48.537497],[21.233312,48.534157],[21.232925,48.539064],[21.239041,48.539723],[21.251813,48.532008],[21.269192,48.52533],[21.270564,48.527423],[21.296663,48.521658],[21.297428,48.523098],[21.305488,48.522249],[21.308617,48.526253],[21.303091,48.524733],[21.301686,48.525342],[21.302762,48.526893],[21.306498,48.529449],[21.314229,48.531011],[21.316035,48.533156],[21.314321,48.533789],[21.313194,48.536697],[21.309849,48.53746],[21.309829,48.540179],[21.317739,48.53926],[21.316332,48.543715],[21.320379,48.545219],[21.321444,48.547671],[21.318679,48.549699],[21.314112,48.549143],[21.313377,48.550841],[21.317527,48.553123],[21.323041,48.551617],[21.326875,48.554129],[21.325656,48.556182],[21.316078,48.555294],[21.315566,48.557172],[21.319384,48.561201],[21.322752,48.562339],[21.325631,48.562052],[21.323379,48.5577],[21.327687,48.559507],[21.339249,48.558993],[21.340365,48.559882],[21.349454,48.560574],[21.365291,48.560426],[21.370153,48.559147],[21.374475,48.559689],[21.379621,48.558194],[21.382062,48.56],[21.39504,48.563431],[21.400192,48.563852],[21.40428,48.563107],[21.407356,48.559462],[21.41545,48.558951],[21.421758,48.563479],[21.421241,48.57491],[21.422665,48.578821],[21.426504,48.57997],[21.428858,48.583549],[21.435012,48.583819],[21.440068,48.585237],[21.446278,48.580701],[21.448082,48.576748],[21.450738,48.574907],[21.454503,48.574563],[21.458103,48.576687],[21.460596,48.573372],[21.463821,48.572795],[21.468988,48.569252],[21.47113,48.566178],[21.475671,48.564328],[21.477705,48.564132],[21.479116,48.565177],[21.481438,48.564731],[21.488411,48.558376],[21.490593,48.559421],[21.497098,48.558671],[21.497234,48.560538],[21.499243,48.560366],[21.500617,48.554935],[21.50795,48.55534],[21.508714,48.554711],[21.506485,48.552723],[21.508539,48.55212],[21.51059,48.552843],[21.511836,48.551126],[21.514091,48.551065],[21.518374,48.546913],[21.515461,48.53965],[21.521431,48.534525],[21.521189,48.532088],[21.525786,48.524594],[21.52523,48.522631],[21.531922,48.517407],[21.541227,48.513381],[21.54202,48.508395],[21.549729,48.50947],[21.553437,48.508581],[21.561174,48.511529],[21.563051,48.507281],[21.565639,48.505268],[21.577339,48.505101],[21.578029,48.504369],[21.57972,48.504688],[21.585988,48.511375],[21.591108,48.51301],[21.594606,48.513244],[21.604478,48.5074],[21.609612,48.510612],[21.611718,48.509235],[21.613933,48.509416],[21.614614,48.497802],[21.618317,48.497992],[21.62122,48.492135],[21.622992,48.473132],[21.624432,48.473018],[21.620575,48.471556],[21.620188,48.469826],[21.626043,48.462488],[21.631492,48.459202],[21.62835,48.456548],[21.630565,48.45407],[21.630438,48.450722],[21.632469,48.450162],[21.631296,48.449209],[21.633824,48.448482],[21.632781,48.447678],[21.63692,48.448784],[21.639623,48.447569],[21.647137,48.438084],[21.648671,48.438437],[21.652082,48.436049],[21.652498,48.434867],[21.65005,48.433921],[21.650405,48.432651],[21.652802,48.433031],[21.659563,48.417996],[21.660372,48.416919],[21.663549,48.417961],[21.665923,48.411701],[21.664078,48.40867],[21.665842,48.406773],[21.664574,48.402164],[21.667402,48.398674],[21.664561,48.392164],[21.668569,48.389217],[21.683296,48.390814],[21.683598,48.388427],[21.694065,48.383862],[21.698069,48.383109],[21.701741,48.380695],[21.705868,48.375917],[21.702407,48.371154],[21.705367,48.366054],[21.711145,48.367306],[21.714266,48.366307],[21.714755,48.363955],[21.711871,48.357617],[21.719303,48.354696],[21.724435,48.349682],[21.745009,48.348733],[21.748983,48.346407],[21.754712,48.345629],[21.760227,48.342771],[21.761376,48.340617],[21.764221,48.338993],[21.777233,48.340299],[21.78302,48.338943],[21.790111,48.341103],[21.794184,48.340743],[21.798397,48.342488],[21.800288,48.341187],[21.803073,48.340979],[21.803391,48.339424],[21.805804,48.338239],[21.809232,48.339183],[21.813614,48.337378],[21.818486,48.337092],[21.817235,48.332821],[21.81982,48.333718],[21.82258,48.332609],[21.825339,48.334112],[21.833721,48.333997],[21.835392,48.335618],[21.83322,48.338137],[21.833567,48.340223],[21.837443,48.342638],[21.835053,48.34613],[21.837657,48.349864],[21.835114,48.361062],[21.837213,48.363253],[21.845637,48.363887],[21.855087,48.366068],[21.858495,48.363856],[21.859982,48.357417],[21.862968,48.355208],[21.865516,48.356059],[21.863617,48.359218],[21.865112,48.3602],[21.867781,48.359525],[21.872263,48.3562],[21.87535,48.355847],[21.87453,48.360531],[21.881419,48.362586],[21.882694,48.361185],[21.881775,48.357134],[21.884298,48.356047],[21.88825,48.358757],[21.883107,48.363243],[21.884843,48.367539],[21.887553,48.36904],[21.891423,48.368795],[21.891432,48.367526],[21.887595,48.365185],[21.88753,48.363627],[21.897883,48.36256],[21.899955,48.363782],[21.897388,48.368771],[21.899796,48.370223],[21.901545,48.364876],[21.912061,48.36941],[21.911785,48.366776],[21.915739,48.365762],[21.917542,48.363399],[21.921342,48.363817],[21.928186,48.361597],[21.930383,48.362272],[21.932306,48.364556],[21.927358,48.367861],[21.926806,48.370899],[21.933903,48.369976],[21.938754,48.372922],[21.939243,48.37457],[21.946292,48.374917],[21.949198,48.378728],[21.956894,48.379642],[21.959241,48.377384],[21.961044,48.377134],[21.961156,48.379593],[21.967798,48.380091],[21.968508,48.379128],[21.971394,48.38027],[21.97243,48.378654],[21.975375,48.377894],[21.981908,48.379792],[21.983414,48.378682],[21.983399,48.379538],[21.98592,48.375821],[21.989091,48.379208],[21.991679,48.379505],[21.994463,48.377323],[22.000352,48.38067],[22.006961,48.381285],[22.008219,48.38401],[22.010062,48.383794],[22.017838,48.386332],[22.019623,48.388953],[22.023869,48.389101],[22.023868,48.390131],[22.021172,48.390797],[22.021326,48.392749],[22.028315,48.392235],[22.036134,48.386056],[22.045081,48.384081],[22.054605,48.377528],[22.058236,48.377891],[22.057615,48.38132],[22.061564,48.382775],[22.066715,48.381831],[22.07152,48.382827],[22.071863,48.381778],[22.072814,48.382012],[22.072173,48.385312],[22.076486,48.387241],[22.084429,48.380788],[22.082615,48.378709],[22.084504,48.377285],[22.086743,48.371564],[22.090319,48.37415],[22.093243,48.378552],[22.094738,48.377284],[22.101328,48.37619],[22.109515,48.381013],[22.116297,48.380514],[22.121068,48.378295],[22.117692,48.368245],[22.121507,48.365101],[22.128896,48.364523],[22.126238,48.35812],[22.1179,48.362145],[22.108203,48.362399],[22.108114,48.360883],[22.116578,48.359136],[22.123198,48.35515],[22.12528,48.351667],[22.124601,48.349781],[22.122272,48.34908],[22.117802,48.350722],[22.112623,48.350095],[22.104727,48.346206],[22.103026,48.342349],[22.110457,48.342533],[22.11151,48.340986],[22.106906,48.340344],[22.095095,48.333795],[22.100162,48.332523],[22.102356,48.33094],[22.104363,48.326319],[22.102521,48.324079],[22.099627,48.323392],[22.095105,48.324272],[22.098842,48.329507],[22.095551,48.33188],[22.088665,48.331297],[22.084429,48.327216],[22.08372,48.324946],[22.086569,48.314972],[22.086325,48.310787],[22.080494,48.308651],[22.065321,48.312855],[22.064636,48.31097],[22.068694,48.302099],[22.065603,48.297994],[22.062114,48.296937],[22.054746,48.297889],[22.047271,48.306841],[22.044489,48.308059],[22.038151,48.307074],[22.031073,48.303064],[22.023573,48.301736],[22.026464,48.312325],[22.014428,48.31149],[22.010265,48.308546],[22.01055,48.303585],[22.002964,48.300733],[22.002247,48.298085],[21.988349,48.294623],[21.98183,48.290217],[21.977937,48.281933],[21.974301,48.278218],[21.964908,48.273499],[21.962275,48.267093],[21.951851,48.264302],[21.947141,48.261753],[21.945309,48.259517],[21.940916,48.26267],[21.938645,48.262726],[21.938007,48.261601],[21.940055,48.25736],[21.942817,48.255766],[21.931852,48.253371],[21.927123,48.250444],[21.924705,48.247832],[21.923251,48.242158],[21.92025,48.239566],[21.916223,48.238902],[21.916286,48.240041],[21.911736,48.240153],[21.904581,48.244897],[21.900658,48.246139],[21.900155,48.247292],[21.8973,48.247362],[21.897833,48.246587],[21.895553,48.246642],[21.886173,48.241917],[21.874557,48.238014],[21.864266,48.2375],[21.850155,48.24012],[21.850743,48.229828],[21.839889,48.229325],[21.843649,48.225045],[21.842408,48.223171],[21.833101,48.23025],[21.839609,48.234663],[21.836877,48.23701],[21.832953,48.23825],[21.829867,48.244417],[21.822865,48.241534],[21.825517,48.237664],[21.8247,48.233115],[21.822339,48.231646],[21.817619,48.239377],[21.814814,48.240206],[21.811828,48.237604],[21.81098,48.232293],[21.815228,48.226484],[21.80139,48.223382],[21.797296,48.221569],[21.799749,48.213899],[21.79731,48.210907],[21.78644,48.210021],[21.783783,48.202843],[21.779801,48.202936],[21.77146,48.206943],[21.772906,48.201956],[21.772282,48.20083],[21.767695,48.200175],[21.767042,48.198665],[21.772004,48.195506],[21.772509,48.194347],[21.77136,48.193996],[21.762842,48.194572],[21.75584,48.191307],[21.753582,48.191743],[21.752273,48.199392],[21.754679,48.202002],[21.754233,48.204294],[21.740989,48.201556],[21.733355,48.197163],[21.729607,48.201818],[21.724018,48.203849],[21.722129,48.200464],[21.723531,48.194339],[21.72798,48.192334],[21.731436,48.193017],[21.7272,48.188161],[21.721409,48.186391],[21.718664,48.188356],[21.721175,48.192868],[21.717817,48.194091],[21.714622,48.198349],[21.711031,48.195002],[21.710934,48.193102],[21.689944,48.194725],[21.680094,48.191519],[21.644354,48.194223],[21.627795,48.193443],[21.602358,48.197429],[21.591236,48.203009],[21.584122,48.208873],[21.581251,48.208557],[21.577897,48.20977],[21.574424,48.208705],[21.576082,48.207522],[21.573785,48.207194],[21.571415,48.205342],[21.571194,48.200778],[21.570018,48.200041],[21.564368,48.200926],[21.558052,48.199915],[21.555246,48.200737],[21.553404,48.198112],[21.549404,48.197819],[21.550488,48.196649],[21.549832,48.19476],[21.547098,48.197106],[21.541941,48.196454],[21.535278,48.197517],[21.532605,48.194886],[21.534342,48.192426],[21.533677,48.190537],[21.52495,48.186532],[21.516341,48.18519],[21.516269,48.183667],[21.52519,48.179672],[21.51773,48.178305],[21.505178,48.177807],[21.507294,48.174335],[21.505492,48.17247],[21.501547,48.173315],[21.501215,48.178275],[21.488257,48.181212],[21.479121,48.18064],[21.473824,48.176944],[21.473965,48.167799],[21.47107,48.166718],[21.461548,48.169959],[21.4628,48.172598],[21.460186,48.177605],[21.457344,48.177664],[21.457379,48.178425],[21.455102,48.178472],[21.452904,48.180042],[21.446001,48.178659],[21.440707,48.174956],[21.439429,48.171939],[21.441107,48.171142],[21.438725,48.168904],[21.437412,48.165125],[21.435066,48.163648],[21.432242,48.16409],[21.428036,48.159224],[21.424057,48.159305],[21.426212,48.156596],[21.425552,48.154706],[21.429029,48.14359],[21.424877,48.139862],[21.424756,48.137199],[21.430324,48.134421],[21.426703,48.129926],[21.413818,48.121808],[21.415835,48.116059],[21.420638,48.109105],[21.426117,48.104419],[21.447224,48.09371],[21.451023,48.089819],[21.449729,48.086418],[21.446857,48.085715],[21.442883,48.085797],[21.43392,48.088646],[21.431629,48.088315],[21.430979,48.086425],[21.436323,48.079076],[21.437998,48.078285],[21.441416,48.078593],[21.445476,48.080413],[21.450569,48.07993],[21.453363,48.078725],[21.456007,48.074487],[21.461064,48.073235],[21.462113,48.07131],[21.450723,48.070783],[21.444901,48.06786],[21.440313,48.066807],[21.437546,48.068389],[21.435976,48.0589],[21.437259,48.049731],[21.435984,48.046714],[21.43243,48.043359],[21.42897,48.042289],[21.424427,48.042381],[21.420031,48.045515],[21.416318,48.051305],[21.412415,48.052909],[21.408921,48.051071],[21.407683,48.048815],[21.408015,48.043478],[21.415664,48.036845],[21.415613,48.035705],[21.412692,48.033855],[21.408064,48.032046],[21.40289,48.030632],[21.39892,48.030713],[21.384909,48.034801],[21.375236,48.034232],[21.376782,48.030773],[21.381155,48.02688],[21.379935,48.024995],[21.378227,48.025029],[21.373796,48.027405],[21.368878,48.032693],[21.362119,48.032187],[21.352507,48.033922],[21.349623,48.032838],[21.348833,48.027901],[21.342981,48.023826],[21.336658,48.022048],[21.329838,48.021804],[21.326465,48.022632],[21.323332,48.028787],[21.316651,48.03196],[21.311554,48.03206],[21.296637,48.028543],[21.293246,48.028986],[21.29283,48.032422],[21.295877,48.037316],[21.29479,48.038477],[21.285501,48.033704],[21.27993,48.036098],[21.272552,48.036239],[21.265843,48.038654],[21.261445,48.042165],[21.259343,48.046011],[21.258544,48.054022],[21.260469,48.059322],[21.258801,48.06011],[21.251196,48.054924],[21.240273,48.051702],[21.235506,48.046461],[21.223871,48.039824],[21.221998,48.035669],[21.226914,48.031009],[21.230274,48.029806],[21.229043,48.027541],[21.218643,48.023168],[21.212975,48.023273],[21.207329,48.024141],[21.193367,48.029729],[21.179138,48.028844],[21.16997,48.02673],[21.167682,48.033896],[21.172025,48.039787],[21.169584,48.041933],[21.162827,48.044102],[21.158234,48.044286],[21.152026,48.039779],[21.149964,48.039809],[21.141221,48.045567],[21.13538,48.04431],[21.132853,48.045608],[21.13141,48.048263],[21.127901,48.045777],[21.131116,48.041821],[21.128483,48.039664],[21.125654,48.040093],[21.113968,48.031543],[21.110954,48.027029],[21.110819,48.023604],[21.108518,48.022882],[21.104578,48.023714],[21.095429,48.021972],[21.09131,48.018233],[21.091862,48.01044],[21.082459,48.00963],[21.078803,48.003224],[21.078759,48.002078],[21.083299,48.001998],[21.086014,47.998908],[21.085993,47.996888],[21.104618,47.981443],[21.106107,47.976086],[21.101939,47.971105],[21.106785,47.970577],[21.109116,47.971844],[21.122001,47.962093],[21.111769,47.932573],[21.107702,47.92998],[21.094517,47.926023],[21.09154,47.922264],[21.09082,47.918471],[21.09425,47.919173],[21.097004,47.917221],[21.102765,47.919785],[21.103486,47.923578],[21.104515,47.920894],[21.107801,47.918171],[21.122554,47.918671],[21.124633,47.914927],[21.12103,47.908793],[21.121532,47.907266],[21.114653,47.905101],[21.107864,47.905222],[21.097002,47.902748],[21.091651,47.895987],[21.0835,47.890416],[21.085588,47.885811],[21.086721,47.885791],[21.082483,47.864159],[21.077393,47.864248],[21.071092,47.862071],[21.069931,47.861329],[21.072098,47.85901],[21.071507,47.858258],[21.060226,47.859216],[21.056065,47.853958],[21.052649,47.853254],[21.052021,47.851741],[21.057636,47.850503],[21.060949,47.848536],[21.061462,47.847009],[21.058584,47.845912],[21.068395,47.836221],[21.076233,47.834181],[21.075569,47.831528],[21.081375,47.820765],[21.06959,47.8084],[21.071238,47.807231],[21.070034,47.805349],[21.067153,47.803874],[21.067065,47.801589],[21.065315,47.800094],[21.06746,47.797013],[21.065067,47.793627],[21.066081,47.79056],[21.060385,47.789519],[21.060253,47.786093],[21.055422,47.777797],[21.049808,47.778656],[21.048036,47.776784],[21.053002,47.773655],[21.047013,47.764615],[21.044222,47.765426],[21.041846,47.762417],[21.04176,47.760137],[21.044005,47.759714],[21.036163,47.746522],[21.033358,47.746949],[21.030198,47.753096],[21.026923,47.756202],[21.021915,47.75819],[21.013455,47.758334],[21.007772,47.75729],[20.99855,47.752493],[20.996202,47.749867],[20.996635,47.746432],[21.002114,47.741771],[20.995765,47.738066],[20.997384,47.736136],[20.995596,47.733501],[20.999474,47.731533],[21.001036,47.728078],[21.000335,47.724278],[20.996807,47.720532],[20.987112,47.717645],[20.967424,47.719498],[20.952058,47.715946],[20.950396,47.716736],[20.945656,47.710336],[20.943426,47.711135],[20.934173,47.704815],[20.932894,47.700646],[20.93492,47.694135],[20.926529,47.696175],[20.917988,47.694032],[20.903041,47.685893],[20.902522,47.687041],[20.898035,47.687876],[20.894743,47.690594],[20.89162,47.697883],[20.887105,47.697955],[20.883569,47.693437],[20.883424,47.689255],[20.88753,47.67776],[20.895511,47.680298],[20.898896,47.680244],[20.90057,47.679839],[20.902147,47.676386],[20.898083,47.673024],[20.893517,47.671572],[20.89405,47.670801],[20.886176,47.671311],[20.881739,47.673284],[20.878897,47.672566],[20.878355,47.673337],[20.857587,47.675952],[20.851929,47.675278],[20.851773,47.670712],[20.854965,47.665325],[20.854835,47.661521],[20.857078,47.661108],[20.863665,47.656053],[20.878158,47.651256],[20.880325,47.648934],[20.87966,47.645895],[20.875613,47.642916],[20.86773,47.64304],[20.85937,47.645837],[20.858308,47.647756],[20.854444,47.650104],[20.853394,47.652401],[20.854705,47.657718],[20.853043,47.6585],[20.850736,47.657017],[20.845093,47.656721],[20.836834,47.662564],[20.834979,47.65764],[20.832685,47.656535],[20.83101,47.656939],[20.827704,47.659277],[20.830294,47.669136],[20.823535,47.66924],[20.816284,47.671638],[20.80141,47.682148],[20.79635,47.682602],[20.784392,47.678977],[20.772956,47.674195],[20.768341,47.670837],[20.764846,47.667461],[20.76419,47.664806],[20.77175,47.65441],[20.763918,47.656429],[20.752434,47.667266],[20.744,47.667769],[20.741274,47.670858],[20.725218,47.67985],[20.724174,47.68253],[20.718653,47.686416],[20.708635,47.690372],[20.704133,47.690815],[20.693319,47.687541],[20.687653,47.68686],[20.67717,47.694247],[20.672979,47.68631],[20.653277,47.687342],[20.649265,47.685495],[20.641398,47.686366],[20.638045,47.687174],[20.633634,47.690662],[20.602845,47.698313],[20.598419,47.701422],[20.594618,47.706425],[20.589039,47.708402],[20.589128,47.711444],[20.584096,47.713035],[20.580094,47.711186],[20.577847,47.711594],[20.569,47.717803],[20.57764,47.723781],[20.577729,47.726829],[20.581208,47.730211],[20.589818,47.735048],[20.596182,47.740294],[20.588923,47.743055],[20.576188,47.751604],[20.570581,47.752818],[20.556163,47.762142],[20.556196,47.763288],[20.555055,47.762919],[20.550072,47.766411],[20.54611,47.766084],[20.542267,47.769939],[20.541234,47.773379],[20.533309,47.772719],[20.53107,47.77351],[20.524025,47.783882],[20.520147,47.786596],[20.521881,47.788099],[20.519942,47.791617],[20.515318,47.795799],[20.512517,47.796596],[20.512549,47.797736],[20.507496,47.79894],[20.507042,47.803136],[20.502622,47.806618],[20.501849,47.819575],[20.504101,47.819168],[20.503573,47.820693],[20.511695,47.828208],[20.513113,47.838471],[20.51213,47.843814],[20.5083,47.848435],[20.50306,47.86335],[20.494719,47.868784],[20.462632,47.874894],[20.450017,47.889895],[20.449638,47.896754],[20.447995,47.899054],[20.452609,47.902048],[20.461747,47.90498],[20.462982,47.908776],[20.468129,47.910615],[20.473214,47.910175],[20.480972,47.903988],[20.492419,47.908413],[20.497442,47.906064],[20.49974,47.907182],[20.49921,47.908329],[20.49317,47.915258],[20.497216,47.918251],[20.493869,47.920201],[20.496749,47.921683],[20.502407,47.921613],[20.504145,47.923115],[20.511,47.924932],[20.511636,47.927589],[20.517899,47.928656],[20.510885,47.941306],[20.503497,47.940637],[20.500709,47.942196],[20.49841,47.941085],[20.48787,47.94921],[20.478879,47.951986],[20.473372,47.957767],[20.451551,47.968299],[20.453933,47.972852],[20.458472,47.972797],[20.461335,47.973903],[20.461397,47.976188],[20.470888,47.991683],[20.478272,47.99197],[20.481188,47.994983],[20.482438,47.999157],[20.479688,48.002234],[20.480365,48.006414],[20.483439,48.015133],[20.485721,48.015489],[20.484679,48.018929],[20.488117,48.020026],[20.490493,48.023802],[20.490546,48.02571],[20.488879,48.027249],[20.49183,48.031401],[20.490277,48.03675],[20.493616,48.04238],[20.4832,48.04788],[20.480551,48.054766],[20.481176,48.056661],[20.478383,48.058604],[20.500052,48.061757],[20.502484,48.06744],[20.496979,48.0736],[20.49549,48.081612],[20.491673,48.087373],[20.48775,48.089324],[20.481677,48.095874],[20.484715,48.103068],[20.481343,48.10425],[20.480821,48.106165],[20.484412,48.11259],[20.483358,48.115652],[20.478294,48.117616],[20.476759,48.123727],[20.477949,48.125614],[20.476852,48.127152],[20.474033,48.127949],[20.475795,48.129826],[20.474137,48.131752],[20.468425,48.13106],[20.465668,48.134142],[20.463577,48.141021],[20.459136,48.144879],[20.455166,48.145311],[20.451248,48.147639],[20.455833,48.149108],[20.453607,48.151037],[20.446201,48.150364],[20.437727,48.152752],[20.434815,48.150122],[20.434261,48.150891],[20.428558,48.150196],[20.420607,48.150668],[20.416023,48.149582],[20.411508,48.150775],[20.408172,48.153862],[20.397816,48.149416],[20.39482,48.150614],[20.387024,48.149918],[20.394719,48.13955],[20.395224,48.136879],[20.389416,48.132379],[20.386011,48.132418],[20.37569,48.12911],[20.373853,48.12418],[20.374952,48.122643],[20.37433,48.12037],[20.36974,48.118897],[20.364471,48.112866],[20.362195,48.112507],[20.363859,48.110971],[20.363773,48.107545],[20.359729,48.104926],[20.363123,48.104503],[20.364193,48.101827],[20.363571,48.099547],[20.360685,48.097678],[20.361688,48.092337],[20.356556,48.091633],[20.354339,48.093944],[20.354931,48.095078],[20.350984,48.096262],[20.348794,48.099335],[20.34541,48.100513],[20.344903,48.103183],[20.338717,48.105538],[20.338124,48.104783],[20.334148,48.104827],[20.33253,48.108271],[20.325751,48.10987],[20.32638,48.112528],[20.320757,48.114876],[20.320784,48.116016],[20.323671,48.117886],[20.321978,48.118667],[20.322598,48.120563],[20.319832,48.123641],[20.313559,48.122947],[20.310673,48.121076],[20.303827,48.120388],[20.302662,48.119254],[20.297583,48.120455],[20.296481,48.121985],[20.287414,48.123228],[20.287897,48.119796],[20.285607,48.119053],[20.286114,48.116389],[20.282593,48.111859],[20.279744,48.111505],[20.279699,48.109604],[20.27797,48.108482],[20.28193,48.107678],[20.284124,48.104606],[20.283523,48.103088],[20.280684,48.103118],[20.278911,48.100472],[20.280577,48.098552],[20.274809,48.095187],[20.269167,48.09677],[20.260077,48.096865],[20.260024,48.094579],[20.255475,48.094626],[20.248529,48.088991],[20.245179,48.091306],[20.241195,48.090969],[20.241785,48.092103],[20.240118,48.093644],[20.231558,48.092207],[20.225881,48.092265],[20.225325,48.093033],[20.221332,48.092311],[20.204383,48.096669],[20.203903,48.100478],[20.199968,48.102803],[20.201164,48.105456],[20.204038,48.106574],[20.202926,48.107725],[20.197271,48.109305],[20.193294,48.109344],[20.180905,48.11441],[20.177467,48.113303],[20.170125,48.115661],[20.17132,48.118313],[20.168554,48.121767],[20.169159,48.123663],[20.165254,48.127127],[20.167563,48.128629],[20.167595,48.130147],[20.16486,48.135124],[20.158588,48.134422],[20.156902,48.1352],[20.155173,48.134454],[20.150088,48.136027],[20.147917,48.140614],[20.140004,48.143352],[20.134313,48.143027],[20.126958,48.144998],[20.118943,48.142407],[20.118332,48.140127],[20.100655,48.138007],[20.098401,48.139168],[20.097921,48.143361],[20.093367,48.143402],[20.092261,48.144552],[20.091206,48.14875],[20.089501,48.149149],[20.090678,48.151041],[20.087881,48.153346],[20.080455,48.151894],[20.076541,48.155355],[20.073684,48.154618],[20.072516,48.153104],[20.065723,48.154687],[20.063512,48.158133],[20.06471,48.161165],[20.063006,48.16118],[20.063593,48.162321],[20.06081,48.165387],[20.061986,48.167279],[20.058584,48.168071],[20.054565,48.166203],[20.051907,48.16772]]]]}</t>
  </si>
  <si>
    <t>{"type":"MultiPolygon","coordinates":[[[[18.925106,47.544144],[18.933232,47.546369],[18.940766,47.550682],[18.94044,47.55279],[18.934156,47.555516],[18.937756,47.55785],[18.928843,47.572441],[18.939461,47.575642],[18.942591,47.578906],[18.959585,47.577864],[18.977211,47.573908],[18.977512,47.575754],[18.985089,47.583112],[18.977787,47.585734],[18.983023,47.589029],[18.993828,47.583756],[18.996939,47.585955],[19.000804,47.583481],[19.01985,47.587644],[19.026021,47.588153],[19.034467,47.586938],[19.031171,47.598809],[19.025275,47.604614],[19.03427,47.606842],[19.039322,47.609815],[19.060963,47.609483],[19.074696,47.607537],[19.076146,47.605818],[19.071818,47.597536],[19.071246,47.590311],[19.071281,47.589496],[19.074573,47.589129],[19.088545,47.604549],[19.099283,47.613147],[19.109063,47.610355],[19.10726,47.607247],[19.108633,47.605835],[19.118315,47.60326],[19.127971,47.597952],[19.138108,47.599843],[19.140363,47.596402],[19.138114,47.595647],[19.153836,47.58499],[19.145354,47.578145],[19.151554,47.573947],[19.157766,47.57623],[19.174392,47.564288],[19.161123,47.559525],[19.180781,47.548235],[19.177363,47.546132],[19.190819,47.539261],[19.195119,47.537601],[19.198704,47.540014],[19.203767,47.537711],[19.209384,47.540357],[19.221148,47.532742],[19.245379,47.53689],[19.258807,47.52049],[19.263816,47.508291],[19.284011,47.510909],[19.296401,47.511275],[19.318694,47.515424],[19.321096,47.510448],[19.314215,47.503036],[19.314218,47.493036],[19.329822,47.477675],[19.331062,47.467481],[19.334926,47.46321],[19.330412,47.459795],[19.321096,47.459121],[19.306325,47.456239],[19.301264,47.457178],[19.292281,47.45064],[19.280899,47.436309],[19.265769,47.438233],[19.260142,47.427173],[19.254981,47.429064],[19.247177,47.419234],[19.23819,47.422294],[19.238718,47.424116],[19.236436,47.426001],[19.234767,47.423163],[19.231728,47.4242],[19.217422,47.412794],[19.226393,47.407457],[19.21792,47.400876],[19.215552,47.403124],[19.214931,47.401284],[19.205968,47.395512],[19.192576,47.373984],[19.179723,47.361073],[19.150745,47.356744],[19.140478,47.34969],[19.128191,47.359838],[19.098236,47.378742],[19.105317,47.387047],[19.093948,47.391071],[19.08359,47.404866],[19.075308,47.404037],[19.060704,47.397616],[19.06485,47.393531],[19.062232,47.391358],[19.053855,47.393415],[19.051031,47.387238],[19.048027,47.388679],[19.043898,47.384931],[19.038242,47.388203],[19.030148,47.385204],[19.027857,47.388214],[19.023135,47.386467],[19.021668,47.388337],[19.02002,47.387889],[19.018947,47.390097],[18.995967,47.387202],[18.976298,47.382478],[18.962318,47.372947],[18.957202,47.375731],[18.955168,47.378335],[18.95382,47.383083],[18.954962,47.383484],[18.951301,47.392728],[18.95417,47.397199],[18.962469,47.399329],[18.961485,47.404797],[18.957027,47.414781],[18.957233,47.418847],[18.966745,47.424943],[18.975948,47.429225],[18.976973,47.430872],[18.979189,47.43802],[18.978515,47.447214],[18.969897,47.451098],[18.977433,47.455067],[18.981055,47.455212],[18.982668,47.460778],[18.978875,47.468812],[18.961233,47.484491],[18.954916,47.48642],[18.953237,47.484605],[18.947735,47.482285],[18.941524,47.487019],[18.941698,47.488417],[18.935742,47.491461],[18.939876,47.497864],[18.944593,47.496975],[18.945387,47.499107],[18.94373,47.503745],[18.933866,47.507115],[18.944222,47.517979],[18.935329,47.522641],[18.933475,47.520735],[18.926897,47.522244],[18.927954,47.524346],[18.930355,47.524638],[18.935328,47.522643],[18.934319,47.535641],[18.935752,47.54334],[18.92979,47.541833],[18.925106,47.544144]]]]}</t>
  </si>
  <si>
    <t>{"type":"MultiPolygon","coordinates":[[[[19.638185,46.264438],[19.653162,46.278068],[19.689192,46.306051],[19.67999,46.318288],[19.662557,46.33171],[19.656135,46.34698],[19.696977,46.359315],[19.72231,46.362216],[19.743605,46.350279],[19.75632,46.35553],[19.767406,46.361937],[19.793977,46.374328],[19.819491,46.389013],[19.827688,46.384767],[19.85722,46.373136],[19.866634,46.376873],[19.881079,46.386288],[19.88516,46.401109],[19.89464,46.408655],[19.898667,46.41967],[19.898195,46.425004],[19.882535,46.44454],[19.89985,46.460031],[19.90108,46.468017],[19.895214,46.480625],[19.885967,46.488311],[19.873377,46.494119],[19.848268,46.511053],[19.837745,46.508462],[19.809587,46.50599],[19.780159,46.53208],[19.815727,46.550123],[19.83961,46.560241],[19.892342,46.578523],[19.930652,46.55728],[19.943748,46.548419],[19.961181,46.567321],[19.976298,46.579384],[19.994736,46.591801],[19.989416,46.603269],[19.99229,46.609723],[19.994179,46.623033],[19.991029,46.632202],[19.980608,46.637234],[19.98534,46.654718],[19.9932,46.661508],[20.0079,46.679663],[20.011503,46.695246],[20.005564,46.703677],[19.969429,46.726823],[19.981259,46.738534],[19.999796,46.752847],[20.024679,46.780819],[20.061197,46.806396],[20.061647,46.801062],[20.066442,46.790736],[20.070852,46.789171],[20.080263,46.788708],[20.083548,46.786391],[20.086713,46.778366],[20.091605,46.773369],[20.089283,46.76806],[20.09084,46.762331],[20.101968,46.764515],[20.10703,46.768274],[20.106516,46.770566],[20.103233,46.772884],[20.102207,46.776699],[20.102855,46.781645],[20.10456,46.783911],[20.109028,46.785394],[20.115669,46.784953],[20.134268,46.772591],[20.17546,46.754667],[20.181676,46.76032],[20.189123,46.771669],[20.193633,46.775436],[20.192548,46.776587],[20.19369,46.778101],[20.199918,46.784131],[20.208558,46.782544],[20.213124,46.779806],[20.219814,46.781262],[20.222625,46.783136],[20.223242,46.786173],[20.218303,46.788511],[20.218378,46.791938],[20.223393,46.793027],[20.223426,46.794552],[20.226814,46.797182],[20.230727,46.798666],[20.242927,46.798538],[20.264959,46.792212],[20.275262,46.781817],[20.28453,46.775239],[20.290451,46.767563],[20.326937,46.76373],[20.332438,46.762143],[20.341357,46.76433],[20.345308,46.767328],[20.346162,46.779505],[20.352389,46.784764],[20.362356,46.784272],[20.380167,46.787108],[20.389025,46.786626],[20.40403,46.788351],[20.406896,46.791744],[20.416922,46.793527],[20.416952,46.794673],[20.424828,46.799147],[20.424386,46.803721],[20.442785,46.807309],[20.453447,46.812124],[20.468147,46.801664],[20.480194,46.795798],[20.492718,46.787258],[20.503423,46.77341],[20.537795,46.773349],[20.562808,46.776062],[20.5956,46.759627],[20.584832,46.73197],[20.581706,46.719441],[20.584309,46.71369],[20.584368,46.696555],[20.589524,46.683151],[20.59275,46.680063],[20.575018,46.679156],[20.576283,46.665049],[20.575165,46.664686],[20.569294,46.63315],[20.576448,46.631913],[20.574417,46.61899],[20.579484,46.564073],[20.604757,46.540494],[20.608563,46.538538],[20.615158,46.537684],[20.610706,46.536227],[20.613252,46.528951],[20.614915,46.529313],[20.615416,46.527396],[20.613709,46.525517],[20.613532,46.519426],[20.61128,46.517932],[20.609498,46.513772],[20.606162,46.512671],[20.604258,46.503938],[20.601996,46.502066],[20.601732,46.492926],[20.598825,46.487635],[20.600803,46.479989],[20.596312,46.477007],[20.594662,46.477029],[20.598814,46.468213],[20.602145,46.46893],[20.606218,46.457443],[20.60399,46.456711],[20.605027,46.454415],[20.58239,46.452822],[20.582782,46.408252],[20.571239,46.40917],[20.560132,46.405507],[20.553907,46.399497],[20.548732,46.391569],[20.578976,46.371357],[20.571672,46.365747],[20.585793,46.359461],[20.588102,46.363236],[20.595701,46.359704],[20.621861,46.351345],[20.623607,46.354749],[20.682354,46.351247],[20.693709,46.380789],[20.738943,46.38431],[20.742969,46.37244],[20.748877,46.367783],[20.754144,46.360468],[20.762892,46.341285],[20.748647,46.290462],[20.763694,46.279956],[20.775654,46.27596],[20.749047,46.250849],[20.76184,46.204473],[20.727374,46.207377],[20.728577,46.205001],[20.725726,46.196435],[20.733823,46.194067],[20.733416,46.192255],[20.724872,46.187224],[20.722393,46.187457],[20.714998,46.166854],[20.708922,46.164823],[20.705312,46.161356],[20.694897,46.158654],[20.692106,46.150046],[20.687037,46.145571],[20.681481,46.144762],[20.675921,46.146088],[20.670757,46.149929],[20.663658,46.150994],[20.657289,46.150119],[20.653765,46.148774],[20.649785,46.144943],[20.649221,46.13467],[20.640562,46.127209],[20.636041,46.126458],[20.626984,46.131426],[20.609723,46.146134],[20.600975,46.149015],[20.597273,46.149231],[20.593711,46.15236],[20.590664,46.152799],[20.578616,46.158573],[20.5693,46.165264],[20.565347,46.166325],[20.562105,46.169683],[20.553908,46.172019],[20.54947,46.177193],[20.535833,46.180628],[20.523532,46.181357],[20.5015,46.189933],[20.500082,46.188361],[20.49663,46.188716],[20.495431,46.185921],[20.497661,46.185427],[20.498,46.184341],[20.491849,46.180796],[20.496309,46.178015],[20.493187,46.173756],[20.495166,46.17091],[20.472883,46.152425],[20.45911,46.142879],[20.445426,46.141824],[20.426305,46.145241],[20.409904,46.150967],[20.404202,46.153714],[20.402664,46.15553],[20.397457,46.157423],[20.394291,46.15256],[20.381141,46.157918],[20.377575,46.157774],[20.368448,46.152932],[20.355608,46.169674],[20.312628,46.150172],[20.309195,46.156475],[20.299132,46.15192],[20.296842,46.152237],[20.283133,46.141836],[20.275481,46.133582],[20.273867,46.133698],[20.272912,46.132258],[20.27171,46.132808],[20.270219,46.127205],[20.262808,46.125789],[20.254918,46.115796],[20.249554,46.119867],[20.249584,46.123495],[20.251565,46.126459],[20.248213,46.129828],[20.233185,46.12381],[20.229822,46.129069],[20.210327,46.135466],[20.208037,46.143941],[20.181825,46.160049],[20.179511,46.157476],[20.169219,46.152769],[20.146691,46.144828],[20.137287,46.144226],[20.13703,46.147291],[20.134875,46.147485],[20.132362,46.150169],[20.126777,46.152547],[20.126306,46.151952],[20.106858,46.162653],[20.104688,46.165182],[20.103779,46.171683],[20.10649,46.173321],[20.106014,46.174718],[20.102185,46.176767],[20.095811,46.17724],[20.074514,46.156761],[20.063737,46.143666],[20.061682,46.14687],[20.058082,46.147914],[20.04325,46.144609],[20.037242,46.144641],[20.034438,46.145758],[20.02997,46.151278],[20.022977,46.173299],[20.015794,46.176777],[19.965342,46.175752],[19.935139,46.176193],[19.921844,46.166953],[19.91488,46.163985],[19.897821,46.159881],[19.873373,46.151356],[19.853194,46.14979],[19.844244,46.141404],[19.817834,46.127787],[19.812572,46.131282],[19.808285,46.13194],[19.801728,46.134951],[19.797307,46.139464],[19.793563,46.140178],[19.791502,46.139301],[19.780685,46.14453],[19.771783,46.144152],[19.758489,46.147874],[19.748402,46.156486],[19.741041,46.165646],[19.734033,46.169825],[19.72706,46.168104],[19.717941,46.171582],[19.717672,46.175981],[19.698095,46.18793],[19.69931,46.188324],[19.695514,46.191767],[19.686449,46.213146],[19.683209,46.217732],[19.638185,46.264438]]]]}</t>
  </si>
  <si>
    <t>{"type":"MultiPolygon","coordinates":[[[[18.034223,47.340317],[18.056966,47.352322],[18.068679,47.355087],[18.082671,47.355968],[18.088221,47.358679],[18.080813,47.36585],[18.079649,47.368127],[18.080744,47.369655],[18.080095,47.374223],[18.083982,47.376159],[18.086164,47.379604],[18.086631,47.38456],[18.092136,47.390696],[18.097151,47.392258],[18.106026,47.397667],[18.109311,47.401877],[18.111454,47.406851],[18.110838,47.411031],[18.107348,47.417858],[18.105069,47.419742],[18.118441,47.42518],[18.120055,47.429005],[18.114248,47.44038],[18.115855,47.444583],[18.125366,47.446562],[18.137615,47.451989],[18.143291,47.448606],[18.151288,47.440296],[18.158564,47.441108],[18.16076,47.444174],[18.17191,47.448827],[18.179834,47.444698],[18.184879,47.44512],[18.189893,47.447438],[18.194877,47.451664],[18.194816,47.455475],[18.191987,47.456973],[18.194724,47.461182],[18.194099,47.465367],[18.195177,47.467662],[18.188313,47.475606],[18.188868,47.476372],[18.199527,47.476829],[18.219379,47.464027],[18.227821,47.462947],[18.241359,47.458475],[18.239765,47.45275],[18.242023,47.452003],[18.240934,47.449715],[18.242633,47.44858],[18.243239,47.445919],[18.240476,47.443235],[18.247896,47.43453],[18.261462,47.428153],[18.271583,47.426697],[18.277795,47.424074],[18.278953,47.421032],[18.280653,47.420281],[18.280702,47.416855],[18.28525,47.412317],[18.302197,47.403671],[18.310092,47.401057],[18.311798,47.399165],[18.317343,47.403384],[18.321268,47.403409],[18.326274,47.406489],[18.331193,47.416039],[18.338553,47.411133],[18.343055,47.410398],[18.348063,47.412716],[18.377728,47.418222],[18.371517,47.421234],[18.3664,47.426534],[18.360203,47.4284],[18.351122,47.43634],[18.351062,47.440913],[18.355516,47.443983],[18.363806,47.453552],[18.37048,47.458158],[18.378318,47.460491],[18.39305,47.449154],[18.397512,47.451844],[18.399755,47.451479],[18.401431,47.452628],[18.400846,47.45415],[18.406971,47.458367],[18.411389,47.464867],[18.417502,47.469468],[18.419746,47.469865],[18.420281,47.472533],[18.423064,47.47445],[18.42247,47.476734],[18.427985,47.485898],[18.429671,47.485529],[18.434704,47.487459],[18.436957,47.487093],[18.439703,47.492437],[18.449325,47.485633],[18.451582,47.484882],[18.455496,47.486427],[18.458903,47.483396],[18.461768,47.47808],[18.466281,47.476579],[18.474765,47.470529],[18.47529,47.474343],[18.478629,47.47664],[18.481439,47.476276],[18.481402,47.479703],[18.479704,47.481213],[18.481386,47.481221],[18.481378,47.481983],[18.479688,47.482737],[18.483032,47.485418],[18.480185,47.489216],[18.485252,47.487338],[18.486939,47.487724],[18.489725,47.48964],[18.489697,47.492305],[18.493055,47.493846],[18.491344,47.49574],[18.493031,47.496132],[18.495287,47.494619],[18.500351,47.493881],[18.506489,47.498099],[18.512158,47.493558],[18.518698,47.492091],[18.521752,47.48865],[18.527501,47.484959],[18.539229,47.482253],[18.544284,47.482275],[18.530679,47.494783],[18.530616,47.501252],[18.52048,47.503493],[18.506885,47.514852],[18.502365,47.516733],[18.497803,47.523565],[18.496623,47.528896],[18.496067,47.527746],[18.493822,47.52812],[18.494328,47.533068],[18.492609,47.536486],[18.493742,47.535736],[18.496543,47.536505],[18.492557,47.541438],[18.489168,47.542562],[18.485165,47.549018],[18.48904,47.554751],[18.521737,47.556021],[18.526722,47.554164],[18.529534,47.554939],[18.534625,47.551913],[18.549077,47.569489],[18.556972,47.567242],[18.560909,47.567259],[18.565958,47.568798],[18.570432,47.572244],[18.576592,47.574556],[18.586726,47.573834],[18.592945,47.570432],[18.602526,47.568945],[18.607605,47.567062],[18.610974,47.567074],[18.617181,47.564817],[18.62222,47.567879],[18.622748,47.571692],[18.630073,47.570572],[18.644116,47.573286],[18.655662,47.571021],[18.664426,47.570395],[18.672258,47.571479],[18.677863,47.575302],[18.679553,47.574551],[18.68517,47.575325],[18.688536,47.577244],[18.698884,47.565601],[18.70037,47.561313],[18.694438,47.554897],[18.692131,47.548627],[18.694114,47.544903],[18.694759,47.532778],[18.711478,47.514936],[18.729806,47.491239],[18.734316,47.492264],[18.742282,47.489087],[18.750523,47.492453],[18.756994,47.487841],[18.756473,47.486364],[18.762379,47.478061],[18.767563,47.475707],[18.780128,47.466159],[18.785583,47.45686],[18.786774,47.450835],[18.786074,47.444179],[18.790705,47.435335],[18.787072,47.432335],[18.789528,47.425664],[18.763694,47.412954],[18.757563,47.403429],[18.777811,47.389777],[18.791348,47.371907],[18.804726,47.363717],[18.81008,47.355423],[18.819658,47.346789],[18.831849,47.339106],[18.833296,47.339874],[18.841977,47.335983],[18.849739,47.330925],[18.863661,47.319137],[18.867622,47.314527],[18.864227,47.311554],[18.861267,47.306306],[18.858317,47.305404],[18.860401,47.30464],[18.864663,47.306042],[18.868017,47.305463],[18.881136,47.301399],[18.873334,47.286656],[18.880147,47.277286],[18.880704,47.278425],[18.900616,47.275266],[18.919065,47.274484],[18.920477,47.264884],[18.918002,47.257026],[18.91156,47.244397],[18.910142,47.231247],[18.906092,47.225166],[18.886769,47.204778],[18.881508,47.196114],[18.878192,47.175623],[18.873591,47.164361],[18.872906,47.155542],[18.874784,47.145596],[18.882197,47.125301],[18.885286,47.111051],[18.898058,47.076101],[18.902326,47.071518],[18.912813,47.067604],[18.931428,47.05807],[18.955839,47.041843],[18.966715,47.03004],[18.968858,47.019613],[18.965831,47.008023],[18.95674,46.999615],[18.951037,46.99218],[18.950224,46.980865],[18.952541,46.96957],[18.962962,46.949114],[18.965758,46.936931],[18.959138,46.907604],[18.955821,46.901125],[18.947804,46.891337],[18.931987,46.875972],[18.926453,46.865306],[18.92536,46.857309],[18.918153,46.857297],[18.91762,46.859595],[18.905936,46.858406],[18.904322,46.860338],[18.902626,46.859934],[18.904277,46.856898],[18.889309,46.855369],[18.888176,46.856502],[18.882066,46.855731],[18.861007,46.849994],[18.86657,46.843876],[18.875453,46.838182],[18.873825,46.837431],[18.874341,46.836301],[18.8733,46.835511],[18.871584,46.836695],[18.869411,46.835901],[18.872187,46.833612],[18.867175,46.832478],[18.86555,46.825277],[18.862209,46.822166],[18.835658,46.805033],[18.824672,46.798888],[18.805165,46.792382],[18.795248,46.787792],[18.791959,46.784724],[18.797551,46.769898],[18.789244,46.771019],[18.782046,46.769091],[18.758776,46.766379],[18.74934,46.768267],[18.74552,46.767474],[18.745492,46.7652],[18.743237,46.762172],[18.740036,46.761026],[18.731595,46.761358],[18.712842,46.755224],[18.718456,46.745687],[18.72125,46.744546],[18.731291,46.725926],[18.725234,46.723639],[18.727449,46.721351],[18.720831,46.719055],[18.716408,46.720184],[18.707027,46.715983],[18.698761,46.708336],[18.683826,46.697982],[18.67389,46.694155],[18.663476,46.69373],[18.65406,46.690266],[18.646291,46.690284],[18.636936,46.687552],[18.634695,46.688312],[18.636349,46.689843],[18.633017,46.690971],[18.63411,46.692878],[18.628586,46.692095],[18.62967,46.694008],[18.627989,46.697045],[18.630208,46.696675],[18.631821,46.70239],[18.627948,46.702375],[18.626828,46.703896],[18.625173,46.703512],[18.625164,46.704652],[18.626816,46.705421],[18.62793,46.704662],[18.629026,46.706191],[18.630687,46.705813],[18.631774,46.708482],[18.627356,46.707704],[18.627324,46.711893],[18.625645,46.713412],[18.622879,46.713401],[18.622837,46.718731],[18.62062,46.718723],[18.620056,46.720624],[18.622263,46.721779],[18.622251,46.723297],[18.627238,46.722938],[18.628337,46.724082],[18.630548,46.723712],[18.630542,46.724474],[18.628325,46.725607],[18.62445,46.725592],[18.623318,46.728637],[18.619433,46.729763],[18.618858,46.731653],[18.617218,46.731659],[18.61775,46.733553],[18.615492,46.737347],[18.616572,46.738887],[18.617726,46.737767],[18.619914,46.739275],[18.618237,46.740035],[18.614909,46.739273],[18.614373,46.74155],[18.618779,46.741564],[18.617635,46.744982],[18.615463,46.745381],[18.61598,46.746874],[18.611535,46.748008],[18.608218,46.746087],[18.605459,46.747217],[18.604339,46.746082],[18.601568,46.746446],[18.601573,46.747589],[18.599916,46.747584],[18.585455,46.756673],[18.58262,46.756286],[18.57269,46.759288],[18.568726,46.767631],[18.56593,46.769547],[18.556895,46.784722],[18.553104,46.78244],[18.540929,46.779719],[18.532589,46.776234],[18.518272,46.767797],[18.503916,46.763934],[18.505051,46.760136],[18.51066,46.753317],[18.512986,46.745702],[18.507974,46.744524],[18.505175,46.747554],[18.505195,46.745651],[18.50333,46.74501],[18.50308,46.747243],[18.501762,46.746371],[18.500597,46.747975],[18.500213,46.747133],[18.490128,46.744577],[18.487406,46.74533],[18.483558,46.748974],[18.478621,46.748373],[18.470296,46.74548],[18.469221,46.743187],[18.465903,46.742408],[18.46481,46.740884],[18.466802,46.740747],[18.46927,46.73862],[18.447611,46.743077],[18.434206,46.748722],[18.419258,46.752466],[18.42306,46.759699],[18.423561,46.76389],[18.426834,46.768098],[18.422326,46.776065],[18.418391,46.779866],[18.419977,46.787121],[18.422148,46.789391],[18.420962,46.791702],[18.417045,46.797759],[18.408124,46.803793],[18.40354,46.769877],[18.396888,46.770217],[18.395695,46.777065],[18.397309,46.78088],[18.395594,46.785444],[18.388936,46.785406],[18.387863,46.78235],[18.385658,46.781959],[18.38673,46.785009],[18.382216,46.791075],[18.373399,46.786834],[18.371763,46.784921],[18.372327,46.783784],[18.369582,46.781865],[18.370701,46.781109],[18.367392,46.779565],[18.371304,46.776923],[18.365235,46.7746],[18.346823,46.784392],[18.338407,46.787009],[18.3244,46.789057],[18.320055,46.790566],[18.309343,46.798269],[18.308835,46.805086],[18.310291,46.813247],[18.308337,46.815342],[18.303523,46.817423],[18.301488,46.815723],[18.282755,46.808365],[18.265136,46.797947],[18.263515,46.795648],[18.264644,46.793772],[18.260813,46.790701],[18.256389,46.788375],[18.252503,46.789095],[18.252019,46.784537],[18.239872,46.782534],[18.23214,46.780201],[18.231578,46.78134],[18.229378,46.779794],[18.221561,46.780891],[18.210779,46.778241],[18.203685,46.79218],[18.204669,46.800182],[18.201195,46.809299],[18.198364,46.813084],[18.198794,46.820704],[18.200895,46.828338],[18.204688,46.834074],[18.205161,46.83903],[18.203921,46.847779],[18.198222,46.856879],[18.19755,46.864491],[18.206209,46.867362],[18.201326,46.870002],[18.189287,46.873295],[18.213286,46.887454],[18.208166,46.895796],[18.210357,46.897337],[18.203016,46.905278],[18.191015,46.925754],[18.193765,46.928056],[18.18204,46.940264],[18.173995,46.946324],[18.178424,46.948505],[18.195967,46.964251],[18.20641,46.971945],[18.206798,46.982993],[18.208933,46.988339],[18.210591,46.989492],[18.212655,46.999411],[18.215962,47.001716],[18.228185,47.003329],[18.235298,47.010997],[18.235252,47.01404],[18.247479,47.015651],[18.248015,47.016802],[18.261882,47.020319],[18.261284,47.023364],[18.258474,47.025248],[18.239062,47.019782],[18.234468,47.029269],[18.230507,47.033431],[18.228839,47.033419],[18.220894,47.042498],[18.213003,47.048539],[18.212932,47.053107],[18.203604,47.079312],[18.206934,47.080483],[18.214629,47.087388],[18.227935,47.092436],[18.234605,47.09363],[18.232862,47.097801],[18.226116,47.101565],[18.223819,47.105738],[18.222635,47.110676],[18.224235,47.115261],[18.223537,47.124014],[18.215414,47.144135],[18.212316,47.163915],[18.221775,47.166271],[18.21775,47.173859],[18.227797,47.173547],[18.220976,47.181493],[18.223502,47.198648],[18.221746,47.203966],[18.225621,47.206281],[18.224949,47.213893],[18.216979,47.223355],[18.216955,47.22488],[18.196865,47.222824],[18.179302,47.237164],[18.173678,47.239409],[18.169596,47.24966],[18.171763,47.253482],[18.169521,47.254227],[18.167793,47.256879],[18.163854,47.258373],[18.157599,47.264417],[18.14585,47.264704],[18.137525,47.261211],[18.135332,47.258528],[18.133644,47.259277],[18.130847,47.258877],[18.11588,47.251139],[18.109207,47.249182],[18.105851,47.249533],[18.09679,47.255935],[18.093411,47.257047],[18.089909,47.265013],[18.080823,47.272555],[18.078502,47.277487],[18.075656,47.279744],[18.068397,47.279304],[18.066136,47.280425],[18.060571,47.278475],[18.054425,47.278422],[18.05327,47.280315],[18.054369,47.281471],[18.050959,47.284107],[18.05078,47.293625],[18.04792,47.297027],[18.047205,47.305017],[18.052722,47.309632],[18.057732,47.3112],[18.064376,47.315063],[18.065982,47.318888],[18.06484,47.320018],[18.048597,47.320641],[18.042935,47.323641],[18.038938,47.327789],[18.034223,47.340317]]]]}</t>
  </si>
  <si>
    <t>{"type":"MultiPolygon","coordinates":[[[[16.421543,47.665297],[16.425619,47.66791],[16.435135,47.670307],[16.443356,47.674113],[16.442504,47.67734],[16.447618,47.691709],[16.447322,47.696305],[16.453982,47.696838],[16.459982,47.684112],[16.46197,47.68269],[16.464909,47.682309],[16.466294,47.680838],[16.469655,47.681192],[16.47092,47.682412],[16.474659,47.681258],[16.476298,47.690394],[16.480938,47.690275],[16.484643,47.691613],[16.486061,47.692773],[16.484475,47.695401],[16.486624,47.697655],[16.493706,47.698712],[16.499837,47.70472],[16.50409,47.703497],[16.509529,47.705434],[16.510984,47.706996],[16.5127,47.706679],[16.514194,47.707649],[16.516919,47.706925],[16.520629,47.712254],[16.527508,47.710355],[16.534287,47.710599],[16.541112,47.712167],[16.544601,47.717049],[16.552218,47.722513],[16.536465,47.736633],[16.538833,47.738305],[16.537542,47.740024],[16.542782,47.742402],[16.544071,47.742592],[16.544962,47.741319],[16.548757,47.743202],[16.546643,47.745283],[16.548234,47.74596],[16.546008,47.749326],[16.547673,47.749289],[16.54798,47.751544],[16.566488,47.751602],[16.588013,47.755467],[16.592562,47.759104],[16.598779,47.756132],[16.609111,47.760372],[16.62541,47.756936],[16.6343,47.759076],[16.63839,47.754565],[16.639743,47.748264],[16.656014,47.741663],[16.657176,47.741556],[16.658154,47.743273],[16.671554,47.740434],[16.720941,47.735335],[16.721431,47.722651],[16.749028,47.68143],[16.828328,47.682735],[16.832126,47.688147],[16.839027,47.704595],[16.855527,47.711064],[16.866913,47.721659],[16.868822,47.721345],[16.871646,47.690113],[16.875202,47.688337],[16.912404,47.687674],[16.976607,47.694492],[17.040452,47.704393],[17.093089,47.708261],[17.074205,47.723157],[17.070272,47.7282],[17.070804,47.749893],[17.06972,47.757292],[17.068428,47.757111],[17.065612,47.76634],[17.067175,47.766903],[17.063821,47.777805],[17.060831,47.777627],[17.058184,47.786162],[17.050977,47.793983],[17.05354,47.797552],[17.071792,47.808227],[17.074434,47.808274],[17.059739,47.820108],[17.060856,47.822713],[17.046967,47.828307],[17.049872,47.831234],[17.046724,47.832892],[17.05173,47.837864],[17.009954,47.858361],[17.017744,47.868422],[17.037496,47.867955],[17.040034,47.866825],[17.049591,47.870079],[17.048727,47.871919],[17.063054,47.873813],[17.077795,47.877541],[17.080445,47.874473],[17.08519,47.874435],[17.103971,47.899006],[17.095583,47.904294],[17.097334,47.905306],[17.096281,47.90613],[17.102746,47.910437],[17.112681,47.927338],[17.090906,47.934408],[17.100575,47.942015],[17.10781,47.949486],[17.109917,47.954367],[17.117015,47.960895],[17.111935,47.963552],[17.108177,47.963461],[17.104389,47.965936],[17.099665,47.967197],[17.094657,47.970877],[17.111964,47.979495],[17.118067,47.98438],[17.13159,47.990953],[17.135008,47.993319],[17.134223,47.993991],[17.156908,48.004054],[17.162888,48.008289],[17.171999,48.011821],[17.193163,48.018204],[17.198346,48.017686],[17.199388,48.019456],[17.201782,48.020069],[17.214137,48.019078],[17.220742,48.016466],[17.226627,48.016229],[17.236085,48.018563],[17.240453,48.020563],[17.241769,48.022465],[17.246275,48.017957],[17.2484,48.003843],[17.251922,48.000964],[17.257955,47.998655],[17.279398,47.993973],[17.306303,47.996061],[17.325448,47.995214],[17.336182,47.992273],[17.351631,47.978589],[17.36407,47.971096],[17.376398,47.958646],[17.381981,47.955946],[17.398851,47.950738],[17.402993,47.947849],[17.406605,47.940645],[17.411511,47.935115],[17.421937,47.930004],[17.432506,47.920861],[17.435721,47.915638],[17.43691,47.909333],[17.442499,47.901422],[17.446659,47.897681],[17.451182,47.888194],[17.45392,47.885258],[17.463899,47.88096],[17.478343,47.878155],[17.497512,47.867603],[17.507271,47.866502],[17.521531,47.867519],[17.526737,47.865509],[17.534524,47.857464],[17.543079,47.852354],[17.54335,47.843595],[17.547195,47.839209],[17.549969,47.831552],[17.557887,47.825468],[17.561957,47.819564],[17.569161,47.814404],[17.574601,47.814361],[17.588561,47.820859],[17.602621,47.822545],[17.608402,47.821886],[17.633435,47.801929],[17.656674,47.7913],[17.679427,47.778452],[17.691233,47.773261],[17.708579,47.756678],[17.718313,47.754182],[17.732776,47.753377],[17.74566,47.750277],[17.762956,47.749363],[17.768709,47.746861],[17.774783,47.741551],[17.778548,47.739778],[17.786773,47.739481],[17.800326,47.743911],[17.80564,47.744363],[17.814954,47.743252],[17.82337,47.740371],[17.828911,47.740034],[17.866096,47.74575],[17.89449,47.739207],[17.898688,47.727827],[17.90258,47.704639],[17.902094,47.700829],[17.894961,47.692001],[17.893932,47.687417],[17.890079,47.683189],[17.896948,47.678312],[17.901042,47.671499],[17.893192,47.643625],[17.887697,47.637472],[17.895262,47.62651],[17.906565,47.624335],[17.908869,47.622071],[17.92867,47.618081],[17.933768,47.616221],[17.929398,47.610087],[17.922458,47.592128],[17.918609,47.5879],[17.914137,47.58671],[17.912475,47.585175],[17.92326,47.581091],[17.90515,47.559588],[17.919348,47.553257],[17.926133,47.551414],[17.928855,47.556015],[17.933446,47.551485],[17.936279,47.550372],[17.936895,47.548091],[17.934643,47.548069],[17.922927,47.543773],[17.909479,47.541354],[17.903804,47.543963],[17.888573,47.546098],[17.887339,47.551031],[17.884554,47.549863],[17.884147,47.543004],[17.88643,47.541124],[17.887064,47.538082],[17.884947,47.531968],[17.888381,47.529338],[17.888989,47.527063],[17.891773,47.528231],[17.895289,47.521796],[17.901053,47.514999],[17.900512,47.514231],[17.911356,47.506337],[17.906932,47.50325],[17.909853,47.497949],[17.907613,47.497543],[17.90419,47.499796],[17.888089,47.491256],[17.884225,47.488174],[17.884301,47.484747],[17.889511,47.478303],[17.888372,47.477919],[17.883285,47.479785],[17.878273,47.477832],[17.874343,47.477792],[17.87725,47.473254],[17.873396,47.469787],[17.877958,47.466406],[17.885317,47.463815],[17.871943,47.45949],[17.870853,47.457954],[17.876056,47.451153],[17.882755,47.452745],[17.883904,47.45161],[17.889728,47.441771],[17.887556,47.438322],[17.89447,47.430396],[17.894511,47.428493],[17.89011,47.42426],[17.890759,47.420454],[17.884671,47.416588],[17.877106,47.403564],[17.877823,47.396332],[17.876219,47.392894],[17.884133,47.389925],[17.880908,47.383422],[17.877601,47.381101],[17.869781,47.379497],[17.857431,47.38051],[17.849672,47.376624],[17.8392,47.368519],[17.834191,47.366942],[17.833704,47.363887],[17.829235,47.363084],[17.824819,47.360366],[17.825427,47.358091],[17.831705,47.353206],[17.831184,47.351675],[17.832852,47.352077],[17.834009,47.350565],[17.833548,47.34637],[17.836382,47.344875],[17.831914,47.344072],[17.832514,47.342554],[17.82975,47.340622],[17.826518,47.335251],[17.820992,47.331764],[17.822757,47.328356],[17.821158,47.324533],[17.814433,47.324845],[17.80778,47.322103],[17.800427,47.325073],[17.790385,47.323438],[17.788053,47.327225],[17.780881,47.322956],[17.777655,47.317206],[17.780078,47.309615],[17.77861,47.300841],[17.782672,47.294793],[17.782762,47.290988],[17.780631,47.28639],[17.786958,47.279227],[17.781959,47.277647],[17.779701,47.278385],[17.774426,47.275629],[17.773951,47.274388],[17.770816,47.274209],[17.767538,47.272296],[17.765262,47.274034],[17.767337,47.280535],[17.758739,47.289197],[17.760592,47.305209],[17.757111,47.310122],[17.75763,47.311652],[17.75588,47.314676],[17.747396,47.318008],[17.739579,47.317163],[17.731093,47.320872],[17.728211,47.324267],[17.73097,47.325823],[17.72626,47.334905],[17.718269,47.340906],[17.725966,47.346709],[17.726437,47.350521],[17.724722,47.351647],[17.729066,47.357406],[17.744146,47.35948],[17.750254,47.361837],[17.754101,47.364929],[17.766119,47.377627],[17.764348,47.381419],[17.764841,47.38409],[17.769366,47.382616],[17.777686,47.386135],[17.780441,47.388453],[17.785468,47.389264],[17.784265,47.392678],[17.778544,47.39719],[17.777367,47.399457],[17.778498,47.399092],[17.787333,47.404903],[17.787288,47.406806],[17.784907,47.412872],[17.778527,47.42156],[17.772785,47.426827],[17.771096,47.427192],[17.770465,47.430229],[17.763032,47.435861],[17.760702,47.439262],[17.76229,47.443085],[17.75582,47.455583],[17.737985,47.472897],[17.730202,47.469759],[17.732507,47.467504],[17.729173,47.465941],[17.727406,47.469349],[17.726292,47.468952],[17.726434,47.463245],[17.722544,47.461675],[17.73178,47.451499],[17.723424,47.448738],[17.719373,47.453644],[17.717145,47.452856],[17.715993,47.453983],[17.713255,47.451286],[17.711536,47.452791],[17.704315,47.449657],[17.701395,47.454197],[17.710739,47.462302],[17.710115,47.464582],[17.712344,47.465363],[17.710029,47.468008],[17.708924,47.467233],[17.704908,47.470614],[17.703159,47.473258],[17.690941,47.467785],[17.688087,47.469654],[17.682556,47.466539],[17.679653,47.469932],[17.675108,47.472166],[17.670054,47.472105],[17.66897,47.470568],[17.665081,47.468996],[17.663459,47.466696],[17.66521,47.464052],[17.663718,47.456795],[17.659819,47.455607],[17.657532,47.457104],[17.645869,47.452389],[17.641395,47.451572],[17.643521,47.456172],[17.642357,47.457683],[17.634592,47.45416],[17.63286,47.456042],[17.630634,47.455252],[17.620254,47.465407],[17.603298,47.456334],[17.59956,47.462484],[17.5887,47.469202],[17.577724,47.45992],[17.580109,47.454998],[17.582398,47.453509],[17.581285,47.45311],[17.581883,47.451977],[17.576371,47.448095],[17.57468,47.448458],[17.566323,47.446064],[17.565808,47.444533],[17.558596,47.441396],[17.556841,47.444039],[17.539912,47.452893],[17.532524,47.458533],[17.52824,47.463454],[17.528628,47.465693],[17.526385,47.468775],[17.51566,47.458723],[17.517139,47.458987],[17.503864,47.444676],[17.508094,47.441111],[17.503222,47.434953],[17.501521,47.435314],[17.499362,47.43262],[17.497116,47.43259],[17.490476,47.429451],[17.482806,47.422875],[17.465823,47.427974],[17.464097,47.429475],[17.45864,47.424448],[17.444956,47.431492],[17.446407,47.43913],[17.448038,47.441055],[17.443916,47.447475],[17.44437,47.450909],[17.438195,47.450823],[17.433075,47.453033],[17.427327,47.457527],[17.423747,47.464332],[17.419167,47.46731],[17.419109,47.469213],[17.423444,47.474226],[17.421149,47.475719],[17.423315,47.478415],[17.40915,47.482404],[17.398496,47.481868],[17.391737,47.482534],[17.391111,47.484428],[17.392212,47.485206],[17.389382,47.485928],[17.384072,47.475952],[17.383658,47.471372],[17.384841,47.469486],[17.383765,47.467946],[17.386025,47.4676],[17.382928,47.458797],[17.362071,47.443642],[17.350832,47.44424],[17.344769,47.440722],[17.344806,47.439576],[17.341941,47.441437],[17.339141,47.441017],[17.339165,47.440255],[17.329644,47.439736],[17.326164,47.443111],[17.323939,47.442694],[17.312262,47.439091],[17.313472,47.436443],[17.306743,47.436342],[17.298953,47.434321],[17.300671,47.433207],[17.299079,47.430517],[17.297377,47.430869],[17.293502,47.429285],[17.290623,47.431529],[17.286115,47.432222],[17.283376,47.430278],[17.280576,47.42985],[17.275451,47.432059],[17.274265,47.433944],[17.2715,47.432761],[17.273227,47.43164],[17.272712,47.430114],[17.270969,47.43199],[17.264848,47.430371],[17.263687,47.431493],[17.265882,47.433052],[17.2625,47.433384],[17.261879,47.435277],[17.245673,47.433122],[17.240533,47.435707],[17.239462,47.434165],[17.236633,47.434883],[17.237108,47.437556],[17.235393,47.438292],[17.235908,47.439819],[17.234205,47.440176],[17.233095,47.439774],[17.233199,47.436732],[17.230357,47.437828],[17.230318,47.438974],[17.228137,47.437031],[17.223031,47.438859],[17.221948,47.437695],[17.222144,47.431989],[17.201251,47.435462],[17.197652,47.442261],[17.193039,47.445614],[17.193686,47.443337],[17.190842,47.444438],[17.189233,47.442125],[17.188596,47.444402],[17.18085,47.441227],[17.180364,47.438932],[17.181527,47.43781],[17.175975,47.436195],[17.177151,47.434696],[17.17553,47.43276],[17.170467,47.433062],[17.172619,47.435763],[17.161452,47.434055],[17.156336,47.435875],[17.147306,47.437251],[17.136911,47.429845],[17.133488,47.431313],[17.131932,47.427859],[17.128522,47.428943],[17.12519,47.428125],[17.125816,47.426232],[17.129769,47.425536],[17.128213,47.422082],[17.125995,47.421282],[17.126685,47.417866],[17.125604,47.416707],[17.118799,47.418496],[17.10934,47.416434],[17.105583,47.411796],[17.102201,47.412123],[17.100606,47.409809],[17.092856,47.407012],[17.086645,47.408047],[17.082198,47.406831],[17.077689,47.407516],[17.075487,47.406338],[17.069856,47.407004],[17.066517,47.406184],[17.057705,47.401841],[17.054918,47.401409],[17.050101,47.395231],[17.046164,47.395547],[17.045556,47.396677],[17.048265,47.39939],[17.043205,47.399687],[17.04427,47.401224],[17.047357,47.401007],[17.045684,47.402185],[17.046999,47.403181],[17.049142,47.403038],[17.052487,47.40632],[17.051888,47.40745],[17.05584,47.406762],[17.055203,47.408654],[17.052387,47.408984],[17.053937,47.412439],[17.054532,47.411687],[17.056762,47.412109],[17.055526,47.415132],[17.058313,47.415564],[17.055971,47.41624],[17.059393,47.416724],[17.057656,47.418219],[17.061467,47.421328],[17.06083,47.423227],[17.06191,47.424386],[17.059664,47.424347],[17.060778,47.428164],[17.059379,47.431961],[17.062148,47.433149],[17.06262,47.435445],[17.064328,47.434712],[17.067117,47.435138],[17.064823,47.436623],[17.065351,47.437395],[17.067597,47.437434],[17.067555,47.438574],[17.071382,47.441305],[17.070131,47.444712],[17.067856,47.445435],[17.06609,47.447692],[17.061593,47.447993],[17.05549,47.460837],[17.054481,47.457776],[17.050539,47.458086],[17.045589,47.455335],[17.041834,47.450701],[17.032973,47.447496],[17.024766,47.442021],[17.023164,47.439705],[17.021455,47.440438],[17.019252,47.439258],[17.016435,47.439587],[17.016478,47.438447],[17.011517,47.436072],[17.007577,47.436387],[17.003709,47.434793],[17.005492,47.432159],[17.001699,47.428663],[17.000561,47.429028],[16.997275,47.42706],[16.998433,47.42594],[16.991765,47.424296],[16.990144,47.422742],[16.988992,47.423484],[16.982324,47.421846],[16.980754,47.418767],[16.976874,47.417557],[16.9775,47.416043],[16.972995,47.41634],[16.972483,47.415191],[16.969681,47.41514],[16.968127,47.411684],[16.966989,47.412048],[16.962048,47.409286],[16.960354,47.40964],[16.957702,47.405779],[16.957101,47.406915],[16.955428,47.4065],[16.955488,47.404983],[16.947806,47.400652],[16.948959,47.39991],[16.948462,47.398376],[16.946263,47.397196],[16.947476,47.39493],[16.940622,47.397855],[16.932963,47.407237],[16.931674,47.411404],[16.921016,47.411208],[16.919169,47.415358],[16.915275,47.41453],[16.917,47.413415],[16.909718,47.41328],[16.911167,47.419023],[16.909519,47.41823],[16.905364,47.423868],[16.903691,47.423453],[16.905502,47.420443],[16.892612,47.419818],[16.894424,47.416808],[16.887303,47.412484],[16.885608,47.41283],[16.880329,47.418447],[16.8734,47.42327],[16.866648,47.42352],[16.865385,47.426925],[16.858878,47.435183],[16.852486,47.440393],[16.853562,47.441554],[16.848198,47.449071],[16.844287,47.448618],[16.842677,47.446678],[16.830563,47.441114],[16.815641,47.435494],[16.811715,47.435418],[16.804067,47.443651],[16.790891,47.436537],[16.784994,47.443278],[16.766683,47.438342],[16.757324,47.433971],[16.754996,47.435828],[16.746803,47.430711],[16.725299,47.421898],[16.725922,47.420391],[16.71928,47.418348],[16.719396,47.415684],[16.722905,47.412326],[16.715757,47.409138],[16.709203,47.417765],[16.700924,47.414546],[16.697971,47.417915],[16.691887,47.415887],[16.686569,47.421873],[16.678249,47.419799],[16.676476,47.421665],[16.677581,47.422073],[16.672896,47.426545],[16.670128,47.425726],[16.660265,47.432757],[16.654557,47.434927],[16.650845,47.442469],[16.646706,47.446952],[16.651598,47.448945],[16.649125,47.451303],[16.662032,47.455714],[16.659748,47.461416],[16.661771,47.462775],[16.661034,47.463803],[16.662433,47.466341],[16.670492,47.474262],[16.668169,47.479286],[16.662303,47.483299],[16.652339,47.500325],[16.657936,47.506468],[16.662681,47.509214],[16.668958,47.503545],[16.689818,47.510423],[16.694774,47.515358],[16.695601,47.518182],[16.705503,47.522937],[16.703173,47.533224],[16.714507,47.539646],[16.711246,47.543088],[16.70588,47.542384],[16.704128,47.54574],[16.701014,47.546309],[16.698181,47.545629],[16.690043,47.555546],[16.690984,47.557904],[16.688902,47.559488],[16.684009,47.561306],[16.671799,47.559864],[16.668168,47.564591],[16.663441,47.567849],[16.664122,47.569384],[16.667662,47.569645],[16.67108,47.571335],[16.671269,47.575172],[16.675127,47.578789],[16.675102,47.582532],[16.666401,47.596261],[16.666417,47.597883],[16.67055,47.600772],[16.670455,47.602337],[16.673143,47.604958],[16.671542,47.606247],[16.664285,47.605424],[16.659534,47.606102],[16.652941,47.622231],[16.634984,47.627849],[16.628998,47.628055],[16.618908,47.625799],[16.613303,47.622528],[16.604239,47.621064],[16.593396,47.617849],[16.587996,47.617532],[16.572515,47.619826],[16.567937,47.623322],[16.56226,47.624868],[16.548802,47.633589],[16.528698,47.641497],[16.523828,47.641909],[16.523147,47.641202],[16.522128,47.642617],[16.514442,47.646145],[16.513301,47.646044],[16.513665,47.644327],[16.512033,47.642625],[16.508773,47.641077],[16.506485,47.638388],[16.502448,47.640066],[16.496938,47.639349],[16.492636,47.642257],[16.48732,47.641765],[16.480008,47.649879],[16.470386,47.651561],[16.462664,47.651302],[16.460021,47.653178],[16.454945,47.653653],[16.451449,47.655723],[16.439837,47.656666],[16.433041,47.659921],[16.427912,47.660801],[16.421543,47.665297]]]]}</t>
  </si>
  <si>
    <t>{"type":"MultiPolygon","coordinates":[[[[20.824151,47.640675],[20.825421,47.6421],[20.827704,47.659277],[20.83101,47.656939],[20.833825,47.656895],[20.836834,47.662564],[20.845093,47.656721],[20.850736,47.657017],[20.853043,47.6585],[20.854705,47.657718],[20.853394,47.652401],[20.854444,47.650104],[20.862132,47.644269],[20.87109,47.642603],[20.877326,47.643651],[20.87966,47.645895],[20.880325,47.648934],[20.878158,47.651256],[20.863665,47.656053],[20.857078,47.661108],[20.854835,47.661521],[20.854965,47.665325],[20.851773,47.670712],[20.851929,47.675278],[20.857587,47.675952],[20.878355,47.673337],[20.878897,47.672566],[20.881739,47.673284],[20.889547,47.670873],[20.89405,47.670801],[20.893517,47.671572],[20.898083,47.673024],[20.902147,47.676386],[20.90057,47.679839],[20.895511,47.680298],[20.88753,47.67776],[20.883424,47.689255],[20.883569,47.693437],[20.887105,47.697955],[20.89162,47.697883],[20.894743,47.690594],[20.898035,47.687876],[20.902522,47.687041],[20.903041,47.685893],[20.917988,47.694032],[20.926529,47.696175],[20.93492,47.694135],[20.932894,47.700646],[20.934173,47.704815],[20.943426,47.711135],[20.945656,47.710336],[20.950396,47.716736],[20.952058,47.715946],[20.967424,47.719498],[20.987112,47.717645],[20.996807,47.720532],[21.000335,47.724278],[21.001036,47.728078],[20.999474,47.731533],[20.995596,47.733501],[20.997384,47.736136],[20.995765,47.738066],[21.002142,47.742527],[20.997708,47.744889],[20.996202,47.749867],[20.999708,47.753236],[21.007772,47.75729],[21.013455,47.758334],[21.021915,47.75819],[21.025262,47.756992],[21.030198,47.753096],[21.033358,47.746949],[21.036163,47.746522],[21.044005,47.759714],[21.04176,47.760137],[21.041846,47.762417],[21.044222,47.765426],[21.047013,47.764615],[21.053002,47.773655],[21.048036,47.776784],[21.049808,47.778656],[21.055422,47.777797],[21.060253,47.786093],[21.060385,47.789519],[21.066081,47.79056],[21.065067,47.793627],[21.06746,47.797013],[21.065315,47.800094],[21.067065,47.801589],[21.067153,47.803874],[21.070034,47.805349],[21.071238,47.807231],[21.06959,47.8084],[21.081375,47.820765],[21.075569,47.831528],[21.076233,47.834181],[21.068395,47.836221],[21.058584,47.845912],[21.061462,47.847009],[21.060949,47.848536],[21.057636,47.850503],[21.052021,47.851741],[21.052649,47.853254],[21.056065,47.853958],[21.060226,47.859216],[21.071507,47.858258],[21.072098,47.85901],[21.069931,47.861329],[21.071092,47.862071],[21.077393,47.864248],[21.082483,47.864159],[21.086721,47.885791],[21.085588,47.885811],[21.0835,47.890416],[21.091651,47.895987],[21.097002,47.902748],[21.107864,47.905222],[21.114653,47.905101],[21.121532,47.907266],[21.12103,47.908793],[21.124633,47.914927],[21.122554,47.918671],[21.107801,47.918171],[21.102914,47.923588],[21.102765,47.919785],[21.097004,47.917221],[21.09425,47.919173],[21.09082,47.918471],[21.09154,47.922264],[21.094517,47.926023],[21.107702,47.92998],[21.111769,47.932573],[21.122001,47.962093],[21.12751,47.957413],[21.134499,47.96149],[21.146025,47.953267],[21.151492,47.961973],[21.151596,47.964971],[21.175362,47.963041],[21.183597,47.957558],[21.190407,47.957035],[21.194385,47.95773],[21.221661,47.943892],[21.229442,47.941863],[21.231654,47.94069],[21.233683,47.934908],[21.240296,47.930587],[21.253224,47.927688],[21.261589,47.924464],[21.261439,47.921448],[21.263042,47.918756],[21.26163,47.911878],[21.270947,47.904878],[21.297803,47.910401],[21.304164,47.913005],[21.304288,47.916033],[21.320399,47.919929],[21.340183,47.921443],[21.356089,47.921501],[21.358808,47.919173],[21.370658,47.91817],[21.380992,47.921005],[21.394542,47.919973],[21.40482,47.921284],[21.413827,47.920729],[21.418437,47.922533],[21.42977,47.922699],[21.431179,47.928745],[21.436265,47.927501],[21.461191,47.92776],[21.472394,47.925618],[21.49675,47.925477],[21.499434,47.93418],[21.508521,47.934752],[21.511332,47.933931],[21.516221,47.941444],[21.523551,47.940519],[21.565533,47.929723],[21.557575,47.917328],[21.553615,47.905956],[21.556,47.89643],[21.55455,47.889584],[21.562393,47.888277],[21.565829,47.888583],[21.556119,47.875095],[21.555831,47.868993],[21.554004,47.866367],[21.553744,47.86028],[21.551782,47.854973],[21.552165,47.851517],[21.544702,47.825747],[21.544546,47.798088],[21.541329,47.790465],[21.574135,47.779112],[21.578149,47.778617],[21.595788,47.771767],[21.616462,47.75451],[21.615751,47.751169],[21.626808,47.746673],[21.628207,47.740948],[21.626869,47.736754],[21.636099,47.729344],[21.64854,47.728288],[21.651239,47.727091],[21.661438,47.727621],[21.667032,47.725969],[21.67776,47.726109],[21.679473,47.726445],[21.680209,47.730624],[21.688675,47.730801],[21.700127,47.733227],[21.703983,47.731604],[21.707197,47.728109],[21.709757,47.722328],[21.713016,47.719547],[21.719105,47.706877],[21.722567,47.708334],[21.728805,47.708937],[21.750075,47.705383],[21.766516,47.706912],[21.769244,47.705331],[21.771498,47.705271],[21.770539,47.697294],[21.767938,47.690891],[21.763796,47.687167],[21.773969,47.686922],[21.776233,47.687634],[21.795907,47.685262],[21.802597,47.674058],[21.808804,47.674297],[21.824499,47.672394],[21.830542,47.669201],[21.836182,47.66906],[21.84127,47.669683],[21.850605,47.675199],[21.855699,47.675449],[21.855914,47.679634],[21.858465,47.684913],[21.863582,47.685557],[21.867655,47.688119],[21.870464,47.688426],[21.872836,47.689901],[21.874688,47.693287],[21.883395,47.697282],[21.886902,47.710486],[21.885886,47.723104],[21.887748,47.726101],[21.898035,47.728522],[21.907682,47.729414],[21.908767,47.728252],[21.924274,47.733205],[21.926318,47.728952],[21.931962,47.729561],[21.935151,47.725305],[21.938003,47.726364],[21.941757,47.722865],[21.946821,47.721968],[21.94888,47.718492],[21.948724,47.715817],[21.952678,47.716088],[21.954287,47.714559],[21.957641,47.713698],[21.96019,47.709054],[21.964136,47.7082],[21.965715,47.706642],[21.97527,47.706384],[21.987015,47.704215],[21.986162,47.698845],[21.983869,47.697784],[21.981928,47.693653],[21.982493,47.684133],[21.980127,47.681525],[21.979948,47.678497],[21.980961,47.675761],[21.990509,47.675139],[21.993343,47.67582],[21.995344,47.671222],[21.999591,47.666937],[22.005247,47.666762],[22.006243,47.664457],[22.008458,47.663644],[22.011328,47.664669],[22.003127,47.649309],[22.003281,47.641626],[22.005226,47.637083],[22.00904,47.633487],[22.014434,47.630333],[22.019522,47.629453],[22.018205,47.626778],[22.021794,47.620242],[22.026882,47.620865],[22.025421,47.624716],[22.027286,47.627356],[22.031909,47.629888],[22.038201,47.63163],[22.044661,47.636041],[22.048475,47.642803],[22.054466,47.6495],[22.055179,47.652562],[22.06182,47.659985],[22.065219,47.670186],[22.07546,47.671808],[22.078062,47.668291],[22.083485,47.664754],[22.097919,47.660924],[22.104573,47.658077],[22.101773,47.649031],[22.107273,47.636295],[22.104142,47.631037],[22.108438,47.627505],[22.110319,47.621373],[22.118768,47.611227],[22.119067,47.607031],[22.117298,47.605543],[22.118353,47.603988],[22.124977,47.601919],[22.12979,47.594824],[22.128844,47.588802],[22.124909,47.587354],[22.118972,47.579003],[22.115563,47.577216],[22.114391,47.575225],[22.1102,47.574817],[22.104886,47.572663],[22.100348,47.564036],[22.093702,47.558144],[22.090647,47.557436],[22.086795,47.561066],[22.079239,47.562258],[22.074311,47.560825],[22.072084,47.557432],[22.063249,47.553983],[22.055263,47.548539],[22.054588,47.54694],[22.071218,47.538074],[22.061787,47.528803],[22.045128,47.539892],[22.036722,47.532665],[22.031581,47.52502],[22.02018,47.514995],[22.016706,47.504993],[22.012398,47.500406],[22.01103,47.490411],[22.007189,47.48362],[22.007736,47.475743],[22.012947,47.46997],[22.013337,47.466583],[22.020905,47.454486],[22.032839,47.450992],[22.028845,47.444392],[22.02597,47.442174],[22.035301,47.427408],[22.032026,47.426281],[22.033996,47.424146],[22.029769,47.422744],[22.035055,47.416214],[22.035534,47.413191],[22.023118,47.39084],[22.018852,47.387015],[22.011929,47.375748],[22.008471,47.377027],[21.997328,47.377642],[21.995012,47.380946],[21.990383,47.381479],[21.98664,47.381468],[21.985051,47.380092],[21.975341,47.378252],[21.9751,47.380146],[21.961528,47.381202],[21.960723,47.379316],[21.953038,47.374693],[21.945295,47.375192],[21.938523,47.372999],[21.93971,47.367641],[21.937694,47.36621],[21.934661,47.360323],[21.925269,47.353575],[21.921582,47.341456],[21.913532,47.332456],[21.908026,47.328829],[21.904516,47.322232],[21.896184,47.316314],[21.888268,47.294806],[21.885807,47.293463],[21.884809,47.291175],[21.886166,47.289731],[21.878732,47.287407],[21.878102,47.285292],[21.879261,47.283423],[21.888171,47.277891],[21.886329,47.275269],[21.887858,47.272123],[21.879985,47.264842],[21.876504,47.264928],[21.870136,47.26184],[21.865264,47.256817],[21.8643,47.252828],[21.857927,47.246361],[21.857806,47.243757],[21.851832,47.239244],[21.846852,47.223818],[21.848517,47.221983],[21.858132,47.220182],[21.859885,47.20345],[21.858015,47.187009],[21.847541,47.184454],[21.83867,47.177181],[21.831012,47.178864],[21.829238,47.174788],[21.824949,47.173305],[21.822287,47.173705],[21.819755,47.172401],[21.817519,47.172799],[21.811996,47.165907],[21.803879,47.146331],[21.800433,47.137162],[21.80279,47.136393],[21.800347,47.130658],[21.798543,47.127861],[21.795648,47.127624],[21.791456,47.123998],[21.792161,47.119799],[21.789135,47.11662],[21.792052,47.115615],[21.78919,47.112926],[21.792771,47.111337],[21.791231,47.109388],[21.792582,47.106589],[21.790812,47.105951],[21.770843,47.108894],[21.751684,47.105643],[21.726096,47.098527],[21.723759,47.093909],[21.721107,47.092898],[21.712819,47.082627],[21.7126,47.080396],[21.71637,47.074877],[21.70829,47.071426],[21.705242,47.071526],[21.706285,47.069998],[21.701289,47.068345],[21.704752,47.063403],[21.695656,47.060421],[21.69744,47.057981],[21.688572,47.055554],[21.689664,47.053547],[21.683499,47.051185],[21.682616,47.04571],[21.680424,47.044735],[21.67766,47.045428],[21.667858,47.044203],[21.6624,47.041661],[21.657603,47.040825],[21.648739,47.040437],[21.650071,47.0338],[21.659216,47.022634],[21.658235,47.02155],[21.6521,47.018949],[21.641985,47.017725],[21.639882,47.025215],[21.634818,47.024189],[21.627397,47.020543],[21.626099,47.016765],[21.62829,47.015952],[21.625382,47.013352],[21.619278,47.013868],[21.619693,47.010814],[21.622971,47.009599],[21.624011,47.00805],[21.621213,47.007728],[21.618305,47.005127],[21.61155,47.00376],[21.60349,46.998223],[21.59565,46.997258],[21.575126,46.998855],[21.569185,47.002793],[21.564825,46.992987],[21.557396,46.988958],[21.553565,46.978377],[21.562805,46.961791],[21.548205,46.959061],[21.543291,46.961072],[21.54322,46.959555],[21.542107,46.959579],[21.539418,46.961541],[21.53535,46.957817],[21.535103,46.952489],[21.533955,46.951752],[21.529478,46.951086],[21.528988,46.952622],[21.525659,46.952695],[21.524179,46.956919],[21.521402,46.956979],[21.519649,46.955113],[21.521244,46.953553],[21.517888,46.953248],[21.517248,46.951352],[21.514506,46.952174],[21.514594,46.954082],[21.512938,46.954496],[21.503836,46.950122],[21.501129,46.9517],[21.498799,46.949468],[21.496687,46.951795],[21.494357,46.949563],[21.494271,46.947661],[21.490329,46.946599],[21.489077,46.943581],[21.484533,46.94139],[21.482342,46.9422],[21.481851,46.943735],[21.479531,46.941497],[21.47678,46.942318],[21.472089,46.949276],[21.443487,46.956354],[21.423419,46.943064],[21.425447,46.95102],[21.431587,46.951655],[21.430177,46.957395],[21.442476,46.958663],[21.438909,46.965974],[21.43857,46.970935],[21.42513,46.968934],[21.420931,46.974732],[21.415012,46.976541],[21.407114,46.976922],[21.403055,46.976186],[21.392133,46.977994],[21.354944,46.979791],[21.354961,46.980655],[21.342336,46.984722],[21.269136,47.004833],[21.254863,47.009686],[21.247501,47.006777],[21.247074,47.009836],[21.238453,47.016859],[21.233131,47.023056],[21.235119,47.030637],[21.24041,47.037387],[21.239031,47.044655],[21.232741,47.054299],[21.231844,47.059648],[21.288513,47.08179],[21.295405,47.086608],[21.295662,47.092698],[21.291672,47.103819],[21.307583,47.110747],[21.300053,47.117369],[21.301185,47.117731],[21.301539,47.126101],[21.299435,47.129192],[21.293942,47.131204],[21.300915,47.150876],[21.294085,47.147966],[21.272829,47.146856],[21.254415,47.147212],[21.240704,47.153186],[21.229982,47.150347],[21.209928,47.165204],[21.125426,47.175143],[21.113884,47.179928],[21.068002,47.20741],[21.060796,47.209056],[21.0658,47.193736],[21.051712,47.190554],[21.020046,47.225381],[21.014425,47.224715],[21.009663,47.232037],[20.992091,47.232193],[21.016981,47.249282],[21.030565,47.356229],[21.019583,47.37889],[20.992022,47.473697],[20.998179,47.484732],[21.007915,47.490666],[20.998075,47.495354],[20.993441,47.495685],[20.992193,47.498151],[20.993392,47.502861],[20.989906,47.505657],[20.98849,47.508894],[20.990342,47.511984],[20.983215,47.519495],[20.991817,47.524469],[20.996487,47.539383],[20.993689,47.566757],[20.975727,47.583574],[20.945348,47.595979],[20.937694,47.592401],[20.914899,47.584971],[20.895518,47.582622],[20.883615,47.582361],[20.86657,47.58415],[20.854481,47.594777],[20.848676,47.594812],[20.842357,47.596708],[20.830221,47.618293],[20.824989,47.633396],[20.826129,47.637519],[20.824151,47.640675]]]]}</t>
  </si>
  <si>
    <t>{"type":"MultiPolygon","coordinates":[[[[19.571133,47.734988],[19.585352,47.745942],[19.599547,47.751619],[19.601832,47.755397],[19.610954,47.759564],[19.612077,47.762223],[19.613222,47.762596],[19.622773,47.759493],[19.629499,47.754138],[19.6392,47.763206],[19.642609,47.768147],[19.638717,47.769335],[19.639275,47.771202],[19.642765,47.77807],[19.645601,47.780324],[19.642782,47.782634],[19.641202,47.79138],[19.63618,47.79751],[19.635672,47.8017],[19.632544,47.805837],[19.653293,47.813413],[19.656109,47.811272],[19.653791,47.810634],[19.652743,47.808317],[19.656629,47.807056],[19.656978,47.805091],[19.658681,47.80515],[19.657721,47.802862],[19.662698,47.803038],[19.661838,47.801529],[19.662442,47.800253],[19.663867,47.800165],[19.665726,47.800424],[19.667807,47.802774],[19.66676,47.810321],[19.684101,47.811308],[19.686506,47.820261],[19.696531,47.818977],[19.704203,47.81584],[19.709963,47.81577],[19.71687,47.818385],[19.720697,47.818023],[19.715665,47.823521],[19.716424,47.825615],[19.719307,47.827468],[19.719331,47.82924],[19.722242,47.830506],[19.721924,47.83457],[19.726116,47.840017],[19.724909,47.84079],[19.729991,47.842676],[19.736342,47.85025],[19.748828,47.85778],[19.750594,47.860094],[19.760256,47.864545],[19.764267,47.869483],[19.762757,47.880139],[19.766744,47.884342],[19.765719,47.888897],[19.759411,47.888204],[19.759522,47.891264],[19.767483,47.896456],[19.768154,47.902991],[19.77725,47.904822],[19.783987,47.901354],[19.784524,47.899814],[19.79689,47.892105],[19.797367,47.889852],[19.800213,47.887534],[19.802456,47.886391],[19.813779,47.885556],[19.819926,47.881691],[19.819354,47.880559],[19.825561,47.875566],[19.826619,47.876312],[19.831148,47.874016],[19.836204,47.874358],[19.843608,47.876606],[19.848241,47.88305],[19.84717,47.887227],[19.849478,47.890272],[19.855144,47.890989],[19.841188,47.901319],[19.838405,47.900941],[19.837176,47.899493],[19.834902,47.899121],[19.833775,47.899897],[19.83176,47.898565],[19.834843,47.896457],[19.830334,47.896105],[19.822404,47.896921],[19.82072,47.899216],[19.815704,47.901906],[19.811737,47.902701],[19.809499,47.904624],[19.814078,47.907249],[19.809551,47.908813],[19.811883,47.913335],[19.809202,47.922895],[19.814873,47.923616],[19.816575,47.922846],[19.822282,47.92662],[19.82737,47.926213],[19.835911,47.92881],[19.843274,47.92915],[19.849491,47.927952],[19.853481,47.929454],[19.858558,47.927519],[19.863653,47.927478],[19.871053,47.930466],[19.877265,47.929655],[19.880681,47.930397],[19.885123,47.924263],[19.88796,47.923487],[19.895177,47.916968],[19.900275,47.91693],[19.903707,47.918433],[19.910508,47.919138],[19.914424,47.916065],[19.920224,47.923637],[19.922466,47.923235],[19.921831,47.918307],[19.922966,47.918667],[19.922999,47.921696],[19.925293,47.923195],[19.930408,47.923932],[19.93322,47.925461],[19.936241,47.931137],[19.935122,47.934197],[19.936813,47.93534],[19.938014,47.939111],[19.939725,47.939865],[19.939224,47.942148],[19.940947,47.944041],[19.944384,47.943715],[19.95018,47.946661],[19.958602,47.946638],[19.968319,47.950269],[19.969446,47.956039],[19.96783,47.958669],[19.967927,47.962929],[19.96458,47.966339],[19.96409,47.971672],[19.968097,47.973523],[19.975968,47.973516],[19.978375,47.977663],[19.985789,47.979091],[19.986399,47.9802],[19.986412,47.98212],[19.981394,47.984112],[19.981344,47.985647],[19.976882,47.987488],[19.975811,47.989025],[19.975804,47.990984],[19.980393,47.994327],[19.980515,47.998197],[19.990662,47.999228],[19.996533,48.007247],[20.000149,48.005197],[20.005452,48.00447],[20.012361,48.006272],[20.019144,48.005522],[20.026528,48.008447],[20.031676,48.007647],[20.032298,48.009541],[20.028416,48.013021],[20.026702,48.013004],[20.026713,48.01533],[20.019963,48.015457],[20.016015,48.017641],[20.01554,48.021527],[20.01331,48.024216],[20.013361,48.028797],[20.015664,48.031362],[20.013972,48.032542],[20.013502,48.037852],[20.010714,48.041333],[20.01364,48.044339],[20.011368,48.045501],[20.010829,48.048969],[20.008094,48.052009],[20.00926,48.05353],[20.012145,48.054243],[20.013771,48.053083],[20.018333,48.053444],[20.01102,48.057309],[20.008177,48.056955],[20.008205,48.058479],[20.006511,48.058871],[20.005925,48.058113],[20.003679,48.059656],[20.005417,48.061166],[20.003721,48.061942],[20.002,48.06081],[20.002014,48.061572],[19.999183,48.061979],[19.995244,48.063914],[19.993046,48.06812],[19.986269,48.070077],[19.987426,48.071208],[19.986935,48.075785],[19.982395,48.075436],[19.977908,48.078519],[19.972778,48.078173],[19.97231,48.083145],[19.974625,48.085019],[19.968458,48.090014],[19.971855,48.091128],[19.976519,48.095666],[19.978729,48.09298],[19.985552,48.093315],[19.988978,48.094051],[19.990717,48.096685],[19.995843,48.097021],[19.99984,48.099272],[20.003283,48.09963],[20.00389,48.101533],[20.005603,48.102276],[20.010136,48.101475],[20.016409,48.102952],[20.018686,48.102555],[20.020985,48.104431],[20.022682,48.103669],[20.032415,48.107765],[20.039217,48.106194],[20.041554,48.106571],[20.043835,48.110344],[20.049609,48.11524],[20.046853,48.11904],[20.047495,48.123227],[20.058856,48.123909],[20.060009,48.123129],[20.06739,48.123073],[20.071325,48.121136],[20.07361,48.122636],[20.074819,48.126051],[20.078271,48.126784],[20.07662,48.129833],[20.078921,48.131341],[20.079045,48.13706],[20.08299,48.136638],[20.084748,48.137385],[20.092232,48.143044],[20.097921,48.143361],[20.098401,48.139168],[20.101229,48.138002],[20.118332,48.140127],[20.118943,48.142407],[20.126958,48.144998],[20.134313,48.143027],[20.140004,48.143352],[20.147917,48.140614],[20.150088,48.136027],[20.155173,48.134454],[20.156902,48.1352],[20.158588,48.134422],[20.16486,48.135124],[20.167595,48.130147],[20.167563,48.128629],[20.165254,48.127127],[20.169159,48.123663],[20.168554,48.121767],[20.17132,48.118313],[20.170125,48.115661],[20.177467,48.113303],[20.180905,48.11441],[20.193294,48.109344],[20.197271,48.109305],[20.202926,48.107725],[20.204038,48.106574],[20.201164,48.105456],[20.199968,48.102803],[20.203903,48.100478],[20.204383,48.096669],[20.206658,48.096646],[20.208326,48.095105],[20.209472,48.095478],[20.217364,48.092735],[20.231558,48.092207],[20.240118,48.093644],[20.241785,48.092103],[20.241195,48.090969],[20.245179,48.091306],[20.249103,48.088985],[20.255475,48.094626],[20.260024,48.094579],[20.260077,48.096865],[20.269167,48.09677],[20.274809,48.095187],[20.280577,48.098552],[20.278911,48.100472],[20.280684,48.103118],[20.284097,48.103466],[20.283049,48.106904],[20.27797,48.108482],[20.279699,48.109604],[20.279744,48.111505],[20.282593,48.111859],[20.286114,48.116389],[20.285607,48.119053],[20.287897,48.119796],[20.287414,48.123228],[20.296481,48.121985],[20.297583,48.120455],[20.302662,48.119254],[20.303827,48.120388],[20.309526,48.120705],[20.313559,48.122947],[20.31812,48.12366],[20.319832,48.123641],[20.322598,48.120563],[20.321978,48.118667],[20.323661,48.117508],[20.320784,48.116016],[20.320757,48.114876],[20.32638,48.112528],[20.325751,48.10987],[20.33253,48.108271],[20.334148,48.104827],[20.338124,48.104783],[20.338717,48.105538],[20.344903,48.103183],[20.34541,48.100513],[20.348794,48.099335],[20.350984,48.096262],[20.354931,48.095078],[20.354339,48.093944],[20.356556,48.091633],[20.358821,48.091607],[20.362262,48.092709],[20.360685,48.097678],[20.364164,48.100687],[20.363123,48.104503],[20.359729,48.104926],[20.363773,48.107545],[20.363859,48.110971],[20.362195,48.112507],[20.364471,48.112866],[20.36974,48.118897],[20.37433,48.12037],[20.374952,48.122643],[20.373853,48.12418],[20.37569,48.12911],[20.386011,48.132418],[20.389416,48.132379],[20.395224,48.136879],[20.390887,48.145307],[20.388104,48.147619],[20.388143,48.149143],[20.38645,48.149547],[20.38932,48.150654],[20.394581,48.150619],[20.397816,48.149416],[20.408172,48.153862],[20.411508,48.150775],[20.416023,48.149582],[20.420607,48.150668],[20.428558,48.150196],[20.434261,48.150891],[20.434815,48.150122],[20.437727,48.152752],[20.446201,48.150364],[20.453607,48.151037],[20.455833,48.149108],[20.451248,48.147639],[20.455166,48.145311],[20.459136,48.144879],[20.463577,48.141021],[20.465668,48.134142],[20.468425,48.13106],[20.474691,48.131368],[20.475795,48.129826],[20.474033,48.127949],[20.476852,48.127152],[20.477949,48.125614],[20.476759,48.123727],[20.478294,48.117616],[20.483358,48.115652],[20.484412,48.11259],[20.480821,48.106165],[20.481343,48.10425],[20.484715,48.103068],[20.481677,48.095874],[20.48775,48.089324],[20.491673,48.087373],[20.49549,48.081612],[20.496979,48.0736],[20.502484,48.06744],[20.500052,48.061757],[20.478383,48.058604],[20.481176,48.056661],[20.480551,48.054766],[20.4832,48.04788],[20.493616,48.04238],[20.490277,48.03675],[20.49183,48.031401],[20.488879,48.027249],[20.490546,48.02571],[20.490493,48.023802],[20.488117,48.020026],[20.484679,48.018929],[20.485721,48.015489],[20.483439,48.015133],[20.480365,48.006414],[20.479688,48.002234],[20.482438,47.999157],[20.481188,47.994983],[20.478272,47.99197],[20.470888,47.991683],[20.461397,47.976188],[20.461335,47.973903],[20.458472,47.972797],[20.453933,47.972852],[20.451551,47.968299],[20.473372,47.957767],[20.478879,47.951986],[20.48787,47.94921],[20.49841,47.941085],[20.500709,47.942196],[20.503497,47.940637],[20.510885,47.941306],[20.517899,47.928656],[20.511636,47.927589],[20.511,47.924932],[20.504145,47.923115],[20.502407,47.921613],[20.496749,47.921683],[20.493869,47.920201],[20.497216,47.918251],[20.49317,47.915258],[20.49921,47.908329],[20.49974,47.907182],[20.497442,47.906064],[20.492419,47.908413],[20.480972,47.903988],[20.473214,47.910175],[20.468129,47.910615],[20.462982,47.908776],[20.460593,47.904238],[20.452609,47.902048],[20.447995,47.899054],[20.449638,47.896754],[20.450017,47.889895],[20.462632,47.874894],[20.494719,47.868784],[20.50306,47.86335],[20.5083,47.848435],[20.51213,47.843814],[20.513113,47.838471],[20.511695,47.828208],[20.503573,47.820693],[20.504101,47.819168],[20.501849,47.819575],[20.502622,47.806618],[20.507042,47.803136],[20.507496,47.79894],[20.512549,47.797736],[20.512517,47.796596],[20.515318,47.795799],[20.519942,47.791617],[20.521881,47.788099],[20.520147,47.786596],[20.524025,47.783882],[20.53107,47.77351],[20.533309,47.772719],[20.541234,47.773379],[20.542267,47.769939],[20.54611,47.766084],[20.550072,47.766411],[20.555055,47.762919],[20.556196,47.763288],[20.556163,47.762142],[20.570581,47.752818],[20.576188,47.751604],[20.588923,47.743055],[20.596182,47.740294],[20.589818,47.735048],[20.581208,47.730211],[20.577729,47.726829],[20.57764,47.723781],[20.569011,47.718187],[20.577847,47.711594],[20.580094,47.711186],[20.584096,47.713035],[20.589128,47.711444],[20.589039,47.708402],[20.594618,47.706425],[20.598419,47.701422],[20.602845,47.698313],[20.633634,47.690662],[20.638045,47.687174],[20.641398,47.686366],[20.649265,47.685495],[20.653277,47.687342],[20.672979,47.68631],[20.67717,47.694247],[20.687653,47.68686],[20.693319,47.687541],[20.704133,47.690815],[20.708635,47.690372],[20.718653,47.686416],[20.724174,47.68253],[20.725218,47.67985],[20.741274,47.670858],[20.744,47.667769],[20.752434,47.667266],[20.763918,47.656429],[20.77175,47.65441],[20.764844,47.648632],[20.758679,47.641359],[20.749375,47.640507],[20.739984,47.642543],[20.732816,47.642955],[20.718461,47.636791],[20.715412,47.634548],[20.715333,47.628103],[20.720709,47.620708],[20.715869,47.61321],[20.716478,47.607046],[20.713807,47.605729],[20.703099,47.603924],[20.697176,47.600397],[20.695807,47.597894],[20.697294,47.592978],[20.699394,47.59148],[20.707424,47.589416],[20.709266,47.587102],[20.70734,47.579435],[20.701809,47.574683],[20.69046,47.569996],[20.685087,47.569083],[20.675828,47.569027],[20.663831,47.570587],[20.663083,47.569286],[20.667664,47.56469],[20.668627,47.561103],[20.66868,47.556373],[20.667305,47.553661],[20.66474,47.552179],[20.65588,47.550019],[20.643837,47.544049],[20.612498,47.534466],[20.599801,47.525994],[20.587654,47.521736],[20.578925,47.515145],[20.574545,47.513482],[20.557837,47.50904],[20.547339,47.507605],[20.540542,47.504994],[20.521484,47.500756],[20.514412,47.479925],[20.506833,47.470479],[20.499751,47.466274],[20.486828,47.462841],[20.475808,47.465115],[20.471063,47.465324],[20.468521,47.464346],[20.451128,47.453374],[20.447397,47.447002],[20.448128,47.439195],[20.438725,47.431923],[20.426963,47.425489],[20.420642,47.423286],[20.392413,47.420454],[20.381508,47.424287],[20.38115,47.433062],[20.376787,47.436043],[20.381369,47.437027],[20.382085,47.440142],[20.380171,47.441667],[20.382014,47.444108],[20.38037,47.446183],[20.363369,47.440761],[20.352027,47.44038],[20.336853,47.44258],[20.298506,47.475563],[20.297799,47.477388],[20.287421,47.486687],[20.302113,47.509398],[20.301451,47.517567],[20.303395,47.51815],[20.293382,47.533981],[20.286202,47.543266],[20.265358,47.545061],[20.255244,47.547402],[20.260321,47.555813],[20.242526,47.558718],[20.235122,47.562413],[20.231156,47.561728],[20.228454,47.566811],[20.23171,47.570479],[20.226549,47.573802],[20.226137,47.579825],[20.214232,47.583467],[20.209846,47.596499],[20.208644,47.607659],[20.174515,47.607378],[20.167091,47.60608],[20.157765,47.602154],[20.138802,47.599972],[20.136044,47.598618],[20.120735,47.595549],[20.107897,47.590626],[20.102985,47.58975],[20.10794,47.586203],[20.110379,47.579337],[20.116797,47.571884],[20.13181,47.565183],[20.121425,47.561153],[20.11616,47.557827],[20.112316,47.553307],[20.101062,47.557317],[20.05223,47.569962],[20.045098,47.570162],[20.03591,47.576278],[20.019091,47.580968],[20.011438,47.589997],[20.005284,47.594169],[20.008187,47.596017],[20.009329,47.600003],[20.019093,47.615596],[20.013462,47.620209],[20.006922,47.628371],[20.003483,47.654057],[20.000928,47.654806],[20.003713,47.658599],[20.002991,47.661133],[20.00002,47.663207],[19.999891,47.667543],[19.997279,47.67101],[19.993413,47.673186],[19.989673,47.674026],[19.980704,47.673038],[19.977168,47.674188],[19.97437,47.6734],[19.972131,47.676774],[19.969321,47.675929],[19.96184,47.667321],[19.948964,47.665708],[19.931164,47.661629],[19.911412,47.654448],[19.889603,47.661405],[19.88632,47.663073],[19.884933,47.665628],[19.876622,47.668129],[19.874864,47.665843],[19.869181,47.640085],[19.872016,47.630877],[19.856932,47.626745],[19.845055,47.621199],[19.836423,47.605819],[19.829939,47.603629],[19.818561,47.593921],[19.772797,47.616189],[19.76828,47.616085],[19.758372,47.621057],[19.742007,47.620156],[19.725963,47.613456],[19.712974,47.611459],[19.702218,47.606572],[19.70477,47.585811],[19.698329,47.585963],[19.695859,47.585033],[19.691856,47.588037],[19.679195,47.591745],[19.666689,47.588467],[19.653678,47.598672],[19.65738,47.612003],[19.656699,47.616542],[19.647266,47.628004],[19.643338,47.630313],[19.642837,47.634901],[19.637227,47.637207],[19.644367,47.646284],[19.623906,47.650606],[19.614383,47.655158],[19.610431,47.659833],[19.607638,47.661336],[19.607683,47.667435],[19.591558,47.688073],[19.601274,47.693384],[19.595011,47.69719],[19.599552,47.702864],[19.604131,47.701755],[19.605321,47.707447],[19.604165,47.707459],[19.607036,47.711987],[19.587893,47.723168],[19.579496,47.730813],[19.571133,47.734988]]]]}</t>
  </si>
  <si>
    <t>{"type":"MultiPolygon","coordinates":[[[[19.651403,47.562184],[19.65541,47.565051],[19.65796,47.576111],[19.666689,47.588467],[19.679195,47.591745],[19.691856,47.588037],[19.695859,47.585033],[19.698329,47.585963],[19.70477,47.585811],[19.702218,47.606572],[19.712974,47.611459],[19.725963,47.613456],[19.742007,47.620156],[19.758372,47.621057],[19.76828,47.616085],[19.772797,47.616189],[19.818561,47.593921],[19.829939,47.603629],[19.836423,47.605819],[19.845055,47.621199],[19.856932,47.626745],[19.872016,47.630877],[19.869181,47.640085],[19.874864,47.665843],[19.876622,47.668129],[19.884933,47.665628],[19.88632,47.663073],[19.889603,47.661405],[19.911412,47.654448],[19.931164,47.661629],[19.948964,47.665708],[19.96184,47.667321],[19.970716,47.676666],[19.973383,47.676175],[19.97437,47.6734],[19.977168,47.674188],[19.980704,47.673038],[19.989673,47.674026],[19.997279,47.67101],[19.999891,47.667543],[20.00002,47.663207],[20.002991,47.661133],[20.003713,47.658599],[20.000928,47.654806],[20.003483,47.654057],[20.006922,47.628371],[20.013462,47.620209],[20.019093,47.615596],[20.009329,47.600003],[20.008187,47.596017],[20.005284,47.594169],[20.011438,47.589997],[20.019091,47.580968],[20.03591,47.576278],[20.045098,47.570162],[20.05223,47.569962],[20.101062,47.557317],[20.112316,47.553307],[20.11616,47.557827],[20.121425,47.561153],[20.13181,47.565183],[20.116797,47.571884],[20.110379,47.579337],[20.10794,47.586203],[20.102985,47.58975],[20.107897,47.590626],[20.120735,47.595549],[20.136044,47.598618],[20.138802,47.599972],[20.157765,47.602154],[20.167091,47.60608],[20.174515,47.607378],[20.208644,47.607659],[20.209846,47.596499],[20.214232,47.583467],[20.226137,47.579825],[20.226549,47.573802],[20.23171,47.570479],[20.228454,47.566811],[20.231156,47.561728],[20.235122,47.562413],[20.242526,47.558718],[20.260321,47.555813],[20.255244,47.547402],[20.265358,47.545061],[20.286202,47.543266],[20.293382,47.533981],[20.303395,47.51815],[20.301451,47.517567],[20.302113,47.509398],[20.287421,47.486687],[20.297799,47.477388],[20.298506,47.475563],[20.336853,47.44258],[20.352027,47.44038],[20.363369,47.440761],[20.38037,47.446183],[20.382014,47.444108],[20.380171,47.441667],[20.382085,47.440142],[20.381369,47.437027],[20.376787,47.436043],[20.38115,47.433062],[20.381508,47.424287],[20.389086,47.421071],[20.398075,47.420436],[20.420642,47.423286],[20.426963,47.425489],[20.438725,47.431923],[20.448128,47.439195],[20.447397,47.447002],[20.451128,47.453374],[20.468521,47.464346],[20.471063,47.465324],[20.475808,47.465115],[20.486828,47.462841],[20.499751,47.466274],[20.506833,47.470479],[20.514412,47.479925],[20.521484,47.500756],[20.540542,47.504994],[20.547339,47.507605],[20.557837,47.50904],[20.574545,47.513482],[20.578925,47.515145],[20.587654,47.521736],[20.599801,47.525994],[20.612498,47.534466],[20.643837,47.544049],[20.65588,47.550019],[20.66474,47.552179],[20.667305,47.553661],[20.66868,47.556373],[20.668627,47.561103],[20.667664,47.56469],[20.663083,47.569286],[20.663831,47.570587],[20.675828,47.569027],[20.685087,47.569083],[20.69046,47.569996],[20.701809,47.574683],[20.70734,47.579435],[20.709266,47.587102],[20.707424,47.589416],[20.699394,47.59148],[20.697294,47.592978],[20.695807,47.597894],[20.697176,47.600397],[20.703099,47.603924],[20.713807,47.605729],[20.716478,47.607046],[20.715869,47.61321],[20.720709,47.620708],[20.715333,47.628103],[20.715412,47.634548],[20.718461,47.636791],[20.732816,47.642955],[20.739984,47.642543],[20.749375,47.640507],[20.758679,47.641359],[20.764844,47.648632],[20.77175,47.65441],[20.764722,47.663657],[20.764846,47.667461],[20.772956,47.674195],[20.779257,47.677151],[20.79294,47.681891],[20.799735,47.682551],[20.805292,47.680186],[20.816284,47.671638],[20.823535,47.66924],[20.830294,47.669136],[20.82782,47.662703],[20.825421,47.6421],[20.824151,47.640675],[20.826129,47.637519],[20.824989,47.633396],[20.830221,47.618293],[20.842357,47.596708],[20.848676,47.594812],[20.854481,47.594777],[20.86657,47.58415],[20.883615,47.582361],[20.895518,47.582622],[20.914899,47.584971],[20.937694,47.592401],[20.945348,47.595979],[20.975727,47.583574],[20.993689,47.566757],[20.996487,47.539383],[20.991817,47.524469],[20.983215,47.519495],[20.990342,47.511984],[20.98849,47.508894],[20.989906,47.505657],[20.993392,47.502861],[20.992193,47.498151],[20.993441,47.495685],[20.998075,47.495354],[21.007915,47.490666],[20.998179,47.484732],[20.992022,47.473697],[21.019583,47.37889],[21.030565,47.356229],[21.016964,47.249237],[20.992091,47.232193],[20.987635,47.225934],[20.977306,47.230542],[20.967491,47.22551],[20.955228,47.20894],[20.944854,47.186279],[20.932608,47.187622],[20.926371,47.185059],[20.925736,47.182782],[20.918436,47.18176],[20.910962,47.175788],[20.909752,47.173142],[20.894164,47.174535],[20.847477,47.148237],[20.860921,47.133172],[20.860134,47.126328],[20.862241,47.122867],[20.868312,47.120867],[20.844741,47.116665],[20.845025,47.108663],[20.847644,47.103669],[20.847516,47.099864],[20.843959,47.093442],[20.852288,47.092549],[20.843472,47.078981],[20.844497,47.076293],[20.849937,47.072401],[20.861454,47.066887],[20.859734,47.065389],[20.861325,47.063083],[20.856246,47.061254],[20.856925,47.064671],[20.848629,47.066706],[20.843705,47.069455],[20.84132,47.064917],[20.840588,47.059597],[20.838409,47.061157],[20.832664,47.055915],[20.825856,47.052209],[20.811794,47.048236],[20.812322,47.047471],[20.802809,47.046093],[20.811454,47.037963],[20.806405,47.036894],[20.759572,47.035702],[20.759902,47.045981],[20.756236,47.053271],[20.746137,47.05114],[20.727501,47.043412],[20.725787,47.03403],[20.723028,47.030477],[20.716238,47.034444],[20.71164,47.033802],[20.7081,47.035134],[20.702035,47.012553],[20.710876,47.01198],[20.716413,47.005531],[20.715604,47.001309],[20.718349,47.000128],[20.713222,46.996397],[20.712349,46.986125],[20.70964,46.978153],[20.720354,46.97534],[20.714235,46.975429],[20.713612,46.973157],[20.716319,46.97083],[20.722367,46.96846],[20.725587,46.9646],[20.726545,46.959633],[20.72371,46.958156],[20.711615,46.962524],[20.705449,46.961088],[20.704266,46.958818],[20.705883,46.957269],[20.712502,46.95527],[20.725864,46.955837],[20.72747,46.95391],[20.725614,46.947843],[20.727767,46.945524],[20.727051,46.940582],[20.720205,46.934973],[20.720659,46.931538],[20.70365,46.921118],[20.693166,46.910768],[20.672863,46.913948],[20.641339,46.900297],[20.606833,46.917536],[20.604587,46.916804],[20.599054,46.918398],[20.591652,46.913979],[20.586115,46.912102],[20.5601,46.913303],[20.553387,46.916936],[20.545977,46.914245],[20.545783,46.906192],[20.537694,46.900168],[20.496512,46.89047],[20.486273,46.891328],[20.476152,46.894112],[20.473468,46.897574],[20.460284,46.903069],[20.458,46.90081],[20.451819,46.898221],[20.452861,46.895542],[20.443816,46.88956],[20.432875,46.874457],[20.407504,46.859533],[20.416862,46.834663],[20.418154,46.820173],[20.421889,46.814419],[20.424828,46.799147],[20.416952,46.794673],[20.416922,46.793527],[20.406896,46.791744],[20.40403,46.788351],[20.389025,46.786626],[20.380167,46.787108],[20.362356,46.784272],[20.352389,46.784764],[20.346162,46.779505],[20.345308,46.767328],[20.341357,46.76433],[20.332438,46.762143],[20.326937,46.76373],[20.290451,46.767563],[20.28453,46.775239],[20.275262,46.781817],[20.264959,46.792212],[20.242927,46.798538],[20.235726,46.798992],[20.230727,46.798666],[20.226814,46.797182],[20.223426,46.794552],[20.223393,46.793027],[20.218378,46.791938],[20.218303,46.788511],[20.223242,46.786173],[20.222625,46.783136],[20.219814,46.781262],[20.213124,46.779806],[20.208558,46.782544],[20.199918,46.784131],[20.19369,46.778101],[20.192548,46.776587],[20.193633,46.775436],[20.189123,46.771669],[20.181676,46.76032],[20.17546,46.754667],[20.134268,46.772591],[20.115669,46.784953],[20.109028,46.785394],[20.10456,46.783911],[20.102855,46.781645],[20.102207,46.776699],[20.103233,46.772884],[20.106516,46.770566],[20.10703,46.768274],[20.101968,46.764515],[20.09084,46.762331],[20.089283,46.76806],[20.091605,46.773369],[20.086713,46.778366],[20.083548,46.786391],[20.080263,46.788708],[20.070852,46.789171],[20.066442,46.790736],[20.061647,46.801062],[20.061312,46.812488],[20.057481,46.815188],[20.047009,46.819092],[20.043786,46.824451],[20.037676,46.82412],[20.03151,46.820746],[20.031984,46.816552],[20.037995,46.811553],[20.040688,46.80734],[20.039474,46.801257],[20.036632,46.797854],[20.033283,46.796359],[20.029953,46.796387],[20.02065,46.802945],[20.011841,46.806447],[20.004165,46.811843],[20.000945,46.817578],[20.003254,46.822511],[20.013824,46.824325],[20.024443,46.828809],[20.038325,46.829445],[20.041678,46.830562],[20.042817,46.832077],[20.04346,46.837018],[20.061292,46.84105],[20.070759,46.84249],[20.078489,46.840518],[20.093471,46.840381],[20.103428,46.838764],[20.114601,46.84285],[20.115207,46.845126],[20.107083,46.855484],[20.094423,46.860932],[20.085808,46.874722],[20.093073,46.876942],[20.099838,46.882211],[20.120625,46.894203],[20.123478,46.897604],[20.123085,46.905988],[20.129236,46.907832],[20.136469,46.908148],[20.148187,46.9107],[20.155475,46.913673],[20.160058,46.920484],[20.158552,46.928116],[20.148775,46.939257],[20.140488,46.942002],[20.126069,46.943664],[20.116553,46.940704],[20.112694,46.937302],[20.108789,46.936576],[20.104904,46.941953],[20.103412,46.950725],[20.105714,46.954515],[20.112437,46.957118],[20.130268,46.958853],[20.132541,46.961119],[20.133747,46.965676],[20.128272,46.970296],[20.126691,46.974501],[20.130685,46.979415],[20.139117,46.983903],[20.129281,46.992377],[20.116052,46.998972],[20.094514,47.007552],[20.112654,47.032953],[20.108006,47.039614],[20.102741,47.042041],[20.091872,47.044092],[20.075319,47.083953],[20.0648,47.089144],[20.066158,47.093709],[20.053265,47.105634],[20.058607,47.108493],[20.055948,47.114803],[20.047708,47.125061],[20.055429,47.141859],[20.055834,47.145645],[20.063646,47.149264],[20.070923,47.156181],[20.084889,47.165114],[20.099305,47.181799],[20.089316,47.197845],[20.084957,47.207913],[20.080279,47.210181],[20.079717,47.220456],[20.06574,47.224829],[20.044532,47.238239],[20.031477,47.243377],[19.98872,47.253091],[20.004401,47.284158],[20.01628,47.298853],[20.016533,47.304582],[20.012086,47.306739],[19.989511,47.335693],[19.99191,47.341967],[19.991199,47.34617],[19.981518,47.352116],[19.966777,47.366667],[19.947496,47.374997],[19.922902,47.382524],[19.871623,47.407073],[19.854984,47.413644],[19.840484,47.423447],[19.839409,47.425219],[19.821579,47.429003],[19.824061,47.437327],[19.812065,47.455896],[19.759033,47.481171],[19.747343,47.488859],[19.762742,47.500876],[19.771384,47.51741],[19.776571,47.519809],[19.781438,47.524674],[19.783245,47.523675],[19.790612,47.531245],[19.777147,47.538645],[19.767622,47.530077],[19.757959,47.53583],[19.746461,47.532052],[19.737871,47.538987],[19.728003,47.530913],[19.719214,47.528821],[19.708628,47.518189],[19.701617,47.517269],[19.684215,47.532748],[19.652801,47.547622],[19.658994,47.558788],[19.651403,47.562184]]]]}</t>
  </si>
  <si>
    <t>{"type":"MultiPolygon","coordinates":[[[[17.870844,47.458332],[17.871943,47.45949],[17.885317,47.463815],[17.877958,47.466406],[17.873396,47.469787],[17.87725,47.473254],[17.874343,47.477792],[17.878273,47.477832],[17.883285,47.479785],[17.888372,47.477919],[17.889511,47.478303],[17.884301,47.484747],[17.884225,47.488174],[17.888089,47.491256],[17.90419,47.499796],[17.907613,47.497543],[17.909853,47.497949],[17.906932,47.50325],[17.911356,47.506337],[17.900512,47.514231],[17.901053,47.514999],[17.895289,47.521796],[17.891773,47.528231],[17.888989,47.527063],[17.888381,47.529338],[17.884947,47.531968],[17.887064,47.538082],[17.88643,47.541124],[17.884147,47.543004],[17.884554,47.549863],[17.887339,47.551031],[17.888573,47.546098],[17.903804,47.543963],[17.909479,47.541354],[17.922927,47.543773],[17.934643,47.548069],[17.936895,47.548091],[17.936279,47.550372],[17.933446,47.551485],[17.928855,47.556015],[17.926133,47.551414],[17.919348,47.553257],[17.90515,47.559588],[17.92326,47.581091],[17.912475,47.585175],[17.914137,47.58671],[17.918609,47.5879],[17.922458,47.592128],[17.929398,47.610087],[17.933768,47.616221],[17.92867,47.618081],[17.908869,47.622071],[17.906565,47.624335],[17.895262,47.62651],[17.887697,47.637472],[17.893192,47.643625],[17.901042,47.671499],[17.896948,47.678312],[17.890079,47.683189],[17.893932,47.687417],[17.894961,47.692001],[17.902094,47.700829],[17.90258,47.704639],[17.898688,47.727827],[17.89449,47.739207],[17.900129,47.739263],[17.920348,47.744029],[17.946867,47.744668],[17.960226,47.753551],[17.970871,47.757839],[17.978226,47.756767],[17.995343,47.748161],[18.002711,47.746325],[18.01115,47.747925],[18.029056,47.756078],[18.038058,47.757681],[18.086904,47.756555],[18.113248,47.751842],[18.134166,47.750484],[18.144919,47.748666],[18.176653,47.740908],[18.196989,47.739919],[18.22122,47.742381],[18.267575,47.737366],[18.27837,47.732871],[18.295878,47.731462],[18.308262,47.733828],[18.321784,47.735053],[18.356117,47.742117],[18.370201,47.744109],[18.38593,47.749907],[18.394376,47.751857],[18.428205,47.755091],[18.433838,47.756646],[18.446178,47.76318],[18.454068,47.765123],[18.469326,47.763297],[18.485798,47.754244],[18.493155,47.752755],[18.503869,47.753568],[18.524712,47.757847],[18.540459,47.76477],[18.551187,47.764438],[18.559076,47.765996],[18.574332,47.764913],[18.610523,47.758202],[18.646087,47.759092],[18.682159,47.767589],[18.699042,47.776019],[18.708038,47.782136],[18.718749,47.784832],[18.726069,47.789041],[18.731115,47.795524],[18.731069,47.803139],[18.7333,47.808474],[18.73892,47.813062],[18.752471,47.81614],[18.767155,47.817317],[18.776746,47.821528],[18.795957,47.823096],[18.808394,47.821598],[18.816889,47.818572],[18.828193,47.818972],[18.848542,47.816722],[18.849106,47.818247],[18.850813,47.814446],[18.868903,47.812951],[18.881907,47.810683],[18.896048,47.806136],[18.902848,47.801578],[18.905684,47.79663],[18.905708,47.787875],[18.91026,47.773411],[18.913661,47.769611],[18.927218,47.765058],[18.922917,47.76003],[18.922728,47.755914],[18.925002,47.749825],[18.919369,47.742588],[18.919945,47.740302],[18.924465,47.73574],[18.927285,47.735743],[18.930119,47.733459],[18.931248,47.733838],[18.931812,47.731936],[18.934636,47.730037],[18.93408,47.728134],[18.941984,47.724715],[18.939169,47.72281],[18.93298,47.714426],[18.921147,47.709847],[18.918882,47.712509],[18.904763,47.718962],[18.901372,47.720104],[18.896295,47.719713],[18.893473,47.72085],[18.886707,47.720462],[18.882773,47.71589],[18.879952,47.716648],[18.874879,47.715116],[18.868665,47.717387],[18.866413,47.715482],[18.861903,47.715859],[18.856834,47.713564],[18.854572,47.7147],[18.853445,47.713936],[18.851764,47.711653],[18.855161,47.706708],[18.851811,47.699086],[18.855766,47.696812],[18.854073,47.695285],[18.84676,47.692608],[18.853544,47.686907],[18.854691,47.681957],[18.859779,47.678161],[18.859788,47.675496],[18.863757,47.668649],[18.863787,47.659893],[18.862112,47.656463],[18.866065,47.653421],[18.864945,47.651139],[18.853105,47.654162],[18.849721,47.654157],[18.843511,47.65681],[18.840133,47.655286],[18.829437,47.653742],[18.820409,47.656767],[18.811952,47.657135],[18.801784,47.664345],[18.79387,47.667755],[18.779763,47.67115],[18.781482,47.666965],[18.778697,47.660867],[18.766298,47.66046],[18.760107,47.65892],[18.753896,47.660807],[18.748263,47.661177],[18.756739,47.655863],[18.774249,47.648296],[18.77596,47.643727],[18.782179,47.639558],[18.772619,47.637249],[18.770917,47.638386],[18.758567,47.631886],[18.756881,47.629979],[18.74789,47.626529],[18.743407,47.623469],[18.738949,47.614701],[18.720412,47.608559],[18.719334,47.600562],[18.721609,47.597141],[18.721055,47.594853],[18.710946,47.591397],[18.698046,47.584889],[18.68517,47.575325],[18.679553,47.574551],[18.677863,47.575302],[18.672258,47.571479],[18.664426,47.570395],[18.655662,47.571021],[18.644116,47.573286],[18.630073,47.570572],[18.622748,47.571692],[18.62222,47.567879],[18.617181,47.564817],[18.610974,47.567074],[18.607605,47.567062],[18.602526,47.568945],[18.592945,47.570432],[18.586726,47.573834],[18.576592,47.574556],[18.570432,47.572244],[18.565958,47.568798],[18.560909,47.567259],[18.556972,47.567242],[18.549077,47.569489],[18.534625,47.551913],[18.529534,47.554939],[18.526722,47.554164],[18.521737,47.556021],[18.48904,47.554751],[18.485165,47.549018],[18.489168,47.542562],[18.492557,47.541438],[18.496543,47.536505],[18.493742,47.535736],[18.492609,47.536486],[18.494328,47.533068],[18.493822,47.52812],[18.496067,47.527746],[18.496623,47.528896],[18.497803,47.523565],[18.502365,47.516733],[18.506885,47.514852],[18.52048,47.503493],[18.530616,47.501252],[18.530679,47.494783],[18.544284,47.482275],[18.539229,47.482253],[18.527501,47.484959],[18.521752,47.48865],[18.518698,47.492091],[18.512158,47.493558],[18.506489,47.498099],[18.500351,47.493881],[18.495287,47.494619],[18.493031,47.496132],[18.491344,47.49574],[18.493055,47.493846],[18.489697,47.492305],[18.489725,47.48964],[18.486939,47.487724],[18.485252,47.487338],[18.480185,47.489216],[18.483032,47.485418],[18.479688,47.482737],[18.481378,47.481983],[18.481386,47.481221],[18.479704,47.481213],[18.481402,47.479703],[18.481439,47.476276],[18.478629,47.47664],[18.47529,47.474343],[18.474765,47.470529],[18.466281,47.476579],[18.461768,47.47808],[18.458903,47.483396],[18.455496,47.486427],[18.451582,47.484882],[18.449325,47.485633],[18.439703,47.492437],[18.436957,47.487093],[18.434704,47.487459],[18.429671,47.485529],[18.427985,47.485898],[18.42247,47.476734],[18.423064,47.47445],[18.420281,47.472533],[18.419746,47.469865],[18.417502,47.469468],[18.411389,47.464867],[18.406971,47.458367],[18.400846,47.45415],[18.401431,47.452628],[18.399755,47.451479],[18.397512,47.451844],[18.39305,47.449154],[18.378318,47.460491],[18.37048,47.458158],[18.363806,47.453552],[18.355516,47.443983],[18.351062,47.440913],[18.351122,47.43634],[18.360203,47.4284],[18.3664,47.426534],[18.371517,47.421234],[18.377728,47.418222],[18.348063,47.412716],[18.343055,47.410398],[18.338553,47.411133],[18.331193,47.416039],[18.326274,47.406489],[18.321268,47.403409],[18.317343,47.403384],[18.311798,47.399165],[18.310092,47.401057],[18.302197,47.403671],[18.28525,47.412317],[18.280702,47.416855],[18.280653,47.420281],[18.278953,47.421032],[18.277795,47.424074],[18.271583,47.426697],[18.261462,47.428153],[18.247896,47.43453],[18.240476,47.443235],[18.243239,47.445919],[18.242633,47.44858],[18.240934,47.449715],[18.242023,47.452003],[18.239765,47.45275],[18.241359,47.458475],[18.227821,47.462947],[18.219379,47.464027],[18.199527,47.476829],[18.189985,47.476759],[18.188313,47.475606],[18.195177,47.467662],[18.194099,47.465367],[18.194724,47.461182],[18.191987,47.456973],[18.194816,47.455475],[18.194877,47.451664],[18.189893,47.447438],[18.184879,47.44512],[18.179834,47.444698],[18.17191,47.448827],[18.16076,47.444174],[18.158564,47.441108],[18.151288,47.440296],[18.143291,47.448606],[18.137615,47.451989],[18.125366,47.446562],[18.115855,47.444583],[18.114248,47.44038],[18.120055,47.429005],[18.118441,47.42518],[18.105069,47.419742],[18.107348,47.417858],[18.110838,47.411031],[18.111454,47.406851],[18.109311,47.401877],[18.106026,47.397667],[18.097151,47.392258],[18.092136,47.390696],[18.086631,47.38456],[18.086164,47.379604],[18.083982,47.376159],[18.080095,47.374223],[18.080744,47.369655],[18.079649,47.368127],[18.080813,47.36585],[18.088221,47.358679],[18.082671,47.355968],[18.068679,47.355087],[18.053623,47.351147],[18.034223,47.340317],[18.036009,47.334619],[18.029299,47.334181],[18.024171,47.338704],[18.020229,47.339809],[18.016865,47.339779],[18.011306,47.337826],[18.003459,47.33814],[17.994582,47.333869],[17.992294,47.336135],[17.988908,47.337244],[17.983311,47.337193],[17.98049,47.338307],[17.975465,47.337498],[17.972063,47.339369],[17.967609,47.337809],[17.963226,47.333193],[17.961541,47.333562],[17.963149,47.337004],[17.96137,47.34194],[17.961802,47.348036],[17.956659,47.352933],[17.948715,47.35781],[17.935719,47.363015],[17.927335,47.361794],[17.927311,47.362934],[17.933985,47.365664],[17.945726,47.366923],[17.950715,47.369636],[17.949396,47.379143],[17.94716,47.378738],[17.945426,47.381386],[17.942052,47.381738],[17.93859,47.386273],[17.934063,47.388516],[17.928485,47.387315],[17.921703,47.389536],[17.915536,47.389476],[17.912202,47.388303],[17.908918,47.384458],[17.905593,47.382907],[17.899974,47.383229],[17.876219,47.392894],[17.877823,47.396332],[17.877106,47.403564],[17.878702,47.407385],[17.884671,47.416588],[17.890759,47.420454],[17.89011,47.42426],[17.894511,47.428493],[17.89447,47.430396],[17.887556,47.438322],[17.889728,47.441771],[17.883904,47.45161],[17.882755,47.452745],[17.876056,47.451153],[17.870844,47.458332]]]]}</t>
  </si>
  <si>
    <t>{"type":"MultiPolygon","coordinates":[[[[18.928061,48.057122],[18.943904,48.058865],[18.955331,48.057899],[18.960133,48.058598],[18.965362,48.057106],[18.967331,48.057127],[18.96835,48.058378],[18.971008,48.056121],[18.973745,48.056304],[18.973998,48.055318],[18.974705,48.054975],[18.976179,48.056419],[18.98161,48.053601],[18.986544,48.055383],[18.988221,48.057408],[18.991293,48.05782],[18.991198,48.058713],[18.989639,48.058803],[18.992483,48.061089],[18.990561,48.061912],[18.992335,48.062784],[18.992281,48.065294],[18.995906,48.068023],[19.008904,48.070043],[19.007758,48.073693],[19.009487,48.072751],[19.012738,48.073347],[19.008428,48.074693],[19.008889,48.076189],[19.011582,48.07496],[19.014864,48.078179],[19.018202,48.077863],[19.016296,48.077295],[19.01478,48.075693],[19.016576,48.076424],[19.015886,48.075605],[19.017598,48.075934],[19.018004,48.074409],[19.020973,48.074107],[19.02051,48.070945],[19.023813,48.07299],[19.030178,48.067316],[19.031482,48.068638],[19.032484,48.068325],[19.033308,48.064458],[19.035466,48.064805],[19.03558,48.066633],[19.038977,48.064853],[19.046236,48.066486],[19.058525,48.057353],[19.060385,48.057841],[19.065467,48.064649],[19.070767,48.064854],[19.078465,48.067427],[19.07938,48.069937],[19.084362,48.072781],[19.089784,48.072475],[19.098657,48.067492],[19.107402,48.065596],[19.111972,48.066732],[19.118962,48.066458],[19.121986,48.070214],[19.127445,48.073629],[19.135289,48.074146],[19.142567,48.07252],[19.144701,48.069098],[19.150229,48.06696],[19.158196,48.065077],[19.166223,48.065647],[19.181172,48.06127],[19.190271,48.060381],[19.20104,48.063314],[19.212823,48.064362],[19.222895,48.061952],[19.228435,48.056557],[19.241368,48.053653],[19.248273,48.058166],[19.248999,48.063622],[19.255782,48.071556],[19.265166,48.074192],[19.276736,48.073948],[19.279628,48.075677],[19.283857,48.082076],[19.303112,48.088711],[19.314657,48.087264],[19.328959,48.090455],[19.338622,48.08869],[19.345477,48.089825],[19.351539,48.08867],[19.355114,48.089641],[19.355848,48.090761],[19.360127,48.090193],[19.361473,48.088124],[19.36544,48.088884],[19.365725,48.088041],[19.367907,48.087812],[19.367372,48.086483],[19.369607,48.085913],[19.373553,48.087261],[19.370839,48.08893],[19.371646,48.089678],[19.37376,48.089497],[19.381893,48.091866],[19.38243,48.090682],[19.386597,48.091914],[19.386306,48.090448],[19.388343,48.091039],[19.387424,48.089429],[19.389662,48.089688],[19.389486,48.088251],[19.391931,48.087822],[19.389964,48.087384],[19.389811,48.086333],[19.394968,48.086628],[19.396618,48.085714],[19.395686,48.083683],[19.396864,48.08489],[19.398302,48.084714],[19.399595,48.083961],[19.398071,48.082453],[19.400018,48.082304],[19.401932,48.085527],[19.405184,48.085212],[19.409117,48.088953],[19.411108,48.088333],[19.414161,48.088977],[19.415994,48.087224],[19.418567,48.08868],[19.421122,48.088426],[19.422643,48.089687],[19.425214,48.088782],[19.429184,48.093114],[19.434407,48.095759],[19.433535,48.096749],[19.435701,48.097148],[19.435491,48.099665],[19.439824,48.099639],[19.442644,48.101269],[19.448442,48.100185],[19.454053,48.101436],[19.454279,48.098646],[19.456463,48.098799],[19.456994,48.097823],[19.455799,48.096585],[19.452893,48.09728],[19.451642,48.096672],[19.451796,48.09173],[19.45355,48.091464],[19.455668,48.087821],[19.460913,48.086692],[19.461304,48.083198],[19.467354,48.083933],[19.469215,48.085296],[19.46709,48.088422],[19.468313,48.092037],[19.471953,48.094626],[19.479253,48.094946],[19.483523,48.09846],[19.487216,48.099541],[19.487521,48.100853],[19.484351,48.103652],[19.484642,48.105193],[19.49442,48.109906],[19.49422,48.111721],[19.49092,48.112423],[19.49471,48.114709],[19.491965,48.117918],[19.495625,48.12077],[19.494419,48.123504],[19.495581,48.122863],[19.497077,48.124773],[19.495464,48.12476],[19.496042,48.125667],[19.494052,48.127125],[19.495399,48.128451],[19.494101,48.130143],[19.496026,48.130796],[19.496508,48.135196],[19.494805,48.136086],[19.495997,48.136292],[19.495942,48.137674],[19.493856,48.137939],[19.494704,48.138689],[19.492377,48.139664],[19.494373,48.14141],[19.494902,48.140476],[19.497196,48.140953],[19.495597,48.142254],[19.497404,48.143151],[19.498868,48.143258],[19.50009,48.141901],[19.500895,48.145638],[19.508151,48.147585],[19.50946,48.151751],[19.512822,48.154663],[19.510692,48.159664],[19.512161,48.162588],[19.50977,48.168859],[19.508657,48.171037],[19.504518,48.173443],[19.509641,48.174979],[19.508009,48.175808],[19.507396,48.17818],[19.511777,48.177549],[19.510411,48.178801],[19.513071,48.182312],[19.514649,48.181129],[19.516707,48.181797],[19.51663,48.183476],[19.520883,48.182934],[19.522876,48.183805],[19.523622,48.186436],[19.528967,48.190358],[19.529447,48.195861],[19.525018,48.200671],[19.526044,48.20313],[19.529097,48.204806],[19.536132,48.206224],[19.541305,48.209321],[19.543559,48.208849],[19.54482,48.206425],[19.547023,48.205694],[19.567093,48.215362],[19.577502,48.216015],[19.586058,48.221732],[19.592604,48.227836],[19.602326,48.231635],[19.608217,48.238987],[19.619435,48.242449],[19.624533,48.246738],[19.628,48.247488],[19.630826,48.250072],[19.644304,48.241639],[19.644524,48.239172],[19.650579,48.237754],[19.65439,48.238136],[19.660211,48.24152],[19.665777,48.241382],[19.669857,48.239212],[19.670976,48.237926],[19.670623,48.234376],[19.673768,48.232225],[19.672656,48.228816],[19.675822,48.224398],[19.674214,48.221906],[19.674662,48.219739],[19.67986,48.216727],[19.679859,48.213026],[19.691297,48.207048],[19.691219,48.203894],[19.694296,48.204796],[19.69934,48.203467],[19.70186,48.203795],[19.702422,48.202469],[19.706593,48.20101],[19.710312,48.20248],[19.721125,48.201473],[19.725307,48.204027],[19.734887,48.215166],[19.74618,48.216512],[19.752617,48.214268],[19.760709,48.213792],[19.763245,48.21116],[19.763672,48.208012],[19.766747,48.205685],[19.772697,48.205362],[19.774634,48.203175],[19.781322,48.201011],[19.78631,48.196648],[19.787163,48.19253],[19.798733,48.19482],[19.802002,48.192394],[19.801936,48.189379],[19.805428,48.186092],[19.805283,48.183733],[19.788708,48.173337],[19.789588,48.168274],[19.782415,48.165039],[19.794812,48.153529],[19.802909,48.15489],[19.806471,48.154145],[19.808264,48.159305],[19.806584,48.162061],[19.812159,48.163446],[19.813846,48.167015],[19.82027,48.168123],[19.821331,48.169081],[19.829897,48.166942],[19.83075,48.16487],[19.827358,48.163668],[19.838594,48.162174],[19.845282,48.162742],[19.843943,48.16796],[19.8504,48.171527],[19.852012,48.1775],[19.855173,48.178431],[19.858431,48.175068],[19.856114,48.171226],[19.860131,48.169409],[19.868086,48.171508],[19.875352,48.169599],[19.879156,48.170447],[19.8824,48.164141],[19.889074,48.164088],[19.898745,48.166312],[19.90591,48.151304],[19.914536,48.146863],[19.910417,48.143224],[19.910273,48.139715],[19.902104,48.136575],[19.901586,48.132046],[19.897958,48.129471],[19.898298,48.124902],[19.900433,48.124127],[19.906409,48.126805],[19.908308,48.129545],[19.910856,48.129844],[19.915758,48.128459],[19.916961,48.129266],[19.929366,48.130111],[19.933711,48.132036],[19.937383,48.131118],[19.938839,48.133861],[19.937114,48.137238],[19.946689,48.143125],[19.946377,48.144268],[19.949766,48.146277],[19.951557,48.151548],[19.956306,48.151074],[19.956131,48.151888],[19.960609,48.152575],[19.963565,48.152021],[19.974394,48.166005],[19.980901,48.165583],[19.984583,48.162779],[19.988706,48.162168],[19.991441,48.168399],[19.997649,48.168472],[20.003544,48.172283],[20.012163,48.172277],[20.016246,48.173851],[20.017158,48.175093],[20.016257,48.175927],[20.029038,48.177685],[20.033453,48.175121],[20.040759,48.174235],[20.043029,48.17313],[20.044388,48.167243],[20.051907,48.16772],[20.054565,48.166203],[20.058584,48.168071],[20.061986,48.167279],[20.06081,48.165387],[20.063593,48.162321],[20.063006,48.16118],[20.06471,48.161165],[20.063512,48.158133],[20.064599,48.155459],[20.072516,48.153104],[20.073684,48.154618],[20.076541,48.155355],[20.080455,48.151894],[20.087881,48.153346],[20.090678,48.151041],[20.089501,48.149149],[20.091206,48.14875],[20.09116,48.146464],[20.093367,48.143402],[20.088776,48.14115],[20.084748,48.137385],[20.08299,48.136638],[20.079045,48.13706],[20.078921,48.131341],[20.07662,48.129833],[20.078271,48.126784],[20.074819,48.126051],[20.07361,48.122636],[20.071325,48.121136],[20.06739,48.123073],[20.060009,48.123129],[20.058856,48.123909],[20.047495,48.123227],[20.046853,48.11904],[20.049609,48.11524],[20.043835,48.110344],[20.041554,48.106571],[20.039217,48.106194],[20.032415,48.107765],[20.022682,48.103669],[20.020985,48.104431],[20.018686,48.102555],[20.016409,48.102952],[20.010136,48.101475],[20.005603,48.102276],[20.00389,48.101533],[20.003283,48.09963],[19.99984,48.099272],[19.995843,48.097021],[19.990717,48.096685],[19.988978,48.094051],[19.980989,48.092581],[19.977592,48.093744],[19.978171,48.094517],[19.976519,48.095666],[19.971855,48.091128],[19.968458,48.090014],[19.974625,48.085019],[19.97231,48.083145],[19.972778,48.078173],[19.977908,48.078519],[19.982395,48.075436],[19.986935,48.075785],[19.987426,48.071208],[19.986269,48.070077],[19.993046,48.06812],[19.995244,48.063914],[19.999183,48.061979],[20.002014,48.061572],[20.002,48.06081],[20.003721,48.061942],[20.005417,48.061166],[20.003679,48.059656],[20.005925,48.058113],[20.006511,48.058871],[20.008205,48.058479],[20.008177,48.056955],[20.01102,48.057309],[20.018333,48.053444],[20.013771,48.053083],[20.012145,48.054243],[20.00926,48.05353],[20.008094,48.052009],[20.010829,48.048969],[20.011368,48.045501],[20.01364,48.044339],[20.010714,48.041333],[20.013502,48.037852],[20.013972,48.032542],[20.015664,48.031362],[20.013361,48.028797],[20.01331,48.024216],[20.01554,48.021527],[20.016015,48.017641],[20.019963,48.015457],[20.026713,48.01533],[20.026702,48.013004],[20.028416,48.013021],[20.032298,48.009541],[20.031676,48.007647],[20.026528,48.008447],[20.019144,48.005522],[20.012361,48.006272],[20.005452,48.00447],[20.000149,48.005197],[19.996533,48.007247],[19.990662,47.999228],[19.980515,47.998197],[19.980393,47.994327],[19.975804,47.990984],[19.975811,47.989025],[19.976882,47.987488],[19.981344,47.985647],[19.981394,47.984112],[19.986412,47.98212],[19.986399,47.9802],[19.985789,47.979091],[19.978375,47.977663],[19.975968,47.973516],[19.968097,47.973523],[19.96409,47.971672],[19.96458,47.966339],[19.967927,47.962929],[19.96783,47.958669],[19.969446,47.956039],[19.968319,47.950269],[19.958602,47.946638],[19.95018,47.946661],[19.944384,47.943715],[19.940947,47.944041],[19.939224,47.942148],[19.939725,47.939865],[19.938014,47.939111],[19.936813,47.93534],[19.935122,47.934197],[19.936241,47.931137],[19.93322,47.925461],[19.930408,47.923932],[19.925293,47.923195],[19.922999,47.921696],[19.922966,47.918667],[19.921831,47.918307],[19.922466,47.923235],[19.920224,47.923637],[19.914424,47.916065],[19.910508,47.919138],[19.903707,47.918433],[19.900275,47.91693],[19.895177,47.916968],[19.88796,47.923487],[19.885123,47.924263],[19.880681,47.930397],[19.877265,47.929655],[19.871053,47.930466],[19.863653,47.927478],[19.858558,47.927519],[19.853481,47.929454],[19.849491,47.927952],[19.843274,47.92915],[19.835911,47.92881],[19.82737,47.926213],[19.822282,47.92662],[19.816575,47.922846],[19.814873,47.923616],[19.809202,47.922895],[19.811883,47.913335],[19.809551,47.908813],[19.814078,47.907249],[19.809499,47.904624],[19.811737,47.902701],[19.815704,47.901906],[19.82072,47.899216],[19.822404,47.896921],[19.830334,47.896105],[19.834843,47.896457],[19.83176,47.898565],[19.833775,47.899897],[19.834902,47.899121],[19.837176,47.899493],[19.838405,47.900941],[19.841188,47.901319],[19.855144,47.890989],[19.849478,47.890272],[19.84717,47.887227],[19.848241,47.88305],[19.843608,47.876606],[19.836204,47.874358],[19.831148,47.874016],[19.826619,47.876312],[19.825561,47.875566],[19.819354,47.880559],[19.819926,47.881691],[19.813779,47.885556],[19.802456,47.886391],[19.800213,47.887534],[19.797367,47.889852],[19.79689,47.892105],[19.784524,47.899814],[19.783987,47.901354],[19.77725,47.904822],[19.768154,47.902991],[19.767483,47.896456],[19.759522,47.891264],[19.759411,47.888204],[19.765719,47.888897],[19.766744,47.884342],[19.762757,47.880139],[19.764267,47.869483],[19.760256,47.864545],[19.750594,47.860094],[19.748828,47.85778],[19.736342,47.85025],[19.729991,47.842676],[19.724909,47.84079],[19.726116,47.840017],[19.721924,47.83457],[19.722242,47.830506],[19.719331,47.82924],[19.719307,47.827468],[19.716424,47.825615],[19.715665,47.823521],[19.720697,47.818023],[19.71687,47.818385],[19.709963,47.81577],[19.704203,47.81584],[19.696531,47.818977],[19.686506,47.820261],[19.684101,47.811308],[19.66676,47.810321],[19.667807,47.802774],[19.665726,47.800424],[19.663867,47.800165],[19.662442,47.800253],[19.661838,47.801529],[19.662698,47.803038],[19.657721,47.802862],[19.658681,47.80515],[19.656978,47.805091],[19.656629,47.807056],[19.652743,47.808317],[19.653791,47.810634],[19.656109,47.811272],[19.653293,47.813413],[19.632544,47.805837],[19.635672,47.8017],[19.63618,47.79751],[19.641202,47.79138],[19.642782,47.782634],[19.645601,47.780324],[19.642765,47.77807],[19.638717,47.769335],[19.642609,47.768147],[19.631253,47.755314],[19.629499,47.754138],[19.622773,47.759493],[19.613222,47.762596],[19.612077,47.762223],[19.610954,47.759564],[19.601832,47.755397],[19.599547,47.751619],[19.585352,47.745942],[19.571133,47.734988],[19.567223,47.737682],[19.541338,47.746498],[19.531135,47.737477],[19.527112,47.730632],[19.52484,47.730626],[19.524286,47.7295],[19.520318,47.728366],[19.518591,47.723441],[19.506699,47.721551],[19.493703,47.716655],[19.489675,47.707142],[19.505445,47.705956],[19.508892,47.703986],[19.511589,47.698684],[19.51099,47.697516],[19.509264,47.696045],[19.50425,47.696389],[19.499831,47.695352],[19.47768,47.687813],[19.468204,47.702295],[19.465459,47.709515],[19.466009,47.711835],[19.462664,47.713729],[19.452512,47.715295],[19.443572,47.72904],[19.43737,47.732493],[19.433883,47.738661],[19.43281,47.742838],[19.434714,47.749634],[19.444383,47.755664],[19.447145,47.762756],[19.444278,47.768846],[19.433598,47.769323],[19.424094,47.772936],[19.415584,47.77136],[19.41611,47.778512],[19.420843,47.780407],[19.426853,47.796589],[19.446413,47.802526],[19.425023,47.81666],[19.412034,47.815934],[19.406955,47.81862],[19.400172,47.819017],[19.393969,47.822091],[19.381005,47.821374],[19.378686,47.819072],[19.376203,47.818701],[19.355508,47.81875],[19.342591,47.824123],[19.33016,47.831766],[19.324527,47.832569],[19.302413,47.829893],[19.275852,47.825043],[19.260162,47.827588],[19.252841,47.82541],[19.237815,47.825648],[19.233877,47.827004],[19.231202,47.825123],[19.222155,47.831624],[19.22048,47.835423],[19.208602,47.838881],[19.208078,47.841912],[19.19677,47.844211],[19.180385,47.849179],[19.178118,47.846897],[19.174723,47.848426],[19.168456,47.848821],[19.167043,47.845261],[19.163802,47.844544],[19.157281,47.846802],[19.142854,47.84915],[19.108922,47.850566],[19.100878,47.847204],[19.098789,47.841854],[19.091685,47.840465],[19.086498,47.838207],[19.08707,47.840109],[19.07463,47.845063],[19.074638,47.853045],[19.073503,47.853819],[19.070116,47.854966],[19.065026,47.858771],[19.058803,47.859912],[19.056538,47.858394],[19.055406,47.85915],[19.053141,47.858773],[19.04805,47.861437],[19.045223,47.865242],[19.044662,47.867528],[19.046356,47.870193],[19.045223,47.870193],[19.043529,47.874003],[19.046356,47.876283],[19.045794,47.878186],[19.035607,47.883136],[19.035607,47.88466],[19.032207,47.886184],[19.032207,47.887702],[19.028245,47.889988],[19.023722,47.889609],[19.013533,47.891887],[19.003339,47.897974],[18.994837,47.905586],[18.986902,47.915099],[18.973876,47.917756],[18.967639,47.921563],[18.9614,47.926503],[18.960258,47.931837],[18.957995,47.9345],[18.94608,47.940581],[18.94324,47.944001],[18.948907,47.948944],[18.940969,47.952751],[18.940954,47.954282],[18.964212,47.96611],[18.974462,47.969941],[18.9942,47.979444],[18.989099,47.987802],[19.00497,47.991648],[19.004382,48.001506],[19.002085,48.002284],[19.002132,48.00422],[19.007237,48.008],[19.007216,48.010279],[19.000406,48.0099],[19.005496,48.017099],[19.000737,48.018652],[18.99548,48.027376],[18.990282,48.029317],[18.981006,48.028104],[18.975441,48.024444],[18.96812,48.02843],[18.962331,48.028743],[18.96132,48.027242],[18.958792,48.026836],[18.954242,48.030026],[18.947112,48.0404],[18.942163,48.0425],[18.928061,48.057122]]]]}</t>
  </si>
  <si>
    <t>{"type":"MultiPolygon","coordinates":[[[[18.688536,47.577244],[18.698046,47.584889],[18.710946,47.591397],[18.721055,47.594853],[18.721609,47.597141],[18.719334,47.600562],[18.720412,47.608559],[18.738949,47.614701],[18.743407,47.623469],[18.74789,47.626529],[18.756881,47.629979],[18.758567,47.631886],[18.770917,47.638386],[18.772619,47.637249],[18.782179,47.639558],[18.77596,47.643727],[18.774249,47.648296],[18.756739,47.655863],[18.748263,47.661177],[18.753896,47.660807],[18.760107,47.65892],[18.766298,47.66046],[18.778697,47.660867],[18.781482,47.666965],[18.780332,47.671151],[18.79387,47.667755],[18.801784,47.664345],[18.811952,47.657135],[18.820409,47.656767],[18.829437,47.653742],[18.840133,47.655286],[18.843511,47.65681],[18.849721,47.654157],[18.853105,47.654162],[18.864945,47.651139],[18.866065,47.653421],[18.862112,47.656463],[18.863787,47.659893],[18.863757,47.668649],[18.859788,47.675496],[18.859779,47.678161],[18.854691,47.681957],[18.853544,47.686907],[18.84676,47.692608],[18.854073,47.695285],[18.855766,47.696812],[18.851811,47.699086],[18.855161,47.706708],[18.851764,47.711653],[18.853445,47.713936],[18.854572,47.7147],[18.856834,47.713564],[18.861903,47.715859],[18.866413,47.715482],[18.868665,47.717387],[18.874879,47.715116],[18.879952,47.716648],[18.882773,47.71589],[18.886707,47.720462],[18.893473,47.72085],[18.896295,47.719713],[18.901372,47.720104],[18.904763,47.718962],[18.918882,47.712509],[18.921147,47.709847],[18.93298,47.714426],[18.939169,47.72281],[18.941984,47.724715],[18.93408,47.728134],[18.934636,47.730037],[18.931812,47.731936],[18.931248,47.733838],[18.930119,47.733459],[18.927285,47.735743],[18.924465,47.73574],[18.919945,47.740302],[18.919369,47.742588],[18.925002,47.749825],[18.922728,47.755914],[18.922917,47.76003],[18.927218,47.765058],[18.913661,47.769611],[18.91026,47.773411],[18.905708,47.787875],[18.905684,47.79663],[18.902276,47.802339],[18.896048,47.806136],[18.881907,47.810683],[18.868903,47.812951],[18.850813,47.814446],[18.848337,47.81912],[18.855938,47.827274],[18.852716,47.82797],[18.8504,47.830106],[18.840254,47.828879],[18.828014,47.834291],[18.828135,47.837237],[18.822501,47.842149],[18.821745,47.850504],[18.813575,47.85555],[18.795917,47.858407],[18.792765,47.865358],[18.786373,47.866121],[18.782211,47.865235],[18.778081,47.869591],[18.769853,47.868401],[18.768627,47.868825],[18.769566,47.870798],[18.76869,47.87197],[18.763776,47.871353],[18.764535,47.881657],[18.760847,47.895233],[18.757231,47.896367],[18.756801,47.89757],[18.760132,47.902182],[18.762917,47.903926],[18.758717,47.905131],[18.759186,47.908021],[18.762674,47.909556],[18.761495,47.913057],[18.757678,47.916796],[18.75776,47.919722],[18.76939,47.928532],[18.771604,47.931818],[18.774048,47.932347],[18.771446,47.933855],[18.77379,47.938249],[18.771699,47.949039],[18.776746,47.955092],[18.772184,47.962303],[18.766271,47.964205],[18.763754,47.967781],[18.756165,47.971364],[18.754881,47.975553],[18.757109,47.978298],[18.767751,47.984878],[18.772558,47.985381],[18.773852,47.984284],[18.777252,47.984199],[18.787494,47.98687],[18.797405,47.984984],[18.80076,47.985341],[18.81082,47.989725],[18.815986,47.99368],[18.817718,47.996755],[18.815453,47.997194],[18.819036,48.000843],[18.817351,48.001275],[18.819388,48.003491],[18.818929,48.004868],[18.821275,48.006299],[18.821089,48.007759],[18.81717,48.011047],[18.817271,48.016996],[18.815567,48.021423],[18.823526,48.026963],[18.826553,48.031355],[18.825595,48.034798],[18.821266,48.037206],[18.821263,48.039217],[18.819998,48.039676],[18.821997,48.042571],[18.822878,48.043125],[18.829125,48.041542],[18.833268,48.048239],[18.837923,48.046689],[18.840321,48.0506],[18.845585,48.052572],[18.851841,48.050484],[18.853912,48.048195],[18.860159,48.050144],[18.874937,48.047071],[18.875462,48.048777],[18.876823,48.04825],[18.883008,48.051057],[18.885241,48.050312],[18.883314,48.051992],[18.884343,48.054595],[18.88581,48.054716],[18.886674,48.058682],[18.891661,48.054114],[18.893082,48.055038],[18.908982,48.051139],[18.928061,48.057122],[18.942163,48.0425],[18.947112,48.0404],[18.954242,48.030026],[18.958792,48.026836],[18.96132,48.027242],[18.962331,48.028743],[18.96812,48.02843],[18.975441,48.024444],[18.981006,48.028104],[18.990282,48.029317],[18.99548,48.027376],[19.000737,48.018652],[19.005496,48.017099],[19.000406,48.0099],[19.007216,48.010279],[19.007237,48.008],[19.002132,48.00422],[19.002085,48.002284],[19.004382,48.001506],[19.00497,47.991648],[18.989099,47.987802],[18.9942,47.979444],[18.974462,47.969941],[18.964212,47.96611],[18.940954,47.954282],[18.940969,47.952751],[18.948907,47.948944],[18.94324,47.944001],[18.94608,47.940581],[18.957995,47.9345],[18.960258,47.931837],[18.9614,47.926503],[18.967639,47.921563],[18.973876,47.917756],[18.986902,47.915099],[18.994837,47.905586],[19.003339,47.897974],[19.013533,47.891887],[19.023722,47.889609],[19.028245,47.889988],[19.032207,47.887702],[19.032207,47.886184],[19.035607,47.88466],[19.035607,47.883136],[19.045794,47.878186],[19.046356,47.876283],[19.043529,47.874003],[19.045223,47.870193],[19.046356,47.870193],[19.044662,47.867528],[19.045223,47.865242],[19.04805,47.861437],[19.053141,47.858773],[19.055406,47.85915],[19.056538,47.858394],[19.058803,47.859912],[19.065026,47.858771],[19.070116,47.854966],[19.073503,47.853819],[19.074638,47.853045],[19.07463,47.845063],[19.08707,47.840109],[19.086498,47.838207],[19.091685,47.840465],[19.098789,47.841854],[19.100878,47.847204],[19.108922,47.850566],[19.142854,47.84915],[19.157281,47.846802],[19.163802,47.844544],[19.167043,47.845261],[19.168456,47.848821],[19.174723,47.848426],[19.178118,47.846897],[19.180385,47.849179],[19.19677,47.844211],[19.208078,47.841912],[19.208602,47.838881],[19.22048,47.835423],[19.222155,47.831624],[19.231202,47.825123],[19.233877,47.827004],[19.237815,47.825648],[19.252841,47.82541],[19.260162,47.827588],[19.275852,47.825043],[19.302413,47.829893],[19.324527,47.832569],[19.33016,47.831766],[19.342591,47.824123],[19.355508,47.81875],[19.376203,47.818701],[19.378686,47.819072],[19.381005,47.821374],[19.393969,47.822091],[19.400172,47.819017],[19.406955,47.81862],[19.412034,47.815934],[19.425023,47.81666],[19.446413,47.802526],[19.426853,47.796589],[19.420843,47.780407],[19.41611,47.778512],[19.415584,47.77136],[19.424094,47.772936],[19.433598,47.769323],[19.444278,47.768846],[19.447145,47.762756],[19.444383,47.755664],[19.434714,47.749634],[19.43281,47.742838],[19.433883,47.738661],[19.43737,47.732493],[19.443572,47.72904],[19.452512,47.715295],[19.462664,47.713729],[19.466009,47.711835],[19.465459,47.709515],[19.468204,47.702295],[19.47768,47.687813],[19.499831,47.695352],[19.50425,47.696389],[19.509264,47.696045],[19.51099,47.697516],[19.511589,47.698684],[19.508892,47.703986],[19.505445,47.705956],[19.489675,47.707142],[19.493703,47.716655],[19.506699,47.721551],[19.518591,47.723441],[19.520318,47.728366],[19.524286,47.7295],[19.52484,47.730626],[19.527112,47.730632],[19.531135,47.737477],[19.541338,47.746498],[19.567223,47.737682],[19.579496,47.730813],[19.587893,47.723168],[19.607036,47.711987],[19.604165,47.707459],[19.605321,47.707447],[19.604131,47.701755],[19.599552,47.702864],[19.595011,47.69719],[19.601274,47.693384],[19.591558,47.688073],[19.607683,47.667435],[19.607638,47.661336],[19.610431,47.659833],[19.614383,47.655158],[19.623906,47.650606],[19.644367,47.646284],[19.637227,47.637207],[19.642837,47.634901],[19.643338,47.630313],[19.647266,47.628004],[19.656699,47.616542],[19.65738,47.612003],[19.653678,47.598672],[19.666689,47.588467],[19.65796,47.576111],[19.65541,47.565051],[19.651403,47.562184],[19.658994,47.558788],[19.652801,47.547622],[19.684215,47.532748],[19.701617,47.517269],[19.708628,47.518189],[19.719214,47.528821],[19.728003,47.530913],[19.737871,47.538987],[19.746461,47.532052],[19.757959,47.53583],[19.767622,47.530077],[19.777147,47.538645],[19.790612,47.531245],[19.783245,47.523675],[19.781438,47.524674],[19.776571,47.519809],[19.771384,47.51741],[19.762742,47.500876],[19.747343,47.488859],[19.759033,47.481171],[19.812065,47.455896],[19.824061,47.437327],[19.821579,47.429003],[19.839409,47.425219],[19.840484,47.423447],[19.854984,47.413644],[19.871623,47.407073],[19.922902,47.382524],[19.947496,47.374997],[19.966777,47.366667],[19.981518,47.352116],[19.991199,47.34617],[19.99191,47.341967],[19.989511,47.335693],[20.012086,47.306739],[20.016533,47.304582],[20.01628,47.298853],[20.004401,47.284158],[19.98872,47.253091],[20.031477,47.243377],[20.044532,47.238239],[20.06574,47.224829],[20.079717,47.220456],[20.080279,47.210181],[20.084957,47.207913],[20.089316,47.197845],[20.099305,47.181799],[20.084889,47.165114],[20.070923,47.156181],[20.063646,47.149264],[20.055834,47.145645],[20.055429,47.141859],[20.047708,47.125061],[20.055948,47.114803],[20.058607,47.108493],[20.053265,47.105634],[20.066158,47.093709],[20.0648,47.089144],[20.075319,47.083953],[20.091872,47.044092],[20.102741,47.042041],[20.108006,47.039614],[20.112654,47.032953],[20.094514,47.007552],[20.08842,47.009132],[20.07136,47.01957],[20.069692,47.019585],[20.060662,47.013188],[20.026594,47.007392],[19.999716,46.998483],[19.98275,46.983011],[19.98351,46.962817],[19.953632,46.9722],[19.934174,46.972731],[19.926978,46.975074],[19.908169,46.981688],[19.876708,46.997918],[19.874397,46.992605],[19.861304,46.973274],[19.861263,46.970609],[19.857886,46.96759],[19.844238,46.947884],[19.840296,46.944484],[19.829176,46.94456],[19.80209,46.955403],[19.77975,46.948694],[19.73558,46.972962],[19.72563,46.977973],[19.699054,46.98841],[19.689668,46.994172],[19.674237,47.007589],[19.663744,47.014501],[19.636732,47.038252],[19.629193,47.06266],[19.620491,47.082506],[19.603989,47.10353],[19.58744,47.12113],[19.577878,47.112795],[19.570022,47.108642],[19.561651,47.107539],[19.532686,47.111472],[19.505983,47.119199],[19.493517,47.096397],[19.486078,47.072441],[19.474793,47.055347],[19.461966,47.053491],[19.440283,47.059276],[19.42917,47.063888],[19.386099,47.03813],[19.374373,47.032827],[19.358221,47.032873],[19.333127,47.026846],[19.325311,47.022676],[19.319134,47.012793],[19.295304,47.036076],[19.314394,47.066879],[19.328936,47.075979],[19.347985,47.093445],[19.338535,47.099568],[19.327434,47.109494],[19.311876,47.120575],[19.298519,47.125935],[19.282349,47.128256],[19.268981,47.134375],[19.251123,47.133262],[19.237167,47.131005],[19.209143,47.089159],[19.20248,47.097547],[19.164008,47.09569],[19.158979,47.090743],[19.143357,47.082763],[19.139437,47.077052],[19.13219,47.071727],[19.106504,47.067525],[19.098185,47.06299],[19.098729,47.054233],[19.095385,47.045471],[19.087586,47.043571],[19.073096,47.037867],[19.069759,47.034441],[19.064186,47.038632],[19.046364,47.0432],[19.03912,47.043963],[19.024087,47.048906],[19.022408,47.051193],[19.02074,47.051193],[19.020176,47.054242],[18.993433,47.057275],[18.95665,47.064106],[18.957779,47.056113],[18.973323,47.046184],[18.977303,47.041277],[18.972853,47.034419],[18.966715,47.03004],[18.955839,47.041843],[18.946906,47.048623],[18.931428,47.05807],[18.912813,47.067604],[18.902326,47.071518],[18.898058,47.076101],[18.885286,47.111051],[18.882197,47.125301],[18.874784,47.145596],[18.872906,47.155542],[18.873591,47.164361],[18.878192,47.175623],[18.881508,47.196114],[18.886769,47.204778],[18.906092,47.225166],[18.910142,47.231247],[18.91156,47.244397],[18.918002,47.257026],[18.920477,47.264884],[18.919065,47.274484],[18.900616,47.275266],[18.880704,47.278425],[18.880147,47.277286],[18.873334,47.286656],[18.881136,47.301399],[18.868017,47.305463],[18.864663,47.306042],[18.860401,47.30464],[18.858317,47.305404],[18.861267,47.306306],[18.864227,47.311554],[18.867622,47.314527],[18.863661,47.319137],[18.849739,47.330925],[18.841977,47.335983],[18.833296,47.339874],[18.831849,47.339106],[18.819658,47.346789],[18.81008,47.355423],[18.804726,47.363717],[18.791348,47.371907],[18.777811,47.389777],[18.757563,47.403429],[18.763694,47.412954],[18.789528,47.425664],[18.787072,47.432335],[18.790705,47.435335],[18.786074,47.444179],[18.786774,47.450835],[18.785583,47.45686],[18.780128,47.466159],[18.767563,47.475707],[18.762379,47.478061],[18.756473,47.486364],[18.756994,47.487841],[18.750523,47.492453],[18.742282,47.489087],[18.734316,47.492264],[18.729806,47.491239],[18.711478,47.514936],[18.694759,47.532778],[18.694114,47.544903],[18.692131,47.548627],[18.694438,47.554897],[18.70037,47.561313],[18.698884,47.565601],[18.688536,47.577244]],[[18.925106,47.544144],[18.92979,47.541833],[18.935752,47.54334],[18.934319,47.535641],[18.935328,47.522643],[18.930355,47.524638],[18.927954,47.524346],[18.926897,47.522244],[18.933475,47.520735],[18.935329,47.522641],[18.944222,47.517979],[18.933866,47.507115],[18.94373,47.503745],[18.945387,47.499107],[18.944593,47.496975],[18.939876,47.497864],[18.935742,47.491461],[18.941698,47.488417],[18.941524,47.487019],[18.947735,47.482285],[18.953237,47.484605],[18.954916,47.48642],[18.961233,47.484491],[18.978875,47.468812],[18.982668,47.460778],[18.981055,47.455212],[18.977433,47.455067],[18.969897,47.451098],[18.978515,47.447214],[18.979189,47.43802],[18.976973,47.430872],[18.975948,47.429225],[18.966745,47.424943],[18.957233,47.418847],[18.957027,47.414781],[18.961485,47.404797],[18.962469,47.399329],[18.95417,47.397199],[18.951301,47.392728],[18.954962,47.383484],[18.95382,47.383083],[18.955168,47.378335],[18.957202,47.375731],[18.962318,47.372947],[18.976298,47.382478],[18.995967,47.387202],[19.018947,47.390097],[19.02002,47.387889],[19.021668,47.388337],[19.023135,47.386467],[19.027857,47.388214],[19.030148,47.385204],[19.038242,47.388203],[19.043898,47.384931],[19.048027,47.388679],[19.051031,47.387238],[19.053855,47.393415],[19.062232,47.391358],[19.06485,47.393531],[19.060704,47.397616],[19.075308,47.404037],[19.08359,47.404866],[19.093948,47.391071],[19.105317,47.387047],[19.098236,47.378742],[19.128191,47.359838],[19.140478,47.34969],[19.150745,47.356744],[19.179723,47.361073],[19.192576,47.373984],[19.205968,47.395512],[19.214931,47.401284],[19.215552,47.403124],[19.21792,47.400876],[19.226393,47.407457],[19.217422,47.412794],[19.231728,47.4242],[19.234767,47.423163],[19.236436,47.426001],[19.238718,47.424116],[19.23819,47.422294],[19.247177,47.419234],[19.254981,47.429064],[19.260142,47.427173],[19.265769,47.438233],[19.280899,47.436309],[19.292281,47.45064],[19.301264,47.457178],[19.306325,47.456239],[19.321096,47.459121],[19.330412,47.459795],[19.334926,47.46321],[19.331062,47.467481],[19.329822,47.477675],[19.314218,47.493036],[19.314215,47.503036],[19.321096,47.510448],[19.318694,47.515424],[19.296401,47.511275],[19.284011,47.510909],[19.263816,47.508291],[19.258807,47.52049],[19.245379,47.53689],[19.221148,47.532742],[19.209384,47.540357],[19.203767,47.537711],[19.198704,47.540014],[19.195119,47.537601],[19.190819,47.539261],[19.177363,47.546132],[19.180781,47.548235],[19.161123,47.559525],[19.174392,47.564288],[19.157766,47.57623],[19.151554,47.573947],[19.145354,47.578145],[19.153836,47.58499],[19.138114,47.595647],[19.140363,47.596402],[19.138108,47.599843],[19.127971,47.597952],[19.118315,47.60326],[19.108633,47.605835],[19.10726,47.607247],[19.109063,47.610355],[19.099283,47.613147],[19.088545,47.604549],[19.074573,47.589129],[19.071281,47.589496],[19.071246,47.590311],[19.071818,47.597536],[19.076146,47.605818],[19.074696,47.607537],[19.060963,47.609483],[19.039322,47.609815],[19.03427,47.606842],[19.025275,47.604614],[19.031171,47.598809],[19.034467,47.586938],[19.026021,47.588153],[19.01985,47.587644],[19.000804,47.583481],[18.996939,47.585955],[18.993828,47.583756],[18.983023,47.589029],[18.977787,47.585734],[18.985089,47.583112],[18.977512,47.575754],[18.977211,47.573908],[18.959585,47.577864],[18.942591,47.578906],[18.939461,47.575642],[18.928843,47.572441],[18.937756,47.55785],[18.934156,47.555516],[18.94044,47.55279],[18.940766,47.550682],[18.933232,47.546369],[18.925106,47.544144]]]]}</t>
  </si>
  <si>
    <t>{"type":"MultiPolygon","coordinates":[[[[16.875248,46.313252],[16.877004,46.317609],[16.876344,46.321024],[16.878081,46.320544],[16.876859,46.323565],[16.875759,46.323544],[16.876253,46.325079],[16.885634,46.324112],[16.886916,46.319567],[16.889192,46.317707],[16.893596,46.317413],[16.897092,46.312526],[16.901437,46.313749],[16.905296,46.313445],[16.912379,46.315098],[16.920608,46.315638],[16.928753,46.318079],[16.935941,46.317067],[16.935485,46.314776],[16.937145,46.314423],[16.936845,46.308702],[16.934306,46.302559],[16.939264,46.302273],[16.937767,46.298438],[16.938867,46.298459],[16.938019,46.291964],[16.939148,46.291223],[16.943987,46.293979],[16.946191,46.293642],[16.946265,46.29174],[16.951702,46.29336],[16.956542,46.296122],[16.963375,46.304247],[16.968266,46.305478],[16.978167,46.305282],[16.981233,46.311432],[16.985473,46.315701],[16.989346,46.315009],[16.993292,46.312415],[17.000143,46.313652],[17.001024,46.311409],[17.006513,46.311508],[17.008339,46.306972],[17.009984,46.307002],[17.013368,46.304775],[17.017643,46.307902],[17.022042,46.307981],[17.02692,46.309594],[17.026317,46.311102],[17.029531,46.313448],[17.038809,46.315138],[17.040952,46.316702],[17.037497,46.320825],[17.037186,46.329202],[17.042602,46.331586],[17.044065,46.336559],[17.04618,46.338885],[17.049985,46.340093],[17.058237,46.33986],[17.058988,46.349397],[17.053423,46.366057],[17.055009,46.367994],[17.05221,46.369086],[17.048945,46.368265],[17.046715,46.368988],[17.043812,46.373128],[17.044744,46.377714],[17.046867,46.379655],[17.043276,46.387595],[17.042119,46.389094],[17.034334,46.391243],[17.02973,46.396493],[17.031316,46.398424],[17.030647,46.401463],[17.03219,46.404535],[17.036964,46.409195],[17.037264,46.416058],[17.043852,46.416553],[17.04833,46.414729],[17.050981,46.417441],[17.054315,46.416738],[17.054623,46.408361],[17.059049,46.407676],[17.061364,46.404673],[17.06746,46.403639],[17.068622,46.40175],[17.077703,46.405012],[17.079875,46.415991],[17.085033,46.419941],[17.087454,46.42056],[17.096043,46.420132],[17.098821,46.419417],[17.102236,46.416432],[17.11386,46.414728],[17.114706,46.40636],[17.127943,46.405824],[17.13943,46.407921],[17.139107,46.41706],[17.141338,46.427379],[17.18042,46.432605],[17.181588,46.430721],[17.1883,46.429236],[17.191132,46.441541],[17.193311,46.442339],[17.194322,46.445022],[17.195267,46.465608],[17.188943,46.473123],[17.188878,46.475026],[17.194557,46.483634],[17.19017,46.48571],[17.193975,46.487298],[17.197302,46.486589],[17.196247,46.485431],[17.201233,46.48475],[17.204791,46.493568],[17.214666,46.494869],[17.219472,46.499523],[17.226786,46.511829],[17.226259,46.527437],[17.222779,46.532334],[17.220109,46.562378],[17.22005,46.580281],[17.215143,46.610687],[17.222071,46.634783],[17.218282,46.648814],[17.221386,46.654958],[17.22001,46.663925],[17.228467,46.675039],[17.232137,46.677989],[17.234597,46.679551],[17.237663,46.67926],[17.241875,46.680406],[17.24556,46.684267],[17.251415,46.687556],[17.25637,46.69358],[17.257061,46.700587],[17.259143,46.703628],[17.264536,46.705677],[17.277953,46.734298],[17.299216,46.735408],[17.311227,46.733308],[17.361681,46.731786],[17.372095,46.733899],[17.37867,46.737746],[17.385683,46.743949],[17.397719,46.748693],[17.419818,46.750914],[17.445955,46.747857],[17.454234,46.748736],[17.465189,46.753079],[17.47516,46.753218],[17.47907,46.752125],[17.492335,46.75307],[17.509905,46.759024],[17.523527,46.767204],[17.534482,46.771541],[17.589436,46.789014],[17.625145,46.801659],[17.667581,46.81208],[17.698776,46.828831],[17.730113,46.840622],[17.764905,46.847496],[17.789184,46.85386],[17.802383,46.858952],[17.834794,46.874159],[17.854553,46.88465],[17.870207,46.879861],[17.878572,46.878422],[17.889646,46.88006],[17.901733,46.88589],[17.91044,46.894358],[17.912941,46.907331],[17.907755,46.916038],[17.945872,46.927458],[17.97829,46.934078],[18.007802,46.944036],[18.048092,46.960009],[18.066818,46.97007],[18.167047,46.997544],[18.168729,46.997173],[18.168393,46.994938],[18.170427,46.995283],[18.176013,46.993808],[18.180549,46.98889],[18.189439,46.989719],[18.205858,46.971941],[18.178424,46.948505],[18.173995,46.946324],[18.18204,46.940264],[18.193765,46.928056],[18.191015,46.925754],[18.203016,46.905278],[18.210357,46.897337],[18.208166,46.895796],[18.213286,46.887454],[18.189287,46.873295],[18.201326,46.870002],[18.206209,46.867362],[18.19755,46.864491],[18.198222,46.856879],[18.203921,46.847779],[18.205161,46.83903],[18.204688,46.834074],[18.200895,46.828338],[18.198794,46.820704],[18.198364,46.813084],[18.201195,46.809299],[18.204669,46.800182],[18.203685,46.79218],[18.210779,46.778241],[18.200027,46.778064],[18.186844,46.770348],[18.182415,46.770314],[18.174619,46.772157],[18.166393,46.767142],[18.166437,46.764477],[18.172129,46.755],[18.17229,46.745103],[18.161217,46.744633],[18.160143,46.7431],[18.156273,46.742691],[18.150614,46.749502],[18.141234,46.747525],[18.143513,46.743353],[18.137991,46.742547],[18.137551,46.736072],[18.132573,46.735648],[18.127063,46.733701],[18.120492,46.729457],[18.11438,46.730548],[18.114992,46.727509],[18.119482,46.723734],[18.13033,46.704403],[18.141324,46.709059],[18.146972,46.702633],[18.13815,46.70066],[18.141031,46.693828],[18.126223,46.694578],[18.132811,46.688809],[18.128409,46.687633],[18.131348,46.677374],[18.127477,46.677343],[18.112653,46.670745],[18.11378,46.669614],[18.110478,46.668446],[18.111062,46.666926],[18.107232,46.664607],[18.110022,46.663105],[18.106727,46.66156],[18.107311,46.66004],[18.105666,46.658885],[18.101816,46.657707],[18.108046,46.649378],[18.089384,46.641611],[18.090537,46.638955],[18.089566,46.631329],[18.086839,46.629403],[18.075296,46.625878],[18.074245,46.622819],[18.070954,46.621266],[18.073297,46.614053],[18.078352,46.609528],[18.087422,46.596656],[18.084819,46.587876],[18.084907,46.582924],[18.079937,46.582882],[18.078852,46.581726],[18.07839,46.576392],[18.073059,46.566063],[18.063288,46.556842],[18.05832,46.556799],[18.050103,46.553677],[18.037816,46.561186],[18.040183,46.552827],[18.039256,46.543298],[18.03706,46.542522],[18.03877,46.539488],[18.032751,46.537147],[18.033506,46.526115],[18.037588,46.514343],[18.038263,46.507494],[18.037773,46.50444],[18.031209,46.501716],[18.040713,46.494567],[18.051051,46.47219],[18.05179,46.462297],[18.057414,46.455869],[18.062574,46.444869],[18.068252,46.437316],[18.068813,46.435024],[18.064411,46.434602],[18.066823,46.423199],[18.049226,46.421905],[18.049878,46.416196],[18.047135,46.415793],[18.044966,46.413871],[18.041021,46.418782],[18.039379,46.41839],[18.039955,46.41687],[18.036743,46.412273],[18.032847,46.414519],[18.031233,46.412224],[18.025753,46.411028],[18.026891,46.409135],[18.02031,46.407935],[18.022031,46.404145],[18.015997,46.402943],[18.014845,46.405598],[18.008264,46.404397],[18.00941,46.40212],[18.003938,46.400167],[18.001736,46.400531],[18.012956,46.389589],[18.011942,46.385005],[18.014172,46.383123],[18.015814,46.3839],[18.014705,46.384274],[18.01908,46.385455],[18.018519,46.386212],[18.031655,46.389759],[18.033943,46.385205],[18.05251,46.392987],[18.054888,46.383488],[18.064478,46.370245],[18.065123,46.365298],[18.082146,46.366586],[18.080635,46.358961],[18.083512,46.351746],[18.083081,46.345271],[18.085923,46.339965],[18.087758,46.329313],[18.075316,46.318162],[18.075507,46.307502],[18.071717,46.304426],[18.06458,46.30398],[18.048305,46.292792],[18.034531,46.294956],[18.031177,46.298353],[18.027871,46.298702],[18.024521,46.301343],[18.017459,46.297467],[18.014714,46.297441],[18.011365,46.300076],[18.007571,46.297376],[18.005291,46.301545],[18.001432,46.302272],[18.001845,46.309131],[17.978259,46.307385],[17.97549,46.308121],[17.960179,46.304547],[17.959117,46.302634],[17.953658,46.301056],[17.94866,46.303673],[17.934195,46.28563],[17.934896,46.278025],[17.937703,46.275381],[17.933986,46.269252],[17.934064,46.265447],[17.932474,46.262381],[17.927643,46.257003],[17.927682,46.2551],[17.931073,46.250566],[17.931167,46.245992],[17.934572,46.240695],[17.931331,46.237998],[17.927633,46.231106],[17.919534,46.224554],[17.914566,46.226029],[17.912338,46.227909],[17.905188,46.228599],[17.902006,46.22323],[17.897671,46.220905],[17.892742,46.22047],[17.888879,46.221577],[17.884413,46.224959],[17.882242,46.22379],[17.87785,46.224129],[17.875769,46.218777],[17.870906,46.215298],[17.860917,46.220524],[17.857112,46.218959],[17.853919,46.214735],[17.850625,46.2147],[17.847289,46.216567],[17.845161,46.213879],[17.845765,46.21122],[17.843025,46.211191],[17.840888,46.208503],[17.837076,46.207322],[17.834872,46.207676],[17.83151,46.211067],[17.824932,46.210618],[17.821604,46.212485],[17.815052,46.210889],[17.814291,46.220401],[17.812605,46.222286],[17.808213,46.222237],[17.802801,46.219134],[17.797258,46.22136],[17.794394,46.226659],[17.784082,46.221969],[17.784777,46.215506],[17.783188,46.213201],[17.778841,46.211249],[17.776225,46.205889],[17.77685,46.202846],[17.769211,46.200857],[17.758234,46.201494],[17.757618,46.204152],[17.749897,46.205966],[17.7356,46.23018],[17.731696,46.2328],[17.728383,46.233524],[17.718131,46.226547],[17.715465,46.223466],[17.716647,46.220052],[17.719913,46.220853],[17.723254,46.21899],[17.727905,46.208376],[17.723109,46.202611],[17.723155,46.200709],[17.720951,46.201061],[17.717197,46.197589],[17.712225,46.199055],[17.709542,46.196736],[17.707891,46.196716],[17.710124,46.195224],[17.702994,46.195139],[17.704224,46.189817],[17.707057,46.186044],[17.704881,46.185634],[17.706006,46.184507],[17.705528,46.181458],[17.700784,46.173783],[17.699143,46.173763],[17.699058,46.17719],[17.696826,46.178688],[17.697989,46.17603],[17.697568,46.171079],[17.695393,46.17029],[17.692207,46.166062],[17.69337,46.16341],[17.692311,46.161873],[17.688543,46.159162],[17.686893,46.159526],[17.686397,46.157233],[17.688161,46.152686],[17.681506,46.133941],[17.682251,46.125954],[17.683995,46.122163],[17.6835,46.119876],[17.68024,46.119074],[17.684806,46.111511],[17.687589,46.109642],[17.665341,46.101752],[17.671536,46.094973],[17.680929,46.091659],[17.676615,46.088941],[17.677796,46.085528],[17.677978,46.078297],[17.675798,46.077885],[17.676998,46.07371],[17.669914,46.072483],[17.670164,46.062587],[17.655446,46.06088],[17.656174,46.053649],[17.631685,46.048775],[17.632849,46.046124],[17.62851,46.044929],[17.62856,46.043026],[17.632455,46.040404],[17.631982,46.037355],[17.63428,46.033193],[17.633895,46.027095],[17.637208,46.025612],[17.63848,46.018772],[17.641288,46.015764],[17.648995,46.013573],[17.65735,46.007584],[17.653034,46.005243],[17.653394,45.991158],[17.625072,45.988137],[17.629977,45.988577],[17.63319,45.96996],[17.642879,45.954083],[17.645022,45.93469],[17.646656,45.934711],[17.647168,45.935858],[17.659697,45.936776],[17.653894,45.950415],[17.659319,45.951623],[17.662771,45.94481],[17.668746,45.94603],[17.669403,45.941464],[17.676984,45.943844],[17.677553,45.943089],[17.685182,45.943566],[17.687462,45.939782],[17.689105,45.939423],[17.682086,45.936289],[17.676091,45.936215],[17.683473,45.924504],[17.694926,45.925021],[17.698763,45.924305],[17.714668,45.920689],[17.724607,45.915854],[17.724232,45.908995],[17.720499,45.905523],[17.730416,45.90145],[17.734324,45.89769],[17.73381,45.896159],[17.729453,45.896108],[17.726261,45.892642],[17.728152,45.882004],[17.731444,45.88128],[17.734772,45.879032],[17.734845,45.875989],[17.731627,45.873664],[17.7273,45.872473],[17.726796,45.870564],[17.731242,45.867189],[17.728025,45.864864],[17.722524,45.867086],[17.722002,45.865933],[17.715978,45.867008],[17.716034,45.864722],[17.709488,45.865022],[17.703409,45.868377],[17.697601,45.860695],[17.693303,45.858356],[17.695278,45.86676],[17.689112,45.873534],[17.685383,45.870068],[17.679938,45.869617],[17.674037,45.866117],[17.670195,45.866832],[17.668823,45.856532],[17.666699,45.854219],[17.668388,45.852337],[17.666274,45.849645],[17.659209,45.848795],[17.655367,45.849894],[17.652135,45.848329],[17.64868,45.855865],[17.647785,45.866612],[17.627621,45.897945],[17.614683,45.909699],[17.601137,45.915938],[17.578693,45.931865],[17.565274,45.937332],[17.531813,45.93403],[17.513817,45.939562],[17.507435,45.93968],[17.498678,45.9414],[17.477444,45.942132],[17.462478,45.945317],[17.451992,45.949068],[17.445676,45.95034],[17.437825,45.950382],[17.433056,45.949549],[17.428164,45.94691],[17.427214,45.943921],[17.427186,45.942132],[17.434109,45.936774],[17.437254,45.931156],[17.435147,45.928676],[17.425832,45.927432],[17.411981,45.930387],[17.409534,45.933017],[17.411925,45.936652],[17.410806,45.939966],[17.395508,45.930271],[17.392149,45.930215],[17.388757,45.931867],[17.384917,45.937405],[17.387918,45.9417],[17.386664,45.945908],[17.382871,45.947573],[17.373043,45.947195],[17.364287,45.942137],[17.351517,45.941257],[17.347621,45.942341],[17.343366,45.945196],[17.339513,45.955336],[17.342346,45.955218],[17.341555,45.957167],[17.343877,45.960533],[17.34866,45.960632],[17.35059,45.958592],[17.349567,45.954234],[17.351225,45.952702],[17.353771,45.952501],[17.356233,45.953893],[17.356746,45.956382],[17.359813,45.958488],[17.362989,45.959143],[17.372942,45.956401],[17.3853,45.955903],[17.390538,45.958192],[17.391424,45.963004],[17.387423,45.966182],[17.385417,45.966244],[17.378185,45.961594],[17.37503,45.960896],[17.363416,45.960835],[17.358354,45.964274],[17.360135,45.968246],[17.363212,45.969591],[17.373263,45.967771],[17.375485,45.968692],[17.376039,45.970004],[17.374583,45.971301],[17.367659,45.973047],[17.366419,45.975075],[17.367678,45.977308],[17.374402,45.981934],[17.37519,45.988105],[17.372431,45.991182],[17.366875,45.992322],[17.363568,45.991544],[17.361791,45.988818],[17.360881,45.976333],[17.35672,45.973584],[17.352563,45.974417],[17.34884,45.976897],[17.342734,45.98421],[17.340939,45.993727],[17.338221,45.995755],[17.333958,45.996078],[17.329936,45.994442],[17.327489,45.992046],[17.327454,45.988995],[17.336812,45.983128],[17.336726,45.980442],[17.331985,45.972895],[17.329192,45.969771],[17.322626,45.967248],[17.319267,45.967669],[17.312997,45.966535],[17.308132,45.969723],[17.308495,45.97177],[17.317029,45.976051],[17.31804,45.978016],[17.31671,45.979666],[17.322609,45.982822],[17.324466,45.985566],[17.323647,45.988778],[17.319936,45.991205],[17.316061,45.991595],[17.31197,45.989783],[17.307989,45.982225],[17.298765,45.983865],[17.294945,45.986637],[17.293814,45.990057],[17.295406,45.992416],[17.30417,45.996335],[17.306239,46.000095],[17.3042,46.002113],[17.300795,46.003699],[17.298193,46.003626],[17.286322,46.000166],[17.272406,46.004736],[17.267471,46.008646],[17.257973,46.011026],[17.260072,46.014157],[17.271155,46.017191],[17.272279,46.020929],[17.274041,46.020313],[17.293536,46.023272],[17.29632,46.028517],[17.29444,46.030993],[17.291579,46.03195],[17.280798,46.031008],[17.269031,46.033386],[17.254152,46.030005],[17.253918,46.031042],[17.259801,46.03231],[17.256863,46.045956],[17.260613,46.04617],[17.26264,46.048366],[17.271233,46.052885],[17.272092,46.054122],[17.270955,46.056706],[17.269676,46.057516],[17.264978,46.056686],[17.251576,46.058881],[17.239038,46.057477],[17.232477,46.059203],[17.229196,46.06122],[17.228366,46.063483],[17.232484,46.066155],[17.235318,46.065694],[17.237648,46.06311],[17.245043,46.061336],[17.24838,46.061876],[17.252515,46.066472],[17.245801,46.064365],[17.241287,46.065295],[17.239514,46.066933],[17.238573,46.071305],[17.238702,46.077328],[17.230899,46.080494],[17.221317,46.081303],[17.21498,46.079694],[17.207344,46.076187],[17.204632,46.07607],[17.201589,46.077432],[17.200944,46.079839],[17.203081,46.08212],[17.206244,46.083198],[17.213958,46.081867],[17.219105,46.082697],[17.21818,46.086689],[17.223353,46.094257],[17.228355,46.094944],[17.233025,46.096649],[17.233425,46.097931],[17.230119,46.099731],[17.222595,46.09849],[17.220361,46.099044],[17.219274,46.097682],[17.21603,46.099032],[17.212579,46.098418],[17.209485,46.099318],[17.218412,46.109079],[17.218325,46.111012],[17.216171,46.113036],[17.212973,46.113855],[17.210819,46.11265],[17.209817,46.10742],[17.206091,46.110759],[17.200816,46.11142],[17.195572,46.111147],[17.185936,46.106579],[17.181217,46.106267],[17.175927,46.108458],[17.174954,46.11265],[17.178957,46.113961],[17.182183,46.119049],[17.180559,46.122066],[17.176567,46.122942],[17.174342,46.128761],[17.175176,46.12957],[17.178402,46.128915],[17.185741,46.131998],[17.18652,46.133231],[17.181404,46.136853],[17.179958,46.139434],[17.181724,46.140908],[17.179291,46.144173],[17.177637,46.144606],[17.178249,46.147515],[17.180473,46.148478],[17.181098,46.150549],[17.168748,46.156728],[17.163673,46.155059],[17.161421,46.155263],[17.159909,46.157358],[17.156231,46.158582],[17.157862,46.161271],[17.156227,46.16172],[17.157418,46.162658],[17.156528,46.163828],[17.159375,46.164537],[17.158085,46.167279],[17.160086,46.168141],[17.159286,46.169682],[17.156084,46.170029],[17.153325,46.171653],[17.144606,46.170791],[17.139891,46.172947],[17.136777,46.171592],[17.133708,46.168234],[17.128681,46.169189],[17.126101,46.168449],[17.124011,46.170606],[17.123299,46.173902],[17.124811,46.176982],[17.122741,46.178979],[17.117649,46.179847],[17.113601,46.176674],[17.111422,46.17652],[17.103504,46.182496],[17.102214,46.185883],[17.089981,46.189609],[17.085485,46.188114],[17.085463,46.186222],[17.082997,46.185976],[17.079616,46.1889],[17.075248,46.188953],[17.065822,46.197331],[17.066294,46.2021],[17.057826,46.201828],[17.053027,46.202725],[17.006004,46.222803],[17.003702,46.22164],[16.999463,46.222923],[16.995925,46.220226],[16.993255,46.22124],[16.990004,46.224833],[16.987672,46.224847],[16.983734,46.222043],[16.980559,46.224709],[16.978238,46.223513],[16.97309,46.224785],[16.973658,46.227276],[16.972198,46.231034],[16.973203,46.231687],[16.971188,46.234284],[16.973999,46.234692],[16.973558,46.236397],[16.975413,46.239755],[16.973213,46.242706],[16.969542,46.242591],[16.966466,46.239974],[16.960649,46.239891],[16.957105,46.241332],[16.954816,46.239177],[16.950976,46.240768],[16.944529,46.246407],[16.937585,46.249939],[16.935594,46.25442],[16.933856,46.254164],[16.931225,46.257055],[16.926146,46.259773],[16.913794,46.26188],[16.908134,46.266357],[16.902615,46.274517],[16.886056,46.280973],[16.885169,46.283081],[16.88754,46.290246],[16.887156,46.295398],[16.885152,46.301173],[16.882232,46.301977],[16.878657,46.304732],[16.875248,46.313252]]]]}</t>
  </si>
  <si>
    <t>{"type":"MultiPolygon","coordinates":[[[[21.078759,48.002078],[21.079463,48.005493],[21.082459,48.00963],[21.091862,48.01044],[21.09131,48.018233],[21.095429,48.021972],[21.104578,48.023714],[21.108518,48.022882],[21.110819,48.023604],[21.110954,48.027029],[21.113968,48.031543],[21.125654,48.040093],[21.128483,48.039664],[21.131116,48.041821],[21.127901,48.045777],[21.13141,48.048263],[21.132853,48.045608],[21.13538,48.04431],[21.141221,48.045567],[21.149964,48.039809],[21.152026,48.039779],[21.158234,48.044286],[21.162827,48.044102],[21.169584,48.041933],[21.172025,48.039787],[21.167682,48.033896],[21.16997,48.02673],[21.179138,48.028844],[21.193367,48.029729],[21.207329,48.024141],[21.212975,48.023273],[21.218643,48.023168],[21.229043,48.027541],[21.230274,48.029806],[21.226914,48.031009],[21.221998,48.035669],[21.223871,48.039824],[21.235506,48.046461],[21.240273,48.051702],[21.251196,48.054924],[21.258801,48.06011],[21.260469,48.059322],[21.258544,48.054022],[21.259343,48.046011],[21.261445,48.042165],[21.265843,48.038654],[21.272552,48.036239],[21.27993,48.036098],[21.285501,48.033704],[21.29479,48.038477],[21.295877,48.037316],[21.29283,48.032422],[21.293246,48.028986],[21.296637,48.028543],[21.311554,48.03206],[21.316651,48.03196],[21.323332,48.028787],[21.326465,48.022632],[21.329838,48.021804],[21.336658,48.022048],[21.342981,48.023826],[21.348833,48.027901],[21.349623,48.032838],[21.352507,48.033922],[21.362119,48.032187],[21.368878,48.032693],[21.375444,48.026232],[21.379935,48.024995],[21.381155,48.02688],[21.376782,48.030773],[21.375236,48.034232],[21.384909,48.034801],[21.396103,48.031148],[21.40289,48.030632],[21.412103,48.033489],[21.415613,48.035705],[21.415664,48.036845],[21.408015,48.043478],[21.407683,48.048815],[21.408921,48.051071],[21.412415,48.052909],[21.416318,48.051305],[21.420031,48.045515],[21.424427,48.042381],[21.42897,48.042289],[21.43243,48.043359],[21.435984,48.046714],[21.437259,48.049731],[21.435976,48.0589],[21.437546,48.068389],[21.440313,48.066807],[21.444901,48.06786],[21.450723,48.070783],[21.462113,48.07131],[21.461064,48.073235],[21.456007,48.074487],[21.453363,48.078725],[21.450569,48.07993],[21.445476,48.080413],[21.441416,48.078593],[21.437998,48.078285],[21.436323,48.079076],[21.430979,48.086425],[21.431629,48.088315],[21.43392,48.088646],[21.442883,48.085797],[21.446857,48.085715],[21.449729,48.086418],[21.451023,48.089819],[21.447224,48.09371],[21.426117,48.104419],[21.420638,48.109105],[21.415835,48.116059],[21.413818,48.121808],[21.426703,48.129926],[21.430324,48.134421],[21.424756,48.137199],[21.424877,48.139862],[21.429029,48.14359],[21.425552,48.154706],[21.426212,48.156596],[21.424057,48.159305],[21.428036,48.159224],[21.432242,48.16409],[21.435066,48.163648],[21.437412,48.165125],[21.438725,48.168904],[21.441107,48.171142],[21.439464,48.172701],[21.443681,48.177567],[21.45233,48.180054],[21.45459,48.179623],[21.455102,48.178472],[21.457379,48.178425],[21.457344,48.177664],[21.460186,48.177605],[21.4628,48.172598],[21.461548,48.169959],[21.47107,48.166718],[21.473965,48.167799],[21.473824,48.176944],[21.479121,48.18064],[21.488257,48.181212],[21.501215,48.178275],[21.501547,48.173315],[21.505492,48.17247],[21.507294,48.174335],[21.505178,48.177807],[21.51773,48.178305],[21.52519,48.179672],[21.516269,48.183667],[21.516341,48.18519],[21.52495,48.186532],[21.533677,48.190537],[21.534342,48.192426],[21.532605,48.194886],[21.535278,48.197517],[21.541941,48.196454],[21.547098,48.197106],[21.549832,48.19476],[21.550488,48.196649],[21.549404,48.197819],[21.553404,48.198112],[21.555246,48.200737],[21.558052,48.199915],[21.564368,48.200926],[21.570018,48.200041],[21.571194,48.200778],[21.571415,48.205342],[21.573785,48.207194],[21.576082,48.207522],[21.574424,48.208705],[21.577897,48.20977],[21.581251,48.208557],[21.584122,48.208873],[21.591236,48.203009],[21.602358,48.197429],[21.627795,48.193443],[21.644354,48.194223],[21.680094,48.191519],[21.689944,48.194725],[21.710934,48.193102],[21.711031,48.195002],[21.714622,48.198349],[21.717817,48.194091],[21.721175,48.192868],[21.718664,48.188356],[21.721409,48.186391],[21.7272,48.188161],[21.731436,48.193017],[21.72798,48.192334],[21.723531,48.194339],[21.722129,48.200464],[21.724018,48.203849],[21.729607,48.201818],[21.733355,48.197163],[21.740989,48.201556],[21.754233,48.204294],[21.754679,48.202002],[21.752273,48.199392],[21.753037,48.192134],[21.754701,48.191333],[21.762842,48.194572],[21.772509,48.194347],[21.767042,48.198665],[21.767695,48.200175],[21.772282,48.20083],[21.772906,48.201956],[21.77146,48.206943],[21.779801,48.202936],[21.783783,48.202843],[21.78644,48.210021],[21.79731,48.210907],[21.799749,48.213899],[21.797296,48.221569],[21.80139,48.223382],[21.815228,48.226484],[21.81098,48.232293],[21.811182,48.236101],[21.813048,48.239101],[21.816529,48.240165],[21.821219,48.232051],[21.823499,48.231997],[21.825517,48.237664],[21.822865,48.241534],[21.827567,48.244088],[21.829867,48.244417],[21.832953,48.23825],[21.836877,48.23701],[21.839609,48.234663],[21.833101,48.23025],[21.841843,48.223185],[21.843568,48.223522],[21.843649,48.225045],[21.839889,48.229325],[21.850743,48.229828],[21.850155,48.24012],[21.864266,48.2375],[21.874557,48.238014],[21.886173,48.241917],[21.895553,48.246642],[21.897833,48.246587],[21.8973,48.247362],[21.900155,48.247292],[21.900658,48.246139],[21.904581,48.244897],[21.911736,48.240153],[21.916286,48.240041],[21.916223,48.238902],[21.92025,48.239566],[21.923251,48.242158],[21.924705,48.247832],[21.927123,48.250444],[21.931852,48.253371],[21.942817,48.255766],[21.940055,48.25736],[21.938007,48.261601],[21.938645,48.262726],[21.940916,48.26267],[21.945309,48.259517],[21.947141,48.261753],[21.951851,48.264302],[21.962275,48.267093],[21.964908,48.273499],[21.974301,48.278218],[21.977937,48.281933],[21.98183,48.290217],[21.988349,48.294623],[22.002247,48.298085],[22.002964,48.300733],[22.01055,48.303585],[22.010265,48.308546],[22.014428,48.31149],[22.026464,48.312325],[22.023573,48.301736],[22.031073,48.303064],[22.038151,48.307074],[22.044489,48.308059],[22.047271,48.306841],[22.054746,48.297889],[22.062114,48.296937],[22.065603,48.297994],[22.068694,48.302099],[22.064636,48.31097],[22.065321,48.312855],[22.080494,48.308651],[22.086325,48.310787],[22.086569,48.314972],[22.08372,48.324946],[22.084429,48.327216],[22.088665,48.331297],[22.095551,48.33188],[22.098842,48.329507],[22.095105,48.324272],[22.099627,48.323392],[22.102521,48.324079],[22.104363,48.326319],[22.102356,48.33094],[22.100162,48.332523],[22.095095,48.333795],[22.106906,48.340344],[22.11151,48.340986],[22.110457,48.342533],[22.103026,48.342349],[22.104727,48.346206],[22.112623,48.350095],[22.117802,48.350722],[22.122272,48.34908],[22.125235,48.350912],[22.124273,48.353981],[22.119362,48.357923],[22.108114,48.360883],[22.108203,48.362399],[22.1179,48.362145],[22.121826,48.360902],[22.125096,48.35815],[22.127426,48.358852],[22.128896,48.364523],[22.121507,48.365101],[22.117737,48.369006],[22.122183,48.379374],[22.126149,48.380848],[22.135222,48.380465],[22.136426,48.381117],[22.136125,48.384063],[22.13082,48.389703],[22.131056,48.391233],[22.135349,48.392861],[22.146506,48.39393],[22.152768,48.396241],[22.155294,48.399341],[22.155559,48.408127],[22.158248,48.410516],[22.168814,48.413476],[22.18294,48.414501],[22.188679,48.416661],[22.201524,48.424296],[22.207395,48.425715],[22.215718,48.424459],[22.226892,48.414195],[22.237141,48.41004],[22.259498,48.411118],[22.26533,48.409803],[22.264658,48.404177],[22.256948,48.393559],[22.254384,48.391699],[22.243311,48.389576],[22.239876,48.387006],[22.24119,48.385448],[22.249514,48.382337],[22.253614,48.378877],[22.256833,48.373185],[22.267572,48.361161],[22.294371,48.356732],[22.297935,48.354771],[22.317811,48.354544],[22.319924,48.349716],[22.317261,48.345034],[22.320323,48.338744],[22.315209,48.328455],[22.312672,48.327346],[22.313286,48.325071],[22.319644,48.322079],[22.318612,48.319773],[22.319602,48.31852],[22.318402,48.317668],[22.321072,48.316064],[22.321143,48.314346],[22.323284,48.314103],[22.324199,48.312969],[22.328906,48.31254],[22.329089,48.310602],[22.337295,48.307911],[22.33793,48.301426],[22.340273,48.295633],[22.336881,48.290347],[22.340925,48.282646],[22.338427,48.279207],[22.349457,48.271323],[22.351075,48.272144],[22.360307,48.265397],[22.365887,48.256161],[22.366973,48.251578],[22.370884,48.246484],[22.36911,48.245103],[22.384755,48.233963],[22.386276,48.237961],[22.394642,48.241191],[22.396325,48.245562],[22.400641,48.249198],[22.419648,48.250576],[22.419843,48.248792],[22.432946,48.246615],[22.42992,48.250994],[22.432839,48.252517],[22.436298,48.250333],[22.440399,48.250212],[22.447296,48.243623],[22.45544,48.243822],[22.456386,48.242311],[22.46203,48.24465],[22.46609,48.244512],[22.469716,48.247337],[22.46998,48.249916],[22.471199,48.247864],[22.480559,48.249689],[22.487982,48.253461],[22.489873,48.253442],[22.50145,48.249209],[22.498875,48.246694],[22.503492,48.245231],[22.49722,48.239555],[22.516149,48.237965],[22.516287,48.233515],[22.512995,48.229686],[22.513614,48.225856],[22.523786,48.218384],[22.523965,48.216513],[22.529848,48.212445],[22.531109,48.209428],[22.536635,48.210558],[22.54389,48.208412],[22.557583,48.198317],[22.571144,48.196143],[22.571844,48.190462],[22.568247,48.184364],[22.562081,48.18469],[22.561636,48.181607],[22.566053,48.179177],[22.564839,48.177223],[22.566449,48.176448],[22.567292,48.172981],[22.571978,48.167199],[22.575242,48.159248],[22.578522,48.158088],[22.583449,48.159037],[22.586209,48.154018],[22.589423,48.151009],[22.592215,48.151853],[22.598245,48.144756],[22.596722,48.143479],[22.591915,48.143251],[22.589169,48.141876],[22.588139,48.139585],[22.59552,48.135016],[22.594983,48.133126],[22.592819,48.132182],[22.592618,48.123156],[22.600111,48.116795],[22.592602,48.113116],[22.590276,48.107341],[22.595094,48.107652],[22.602968,48.103821],[22.609476,48.103346],[22.613566,48.103611],[22.619706,48.105618],[22.619653,48.103892],[22.623367,48.104285],[22.625127,48.103458],[22.635144,48.095912],[22.652005,48.095089],[22.657465,48.095732],[22.665079,48.092502],[22.675449,48.091997],[22.67925,48.093534],[22.687347,48.099621],[22.699629,48.104831],[22.706655,48.11049],[22.715799,48.111634],[22.720721,48.115374],[22.730033,48.114972],[22.734719,48.119848],[22.744297,48.117653],[22.75221,48.120494],[22.757624,48.12006],[22.76238,48.111715],[22.764864,48.109998],[22.770392,48.109016],[22.776462,48.110757],[22.777967,48.112577],[22.770635,48.117479],[22.77025,48.120294],[22.772319,48.121874],[22.778366,48.121581],[22.786097,48.117861],[22.79165,48.116906],[22.795081,48.118718],[22.79792,48.121969],[22.80279,48.121935],[22.805995,48.120682],[22.806785,48.118762],[22.801623,48.110434],[22.801936,48.107392],[22.805076,48.106174],[22.809998,48.107525],[22.810819,48.112414],[22.815055,48.117978],[22.819966,48.118704],[22.824522,48.1173],[22.828286,48.114339],[22.831512,48.109449],[22.831666,48.10609],[22.827951,48.10094],[22.827916,48.096394],[22.830442,48.093679],[22.834369,48.093468],[22.833528,48.089237],[22.834558,48.087248],[22.836668,48.085544],[22.83927,48.085218],[22.836303,48.083353],[22.836448,48.080381],[22.840043,48.079353],[22.844297,48.083174],[22.848396,48.083221],[22.850728,48.080154],[22.856652,48.07812],[22.85816,48.075152],[22.861186,48.07429],[22.859595,48.072284],[22.861687,48.070609],[22.85866,48.06864],[22.861628,48.067914],[22.859744,48.065531],[22.862485,48.064371],[22.863455,48.061944],[22.863254,48.060609],[22.861352,48.059777],[22.864968,48.059226],[22.861083,48.057553],[22.869626,48.051383],[22.873506,48.051746],[22.871927,48.052878],[22.873737,48.056105],[22.874941,48.05477],[22.881391,48.054869],[22.881917,48.05395],[22.880644,48.036304],[22.872894,48.026457],[22.872833,48.0248],[22.865461,48.021902],[22.865566,48.012029],[22.858063,48.009206],[22.850857,48.002778],[22.847526,48.002519],[22.844453,47.997925],[22.836339,47.990881],[22.83957,47.988404],[22.842491,47.988021],[22.841899,47.986186],[22.844066,47.984717],[22.840814,47.983146],[22.840174,47.981598],[22.841038,47.980973],[22.845759,47.982491],[22.849848,47.981573],[22.851505,47.982096],[22.852812,47.980224],[22.855346,47.980634],[22.85574,47.978968],[22.860216,47.97946],[22.858779,47.976489],[22.861797,47.978154],[22.863294,47.977808],[22.861815,47.973749],[22.863437,47.975167],[22.867697,47.974326],[22.866401,47.976349],[22.867345,47.977184],[22.869534,47.976652],[22.870392,47.975178],[22.872818,47.974915],[22.873522,47.973559],[22.871297,47.972109],[22.872594,47.970007],[22.867782,47.968306],[22.869626,47.965933],[22.872555,47.968614],[22.873869,47.968268],[22.874025,47.96605],[22.877641,47.968368],[22.878859,47.966693],[22.877506,47.964524],[22.879564,47.963494],[22.885472,47.966787],[22.886917,47.965524],[22.892897,47.967097],[22.893555,47.96328],[22.889712,47.96139],[22.892712,47.961482],[22.891528,47.957475],[22.896616,47.956882],[22.89489,47.954626],[22.89671,47.954912],[22.897709,47.95404],[22.895871,47.953959],[22.896641,47.95284],[22.894906,47.951916],[22.890856,47.953331],[22.886451,47.951388],[22.884724,47.944289],[22.879529,47.943266],[22.872785,47.936355],[22.872783,47.932334],[22.866643,47.928489],[22.86627,47.924468],[22.857159,47.919674],[22.856877,47.916335],[22.84733,47.907758],[22.839424,47.907387],[22.832184,47.908723],[22.825908,47.907529],[22.821433,47.904213],[22.818214,47.90374],[22.814622,47.900401],[22.806182,47.898209],[22.804863,47.896743],[22.79531,47.89307],[22.792813,47.890859],[22.783135,47.893576],[22.770122,47.892737],[22.766623,47.894594],[22.764145,47.892972],[22.760362,47.894858],[22.758051,47.89341],[22.756376,47.890235],[22.759261,47.887994],[22.758749,47.885677],[22.768666,47.877926],[22.762296,47.867138],[22.762791,47.865107],[22.765571,47.864071],[22.773498,47.863705],[22.772522,47.859256],[22.775541,47.858635],[22.775642,47.854675],[22.778218,47.84996],[22.77775,47.842251],[22.766436,47.841893],[22.755515,47.834194],[22.742084,47.834643],[22.73855,47.836447],[22.729901,47.835494],[22.728295,47.837051],[22.724156,47.838267],[22.718768,47.837902],[22.713635,47.836093],[22.710862,47.833892],[22.70961,47.823822],[22.704367,47.823255],[22.7041,47.820144],[22.701908,47.820257],[22.699254,47.817437],[22.701056,47.815582],[22.687441,47.795065],[22.680194,47.787753],[22.67206,47.788041],[22.666338,47.787],[22.66231,47.782625],[22.647014,47.778959],[22.642528,47.778944],[22.635884,47.780996],[22.625403,47.776241],[22.615577,47.777335],[22.611117,47.771746],[22.549002,47.772225],[22.539834,47.78187],[22.487942,47.806025],[22.481212,47.810889],[22.466924,47.80499],[22.451308,47.803389],[22.444834,47.79855],[22.440766,47.791935],[22.432548,47.762061],[22.427312,47.754689],[22.425755,47.75011],[22.427995,47.749591],[22.427123,47.746948],[22.42986,47.745239],[22.430409,47.740909],[22.411416,47.742387],[22.410327,47.746639],[22.396346,47.747731],[22.386607,47.745268],[22.378925,47.747037],[22.37429,47.74674],[22.356719,47.749057],[22.346653,47.752753],[22.345376,47.754987],[22.340848,47.75712],[22.331667,47.764412],[22.324683,47.76668],[22.317772,47.766089],[22.321032,47.754118],[22.317624,47.743366],[22.306394,47.741209],[22.302765,47.73658],[22.298886,47.736881],[22.285137,47.729276],[22.264325,47.731068],[22.259141,47.717177],[22.262181,47.717018],[22.258995,47.697906],[22.25641,47.697925],[22.254216,47.694969],[22.240987,47.695311],[22.23068,47.693196],[22.226193,47.687993],[22.222859,47.682744],[22.225146,47.68082],[22.222448,47.673199],[22.223152,47.668734],[22.220216,47.663888],[22.221845,47.662086],[22.211809,47.65408],[22.203356,47.654853],[22.199173,47.636278],[22.194971,47.631279],[22.18982,47.611626],[22.188184,47.609216],[22.182938,47.606329],[22.180551,47.599235],[22.178466,47.599286],[22.17664,47.594376],[22.17044,47.591636],[22.146032,47.594616],[22.139448,47.59805],[22.128164,47.598019],[22.125955,47.599219],[22.124977,47.601919],[22.118353,47.603988],[22.117298,47.605543],[22.119067,47.607031],[22.118768,47.611227],[22.110319,47.621373],[22.108438,47.627505],[22.104142,47.631037],[22.107273,47.636295],[22.101773,47.649031],[22.104573,47.658077],[22.097919,47.660924],[22.083485,47.664754],[22.078062,47.668291],[22.07546,47.671808],[22.065219,47.670186],[22.06182,47.659985],[22.055179,47.652562],[22.054466,47.6495],[22.048475,47.642803],[22.044661,47.636041],[22.038201,47.63163],[22.031909,47.629888],[22.027286,47.627356],[22.025421,47.624716],[22.026882,47.620865],[22.021794,47.620242],[22.018205,47.626778],[22.019522,47.629453],[22.014434,47.630333],[22.00904,47.633487],[22.005226,47.637083],[22.003281,47.641626],[22.003127,47.649309],[22.011328,47.664669],[22.008458,47.663644],[22.006243,47.664457],[22.005247,47.666762],[21.999591,47.666937],[21.995344,47.671222],[21.993343,47.67582],[21.990509,47.675139],[21.980961,47.675761],[21.979948,47.678497],[21.980127,47.681525],[21.982493,47.684133],[21.981928,47.693653],[21.983869,47.697784],[21.986162,47.698845],[21.987015,47.704215],[21.97527,47.706384],[21.965715,47.706642],[21.964136,47.7082],[21.96019,47.709054],[21.957641,47.713698],[21.954287,47.714559],[21.952678,47.716088],[21.948724,47.715817],[21.94888,47.718492],[21.946821,47.721968],[21.941757,47.722865],[21.938003,47.726364],[21.935151,47.725305],[21.931962,47.729561],[21.926318,47.728952],[21.924274,47.733205],[21.908767,47.728252],[21.907682,47.729414],[21.898035,47.728522],[21.887748,47.726101],[21.885886,47.723104],[21.886902,47.710486],[21.883395,47.697282],[21.874688,47.693287],[21.872836,47.689901],[21.870464,47.688426],[21.867655,47.688119],[21.863582,47.685557],[21.858465,47.684913],[21.855914,47.679634],[21.855699,47.675449],[21.850605,47.675199],[21.84127,47.669683],[21.836182,47.66906],[21.830542,47.669201],[21.824499,47.672394],[21.808804,47.674297],[21.802597,47.674058],[21.795907,47.685262],[21.776233,47.687634],[21.773969,47.686922],[21.763796,47.687167],[21.767938,47.690891],[21.770539,47.697294],[21.771498,47.705271],[21.769244,47.705331],[21.766516,47.706912],[21.750075,47.705383],[21.728805,47.708937],[21.722567,47.708334],[21.719105,47.706877],[21.713016,47.719547],[21.709757,47.722328],[21.707197,47.728109],[21.703983,47.731604],[21.700127,47.733227],[21.688675,47.730801],[21.680209,47.730624],[21.679473,47.726445],[21.67776,47.726109],[21.667032,47.725969],[21.661438,47.727621],[21.651239,47.727091],[21.64854,47.728288],[21.636099,47.729344],[21.626869,47.736754],[21.628207,47.740948],[21.626808,47.746673],[21.615751,47.751169],[21.616462,47.75451],[21.595788,47.771767],[21.578149,47.778617],[21.574135,47.779112],[21.541329,47.790465],[21.544546,47.798088],[21.544702,47.825747],[21.552165,47.851517],[21.551782,47.854973],[21.553744,47.86028],[21.554004,47.866367],[21.555831,47.868993],[21.556119,47.875095],[21.565829,47.888583],[21.562393,47.888277],[21.55455,47.889584],[21.556,47.89643],[21.553615,47.905956],[21.557575,47.917328],[21.565533,47.929723],[21.523551,47.940519],[21.516221,47.941444],[21.511332,47.933931],[21.508521,47.934752],[21.499434,47.93418],[21.49675,47.925477],[21.472394,47.925618],[21.461191,47.92776],[21.436265,47.927501],[21.431179,47.928745],[21.42977,47.922699],[21.418437,47.922533],[21.413827,47.920729],[21.40482,47.921284],[21.394542,47.919973],[21.380992,47.921005],[21.370658,47.91817],[21.358808,47.919173],[21.356089,47.921501],[21.340183,47.921443],[21.320399,47.919929],[21.304288,47.916033],[21.304164,47.913005],[21.297803,47.910401],[21.270947,47.904878],[21.26163,47.911878],[21.263042,47.918756],[21.261439,47.921448],[21.261589,47.924464],[21.253224,47.927688],[21.240296,47.930587],[21.233683,47.934908],[21.231654,47.94069],[21.221661,47.943892],[21.194385,47.95773],[21.190407,47.957035],[21.183597,47.957558],[21.175362,47.963041],[21.151596,47.964971],[21.151492,47.961973],[21.146025,47.953267],[21.134499,47.96149],[21.12751,47.957413],[21.109116,47.971844],[21.106785,47.970577],[21.101939,47.971105],[21.106107,47.976086],[21.104618,47.981443],[21.085993,47.996888],[21.086014,47.998908],[21.083299,48.001998],[21.078759,48.002078]]]]}</t>
  </si>
  <si>
    <t>{"type":"MultiPolygon","coordinates":[[[[18.001736,46.400531],[18.003938,46.400167],[18.00941,46.40212],[18.008264,46.404397],[18.014845,46.405598],[18.015997,46.402943],[18.022031,46.404145],[18.02031,46.407935],[18.026891,46.409135],[18.025753,46.411028],[18.031233,46.412224],[18.032847,46.414519],[18.036743,46.412273],[18.039955,46.41687],[18.039379,46.41839],[18.041021,46.418782],[18.044966,46.413871],[18.047135,46.415793],[18.049878,46.416196],[18.049226,46.421905],[18.066823,46.423199],[18.064411,46.434602],[18.068813,46.435024],[18.068252,46.437316],[18.062574,46.444869],[18.057414,46.455869],[18.05179,46.462297],[18.051051,46.47219],[18.040713,46.494567],[18.031209,46.501716],[18.037773,46.50444],[18.038263,46.507494],[18.037588,46.514343],[18.033506,46.526115],[18.032751,46.537147],[18.03877,46.539488],[18.03706,46.542522],[18.039256,46.543298],[18.040183,46.552827],[18.037816,46.561186],[18.050103,46.553677],[18.05832,46.556799],[18.063288,46.556842],[18.071981,46.564535],[18.07839,46.576392],[18.078852,46.581726],[18.079937,46.582882],[18.084907,46.582924],[18.084819,46.587876],[18.087422,46.596656],[18.078352,46.609528],[18.073297,46.614053],[18.070954,46.621266],[18.074245,46.622819],[18.075296,46.625878],[18.086839,46.629403],[18.089566,46.631329],[18.090537,46.638955],[18.089384,46.641611],[18.108046,46.649378],[18.101816,46.657707],[18.105666,46.658885],[18.107311,46.66004],[18.106727,46.66156],[18.110022,46.663105],[18.107232,46.664607],[18.111062,46.666926],[18.110478,46.668446],[18.11378,46.669614],[18.112653,46.670745],[18.127477,46.677343],[18.131348,46.677374],[18.128409,46.687633],[18.132811,46.688809],[18.126223,46.694578],[18.141031,46.693828],[18.13815,46.70066],[18.146972,46.702633],[18.141324,46.709059],[18.13033,46.704403],[18.119482,46.723734],[18.114992,46.727509],[18.11438,46.730548],[18.120492,46.729457],[18.127063,46.733701],[18.132573,46.735648],[18.137551,46.736072],[18.137991,46.742547],[18.143513,46.743353],[18.141234,46.747525],[18.150614,46.749502],[18.156273,46.742691],[18.160143,46.7431],[18.161217,46.744633],[18.17229,46.745103],[18.172129,46.755],[18.166437,46.764477],[18.166393,46.767142],[18.174619,46.772157],[18.182415,46.770314],[18.186844,46.770348],[18.200027,46.778064],[18.208341,46.777741],[18.221561,46.780891],[18.229378,46.779794],[18.231578,46.78134],[18.23214,46.780201],[18.239872,46.782534],[18.252019,46.784537],[18.252503,46.789095],[18.256389,46.788375],[18.260813,46.790701],[18.264644,46.793772],[18.263515,46.795648],[18.265136,46.797947],[18.282755,46.808365],[18.301488,46.815723],[18.303523,46.817423],[18.308337,46.815342],[18.310291,46.813247],[18.308835,46.805086],[18.309343,46.798269],[18.320055,46.790566],[18.3244,46.789057],[18.338407,46.787009],[18.346823,46.784392],[18.365235,46.7746],[18.371304,46.776923],[18.367392,46.779565],[18.370701,46.781109],[18.369582,46.781865],[18.372327,46.783784],[18.371763,46.784921],[18.373399,46.786834],[18.382216,46.791075],[18.38673,46.785009],[18.385658,46.781959],[18.387863,46.78235],[18.388936,46.785406],[18.395594,46.785444],[18.397309,46.78088],[18.395695,46.777065],[18.396888,46.770217],[18.40354,46.769877],[18.408124,46.803793],[18.409256,46.803421],[18.417045,46.797759],[18.422148,46.789391],[18.419977,46.787121],[18.418391,46.779866],[18.422326,46.776065],[18.426834,46.768098],[18.423561,46.76389],[18.42306,46.759699],[18.419258,46.752466],[18.434206,46.748722],[18.447611,46.743077],[18.46927,46.73862],[18.466802,46.740747],[18.46481,46.740884],[18.465903,46.742408],[18.469221,46.743187],[18.470296,46.74548],[18.478621,46.748373],[18.483558,46.748974],[18.487406,46.74533],[18.490128,46.744577],[18.500213,46.747133],[18.500597,46.747975],[18.501762,46.746371],[18.50308,46.747243],[18.50333,46.74501],[18.505195,46.745651],[18.505175,46.747554],[18.507974,46.744524],[18.512986,46.745702],[18.51066,46.753317],[18.505051,46.760136],[18.503916,46.763934],[18.518272,46.767797],[18.532589,46.776234],[18.540929,46.779719],[18.553104,46.78244],[18.556895,46.784722],[18.56593,46.769547],[18.568726,46.767631],[18.57269,46.759288],[18.58262,46.756286],[18.585455,46.756673],[18.599916,46.747584],[18.601573,46.747589],[18.601568,46.746446],[18.604339,46.746082],[18.605459,46.747217],[18.608218,46.746087],[18.611535,46.748008],[18.61598,46.746874],[18.615463,46.745381],[18.617635,46.744982],[18.618779,46.741564],[18.614373,46.74155],[18.614909,46.739273],[18.618237,46.740035],[18.619914,46.739275],[18.617726,46.737767],[18.616572,46.738887],[18.615492,46.737347],[18.61775,46.733553],[18.617218,46.731659],[18.618858,46.731653],[18.619433,46.729763],[18.623318,46.728637],[18.62445,46.725592],[18.628325,46.725607],[18.630542,46.724474],[18.630548,46.723712],[18.628337,46.724082],[18.627238,46.722938],[18.622251,46.723297],[18.622263,46.721779],[18.620056,46.720624],[18.62062,46.718723],[18.622837,46.718731],[18.622879,46.713401],[18.625645,46.713412],[18.627324,46.711893],[18.627356,46.707704],[18.631774,46.708482],[18.630687,46.705813],[18.629026,46.706191],[18.62793,46.704662],[18.626816,46.705421],[18.625164,46.704652],[18.625173,46.703512],[18.626828,46.703896],[18.627948,46.702375],[18.631821,46.70239],[18.630208,46.696675],[18.627989,46.697045],[18.62967,46.694008],[18.628586,46.692095],[18.63411,46.692878],[18.633017,46.690971],[18.636349,46.689843],[18.634695,46.688312],[18.636936,46.687552],[18.646291,46.690284],[18.65406,46.690266],[18.663476,46.69373],[18.67389,46.694155],[18.681655,46.696988],[18.698761,46.708336],[18.707027,46.715983],[18.716408,46.720184],[18.720831,46.719055],[18.727449,46.721351],[18.725234,46.723639],[18.731291,46.725926],[18.72125,46.744546],[18.718456,46.745687],[18.712842,46.755224],[18.731595,46.761358],[18.740036,46.761026],[18.743237,46.762172],[18.745492,46.7652],[18.74552,46.767474],[18.74934,46.768267],[18.758776,46.766379],[18.782046,46.769091],[18.789244,46.771019],[18.797551,46.769898],[18.791959,46.784724],[18.795248,46.787792],[18.805165,46.792382],[18.824672,46.798888],[18.835658,46.805033],[18.862209,46.822166],[18.86555,46.825277],[18.867175,46.832478],[18.872187,46.833612],[18.869411,46.835901],[18.871584,46.836695],[18.8733,46.835511],[18.874341,46.836301],[18.873825,46.837431],[18.875453,46.838182],[18.86657,46.843876],[18.861007,46.849994],[18.882066,46.855731],[18.888176,46.856502],[18.889309,46.855369],[18.904277,46.856898],[18.902626,46.859934],[18.904322,46.860338],[18.905936,46.858406],[18.91762,46.859595],[18.918153,46.857297],[18.92536,46.857309],[18.924265,46.854259],[18.925418,46.831793],[18.924333,46.824175],[18.92656,46.817707],[18.935452,46.808958],[18.953771,46.80098],[18.949895,46.798689],[18.953782,46.794881],[18.956568,46.785363],[18.961562,46.782324],[18.967113,46.774333],[18.971006,46.764431],[18.978211,46.765198],[18.97711,46.759105],[18.979887,46.752252],[18.982667,46.749211],[18.983787,46.740447],[18.986561,46.734741],[19.002078,46.717989],[19.00596,46.708855],[19.006526,46.699335],[19.003757,46.691717],[18.993255,46.682955],[18.978341,46.663523],[18.967849,46.65438],[18.956248,46.648657],[18.955682,46.653609],[18.949603,46.650939],[18.942424,46.649408],[18.933031,46.644068],[18.92419,46.641772],[18.923088,46.639868],[18.917007,46.639099],[18.917569,46.637575],[18.88882,46.638301],[18.882742,46.636774],[18.868975,46.620757],[18.862362,46.616178],[18.861262,46.614274],[18.859076,46.606653],[18.859646,46.603226],[18.864085,46.595995],[18.884583,46.575467],[18.895671,46.55987],[18.89736,46.550346],[18.89573,46.538921],[18.896849,46.533977],[18.895216,46.52712],[18.896342,46.51912],[18.911839,46.497057],[18.910369,46.495157],[18.917363,46.491349],[18.922363,46.47498],[18.924046,46.464321],[18.920224,46.449845],[18.913634,46.438793],[18.900468,46.421261],[18.888937,46.411348],[18.885656,46.402964],[18.885122,46.39573],[18.892896,46.37403],[18.893479,46.361083],[18.897946,46.338244],[18.899604,46.334056],[18.907868,46.324547],[18.919438,46.315425],[18.922201,46.308189],[18.921663,46.300956],[18.918936,46.293336],[18.917835,46.293712],[18.917843,46.290285],[18.912931,46.277716],[18.910772,46.265529],[18.911328,46.260956],[18.905294,46.258667],[18.892121,46.259791],[18.886074,46.262447],[18.876166,46.270434],[18.867383,46.270036],[18.862998,46.266602],[18.862459,46.264698],[18.867433,46.254802],[18.876789,46.245681],[18.876803,46.241113],[18.87517,46.238061],[18.866964,46.231956],[18.862015,46.234997],[18.853777,46.236124],[18.849948,46.233068],[18.842305,46.223157],[18.832444,46.219711],[18.82971,46.217803],[18.822615,46.208647],[18.822083,46.205603],[18.827576,46.202565],[18.833062,46.201051],[18.849484,46.20832],[18.86754,46.222437],[18.871924,46.222444],[18.87141,46.212924],[18.867036,46.210252],[18.865947,46.207585],[18.866513,46.201109],[18.870915,46.197689],[18.87093,46.193121],[18.854476,46.192716],[18.851204,46.189283],[18.851765,46.18471],[18.844096,46.183556],[18.839223,46.167557],[18.841422,46.166414],[18.839247,46.161459],[18.840919,46.153088],[18.839861,46.14547],[18.83822,46.14318],[18.835875,46.142783],[18.83219,46.143931],[18.826759,46.13326],[18.825117,46.133635],[18.810956,46.114567],[18.819195,46.108875],[18.794012,46.109584],[18.779778,46.108789],[18.775375,46.114486],[18.761139,46.113689],[18.75788,46.109875],[18.752394,46.111001],[18.751292,46.112145],[18.74693,46.109846],[18.738676,46.116679],[18.729894,46.12046],[18.728789,46.121981],[18.725523,46.119685],[18.721145,46.118532],[18.718384,46.122714],[18.70192,46.128756],[18.693663,46.134823],[18.68984,46.133287],[18.690407,46.131008],[18.693151,46.12987],[18.693169,46.127205],[18.687473,46.124851],[18.686055,46.126042],[18.68603,46.129847],[18.678841,46.139728],[18.672805,46.142373],[18.665098,46.148055],[18.657396,46.151456],[18.641929,46.168923],[18.62102,46.179127],[18.617157,46.18254],[18.613257,46.19052],[18.608332,46.189361],[18.600164,46.18323],[18.593048,46.181683],[18.590802,46.187767],[18.581415,46.196101],[18.569872,46.199481],[18.572019,46.204064],[18.567613,46.20671],[18.565377,46.211268],[18.565891,46.214698],[18.570814,46.216244],[18.568567,46.223089],[18.563643,46.221543],[18.563082,46.222303],[18.55489,46.21884],[18.552146,46.219206],[18.546634,46.221469],[18.54827,46.222238],[18.547163,46.224136],[18.532859,46.227877],[18.528417,46.233956],[18.533871,46.237024],[18.538746,46.243901],[18.540857,46.253052],[18.539073,46.267132],[18.542331,46.271336],[18.54231,46.273617],[18.539002,46.274749],[18.534613,46.274729],[18.534595,46.276632],[18.531272,46.279282],[18.531913,46.270143],[18.530274,46.268617],[18.518721,46.271228],[18.514852,46.273875],[18.519742,46.279228],[18.518851,46.284141],[18.509233,46.287174],[18.508641,46.290983],[18.503136,46.292475],[18.488289,46.293927],[18.485112,46.293172],[18.47888,46.301119],[18.475589,46.30034],[18.480669,46.287419],[18.480298,46.269895],[18.477582,46.267216],[18.468265,46.266028],[18.464439,46.264484],[18.462811,46.262195],[18.460626,46.261799],[18.467829,46.254981],[18.466202,46.253448],[18.459614,46.253799],[18.460175,46.252277],[18.457982,46.251887],[18.454678,46.253388],[18.444243,46.253333],[18.445964,46.24725],[18.444345,46.244198],[18.440504,46.244177],[18.438342,46.241878],[18.426846,46.238773],[18.423594,46.235705],[18.417017,46.234528],[18.411051,46.229164],[18.396823,46.225656],[18.389767,46.2199],[18.381587,46.215662],[18.378851,46.215268],[18.377186,46.216399],[18.368396,46.217486],[18.363984,46.219747],[18.361735,46.223923],[18.359519,46.225434],[18.361672,46.228875],[18.366046,46.23042],[18.380293,46.231652],[18.384091,46.235102],[18.395039,46.237446],[18.399369,46.242045],[18.403745,46.243589],[18.403709,46.246638],[18.405344,46.24741],[18.404767,46.250072],[18.409073,46.256951],[18.410127,46.260763],[18.409014,46.261903],[18.410113,46.261909],[18.411695,46.268011],[18.413862,46.269926],[18.416534,46.276033],[18.422018,46.277204],[18.414712,46.291258],[18.398287,46.286975],[18.396056,46.289627],[18.395524,46.288477],[18.391644,46.291504],[18.389463,46.289967],[18.383937,46.292984],[18.380638,46.292964],[18.378979,46.294095],[18.375685,46.293697],[18.372291,46.301288],[18.375567,46.303217],[18.372751,46.308909],[18.374946,46.309306],[18.376568,46.311218],[18.375905,46.319972],[18.37368,46.322624],[18.373054,46.328335],[18.389444,46.336427],[18.390508,46.339483],[18.38653,46.35012],[18.376044,46.353486],[18.376011,46.356151],[18.371607,46.356124],[18.368836,46.358011],[18.355049,46.360976],[18.35121,46.360191],[18.35057,46.36742],[18.343363,46.371565],[18.341666,46.37536],[18.342014,46.390597],[18.344192,46.392513],[18.344163,46.3948],[18.347434,46.396724],[18.345737,46.400519],[18.337923,46.40885],[18.335188,46.407692],[18.330219,46.408801],[18.322994,46.413707],[18.314135,46.417456],[18.307562,46.415132],[18.303751,46.412058],[18.2977,46.41164],[18.293324,46.409323],[18.281804,46.406581],[18.276845,46.406925],[18.272462,46.405755],[18.267013,46.401527],[18.251026,46.403703],[18.243807,46.407842],[18.239467,46.403237],[18.237284,46.402465],[18.220713,46.405772],[18.18561,46.397893],[18.188913,46.363642],[18.196116,46.359891],[18.195582,46.359124],[18.199484,46.355726],[18.202775,46.356513],[18.202995,46.34242],[18.202488,46.339373],[18.199794,46.335925],[18.199848,46.332498],[18.200919,46.331989],[18.192968,46.33113],[18.184826,46.333052],[18.180457,46.332821],[18.173011,46.328119],[18.172032,46.325572],[18.167116,46.323043],[18.164322,46.319656],[18.156623,46.319979],[18.153771,46.326428],[18.152163,46.324134],[18.154436,46.3192],[18.152821,46.317284],[18.147324,46.317618],[18.146243,46.316469],[18.139639,46.317179],[18.139014,46.321364],[18.126904,46.322784],[18.124769,46.318961],[18.122582,46.318181],[18.117057,46.320038],[18.114322,46.318875],[18.110602,46.311611],[18.118504,46.299869],[18.114748,46.294123],[18.115329,46.292603],[18.12472,46.289259],[18.129054,46.2931],[18.132369,46.291602],[18.122667,46.28124],[18.117117,46.284244],[18.11438,46.283837],[18.110924,46.292951],[18.101425,46.302392],[18.091031,46.300017],[18.087718,46.300751],[18.087705,46.301514],[18.08496,46.30149],[18.082249,46.299564],[18.078957,46.299152],[18.076287,46.294945],[18.076342,46.291896],[18.071909,46.293761],[18.065335,46.292941],[18.059804,46.29518],[18.05876,46.292121],[18.053192,46.295884],[18.06458,46.30398],[18.071717,46.304426],[18.074976,46.306735],[18.076035,46.309032],[18.075316,46.318162],[18.087758,46.329313],[18.085923,46.339965],[18.083081,46.345271],[18.083512,46.351746],[18.080635,46.358961],[18.082146,46.366586],[18.065123,46.365298],[18.064478,46.370245],[18.054888,46.383488],[18.05251,46.392987],[18.033943,46.385205],[18.031655,46.389759],[18.018519,46.386212],[18.01908,46.385455],[18.014705,46.384274],[18.015814,46.3839],[18.014172,46.383123],[18.011942,46.385005],[18.012956,46.389589],[18.001736,46.400531]]]]}</t>
  </si>
  <si>
    <t>{"type":"MultiPolygon","coordinates":[[[[16.113887,46.869059],[16.118724,46.871913],[16.121843,46.872568],[16.123995,46.871853],[16.124926,46.873288],[16.133159,46.875739],[16.138773,46.885162],[16.145135,46.886044],[16.148509,46.890287],[16.148727,46.89306],[16.153979,46.893661],[16.153364,46.896401],[16.158484,46.897284],[16.158986,46.900471],[16.162051,46.902379],[16.163011,46.904872],[16.167706,46.903195],[16.16871,46.904274],[16.171217,46.903454],[16.173551,46.905674],[16.179243,46.906653],[16.18047,46.912461],[16.187663,46.922292],[16.190524,46.930016],[16.1926,46.931451],[16.193365,46.935648],[16.195766,46.938978],[16.197522,46.939061],[16.199904,46.941795],[16.205928,46.942547],[16.207694,46.938876],[16.210531,46.94038],[16.210031,46.942502],[16.211744,46.94028],[16.213849,46.940662],[16.213774,46.939749],[16.214727,46.940376],[16.21591,46.939119],[16.217628,46.940864],[16.217459,46.936119],[16.222136,46.935633],[16.224093,46.940233],[16.2291,46.941329],[16.228387,46.943161],[16.232677,46.941942],[16.233899,46.944958],[16.236904,46.945708],[16.237632,46.946937],[16.244216,46.946121],[16.245658,46.94673],[16.245003,46.949061],[16.247056,46.949082],[16.242775,46.955994],[16.249451,46.96131],[16.255323,46.964209],[16.263137,46.963608],[16.269325,46.961193],[16.276437,46.962638],[16.277524,46.968677],[16.276,46.984619],[16.27702,46.987766],[16.2801,46.989941],[16.28345,46.997516],[16.281839,46.999793],[16.282804,47.004268],[16.290094,47.013962],[16.292592,47.013947],[16.298618,47.009502],[16.298564,47.001376],[16.303353,46.998273],[16.317427,47.000678],[16.322486,47.00259],[16.341772,46.996174],[16.343365,46.996675],[16.344107,46.998087],[16.342833,46.999036],[16.345378,47.002183],[16.343844,47.003931],[16.349843,47.010389],[16.359646,47.005553],[16.364091,47.007378],[16.367274,47.006268],[16.372868,46.998396],[16.376784,47.000134],[16.379879,46.998751],[16.383088,46.99878],[16.39348,47.003327],[16.410788,47.003986],[16.412609,47.00474],[16.417049,47.001397],[16.419868,46.996264],[16.426883,46.993226],[16.432345,46.992668],[16.435066,46.993399],[16.445475,46.993209],[16.446988,46.999335],[16.446095,47.002551],[16.447818,47.003633],[16.451268,47.003402],[16.451483,47.004279],[16.452623,47.003177],[16.454546,47.003352],[16.456376,47.001095],[16.459186,47.000588],[16.459974,47.001748],[16.463707,46.99708],[16.464548,46.997739],[16.465959,46.997182],[16.466131,46.998331],[16.47005,46.997203],[16.470714,46.997852],[16.472003,46.997008],[16.473808,46.997388],[16.474235,46.996108],[16.478652,46.995295],[16.477943,46.994497],[16.479213,46.99382],[16.480935,46.995025],[16.483447,46.994222],[16.486798,46.995708],[16.487288,46.99727],[16.48883,46.997381],[16.489168,47.000379],[16.493651,46.999889],[16.493701,46.998999],[16.497011,46.998204],[16.501435,46.99929],[16.504071,47.001771],[16.505686,47.000331],[16.506013,47.001577],[16.506665,47.000671],[16.50816,47.001311],[16.5099,47.000398],[16.512319,47.001554],[16.512355,47.003503],[16.508684,47.003609],[16.504234,47.006999],[16.496418,47.010136],[16.492652,47.010089],[16.483648,47.018042],[16.482196,47.022679],[16.477727,47.021345],[16.475108,47.027284],[16.470514,47.028045],[16.466203,47.031166],[16.465047,47.030485],[16.463647,47.032251],[16.459277,47.030603],[16.447792,47.02267],[16.438893,47.029715],[16.444062,47.034412],[16.440199,47.035916],[16.445073,47.038732],[16.456245,47.040255],[16.458508,47.042658],[16.461287,47.043302],[16.465832,47.043895],[16.467514,47.042893],[16.475836,47.046785],[16.484124,47.047851],[16.484358,47.046987],[16.486089,47.047077],[16.493574,47.049088],[16.497765,47.048486],[16.500849,47.05071],[16.506637,47.049566],[16.520559,47.056214],[16.520454,47.061549],[16.510075,47.066276],[16.495845,47.070521],[16.491089,47.070504],[16.487049,47.068874],[16.48627,47.070357],[16.48468,47.070024],[16.483889,47.072353],[16.482745,47.072055],[16.482478,47.075018],[16.472912,47.073589],[16.470836,47.078202],[16.472033,47.081464],[16.473982,47.081792],[16.474733,47.085318],[16.472759,47.087133],[16.470783,47.086798],[16.468486,47.088154],[16.468346,47.089742],[16.465994,47.089312],[16.466456,47.091108],[16.46335,47.094973],[16.466343,47.095751],[16.464621,47.098951],[16.472603,47.100561],[16.471718,47.102062],[16.474654,47.105162],[16.477671,47.10143],[16.484742,47.102596],[16.482869,47.10876],[16.500723,47.110201],[16.499881,47.123416],[16.515508,47.124696],[16.529343,47.127243],[16.528781,47.137318],[16.526563,47.136881],[16.522656,47.139996],[16.516775,47.149329],[16.490465,47.148855],[16.469208,47.142815],[16.454298,47.142297],[16.452603,47.145229],[16.449804,47.145574],[16.449049,47.151873],[16.451931,47.15341],[16.453119,47.15772],[16.458243,47.157258],[16.458219,47.158283],[16.46058,47.159066],[16.460243,47.161026],[16.462357,47.161469],[16.460619,47.166861],[16.464328,47.168411],[16.459305,47.176548],[16.457359,47.176778],[16.453099,47.186264],[16.454918,47.187375],[16.453319,47.188125],[16.451002,47.187388],[16.450742,47.188293],[16.441225,47.185169],[16.429297,47.184676],[16.419495,47.194925],[16.421249,47.197276],[16.416902,47.205338],[16.418942,47.210623],[16.421025,47.210714],[16.421842,47.207936],[16.423366,47.20773],[16.428458,47.210139],[16.436607,47.209941],[16.435021,47.215516],[16.439317,47.217884],[16.436678,47.222711],[16.43796,47.224108],[16.438166,47.22991],[16.441228,47.230448],[16.441059,47.233039],[16.442751,47.233739],[16.44175,47.248592],[16.430478,47.250348],[16.431792,47.252944],[16.448684,47.25048],[16.446583,47.253361],[16.454831,47.253682],[16.461066,47.256008],[16.467134,47.252899],[16.479937,47.262595],[16.478295,47.263164],[16.477326,47.272307],[16.479443,47.277988],[16.483571,47.277832],[16.489422,47.280287],[16.481976,47.291432],[16.481803,47.297715],[16.478868,47.301496],[16.4748,47.312143],[16.469208,47.318673],[16.468635,47.325001],[16.463192,47.331019],[16.464541,47.333859],[16.458315,47.338868],[16.450559,47.338696],[16.448469,47.339448],[16.444583,47.346423],[16.433723,47.352829],[16.437378,47.355375],[16.446474,47.357508],[16.452346,47.357115],[16.45117,47.361105],[16.454799,47.363709],[16.456998,47.367167],[16.456351,47.372832],[16.451191,47.377731],[16.451408,47.379679],[16.455124,47.38369],[16.461413,47.383735],[16.45755,47.384902],[16.45524,47.387043],[16.455465,47.388721],[16.450666,47.392931],[16.446082,47.401203],[16.445431,47.40673],[16.449486,47.41008],[16.453529,47.410864],[16.45624,47.41273],[16.464394,47.41276],[16.466041,47.411402],[16.475393,47.408891],[16.485341,47.408901],[16.487751,47.407196],[16.487163,47.406132],[16.490669,47.405698],[16.485048,47.402249],[16.483697,47.399404],[16.485006,47.398751],[16.483842,47.397942],[16.484386,47.397227],[16.489671,47.399747],[16.487674,47.397626],[16.488641,47.394515],[16.493084,47.394145],[16.493977,47.395899],[16.496563,47.396295],[16.49657,47.38905],[16.502668,47.39326],[16.509931,47.396484],[16.510315,47.400494],[16.507859,47.405027],[16.50969,47.405941],[16.513709,47.405241],[16.51691,47.4106],[16.518757,47.409927],[16.525005,47.41038],[16.527019,47.408627],[16.530288,47.410202],[16.535555,47.40911],[16.539961,47.410057],[16.546298,47.405613],[16.551009,47.405459],[16.560152,47.406991],[16.574529,47.405959],[16.5774,47.40951],[16.57511,47.412349],[16.582369,47.415298],[16.582735,47.416783],[16.579265,47.417879],[16.581034,47.419293],[16.583896,47.419994],[16.587011,47.418924],[16.588893,47.419382],[16.588482,47.420804],[16.591396,47.420792],[16.591325,47.421439],[16.587641,47.421351],[16.5879,47.422775],[16.596815,47.42266],[16.596579,47.42381],[16.599607,47.424199],[16.599914,47.425473],[16.603665,47.425487],[16.606309,47.426973],[16.605215,47.427678],[16.606599,47.429449],[16.609117,47.429498],[16.6118,47.431619],[16.612477,47.43009],[16.61468,47.430585],[16.615314,47.432337],[16.617002,47.432279],[16.617767,47.430845],[16.620364,47.430759],[16.622495,47.436319],[16.627501,47.442101],[16.636311,47.445826],[16.640536,47.445554],[16.646706,47.446952],[16.650845,47.442469],[16.654557,47.434927],[16.660265,47.432757],[16.670128,47.425726],[16.672896,47.426545],[16.677581,47.422073],[16.676476,47.421665],[16.678249,47.419799],[16.686569,47.421873],[16.691887,47.415887],[16.697971,47.417915],[16.700924,47.414546],[16.709203,47.417765],[16.715757,47.409138],[16.722905,47.412326],[16.719396,47.415684],[16.71928,47.418348],[16.725922,47.420391],[16.725299,47.421898],[16.746803,47.430711],[16.754996,47.435828],[16.757324,47.433971],[16.766683,47.438342],[16.784994,47.443278],[16.790891,47.436537],[16.804067,47.443651],[16.811715,47.435418],[16.815641,47.435494],[16.830563,47.441114],[16.842677,47.446678],[16.844287,47.448618],[16.848198,47.449071],[16.853562,47.441554],[16.852486,47.440393],[16.858878,47.435183],[16.865385,47.426925],[16.866648,47.42352],[16.8734,47.42327],[16.880329,47.418447],[16.885608,47.41283],[16.887303,47.412484],[16.894424,47.416808],[16.892612,47.419818],[16.905502,47.420443],[16.903691,47.423453],[16.905364,47.423868],[16.909519,47.41823],[16.911167,47.419023],[16.909718,47.41328],[16.917,47.413415],[16.915275,47.41453],[16.919169,47.415358],[16.921016,47.411208],[16.931674,47.411404],[16.932963,47.407237],[16.940622,47.397855],[16.947476,47.39493],[16.946263,47.397196],[16.948462,47.398376],[16.948959,47.39991],[16.947806,47.400652],[16.955488,47.404983],[16.955428,47.4065],[16.957101,47.406915],[16.957702,47.405779],[16.960354,47.40964],[16.962048,47.409286],[16.966989,47.412048],[16.968127,47.411684],[16.969681,47.41514],[16.972483,47.415191],[16.972995,47.41634],[16.9775,47.416043],[16.976874,47.417557],[16.980754,47.418767],[16.982324,47.421846],[16.988992,47.423484],[16.990144,47.422742],[16.991765,47.424296],[16.998433,47.42594],[16.997275,47.42706],[17.000561,47.429028],[17.001699,47.428663],[17.005492,47.432159],[17.003709,47.434793],[17.007577,47.436387],[17.011517,47.436072],[17.016478,47.438447],[17.016435,47.439587],[17.019252,47.439258],[17.021455,47.440438],[17.023164,47.439705],[17.024766,47.442021],[17.032973,47.447496],[17.041834,47.450701],[17.045589,47.455335],[17.050539,47.458086],[17.054481,47.457776],[17.05549,47.460837],[17.061593,47.447993],[17.06609,47.447692],[17.067856,47.445435],[17.070131,47.444712],[17.071382,47.441305],[17.067555,47.438574],[17.067597,47.437434],[17.065351,47.437395],[17.064823,47.436623],[17.067117,47.435138],[17.064328,47.434712],[17.06262,47.435445],[17.062148,47.433149],[17.059379,47.431961],[17.060778,47.428164],[17.059664,47.424347],[17.06191,47.424386],[17.06083,47.423227],[17.061467,47.421328],[17.057656,47.418219],[17.059393,47.416724],[17.055971,47.41624],[17.058313,47.415564],[17.055526,47.415132],[17.056762,47.412109],[17.053395,47.412051],[17.052387,47.408984],[17.055203,47.408654],[17.05584,47.406762],[17.051888,47.40745],[17.052487,47.40632],[17.049142,47.403038],[17.046999,47.403181],[17.045684,47.402185],[17.047357,47.401007],[17.04427,47.401224],[17.043205,47.399687],[17.048265,47.39939],[17.045556,47.396677],[17.046164,47.395547],[17.050101,47.395231],[17.054918,47.401409],[17.057705,47.401841],[17.066517,47.406184],[17.069856,47.407004],[17.075487,47.406338],[17.077689,47.407516],[17.082198,47.406831],[17.086645,47.408047],[17.092856,47.407012],[17.100606,47.409809],[17.102201,47.412123],[17.105583,47.411796],[17.10934,47.416434],[17.118799,47.418496],[17.125604,47.416707],[17.126685,47.417866],[17.125995,47.421282],[17.128213,47.422082],[17.129769,47.425536],[17.125816,47.426232],[17.12519,47.428125],[17.128522,47.428943],[17.131932,47.427859],[17.133488,47.431313],[17.136911,47.429845],[17.147306,47.437251],[17.156336,47.435875],[17.161452,47.434055],[17.172619,47.435763],[17.170467,47.433062],[17.177856,47.430516],[17.1775,47.424795],[17.187751,47.404393],[17.195307,47.396903],[17.208914,47.392546],[17.189107,47.381566],[17.212198,47.362509],[17.215562,47.362562],[17.21943,47.364149],[17.22702,47.355132],[17.232613,47.355598],[17.236007,47.354511],[17.259356,47.343446],[17.269386,47.345126],[17.287021,47.333591],[17.29278,47.331612],[17.295726,47.328887],[17.273108,47.317766],[17.261874,47.318733],[17.241748,47.317656],[17.225245,47.309014],[17.220443,47.302082],[17.215499,47.299338],[17.213245,47.299686],[17.218497,47.291932],[17.219474,47.281504],[17.214098,47.274941],[17.208312,47.280564],[17.199799,47.267855],[17.199539,47.259092],[17.201236,47.258741],[17.204729,47.254606],[17.208246,47.23371],[17.209365,47.233728],[17.209494,47.213923],[17.207257,47.213887],[17.209127,47.208208],[17.214154,47.208288],[17.214207,47.206764],[17.209442,47.199069],[17.207993,47.192574],[17.20977,47.189552],[17.207675,47.185713],[17.208806,47.185346],[17.210675,47.179667],[17.20803,47.175434],[17.201993,47.172287],[17.20264,47.169632],[17.201047,47.167324],[17.19605,47.166481],[17.194537,47.161888],[17.198118,47.15509],[17.196671,47.148588],[17.200088,47.14674],[17.20131,47.14371],[17.200338,47.139509],[17.202879,47.130406],[17.209422,47.118702],[17.221862,47.113954],[17.214175,47.110403],[17.21135,47.111498],[17.210879,47.108825],[17.213901,47.102017],[17.211743,47.100079],[17.214724,47.094411],[17.216746,47.084159],[17.215709,47.081861],[17.207975,47.079828],[17.201448,47.075154],[17.197105,47.071655],[17.195608,47.066678],[17.186133,47.066524],[17.168548,47.075381],[17.165603,47.079901],[17.159754,47.071808],[17.15805,47.072542],[17.153921,47.078946],[17.144966,47.079944],[17.14054,47.079108],[17.131802,47.074009],[17.107526,47.067127],[17.09918,47.066601],[17.093135,47.064211],[17.076922,47.065458],[17.074813,47.062377],[17.073558,47.050924],[17.075305,47.04905],[17.072879,47.039108],[17.075614,47.025441],[17.072889,47.023869],[17.057023,47.031213],[17.049968,47.026137],[17.045015,47.024531],[17.046058,47.026453],[17.043263,47.026782],[17.042644,47.028296],[17.043006,47.033634],[17.037709,47.041161],[17.027786,47.03832],[17.021675,47.037828],[17.015937,47.042301],[17.009365,47.039134],[17.001718,47.035191],[17.003423,47.034459],[17.001238,47.033279],[17.008163,47.026924],[17.011205,47.020121],[17.009829,47.012477],[17.018051,47.001197],[17.02051,46.995146],[17.019396,46.995127],[17.016966,47.000415],[17.011711,46.992324],[17.003436,46.990273],[16.991526,46.981677],[16.985436,46.980805],[16.988059,46.970567],[16.990822,46.971001],[16.992634,46.96722],[16.994328,46.966488],[16.991667,46.963396],[16.985994,46.966338],[16.982801,46.962474],[16.978939,46.961641],[16.966706,46.961419],[16.957214,46.962386],[16.950044,46.960736],[16.945541,46.962172],[16.94168,46.961345],[16.929938,46.962646],[16.92386,46.961771],[16.92377,46.964057],[16.921483,46.96554],[16.917871,46.97233],[16.90896,46.972541],[16.899404,46.975028],[16.879023,46.969695],[16.874549,46.970366],[16.873389,46.971491],[16.867848,46.971001],[16.868884,46.972931],[16.847845,46.97024],[16.84364,46.977779],[16.838509,46.980724],[16.828656,46.976726],[16.823825,46.97244],[16.823746,46.974342],[16.822081,46.97431],[16.821456,46.975823],[16.81923,46.97578],[16.819823,46.975029],[16.817644,46.973845],[16.817945,46.966609],[16.816021,46.959336],[16.817514,46.95022],[16.814185,46.950155],[16.813672,46.949004],[16.809151,46.950819],[16.786476,46.947706],[16.786781,46.940476],[16.787926,46.939736],[16.787135,46.9321],[16.779055,46.925845],[16.777407,46.925434],[16.775638,46.92768],[16.773958,46.928031],[16.76058,46.928905],[16.737605,46.933012],[16.73375,46.932171],[16.733782,46.931415],[16.727109,46.93128],[16.721606,46.930021],[16.71102,46.930567],[16.701086,46.928838],[16.69984,46.931863],[16.691402,46.933977],[16.689043,46.936973],[16.686794,46.937689],[16.683057,46.934183],[16.667527,46.933097],[16.66605,46.928875],[16.656754,46.925251],[16.655226,46.922175],[16.65195,46.920959],[16.643563,46.92193],[16.636202,46.924819],[16.631168,46.925475],[16.624383,46.915807],[16.603514,46.897838],[16.603566,46.896698],[16.591637,46.890347],[16.588118,46.882265],[16.586447,46.882229],[16.586569,46.879566],[16.584889,46.879914],[16.580104,46.875234],[16.58307,46.871106],[16.579274,46.869121],[16.571489,46.869336],[16.567658,46.868106],[16.568839,46.866612],[16.568204,46.856311],[16.564854,46.856617],[16.565467,46.855489],[16.562712,46.855044],[16.562096,46.844365],[16.558222,46.843826],[16.557174,46.842732],[16.557866,46.839703],[16.556756,46.839679],[16.556809,46.838533],[16.554633,46.837728],[16.549623,46.837997],[16.547261,46.840996],[16.536673,46.841904],[16.521823,46.838909],[16.519141,46.836946],[16.51248,46.836798],[16.508138,46.834791],[16.502037,46.834655],[16.504564,46.828238],[16.506242,46.827891],[16.506603,46.820284],[16.505141,46.816059],[16.50737,46.815725],[16.50487,46.809958],[16.506665,46.807331],[16.503463,46.804593],[16.498529,46.803336],[16.496418,46.801006],[16.48831,46.796632],[16.480926,46.794922],[16.477995,46.791823],[16.473658,46.789822],[16.465993,46.787744],[16.451309,46.781693],[16.443486,46.780184],[16.44053,46.776625],[16.436993,46.779461],[16.433079,46.780134],[16.426798,46.783803],[16.420246,46.781742],[16.414467,46.786564],[16.412249,46.786512],[16.411606,46.788401],[16.397158,46.788828],[16.394883,46.789916],[16.38124,46.785412],[16.381296,46.784266],[16.379125,46.783452],[16.378699,46.780775],[16.36812,46.781674],[16.362641,46.780398],[16.364414,46.778157],[16.365249,46.772459],[16.370945,46.769548],[16.37484,46.769255],[16.375873,46.770805],[16.382366,46.774002],[16.383911,46.776327],[16.388385,46.775669],[16.391096,46.776873],[16.393389,46.775407],[16.399418,46.776689],[16.404478,46.775281],[16.406808,46.773053],[16.40094,46.76834],[16.396988,46.769774],[16.392844,46.763959],[16.385699,46.762651],[16.388011,46.760802],[16.384248,46.758425],[16.389421,46.754738],[16.391304,46.750212],[16.392963,46.750251],[16.394146,46.748753],[16.391967,46.747939],[16.394466,46.74228],[16.381506,46.735502],[16.371629,46.722315],[16.362537,46.716761],[16.358777,46.716963],[16.357059,46.714239],[16.352729,46.722026],[16.35356,46.724804],[16.347216,46.724531],[16.350075,46.726753],[16.350401,46.728421],[16.346742,46.736076],[16.342921,46.737013],[16.339935,46.741802],[16.33469,46.743483],[16.33244,46.748578],[16.325137,46.750166],[16.325355,46.751117],[16.322974,46.751128],[16.32295,46.752838],[16.318595,46.754145],[16.318556,46.755426],[16.321827,46.758319],[16.322159,46.764576],[16.326303,46.767485],[16.329277,46.775012],[16.330542,46.775212],[16.329972,46.777901],[16.317246,46.777254],[16.312163,46.778003],[16.310994,46.783806],[16.312994,46.797677],[16.315396,46.797749],[16.317863,46.800644],[16.327646,46.802143],[16.333993,46.802061],[16.339889,46.803982],[16.340637,46.805185],[16.34137,46.813599],[16.339948,46.81472],[16.340299,46.821808],[16.343751,46.822004],[16.34466,46.829628],[16.350841,46.830055],[16.348201,46.835576],[16.347715,46.840712],[16.343182,46.843218],[16.339122,46.843092],[16.340337,46.846891],[16.335739,46.846713],[16.329584,46.844636],[16.327832,46.847493],[16.321381,46.851722],[16.318586,46.856233],[16.308523,46.856382],[16.30865,46.859408],[16.301501,46.859514],[16.299554,46.86295],[16.298131,46.862607],[16.297683,46.866301],[16.294805,46.870906],[16.291226,46.872845],[16.265301,46.871829],[16.2518,46.87443],[16.246185,46.874467],[16.242113,46.876273],[16.23323,46.87667],[16.227714,46.873444],[16.226694,46.871052],[16.225243,46.871928],[16.21576,46.868471],[16.209244,46.869712],[16.203691,46.8693],[16.197736,46.86696],[16.185561,46.865737],[16.176432,46.857316],[16.165368,46.860084],[16.162449,46.859362],[16.156087,46.853707],[16.150461,46.856055],[16.148515,46.85465],[16.140071,46.854851],[16.136873,46.856549],[16.126571,46.856908],[16.124924,46.862877],[16.122187,46.862641],[16.12158,46.863924],[16.117051,46.863628],[16.117031,46.866874],[16.113887,46.869059]]]]}</t>
  </si>
  <si>
    <t>{"type":"MultiPolygon","coordinates":[[[[17.073558,47.050924],[17.074813,47.062377],[17.076922,47.065458],[17.093135,47.064211],[17.09918,47.066601],[17.107526,47.067127],[17.131802,47.074009],[17.14054,47.079108],[17.144966,47.079944],[17.153921,47.078946],[17.15805,47.072542],[17.159754,47.071808],[17.165603,47.079901],[17.168548,47.075381],[17.186133,47.066524],[17.195608,47.066678],[17.197105,47.071655],[17.201448,47.075154],[17.207975,47.079828],[17.215709,47.081861],[17.216746,47.084159],[17.214724,47.094411],[17.211743,47.100079],[17.213901,47.102017],[17.210879,47.108825],[17.21135,47.111498],[17.214175,47.110403],[17.221862,47.113954],[17.209422,47.118702],[17.202879,47.130406],[17.200338,47.139509],[17.20131,47.14371],[17.200088,47.14674],[17.196671,47.148588],[17.198118,47.15509],[17.194537,47.161888],[17.19605,47.166481],[17.201047,47.167324],[17.20264,47.169632],[17.201993,47.172287],[17.20803,47.175434],[17.210675,47.179667],[17.208806,47.185346],[17.207675,47.185713],[17.20977,47.189552],[17.207993,47.192574],[17.209442,47.199069],[17.214207,47.206764],[17.214154,47.208288],[17.209127,47.208208],[17.207257,47.213887],[17.209494,47.213923],[17.209365,47.233728],[17.208246,47.23371],[17.204729,47.254606],[17.201236,47.258741],[17.199539,47.259092],[17.199799,47.267855],[17.208312,47.280564],[17.214098,47.274941],[17.219474,47.281504],[17.218497,47.291932],[17.213245,47.299686],[17.215499,47.299338],[17.220443,47.302082],[17.225245,47.309014],[17.241748,47.317656],[17.261874,47.318733],[17.273108,47.317766],[17.295726,47.328887],[17.29278,47.331612],[17.287021,47.333591],[17.269386,47.345126],[17.259356,47.343446],[17.236007,47.354511],[17.232613,47.355598],[17.22702,47.355132],[17.21943,47.364149],[17.215562,47.362562],[17.212198,47.362509],[17.189107,47.381566],[17.208914,47.392546],[17.195307,47.396903],[17.190672,47.401012],[17.185979,47.40703],[17.1775,47.424795],[17.177856,47.430516],[17.172727,47.432714],[17.176626,47.43354],[17.175975,47.436195],[17.181527,47.43781],[17.180324,47.440078],[17.18085,47.441227],[17.183073,47.441647],[17.183033,47.442787],[17.188596,47.444402],[17.189799,47.442134],[17.190842,47.444438],[17.193686,47.443337],[17.193039,47.445614],[17.197652,47.442261],[17.201251,47.435462],[17.222144,47.431989],[17.221948,47.437695],[17.223031,47.438859],[17.228137,47.437031],[17.230318,47.438974],[17.230357,47.437828],[17.233199,47.436732],[17.233095,47.439774],[17.234205,47.440176],[17.235908,47.439819],[17.235393,47.438292],[17.237108,47.437556],[17.236633,47.434883],[17.239462,47.434165],[17.240533,47.435707],[17.245673,47.433122],[17.261879,47.435277],[17.2625,47.433384],[17.265882,47.433052],[17.263687,47.431493],[17.264848,47.430371],[17.270969,47.43199],[17.272712,47.430114],[17.273227,47.43164],[17.2715,47.432761],[17.274265,47.433944],[17.275451,47.432059],[17.280576,47.42985],[17.283376,47.430278],[17.286115,47.432222],[17.290623,47.431529],[17.293502,47.429285],[17.297377,47.430869],[17.299079,47.430517],[17.300671,47.433207],[17.298953,47.434321],[17.306743,47.436342],[17.313472,47.436443],[17.312262,47.439091],[17.323939,47.442694],[17.326164,47.443111],[17.329644,47.439736],[17.339165,47.440255],[17.339141,47.441017],[17.341941,47.441437],[17.344806,47.439576],[17.344769,47.440722],[17.350832,47.44424],[17.362071,47.443642],[17.382928,47.458797],[17.386025,47.4676],[17.383765,47.467946],[17.384841,47.469486],[17.383658,47.471372],[17.384072,47.475952],[17.389382,47.485928],[17.391064,47.485952],[17.392212,47.485206],[17.391111,47.484428],[17.391737,47.482534],[17.398496,47.481868],[17.40915,47.482404],[17.423315,47.478415],[17.421149,47.475719],[17.423444,47.474226],[17.419109,47.469213],[17.419167,47.46731],[17.423747,47.464332],[17.427327,47.457527],[17.433075,47.453033],[17.438195,47.450823],[17.44437,47.450909],[17.443916,47.447475],[17.448038,47.441055],[17.446407,47.43913],[17.444956,47.431492],[17.45864,47.424448],[17.464097,47.429475],[17.465823,47.427974],[17.482806,47.422875],[17.490476,47.429451],[17.497116,47.43259],[17.499362,47.43262],[17.501521,47.435314],[17.503222,47.434953],[17.508094,47.441111],[17.503864,47.444676],[17.517139,47.458987],[17.51566,47.458723],[17.526385,47.468775],[17.528628,47.465693],[17.52824,47.463454],[17.532524,47.458533],[17.539912,47.452893],[17.556841,47.444039],[17.558596,47.441396],[17.565808,47.444533],[17.566323,47.446064],[17.57468,47.448458],[17.576371,47.448095],[17.581883,47.451977],[17.581285,47.45311],[17.582398,47.453509],[17.580109,47.454998],[17.577724,47.45992],[17.5887,47.469202],[17.59956,47.462484],[17.603298,47.456334],[17.620254,47.465407],[17.630634,47.455252],[17.63286,47.456042],[17.634592,47.45416],[17.642357,47.457683],[17.643521,47.456172],[17.641395,47.451572],[17.645869,47.452389],[17.657532,47.457104],[17.659819,47.455607],[17.663718,47.456795],[17.66521,47.464052],[17.663459,47.466696],[17.665081,47.468996],[17.66897,47.470568],[17.670054,47.472105],[17.675108,47.472166],[17.679653,47.469932],[17.682556,47.466539],[17.688087,47.469654],[17.690941,47.467785],[17.703159,47.473258],[17.704908,47.470614],[17.708924,47.467233],[17.710029,47.468008],[17.712344,47.465363],[17.710115,47.464582],[17.710739,47.462302],[17.701395,47.454197],[17.704315,47.449657],[17.711536,47.452791],[17.713255,47.451286],[17.715993,47.453983],[17.717145,47.452856],[17.719373,47.453644],[17.723424,47.448738],[17.73178,47.451499],[17.722544,47.461675],[17.726434,47.463245],[17.726292,47.468952],[17.727406,47.469349],[17.729173,47.465941],[17.732507,47.467504],[17.730202,47.469759],[17.737985,47.472897],[17.75582,47.455583],[17.76229,47.443085],[17.760702,47.439262],[17.763032,47.435861],[17.770465,47.430229],[17.771096,47.427192],[17.772785,47.426827],[17.778527,47.42156],[17.784907,47.412872],[17.787288,47.406806],[17.787333,47.404903],[17.778498,47.399092],[17.777367,47.399457],[17.778544,47.39719],[17.784265,47.392678],[17.785468,47.389264],[17.780441,47.388453],[17.777686,47.386135],[17.769366,47.382616],[17.764841,47.38409],[17.764348,47.381419],[17.766119,47.377627],[17.754101,47.364929],[17.750254,47.361837],[17.744146,47.35948],[17.729066,47.357406],[17.724722,47.351647],[17.726437,47.350521],[17.725966,47.346709],[17.718269,47.340906],[17.72626,47.334905],[17.73097,47.325823],[17.728211,47.324267],[17.731093,47.320872],[17.739579,47.317163],[17.747396,47.318008],[17.75588,47.314676],[17.75763,47.311652],[17.757111,47.310122],[17.760592,47.305209],[17.758739,47.289197],[17.767337,47.280535],[17.765262,47.274034],[17.767538,47.272296],[17.770816,47.274209],[17.773951,47.274388],[17.774426,47.275629],[17.779701,47.278385],[17.781959,47.277647],[17.786958,47.279227],[17.780631,47.28639],[17.782762,47.290988],[17.782672,47.294793],[17.77861,47.300841],[17.780078,47.309615],[17.777655,47.317206],[17.780881,47.322956],[17.788053,47.327225],[17.790385,47.323438],[17.800427,47.325073],[17.80778,47.322103],[17.814433,47.324845],[17.821158,47.324533],[17.822757,47.328356],[17.820992,47.331764],[17.826518,47.335251],[17.82975,47.340622],[17.832514,47.342554],[17.831914,47.344072],[17.836382,47.344875],[17.833548,47.34637],[17.834009,47.350565],[17.832852,47.352077],[17.831184,47.351675],[17.831705,47.353206],[17.825427,47.358091],[17.824819,47.360366],[17.829235,47.363084],[17.833704,47.363887],[17.834191,47.366942],[17.8392,47.368519],[17.849672,47.376624],[17.857431,47.38051],[17.869781,47.379497],[17.877601,47.381101],[17.880908,47.383422],[17.884133,47.389925],[17.899974,47.383229],[17.905593,47.382907],[17.908918,47.384458],[17.912202,47.388303],[17.915536,47.389476],[17.921703,47.389536],[17.928485,47.387315],[17.934063,47.388516],[17.93859,47.386273],[17.942052,47.381738],[17.945426,47.381386],[17.94716,47.378738],[17.949396,47.379143],[17.950715,47.369636],[17.945726,47.366923],[17.933985,47.365664],[17.927311,47.362934],[17.927335,47.361794],[17.935719,47.363015],[17.948715,47.35781],[17.956659,47.352933],[17.961802,47.348036],[17.96137,47.34194],[17.963149,47.337004],[17.961541,47.333562],[17.963226,47.333193],[17.967609,47.337809],[17.972063,47.339369],[17.975465,47.337498],[17.98049,47.338307],[17.983311,47.337193],[17.988908,47.337244],[17.992294,47.336135],[17.994582,47.333869],[18.003459,47.33814],[18.011306,47.337826],[18.016865,47.339779],[18.020229,47.339809],[18.024171,47.338704],[18.029299,47.334181],[18.036009,47.334619],[18.040087,47.326281],[18.048597,47.320641],[18.06484,47.320018],[18.066017,47.316985],[18.064376,47.315063],[18.048847,47.307318],[18.046685,47.303109],[18.04792,47.297027],[18.05078,47.293625],[18.050959,47.284107],[18.054369,47.281471],[18.05327,47.280315],[18.054425,47.278422],[18.060571,47.278475],[18.066136,47.280425],[18.068397,47.279304],[18.075656,47.279744],[18.078502,47.277487],[18.080823,47.272555],[18.089909,47.265013],[18.093411,47.257047],[18.09679,47.255935],[18.105851,47.249533],[18.109207,47.249182],[18.11588,47.251139],[18.130847,47.258877],[18.133644,47.259277],[18.135332,47.258528],[18.137525,47.261211],[18.14585,47.264704],[18.157599,47.264417],[18.163854,47.258373],[18.167793,47.256879],[18.169521,47.254227],[18.171763,47.253482],[18.169596,47.24966],[18.173678,47.239409],[18.179302,47.237164],[18.196865,47.222824],[18.216955,47.22488],[18.216979,47.223355],[18.223795,47.216166],[18.225621,47.206281],[18.221746,47.203966],[18.223502,47.198648],[18.220976,47.181493],[18.227797,47.173547],[18.21775,47.173859],[18.221775,47.166271],[18.212316,47.163915],[18.215414,47.144135],[18.223537,47.124014],[18.224235,47.115261],[18.222635,47.110676],[18.223819,47.105738],[18.226116,47.101565],[18.232862,47.097801],[18.234605,47.09363],[18.227935,47.092436],[18.214629,47.087388],[18.206934,47.080483],[18.203604,47.079312],[18.212932,47.053107],[18.213003,47.048539],[18.220894,47.042498],[18.228839,47.033419],[18.230507,47.033431],[18.234468,47.029269],[18.239062,47.019782],[18.258474,47.025248],[18.261284,47.023364],[18.261882,47.020319],[18.248015,47.016802],[18.247479,47.015651],[18.235252,47.01404],[18.235298,47.010997],[18.228185,47.003329],[18.215962,47.001716],[18.212655,46.999411],[18.210591,46.989492],[18.208933,46.988339],[18.206798,46.982993],[18.20641,46.971945],[18.189439,46.989719],[18.180549,46.98889],[18.176013,46.993808],[18.170427,46.995283],[18.168393,46.994938],[18.168729,46.997173],[18.167047,46.997544],[18.066818,46.97007],[18.048092,46.960009],[18.007802,46.944036],[17.97829,46.934078],[17.945872,46.927458],[17.907755,46.916038],[17.912941,46.907331],[17.91044,46.894358],[17.901733,46.88589],[17.889646,46.88006],[17.878572,46.878422],[17.870207,46.879861],[17.854553,46.88465],[17.834794,46.874159],[17.802383,46.858952],[17.789184,46.85386],[17.764905,46.847496],[17.730113,46.840622],[17.698776,46.828831],[17.667581,46.81208],[17.625145,46.801659],[17.589436,46.789014],[17.534482,46.771541],[17.523527,46.767204],[17.509905,46.759024],[17.492335,46.75307],[17.47907,46.752125],[17.47516,46.753218],[17.465189,46.753079],[17.454234,46.748736],[17.445955,46.747857],[17.419818,46.750914],[17.417952,46.757744],[17.381176,46.781971],[17.373301,46.785662],[17.367596,46.790909],[17.361426,46.793105],[17.359697,46.794983],[17.360149,46.798418],[17.354132,46.813182],[17.350702,46.816559],[17.342236,46.821001],[17.334267,46.82736],[17.325892,46.829137],[17.326222,46.835998],[17.327859,46.836786],[17.324941,46.84131],[17.325905,46.8459],[17.330205,46.850149],[17.330631,46.854347],[17.333915,46.855921],[17.335503,46.858232],[17.332073,46.861225],[17.333671,46.863536],[17.331327,46.867307],[17.327357,46.869913],[17.322912,46.869846],[17.319514,46.872082],[17.317708,46.876245],[17.326443,46.880946],[17.326783,46.887808],[17.322153,46.893454],[17.309856,46.895933],[17.30811,46.898187],[17.304758,46.898899],[17.303485,46.903833],[17.305074,46.906145],[17.297615,46.913265],[17.284037,46.920675],[17.276248,46.920932],[17.269111,46.918156],[17.26805,46.916614],[17.261874,46.918427],[17.256386,46.916432],[17.254072,46.919061],[17.251822,46.919788],[17.241872,46.918112],[17.230678,46.9206],[17.22588,46.930808],[17.228618,46.931993],[17.229075,46.935044],[17.231852,46.935088],[17.233871,46.941214],[17.238847,46.942056],[17.23987,46.944738],[17.242074,46.945157],[17.238423,46.954622],[17.250031,46.956708],[17.24582,46.966164],[17.243555,46.967269],[17.246244,46.969983],[17.237064,46.978213],[17.234875,46.977038],[17.230289,46.981156],[17.230686,46.985731],[17.232348,46.986136],[17.229504,46.988],[17.228865,46.990271],[17.225472,46.991742],[17.221448,46.995484],[17.218129,46.995053],[17.210211,46.998732],[17.207317,47.001736],[17.208966,47.002525],[17.206634,47.005531],[17.199634,46.998562],[17.19128,46.998811],[17.184138,46.996029],[17.18073,46.997876],[17.180124,46.999392],[17.178565,46.996316],[17.176337,46.99628],[17.174003,46.999291],[17.162887,46.998724],[17.153392,46.999714],[17.148883,47.001158],[17.143915,46.999935],[17.142113,47.003718],[17.14316,47.005638],[17.142834,47.014771],[17.138418,47.013557],[17.136131,47.015422],[17.12888,47.015685],[17.122094,47.018614],[17.112859,47.027603],[17.091313,47.037899],[17.073558,47.050924]]]]}</t>
  </si>
  <si>
    <t>{"type":"MultiPolygon","coordinates":[[[[16.362641,46.780398],[16.36812,46.781674],[16.378699,46.780775],[16.379125,46.783452],[16.381296,46.784266],[16.38124,46.785412],[16.394883,46.789916],[16.397158,46.788828],[16.411606,46.788401],[16.412249,46.786512],[16.414467,46.786564],[16.420246,46.781742],[16.426798,46.783803],[16.433079,46.780134],[16.436993,46.779461],[16.44053,46.776625],[16.443486,46.780184],[16.451309,46.781693],[16.465993,46.787744],[16.473658,46.789822],[16.477995,46.791823],[16.480926,46.794922],[16.48831,46.796632],[16.496418,46.801006],[16.498529,46.803336],[16.503463,46.804593],[16.506665,46.807331],[16.50487,46.809958],[16.50737,46.815725],[16.505141,46.816059],[16.506603,46.820284],[16.506242,46.827891],[16.504564,46.828238],[16.502037,46.834655],[16.508138,46.834791],[16.51248,46.836798],[16.519141,46.836946],[16.521823,46.838909],[16.536673,46.841904],[16.547261,46.840996],[16.549623,46.837997],[16.554633,46.837728],[16.556809,46.838533],[16.556756,46.839679],[16.557866,46.839703],[16.557174,46.842732],[16.558222,46.843826],[16.562096,46.844365],[16.562712,46.855044],[16.565467,46.855489],[16.564854,46.856617],[16.568204,46.856311],[16.568839,46.866612],[16.567658,46.868106],[16.571489,46.869336],[16.579274,46.869121],[16.58307,46.871106],[16.580104,46.875234],[16.584889,46.879914],[16.586569,46.879566],[16.586447,46.882229],[16.588118,46.882265],[16.591637,46.890347],[16.603566,46.896698],[16.603514,46.897838],[16.624383,46.915807],[16.631168,46.925475],[16.636202,46.924819],[16.643563,46.92193],[16.65195,46.920959],[16.655226,46.922175],[16.656754,46.925251],[16.66605,46.928875],[16.667527,46.933097],[16.683057,46.934183],[16.686794,46.937689],[16.689043,46.936973],[16.691402,46.933977],[16.69984,46.931863],[16.701086,46.928838],[16.71102,46.930567],[16.721606,46.930021],[16.727109,46.93128],[16.733782,46.931415],[16.73375,46.932171],[16.737605,46.933012],[16.76058,46.928905],[16.773958,46.928031],[16.775638,46.92768],[16.777407,46.925434],[16.779055,46.925845],[16.787135,46.9321],[16.787926,46.939736],[16.786781,46.940476],[16.786476,46.947706],[16.809151,46.950819],[16.813672,46.949004],[16.814185,46.950155],[16.817514,46.95022],[16.816021,46.959336],[16.817945,46.966609],[16.817644,46.973845],[16.819823,46.975029],[16.81923,46.97578],[16.821456,46.975823],[16.822081,46.97431],[16.823746,46.974342],[16.823825,46.97244],[16.828656,46.976726],[16.838509,46.980724],[16.84364,46.977779],[16.847845,46.97024],[16.868884,46.972931],[16.867848,46.971001],[16.873389,46.971491],[16.874549,46.970366],[16.879023,46.969695],[16.899404,46.975028],[16.90896,46.972541],[16.917871,46.97233],[16.921483,46.96554],[16.92377,46.964057],[16.92386,46.961771],[16.929938,46.962646],[16.94168,46.961345],[16.945541,46.962172],[16.950044,46.960736],[16.957214,46.962386],[16.966706,46.961419],[16.978939,46.961641],[16.982801,46.962474],[16.985994,46.966338],[16.991667,46.963396],[16.994328,46.966488],[16.992634,46.96722],[16.990822,46.971001],[16.988059,46.970567],[16.985436,46.980805],[16.991526,46.981677],[17.003436,46.990273],[17.011711,46.992324],[17.016966,47.000415],[17.019396,46.995127],[17.02051,46.995146],[17.018051,47.001197],[17.011058,47.009455],[17.009829,47.012477],[17.011205,47.020121],[17.007567,47.028054],[17.001238,47.033279],[17.003423,47.034459],[17.001718,47.035191],[17.015937,47.042301],[17.021675,47.037828],[17.027786,47.03832],[17.037709,47.041161],[17.043006,47.033634],[17.042644,47.028296],[17.043263,47.026782],[17.046058,47.026453],[17.045015,47.024531],[17.049968,47.026137],[17.057023,47.031213],[17.072889,47.023869],[17.075614,47.025441],[17.072879,47.039108],[17.075305,47.04905],[17.079839,47.046847],[17.091313,47.037899],[17.112859,47.027603],[17.122094,47.018614],[17.12888,47.015685],[17.136131,47.015422],[17.138418,47.013557],[17.142834,47.014771],[17.14316,47.005638],[17.142113,47.003718],[17.143915,46.999935],[17.148883,47.001158],[17.153392,46.999714],[17.162887,46.998724],[17.174003,46.999291],[17.176337,46.99628],[17.178565,46.996316],[17.180124,46.999392],[17.18073,46.997876],[17.184138,46.996029],[17.19128,46.998811],[17.199634,46.998562],[17.206634,47.005531],[17.208966,47.002525],[17.207317,47.001736],[17.210211,46.998732],[17.218129,46.995053],[17.221448,46.995484],[17.225472,46.991742],[17.228865,46.990271],[17.229504,46.988],[17.232348,46.986136],[17.230686,46.985731],[17.230289,46.981156],[17.234875,46.977038],[17.237064,46.978213],[17.246244,46.969983],[17.243555,46.967269],[17.24582,46.966164],[17.250031,46.956708],[17.238423,46.954622],[17.242074,46.945157],[17.23987,46.944738],[17.238847,46.942056],[17.233871,46.941214],[17.231852,46.935088],[17.229075,46.935044],[17.228618,46.931993],[17.22588,46.930808],[17.230678,46.9206],[17.241872,46.918112],[17.251822,46.919788],[17.254072,46.919061],[17.256386,46.916432],[17.261874,46.918427],[17.26805,46.916614],[17.269111,46.918156],[17.276248,46.920932],[17.284037,46.920675],[17.297615,46.913265],[17.303913,46.907646],[17.305074,46.906145],[17.303485,46.903833],[17.304758,46.898899],[17.30811,46.898187],[17.309856,46.895933],[17.322153,46.893454],[17.326783,46.887808],[17.326954,46.882479],[17.325356,46.880168],[17.317708,46.876245],[17.319514,46.872082],[17.322912,46.869846],[17.327357,46.869913],[17.331327,46.867307],[17.333671,46.863536],[17.332073,46.861225],[17.335503,46.858232],[17.333915,46.855921],[17.330631,46.854347],[17.330205,46.850149],[17.325905,46.8459],[17.324941,46.84131],[17.327859,46.836786],[17.326222,46.835998],[17.325892,46.829137],[17.334267,46.82736],[17.342236,46.821001],[17.350702,46.816559],[17.354132,46.813182],[17.360149,46.798418],[17.359697,46.794983],[17.361426,46.793105],[17.367596,46.790909],[17.373301,46.785662],[17.381176,46.781971],[17.417952,46.757744],[17.419818,46.750914],[17.397719,46.748693],[17.385683,46.743949],[17.37867,46.737746],[17.372095,46.733899],[17.361681,46.731786],[17.311227,46.733308],[17.299216,46.735408],[17.277953,46.734298],[17.264536,46.705677],[17.259143,46.703628],[17.257061,46.700587],[17.25637,46.69358],[17.251415,46.687556],[17.24556,46.684267],[17.241875,46.680406],[17.237663,46.67926],[17.234597,46.679551],[17.232137,46.677989],[17.228467,46.675039],[17.22001,46.663925],[17.221386,46.654958],[17.218282,46.648814],[17.222071,46.634783],[17.215143,46.610687],[17.22005,46.580281],[17.220109,46.562378],[17.222779,46.532334],[17.226259,46.527437],[17.226786,46.511829],[17.219472,46.499523],[17.214666,46.494869],[17.204791,46.493568],[17.201233,46.48475],[17.196247,46.485431],[17.197302,46.486589],[17.193975,46.487298],[17.19017,46.48571],[17.194557,46.483634],[17.188878,46.475026],[17.188943,46.473123],[17.195267,46.465608],[17.194322,46.445022],[17.193311,46.442339],[17.191132,46.441541],[17.1883,46.429236],[17.181588,46.430721],[17.18042,46.432605],[17.141338,46.427379],[17.139107,46.41706],[17.13943,46.407921],[17.127943,46.405824],[17.114706,46.40636],[17.11386,46.414728],[17.102236,46.416432],[17.098821,46.419417],[17.096043,46.420132],[17.087454,46.42056],[17.085033,46.419941],[17.079875,46.415991],[17.077703,46.405012],[17.068622,46.40175],[17.06746,46.403639],[17.061364,46.404673],[17.059049,46.407676],[17.054623,46.408361],[17.054315,46.416738],[17.050981,46.417441],[17.04833,46.414729],[17.043852,46.416553],[17.037264,46.416058],[17.036964,46.409195],[17.03219,46.404535],[17.030647,46.401463],[17.031316,46.398424],[17.02973,46.396493],[17.034334,46.391243],[17.042119,46.389094],[17.043276,46.387595],[17.046867,46.379655],[17.044744,46.377714],[17.043812,46.373128],[17.047275,46.36862],[17.050591,46.368294],[17.05221,46.369086],[17.055009,46.367994],[17.053423,46.366057],[17.058988,46.349397],[17.058237,46.33986],[17.047253,46.339666],[17.044065,46.336559],[17.042602,46.331586],[17.037186,46.329202],[17.037497,46.320825],[17.040952,46.316702],[17.038809,46.315138],[17.029531,46.313448],[17.026317,46.311102],[17.02692,46.309594],[17.022042,46.307981],[17.017643,46.307902],[17.013914,46.304785],[17.008339,46.306972],[17.006513,46.311508],[17.001024,46.311409],[17.000143,46.313652],[16.993292,46.312415],[16.989346,46.315009],[16.985473,46.315701],[16.981233,46.311432],[16.978167,46.305282],[16.968266,46.305478],[16.963375,46.304247],[16.956542,46.296122],[16.951702,46.29336],[16.946265,46.29174],[16.946191,46.293642],[16.943987,46.293979],[16.939148,46.291223],[16.938019,46.291964],[16.938867,46.298459],[16.937767,46.298438],[16.939264,46.302273],[16.934306,46.302559],[16.936845,46.308702],[16.937145,46.314423],[16.935485,46.314776],[16.935941,46.317067],[16.928753,46.318079],[16.920608,46.315638],[16.912379,46.315098],[16.905296,46.313445],[16.901437,46.313749],[16.897092,46.312526],[16.893596,46.317413],[16.889192,46.317707],[16.886916,46.319567],[16.885634,46.324112],[16.876253,46.325079],[16.875759,46.323544],[16.876859,46.323565],[16.878081,46.320544],[16.876344,46.321024],[16.873484,46.323275],[16.873239,46.325819],[16.879087,46.331979],[16.879828,46.336384],[16.87218,46.336348],[16.871195,46.337862],[16.87458,46.341227],[16.873475,46.343173],[16.864262,46.344756],[16.861791,46.346501],[16.862055,46.347969],[16.866916,46.351287],[16.865843,46.354615],[16.862748,46.355192],[16.857039,46.35222],[16.855137,46.352654],[16.850699,46.354646],[16.850724,46.361301],[16.84439,46.363734],[16.839075,46.363826],[16.836065,46.365011],[16.836182,46.368429],[16.838677,46.372251],[16.837398,46.374085],[16.83308,46.374392],[16.830854,46.368848],[16.827874,46.367414],[16.825194,46.368377],[16.824099,46.372478],[16.822217,46.373413],[16.819768,46.373234],[16.816938,46.37106],[16.814128,46.371148],[16.810903,46.376935],[16.803543,46.377417],[16.802313,46.379223],[16.802335,46.38413],[16.793172,46.387127],[16.785416,46.384636],[16.78096,46.379922],[16.777729,46.3788],[16.775104,46.379929],[16.771306,46.385757],[16.768676,46.385517],[16.765731,46.383532],[16.764238,46.37974],[16.760558,46.378791],[16.756788,46.381787],[16.756005,46.386433],[16.754214,46.388066],[16.750234,46.388232],[16.744801,46.385571],[16.74176,46.386385],[16.738983,46.389713],[16.739643,46.398775],[16.734185,46.401137],[16.726075,46.400073],[16.723595,46.397774],[16.722724,46.392624],[16.718715,46.391545],[16.716172,46.394235],[16.715606,46.398143],[16.704432,46.405914],[16.699769,46.413761],[16.692118,46.421409],[16.680576,46.439146],[16.675474,46.442961],[16.673965,46.448219],[16.669098,46.449436],[16.660749,46.44508],[16.657466,46.446145],[16.658187,46.448679],[16.663973,46.450828],[16.665707,46.45272],[16.666202,46.45594],[16.663765,46.459464],[16.653228,46.463093],[16.645578,46.464193],[16.641503,46.463752],[16.636439,46.464744],[16.633005,46.46196],[16.630304,46.461695],[16.628393,46.462892],[16.627263,46.467065],[16.623749,46.468315],[16.617051,46.464718],[16.614674,46.46804],[16.610893,46.468712],[16.610014,46.471446],[16.606564,46.473131],[16.605855,46.476429],[16.60123,46.476069],[16.598998,46.477106],[16.59677,46.475903],[16.580903,46.478211],[16.579288,46.481046],[16.570138,46.48477],[16.56935,46.48798],[16.564345,46.489739],[16.561346,46.489402],[16.55304,46.492313],[16.537582,46.499876],[16.531974,46.500593],[16.523616,46.505404],[16.524473,46.508858],[16.529931,46.507618],[16.533203,46.514464],[16.531552,46.515421],[16.525849,46.515489],[16.525856,46.51851],[16.524391,46.519633],[16.528836,46.523177],[16.528824,46.524683],[16.530931,46.525204],[16.530151,46.528723],[16.532577,46.531403],[16.528972,46.5328],[16.527935,46.534941],[16.523471,46.535706],[16.519983,46.535045],[16.517673,46.536352],[16.518087,46.53773],[16.516819,46.538311],[16.517858,46.540573],[16.516188,46.541191],[16.51941,46.546375],[16.518303,46.547764],[16.518742,46.552737],[16.508411,46.565269],[16.501214,46.562476],[16.497162,46.563347],[16.493076,46.562549],[16.493086,46.564507],[16.490236,46.565647],[16.488397,46.565111],[16.482997,46.566038],[16.481855,46.574439],[16.484072,46.577622],[16.483401,46.578601],[16.473445,46.587571],[16.468906,46.58582],[16.461543,46.596927],[16.455677,46.597828],[16.453643,46.600706],[16.452195,46.600688],[16.445571,46.610952],[16.433634,46.613189],[16.424858,46.613165],[16.417306,46.620329],[16.412494,46.627645],[16.408708,46.628577],[16.407561,46.630894],[16.40446,46.632372],[16.402523,46.632148],[16.399637,46.634163],[16.391774,46.633727],[16.392027,46.635932],[16.389579,46.6383],[16.389969,46.64017],[16.392091,46.640876],[16.385941,46.644249],[16.385263,46.653895],[16.387413,46.653603],[16.391098,46.655142],[16.391506,46.659079],[16.393152,46.659182],[16.393707,46.66209],[16.391542,46.663726],[16.395921,46.664695],[16.403409,46.661233],[16.403117,46.658821],[16.408259,46.659641],[16.419846,46.658477],[16.420642,46.662489],[16.418324,46.664537],[16.423318,46.667009],[16.425366,46.67042],[16.425263,46.671648],[16.420333,46.674125],[16.420883,46.67628],[16.42443,46.677411],[16.425585,46.678991],[16.421804,46.679366],[16.421349,46.680415],[16.423203,46.686227],[16.428634,46.693974],[16.423997,46.695856],[16.417175,46.696204],[16.415049,46.695443],[16.402719,46.697453],[16.381688,46.698053],[16.368555,46.70423],[16.379852,46.712022],[16.379827,46.715387],[16.374977,46.717137],[16.375368,46.718618],[16.373018,46.719036],[16.371572,46.723455],[16.381506,46.735502],[16.394466,46.74228],[16.391967,46.747939],[16.394146,46.748753],[16.392963,46.750251],[16.391304,46.750212],[16.389421,46.754738],[16.384248,46.758425],[16.388011,46.760802],[16.385699,46.762651],[16.392844,46.763959],[16.396988,46.769774],[16.40094,46.76834],[16.406808,46.773053],[16.404478,46.775281],[16.399418,46.776689],[16.393389,46.775407],[16.391096,46.776873],[16.388385,46.775669],[16.383911,46.776327],[16.382366,46.774002],[16.375873,46.770805],[16.37484,46.769255],[16.370945,46.769548],[16.365249,46.772459],[16.364414,46.778157],[16.362641,46.780398]]]]}</t>
  </si>
  <si>
    <t>&lt;p style="font-size:19px;margin-bottom:-4px"&gt;</t>
  </si>
  <si>
    <t>&lt;p style="font-size:15px;margin-top:-6px;margin-bottom:-6px"&gt;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</si>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</sst>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-&quot;mm&quot;-&quot;dd"/>
    <numFmt numFmtId="165" formatCode="yyyy\-mm\-dd"/>
    <numFmt numFmtId="166" formatCode="0.0%"/>
    <numFmt numFmtId="167" formatCode="#,##0.00000000"/>
    <numFmt numFmtId="168" formatCode="yyyy\-m\-d"/>
    <numFmt numFmtId="169" formatCode="00\ 000"/>
    <numFmt numFmtId="170" formatCode="#,##0.0"/>
  </numFmts>
  <fonts count="16">
    <font>
      <sz val="10"/>
      <color rgb="FF00000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2"/>
      <color rgb="FF333333"/>
      <name val="Calibri"/>
      <family val="2"/>
    </font>
    <font>
      <sz val="10"/>
      <color rgb="FF333333"/>
      <name val="Arial"/>
      <family val="2"/>
    </font>
    <font>
      <sz val="10"/>
      <color rgb="FF333333"/>
      <name val="Sans-serif"/>
    </font>
    <font>
      <b/>
      <sz val="10"/>
      <name val="Arial"/>
      <family val="2"/>
    </font>
    <font>
      <sz val="11"/>
      <color rgb="FF333333"/>
      <name val="Arial"/>
      <family val="2"/>
    </font>
    <font>
      <sz val="12"/>
      <color rgb="FF0A0101"/>
      <name val="&quot;Helvetica Neue&quot;"/>
    </font>
    <font>
      <sz val="11"/>
      <color rgb="FF000000"/>
      <name val="Inconsolata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1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10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64" fontId="1" fillId="0" borderId="0" xfId="0" applyNumberFormat="1" applyFont="1"/>
    <xf numFmtId="1" fontId="1" fillId="0" borderId="0" xfId="0" applyNumberFormat="1" applyFont="1"/>
    <xf numFmtId="10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166" fontId="1" fillId="0" borderId="0" xfId="0" applyNumberFormat="1" applyFont="1"/>
    <xf numFmtId="167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0" applyFont="1"/>
    <xf numFmtId="10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2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165" fontId="8" fillId="0" borderId="0" xfId="0" applyNumberFormat="1" applyFont="1"/>
    <xf numFmtId="165" fontId="10" fillId="0" borderId="0" xfId="0" applyNumberFormat="1" applyFont="1" applyAlignment="1">
      <alignment horizontal="right"/>
    </xf>
    <xf numFmtId="0" fontId="7" fillId="3" borderId="0" xfId="0" applyFont="1" applyFill="1" applyAlignment="1">
      <alignment horizontal="right"/>
    </xf>
    <xf numFmtId="168" fontId="7" fillId="0" borderId="0" xfId="0" applyNumberFormat="1" applyFont="1" applyAlignment="1">
      <alignment horizontal="right"/>
    </xf>
    <xf numFmtId="0" fontId="12" fillId="2" borderId="0" xfId="0" applyFont="1" applyFill="1"/>
    <xf numFmtId="169" fontId="1" fillId="0" borderId="0" xfId="0" applyNumberFormat="1" applyFont="1" applyAlignment="1">
      <alignment horizontal="left"/>
    </xf>
    <xf numFmtId="0" fontId="1" fillId="4" borderId="0" xfId="0" applyFont="1" applyFill="1"/>
    <xf numFmtId="0" fontId="13" fillId="3" borderId="0" xfId="0" applyFont="1" applyFill="1" applyAlignment="1">
      <alignment horizontal="right"/>
    </xf>
    <xf numFmtId="10" fontId="1" fillId="4" borderId="0" xfId="0" applyNumberFormat="1" applyFont="1" applyFill="1"/>
    <xf numFmtId="170" fontId="12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right"/>
    </xf>
    <xf numFmtId="164" fontId="12" fillId="2" borderId="0" xfId="0" applyNumberFormat="1" applyFont="1" applyFill="1"/>
    <xf numFmtId="0" fontId="14" fillId="2" borderId="0" xfId="0" applyFont="1" applyFill="1"/>
    <xf numFmtId="0" fontId="1" fillId="0" borderId="0" xfId="0" applyFont="1" applyAlignment="1">
      <alignment horizontal="left" vertical="top"/>
    </xf>
    <xf numFmtId="167" fontId="1" fillId="0" borderId="0" xfId="0" applyNumberFormat="1" applyFont="1"/>
    <xf numFmtId="4" fontId="1" fillId="0" borderId="0" xfId="0" applyNumberFormat="1" applyFont="1"/>
    <xf numFmtId="167" fontId="15" fillId="0" borderId="0" xfId="0" applyNumberFormat="1" applyFont="1"/>
    <xf numFmtId="0" fontId="15" fillId="0" borderId="0" xfId="0" applyFont="1"/>
    <xf numFmtId="4" fontId="15" fillId="0" borderId="0" xfId="0" applyNumberFormat="1" applyFont="1"/>
    <xf numFmtId="167" fontId="3" fillId="0" borderId="0" xfId="0" applyNumberFormat="1" applyFont="1"/>
    <xf numFmtId="4" fontId="3" fillId="0" borderId="0" xfId="0" applyNumberFormat="1" applyFont="1"/>
    <xf numFmtId="0" fontId="4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2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5" max="5" width="17.33203125" customWidth="1"/>
    <col min="7" max="7" width="13.5" customWidth="1"/>
    <col min="8" max="8" width="14.1640625" customWidth="1"/>
  </cols>
  <sheetData>
    <row r="1" spans="1:3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34</v>
      </c>
      <c r="S1" s="1" t="s">
        <v>35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8" t="s">
        <v>28</v>
      </c>
      <c r="AD1" s="8" t="s">
        <v>28</v>
      </c>
      <c r="AE1" s="8" t="s">
        <v>28</v>
      </c>
      <c r="AF1" s="8" t="s">
        <v>28</v>
      </c>
      <c r="AG1" s="8" t="s">
        <v>29</v>
      </c>
      <c r="AH1" s="8" t="s">
        <v>30</v>
      </c>
      <c r="AI1" s="8" t="s">
        <v>28</v>
      </c>
      <c r="AJ1" s="8" t="s">
        <v>31</v>
      </c>
      <c r="AK1" s="8" t="s">
        <v>32</v>
      </c>
      <c r="AL1" s="8" t="s">
        <v>28</v>
      </c>
      <c r="AM1" s="8" t="s">
        <v>28</v>
      </c>
    </row>
    <row r="2" spans="1:39" ht="13">
      <c r="A2" s="15">
        <v>43894</v>
      </c>
      <c r="B2" s="16">
        <v>2</v>
      </c>
      <c r="C2" s="16">
        <v>2</v>
      </c>
      <c r="D2" s="16"/>
      <c r="E2" s="16"/>
      <c r="F2" s="16">
        <v>230</v>
      </c>
      <c r="G2" s="17"/>
      <c r="H2" s="18">
        <v>21</v>
      </c>
      <c r="J2" s="13">
        <v>8.6999999999999994E-3</v>
      </c>
      <c r="L2" s="16">
        <v>2</v>
      </c>
      <c r="M2" s="13"/>
      <c r="N2" s="13"/>
      <c r="P2" s="16"/>
      <c r="Q2" s="16"/>
      <c r="S2" s="16"/>
      <c r="T2" s="16"/>
      <c r="V2" s="19">
        <f t="shared" ref="V2:V256" si="0">L2/B2</f>
        <v>1</v>
      </c>
      <c r="W2" s="20"/>
      <c r="X2" s="20"/>
      <c r="Y2" s="20"/>
      <c r="Z2" s="20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r="3" spans="1:39" ht="13">
      <c r="A3" s="15">
        <v>43895</v>
      </c>
      <c r="B3" s="16">
        <v>4</v>
      </c>
      <c r="C3" s="16">
        <v>2</v>
      </c>
      <c r="D3" s="16"/>
      <c r="E3" s="16"/>
      <c r="F3" s="16">
        <v>230</v>
      </c>
      <c r="G3" s="17"/>
      <c r="H3" s="18">
        <v>40</v>
      </c>
      <c r="J3" s="13">
        <v>1.7399999999999999E-2</v>
      </c>
      <c r="L3" s="16">
        <v>4</v>
      </c>
      <c r="M3" s="13"/>
      <c r="N3" s="13"/>
      <c r="P3" s="16">
        <v>0</v>
      </c>
      <c r="Q3" s="16"/>
      <c r="S3" s="16"/>
      <c r="T3" s="16"/>
      <c r="V3" s="19">
        <f t="shared" si="0"/>
        <v>1</v>
      </c>
      <c r="W3" s="20">
        <f t="shared" ref="W3:X3" si="1">T3-T2</f>
        <v>0</v>
      </c>
      <c r="X3" s="20">
        <f t="shared" si="1"/>
        <v>0</v>
      </c>
      <c r="Y3" s="19"/>
      <c r="Z3" s="19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r="4" spans="1:39" ht="13">
      <c r="A4" s="15">
        <v>43896</v>
      </c>
      <c r="B4" s="16">
        <v>4</v>
      </c>
      <c r="C4" s="16">
        <v>0</v>
      </c>
      <c r="D4" s="16"/>
      <c r="E4" s="16"/>
      <c r="F4" s="16">
        <v>269</v>
      </c>
      <c r="G4" s="17">
        <f t="shared" ref="G4:G173" si="2">F4/9.8</f>
        <v>27.448979591836732</v>
      </c>
      <c r="H4" s="18">
        <v>39</v>
      </c>
      <c r="J4" s="13">
        <v>1.49E-2</v>
      </c>
      <c r="K4" s="22">
        <v>0.17</v>
      </c>
      <c r="L4" s="16">
        <v>4</v>
      </c>
      <c r="M4" s="13"/>
      <c r="N4" s="13"/>
      <c r="P4" s="16">
        <v>39</v>
      </c>
      <c r="Q4" s="13"/>
      <c r="S4" s="16"/>
      <c r="T4" s="16"/>
      <c r="V4" s="19">
        <f t="shared" si="0"/>
        <v>1</v>
      </c>
      <c r="W4" s="20">
        <f t="shared" ref="W4:X4" si="3">T4-T3</f>
        <v>0</v>
      </c>
      <c r="X4" s="20">
        <f t="shared" si="3"/>
        <v>0</v>
      </c>
      <c r="Y4" s="19"/>
      <c r="Z4" s="19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r="5" spans="1:39" ht="13">
      <c r="A5" s="15">
        <v>43897</v>
      </c>
      <c r="B5" s="16">
        <v>5</v>
      </c>
      <c r="C5" s="16">
        <v>1</v>
      </c>
      <c r="D5" s="16"/>
      <c r="E5" s="16"/>
      <c r="F5" s="16">
        <v>319</v>
      </c>
      <c r="G5" s="17">
        <f t="shared" si="2"/>
        <v>32.551020408163261</v>
      </c>
      <c r="H5" s="18">
        <v>48</v>
      </c>
      <c r="I5" s="13">
        <v>0.25</v>
      </c>
      <c r="J5" s="13">
        <v>1.5699999999999999E-2</v>
      </c>
      <c r="K5" s="22">
        <v>0.186</v>
      </c>
      <c r="L5" s="16">
        <v>5</v>
      </c>
      <c r="M5" s="13"/>
      <c r="N5" s="13"/>
      <c r="P5" s="16">
        <v>50</v>
      </c>
      <c r="Q5" s="13">
        <v>0.02</v>
      </c>
      <c r="S5" s="16"/>
      <c r="T5" s="16"/>
      <c r="V5" s="19">
        <f t="shared" si="0"/>
        <v>1</v>
      </c>
      <c r="W5" s="20">
        <f t="shared" ref="W5:X5" si="4">T5-T4</f>
        <v>0</v>
      </c>
      <c r="X5" s="20">
        <f t="shared" si="4"/>
        <v>0</v>
      </c>
      <c r="Y5" s="19"/>
      <c r="Z5" s="19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r="6" spans="1:39" ht="13">
      <c r="A6" s="15">
        <v>43898</v>
      </c>
      <c r="B6" s="16">
        <v>7</v>
      </c>
      <c r="C6" s="16">
        <v>2</v>
      </c>
      <c r="D6" s="16"/>
      <c r="E6" s="16"/>
      <c r="F6" s="16">
        <v>362</v>
      </c>
      <c r="G6" s="17">
        <f t="shared" si="2"/>
        <v>36.938775510204081</v>
      </c>
      <c r="H6" s="18">
        <v>67</v>
      </c>
      <c r="I6" s="13">
        <v>0.4</v>
      </c>
      <c r="J6" s="13">
        <v>1.9300000000000001E-2</v>
      </c>
      <c r="K6" s="22">
        <v>0.13500000000000001</v>
      </c>
      <c r="L6" s="16">
        <v>7</v>
      </c>
      <c r="M6" s="13"/>
      <c r="N6" s="13"/>
      <c r="P6" s="16">
        <v>43</v>
      </c>
      <c r="Q6" s="13">
        <v>4.65E-2</v>
      </c>
      <c r="S6" s="16"/>
      <c r="T6" s="16"/>
      <c r="V6" s="19">
        <f t="shared" si="0"/>
        <v>1</v>
      </c>
      <c r="W6" s="20">
        <f t="shared" ref="W6:X6" si="5">T6-T5</f>
        <v>0</v>
      </c>
      <c r="X6" s="20">
        <f t="shared" si="5"/>
        <v>0</v>
      </c>
      <c r="Y6" s="19"/>
      <c r="Z6" s="19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</row>
    <row r="7" spans="1:39" ht="16">
      <c r="A7" s="15">
        <v>43899</v>
      </c>
      <c r="B7" s="16">
        <v>9</v>
      </c>
      <c r="C7" s="16">
        <v>2</v>
      </c>
      <c r="D7" s="16"/>
      <c r="F7" s="16">
        <v>362</v>
      </c>
      <c r="G7" s="17">
        <f t="shared" si="2"/>
        <v>36.938775510204081</v>
      </c>
      <c r="H7" s="18">
        <v>67</v>
      </c>
      <c r="I7" s="13">
        <v>0.28570000000000001</v>
      </c>
      <c r="J7" s="13">
        <v>2.4899999999999999E-2</v>
      </c>
      <c r="K7" s="22"/>
      <c r="L7" s="16">
        <v>9</v>
      </c>
      <c r="M7" s="13"/>
      <c r="N7" s="13"/>
      <c r="P7" s="16">
        <v>0</v>
      </c>
      <c r="Q7" s="13"/>
      <c r="S7" s="16"/>
      <c r="T7" s="16"/>
      <c r="V7" s="19">
        <f t="shared" si="0"/>
        <v>1</v>
      </c>
      <c r="W7" s="20">
        <f t="shared" ref="W7:X7" si="6">T7-T6</f>
        <v>0</v>
      </c>
      <c r="X7" s="20">
        <f t="shared" si="6"/>
        <v>0</v>
      </c>
      <c r="Y7" s="19"/>
      <c r="Z7" s="19"/>
      <c r="AA7" s="21"/>
      <c r="AB7" s="21"/>
      <c r="AC7" s="21"/>
      <c r="AD7" s="21"/>
      <c r="AE7" s="23"/>
      <c r="AF7" s="21"/>
      <c r="AG7" s="21"/>
      <c r="AH7" s="21"/>
      <c r="AI7" s="21"/>
      <c r="AJ7" s="21"/>
      <c r="AK7" s="21"/>
      <c r="AL7" s="21"/>
      <c r="AM7" s="21"/>
    </row>
    <row r="8" spans="1:39" ht="16">
      <c r="A8" s="15">
        <v>43900</v>
      </c>
      <c r="B8" s="16">
        <v>12</v>
      </c>
      <c r="C8" s="16">
        <v>3</v>
      </c>
      <c r="D8" s="16"/>
      <c r="E8" s="16"/>
      <c r="F8" s="16">
        <v>531</v>
      </c>
      <c r="G8" s="17">
        <f t="shared" si="2"/>
        <v>54.183673469387749</v>
      </c>
      <c r="H8" s="18">
        <v>53</v>
      </c>
      <c r="I8" s="13">
        <v>0.33329999999999999</v>
      </c>
      <c r="J8" s="13">
        <v>2.2599999999999999E-2</v>
      </c>
      <c r="K8" s="22">
        <v>0.46700000000000003</v>
      </c>
      <c r="L8" s="16">
        <v>12</v>
      </c>
      <c r="M8" s="13"/>
      <c r="N8" s="13"/>
      <c r="P8" s="16">
        <v>169</v>
      </c>
      <c r="Q8" s="13">
        <v>1.78E-2</v>
      </c>
      <c r="S8" s="16"/>
      <c r="T8" s="16"/>
      <c r="V8" s="19">
        <f t="shared" si="0"/>
        <v>1</v>
      </c>
      <c r="W8" s="20">
        <f t="shared" ref="W8:X8" si="7">T8-T7</f>
        <v>0</v>
      </c>
      <c r="X8" s="20">
        <f t="shared" si="7"/>
        <v>0</v>
      </c>
      <c r="Y8" s="19"/>
      <c r="Z8" s="19"/>
      <c r="AA8" s="21"/>
      <c r="AB8" s="21"/>
      <c r="AC8" s="23">
        <f t="shared" ref="AC8:AC262" si="8">SUM(C2:C8)/7</f>
        <v>1.7142857142857142</v>
      </c>
      <c r="AD8" s="23"/>
      <c r="AE8" s="23">
        <f t="shared" ref="AE8:AE262" si="9">SUM(P2:P8)/7</f>
        <v>43</v>
      </c>
      <c r="AF8" s="21"/>
      <c r="AG8" s="21"/>
      <c r="AH8" s="21"/>
      <c r="AI8" s="21"/>
      <c r="AJ8" s="21"/>
      <c r="AK8" s="21"/>
      <c r="AL8" s="21"/>
      <c r="AM8" s="21"/>
    </row>
    <row r="9" spans="1:39" ht="16">
      <c r="A9" s="15">
        <v>43901</v>
      </c>
      <c r="B9" s="16">
        <v>13</v>
      </c>
      <c r="C9" s="16">
        <v>1</v>
      </c>
      <c r="D9" s="16"/>
      <c r="E9" s="16"/>
      <c r="F9" s="16">
        <v>609</v>
      </c>
      <c r="G9" s="17">
        <f t="shared" si="2"/>
        <v>62.142857142857139</v>
      </c>
      <c r="H9" s="18">
        <v>69</v>
      </c>
      <c r="I9" s="13">
        <v>8.3299999999999999E-2</v>
      </c>
      <c r="J9" s="13">
        <v>2.1299999999999999E-2</v>
      </c>
      <c r="K9" s="22">
        <v>0.14699999999999999</v>
      </c>
      <c r="L9" s="16">
        <v>13</v>
      </c>
      <c r="M9" s="13"/>
      <c r="N9" s="13"/>
      <c r="P9" s="16">
        <v>78</v>
      </c>
      <c r="Q9" s="13">
        <v>1.2800000000000001E-2</v>
      </c>
      <c r="S9" s="16"/>
      <c r="T9" s="16"/>
      <c r="V9" s="19">
        <f t="shared" si="0"/>
        <v>1</v>
      </c>
      <c r="W9" s="20">
        <f t="shared" ref="W9:X9" si="10">T9-T8</f>
        <v>0</v>
      </c>
      <c r="X9" s="20">
        <f t="shared" si="10"/>
        <v>0</v>
      </c>
      <c r="Y9" s="19"/>
      <c r="Z9" s="19"/>
      <c r="AA9" s="21"/>
      <c r="AB9" s="24"/>
      <c r="AC9" s="23">
        <f t="shared" si="8"/>
        <v>1.5714285714285714</v>
      </c>
      <c r="AD9" s="24"/>
      <c r="AE9" s="23">
        <f t="shared" si="9"/>
        <v>54.142857142857146</v>
      </c>
      <c r="AF9" s="24"/>
      <c r="AG9" s="24"/>
      <c r="AH9" s="24"/>
      <c r="AI9" s="24"/>
      <c r="AJ9" s="24"/>
      <c r="AK9" s="24"/>
      <c r="AL9" s="24"/>
      <c r="AM9" s="24"/>
    </row>
    <row r="10" spans="1:39" ht="16">
      <c r="A10" s="15">
        <v>43902</v>
      </c>
      <c r="B10" s="16">
        <v>16</v>
      </c>
      <c r="C10" s="16">
        <v>3</v>
      </c>
      <c r="D10" s="16"/>
      <c r="E10" s="16"/>
      <c r="F10" s="16">
        <v>730</v>
      </c>
      <c r="G10" s="17">
        <f t="shared" si="2"/>
        <v>74.489795918367335</v>
      </c>
      <c r="H10" s="18">
        <v>65</v>
      </c>
      <c r="I10" s="13">
        <v>0.23080000000000001</v>
      </c>
      <c r="J10" s="13">
        <v>2.1899999999999999E-2</v>
      </c>
      <c r="K10" s="22">
        <v>0.19900000000000001</v>
      </c>
      <c r="L10" s="16">
        <v>16</v>
      </c>
      <c r="M10" s="13"/>
      <c r="N10" s="13"/>
      <c r="P10" s="16">
        <v>121</v>
      </c>
      <c r="Q10" s="13">
        <v>2.4799999999999999E-2</v>
      </c>
      <c r="S10" s="16"/>
      <c r="T10" s="16"/>
      <c r="V10" s="19">
        <f t="shared" si="0"/>
        <v>1</v>
      </c>
      <c r="W10" s="20">
        <f t="shared" ref="W10:X10" si="11">T10-T9</f>
        <v>0</v>
      </c>
      <c r="X10" s="20">
        <f t="shared" si="11"/>
        <v>0</v>
      </c>
      <c r="Y10" s="19"/>
      <c r="Z10" s="19"/>
      <c r="AA10" s="21"/>
      <c r="AB10" s="24"/>
      <c r="AC10" s="23">
        <f t="shared" si="8"/>
        <v>1.7142857142857142</v>
      </c>
      <c r="AD10" s="24"/>
      <c r="AE10" s="23">
        <f t="shared" si="9"/>
        <v>71.428571428571431</v>
      </c>
      <c r="AF10" s="24"/>
      <c r="AG10" s="24"/>
      <c r="AH10" s="24"/>
      <c r="AI10" s="24"/>
      <c r="AJ10" s="24"/>
      <c r="AK10" s="24"/>
      <c r="AL10" s="24"/>
      <c r="AM10" s="24"/>
    </row>
    <row r="11" spans="1:39" ht="16">
      <c r="A11" s="15">
        <v>43903</v>
      </c>
      <c r="B11" s="16">
        <v>19</v>
      </c>
      <c r="C11" s="16">
        <v>3</v>
      </c>
      <c r="D11" s="16"/>
      <c r="E11" s="16">
        <v>1</v>
      </c>
      <c r="F11" s="16">
        <v>858</v>
      </c>
      <c r="G11" s="17">
        <f t="shared" si="2"/>
        <v>87.551020408163254</v>
      </c>
      <c r="H11" s="18">
        <v>79</v>
      </c>
      <c r="I11" s="13">
        <v>0.1875</v>
      </c>
      <c r="J11" s="13">
        <v>2.2100000000000002E-2</v>
      </c>
      <c r="K11" s="22">
        <v>0.17499999999999999</v>
      </c>
      <c r="L11" s="16">
        <v>18</v>
      </c>
      <c r="M11" s="16"/>
      <c r="N11" s="13">
        <v>5.2600000000000001E-2</v>
      </c>
      <c r="P11" s="16">
        <v>128</v>
      </c>
      <c r="Q11" s="13">
        <v>2.3400000000000001E-2</v>
      </c>
      <c r="S11" s="16">
        <v>1</v>
      </c>
      <c r="T11" s="16"/>
      <c r="V11" s="19">
        <f t="shared" si="0"/>
        <v>0.94736842105263153</v>
      </c>
      <c r="W11" s="20">
        <f t="shared" ref="W11:X11" si="12">T11-T10</f>
        <v>0</v>
      </c>
      <c r="X11" s="20">
        <f t="shared" si="12"/>
        <v>0</v>
      </c>
      <c r="Y11" s="19"/>
      <c r="Z11" s="19"/>
      <c r="AA11" s="21"/>
      <c r="AB11" s="24"/>
      <c r="AC11" s="23">
        <f t="shared" si="8"/>
        <v>2.1428571428571428</v>
      </c>
      <c r="AD11" s="24"/>
      <c r="AE11" s="23">
        <f t="shared" si="9"/>
        <v>84.142857142857139</v>
      </c>
      <c r="AF11" s="25">
        <f t="shared" ref="AF11:AF265" si="13">SUM(Q5:Q11)/7</f>
        <v>2.0757142857142859E-2</v>
      </c>
      <c r="AG11" s="25"/>
      <c r="AH11" s="25"/>
      <c r="AI11" s="25"/>
      <c r="AJ11" s="25"/>
      <c r="AK11" s="25"/>
      <c r="AL11" s="25"/>
      <c r="AM11" s="25"/>
    </row>
    <row r="12" spans="1:39" ht="16">
      <c r="A12" s="15">
        <v>43904</v>
      </c>
      <c r="B12" s="16">
        <v>30</v>
      </c>
      <c r="C12" s="16">
        <v>11</v>
      </c>
      <c r="D12" s="16"/>
      <c r="E12" s="16">
        <v>1</v>
      </c>
      <c r="F12" s="16">
        <v>1014</v>
      </c>
      <c r="G12" s="17">
        <f t="shared" si="2"/>
        <v>103.46938775510203</v>
      </c>
      <c r="H12" s="18">
        <v>79</v>
      </c>
      <c r="I12" s="13">
        <v>0.57889999999999997</v>
      </c>
      <c r="J12" s="13">
        <v>2.9600000000000001E-2</v>
      </c>
      <c r="K12" s="22">
        <v>0.182</v>
      </c>
      <c r="L12" s="16">
        <v>29</v>
      </c>
      <c r="M12" s="16"/>
      <c r="N12" s="13">
        <v>3.3300000000000003E-2</v>
      </c>
      <c r="P12" s="16">
        <v>156</v>
      </c>
      <c r="Q12" s="13">
        <v>7.0499999999999993E-2</v>
      </c>
      <c r="S12" s="16">
        <v>0</v>
      </c>
      <c r="T12" s="16"/>
      <c r="V12" s="19">
        <f t="shared" si="0"/>
        <v>0.96666666666666667</v>
      </c>
      <c r="W12" s="20">
        <f t="shared" ref="W12:X12" si="14">T12-T11</f>
        <v>0</v>
      </c>
      <c r="X12" s="20">
        <f t="shared" si="14"/>
        <v>0</v>
      </c>
      <c r="Y12" s="19"/>
      <c r="Z12" s="19"/>
      <c r="AA12" s="21"/>
      <c r="AB12" s="24"/>
      <c r="AC12" s="23">
        <f t="shared" si="8"/>
        <v>3.5714285714285716</v>
      </c>
      <c r="AD12" s="24"/>
      <c r="AE12" s="23">
        <f t="shared" si="9"/>
        <v>99.285714285714292</v>
      </c>
      <c r="AF12" s="25">
        <f t="shared" si="13"/>
        <v>2.7971428571428567E-2</v>
      </c>
      <c r="AG12" s="25"/>
      <c r="AH12" s="25"/>
      <c r="AI12" s="25"/>
      <c r="AJ12" s="25"/>
      <c r="AK12" s="25"/>
      <c r="AL12" s="25"/>
      <c r="AM12" s="25"/>
    </row>
    <row r="13" spans="1:39" ht="16">
      <c r="A13" s="15">
        <v>43905</v>
      </c>
      <c r="B13" s="16">
        <v>32</v>
      </c>
      <c r="C13" s="16">
        <v>2</v>
      </c>
      <c r="D13" s="16"/>
      <c r="E13" s="16">
        <v>1</v>
      </c>
      <c r="F13" s="16">
        <v>1236</v>
      </c>
      <c r="G13" s="17">
        <f t="shared" si="2"/>
        <v>126.12244897959182</v>
      </c>
      <c r="H13" s="18">
        <v>159</v>
      </c>
      <c r="I13" s="13">
        <v>6.6699999999999995E-2</v>
      </c>
      <c r="J13" s="13">
        <v>2.5899999999999999E-2</v>
      </c>
      <c r="K13" s="22">
        <v>0.219</v>
      </c>
      <c r="L13" s="16">
        <v>31</v>
      </c>
      <c r="M13" s="16"/>
      <c r="N13" s="13">
        <v>3.1300000000000001E-2</v>
      </c>
      <c r="P13" s="16">
        <v>222</v>
      </c>
      <c r="Q13" s="13">
        <v>8.9999999999999993E-3</v>
      </c>
      <c r="S13" s="16">
        <v>0</v>
      </c>
      <c r="T13" s="16"/>
      <c r="V13" s="19">
        <f t="shared" si="0"/>
        <v>0.96875</v>
      </c>
      <c r="W13" s="20">
        <f t="shared" ref="W13:X13" si="15">T13-T12</f>
        <v>0</v>
      </c>
      <c r="X13" s="20">
        <f t="shared" si="15"/>
        <v>0</v>
      </c>
      <c r="Y13" s="19"/>
      <c r="Z13" s="19"/>
      <c r="AA13" s="21"/>
      <c r="AB13" s="24"/>
      <c r="AC13" s="23">
        <f t="shared" si="8"/>
        <v>3.5714285714285716</v>
      </c>
      <c r="AD13" s="24"/>
      <c r="AE13" s="23">
        <f t="shared" si="9"/>
        <v>124.85714285714286</v>
      </c>
      <c r="AF13" s="25">
        <f t="shared" si="13"/>
        <v>2.2614285714285715E-2</v>
      </c>
      <c r="AG13" s="25"/>
      <c r="AH13" s="25"/>
      <c r="AI13" s="25"/>
      <c r="AJ13" s="25"/>
      <c r="AK13" s="25"/>
      <c r="AL13" s="25"/>
      <c r="AM13" s="25"/>
    </row>
    <row r="14" spans="1:39" ht="16">
      <c r="A14" s="15">
        <v>43906</v>
      </c>
      <c r="B14" s="16">
        <v>39</v>
      </c>
      <c r="C14" s="16">
        <v>7</v>
      </c>
      <c r="D14" s="16">
        <v>1</v>
      </c>
      <c r="E14" s="16">
        <v>2</v>
      </c>
      <c r="F14" s="16">
        <v>1470</v>
      </c>
      <c r="G14" s="17">
        <f t="shared" si="2"/>
        <v>150</v>
      </c>
      <c r="H14" s="18">
        <v>137</v>
      </c>
      <c r="I14" s="13">
        <v>0.21879999999999999</v>
      </c>
      <c r="J14" s="13">
        <v>2.6499999999999999E-2</v>
      </c>
      <c r="K14" s="22">
        <v>0.189</v>
      </c>
      <c r="L14" s="16">
        <v>36</v>
      </c>
      <c r="M14" s="13">
        <v>2.5600000000000001E-2</v>
      </c>
      <c r="N14" s="13">
        <v>5.1299999999999998E-2</v>
      </c>
      <c r="P14" s="16">
        <v>234</v>
      </c>
      <c r="Q14" s="13">
        <v>2.9899999999999999E-2</v>
      </c>
      <c r="R14" s="16">
        <v>1</v>
      </c>
      <c r="S14" s="16">
        <v>1</v>
      </c>
      <c r="T14" s="16"/>
      <c r="V14" s="19">
        <f t="shared" si="0"/>
        <v>0.92307692307692313</v>
      </c>
      <c r="W14" s="20">
        <f t="shared" ref="W14:X14" si="16">T14-T13</f>
        <v>0</v>
      </c>
      <c r="X14" s="20">
        <f t="shared" si="16"/>
        <v>0</v>
      </c>
      <c r="Y14" s="19"/>
      <c r="Z14" s="19"/>
      <c r="AA14" s="21"/>
      <c r="AB14" s="24"/>
      <c r="AC14" s="23">
        <f t="shared" si="8"/>
        <v>4.2857142857142856</v>
      </c>
      <c r="AD14" s="24"/>
      <c r="AE14" s="23">
        <f t="shared" si="9"/>
        <v>158.28571428571428</v>
      </c>
      <c r="AF14" s="25">
        <f t="shared" si="13"/>
        <v>2.6885714285714287E-2</v>
      </c>
      <c r="AG14" s="25"/>
      <c r="AH14" s="25"/>
      <c r="AI14" s="25"/>
      <c r="AJ14" s="25"/>
      <c r="AK14" s="25"/>
      <c r="AL14" s="25"/>
      <c r="AM14" s="25"/>
    </row>
    <row r="15" spans="1:39" ht="16">
      <c r="A15" s="15">
        <v>43907</v>
      </c>
      <c r="B15" s="16">
        <v>50</v>
      </c>
      <c r="C15" s="16">
        <v>11</v>
      </c>
      <c r="D15" s="16">
        <v>1</v>
      </c>
      <c r="E15" s="16">
        <v>2</v>
      </c>
      <c r="F15" s="16">
        <v>1587</v>
      </c>
      <c r="G15" s="17">
        <f t="shared" si="2"/>
        <v>161.93877551020407</v>
      </c>
      <c r="H15" s="18">
        <v>137</v>
      </c>
      <c r="I15" s="13">
        <v>0.28210000000000002</v>
      </c>
      <c r="J15" s="13">
        <v>3.15E-2</v>
      </c>
      <c r="K15" s="22">
        <v>0.08</v>
      </c>
      <c r="L15" s="16">
        <v>47</v>
      </c>
      <c r="M15" s="13">
        <v>0.02</v>
      </c>
      <c r="N15" s="13">
        <v>0.04</v>
      </c>
      <c r="P15" s="16">
        <v>117</v>
      </c>
      <c r="Q15" s="13">
        <v>9.4E-2</v>
      </c>
      <c r="R15" s="16">
        <v>0</v>
      </c>
      <c r="S15" s="16">
        <v>0</v>
      </c>
      <c r="T15" s="16"/>
      <c r="V15" s="19">
        <f t="shared" si="0"/>
        <v>0.94</v>
      </c>
      <c r="W15" s="20">
        <f t="shared" ref="W15:X15" si="17">T15-T14</f>
        <v>0</v>
      </c>
      <c r="X15" s="20">
        <f t="shared" si="17"/>
        <v>0</v>
      </c>
      <c r="Y15" s="19"/>
      <c r="Z15" s="19"/>
      <c r="AA15" s="21">
        <f t="shared" ref="AA15:AA269" si="18">(C9+C10+C11+C12+C13+C14+C15)/(C2+C3+C4+C5+C6+C7+C8)</f>
        <v>3.1666666666666665</v>
      </c>
      <c r="AB15" s="26"/>
      <c r="AC15" s="23">
        <f t="shared" si="8"/>
        <v>5.4285714285714288</v>
      </c>
      <c r="AD15" s="26"/>
      <c r="AE15" s="23">
        <f t="shared" si="9"/>
        <v>150.85714285714286</v>
      </c>
      <c r="AF15" s="25">
        <f t="shared" si="13"/>
        <v>3.7771428571428574E-2</v>
      </c>
      <c r="AG15" s="25"/>
      <c r="AH15" s="25"/>
      <c r="AI15" s="25"/>
      <c r="AJ15" s="25"/>
      <c r="AK15" s="25"/>
      <c r="AL15" s="25"/>
      <c r="AM15" s="25"/>
    </row>
    <row r="16" spans="1:39" ht="16">
      <c r="A16" s="15">
        <v>43908</v>
      </c>
      <c r="B16" s="16">
        <v>58</v>
      </c>
      <c r="C16" s="16">
        <v>8</v>
      </c>
      <c r="D16" s="16">
        <v>1</v>
      </c>
      <c r="E16" s="16">
        <v>2</v>
      </c>
      <c r="F16" s="16">
        <v>1803</v>
      </c>
      <c r="G16" s="17">
        <f t="shared" si="2"/>
        <v>183.97959183673467</v>
      </c>
      <c r="H16" s="18">
        <v>122</v>
      </c>
      <c r="I16" s="13">
        <v>0.16</v>
      </c>
      <c r="J16" s="13">
        <v>3.2199999999999999E-2</v>
      </c>
      <c r="K16" s="22">
        <v>0.13600000000000001</v>
      </c>
      <c r="L16" s="16">
        <v>55</v>
      </c>
      <c r="M16" s="13">
        <v>1.72E-2</v>
      </c>
      <c r="N16" s="13">
        <v>3.4500000000000003E-2</v>
      </c>
      <c r="O16" s="16">
        <v>2817</v>
      </c>
      <c r="P16" s="16">
        <v>216</v>
      </c>
      <c r="Q16" s="13">
        <v>3.6999999999999998E-2</v>
      </c>
      <c r="R16" s="16">
        <v>0</v>
      </c>
      <c r="S16" s="16">
        <v>0</v>
      </c>
      <c r="T16" s="16"/>
      <c r="V16" s="19">
        <f t="shared" si="0"/>
        <v>0.94827586206896552</v>
      </c>
      <c r="W16" s="20">
        <f t="shared" ref="W16:X16" si="19">T16-T15</f>
        <v>0</v>
      </c>
      <c r="X16" s="20">
        <f t="shared" si="19"/>
        <v>0</v>
      </c>
      <c r="Y16" s="19"/>
      <c r="Z16" s="19"/>
      <c r="AA16" s="21">
        <f t="shared" si="18"/>
        <v>4.0909090909090908</v>
      </c>
      <c r="AB16" s="26"/>
      <c r="AC16" s="23">
        <f t="shared" si="8"/>
        <v>6.4285714285714288</v>
      </c>
      <c r="AD16" s="26"/>
      <c r="AE16" s="23">
        <f t="shared" si="9"/>
        <v>170.57142857142858</v>
      </c>
      <c r="AF16" s="25">
        <f t="shared" si="13"/>
        <v>4.1228571428571434E-2</v>
      </c>
      <c r="AG16" s="25"/>
      <c r="AH16" s="25"/>
      <c r="AI16" s="25"/>
      <c r="AJ16" s="25"/>
      <c r="AK16" s="25"/>
      <c r="AL16" s="25"/>
      <c r="AM16" s="25"/>
    </row>
    <row r="17" spans="1:39" ht="16">
      <c r="A17" s="15">
        <v>43909</v>
      </c>
      <c r="B17" s="16">
        <v>73</v>
      </c>
      <c r="C17" s="16">
        <v>15</v>
      </c>
      <c r="D17" s="16">
        <v>1</v>
      </c>
      <c r="E17" s="16">
        <v>2</v>
      </c>
      <c r="F17" s="16">
        <v>2322</v>
      </c>
      <c r="G17" s="17">
        <f t="shared" si="2"/>
        <v>236.93877551020407</v>
      </c>
      <c r="H17" s="18">
        <v>124</v>
      </c>
      <c r="I17" s="13">
        <v>0.2586</v>
      </c>
      <c r="J17" s="13">
        <v>3.1399999999999997E-2</v>
      </c>
      <c r="K17" s="22">
        <v>0.28799999999999998</v>
      </c>
      <c r="L17" s="16">
        <v>70</v>
      </c>
      <c r="M17" s="13">
        <v>1.37E-2</v>
      </c>
      <c r="N17" s="13">
        <v>2.7400000000000001E-2</v>
      </c>
      <c r="O17" s="16">
        <v>3065</v>
      </c>
      <c r="P17" s="16">
        <v>519</v>
      </c>
      <c r="Q17" s="13">
        <v>2.8899999999999999E-2</v>
      </c>
      <c r="R17" s="16">
        <v>0</v>
      </c>
      <c r="S17" s="16">
        <v>0</v>
      </c>
      <c r="T17" s="16"/>
      <c r="V17" s="19">
        <f t="shared" si="0"/>
        <v>0.95890410958904104</v>
      </c>
      <c r="W17" s="20">
        <f t="shared" ref="W17:X17" si="20">T17-T16</f>
        <v>0</v>
      </c>
      <c r="X17" s="20">
        <f t="shared" si="20"/>
        <v>0</v>
      </c>
      <c r="Y17" s="19"/>
      <c r="Z17" s="19"/>
      <c r="AA17" s="21">
        <f t="shared" si="18"/>
        <v>4.75</v>
      </c>
      <c r="AB17" s="26"/>
      <c r="AC17" s="23">
        <f t="shared" si="8"/>
        <v>8.1428571428571423</v>
      </c>
      <c r="AD17" s="26"/>
      <c r="AE17" s="23">
        <f t="shared" si="9"/>
        <v>227.42857142857142</v>
      </c>
      <c r="AF17" s="25">
        <f t="shared" si="13"/>
        <v>4.1814285714285707E-2</v>
      </c>
      <c r="AG17" s="25"/>
      <c r="AH17" s="25"/>
      <c r="AI17" s="25"/>
      <c r="AJ17" s="25"/>
      <c r="AK17" s="25"/>
      <c r="AL17" s="25"/>
      <c r="AM17" s="26">
        <f t="shared" ref="AM17:AM271" si="21">SUM(S11:S17)/7</f>
        <v>0.2857142857142857</v>
      </c>
    </row>
    <row r="18" spans="1:39" ht="16">
      <c r="A18" s="15">
        <v>43910</v>
      </c>
      <c r="B18" s="16">
        <v>85</v>
      </c>
      <c r="C18" s="16">
        <v>12</v>
      </c>
      <c r="D18" s="16">
        <v>4</v>
      </c>
      <c r="E18" s="16">
        <v>7</v>
      </c>
      <c r="F18" s="16">
        <v>3007</v>
      </c>
      <c r="G18" s="17">
        <f t="shared" si="2"/>
        <v>306.83673469387753</v>
      </c>
      <c r="H18" s="18">
        <v>116</v>
      </c>
      <c r="I18" s="13">
        <v>0.16439999999999999</v>
      </c>
      <c r="J18" s="13">
        <v>2.8299999999999999E-2</v>
      </c>
      <c r="K18" s="22">
        <v>0.29499999999999998</v>
      </c>
      <c r="L18" s="16">
        <v>74</v>
      </c>
      <c r="M18" s="13">
        <v>4.7100000000000003E-2</v>
      </c>
      <c r="N18" s="13">
        <v>8.2400000000000001E-2</v>
      </c>
      <c r="O18" s="16">
        <v>3506</v>
      </c>
      <c r="P18" s="16">
        <v>685</v>
      </c>
      <c r="Q18" s="13">
        <v>1.7500000000000002E-2</v>
      </c>
      <c r="R18" s="16">
        <v>3</v>
      </c>
      <c r="S18" s="16">
        <v>5</v>
      </c>
      <c r="T18" s="16"/>
      <c r="V18" s="19">
        <f t="shared" si="0"/>
        <v>0.87058823529411766</v>
      </c>
      <c r="W18" s="20">
        <f t="shared" ref="W18:X18" si="22">T18-T17</f>
        <v>0</v>
      </c>
      <c r="X18" s="20">
        <f t="shared" si="22"/>
        <v>0</v>
      </c>
      <c r="Y18" s="19"/>
      <c r="Z18" s="19"/>
      <c r="AA18" s="21">
        <f t="shared" si="18"/>
        <v>4.4000000000000004</v>
      </c>
      <c r="AB18" s="26"/>
      <c r="AC18" s="23">
        <f t="shared" si="8"/>
        <v>9.4285714285714288</v>
      </c>
      <c r="AD18" s="26"/>
      <c r="AE18" s="23">
        <f t="shared" si="9"/>
        <v>307</v>
      </c>
      <c r="AF18" s="25">
        <f t="shared" si="13"/>
        <v>4.0971428571428568E-2</v>
      </c>
      <c r="AG18" s="25"/>
      <c r="AH18" s="25"/>
      <c r="AI18" s="25"/>
      <c r="AJ18" s="25"/>
      <c r="AK18" s="25"/>
      <c r="AL18" s="25"/>
      <c r="AM18" s="26">
        <f t="shared" si="21"/>
        <v>0.8571428571428571</v>
      </c>
    </row>
    <row r="19" spans="1:39" ht="16">
      <c r="A19" s="15">
        <v>43911</v>
      </c>
      <c r="B19" s="16">
        <v>103</v>
      </c>
      <c r="C19" s="16">
        <v>18</v>
      </c>
      <c r="D19" s="16">
        <v>4</v>
      </c>
      <c r="E19" s="16">
        <v>7</v>
      </c>
      <c r="F19" s="16">
        <v>3477</v>
      </c>
      <c r="G19" s="17">
        <f t="shared" si="2"/>
        <v>354.79591836734693</v>
      </c>
      <c r="H19" s="18">
        <v>117</v>
      </c>
      <c r="I19" s="13">
        <v>0.21179999999999999</v>
      </c>
      <c r="J19" s="13">
        <v>2.9600000000000001E-2</v>
      </c>
      <c r="K19" s="22">
        <v>0.156</v>
      </c>
      <c r="L19" s="16">
        <v>92</v>
      </c>
      <c r="M19" s="13">
        <v>3.8800000000000001E-2</v>
      </c>
      <c r="N19" s="13">
        <v>6.8000000000000005E-2</v>
      </c>
      <c r="O19" s="16">
        <v>3771</v>
      </c>
      <c r="P19" s="16">
        <v>470</v>
      </c>
      <c r="Q19" s="13">
        <v>3.8300000000000001E-2</v>
      </c>
      <c r="R19" s="16">
        <v>0</v>
      </c>
      <c r="S19" s="16">
        <v>0</v>
      </c>
      <c r="T19" s="16"/>
      <c r="V19" s="19">
        <f t="shared" si="0"/>
        <v>0.89320388349514568</v>
      </c>
      <c r="W19" s="20">
        <f t="shared" ref="W19:X19" si="23">T19-T18</f>
        <v>0</v>
      </c>
      <c r="X19" s="20">
        <f t="shared" si="23"/>
        <v>0</v>
      </c>
      <c r="Y19" s="19"/>
      <c r="Z19" s="19"/>
      <c r="AA19" s="21">
        <f t="shared" si="18"/>
        <v>2.92</v>
      </c>
      <c r="AB19" s="26"/>
      <c r="AC19" s="23">
        <f t="shared" si="8"/>
        <v>10.428571428571429</v>
      </c>
      <c r="AD19" s="26"/>
      <c r="AE19" s="23">
        <f t="shared" si="9"/>
        <v>351.85714285714283</v>
      </c>
      <c r="AF19" s="25">
        <f t="shared" si="13"/>
        <v>3.6371428571428568E-2</v>
      </c>
      <c r="AG19" s="25"/>
      <c r="AH19" s="25"/>
      <c r="AI19" s="25"/>
      <c r="AJ19" s="25"/>
      <c r="AK19" s="25"/>
      <c r="AL19" s="25"/>
      <c r="AM19" s="26">
        <f t="shared" si="21"/>
        <v>0.8571428571428571</v>
      </c>
    </row>
    <row r="20" spans="1:39" ht="16">
      <c r="A20" s="15">
        <v>43912</v>
      </c>
      <c r="B20" s="16">
        <v>131</v>
      </c>
      <c r="C20" s="16">
        <v>28</v>
      </c>
      <c r="D20" s="16">
        <v>6</v>
      </c>
      <c r="E20" s="16">
        <v>16</v>
      </c>
      <c r="F20" s="16">
        <v>4443</v>
      </c>
      <c r="G20" s="17">
        <f t="shared" si="2"/>
        <v>453.36734693877548</v>
      </c>
      <c r="H20" s="18">
        <v>115</v>
      </c>
      <c r="I20" s="13">
        <v>0.27179999999999999</v>
      </c>
      <c r="J20" s="13">
        <v>2.9499999999999998E-2</v>
      </c>
      <c r="K20" s="22">
        <v>0.27800000000000002</v>
      </c>
      <c r="L20" s="16">
        <v>109</v>
      </c>
      <c r="M20" s="13">
        <v>4.58E-2</v>
      </c>
      <c r="N20" s="13">
        <v>0.1221</v>
      </c>
      <c r="O20" s="16">
        <v>3945</v>
      </c>
      <c r="P20" s="16">
        <v>966</v>
      </c>
      <c r="Q20" s="13">
        <v>2.9000000000000001E-2</v>
      </c>
      <c r="R20" s="16">
        <v>2</v>
      </c>
      <c r="S20" s="16">
        <v>9</v>
      </c>
      <c r="T20" s="16"/>
      <c r="V20" s="19">
        <f t="shared" si="0"/>
        <v>0.83206106870229013</v>
      </c>
      <c r="W20" s="20">
        <f t="shared" ref="W20:X20" si="24">T20-T19</f>
        <v>0</v>
      </c>
      <c r="X20" s="20">
        <f t="shared" si="24"/>
        <v>0</v>
      </c>
      <c r="Y20" s="19"/>
      <c r="Z20" s="19"/>
      <c r="AA20" s="21">
        <f t="shared" si="18"/>
        <v>3.96</v>
      </c>
      <c r="AB20" s="26"/>
      <c r="AC20" s="23">
        <f t="shared" si="8"/>
        <v>14.142857142857142</v>
      </c>
      <c r="AD20" s="23">
        <f t="shared" ref="AD20:AD274" si="25">SUM(R14:R20)/7</f>
        <v>0.8571428571428571</v>
      </c>
      <c r="AE20" s="23">
        <f t="shared" si="9"/>
        <v>458.14285714285717</v>
      </c>
      <c r="AF20" s="25">
        <f t="shared" si="13"/>
        <v>3.9228571428571432E-2</v>
      </c>
      <c r="AG20" s="25"/>
      <c r="AH20" s="25"/>
      <c r="AI20" s="25"/>
      <c r="AJ20" s="25"/>
      <c r="AK20" s="25"/>
      <c r="AL20" s="25"/>
      <c r="AM20" s="26">
        <f t="shared" si="21"/>
        <v>2.1428571428571428</v>
      </c>
    </row>
    <row r="21" spans="1:39" ht="16">
      <c r="A21" s="15">
        <v>43913</v>
      </c>
      <c r="B21" s="16">
        <v>167</v>
      </c>
      <c r="C21" s="16">
        <v>36</v>
      </c>
      <c r="D21" s="16">
        <v>8</v>
      </c>
      <c r="E21" s="16">
        <v>21</v>
      </c>
      <c r="F21" s="16">
        <v>5515</v>
      </c>
      <c r="G21" s="17">
        <f t="shared" si="2"/>
        <v>562.75510204081627</v>
      </c>
      <c r="H21" s="18">
        <v>101</v>
      </c>
      <c r="I21" s="13">
        <v>0.27479999999999999</v>
      </c>
      <c r="J21" s="13">
        <v>3.0300000000000001E-2</v>
      </c>
      <c r="K21" s="22">
        <v>0.24099999999999999</v>
      </c>
      <c r="L21" s="16">
        <v>138</v>
      </c>
      <c r="M21" s="13">
        <v>4.7899999999999998E-2</v>
      </c>
      <c r="N21" s="13">
        <v>0.12570000000000001</v>
      </c>
      <c r="O21" s="16">
        <v>4001</v>
      </c>
      <c r="P21" s="16">
        <v>1072</v>
      </c>
      <c r="Q21" s="13">
        <v>3.3599999999999998E-2</v>
      </c>
      <c r="R21" s="16">
        <v>2</v>
      </c>
      <c r="S21" s="16">
        <v>5</v>
      </c>
      <c r="T21" s="16"/>
      <c r="V21" s="19">
        <f t="shared" si="0"/>
        <v>0.82634730538922152</v>
      </c>
      <c r="W21" s="20">
        <f t="shared" ref="W21:X21" si="26">T21-T20</f>
        <v>0</v>
      </c>
      <c r="X21" s="20">
        <f t="shared" si="26"/>
        <v>0</v>
      </c>
      <c r="Y21" s="19"/>
      <c r="Z21" s="19"/>
      <c r="AA21" s="21">
        <f t="shared" si="18"/>
        <v>4.2666666666666666</v>
      </c>
      <c r="AB21" s="26">
        <f t="shared" ref="AB21:AB275" si="27">SUM(AA15:AA21)/7</f>
        <v>3.9363203463203464</v>
      </c>
      <c r="AC21" s="23">
        <f t="shared" si="8"/>
        <v>18.285714285714285</v>
      </c>
      <c r="AD21" s="23">
        <f t="shared" si="25"/>
        <v>1</v>
      </c>
      <c r="AE21" s="23">
        <f t="shared" si="9"/>
        <v>577.85714285714289</v>
      </c>
      <c r="AF21" s="25">
        <f t="shared" si="13"/>
        <v>3.9757142857142859E-2</v>
      </c>
      <c r="AG21" s="25"/>
      <c r="AH21" s="25"/>
      <c r="AI21" s="25"/>
      <c r="AJ21" s="25"/>
      <c r="AK21" s="25"/>
      <c r="AL21" s="25"/>
      <c r="AM21" s="26">
        <f t="shared" si="21"/>
        <v>2.7142857142857144</v>
      </c>
    </row>
    <row r="22" spans="1:39" ht="16">
      <c r="A22" s="15">
        <v>43914</v>
      </c>
      <c r="B22" s="16">
        <v>187</v>
      </c>
      <c r="C22" s="16">
        <v>20</v>
      </c>
      <c r="D22" s="16">
        <v>9</v>
      </c>
      <c r="E22" s="16">
        <v>21</v>
      </c>
      <c r="F22" s="16">
        <v>6113</v>
      </c>
      <c r="G22" s="17">
        <f t="shared" si="2"/>
        <v>623.77551020408157</v>
      </c>
      <c r="H22" s="18">
        <v>92</v>
      </c>
      <c r="I22" s="13">
        <v>0.1198</v>
      </c>
      <c r="J22" s="13">
        <v>3.0599999999999999E-2</v>
      </c>
      <c r="K22" s="22">
        <v>0.108</v>
      </c>
      <c r="L22" s="16">
        <v>157</v>
      </c>
      <c r="M22" s="13">
        <v>4.8099999999999997E-2</v>
      </c>
      <c r="N22" s="13">
        <v>0.1123</v>
      </c>
      <c r="O22" s="16">
        <v>4207</v>
      </c>
      <c r="P22" s="16">
        <v>598</v>
      </c>
      <c r="Q22" s="13">
        <v>3.3399999999999999E-2</v>
      </c>
      <c r="R22" s="16">
        <v>1</v>
      </c>
      <c r="S22" s="16">
        <v>0</v>
      </c>
      <c r="T22" s="16"/>
      <c r="V22" s="19">
        <f t="shared" si="0"/>
        <v>0.83957219251336901</v>
      </c>
      <c r="W22" s="20">
        <f t="shared" ref="W22:X22" si="28">T22-T21</f>
        <v>0</v>
      </c>
      <c r="X22" s="20">
        <f t="shared" si="28"/>
        <v>0</v>
      </c>
      <c r="Y22" s="19"/>
      <c r="Z22" s="19"/>
      <c r="AA22" s="21">
        <f t="shared" si="18"/>
        <v>3.6052631578947367</v>
      </c>
      <c r="AB22" s="26">
        <f t="shared" si="27"/>
        <v>3.998976987924356</v>
      </c>
      <c r="AC22" s="23">
        <f t="shared" si="8"/>
        <v>19.571428571428573</v>
      </c>
      <c r="AD22" s="23">
        <f t="shared" si="25"/>
        <v>1.1428571428571428</v>
      </c>
      <c r="AE22" s="23">
        <f t="shared" si="9"/>
        <v>646.57142857142856</v>
      </c>
      <c r="AF22" s="25">
        <f t="shared" si="13"/>
        <v>3.1099999999999999E-2</v>
      </c>
      <c r="AG22" s="25"/>
      <c r="AH22" s="25"/>
      <c r="AI22" s="25"/>
      <c r="AJ22" s="25"/>
      <c r="AK22" s="25"/>
      <c r="AL22" s="25"/>
      <c r="AM22" s="26">
        <f t="shared" si="21"/>
        <v>2.7142857142857144</v>
      </c>
    </row>
    <row r="23" spans="1:39" ht="16">
      <c r="A23" s="15">
        <v>43915</v>
      </c>
      <c r="B23" s="16">
        <v>226</v>
      </c>
      <c r="C23" s="16">
        <v>39</v>
      </c>
      <c r="D23" s="16">
        <v>10</v>
      </c>
      <c r="E23" s="16">
        <v>21</v>
      </c>
      <c r="F23" s="16">
        <v>6817</v>
      </c>
      <c r="G23" s="17">
        <f t="shared" si="2"/>
        <v>695.61224489795916</v>
      </c>
      <c r="H23" s="18">
        <v>85</v>
      </c>
      <c r="I23" s="13">
        <v>0.20860000000000001</v>
      </c>
      <c r="J23" s="13">
        <v>3.32E-2</v>
      </c>
      <c r="K23" s="22">
        <v>0.115</v>
      </c>
      <c r="L23" s="16">
        <v>195</v>
      </c>
      <c r="M23" s="13">
        <v>4.4200000000000003E-2</v>
      </c>
      <c r="N23" s="13">
        <v>9.2899999999999996E-2</v>
      </c>
      <c r="P23" s="16">
        <v>704</v>
      </c>
      <c r="Q23" s="13">
        <v>5.5399999999999998E-2</v>
      </c>
      <c r="R23" s="16">
        <v>1</v>
      </c>
      <c r="S23" s="16">
        <v>0</v>
      </c>
      <c r="T23" s="16"/>
      <c r="V23" s="19">
        <f t="shared" si="0"/>
        <v>0.86283185840707965</v>
      </c>
      <c r="W23" s="20">
        <f t="shared" ref="W23:X23" si="29">T23-T22</f>
        <v>0</v>
      </c>
      <c r="X23" s="20">
        <f t="shared" si="29"/>
        <v>0</v>
      </c>
      <c r="Y23" s="19"/>
      <c r="Z23" s="19"/>
      <c r="AA23" s="21">
        <f t="shared" si="18"/>
        <v>3.7333333333333334</v>
      </c>
      <c r="AB23" s="26">
        <f t="shared" si="27"/>
        <v>3.9478947368421053</v>
      </c>
      <c r="AC23" s="23">
        <f t="shared" si="8"/>
        <v>24</v>
      </c>
      <c r="AD23" s="23">
        <f t="shared" si="25"/>
        <v>1.2857142857142858</v>
      </c>
      <c r="AE23" s="23">
        <f t="shared" si="9"/>
        <v>716.28571428571433</v>
      </c>
      <c r="AF23" s="25">
        <f t="shared" si="13"/>
        <v>3.3728571428571427E-2</v>
      </c>
      <c r="AG23" s="25"/>
      <c r="AH23" s="25"/>
      <c r="AI23" s="25"/>
      <c r="AJ23" s="25"/>
      <c r="AK23" s="25"/>
      <c r="AL23" s="25"/>
      <c r="AM23" s="26">
        <f t="shared" si="21"/>
        <v>2.7142857142857144</v>
      </c>
    </row>
    <row r="24" spans="1:39" ht="16">
      <c r="A24" s="15">
        <v>43916</v>
      </c>
      <c r="B24" s="16">
        <v>261</v>
      </c>
      <c r="C24" s="16">
        <v>35</v>
      </c>
      <c r="D24" s="16">
        <v>10</v>
      </c>
      <c r="E24" s="16">
        <v>28</v>
      </c>
      <c r="F24" s="16">
        <v>8005</v>
      </c>
      <c r="G24" s="17">
        <f t="shared" si="2"/>
        <v>816.83673469387747</v>
      </c>
      <c r="H24" s="18">
        <v>100</v>
      </c>
      <c r="I24" s="13">
        <v>0.15490000000000001</v>
      </c>
      <c r="J24" s="13">
        <v>3.2599999999999997E-2</v>
      </c>
      <c r="K24" s="22">
        <v>0.17399999999999999</v>
      </c>
      <c r="L24" s="16">
        <v>223</v>
      </c>
      <c r="M24" s="13">
        <v>3.8300000000000001E-2</v>
      </c>
      <c r="N24" s="13">
        <v>0.10730000000000001</v>
      </c>
      <c r="P24" s="16">
        <v>1188</v>
      </c>
      <c r="Q24" s="13">
        <v>2.9499999999999998E-2</v>
      </c>
      <c r="R24" s="16">
        <v>0</v>
      </c>
      <c r="S24" s="16">
        <v>7</v>
      </c>
      <c r="T24" s="16"/>
      <c r="V24" s="19">
        <f t="shared" si="0"/>
        <v>0.85440613026819923</v>
      </c>
      <c r="W24" s="20">
        <f t="shared" ref="W24:X24" si="30">T24-T23</f>
        <v>0</v>
      </c>
      <c r="X24" s="20">
        <f t="shared" si="30"/>
        <v>0</v>
      </c>
      <c r="Y24" s="19"/>
      <c r="Z24" s="19"/>
      <c r="AA24" s="21">
        <f t="shared" si="18"/>
        <v>3.2982456140350878</v>
      </c>
      <c r="AB24" s="26">
        <f t="shared" si="27"/>
        <v>3.7405012531328325</v>
      </c>
      <c r="AC24" s="23">
        <f t="shared" si="8"/>
        <v>26.857142857142858</v>
      </c>
      <c r="AD24" s="23">
        <f t="shared" si="25"/>
        <v>1.2857142857142858</v>
      </c>
      <c r="AE24" s="23">
        <f t="shared" si="9"/>
        <v>811.85714285714289</v>
      </c>
      <c r="AF24" s="25">
        <f t="shared" si="13"/>
        <v>3.3814285714285713E-2</v>
      </c>
      <c r="AG24" s="25"/>
      <c r="AH24" s="25"/>
      <c r="AI24" s="25"/>
      <c r="AJ24" s="25"/>
      <c r="AK24" s="25"/>
      <c r="AL24" s="25"/>
      <c r="AM24" s="26">
        <f t="shared" si="21"/>
        <v>3.7142857142857144</v>
      </c>
    </row>
    <row r="25" spans="1:39" ht="16">
      <c r="A25" s="15">
        <v>43917</v>
      </c>
      <c r="B25" s="16">
        <v>300</v>
      </c>
      <c r="C25" s="16">
        <v>39</v>
      </c>
      <c r="D25" s="16">
        <v>10</v>
      </c>
      <c r="E25" s="16">
        <v>34</v>
      </c>
      <c r="F25" s="16">
        <v>9275</v>
      </c>
      <c r="G25" s="17">
        <f t="shared" si="2"/>
        <v>946.42857142857133</v>
      </c>
      <c r="H25" s="18">
        <v>84</v>
      </c>
      <c r="I25" s="13">
        <v>0.14940000000000001</v>
      </c>
      <c r="J25" s="13">
        <v>3.2300000000000002E-2</v>
      </c>
      <c r="K25" s="22">
        <v>0.159</v>
      </c>
      <c r="L25" s="16">
        <v>256</v>
      </c>
      <c r="M25" s="13">
        <v>3.3300000000000003E-2</v>
      </c>
      <c r="N25" s="13">
        <v>0.1133</v>
      </c>
      <c r="P25" s="16">
        <v>1270</v>
      </c>
      <c r="Q25" s="13">
        <v>3.0700000000000002E-2</v>
      </c>
      <c r="R25" s="16">
        <v>0</v>
      </c>
      <c r="S25" s="16">
        <v>6</v>
      </c>
      <c r="T25" s="16"/>
      <c r="V25" s="19">
        <f t="shared" si="0"/>
        <v>0.85333333333333339</v>
      </c>
      <c r="W25" s="20">
        <f t="shared" ref="W25:X25" si="31">T25-T24</f>
        <v>0</v>
      </c>
      <c r="X25" s="20">
        <f t="shared" si="31"/>
        <v>0</v>
      </c>
      <c r="Y25" s="19"/>
      <c r="Z25" s="19"/>
      <c r="AA25" s="21">
        <f t="shared" si="18"/>
        <v>3.2575757575757578</v>
      </c>
      <c r="AB25" s="26">
        <f t="shared" si="27"/>
        <v>3.5772977899293688</v>
      </c>
      <c r="AC25" s="23">
        <f t="shared" si="8"/>
        <v>30.714285714285715</v>
      </c>
      <c r="AD25" s="23">
        <f t="shared" si="25"/>
        <v>0.8571428571428571</v>
      </c>
      <c r="AE25" s="23">
        <f t="shared" si="9"/>
        <v>895.42857142857144</v>
      </c>
      <c r="AF25" s="25">
        <f t="shared" si="13"/>
        <v>3.5699999999999996E-2</v>
      </c>
      <c r="AG25" s="25"/>
      <c r="AH25" s="25"/>
      <c r="AI25" s="25"/>
      <c r="AJ25" s="25"/>
      <c r="AK25" s="25"/>
      <c r="AL25" s="25"/>
      <c r="AM25" s="26">
        <f t="shared" si="21"/>
        <v>3.8571428571428572</v>
      </c>
    </row>
    <row r="26" spans="1:39" ht="16">
      <c r="A26" s="15">
        <v>43918</v>
      </c>
      <c r="B26" s="16">
        <v>343</v>
      </c>
      <c r="C26" s="16">
        <v>43</v>
      </c>
      <c r="D26" s="16">
        <v>11</v>
      </c>
      <c r="E26" s="16">
        <v>34</v>
      </c>
      <c r="F26" s="16">
        <v>10303</v>
      </c>
      <c r="G26" s="17">
        <f t="shared" si="2"/>
        <v>1051.3265306122448</v>
      </c>
      <c r="H26" s="18">
        <v>87</v>
      </c>
      <c r="I26" s="13">
        <v>0.14330000000000001</v>
      </c>
      <c r="J26" s="13">
        <v>3.3300000000000003E-2</v>
      </c>
      <c r="K26" s="22">
        <v>0.111</v>
      </c>
      <c r="L26" s="16">
        <v>298</v>
      </c>
      <c r="M26" s="13">
        <v>3.2099999999999997E-2</v>
      </c>
      <c r="N26" s="13">
        <v>9.9099999999999994E-2</v>
      </c>
      <c r="P26" s="16">
        <v>1028</v>
      </c>
      <c r="Q26" s="13">
        <v>4.1799999999999997E-2</v>
      </c>
      <c r="R26" s="16">
        <v>1</v>
      </c>
      <c r="S26" s="16">
        <v>0</v>
      </c>
      <c r="T26" s="16"/>
      <c r="V26" s="19">
        <f t="shared" si="0"/>
        <v>0.86880466472303208</v>
      </c>
      <c r="W26" s="20">
        <f t="shared" ref="W26:X26" si="32">T26-T25</f>
        <v>0</v>
      </c>
      <c r="X26" s="20">
        <f t="shared" si="32"/>
        <v>0</v>
      </c>
      <c r="Y26" s="19"/>
      <c r="Z26" s="19"/>
      <c r="AA26" s="21">
        <f t="shared" si="18"/>
        <v>3.2876712328767121</v>
      </c>
      <c r="AB26" s="26">
        <f t="shared" si="27"/>
        <v>3.6298222517688994</v>
      </c>
      <c r="AC26" s="23">
        <f t="shared" si="8"/>
        <v>34.285714285714285</v>
      </c>
      <c r="AD26" s="23">
        <f t="shared" si="25"/>
        <v>1</v>
      </c>
      <c r="AE26" s="23">
        <f t="shared" si="9"/>
        <v>975.14285714285711</v>
      </c>
      <c r="AF26" s="25">
        <f t="shared" si="13"/>
        <v>3.6200000000000003E-2</v>
      </c>
      <c r="AG26" s="25"/>
      <c r="AH26" s="25"/>
      <c r="AI26" s="25"/>
      <c r="AJ26" s="25"/>
      <c r="AK26" s="25"/>
      <c r="AL26" s="25"/>
      <c r="AM26" s="26">
        <f t="shared" si="21"/>
        <v>3.8571428571428572</v>
      </c>
    </row>
    <row r="27" spans="1:39" ht="16">
      <c r="A27" s="15">
        <v>43919</v>
      </c>
      <c r="B27" s="16">
        <v>408</v>
      </c>
      <c r="C27" s="16">
        <v>65</v>
      </c>
      <c r="D27" s="16">
        <v>13</v>
      </c>
      <c r="E27" s="16">
        <v>34</v>
      </c>
      <c r="F27" s="16">
        <v>12148</v>
      </c>
      <c r="G27" s="17">
        <f t="shared" si="2"/>
        <v>1239.5918367346937</v>
      </c>
      <c r="H27" s="18">
        <v>71</v>
      </c>
      <c r="I27" s="13">
        <v>0.1895</v>
      </c>
      <c r="J27" s="13">
        <v>3.3599999999999998E-2</v>
      </c>
      <c r="K27" s="22">
        <v>0.17899999999999999</v>
      </c>
      <c r="L27" s="16">
        <v>361</v>
      </c>
      <c r="M27" s="13">
        <v>3.1899999999999998E-2</v>
      </c>
      <c r="N27" s="13">
        <v>8.3299999999999999E-2</v>
      </c>
      <c r="P27" s="16">
        <v>1845</v>
      </c>
      <c r="Q27" s="13">
        <v>3.5200000000000002E-2</v>
      </c>
      <c r="R27" s="16">
        <v>2</v>
      </c>
      <c r="S27" s="16">
        <v>0</v>
      </c>
      <c r="T27" s="16"/>
      <c r="V27" s="19">
        <f t="shared" si="0"/>
        <v>0.88480392156862742</v>
      </c>
      <c r="W27" s="20">
        <f t="shared" ref="W27:X27" si="33">T27-T26</f>
        <v>0</v>
      </c>
      <c r="X27" s="20">
        <f t="shared" si="33"/>
        <v>0</v>
      </c>
      <c r="Y27" s="19"/>
      <c r="Z27" s="19"/>
      <c r="AA27" s="21">
        <f t="shared" si="18"/>
        <v>2.797979797979798</v>
      </c>
      <c r="AB27" s="26">
        <f t="shared" si="27"/>
        <v>3.463819365766013</v>
      </c>
      <c r="AC27" s="23">
        <f t="shared" si="8"/>
        <v>39.571428571428569</v>
      </c>
      <c r="AD27" s="23">
        <f t="shared" si="25"/>
        <v>1</v>
      </c>
      <c r="AE27" s="23">
        <f t="shared" si="9"/>
        <v>1100.7142857142858</v>
      </c>
      <c r="AF27" s="25">
        <f t="shared" si="13"/>
        <v>3.7085714285714284E-2</v>
      </c>
      <c r="AG27" s="25"/>
      <c r="AH27" s="25"/>
      <c r="AI27" s="25"/>
      <c r="AJ27" s="25"/>
      <c r="AK27" s="25"/>
      <c r="AL27" s="25"/>
      <c r="AM27" s="26">
        <f t="shared" si="21"/>
        <v>2.5714285714285716</v>
      </c>
    </row>
    <row r="28" spans="1:39" ht="16">
      <c r="A28" s="15">
        <v>43920</v>
      </c>
      <c r="B28" s="16">
        <v>447</v>
      </c>
      <c r="C28" s="16">
        <v>39</v>
      </c>
      <c r="D28" s="16">
        <v>15</v>
      </c>
      <c r="E28" s="16">
        <v>34</v>
      </c>
      <c r="F28" s="16">
        <v>13301</v>
      </c>
      <c r="G28" s="17">
        <f t="shared" si="2"/>
        <v>1357.2448979591836</v>
      </c>
      <c r="H28" s="18">
        <v>73</v>
      </c>
      <c r="I28" s="13">
        <v>9.5600000000000004E-2</v>
      </c>
      <c r="J28" s="13">
        <v>3.3599999999999998E-2</v>
      </c>
      <c r="K28" s="22">
        <v>9.5000000000000001E-2</v>
      </c>
      <c r="L28" s="16">
        <v>398</v>
      </c>
      <c r="M28" s="13">
        <v>3.3599999999999998E-2</v>
      </c>
      <c r="N28" s="13">
        <v>7.6100000000000001E-2</v>
      </c>
      <c r="P28" s="16">
        <v>1153</v>
      </c>
      <c r="Q28" s="13">
        <v>3.3799999999999997E-2</v>
      </c>
      <c r="R28" s="16">
        <v>2</v>
      </c>
      <c r="S28" s="16">
        <v>0</v>
      </c>
      <c r="T28" s="16"/>
      <c r="V28" s="19">
        <f t="shared" si="0"/>
        <v>0.89038031319910516</v>
      </c>
      <c r="W28" s="20">
        <f t="shared" ref="W28:X28" si="34">T28-T27</f>
        <v>0</v>
      </c>
      <c r="X28" s="20">
        <f t="shared" si="34"/>
        <v>0</v>
      </c>
      <c r="Y28" s="19"/>
      <c r="Z28" s="19"/>
      <c r="AA28" s="21">
        <f t="shared" si="18"/>
        <v>2.1875</v>
      </c>
      <c r="AB28" s="26">
        <f t="shared" si="27"/>
        <v>3.1667955562422039</v>
      </c>
      <c r="AC28" s="23">
        <f t="shared" si="8"/>
        <v>40</v>
      </c>
      <c r="AD28" s="23">
        <f t="shared" si="25"/>
        <v>1</v>
      </c>
      <c r="AE28" s="23">
        <f t="shared" si="9"/>
        <v>1112.2857142857142</v>
      </c>
      <c r="AF28" s="25">
        <f t="shared" si="13"/>
        <v>3.7114285714285718E-2</v>
      </c>
      <c r="AG28" s="25"/>
      <c r="AH28" s="25"/>
      <c r="AI28" s="25"/>
      <c r="AJ28" s="25"/>
      <c r="AK28" s="25"/>
      <c r="AL28" s="25"/>
      <c r="AM28" s="26">
        <f t="shared" si="21"/>
        <v>1.8571428571428572</v>
      </c>
    </row>
    <row r="29" spans="1:39" ht="16">
      <c r="A29" s="15">
        <v>43921</v>
      </c>
      <c r="B29" s="16">
        <v>492</v>
      </c>
      <c r="C29" s="16">
        <v>45</v>
      </c>
      <c r="D29" s="16">
        <v>16</v>
      </c>
      <c r="E29" s="16">
        <v>37</v>
      </c>
      <c r="F29" s="16">
        <v>14146</v>
      </c>
      <c r="G29" s="17">
        <f t="shared" si="2"/>
        <v>1443.4693877551019</v>
      </c>
      <c r="H29" s="18">
        <v>61</v>
      </c>
      <c r="I29" s="13">
        <v>0.1007</v>
      </c>
      <c r="J29" s="13">
        <v>3.4799999999999998E-2</v>
      </c>
      <c r="K29" s="22">
        <v>6.4000000000000001E-2</v>
      </c>
      <c r="L29" s="16">
        <v>439</v>
      </c>
      <c r="M29" s="13">
        <v>3.2500000000000001E-2</v>
      </c>
      <c r="N29" s="13">
        <v>7.5200000000000003E-2</v>
      </c>
      <c r="P29" s="16">
        <v>845</v>
      </c>
      <c r="Q29" s="13">
        <v>5.33E-2</v>
      </c>
      <c r="R29" s="16">
        <v>2</v>
      </c>
      <c r="S29" s="16">
        <v>3</v>
      </c>
      <c r="T29" s="16"/>
      <c r="V29" s="19">
        <f t="shared" si="0"/>
        <v>0.89227642276422769</v>
      </c>
      <c r="W29" s="20">
        <f t="shared" ref="W29:X29" si="35">T29-T28</f>
        <v>0</v>
      </c>
      <c r="X29" s="20">
        <f t="shared" si="35"/>
        <v>0</v>
      </c>
      <c r="Y29" s="19"/>
      <c r="Z29" s="19"/>
      <c r="AA29" s="21">
        <f t="shared" si="18"/>
        <v>2.2262773722627736</v>
      </c>
      <c r="AB29" s="26">
        <f t="shared" si="27"/>
        <v>2.9697975868662096</v>
      </c>
      <c r="AC29" s="23">
        <f t="shared" si="8"/>
        <v>43.571428571428569</v>
      </c>
      <c r="AD29" s="23">
        <f t="shared" si="25"/>
        <v>1.1428571428571428</v>
      </c>
      <c r="AE29" s="23">
        <f t="shared" si="9"/>
        <v>1147.5714285714287</v>
      </c>
      <c r="AF29" s="25">
        <f t="shared" si="13"/>
        <v>3.9957142857142858E-2</v>
      </c>
      <c r="AG29" s="25"/>
      <c r="AH29" s="25"/>
      <c r="AI29" s="25"/>
      <c r="AJ29" s="25"/>
      <c r="AK29" s="25"/>
      <c r="AL29" s="25"/>
      <c r="AM29" s="26">
        <f t="shared" si="21"/>
        <v>2.2857142857142856</v>
      </c>
    </row>
    <row r="30" spans="1:39" ht="16">
      <c r="A30" s="15">
        <v>43922</v>
      </c>
      <c r="B30" s="16">
        <v>525</v>
      </c>
      <c r="C30" s="16">
        <v>33</v>
      </c>
      <c r="D30" s="16">
        <v>20</v>
      </c>
      <c r="E30" s="16">
        <v>40</v>
      </c>
      <c r="F30" s="16">
        <v>15208</v>
      </c>
      <c r="G30" s="17">
        <f t="shared" si="2"/>
        <v>1551.8367346938774</v>
      </c>
      <c r="H30" s="18">
        <v>61</v>
      </c>
      <c r="I30" s="13">
        <v>6.7100000000000007E-2</v>
      </c>
      <c r="J30" s="13">
        <v>3.4500000000000003E-2</v>
      </c>
      <c r="K30" s="22">
        <v>7.4999999999999997E-2</v>
      </c>
      <c r="L30" s="16">
        <v>465</v>
      </c>
      <c r="M30" s="13">
        <v>3.8100000000000002E-2</v>
      </c>
      <c r="N30" s="13">
        <v>7.6200000000000004E-2</v>
      </c>
      <c r="P30" s="16">
        <v>1062</v>
      </c>
      <c r="Q30" s="13">
        <v>3.1099999999999999E-2</v>
      </c>
      <c r="R30" s="16">
        <v>4</v>
      </c>
      <c r="S30" s="16">
        <v>3</v>
      </c>
      <c r="T30" s="16"/>
      <c r="V30" s="19">
        <f t="shared" si="0"/>
        <v>0.88571428571428568</v>
      </c>
      <c r="W30" s="20">
        <f t="shared" ref="W30:X30" si="36">T30-T29</f>
        <v>0</v>
      </c>
      <c r="X30" s="20">
        <f t="shared" si="36"/>
        <v>0</v>
      </c>
      <c r="Y30" s="19"/>
      <c r="Z30" s="19"/>
      <c r="AA30" s="21">
        <f t="shared" si="18"/>
        <v>1.7797619047619047</v>
      </c>
      <c r="AB30" s="26">
        <f t="shared" si="27"/>
        <v>2.6907159542131476</v>
      </c>
      <c r="AC30" s="23">
        <f t="shared" si="8"/>
        <v>42.714285714285715</v>
      </c>
      <c r="AD30" s="23">
        <f t="shared" si="25"/>
        <v>1.5714285714285714</v>
      </c>
      <c r="AE30" s="23">
        <f t="shared" si="9"/>
        <v>1198.7142857142858</v>
      </c>
      <c r="AF30" s="25">
        <f t="shared" si="13"/>
        <v>3.6485714285714288E-2</v>
      </c>
      <c r="AG30" s="25"/>
      <c r="AH30" s="25"/>
      <c r="AI30" s="25"/>
      <c r="AJ30" s="25"/>
      <c r="AK30" s="25"/>
      <c r="AL30" s="25"/>
      <c r="AM30" s="26">
        <f t="shared" si="21"/>
        <v>2.7142857142857144</v>
      </c>
    </row>
    <row r="31" spans="1:39" ht="16">
      <c r="A31" s="15">
        <v>43923</v>
      </c>
      <c r="B31" s="16">
        <v>585</v>
      </c>
      <c r="C31" s="16">
        <v>60</v>
      </c>
      <c r="D31" s="16">
        <v>21</v>
      </c>
      <c r="E31" s="16">
        <v>42</v>
      </c>
      <c r="F31" s="16">
        <v>16401</v>
      </c>
      <c r="G31" s="17">
        <f t="shared" si="2"/>
        <v>1673.5714285714284</v>
      </c>
      <c r="H31" s="18">
        <v>59</v>
      </c>
      <c r="I31" s="13">
        <v>0.1143</v>
      </c>
      <c r="J31" s="13">
        <v>3.5700000000000003E-2</v>
      </c>
      <c r="K31" s="22">
        <v>7.8E-2</v>
      </c>
      <c r="L31" s="16">
        <v>522</v>
      </c>
      <c r="M31" s="13">
        <v>3.5900000000000001E-2</v>
      </c>
      <c r="N31" s="13">
        <v>7.1800000000000003E-2</v>
      </c>
      <c r="P31" s="16">
        <v>1193</v>
      </c>
      <c r="Q31" s="13">
        <v>5.0299999999999997E-2</v>
      </c>
      <c r="R31" s="16">
        <v>1</v>
      </c>
      <c r="S31" s="16">
        <v>2</v>
      </c>
      <c r="T31" s="16"/>
      <c r="V31" s="19">
        <f t="shared" si="0"/>
        <v>0.89230769230769236</v>
      </c>
      <c r="W31" s="20">
        <f t="shared" ref="W31:X31" si="37">T31-T30</f>
        <v>0</v>
      </c>
      <c r="X31" s="20">
        <f t="shared" si="37"/>
        <v>0</v>
      </c>
      <c r="Y31" s="19"/>
      <c r="Z31" s="19"/>
      <c r="AA31" s="21">
        <f t="shared" si="18"/>
        <v>1.7234042553191489</v>
      </c>
      <c r="AB31" s="26">
        <f t="shared" si="27"/>
        <v>2.4657386172537277</v>
      </c>
      <c r="AC31" s="23">
        <f t="shared" si="8"/>
        <v>46.285714285714285</v>
      </c>
      <c r="AD31" s="23">
        <f t="shared" si="25"/>
        <v>1.7142857142857142</v>
      </c>
      <c r="AE31" s="23">
        <f t="shared" si="9"/>
        <v>1199.4285714285713</v>
      </c>
      <c r="AF31" s="25">
        <f t="shared" si="13"/>
        <v>3.945714285714285E-2</v>
      </c>
      <c r="AG31" s="25"/>
      <c r="AH31" s="25"/>
      <c r="AI31" s="25"/>
      <c r="AJ31" s="25"/>
      <c r="AK31" s="25"/>
      <c r="AL31" s="25"/>
      <c r="AM31" s="26">
        <f t="shared" si="21"/>
        <v>2</v>
      </c>
    </row>
    <row r="32" spans="1:39" ht="16">
      <c r="A32" s="15">
        <v>43924</v>
      </c>
      <c r="B32" s="16">
        <v>623</v>
      </c>
      <c r="C32" s="16">
        <v>38</v>
      </c>
      <c r="D32" s="16">
        <v>26</v>
      </c>
      <c r="E32" s="16">
        <v>43</v>
      </c>
      <c r="F32" s="16">
        <v>17769</v>
      </c>
      <c r="G32" s="17">
        <f t="shared" si="2"/>
        <v>1813.1632653061224</v>
      </c>
      <c r="H32" s="18"/>
      <c r="I32" s="13">
        <v>6.5000000000000002E-2</v>
      </c>
      <c r="J32" s="13">
        <v>3.5099999999999999E-2</v>
      </c>
      <c r="K32" s="22">
        <v>8.3000000000000004E-2</v>
      </c>
      <c r="L32" s="16">
        <v>554</v>
      </c>
      <c r="M32" s="13">
        <v>4.1700000000000001E-2</v>
      </c>
      <c r="N32" s="13">
        <v>6.9000000000000006E-2</v>
      </c>
      <c r="O32" s="16">
        <v>10668</v>
      </c>
      <c r="P32" s="16">
        <v>1368</v>
      </c>
      <c r="Q32" s="13">
        <v>2.7799999999999998E-2</v>
      </c>
      <c r="R32" s="16">
        <v>5</v>
      </c>
      <c r="S32" s="16">
        <v>1</v>
      </c>
      <c r="T32" s="16"/>
      <c r="V32" s="19">
        <f t="shared" si="0"/>
        <v>0.8892455858747994</v>
      </c>
      <c r="W32" s="20">
        <f t="shared" ref="W32:X32" si="38">T32-T31</f>
        <v>0</v>
      </c>
      <c r="X32" s="20">
        <f t="shared" si="38"/>
        <v>0</v>
      </c>
      <c r="Y32" s="19"/>
      <c r="Z32" s="19"/>
      <c r="AA32" s="21">
        <f t="shared" si="18"/>
        <v>1.5023255813953489</v>
      </c>
      <c r="AB32" s="26">
        <f t="shared" si="27"/>
        <v>2.2149885920850982</v>
      </c>
      <c r="AC32" s="23">
        <f t="shared" si="8"/>
        <v>46.142857142857146</v>
      </c>
      <c r="AD32" s="23">
        <f t="shared" si="25"/>
        <v>2.4285714285714284</v>
      </c>
      <c r="AE32" s="23">
        <f t="shared" si="9"/>
        <v>1213.4285714285713</v>
      </c>
      <c r="AF32" s="25">
        <f t="shared" si="13"/>
        <v>3.9042857142857143E-2</v>
      </c>
      <c r="AG32" s="25"/>
      <c r="AH32" s="25"/>
      <c r="AI32" s="25"/>
      <c r="AJ32" s="25"/>
      <c r="AK32" s="25"/>
      <c r="AL32" s="25"/>
      <c r="AM32" s="26">
        <f t="shared" si="21"/>
        <v>1.2857142857142858</v>
      </c>
    </row>
    <row r="33" spans="1:39" ht="16">
      <c r="A33" s="15">
        <v>43925</v>
      </c>
      <c r="B33" s="16">
        <v>678</v>
      </c>
      <c r="C33" s="16">
        <v>55</v>
      </c>
      <c r="D33" s="16">
        <v>32</v>
      </c>
      <c r="E33" s="16">
        <v>58</v>
      </c>
      <c r="F33" s="16">
        <v>19424</v>
      </c>
      <c r="G33" s="17">
        <f t="shared" si="2"/>
        <v>1982.0408163265304</v>
      </c>
      <c r="H33" s="18"/>
      <c r="I33" s="13">
        <v>8.8300000000000003E-2</v>
      </c>
      <c r="J33" s="13">
        <v>3.49E-2</v>
      </c>
      <c r="K33" s="22">
        <v>9.2999999999999999E-2</v>
      </c>
      <c r="L33" s="16">
        <v>588</v>
      </c>
      <c r="M33" s="13">
        <v>4.7199999999999999E-2</v>
      </c>
      <c r="N33" s="13">
        <v>8.5500000000000007E-2</v>
      </c>
      <c r="O33" s="16">
        <v>12492</v>
      </c>
      <c r="P33" s="16">
        <v>1655</v>
      </c>
      <c r="Q33" s="13">
        <v>3.32E-2</v>
      </c>
      <c r="R33" s="16">
        <v>6</v>
      </c>
      <c r="S33" s="16">
        <v>15</v>
      </c>
      <c r="T33" s="16"/>
      <c r="V33" s="19">
        <f t="shared" si="0"/>
        <v>0.86725663716814161</v>
      </c>
      <c r="W33" s="20">
        <f t="shared" ref="W33:X33" si="39">T33-T32</f>
        <v>0</v>
      </c>
      <c r="X33" s="20">
        <f t="shared" si="39"/>
        <v>0</v>
      </c>
      <c r="Y33" s="19"/>
      <c r="Z33" s="19"/>
      <c r="AA33" s="21">
        <f t="shared" si="18"/>
        <v>1.3958333333333333</v>
      </c>
      <c r="AB33" s="26">
        <f t="shared" si="27"/>
        <v>1.9447260350074724</v>
      </c>
      <c r="AC33" s="23">
        <f t="shared" si="8"/>
        <v>47.857142857142854</v>
      </c>
      <c r="AD33" s="23">
        <f t="shared" si="25"/>
        <v>3.1428571428571428</v>
      </c>
      <c r="AE33" s="23">
        <f t="shared" si="9"/>
        <v>1303</v>
      </c>
      <c r="AF33" s="25">
        <f t="shared" si="13"/>
        <v>3.781428571428571E-2</v>
      </c>
      <c r="AG33" s="25"/>
      <c r="AH33" s="25"/>
      <c r="AI33" s="25"/>
      <c r="AJ33" s="25"/>
      <c r="AK33" s="25"/>
      <c r="AL33" s="25"/>
      <c r="AM33" s="26">
        <f t="shared" si="21"/>
        <v>3.4285714285714284</v>
      </c>
    </row>
    <row r="34" spans="1:39" ht="16">
      <c r="A34" s="15">
        <v>43926</v>
      </c>
      <c r="B34" s="16">
        <v>733</v>
      </c>
      <c r="C34" s="16">
        <v>55</v>
      </c>
      <c r="D34" s="16">
        <v>34</v>
      </c>
      <c r="E34" s="16">
        <v>66</v>
      </c>
      <c r="F34" s="16">
        <v>21250</v>
      </c>
      <c r="G34" s="17">
        <f t="shared" si="2"/>
        <v>2168.3673469387754</v>
      </c>
      <c r="H34" s="18"/>
      <c r="I34" s="13">
        <v>8.1100000000000005E-2</v>
      </c>
      <c r="J34" s="13">
        <v>3.4500000000000003E-2</v>
      </c>
      <c r="K34" s="22">
        <v>9.4E-2</v>
      </c>
      <c r="L34" s="16">
        <v>633</v>
      </c>
      <c r="M34" s="13">
        <v>4.6399999999999997E-2</v>
      </c>
      <c r="N34" s="13">
        <v>0.09</v>
      </c>
      <c r="O34" s="16">
        <v>13435</v>
      </c>
      <c r="P34" s="16">
        <v>1826</v>
      </c>
      <c r="Q34" s="13">
        <v>3.0099999999999998E-2</v>
      </c>
      <c r="R34" s="16">
        <v>2</v>
      </c>
      <c r="S34" s="16">
        <v>8</v>
      </c>
      <c r="T34" s="16"/>
      <c r="V34" s="19">
        <f t="shared" si="0"/>
        <v>0.86357435197817189</v>
      </c>
      <c r="W34" s="20">
        <f t="shared" ref="W34:X34" si="40">T34-T33</f>
        <v>0</v>
      </c>
      <c r="X34" s="20">
        <f t="shared" si="40"/>
        <v>0</v>
      </c>
      <c r="Y34" s="19"/>
      <c r="Z34" s="19"/>
      <c r="AA34" s="21">
        <f t="shared" si="18"/>
        <v>1.1732851985559567</v>
      </c>
      <c r="AB34" s="26">
        <f t="shared" si="27"/>
        <v>1.7126268065183525</v>
      </c>
      <c r="AC34" s="23">
        <f t="shared" si="8"/>
        <v>46.428571428571431</v>
      </c>
      <c r="AD34" s="23">
        <f t="shared" si="25"/>
        <v>3.1428571428571428</v>
      </c>
      <c r="AE34" s="23">
        <f t="shared" si="9"/>
        <v>1300.2857142857142</v>
      </c>
      <c r="AF34" s="25">
        <f t="shared" si="13"/>
        <v>3.7085714285714284E-2</v>
      </c>
      <c r="AG34" s="25"/>
      <c r="AH34" s="25"/>
      <c r="AI34" s="25"/>
      <c r="AJ34" s="25"/>
      <c r="AK34" s="25"/>
      <c r="AL34" s="25"/>
      <c r="AM34" s="26">
        <f t="shared" si="21"/>
        <v>4.5714285714285712</v>
      </c>
    </row>
    <row r="35" spans="1:39" ht="16">
      <c r="A35" s="15">
        <v>43927</v>
      </c>
      <c r="B35" s="16">
        <v>744</v>
      </c>
      <c r="C35" s="16">
        <v>11</v>
      </c>
      <c r="D35" s="16">
        <v>38</v>
      </c>
      <c r="E35" s="16">
        <v>67</v>
      </c>
      <c r="F35" s="16">
        <v>22282</v>
      </c>
      <c r="G35" s="17">
        <f t="shared" si="2"/>
        <v>2273.6734693877547</v>
      </c>
      <c r="H35" s="18"/>
      <c r="I35" s="13">
        <v>1.4999999999999999E-2</v>
      </c>
      <c r="J35" s="13">
        <v>3.3399999999999999E-2</v>
      </c>
      <c r="K35" s="22">
        <v>4.9000000000000002E-2</v>
      </c>
      <c r="L35" s="16">
        <v>639</v>
      </c>
      <c r="M35" s="13">
        <v>5.11E-2</v>
      </c>
      <c r="N35" s="13">
        <v>9.01E-2</v>
      </c>
      <c r="O35" s="16">
        <v>14345</v>
      </c>
      <c r="P35" s="16">
        <v>1032</v>
      </c>
      <c r="Q35" s="13">
        <v>1.0699999999999999E-2</v>
      </c>
      <c r="R35" s="16">
        <v>4</v>
      </c>
      <c r="S35" s="16">
        <v>1</v>
      </c>
      <c r="T35" s="16"/>
      <c r="V35" s="19">
        <f t="shared" si="0"/>
        <v>0.8588709677419355</v>
      </c>
      <c r="W35" s="20">
        <f t="shared" ref="W35:X35" si="41">T35-T34</f>
        <v>0</v>
      </c>
      <c r="X35" s="20">
        <f t="shared" si="41"/>
        <v>0</v>
      </c>
      <c r="Y35" s="19"/>
      <c r="Z35" s="19"/>
      <c r="AA35" s="21">
        <f t="shared" si="18"/>
        <v>1.0607142857142857</v>
      </c>
      <c r="AB35" s="26">
        <f t="shared" si="27"/>
        <v>1.5516574187632504</v>
      </c>
      <c r="AC35" s="23">
        <f t="shared" si="8"/>
        <v>42.428571428571431</v>
      </c>
      <c r="AD35" s="23">
        <f t="shared" si="25"/>
        <v>3.4285714285714284</v>
      </c>
      <c r="AE35" s="23">
        <f t="shared" si="9"/>
        <v>1283</v>
      </c>
      <c r="AF35" s="25">
        <f t="shared" si="13"/>
        <v>3.378571428571428E-2</v>
      </c>
      <c r="AG35" s="25"/>
      <c r="AH35" s="25"/>
      <c r="AI35" s="25"/>
      <c r="AJ35" s="25"/>
      <c r="AK35" s="25"/>
      <c r="AL35" s="25"/>
      <c r="AM35" s="26">
        <f t="shared" si="21"/>
        <v>4.7142857142857144</v>
      </c>
    </row>
    <row r="36" spans="1:39" ht="16">
      <c r="A36" s="15">
        <v>43928</v>
      </c>
      <c r="B36" s="16">
        <v>817</v>
      </c>
      <c r="C36" s="16">
        <v>73</v>
      </c>
      <c r="D36" s="16">
        <v>47</v>
      </c>
      <c r="E36" s="16">
        <v>71</v>
      </c>
      <c r="F36" s="16">
        <v>23746</v>
      </c>
      <c r="G36" s="17">
        <f t="shared" si="2"/>
        <v>2423.0612244897957</v>
      </c>
      <c r="H36" s="18"/>
      <c r="I36" s="13">
        <v>9.8100000000000007E-2</v>
      </c>
      <c r="J36" s="13">
        <v>3.44E-2</v>
      </c>
      <c r="K36" s="22">
        <v>6.6000000000000003E-2</v>
      </c>
      <c r="L36" s="16">
        <v>699</v>
      </c>
      <c r="M36" s="13">
        <v>5.7500000000000002E-2</v>
      </c>
      <c r="N36" s="13">
        <v>8.6900000000000005E-2</v>
      </c>
      <c r="O36" s="16">
        <v>14997</v>
      </c>
      <c r="P36" s="16">
        <v>1464</v>
      </c>
      <c r="Q36" s="13">
        <v>4.99E-2</v>
      </c>
      <c r="R36" s="16">
        <v>9</v>
      </c>
      <c r="S36" s="16">
        <v>4</v>
      </c>
      <c r="T36" s="16"/>
      <c r="V36" s="19">
        <f t="shared" si="0"/>
        <v>0.85556915544675638</v>
      </c>
      <c r="W36" s="20">
        <f t="shared" ref="W36:X36" si="42">T36-T35</f>
        <v>0</v>
      </c>
      <c r="X36" s="20">
        <f t="shared" si="42"/>
        <v>0</v>
      </c>
      <c r="Y36" s="19"/>
      <c r="Z36" s="19"/>
      <c r="AA36" s="21">
        <f t="shared" si="18"/>
        <v>1.0655737704918034</v>
      </c>
      <c r="AB36" s="26">
        <f t="shared" si="27"/>
        <v>1.3858426185102546</v>
      </c>
      <c r="AC36" s="23">
        <f t="shared" si="8"/>
        <v>46.428571428571431</v>
      </c>
      <c r="AD36" s="23">
        <f t="shared" si="25"/>
        <v>4.4285714285714288</v>
      </c>
      <c r="AE36" s="23">
        <f t="shared" si="9"/>
        <v>1371.4285714285713</v>
      </c>
      <c r="AF36" s="25">
        <f t="shared" si="13"/>
        <v>3.3299999999999996E-2</v>
      </c>
      <c r="AG36" s="25"/>
      <c r="AH36" s="25"/>
      <c r="AI36" s="25"/>
      <c r="AJ36" s="25"/>
      <c r="AK36" s="25"/>
      <c r="AL36" s="25"/>
      <c r="AM36" s="26">
        <f t="shared" si="21"/>
        <v>4.8571428571428568</v>
      </c>
    </row>
    <row r="37" spans="1:39" ht="16">
      <c r="A37" s="15">
        <v>43929</v>
      </c>
      <c r="B37" s="16">
        <v>895</v>
      </c>
      <c r="C37" s="16">
        <v>78</v>
      </c>
      <c r="D37" s="16">
        <v>58</v>
      </c>
      <c r="E37" s="16">
        <v>94</v>
      </c>
      <c r="F37" s="16">
        <v>25748</v>
      </c>
      <c r="G37" s="17">
        <f t="shared" si="2"/>
        <v>2627.3469387755099</v>
      </c>
      <c r="H37" s="18"/>
      <c r="I37" s="13">
        <v>9.5500000000000002E-2</v>
      </c>
      <c r="J37" s="13">
        <v>3.4799999999999998E-2</v>
      </c>
      <c r="K37" s="22">
        <v>8.4000000000000005E-2</v>
      </c>
      <c r="L37" s="16">
        <v>743</v>
      </c>
      <c r="M37" s="13">
        <v>6.4799999999999996E-2</v>
      </c>
      <c r="N37" s="13">
        <v>0.105</v>
      </c>
      <c r="O37" s="16">
        <v>15481</v>
      </c>
      <c r="P37" s="16">
        <v>2002</v>
      </c>
      <c r="Q37" s="13">
        <v>3.9E-2</v>
      </c>
      <c r="R37" s="16">
        <v>11</v>
      </c>
      <c r="S37" s="16">
        <v>23</v>
      </c>
      <c r="T37" s="16"/>
      <c r="V37" s="19">
        <f t="shared" si="0"/>
        <v>0.83016759776536309</v>
      </c>
      <c r="W37" s="20">
        <f t="shared" ref="W37:X37" si="43">T37-T36</f>
        <v>0</v>
      </c>
      <c r="X37" s="20">
        <f t="shared" si="43"/>
        <v>0</v>
      </c>
      <c r="Y37" s="19"/>
      <c r="Z37" s="19"/>
      <c r="AA37" s="21">
        <f t="shared" si="18"/>
        <v>1.2374581939799332</v>
      </c>
      <c r="AB37" s="26">
        <f t="shared" si="27"/>
        <v>1.3083706598271156</v>
      </c>
      <c r="AC37" s="23">
        <f t="shared" si="8"/>
        <v>52.857142857142854</v>
      </c>
      <c r="AD37" s="23">
        <f t="shared" si="25"/>
        <v>5.4285714285714288</v>
      </c>
      <c r="AE37" s="23">
        <f t="shared" si="9"/>
        <v>1505.7142857142858</v>
      </c>
      <c r="AF37" s="25">
        <f t="shared" si="13"/>
        <v>3.4428571428571426E-2</v>
      </c>
      <c r="AG37" s="25"/>
      <c r="AH37" s="25"/>
      <c r="AI37" s="25"/>
      <c r="AJ37" s="25"/>
      <c r="AK37" s="25"/>
      <c r="AL37" s="25"/>
      <c r="AM37" s="26">
        <f t="shared" si="21"/>
        <v>7.7142857142857144</v>
      </c>
    </row>
    <row r="38" spans="1:39" ht="16">
      <c r="A38" s="15">
        <v>43930</v>
      </c>
      <c r="B38" s="16">
        <v>980</v>
      </c>
      <c r="C38" s="16">
        <v>85</v>
      </c>
      <c r="D38" s="16">
        <v>66</v>
      </c>
      <c r="E38" s="16">
        <v>96</v>
      </c>
      <c r="F38" s="16">
        <v>27826</v>
      </c>
      <c r="G38" s="17">
        <f t="shared" si="2"/>
        <v>2839.3877551020405</v>
      </c>
      <c r="H38" s="18"/>
      <c r="I38" s="13">
        <v>9.5000000000000001E-2</v>
      </c>
      <c r="J38" s="13">
        <v>3.5200000000000002E-2</v>
      </c>
      <c r="K38" s="22">
        <v>8.1000000000000003E-2</v>
      </c>
      <c r="L38" s="16">
        <v>818</v>
      </c>
      <c r="M38" s="13">
        <v>6.7299999999999999E-2</v>
      </c>
      <c r="N38" s="13">
        <v>9.8000000000000004E-2</v>
      </c>
      <c r="O38" s="16">
        <v>16006</v>
      </c>
      <c r="P38" s="16">
        <v>2078</v>
      </c>
      <c r="Q38" s="13">
        <v>4.0899999999999999E-2</v>
      </c>
      <c r="R38" s="16">
        <v>8</v>
      </c>
      <c r="S38" s="16">
        <v>2</v>
      </c>
      <c r="V38" s="19">
        <f t="shared" si="0"/>
        <v>0.83469387755102042</v>
      </c>
      <c r="W38" s="20">
        <f t="shared" ref="W38:X38" si="44">T38-T37</f>
        <v>0</v>
      </c>
      <c r="X38" s="20">
        <f t="shared" si="44"/>
        <v>0</v>
      </c>
      <c r="Y38" s="19"/>
      <c r="Z38" s="19"/>
      <c r="AA38" s="21">
        <f t="shared" si="18"/>
        <v>1.2191358024691359</v>
      </c>
      <c r="AB38" s="26">
        <f t="shared" si="27"/>
        <v>1.2363323094199712</v>
      </c>
      <c r="AC38" s="23">
        <f t="shared" si="8"/>
        <v>56.428571428571431</v>
      </c>
      <c r="AD38" s="23">
        <f t="shared" si="25"/>
        <v>6.4285714285714288</v>
      </c>
      <c r="AE38" s="23">
        <f t="shared" si="9"/>
        <v>1632.1428571428571</v>
      </c>
      <c r="AF38" s="25">
        <f t="shared" si="13"/>
        <v>3.3085714285714288E-2</v>
      </c>
      <c r="AG38" s="25"/>
      <c r="AH38" s="25"/>
      <c r="AI38" s="25"/>
      <c r="AJ38" s="25"/>
      <c r="AK38" s="25"/>
      <c r="AL38" s="25"/>
      <c r="AM38" s="26">
        <f t="shared" si="21"/>
        <v>7.7142857142857144</v>
      </c>
    </row>
    <row r="39" spans="1:39" ht="16">
      <c r="A39" s="15">
        <v>43931</v>
      </c>
      <c r="B39" s="16">
        <v>1190</v>
      </c>
      <c r="C39" s="16">
        <v>210</v>
      </c>
      <c r="D39" s="16">
        <v>77</v>
      </c>
      <c r="E39" s="16">
        <v>112</v>
      </c>
      <c r="F39" s="16">
        <v>29948</v>
      </c>
      <c r="G39" s="17">
        <f t="shared" si="2"/>
        <v>3055.9183673469383</v>
      </c>
      <c r="H39" s="18"/>
      <c r="I39" s="13">
        <v>0.21429999999999999</v>
      </c>
      <c r="J39" s="13">
        <v>3.9699999999999999E-2</v>
      </c>
      <c r="K39" s="22">
        <v>7.5999999999999998E-2</v>
      </c>
      <c r="L39" s="16">
        <v>1001</v>
      </c>
      <c r="M39" s="13">
        <v>6.4699999999999994E-2</v>
      </c>
      <c r="N39" s="13">
        <v>9.4100000000000003E-2</v>
      </c>
      <c r="O39" s="16">
        <v>16006</v>
      </c>
      <c r="P39" s="16">
        <v>2122</v>
      </c>
      <c r="Q39" s="13">
        <v>9.9000000000000005E-2</v>
      </c>
      <c r="R39" s="16">
        <v>11</v>
      </c>
      <c r="S39" s="16">
        <v>16</v>
      </c>
      <c r="V39" s="19">
        <f t="shared" si="0"/>
        <v>0.8411764705882353</v>
      </c>
      <c r="W39" s="20">
        <f t="shared" ref="W39:X39" si="45">T39-T38</f>
        <v>0</v>
      </c>
      <c r="X39" s="20">
        <f t="shared" si="45"/>
        <v>0</v>
      </c>
      <c r="Y39" s="19"/>
      <c r="Z39" s="19"/>
      <c r="AA39" s="21">
        <f t="shared" si="18"/>
        <v>1.7554179566563468</v>
      </c>
      <c r="AB39" s="26">
        <f t="shared" si="27"/>
        <v>1.272488363028685</v>
      </c>
      <c r="AC39" s="23">
        <f t="shared" si="8"/>
        <v>81</v>
      </c>
      <c r="AD39" s="23">
        <f t="shared" si="25"/>
        <v>7.2857142857142856</v>
      </c>
      <c r="AE39" s="23">
        <f t="shared" si="9"/>
        <v>1739.8571428571429</v>
      </c>
      <c r="AF39" s="25">
        <f t="shared" si="13"/>
        <v>4.3257142857142848E-2</v>
      </c>
      <c r="AG39" s="25"/>
      <c r="AH39" s="25"/>
      <c r="AI39" s="25"/>
      <c r="AJ39" s="25"/>
      <c r="AK39" s="25"/>
      <c r="AL39" s="25"/>
      <c r="AM39" s="26">
        <f t="shared" si="21"/>
        <v>9.8571428571428577</v>
      </c>
    </row>
    <row r="40" spans="1:39" ht="16">
      <c r="A40" s="15">
        <v>43932</v>
      </c>
      <c r="B40" s="16">
        <v>1310</v>
      </c>
      <c r="C40" s="16">
        <v>120</v>
      </c>
      <c r="D40" s="16">
        <v>85</v>
      </c>
      <c r="E40" s="16">
        <v>115</v>
      </c>
      <c r="F40" s="16">
        <v>31961</v>
      </c>
      <c r="G40" s="17">
        <f t="shared" si="2"/>
        <v>3261.3265306122448</v>
      </c>
      <c r="H40" s="18"/>
      <c r="I40" s="13">
        <v>0.1008</v>
      </c>
      <c r="J40" s="13">
        <v>4.1000000000000002E-2</v>
      </c>
      <c r="K40" s="22">
        <v>6.7000000000000004E-2</v>
      </c>
      <c r="L40" s="16">
        <v>1110</v>
      </c>
      <c r="M40" s="13">
        <v>6.4899999999999999E-2</v>
      </c>
      <c r="N40" s="13">
        <v>8.7800000000000003E-2</v>
      </c>
      <c r="O40" s="16">
        <v>17490</v>
      </c>
      <c r="P40" s="16">
        <v>2013</v>
      </c>
      <c r="Q40" s="13">
        <v>5.96E-2</v>
      </c>
      <c r="R40" s="16">
        <v>8</v>
      </c>
      <c r="S40" s="16">
        <v>3</v>
      </c>
      <c r="V40" s="19">
        <f t="shared" si="0"/>
        <v>0.84732824427480913</v>
      </c>
      <c r="W40" s="20">
        <f t="shared" ref="W40:X40" si="46">T40-T39</f>
        <v>0</v>
      </c>
      <c r="X40" s="20">
        <f t="shared" si="46"/>
        <v>0</v>
      </c>
      <c r="Y40" s="19"/>
      <c r="Z40" s="19"/>
      <c r="AA40" s="21">
        <f t="shared" si="18"/>
        <v>1.8865671641791044</v>
      </c>
      <c r="AB40" s="26">
        <f t="shared" si="27"/>
        <v>1.3425931960066524</v>
      </c>
      <c r="AC40" s="23">
        <f t="shared" si="8"/>
        <v>90.285714285714292</v>
      </c>
      <c r="AD40" s="23">
        <f t="shared" si="25"/>
        <v>7.5714285714285712</v>
      </c>
      <c r="AE40" s="23">
        <f t="shared" si="9"/>
        <v>1791</v>
      </c>
      <c r="AF40" s="25">
        <f t="shared" si="13"/>
        <v>4.7028571428571427E-2</v>
      </c>
      <c r="AG40" s="25"/>
      <c r="AH40" s="25"/>
      <c r="AI40" s="25"/>
      <c r="AJ40" s="25"/>
      <c r="AK40" s="25"/>
      <c r="AL40" s="25"/>
      <c r="AM40" s="26">
        <f t="shared" si="21"/>
        <v>8.1428571428571423</v>
      </c>
    </row>
    <row r="41" spans="1:39" ht="16">
      <c r="A41" s="15">
        <v>43933</v>
      </c>
      <c r="B41" s="16">
        <v>1410</v>
      </c>
      <c r="C41" s="16">
        <v>100</v>
      </c>
      <c r="D41" s="16">
        <v>99</v>
      </c>
      <c r="E41" s="16">
        <v>118</v>
      </c>
      <c r="F41" s="16">
        <v>33532</v>
      </c>
      <c r="G41" s="17">
        <f t="shared" si="2"/>
        <v>3421.6326530612241</v>
      </c>
      <c r="H41" s="18"/>
      <c r="I41" s="13">
        <v>7.6300000000000007E-2</v>
      </c>
      <c r="J41" s="13">
        <v>4.2000000000000003E-2</v>
      </c>
      <c r="K41" s="22">
        <v>4.9000000000000002E-2</v>
      </c>
      <c r="L41" s="16">
        <v>1193</v>
      </c>
      <c r="M41" s="13">
        <v>7.0199999999999999E-2</v>
      </c>
      <c r="N41" s="13">
        <v>8.3699999999999997E-2</v>
      </c>
      <c r="O41" s="16">
        <v>15333</v>
      </c>
      <c r="P41" s="16">
        <v>1571</v>
      </c>
      <c r="Q41" s="13">
        <v>6.3700000000000007E-2</v>
      </c>
      <c r="R41" s="16">
        <v>14</v>
      </c>
      <c r="S41" s="16">
        <v>3</v>
      </c>
      <c r="V41" s="19">
        <f t="shared" si="0"/>
        <v>0.8460992907801419</v>
      </c>
      <c r="W41" s="20">
        <f t="shared" ref="W41:X41" si="47">T41-T40</f>
        <v>0</v>
      </c>
      <c r="X41" s="20">
        <f t="shared" si="47"/>
        <v>0</v>
      </c>
      <c r="Y41" s="19"/>
      <c r="Z41" s="19"/>
      <c r="AA41" s="21">
        <f t="shared" si="18"/>
        <v>2.083076923076923</v>
      </c>
      <c r="AB41" s="26">
        <f t="shared" si="27"/>
        <v>1.4725634423667902</v>
      </c>
      <c r="AC41" s="23">
        <f t="shared" si="8"/>
        <v>96.714285714285708</v>
      </c>
      <c r="AD41" s="23">
        <f t="shared" si="25"/>
        <v>9.2857142857142865</v>
      </c>
      <c r="AE41" s="23">
        <f t="shared" si="9"/>
        <v>1754.5714285714287</v>
      </c>
      <c r="AF41" s="25">
        <f t="shared" si="13"/>
        <v>5.1828571428571432E-2</v>
      </c>
      <c r="AG41" s="25"/>
      <c r="AH41" s="25"/>
      <c r="AI41" s="25"/>
      <c r="AJ41" s="25"/>
      <c r="AK41" s="25"/>
      <c r="AL41" s="25"/>
      <c r="AM41" s="26">
        <f t="shared" si="21"/>
        <v>7.4285714285714288</v>
      </c>
    </row>
    <row r="42" spans="1:39" ht="16">
      <c r="A42" s="15">
        <v>43934</v>
      </c>
      <c r="B42" s="16">
        <v>1458</v>
      </c>
      <c r="C42" s="16">
        <v>48</v>
      </c>
      <c r="D42" s="16">
        <v>109</v>
      </c>
      <c r="E42" s="16">
        <v>120</v>
      </c>
      <c r="F42" s="16">
        <v>34819</v>
      </c>
      <c r="G42" s="17">
        <f t="shared" si="2"/>
        <v>3552.9591836734689</v>
      </c>
      <c r="H42" s="18"/>
      <c r="I42" s="13">
        <v>3.4000000000000002E-2</v>
      </c>
      <c r="J42" s="13">
        <v>4.19E-2</v>
      </c>
      <c r="K42" s="22">
        <v>3.7999999999999999E-2</v>
      </c>
      <c r="L42" s="16">
        <v>1229</v>
      </c>
      <c r="M42" s="13">
        <v>7.4800000000000005E-2</v>
      </c>
      <c r="N42" s="13">
        <v>8.2299999999999998E-2</v>
      </c>
      <c r="O42" s="16">
        <v>15333</v>
      </c>
      <c r="P42" s="16">
        <v>1287</v>
      </c>
      <c r="Q42" s="13">
        <v>3.73E-2</v>
      </c>
      <c r="R42" s="16">
        <v>10</v>
      </c>
      <c r="S42" s="16">
        <v>2</v>
      </c>
      <c r="V42" s="19">
        <f t="shared" si="0"/>
        <v>0.84293552812071326</v>
      </c>
      <c r="W42" s="20">
        <f t="shared" ref="W42:X42" si="48">T42-T41</f>
        <v>0</v>
      </c>
      <c r="X42" s="20">
        <f t="shared" si="48"/>
        <v>0</v>
      </c>
      <c r="Y42" s="19"/>
      <c r="Z42" s="19"/>
      <c r="AA42" s="21">
        <f t="shared" si="18"/>
        <v>2.404040404040404</v>
      </c>
      <c r="AB42" s="26">
        <f t="shared" si="27"/>
        <v>1.6644671735562357</v>
      </c>
      <c r="AC42" s="23">
        <f t="shared" si="8"/>
        <v>102</v>
      </c>
      <c r="AD42" s="23">
        <f t="shared" si="25"/>
        <v>10.142857142857142</v>
      </c>
      <c r="AE42" s="23">
        <f t="shared" si="9"/>
        <v>1791</v>
      </c>
      <c r="AF42" s="25">
        <f t="shared" si="13"/>
        <v>5.5628571428571423E-2</v>
      </c>
      <c r="AG42" s="25"/>
      <c r="AH42" s="25"/>
      <c r="AI42" s="25"/>
      <c r="AJ42" s="25"/>
      <c r="AK42" s="25"/>
      <c r="AL42" s="25"/>
      <c r="AM42" s="26">
        <f t="shared" si="21"/>
        <v>7.5714285714285712</v>
      </c>
    </row>
    <row r="43" spans="1:39" ht="16">
      <c r="A43" s="15">
        <v>43935</v>
      </c>
      <c r="B43" s="16">
        <v>1512</v>
      </c>
      <c r="C43" s="16">
        <v>54</v>
      </c>
      <c r="D43" s="16">
        <v>122</v>
      </c>
      <c r="E43" s="16">
        <v>122</v>
      </c>
      <c r="F43" s="16">
        <v>35825</v>
      </c>
      <c r="G43" s="17">
        <f t="shared" si="2"/>
        <v>3655.612244897959</v>
      </c>
      <c r="H43" s="18"/>
      <c r="I43" s="13">
        <v>3.6999999999999998E-2</v>
      </c>
      <c r="J43" s="13">
        <v>4.2200000000000001E-2</v>
      </c>
      <c r="K43" s="22">
        <v>2.9000000000000001E-2</v>
      </c>
      <c r="L43" s="16">
        <v>1268</v>
      </c>
      <c r="M43" s="13">
        <v>8.0699999999999994E-2</v>
      </c>
      <c r="N43" s="13">
        <v>8.0699999999999994E-2</v>
      </c>
      <c r="O43" s="16">
        <v>14355</v>
      </c>
      <c r="P43" s="16">
        <v>1006</v>
      </c>
      <c r="Q43" s="13">
        <v>5.3699999999999998E-2</v>
      </c>
      <c r="R43" s="16">
        <v>13</v>
      </c>
      <c r="S43" s="16">
        <v>2</v>
      </c>
      <c r="V43" s="19">
        <f t="shared" si="0"/>
        <v>0.83862433862433861</v>
      </c>
      <c r="W43" s="20">
        <f t="shared" ref="W43:X43" si="49">T43-T42</f>
        <v>0</v>
      </c>
      <c r="X43" s="20">
        <f t="shared" si="49"/>
        <v>0</v>
      </c>
      <c r="Y43" s="19"/>
      <c r="Z43" s="19"/>
      <c r="AA43" s="21">
        <f t="shared" si="18"/>
        <v>2.1384615384615384</v>
      </c>
      <c r="AB43" s="26">
        <f t="shared" si="27"/>
        <v>1.8177368546947694</v>
      </c>
      <c r="AC43" s="23">
        <f t="shared" si="8"/>
        <v>99.285714285714292</v>
      </c>
      <c r="AD43" s="23">
        <f t="shared" si="25"/>
        <v>10.714285714285714</v>
      </c>
      <c r="AE43" s="23">
        <f t="shared" si="9"/>
        <v>1725.5714285714287</v>
      </c>
      <c r="AF43" s="25">
        <f t="shared" si="13"/>
        <v>5.6171428571428574E-2</v>
      </c>
      <c r="AG43" s="25"/>
      <c r="AH43" s="25"/>
      <c r="AI43" s="25"/>
      <c r="AJ43" s="25"/>
      <c r="AK43" s="25"/>
      <c r="AL43" s="25"/>
      <c r="AM43" s="26">
        <f t="shared" si="21"/>
        <v>7.2857142857142856</v>
      </c>
    </row>
    <row r="44" spans="1:39" ht="16">
      <c r="A44" s="15">
        <v>43936</v>
      </c>
      <c r="B44" s="16">
        <v>1579</v>
      </c>
      <c r="C44" s="16">
        <v>67</v>
      </c>
      <c r="D44" s="16">
        <v>134</v>
      </c>
      <c r="E44" s="16">
        <v>192</v>
      </c>
      <c r="F44" s="16">
        <v>37326</v>
      </c>
      <c r="G44" s="17">
        <f t="shared" si="2"/>
        <v>3808.7755102040815</v>
      </c>
      <c r="H44" s="18"/>
      <c r="I44" s="13">
        <v>4.4299999999999999E-2</v>
      </c>
      <c r="J44" s="13">
        <v>4.2299999999999997E-2</v>
      </c>
      <c r="K44" s="22">
        <v>4.2000000000000003E-2</v>
      </c>
      <c r="L44" s="16">
        <v>1253</v>
      </c>
      <c r="M44" s="13">
        <v>8.4900000000000003E-2</v>
      </c>
      <c r="N44" s="13">
        <v>0.1216</v>
      </c>
      <c r="O44" s="16">
        <v>13360</v>
      </c>
      <c r="P44" s="16">
        <v>1501</v>
      </c>
      <c r="Q44" s="13">
        <v>4.4600000000000001E-2</v>
      </c>
      <c r="R44" s="16">
        <v>12</v>
      </c>
      <c r="S44" s="16">
        <v>70</v>
      </c>
      <c r="V44" s="19">
        <f t="shared" si="0"/>
        <v>0.79354021532615582</v>
      </c>
      <c r="W44" s="20">
        <f t="shared" ref="W44:X44" si="50">T44-T43</f>
        <v>0</v>
      </c>
      <c r="X44" s="20">
        <f t="shared" si="50"/>
        <v>0</v>
      </c>
      <c r="Y44" s="19"/>
      <c r="Z44" s="19"/>
      <c r="AA44" s="21">
        <f t="shared" si="18"/>
        <v>1.8486486486486486</v>
      </c>
      <c r="AB44" s="26">
        <f t="shared" si="27"/>
        <v>1.9050497767903001</v>
      </c>
      <c r="AC44" s="23">
        <f t="shared" si="8"/>
        <v>97.714285714285708</v>
      </c>
      <c r="AD44" s="23">
        <f t="shared" si="25"/>
        <v>10.857142857142858</v>
      </c>
      <c r="AE44" s="23">
        <f t="shared" si="9"/>
        <v>1654</v>
      </c>
      <c r="AF44" s="25">
        <f t="shared" si="13"/>
        <v>5.6971428571428562E-2</v>
      </c>
      <c r="AG44" s="25"/>
      <c r="AH44" s="25"/>
      <c r="AI44" s="25"/>
      <c r="AJ44" s="25"/>
      <c r="AK44" s="25"/>
      <c r="AL44" s="25"/>
      <c r="AM44" s="26">
        <f t="shared" si="21"/>
        <v>14</v>
      </c>
    </row>
    <row r="45" spans="1:39" ht="16">
      <c r="A45" s="15">
        <v>43937</v>
      </c>
      <c r="B45" s="16">
        <v>1652</v>
      </c>
      <c r="C45" s="16">
        <v>73</v>
      </c>
      <c r="D45" s="16">
        <v>142</v>
      </c>
      <c r="E45" s="16">
        <v>199</v>
      </c>
      <c r="F45" s="16">
        <v>38489</v>
      </c>
      <c r="G45" s="17">
        <f t="shared" si="2"/>
        <v>3927.4489795918366</v>
      </c>
      <c r="H45" s="18"/>
      <c r="I45" s="13">
        <v>4.6199999999999998E-2</v>
      </c>
      <c r="J45" s="13">
        <v>4.2900000000000001E-2</v>
      </c>
      <c r="K45" s="22">
        <v>3.1E-2</v>
      </c>
      <c r="L45" s="16">
        <v>1311</v>
      </c>
      <c r="M45" s="13">
        <v>8.5999999999999993E-2</v>
      </c>
      <c r="N45" s="13">
        <v>0.1205</v>
      </c>
      <c r="O45" s="16">
        <v>12737</v>
      </c>
      <c r="P45" s="16">
        <v>1163</v>
      </c>
      <c r="Q45" s="13">
        <v>6.2799999999999995E-2</v>
      </c>
      <c r="R45" s="16">
        <v>8</v>
      </c>
      <c r="S45" s="16">
        <v>7</v>
      </c>
      <c r="T45" s="16">
        <v>729</v>
      </c>
      <c r="U45" s="16">
        <v>60</v>
      </c>
      <c r="V45" s="19">
        <f t="shared" si="0"/>
        <v>0.79358353510895885</v>
      </c>
      <c r="W45" s="20">
        <f t="shared" ref="W45:X45" si="51">T45-T44</f>
        <v>729</v>
      </c>
      <c r="X45" s="20">
        <f t="shared" si="51"/>
        <v>60</v>
      </c>
      <c r="Y45" s="19">
        <f t="shared" ref="Y45:Y77" si="52">T45/L45</f>
        <v>0.55606407322654461</v>
      </c>
      <c r="Z45" s="19">
        <f t="shared" ref="Z45:Z77" si="53">U45/T45</f>
        <v>8.2304526748971193E-2</v>
      </c>
      <c r="AA45" s="21">
        <f t="shared" si="18"/>
        <v>1.7012658227848101</v>
      </c>
      <c r="AB45" s="26">
        <f t="shared" si="27"/>
        <v>1.9739254939782536</v>
      </c>
      <c r="AC45" s="23">
        <f t="shared" si="8"/>
        <v>96</v>
      </c>
      <c r="AD45" s="23">
        <f t="shared" si="25"/>
        <v>10.857142857142858</v>
      </c>
      <c r="AE45" s="23">
        <f t="shared" si="9"/>
        <v>1523.2857142857142</v>
      </c>
      <c r="AF45" s="25">
        <f t="shared" si="13"/>
        <v>6.0099999999999994E-2</v>
      </c>
      <c r="AG45" s="25"/>
      <c r="AH45" s="25"/>
      <c r="AI45" s="25"/>
      <c r="AJ45" s="25"/>
      <c r="AK45" s="25"/>
      <c r="AL45" s="25"/>
      <c r="AM45" s="26">
        <f t="shared" si="21"/>
        <v>14.714285714285714</v>
      </c>
    </row>
    <row r="46" spans="1:39" ht="16">
      <c r="A46" s="15">
        <v>43938</v>
      </c>
      <c r="B46" s="16">
        <v>1763</v>
      </c>
      <c r="C46" s="16">
        <v>111</v>
      </c>
      <c r="D46" s="16">
        <v>156</v>
      </c>
      <c r="E46" s="16">
        <v>207</v>
      </c>
      <c r="F46" s="16">
        <v>41590</v>
      </c>
      <c r="G46" s="17">
        <f t="shared" si="2"/>
        <v>4243.8775510204077</v>
      </c>
      <c r="H46" s="18"/>
      <c r="I46" s="13">
        <v>6.7199999999999996E-2</v>
      </c>
      <c r="J46" s="13">
        <v>4.24E-2</v>
      </c>
      <c r="K46" s="22">
        <v>8.1000000000000003E-2</v>
      </c>
      <c r="L46" s="16">
        <v>1400</v>
      </c>
      <c r="M46" s="13">
        <v>8.8499999999999995E-2</v>
      </c>
      <c r="N46" s="13">
        <v>0.1174</v>
      </c>
      <c r="O46" s="16">
        <v>12401</v>
      </c>
      <c r="P46" s="16">
        <v>3101</v>
      </c>
      <c r="Q46" s="13">
        <v>3.5799999999999998E-2</v>
      </c>
      <c r="R46" s="16">
        <v>14</v>
      </c>
      <c r="S46" s="16">
        <v>8</v>
      </c>
      <c r="T46" s="16">
        <v>847</v>
      </c>
      <c r="U46" s="16">
        <v>63</v>
      </c>
      <c r="V46" s="19">
        <f t="shared" si="0"/>
        <v>0.79410096426545662</v>
      </c>
      <c r="W46" s="20">
        <f t="shared" ref="W46:X46" si="54">T46-T45</f>
        <v>118</v>
      </c>
      <c r="X46" s="20">
        <f t="shared" si="54"/>
        <v>3</v>
      </c>
      <c r="Y46" s="19">
        <f t="shared" si="52"/>
        <v>0.60499999999999998</v>
      </c>
      <c r="Z46" s="19">
        <f t="shared" si="53"/>
        <v>7.43801652892562E-2</v>
      </c>
      <c r="AA46" s="21">
        <f t="shared" si="18"/>
        <v>1.0105820105820107</v>
      </c>
      <c r="AB46" s="26">
        <f t="shared" si="27"/>
        <v>1.8675203588247771</v>
      </c>
      <c r="AC46" s="23">
        <f t="shared" si="8"/>
        <v>81.857142857142861</v>
      </c>
      <c r="AD46" s="23">
        <f t="shared" si="25"/>
        <v>11.285714285714286</v>
      </c>
      <c r="AE46" s="23">
        <f t="shared" si="9"/>
        <v>1663.1428571428571</v>
      </c>
      <c r="AF46" s="25">
        <f t="shared" si="13"/>
        <v>5.1071428571428566E-2</v>
      </c>
      <c r="AG46" s="25"/>
      <c r="AH46" s="25"/>
      <c r="AI46" s="25"/>
      <c r="AJ46" s="25"/>
      <c r="AK46" s="25"/>
      <c r="AL46" s="25"/>
      <c r="AM46" s="26">
        <f t="shared" si="21"/>
        <v>13.571428571428571</v>
      </c>
    </row>
    <row r="47" spans="1:39" ht="16">
      <c r="A47" s="15">
        <v>43939</v>
      </c>
      <c r="B47" s="16">
        <v>1834</v>
      </c>
      <c r="C47" s="16">
        <v>71</v>
      </c>
      <c r="D47" s="16">
        <v>172</v>
      </c>
      <c r="E47" s="16">
        <v>231</v>
      </c>
      <c r="F47" s="16">
        <v>43901</v>
      </c>
      <c r="G47" s="17">
        <f t="shared" si="2"/>
        <v>4479.6938775510198</v>
      </c>
      <c r="H47" s="18"/>
      <c r="I47" s="13">
        <v>4.0300000000000002E-2</v>
      </c>
      <c r="J47" s="13">
        <v>4.1799999999999997E-2</v>
      </c>
      <c r="K47" s="22">
        <v>5.6000000000000001E-2</v>
      </c>
      <c r="L47" s="16">
        <v>1431</v>
      </c>
      <c r="M47" s="13">
        <v>9.3799999999999994E-2</v>
      </c>
      <c r="N47" s="13">
        <v>0.126</v>
      </c>
      <c r="O47" s="16">
        <v>12150</v>
      </c>
      <c r="P47" s="16">
        <v>2311</v>
      </c>
      <c r="Q47" s="13">
        <v>3.0700000000000002E-2</v>
      </c>
      <c r="R47" s="16">
        <v>16</v>
      </c>
      <c r="S47" s="16">
        <v>24</v>
      </c>
      <c r="T47" s="16">
        <v>829</v>
      </c>
      <c r="U47" s="16">
        <v>60</v>
      </c>
      <c r="V47" s="19">
        <f t="shared" si="0"/>
        <v>0.78026172300981467</v>
      </c>
      <c r="W47" s="20">
        <f t="shared" ref="W47:X47" si="55">T47-T46</f>
        <v>-18</v>
      </c>
      <c r="X47" s="20">
        <f t="shared" si="55"/>
        <v>-3</v>
      </c>
      <c r="Y47" s="19">
        <f t="shared" si="52"/>
        <v>0.57931516422082463</v>
      </c>
      <c r="Z47" s="19">
        <f t="shared" si="53"/>
        <v>7.2376357056694818E-2</v>
      </c>
      <c r="AA47" s="21">
        <f t="shared" si="18"/>
        <v>0.82911392405063289</v>
      </c>
      <c r="AB47" s="26">
        <f t="shared" si="27"/>
        <v>1.7164556102349953</v>
      </c>
      <c r="AC47" s="23">
        <f t="shared" si="8"/>
        <v>74.857142857142861</v>
      </c>
      <c r="AD47" s="23">
        <f t="shared" si="25"/>
        <v>12.428571428571429</v>
      </c>
      <c r="AE47" s="23">
        <f t="shared" si="9"/>
        <v>1705.7142857142858</v>
      </c>
      <c r="AF47" s="25">
        <f t="shared" si="13"/>
        <v>4.694285714285714E-2</v>
      </c>
      <c r="AG47" s="25"/>
      <c r="AH47" s="25"/>
      <c r="AI47" s="25"/>
      <c r="AJ47" s="25"/>
      <c r="AK47" s="25"/>
      <c r="AL47" s="25"/>
      <c r="AM47" s="26">
        <f t="shared" si="21"/>
        <v>16.571428571428573</v>
      </c>
    </row>
    <row r="48" spans="1:39" ht="16">
      <c r="A48" s="15">
        <v>43940</v>
      </c>
      <c r="B48" s="16">
        <v>1916</v>
      </c>
      <c r="C48" s="16">
        <v>82</v>
      </c>
      <c r="D48" s="16">
        <v>189</v>
      </c>
      <c r="E48" s="16">
        <v>250</v>
      </c>
      <c r="F48" s="16">
        <v>46353</v>
      </c>
      <c r="G48" s="17">
        <f t="shared" si="2"/>
        <v>4729.8979591836733</v>
      </c>
      <c r="H48" s="18"/>
      <c r="I48" s="13">
        <v>4.4699999999999997E-2</v>
      </c>
      <c r="J48" s="13">
        <v>4.1300000000000003E-2</v>
      </c>
      <c r="K48" s="22">
        <v>5.6000000000000001E-2</v>
      </c>
      <c r="L48" s="16">
        <v>1477</v>
      </c>
      <c r="M48" s="13">
        <v>9.8599999999999993E-2</v>
      </c>
      <c r="N48" s="13">
        <v>0.1305</v>
      </c>
      <c r="O48" s="16">
        <v>11959</v>
      </c>
      <c r="P48" s="16">
        <v>2452</v>
      </c>
      <c r="Q48" s="13">
        <v>3.3399999999999999E-2</v>
      </c>
      <c r="R48" s="16">
        <v>17</v>
      </c>
      <c r="S48" s="16">
        <v>19</v>
      </c>
      <c r="T48" s="16">
        <v>784</v>
      </c>
      <c r="U48" s="16">
        <v>61</v>
      </c>
      <c r="V48" s="19">
        <f t="shared" si="0"/>
        <v>0.77087682672233826</v>
      </c>
      <c r="W48" s="20">
        <f t="shared" ref="W48:X48" si="56">T48-T47</f>
        <v>-45</v>
      </c>
      <c r="X48" s="20">
        <f t="shared" si="56"/>
        <v>1</v>
      </c>
      <c r="Y48" s="19">
        <f t="shared" si="52"/>
        <v>0.53080568720379151</v>
      </c>
      <c r="Z48" s="19">
        <f t="shared" si="53"/>
        <v>7.7806122448979595E-2</v>
      </c>
      <c r="AA48" s="21">
        <f t="shared" si="18"/>
        <v>0.74741506646971934</v>
      </c>
      <c r="AB48" s="26">
        <f t="shared" si="27"/>
        <v>1.5256467735768235</v>
      </c>
      <c r="AC48" s="23">
        <f t="shared" si="8"/>
        <v>72.285714285714292</v>
      </c>
      <c r="AD48" s="23">
        <f t="shared" si="25"/>
        <v>12.857142857142858</v>
      </c>
      <c r="AE48" s="23">
        <f t="shared" si="9"/>
        <v>1831.5714285714287</v>
      </c>
      <c r="AF48" s="25">
        <f t="shared" si="13"/>
        <v>4.2614285714285709E-2</v>
      </c>
      <c r="AG48" s="25"/>
      <c r="AH48" s="25"/>
      <c r="AI48" s="25"/>
      <c r="AJ48" s="25"/>
      <c r="AK48" s="25"/>
      <c r="AL48" s="25"/>
      <c r="AM48" s="26">
        <f t="shared" si="21"/>
        <v>18.857142857142858</v>
      </c>
    </row>
    <row r="49" spans="1:39" ht="16">
      <c r="A49" s="15">
        <v>43941</v>
      </c>
      <c r="B49" s="16">
        <v>1984</v>
      </c>
      <c r="C49" s="16">
        <v>68</v>
      </c>
      <c r="D49" s="16">
        <v>199</v>
      </c>
      <c r="E49" s="16">
        <v>267</v>
      </c>
      <c r="F49" s="16">
        <v>48057</v>
      </c>
      <c r="G49" s="17">
        <f t="shared" si="2"/>
        <v>4903.775510204081</v>
      </c>
      <c r="H49" s="18"/>
      <c r="I49" s="13">
        <v>3.5499999999999997E-2</v>
      </c>
      <c r="J49" s="13">
        <v>4.1300000000000003E-2</v>
      </c>
      <c r="K49" s="22">
        <v>3.6999999999999998E-2</v>
      </c>
      <c r="L49" s="16">
        <v>1518</v>
      </c>
      <c r="M49" s="13">
        <v>0.1003</v>
      </c>
      <c r="N49" s="13">
        <v>0.1346</v>
      </c>
      <c r="O49" s="16">
        <v>11240</v>
      </c>
      <c r="P49" s="16">
        <v>1704</v>
      </c>
      <c r="Q49" s="13">
        <v>3.9899999999999998E-2</v>
      </c>
      <c r="R49" s="16">
        <v>10</v>
      </c>
      <c r="S49" s="16">
        <v>17</v>
      </c>
      <c r="T49" s="16">
        <v>811</v>
      </c>
      <c r="U49" s="16">
        <v>60</v>
      </c>
      <c r="V49" s="19">
        <f t="shared" si="0"/>
        <v>0.7651209677419355</v>
      </c>
      <c r="W49" s="20">
        <f t="shared" ref="W49:X49" si="57">T49-T48</f>
        <v>27</v>
      </c>
      <c r="X49" s="20">
        <f t="shared" si="57"/>
        <v>-1</v>
      </c>
      <c r="Y49" s="19">
        <f t="shared" si="52"/>
        <v>0.53425559947299073</v>
      </c>
      <c r="Z49" s="19">
        <f t="shared" si="53"/>
        <v>7.3982737361282372E-2</v>
      </c>
      <c r="AA49" s="21">
        <f t="shared" si="18"/>
        <v>0.73669467787114851</v>
      </c>
      <c r="AB49" s="26">
        <f t="shared" si="27"/>
        <v>1.2874545269812157</v>
      </c>
      <c r="AC49" s="23">
        <f t="shared" si="8"/>
        <v>75.142857142857139</v>
      </c>
      <c r="AD49" s="23">
        <f t="shared" si="25"/>
        <v>12.857142857142858</v>
      </c>
      <c r="AE49" s="23">
        <f t="shared" si="9"/>
        <v>1891.1428571428571</v>
      </c>
      <c r="AF49" s="25">
        <f t="shared" si="13"/>
        <v>4.2985714285714287E-2</v>
      </c>
      <c r="AG49" s="25"/>
      <c r="AH49" s="25"/>
      <c r="AI49" s="25"/>
      <c r="AJ49" s="25"/>
      <c r="AK49" s="25"/>
      <c r="AL49" s="25"/>
      <c r="AM49" s="26">
        <f t="shared" si="21"/>
        <v>21</v>
      </c>
    </row>
    <row r="50" spans="1:39" ht="16">
      <c r="A50" s="15">
        <v>43942</v>
      </c>
      <c r="B50" s="16">
        <v>2098</v>
      </c>
      <c r="C50" s="16">
        <v>114</v>
      </c>
      <c r="D50" s="16">
        <v>213</v>
      </c>
      <c r="E50" s="16">
        <v>287</v>
      </c>
      <c r="F50" s="16">
        <v>50052</v>
      </c>
      <c r="G50" s="17">
        <f t="shared" si="2"/>
        <v>5107.3469387755094</v>
      </c>
      <c r="H50" s="18"/>
      <c r="I50" s="13">
        <v>5.7500000000000002E-2</v>
      </c>
      <c r="J50" s="13">
        <v>4.19E-2</v>
      </c>
      <c r="K50" s="22">
        <v>4.2000000000000003E-2</v>
      </c>
      <c r="L50" s="16">
        <v>1598</v>
      </c>
      <c r="M50" s="13">
        <v>0.10150000000000001</v>
      </c>
      <c r="N50" s="13">
        <v>0.1368</v>
      </c>
      <c r="O50" s="16">
        <v>11172</v>
      </c>
      <c r="P50" s="16">
        <v>1995</v>
      </c>
      <c r="Q50" s="13">
        <v>5.7099999999999998E-2</v>
      </c>
      <c r="R50" s="16">
        <v>14</v>
      </c>
      <c r="S50" s="16">
        <v>20</v>
      </c>
      <c r="T50" s="16">
        <v>842</v>
      </c>
      <c r="U50" s="16">
        <v>82</v>
      </c>
      <c r="V50" s="19">
        <f t="shared" si="0"/>
        <v>0.7616777883698761</v>
      </c>
      <c r="W50" s="20">
        <f t="shared" ref="W50:X50" si="58">T50-T49</f>
        <v>31</v>
      </c>
      <c r="X50" s="20">
        <f t="shared" si="58"/>
        <v>22</v>
      </c>
      <c r="Y50" s="19">
        <f t="shared" si="52"/>
        <v>0.52690863579474345</v>
      </c>
      <c r="Z50" s="19">
        <f t="shared" si="53"/>
        <v>9.7387173396674589E-2</v>
      </c>
      <c r="AA50" s="21">
        <f t="shared" si="18"/>
        <v>0.84316546762589928</v>
      </c>
      <c r="AB50" s="26">
        <f t="shared" si="27"/>
        <v>1.102412231147553</v>
      </c>
      <c r="AC50" s="23">
        <f t="shared" si="8"/>
        <v>83.714285714285708</v>
      </c>
      <c r="AD50" s="23">
        <f t="shared" si="25"/>
        <v>13</v>
      </c>
      <c r="AE50" s="23">
        <f t="shared" si="9"/>
        <v>2032.4285714285713</v>
      </c>
      <c r="AF50" s="25">
        <f t="shared" si="13"/>
        <v>4.3471428571428564E-2</v>
      </c>
      <c r="AG50" s="25"/>
      <c r="AH50" s="25"/>
      <c r="AI50" s="25"/>
      <c r="AJ50" s="25"/>
      <c r="AK50" s="25"/>
      <c r="AL50" s="25"/>
      <c r="AM50" s="26">
        <f t="shared" si="21"/>
        <v>23.571428571428573</v>
      </c>
    </row>
    <row r="51" spans="1:39" ht="16">
      <c r="A51" s="15">
        <v>43943</v>
      </c>
      <c r="B51" s="16">
        <v>2168</v>
      </c>
      <c r="C51" s="16">
        <v>70</v>
      </c>
      <c r="D51" s="16">
        <v>225</v>
      </c>
      <c r="E51" s="16">
        <v>295</v>
      </c>
      <c r="F51" s="16">
        <v>52702</v>
      </c>
      <c r="G51" s="17">
        <f t="shared" si="2"/>
        <v>5377.7551020408164</v>
      </c>
      <c r="H51" s="18"/>
      <c r="I51" s="13">
        <v>3.3399999999999999E-2</v>
      </c>
      <c r="J51" s="13">
        <v>4.1099999999999998E-2</v>
      </c>
      <c r="K51" s="22">
        <v>5.2999999999999999E-2</v>
      </c>
      <c r="L51" s="16">
        <v>1648</v>
      </c>
      <c r="M51" s="13">
        <v>0.1038</v>
      </c>
      <c r="N51" s="13">
        <v>0.1361</v>
      </c>
      <c r="O51" s="16">
        <v>11049</v>
      </c>
      <c r="P51" s="16">
        <v>2650</v>
      </c>
      <c r="Q51" s="13">
        <v>2.64E-2</v>
      </c>
      <c r="R51" s="16">
        <v>12</v>
      </c>
      <c r="S51" s="16">
        <v>8</v>
      </c>
      <c r="T51" s="16">
        <v>825</v>
      </c>
      <c r="U51" s="16">
        <v>63</v>
      </c>
      <c r="V51" s="19">
        <f t="shared" si="0"/>
        <v>0.76014760147601479</v>
      </c>
      <c r="W51" s="20">
        <f t="shared" ref="W51:X51" si="59">T51-T50</f>
        <v>-17</v>
      </c>
      <c r="X51" s="20">
        <f t="shared" si="59"/>
        <v>-19</v>
      </c>
      <c r="Y51" s="19">
        <f t="shared" si="52"/>
        <v>0.50060679611650483</v>
      </c>
      <c r="Z51" s="19">
        <f t="shared" si="53"/>
        <v>7.636363636363637E-2</v>
      </c>
      <c r="AA51" s="21">
        <f t="shared" si="18"/>
        <v>0.86111111111111116</v>
      </c>
      <c r="AB51" s="26">
        <f t="shared" si="27"/>
        <v>0.96133544007076155</v>
      </c>
      <c r="AC51" s="23">
        <f t="shared" si="8"/>
        <v>84.142857142857139</v>
      </c>
      <c r="AD51" s="23">
        <f t="shared" si="25"/>
        <v>13</v>
      </c>
      <c r="AE51" s="23">
        <f t="shared" si="9"/>
        <v>2196.5714285714284</v>
      </c>
      <c r="AF51" s="25">
        <f t="shared" si="13"/>
        <v>4.0871428571428566E-2</v>
      </c>
      <c r="AG51" s="25"/>
      <c r="AH51" s="25"/>
      <c r="AI51" s="25"/>
      <c r="AJ51" s="25"/>
      <c r="AK51" s="25"/>
      <c r="AL51" s="25"/>
      <c r="AM51" s="26">
        <f t="shared" si="21"/>
        <v>14.714285714285714</v>
      </c>
    </row>
    <row r="52" spans="1:39" ht="16">
      <c r="A52" s="15">
        <v>43944</v>
      </c>
      <c r="B52" s="16">
        <v>2284</v>
      </c>
      <c r="C52" s="16">
        <v>116</v>
      </c>
      <c r="D52" s="16">
        <v>239</v>
      </c>
      <c r="E52" s="16">
        <v>390</v>
      </c>
      <c r="F52" s="16">
        <v>55390</v>
      </c>
      <c r="G52" s="17">
        <f t="shared" si="2"/>
        <v>5652.0408163265301</v>
      </c>
      <c r="H52" s="18"/>
      <c r="I52" s="13">
        <v>5.3499999999999999E-2</v>
      </c>
      <c r="J52" s="13">
        <v>4.1200000000000001E-2</v>
      </c>
      <c r="K52" s="22">
        <v>5.0999999999999997E-2</v>
      </c>
      <c r="L52" s="16">
        <v>1655</v>
      </c>
      <c r="M52" s="13">
        <v>0.1046</v>
      </c>
      <c r="N52" s="13">
        <v>0.17080000000000001</v>
      </c>
      <c r="O52" s="16">
        <v>10942</v>
      </c>
      <c r="P52" s="16">
        <v>2688</v>
      </c>
      <c r="Q52" s="13">
        <v>4.3200000000000002E-2</v>
      </c>
      <c r="R52" s="16">
        <v>14</v>
      </c>
      <c r="S52" s="16">
        <v>95</v>
      </c>
      <c r="T52" s="16">
        <v>850</v>
      </c>
      <c r="U52" s="16">
        <v>61</v>
      </c>
      <c r="V52" s="19">
        <f t="shared" si="0"/>
        <v>0.72460595446584941</v>
      </c>
      <c r="W52" s="20">
        <f t="shared" ref="W52:X52" si="60">T52-T51</f>
        <v>25</v>
      </c>
      <c r="X52" s="20">
        <f t="shared" si="60"/>
        <v>-2</v>
      </c>
      <c r="Y52" s="19">
        <f t="shared" si="52"/>
        <v>0.51359516616314205</v>
      </c>
      <c r="Z52" s="19">
        <f t="shared" si="53"/>
        <v>7.1764705882352939E-2</v>
      </c>
      <c r="AA52" s="21">
        <f t="shared" si="18"/>
        <v>0.94047619047619047</v>
      </c>
      <c r="AB52" s="26">
        <f t="shared" si="27"/>
        <v>0.8526512068838159</v>
      </c>
      <c r="AC52" s="23">
        <f t="shared" si="8"/>
        <v>90.285714285714292</v>
      </c>
      <c r="AD52" s="23">
        <f t="shared" si="25"/>
        <v>13.857142857142858</v>
      </c>
      <c r="AE52" s="23">
        <f t="shared" si="9"/>
        <v>2414.4285714285716</v>
      </c>
      <c r="AF52" s="25">
        <f t="shared" si="13"/>
        <v>3.8071428571428576E-2</v>
      </c>
      <c r="AG52" s="25"/>
      <c r="AH52" s="25"/>
      <c r="AI52" s="25"/>
      <c r="AJ52" s="25"/>
      <c r="AK52" s="25"/>
      <c r="AL52" s="25"/>
      <c r="AM52" s="26">
        <f t="shared" si="21"/>
        <v>27.285714285714285</v>
      </c>
    </row>
    <row r="53" spans="1:39" ht="16">
      <c r="A53" s="15">
        <v>43945</v>
      </c>
      <c r="B53" s="16">
        <v>2383</v>
      </c>
      <c r="C53" s="16">
        <v>99</v>
      </c>
      <c r="D53" s="16">
        <v>250</v>
      </c>
      <c r="E53" s="16">
        <v>401</v>
      </c>
      <c r="F53" s="16">
        <v>58251</v>
      </c>
      <c r="G53" s="17">
        <f t="shared" si="2"/>
        <v>5943.9795918367345</v>
      </c>
      <c r="H53" s="18"/>
      <c r="I53" s="13">
        <v>4.3299999999999998E-2</v>
      </c>
      <c r="J53" s="13">
        <v>4.0899999999999999E-2</v>
      </c>
      <c r="K53" s="22">
        <v>5.1999999999999998E-2</v>
      </c>
      <c r="L53" s="16">
        <v>1732</v>
      </c>
      <c r="M53" s="13">
        <v>0.10489999999999999</v>
      </c>
      <c r="N53" s="13">
        <v>0.16830000000000001</v>
      </c>
      <c r="O53" s="16">
        <v>10942</v>
      </c>
      <c r="P53" s="16">
        <v>2861</v>
      </c>
      <c r="Q53" s="13">
        <v>3.4599999999999999E-2</v>
      </c>
      <c r="R53" s="16">
        <v>11</v>
      </c>
      <c r="S53" s="16">
        <v>11</v>
      </c>
      <c r="T53" s="16">
        <v>877</v>
      </c>
      <c r="U53" s="16">
        <v>61</v>
      </c>
      <c r="V53" s="19">
        <f t="shared" si="0"/>
        <v>0.72681493915232898</v>
      </c>
      <c r="W53" s="20">
        <f t="shared" ref="W53:X53" si="61">T53-T52</f>
        <v>27</v>
      </c>
      <c r="X53" s="20">
        <f t="shared" si="61"/>
        <v>0</v>
      </c>
      <c r="Y53" s="19">
        <f t="shared" si="52"/>
        <v>0.50635103926097003</v>
      </c>
      <c r="Z53" s="19">
        <f t="shared" si="53"/>
        <v>6.9555302166476624E-2</v>
      </c>
      <c r="AA53" s="21">
        <f t="shared" si="18"/>
        <v>1.0820244328097732</v>
      </c>
      <c r="AB53" s="26">
        <f t="shared" si="27"/>
        <v>0.8628572672020679</v>
      </c>
      <c r="AC53" s="23">
        <f t="shared" si="8"/>
        <v>88.571428571428569</v>
      </c>
      <c r="AD53" s="23">
        <f t="shared" si="25"/>
        <v>13.428571428571429</v>
      </c>
      <c r="AE53" s="23">
        <f t="shared" si="9"/>
        <v>2380.1428571428573</v>
      </c>
      <c r="AF53" s="25">
        <f t="shared" si="13"/>
        <v>3.7900000000000003E-2</v>
      </c>
      <c r="AG53" s="25"/>
      <c r="AH53" s="25"/>
      <c r="AI53" s="25"/>
      <c r="AJ53" s="25"/>
      <c r="AK53" s="25"/>
      <c r="AL53" s="25"/>
      <c r="AM53" s="26">
        <f t="shared" si="21"/>
        <v>27.714285714285715</v>
      </c>
    </row>
    <row r="54" spans="1:39" ht="16">
      <c r="A54" s="15">
        <v>43946</v>
      </c>
      <c r="B54" s="16">
        <v>2443</v>
      </c>
      <c r="C54" s="16">
        <v>60</v>
      </c>
      <c r="D54" s="16">
        <v>262</v>
      </c>
      <c r="E54" s="16">
        <v>458</v>
      </c>
      <c r="F54" s="16">
        <v>60801</v>
      </c>
      <c r="G54" s="17">
        <f t="shared" si="2"/>
        <v>6204.183673469387</v>
      </c>
      <c r="H54" s="18"/>
      <c r="I54" s="13">
        <v>2.52E-2</v>
      </c>
      <c r="J54" s="13">
        <v>4.02E-2</v>
      </c>
      <c r="K54" s="22">
        <v>4.3999999999999997E-2</v>
      </c>
      <c r="L54" s="16">
        <v>1723</v>
      </c>
      <c r="M54" s="13">
        <v>0.1072</v>
      </c>
      <c r="N54" s="13">
        <v>0.1875</v>
      </c>
      <c r="O54" s="16">
        <v>10942</v>
      </c>
      <c r="P54" s="16">
        <v>2550</v>
      </c>
      <c r="Q54" s="13">
        <v>2.35E-2</v>
      </c>
      <c r="R54" s="16">
        <v>12</v>
      </c>
      <c r="S54" s="16">
        <v>57</v>
      </c>
      <c r="T54" s="16">
        <v>899</v>
      </c>
      <c r="U54" s="16">
        <v>54</v>
      </c>
      <c r="V54" s="19">
        <f t="shared" si="0"/>
        <v>0.70528039295947609</v>
      </c>
      <c r="W54" s="20">
        <f t="shared" ref="W54:X54" si="62">T54-T53</f>
        <v>22</v>
      </c>
      <c r="X54" s="20">
        <f t="shared" si="62"/>
        <v>-7</v>
      </c>
      <c r="Y54" s="19">
        <f t="shared" si="52"/>
        <v>0.52176436448055719</v>
      </c>
      <c r="Z54" s="19">
        <f t="shared" si="53"/>
        <v>6.0066740823136816E-2</v>
      </c>
      <c r="AA54" s="21">
        <f t="shared" si="18"/>
        <v>1.1622137404580153</v>
      </c>
      <c r="AB54" s="26">
        <f t="shared" si="27"/>
        <v>0.91044295526026531</v>
      </c>
      <c r="AC54" s="23">
        <f t="shared" si="8"/>
        <v>87</v>
      </c>
      <c r="AD54" s="23">
        <f t="shared" si="25"/>
        <v>12.857142857142858</v>
      </c>
      <c r="AE54" s="23">
        <f t="shared" si="9"/>
        <v>2414.2857142857142</v>
      </c>
      <c r="AF54" s="25">
        <f t="shared" si="13"/>
        <v>3.6871428571428569E-2</v>
      </c>
      <c r="AG54" s="25"/>
      <c r="AH54" s="25"/>
      <c r="AI54" s="25"/>
      <c r="AJ54" s="25"/>
      <c r="AK54" s="25"/>
      <c r="AL54" s="25"/>
      <c r="AM54" s="26">
        <f t="shared" si="21"/>
        <v>32.428571428571431</v>
      </c>
    </row>
    <row r="55" spans="1:39" ht="16">
      <c r="A55" s="15">
        <v>43947</v>
      </c>
      <c r="B55" s="16">
        <v>2500</v>
      </c>
      <c r="C55" s="16">
        <v>57</v>
      </c>
      <c r="D55" s="16">
        <v>272</v>
      </c>
      <c r="E55" s="16">
        <v>485</v>
      </c>
      <c r="F55" s="16">
        <v>63505</v>
      </c>
      <c r="G55" s="17">
        <f t="shared" si="2"/>
        <v>6480.1020408163258</v>
      </c>
      <c r="H55" s="20"/>
      <c r="I55" s="13">
        <v>2.3300000000000001E-2</v>
      </c>
      <c r="J55" s="13">
        <v>3.9399999999999998E-2</v>
      </c>
      <c r="K55" s="22">
        <v>4.3999999999999997E-2</v>
      </c>
      <c r="L55" s="16">
        <v>1743</v>
      </c>
      <c r="M55" s="13">
        <v>0.10879999999999999</v>
      </c>
      <c r="N55" s="13">
        <v>0.19400000000000001</v>
      </c>
      <c r="O55" s="16">
        <v>9589</v>
      </c>
      <c r="P55" s="16">
        <v>2704</v>
      </c>
      <c r="Q55" s="13">
        <v>2.1100000000000001E-2</v>
      </c>
      <c r="R55" s="16">
        <v>10</v>
      </c>
      <c r="S55" s="16">
        <v>27</v>
      </c>
      <c r="T55" s="16">
        <v>927</v>
      </c>
      <c r="U55" s="16">
        <v>56</v>
      </c>
      <c r="V55" s="19">
        <f t="shared" si="0"/>
        <v>0.69720000000000004</v>
      </c>
      <c r="W55" s="20">
        <f t="shared" ref="W55:X55" si="63">T55-T54</f>
        <v>28</v>
      </c>
      <c r="X55" s="20">
        <f t="shared" si="63"/>
        <v>2</v>
      </c>
      <c r="Y55" s="19">
        <f t="shared" si="52"/>
        <v>0.53184165232358005</v>
      </c>
      <c r="Z55" s="19">
        <f t="shared" si="53"/>
        <v>6.0409924487594392E-2</v>
      </c>
      <c r="AA55" s="21">
        <f t="shared" si="18"/>
        <v>1.1541501976284585</v>
      </c>
      <c r="AB55" s="26">
        <f t="shared" si="27"/>
        <v>0.96854797399722814</v>
      </c>
      <c r="AC55" s="23">
        <f t="shared" si="8"/>
        <v>83.428571428571431</v>
      </c>
      <c r="AD55" s="23">
        <f t="shared" si="25"/>
        <v>11.857142857142858</v>
      </c>
      <c r="AE55" s="23">
        <f t="shared" si="9"/>
        <v>2450.2857142857142</v>
      </c>
      <c r="AF55" s="25">
        <f t="shared" si="13"/>
        <v>3.5114285714285716E-2</v>
      </c>
      <c r="AG55" s="25"/>
      <c r="AH55" s="25"/>
      <c r="AI55" s="25"/>
      <c r="AJ55" s="25"/>
      <c r="AK55" s="25"/>
      <c r="AL55" s="25"/>
      <c r="AM55" s="26">
        <f t="shared" si="21"/>
        <v>33.571428571428569</v>
      </c>
    </row>
    <row r="56" spans="1:39" ht="16">
      <c r="A56" s="15">
        <v>43948</v>
      </c>
      <c r="B56" s="16">
        <v>2583</v>
      </c>
      <c r="C56" s="16">
        <v>83</v>
      </c>
      <c r="D56" s="16">
        <v>280</v>
      </c>
      <c r="E56" s="16">
        <v>498</v>
      </c>
      <c r="F56" s="16">
        <v>65625</v>
      </c>
      <c r="G56" s="17">
        <f t="shared" si="2"/>
        <v>6696.4285714285706</v>
      </c>
      <c r="H56" s="20"/>
      <c r="I56" s="13">
        <v>3.32E-2</v>
      </c>
      <c r="J56" s="13">
        <v>3.9399999999999998E-2</v>
      </c>
      <c r="K56" s="22">
        <v>3.3000000000000002E-2</v>
      </c>
      <c r="L56" s="16">
        <v>1805</v>
      </c>
      <c r="M56" s="13">
        <v>0.1084</v>
      </c>
      <c r="N56" s="13">
        <v>0.1928</v>
      </c>
      <c r="O56" s="16">
        <v>9829</v>
      </c>
      <c r="P56" s="16">
        <v>2120</v>
      </c>
      <c r="Q56" s="13">
        <v>3.9199999999999999E-2</v>
      </c>
      <c r="R56" s="16">
        <v>8</v>
      </c>
      <c r="S56" s="16">
        <v>13</v>
      </c>
      <c r="T56" s="16">
        <v>931</v>
      </c>
      <c r="U56" s="16">
        <v>52</v>
      </c>
      <c r="V56" s="19">
        <f t="shared" si="0"/>
        <v>0.69879984514130855</v>
      </c>
      <c r="W56" s="20">
        <f t="shared" ref="W56:X56" si="64">T56-T55</f>
        <v>4</v>
      </c>
      <c r="X56" s="20">
        <f t="shared" si="64"/>
        <v>-4</v>
      </c>
      <c r="Y56" s="19">
        <f t="shared" si="52"/>
        <v>0.51578947368421058</v>
      </c>
      <c r="Z56" s="19">
        <f t="shared" si="53"/>
        <v>5.5853920515574654E-2</v>
      </c>
      <c r="AA56" s="21">
        <f t="shared" si="18"/>
        <v>1.1387832699619771</v>
      </c>
      <c r="AB56" s="26">
        <f t="shared" si="27"/>
        <v>1.025989201438775</v>
      </c>
      <c r="AC56" s="23">
        <f t="shared" si="8"/>
        <v>85.571428571428569</v>
      </c>
      <c r="AD56" s="23">
        <f t="shared" si="25"/>
        <v>11.571428571428571</v>
      </c>
      <c r="AE56" s="23">
        <f t="shared" si="9"/>
        <v>2509.7142857142858</v>
      </c>
      <c r="AF56" s="25">
        <f t="shared" si="13"/>
        <v>3.5014285714285713E-2</v>
      </c>
      <c r="AG56" s="25"/>
      <c r="AH56" s="25"/>
      <c r="AI56" s="25"/>
      <c r="AJ56" s="25"/>
      <c r="AK56" s="25"/>
      <c r="AL56" s="25"/>
      <c r="AM56" s="26">
        <f t="shared" si="21"/>
        <v>33</v>
      </c>
    </row>
    <row r="57" spans="1:39" ht="16">
      <c r="A57" s="15">
        <v>43949</v>
      </c>
      <c r="B57" s="16">
        <v>2649</v>
      </c>
      <c r="C57" s="16">
        <v>66</v>
      </c>
      <c r="D57" s="16">
        <v>291</v>
      </c>
      <c r="E57" s="16">
        <v>516</v>
      </c>
      <c r="F57" s="16">
        <v>67172</v>
      </c>
      <c r="G57" s="17">
        <f t="shared" si="2"/>
        <v>6854.2857142857138</v>
      </c>
      <c r="H57" s="20"/>
      <c r="I57" s="13">
        <v>2.5600000000000001E-2</v>
      </c>
      <c r="J57" s="13">
        <v>3.9399999999999998E-2</v>
      </c>
      <c r="K57" s="22">
        <v>2.4E-2</v>
      </c>
      <c r="L57" s="16">
        <v>1842</v>
      </c>
      <c r="M57" s="13">
        <v>0.1099</v>
      </c>
      <c r="N57" s="13">
        <v>0.1948</v>
      </c>
      <c r="O57" s="16">
        <v>9889</v>
      </c>
      <c r="P57" s="16">
        <v>1547</v>
      </c>
      <c r="Q57" s="13">
        <v>4.2700000000000002E-2</v>
      </c>
      <c r="R57" s="16">
        <v>11</v>
      </c>
      <c r="S57" s="16">
        <v>18</v>
      </c>
      <c r="T57" s="16">
        <v>946</v>
      </c>
      <c r="U57" s="16">
        <v>49</v>
      </c>
      <c r="V57" s="19">
        <f t="shared" si="0"/>
        <v>0.69535673839184597</v>
      </c>
      <c r="W57" s="20">
        <f t="shared" ref="W57:X57" si="65">T57-T56</f>
        <v>15</v>
      </c>
      <c r="X57" s="20">
        <f t="shared" si="65"/>
        <v>-3</v>
      </c>
      <c r="Y57" s="19">
        <f t="shared" si="52"/>
        <v>0.51357220412595006</v>
      </c>
      <c r="Z57" s="19">
        <f t="shared" si="53"/>
        <v>5.1797040169133189E-2</v>
      </c>
      <c r="AA57" s="21">
        <f t="shared" si="18"/>
        <v>0.94027303754266212</v>
      </c>
      <c r="AB57" s="26">
        <f t="shared" si="27"/>
        <v>1.039861711426884</v>
      </c>
      <c r="AC57" s="23">
        <f t="shared" si="8"/>
        <v>78.714285714285708</v>
      </c>
      <c r="AD57" s="23">
        <f t="shared" si="25"/>
        <v>11.142857142857142</v>
      </c>
      <c r="AE57" s="23">
        <f t="shared" si="9"/>
        <v>2445.7142857142858</v>
      </c>
      <c r="AF57" s="25">
        <f t="shared" si="13"/>
        <v>3.2957142857142858E-2</v>
      </c>
      <c r="AG57" s="25"/>
      <c r="AH57" s="25"/>
      <c r="AI57" s="25"/>
      <c r="AJ57" s="25"/>
      <c r="AK57" s="25"/>
      <c r="AL57" s="25"/>
      <c r="AM57" s="26">
        <f t="shared" si="21"/>
        <v>32.714285714285715</v>
      </c>
    </row>
    <row r="58" spans="1:39" ht="16">
      <c r="A58" s="15">
        <v>43950</v>
      </c>
      <c r="B58" s="16">
        <v>2727</v>
      </c>
      <c r="C58" s="16">
        <v>78</v>
      </c>
      <c r="D58" s="16">
        <v>300</v>
      </c>
      <c r="E58" s="16">
        <v>536</v>
      </c>
      <c r="F58" s="16">
        <v>70300</v>
      </c>
      <c r="G58" s="17">
        <f t="shared" si="2"/>
        <v>7173.4693877551017</v>
      </c>
      <c r="H58" s="20"/>
      <c r="I58" s="13">
        <v>2.9399999999999999E-2</v>
      </c>
      <c r="J58" s="13">
        <v>3.8800000000000001E-2</v>
      </c>
      <c r="K58" s="22">
        <v>4.7E-2</v>
      </c>
      <c r="L58" s="16">
        <v>1891</v>
      </c>
      <c r="M58" s="13">
        <v>0.11</v>
      </c>
      <c r="N58" s="13">
        <v>0.1966</v>
      </c>
      <c r="O58" s="16">
        <v>10071</v>
      </c>
      <c r="P58" s="16">
        <v>3128</v>
      </c>
      <c r="Q58" s="13">
        <v>2.4899999999999999E-2</v>
      </c>
      <c r="R58" s="16">
        <v>9</v>
      </c>
      <c r="S58" s="16">
        <v>20</v>
      </c>
      <c r="T58" s="16">
        <v>983</v>
      </c>
      <c r="U58" s="16">
        <v>50</v>
      </c>
      <c r="V58" s="19">
        <f t="shared" si="0"/>
        <v>0.69343601026769341</v>
      </c>
      <c r="W58" s="20">
        <f t="shared" ref="W58:X58" si="66">T58-T57</f>
        <v>37</v>
      </c>
      <c r="X58" s="20">
        <f t="shared" si="66"/>
        <v>1</v>
      </c>
      <c r="Y58" s="19">
        <f t="shared" si="52"/>
        <v>0.51983077736647276</v>
      </c>
      <c r="Z58" s="19">
        <f t="shared" si="53"/>
        <v>5.0864699898270603E-2</v>
      </c>
      <c r="AA58" s="21">
        <f t="shared" si="18"/>
        <v>0.94906621392190149</v>
      </c>
      <c r="AB58" s="26">
        <f t="shared" si="27"/>
        <v>1.0524267261141398</v>
      </c>
      <c r="AC58" s="23">
        <f t="shared" si="8"/>
        <v>79.857142857142861</v>
      </c>
      <c r="AD58" s="23">
        <f t="shared" si="25"/>
        <v>10.714285714285714</v>
      </c>
      <c r="AE58" s="23">
        <f t="shared" si="9"/>
        <v>2514</v>
      </c>
      <c r="AF58" s="25">
        <f t="shared" si="13"/>
        <v>3.274285714285715E-2</v>
      </c>
      <c r="AG58" s="25"/>
      <c r="AH58" s="25"/>
      <c r="AI58" s="25"/>
      <c r="AJ58" s="25"/>
      <c r="AK58" s="25"/>
      <c r="AL58" s="25"/>
      <c r="AM58" s="26">
        <f t="shared" si="21"/>
        <v>34.428571428571431</v>
      </c>
    </row>
    <row r="59" spans="1:39" ht="16">
      <c r="A59" s="15">
        <v>43951</v>
      </c>
      <c r="B59" s="16">
        <v>2775</v>
      </c>
      <c r="C59" s="16">
        <v>48</v>
      </c>
      <c r="D59" s="16">
        <v>312</v>
      </c>
      <c r="E59" s="16">
        <v>581</v>
      </c>
      <c r="F59" s="16">
        <v>72951</v>
      </c>
      <c r="G59" s="17">
        <f t="shared" si="2"/>
        <v>7443.9795918367345</v>
      </c>
      <c r="H59" s="20"/>
      <c r="I59" s="13">
        <v>1.7600000000000001E-2</v>
      </c>
      <c r="J59" s="13">
        <v>3.7999999999999999E-2</v>
      </c>
      <c r="K59" s="22">
        <v>3.7999999999999999E-2</v>
      </c>
      <c r="L59" s="16">
        <v>1882</v>
      </c>
      <c r="M59" s="13">
        <v>0.1124</v>
      </c>
      <c r="N59" s="13">
        <v>0.2094</v>
      </c>
      <c r="O59" s="16">
        <v>10199</v>
      </c>
      <c r="P59" s="16">
        <v>2651</v>
      </c>
      <c r="Q59" s="13">
        <v>1.8100000000000002E-2</v>
      </c>
      <c r="R59" s="16">
        <v>12</v>
      </c>
      <c r="S59" s="16">
        <v>45</v>
      </c>
      <c r="T59" s="16">
        <v>998</v>
      </c>
      <c r="U59" s="16">
        <v>54</v>
      </c>
      <c r="V59" s="19">
        <f t="shared" si="0"/>
        <v>0.67819819819819815</v>
      </c>
      <c r="W59" s="20">
        <f t="shared" ref="W59:X59" si="67">T59-T58</f>
        <v>15</v>
      </c>
      <c r="X59" s="20">
        <f t="shared" si="67"/>
        <v>4</v>
      </c>
      <c r="Y59" s="19">
        <f t="shared" si="52"/>
        <v>0.53028692879914985</v>
      </c>
      <c r="Z59" s="19">
        <f t="shared" si="53"/>
        <v>5.410821643286573E-2</v>
      </c>
      <c r="AA59" s="21">
        <f t="shared" si="18"/>
        <v>0.77689873417721522</v>
      </c>
      <c r="AB59" s="26">
        <f t="shared" si="27"/>
        <v>1.0290585180714289</v>
      </c>
      <c r="AC59" s="23">
        <f t="shared" si="8"/>
        <v>70.142857142857139</v>
      </c>
      <c r="AD59" s="23">
        <f t="shared" si="25"/>
        <v>10.428571428571429</v>
      </c>
      <c r="AE59" s="23">
        <f t="shared" si="9"/>
        <v>2508.7142857142858</v>
      </c>
      <c r="AF59" s="25">
        <f t="shared" si="13"/>
        <v>2.9157142857142857E-2</v>
      </c>
      <c r="AG59" s="25"/>
      <c r="AH59" s="25"/>
      <c r="AI59" s="25"/>
      <c r="AJ59" s="25"/>
      <c r="AK59" s="25"/>
      <c r="AL59" s="25"/>
      <c r="AM59" s="26">
        <f t="shared" si="21"/>
        <v>27.285714285714285</v>
      </c>
    </row>
    <row r="60" spans="1:39" ht="16">
      <c r="A60" s="15">
        <v>43952</v>
      </c>
      <c r="B60" s="16">
        <v>2863</v>
      </c>
      <c r="C60" s="16">
        <v>88</v>
      </c>
      <c r="D60" s="16">
        <v>323</v>
      </c>
      <c r="E60" s="16">
        <v>609</v>
      </c>
      <c r="F60" s="16">
        <v>76331</v>
      </c>
      <c r="G60" s="17">
        <f t="shared" si="2"/>
        <v>7788.8775510204077</v>
      </c>
      <c r="H60" s="20"/>
      <c r="I60" s="13">
        <v>3.1699999999999999E-2</v>
      </c>
      <c r="J60" s="13">
        <v>3.7499999999999999E-2</v>
      </c>
      <c r="K60" s="22">
        <v>4.5999999999999999E-2</v>
      </c>
      <c r="L60" s="16">
        <v>1931</v>
      </c>
      <c r="M60" s="13">
        <v>0.1128</v>
      </c>
      <c r="N60" s="13">
        <v>0.2127</v>
      </c>
      <c r="O60" s="16">
        <v>10384</v>
      </c>
      <c r="P60" s="16">
        <v>3380</v>
      </c>
      <c r="Q60" s="13">
        <v>2.5999999999999999E-2</v>
      </c>
      <c r="R60" s="16">
        <v>11</v>
      </c>
      <c r="S60" s="16">
        <v>28</v>
      </c>
      <c r="T60" s="16">
        <v>983</v>
      </c>
      <c r="U60" s="16">
        <v>49</v>
      </c>
      <c r="V60" s="19">
        <f t="shared" si="0"/>
        <v>0.6744673419490046</v>
      </c>
      <c r="W60" s="20">
        <f t="shared" ref="W60:X60" si="68">T60-T59</f>
        <v>-15</v>
      </c>
      <c r="X60" s="20">
        <f t="shared" si="68"/>
        <v>-5</v>
      </c>
      <c r="Y60" s="19">
        <f t="shared" si="52"/>
        <v>0.509062661833247</v>
      </c>
      <c r="Z60" s="19">
        <f t="shared" si="53"/>
        <v>4.9847405900305189E-2</v>
      </c>
      <c r="AA60" s="21">
        <f t="shared" si="18"/>
        <v>0.77419354838709675</v>
      </c>
      <c r="AB60" s="26">
        <f t="shared" si="27"/>
        <v>0.98508267743961808</v>
      </c>
      <c r="AC60" s="23">
        <f t="shared" si="8"/>
        <v>68.571428571428569</v>
      </c>
      <c r="AD60" s="23">
        <f t="shared" si="25"/>
        <v>10.428571428571429</v>
      </c>
      <c r="AE60" s="23">
        <f t="shared" si="9"/>
        <v>2582.8571428571427</v>
      </c>
      <c r="AF60" s="25">
        <f t="shared" si="13"/>
        <v>2.7928571428571431E-2</v>
      </c>
      <c r="AG60" s="25"/>
      <c r="AH60" s="25"/>
      <c r="AI60" s="25"/>
      <c r="AJ60" s="25"/>
      <c r="AK60" s="25"/>
      <c r="AL60" s="25"/>
      <c r="AM60" s="26">
        <f t="shared" si="21"/>
        <v>29.714285714285715</v>
      </c>
    </row>
    <row r="61" spans="1:39" ht="16">
      <c r="A61" s="15">
        <v>43953</v>
      </c>
      <c r="B61" s="16">
        <v>2942</v>
      </c>
      <c r="C61" s="16">
        <v>79</v>
      </c>
      <c r="D61" s="16">
        <v>335</v>
      </c>
      <c r="E61" s="16">
        <v>625</v>
      </c>
      <c r="F61" s="16">
        <v>79551</v>
      </c>
      <c r="G61" s="17">
        <f t="shared" si="2"/>
        <v>8117.4489795918362</v>
      </c>
      <c r="H61" s="20"/>
      <c r="I61" s="13">
        <v>2.76E-2</v>
      </c>
      <c r="J61" s="13">
        <v>3.6999999999999998E-2</v>
      </c>
      <c r="K61" s="22">
        <v>4.2000000000000003E-2</v>
      </c>
      <c r="L61" s="16">
        <v>1982</v>
      </c>
      <c r="M61" s="13">
        <v>0.1139</v>
      </c>
      <c r="N61" s="13">
        <v>0.21240000000000001</v>
      </c>
      <c r="O61" s="16">
        <v>10754</v>
      </c>
      <c r="P61" s="16">
        <v>3220</v>
      </c>
      <c r="Q61" s="13">
        <v>2.4500000000000001E-2</v>
      </c>
      <c r="R61" s="16">
        <v>12</v>
      </c>
      <c r="S61" s="16">
        <v>16</v>
      </c>
      <c r="T61" s="16">
        <v>1008</v>
      </c>
      <c r="U61" s="16">
        <v>52</v>
      </c>
      <c r="V61" s="19">
        <f t="shared" si="0"/>
        <v>0.67369136641740313</v>
      </c>
      <c r="W61" s="20">
        <f t="shared" ref="W61:X61" si="69">T61-T60</f>
        <v>25</v>
      </c>
      <c r="X61" s="20">
        <f t="shared" si="69"/>
        <v>3</v>
      </c>
      <c r="Y61" s="19">
        <f t="shared" si="52"/>
        <v>0.50857719475277496</v>
      </c>
      <c r="Z61" s="19">
        <f t="shared" si="53"/>
        <v>5.1587301587301584E-2</v>
      </c>
      <c r="AA61" s="21">
        <f t="shared" si="18"/>
        <v>0.819376026272578</v>
      </c>
      <c r="AB61" s="26">
        <f t="shared" si="27"/>
        <v>0.93610586112741268</v>
      </c>
      <c r="AC61" s="23">
        <f t="shared" si="8"/>
        <v>71.285714285714292</v>
      </c>
      <c r="AD61" s="23">
        <f t="shared" si="25"/>
        <v>10.428571428571429</v>
      </c>
      <c r="AE61" s="23">
        <f t="shared" si="9"/>
        <v>2678.5714285714284</v>
      </c>
      <c r="AF61" s="25">
        <f t="shared" si="13"/>
        <v>2.8071428571428574E-2</v>
      </c>
      <c r="AG61" s="25"/>
      <c r="AH61" s="25"/>
      <c r="AI61" s="25"/>
      <c r="AJ61" s="25"/>
      <c r="AK61" s="25"/>
      <c r="AL61" s="25"/>
      <c r="AM61" s="26">
        <f t="shared" si="21"/>
        <v>23.857142857142858</v>
      </c>
    </row>
    <row r="62" spans="1:39" ht="16">
      <c r="A62" s="15">
        <v>43954</v>
      </c>
      <c r="B62" s="16">
        <v>2998</v>
      </c>
      <c r="C62" s="16">
        <v>56</v>
      </c>
      <c r="D62" s="16">
        <v>340</v>
      </c>
      <c r="E62" s="16">
        <v>629</v>
      </c>
      <c r="F62" s="16">
        <v>82010</v>
      </c>
      <c r="G62" s="17">
        <f t="shared" si="2"/>
        <v>8368.3673469387741</v>
      </c>
      <c r="H62" s="20"/>
      <c r="I62" s="13">
        <v>1.9E-2</v>
      </c>
      <c r="J62" s="13">
        <v>3.6600000000000001E-2</v>
      </c>
      <c r="K62" s="22">
        <v>3.1E-2</v>
      </c>
      <c r="L62" s="16">
        <v>2029</v>
      </c>
      <c r="M62" s="13">
        <v>0.1134</v>
      </c>
      <c r="N62" s="13">
        <v>0.20979999999999999</v>
      </c>
      <c r="O62" s="16">
        <v>10786</v>
      </c>
      <c r="P62" s="16">
        <v>2459</v>
      </c>
      <c r="Q62" s="13">
        <v>2.2800000000000001E-2</v>
      </c>
      <c r="R62" s="16">
        <v>5</v>
      </c>
      <c r="S62" s="16">
        <v>4</v>
      </c>
      <c r="T62" s="16">
        <v>1005</v>
      </c>
      <c r="U62" s="16">
        <v>51</v>
      </c>
      <c r="V62" s="19">
        <f t="shared" si="0"/>
        <v>0.67678452301534353</v>
      </c>
      <c r="W62" s="20">
        <f t="shared" ref="W62:X62" si="70">T62-T61</f>
        <v>-3</v>
      </c>
      <c r="X62" s="20">
        <f t="shared" si="70"/>
        <v>-1</v>
      </c>
      <c r="Y62" s="19">
        <f t="shared" si="52"/>
        <v>0.49531789058649583</v>
      </c>
      <c r="Z62" s="19">
        <f t="shared" si="53"/>
        <v>5.0746268656716415E-2</v>
      </c>
      <c r="AA62" s="21">
        <f t="shared" si="18"/>
        <v>0.85273972602739723</v>
      </c>
      <c r="AB62" s="26">
        <f t="shared" si="27"/>
        <v>0.89304722232726108</v>
      </c>
      <c r="AC62" s="23">
        <f t="shared" si="8"/>
        <v>71.142857142857139</v>
      </c>
      <c r="AD62" s="23">
        <f t="shared" si="25"/>
        <v>9.7142857142857135</v>
      </c>
      <c r="AE62" s="23">
        <f t="shared" si="9"/>
        <v>2643.5714285714284</v>
      </c>
      <c r="AF62" s="25">
        <f t="shared" si="13"/>
        <v>2.8314285714285712E-2</v>
      </c>
      <c r="AG62" s="25"/>
      <c r="AH62" s="25"/>
      <c r="AI62" s="25"/>
      <c r="AJ62" s="25"/>
      <c r="AK62" s="25"/>
      <c r="AL62" s="25"/>
      <c r="AM62" s="26">
        <f t="shared" si="21"/>
        <v>20.571428571428573</v>
      </c>
    </row>
    <row r="63" spans="1:39" ht="16">
      <c r="A63" s="15">
        <v>43955</v>
      </c>
      <c r="B63" s="16">
        <v>3035</v>
      </c>
      <c r="C63" s="16">
        <v>37</v>
      </c>
      <c r="D63" s="16">
        <v>351</v>
      </c>
      <c r="E63" s="16">
        <v>630</v>
      </c>
      <c r="F63" s="16">
        <v>83958</v>
      </c>
      <c r="G63" s="17">
        <f t="shared" si="2"/>
        <v>8567.1428571428569</v>
      </c>
      <c r="H63" s="20"/>
      <c r="I63" s="13">
        <v>1.23E-2</v>
      </c>
      <c r="J63" s="13">
        <v>3.61E-2</v>
      </c>
      <c r="K63" s="22">
        <v>2.4E-2</v>
      </c>
      <c r="L63" s="16">
        <v>2054</v>
      </c>
      <c r="M63" s="13">
        <v>0.1157</v>
      </c>
      <c r="N63" s="13">
        <v>0.20760000000000001</v>
      </c>
      <c r="O63" s="16">
        <v>10459</v>
      </c>
      <c r="P63" s="16">
        <v>1948</v>
      </c>
      <c r="Q63" s="13">
        <v>1.9E-2</v>
      </c>
      <c r="R63" s="16">
        <v>11</v>
      </c>
      <c r="S63" s="16">
        <v>1</v>
      </c>
      <c r="T63" s="16">
        <v>1027</v>
      </c>
      <c r="U63" s="16">
        <v>55</v>
      </c>
      <c r="V63" s="19">
        <f t="shared" si="0"/>
        <v>0.67677100494233933</v>
      </c>
      <c r="W63" s="20">
        <f t="shared" ref="W63:X63" si="71">T63-T62</f>
        <v>22</v>
      </c>
      <c r="X63" s="20">
        <f t="shared" si="71"/>
        <v>4</v>
      </c>
      <c r="Y63" s="19">
        <f t="shared" si="52"/>
        <v>0.5</v>
      </c>
      <c r="Z63" s="19">
        <f t="shared" si="53"/>
        <v>5.3554040895813046E-2</v>
      </c>
      <c r="AA63" s="21">
        <f t="shared" si="18"/>
        <v>0.75459098497495825</v>
      </c>
      <c r="AB63" s="26">
        <f t="shared" si="27"/>
        <v>0.83816261018625837</v>
      </c>
      <c r="AC63" s="23">
        <f t="shared" si="8"/>
        <v>64.571428571428569</v>
      </c>
      <c r="AD63" s="23">
        <f t="shared" si="25"/>
        <v>10.142857142857142</v>
      </c>
      <c r="AE63" s="23">
        <f t="shared" si="9"/>
        <v>2619</v>
      </c>
      <c r="AF63" s="25">
        <f t="shared" si="13"/>
        <v>2.5428571428571422E-2</v>
      </c>
      <c r="AG63" s="25"/>
      <c r="AH63" s="25"/>
      <c r="AI63" s="25"/>
      <c r="AJ63" s="25"/>
      <c r="AK63" s="25"/>
      <c r="AL63" s="25"/>
      <c r="AM63" s="26">
        <f t="shared" si="21"/>
        <v>18.857142857142858</v>
      </c>
    </row>
    <row r="64" spans="1:39" ht="16">
      <c r="A64" s="15">
        <v>43956</v>
      </c>
      <c r="B64" s="16">
        <v>3065</v>
      </c>
      <c r="C64" s="16">
        <v>30</v>
      </c>
      <c r="D64" s="16">
        <v>363</v>
      </c>
      <c r="E64" s="16">
        <v>709</v>
      </c>
      <c r="F64" s="16">
        <v>85557</v>
      </c>
      <c r="G64" s="17">
        <f t="shared" si="2"/>
        <v>8730.3061224489793</v>
      </c>
      <c r="H64" s="20"/>
      <c r="I64" s="13">
        <v>9.9000000000000008E-3</v>
      </c>
      <c r="J64" s="13">
        <v>3.5799999999999998E-2</v>
      </c>
      <c r="K64" s="22">
        <v>1.9E-2</v>
      </c>
      <c r="L64" s="16">
        <v>1993</v>
      </c>
      <c r="M64" s="13">
        <v>0.11840000000000001</v>
      </c>
      <c r="N64" s="13">
        <v>0.23130000000000001</v>
      </c>
      <c r="O64" s="16">
        <v>10547</v>
      </c>
      <c r="P64" s="16">
        <v>1599</v>
      </c>
      <c r="Q64" s="13">
        <v>1.8800000000000001E-2</v>
      </c>
      <c r="R64" s="16">
        <v>12</v>
      </c>
      <c r="S64" s="16">
        <v>79</v>
      </c>
      <c r="T64" s="16">
        <v>982</v>
      </c>
      <c r="U64" s="16">
        <v>55</v>
      </c>
      <c r="V64" s="19">
        <f t="shared" si="0"/>
        <v>0.65024469820554653</v>
      </c>
      <c r="W64" s="20">
        <f t="shared" ref="W64:X64" si="72">T64-T63</f>
        <v>-45</v>
      </c>
      <c r="X64" s="20">
        <f t="shared" si="72"/>
        <v>0</v>
      </c>
      <c r="Y64" s="19">
        <f t="shared" si="52"/>
        <v>0.49272453587556447</v>
      </c>
      <c r="Z64" s="19">
        <f t="shared" si="53"/>
        <v>5.6008146639511203E-2</v>
      </c>
      <c r="AA64" s="21">
        <f t="shared" si="18"/>
        <v>0.75499092558983671</v>
      </c>
      <c r="AB64" s="26">
        <f t="shared" si="27"/>
        <v>0.81169373705014058</v>
      </c>
      <c r="AC64" s="23">
        <f t="shared" si="8"/>
        <v>59.428571428571431</v>
      </c>
      <c r="AD64" s="23">
        <f t="shared" si="25"/>
        <v>10.285714285714286</v>
      </c>
      <c r="AE64" s="23">
        <f t="shared" si="9"/>
        <v>2626.4285714285716</v>
      </c>
      <c r="AF64" s="25">
        <f t="shared" si="13"/>
        <v>2.2014285714285715E-2</v>
      </c>
      <c r="AG64" s="25"/>
      <c r="AH64" s="25"/>
      <c r="AI64" s="25"/>
      <c r="AJ64" s="25"/>
      <c r="AK64" s="25"/>
      <c r="AL64" s="25"/>
      <c r="AM64" s="26">
        <f t="shared" si="21"/>
        <v>27.571428571428573</v>
      </c>
    </row>
    <row r="65" spans="1:39" ht="16">
      <c r="A65" s="15">
        <v>43957</v>
      </c>
      <c r="B65" s="16">
        <v>3111</v>
      </c>
      <c r="C65" s="16">
        <v>46</v>
      </c>
      <c r="D65" s="16">
        <v>373</v>
      </c>
      <c r="E65" s="16">
        <v>759</v>
      </c>
      <c r="F65" s="16">
        <v>88735</v>
      </c>
      <c r="G65" s="17">
        <f t="shared" si="2"/>
        <v>9054.5918367346931</v>
      </c>
      <c r="H65" s="20"/>
      <c r="I65" s="13">
        <v>1.4999999999999999E-2</v>
      </c>
      <c r="J65" s="13">
        <v>3.5099999999999999E-2</v>
      </c>
      <c r="K65" s="22">
        <v>3.6999999999999998E-2</v>
      </c>
      <c r="L65" s="16">
        <v>1979</v>
      </c>
      <c r="M65" s="13">
        <v>0.11990000000000001</v>
      </c>
      <c r="N65" s="13">
        <v>0.24399999999999999</v>
      </c>
      <c r="O65" s="16">
        <v>10628</v>
      </c>
      <c r="P65" s="16">
        <v>3178</v>
      </c>
      <c r="Q65" s="13">
        <v>1.4500000000000001E-2</v>
      </c>
      <c r="R65" s="16">
        <v>10</v>
      </c>
      <c r="S65" s="16">
        <v>50</v>
      </c>
      <c r="T65" s="16">
        <v>964</v>
      </c>
      <c r="U65" s="16">
        <v>50</v>
      </c>
      <c r="V65" s="19">
        <f t="shared" si="0"/>
        <v>0.63612986178077791</v>
      </c>
      <c r="W65" s="20">
        <f t="shared" ref="W65:X65" si="73">T65-T64</f>
        <v>-18</v>
      </c>
      <c r="X65" s="20">
        <f t="shared" si="73"/>
        <v>-5</v>
      </c>
      <c r="Y65" s="19">
        <f t="shared" si="52"/>
        <v>0.48711470439615967</v>
      </c>
      <c r="Z65" s="19">
        <f t="shared" si="53"/>
        <v>5.1867219917012451E-2</v>
      </c>
      <c r="AA65" s="21">
        <f t="shared" si="18"/>
        <v>0.6869409660107334</v>
      </c>
      <c r="AB65" s="26">
        <f t="shared" si="27"/>
        <v>0.77424727306283081</v>
      </c>
      <c r="AC65" s="23">
        <f t="shared" si="8"/>
        <v>54.857142857142854</v>
      </c>
      <c r="AD65" s="23">
        <f t="shared" si="25"/>
        <v>10.428571428571429</v>
      </c>
      <c r="AE65" s="23">
        <f t="shared" si="9"/>
        <v>2633.5714285714284</v>
      </c>
      <c r="AF65" s="25">
        <f t="shared" si="13"/>
        <v>2.0528571428571431E-2</v>
      </c>
      <c r="AG65" s="25"/>
      <c r="AH65" s="25"/>
      <c r="AI65" s="25"/>
      <c r="AJ65" s="25"/>
      <c r="AK65" s="25"/>
      <c r="AL65" s="25"/>
      <c r="AM65" s="26">
        <f t="shared" si="21"/>
        <v>31.857142857142858</v>
      </c>
    </row>
    <row r="66" spans="1:39" ht="16">
      <c r="A66" s="15">
        <v>43958</v>
      </c>
      <c r="B66" s="16">
        <v>3150</v>
      </c>
      <c r="C66" s="16">
        <v>39</v>
      </c>
      <c r="D66" s="16">
        <v>383</v>
      </c>
      <c r="E66" s="16">
        <v>801</v>
      </c>
      <c r="F66" s="16">
        <v>94036</v>
      </c>
      <c r="G66" s="17">
        <f t="shared" si="2"/>
        <v>9595.5102040816328</v>
      </c>
      <c r="H66" s="20"/>
      <c r="I66" s="13">
        <v>1.2500000000000001E-2</v>
      </c>
      <c r="J66" s="13">
        <v>3.3500000000000002E-2</v>
      </c>
      <c r="K66" s="22">
        <v>0.06</v>
      </c>
      <c r="L66" s="16">
        <v>1966</v>
      </c>
      <c r="M66" s="13">
        <v>0.1216</v>
      </c>
      <c r="N66" s="13">
        <v>0.25430000000000003</v>
      </c>
      <c r="O66" s="16">
        <v>10956</v>
      </c>
      <c r="P66" s="16">
        <v>5301</v>
      </c>
      <c r="Q66" s="13">
        <v>7.4000000000000003E-3</v>
      </c>
      <c r="R66" s="16">
        <v>10</v>
      </c>
      <c r="S66" s="16">
        <v>42</v>
      </c>
      <c r="T66" s="16">
        <v>968</v>
      </c>
      <c r="U66" s="16">
        <v>50</v>
      </c>
      <c r="V66" s="19">
        <f t="shared" si="0"/>
        <v>0.62412698412698409</v>
      </c>
      <c r="W66" s="20">
        <f t="shared" ref="W66:X66" si="74">T66-T65</f>
        <v>4</v>
      </c>
      <c r="X66" s="20">
        <f t="shared" si="74"/>
        <v>0</v>
      </c>
      <c r="Y66" s="19">
        <f t="shared" si="52"/>
        <v>0.49237029501525942</v>
      </c>
      <c r="Z66" s="19">
        <f t="shared" si="53"/>
        <v>5.1652892561983473E-2</v>
      </c>
      <c r="AA66" s="21">
        <f t="shared" si="18"/>
        <v>0.76374745417515277</v>
      </c>
      <c r="AB66" s="26">
        <f t="shared" si="27"/>
        <v>0.77236851877682189</v>
      </c>
      <c r="AC66" s="23">
        <f t="shared" si="8"/>
        <v>53.571428571428569</v>
      </c>
      <c r="AD66" s="23">
        <f t="shared" si="25"/>
        <v>10.142857142857142</v>
      </c>
      <c r="AE66" s="23">
        <f t="shared" si="9"/>
        <v>3012.1428571428573</v>
      </c>
      <c r="AF66" s="25">
        <f t="shared" si="13"/>
        <v>1.9E-2</v>
      </c>
      <c r="AG66" s="25"/>
      <c r="AH66" s="25"/>
      <c r="AI66" s="25"/>
      <c r="AJ66" s="25"/>
      <c r="AK66" s="25"/>
      <c r="AL66" s="25"/>
      <c r="AM66" s="26">
        <f t="shared" si="21"/>
        <v>31.428571428571427</v>
      </c>
    </row>
    <row r="67" spans="1:39" ht="16">
      <c r="A67" s="15">
        <v>43959</v>
      </c>
      <c r="B67" s="16">
        <v>3178</v>
      </c>
      <c r="C67" s="16">
        <v>28</v>
      </c>
      <c r="D67" s="16">
        <v>392</v>
      </c>
      <c r="E67" s="16">
        <v>865</v>
      </c>
      <c r="F67" s="16">
        <v>99058</v>
      </c>
      <c r="G67" s="17">
        <f t="shared" si="2"/>
        <v>10107.959183673469</v>
      </c>
      <c r="H67" s="20"/>
      <c r="I67" s="13">
        <v>8.8999999999999999E-3</v>
      </c>
      <c r="J67" s="13">
        <v>3.2099999999999997E-2</v>
      </c>
      <c r="K67" s="22">
        <v>5.2999999999999999E-2</v>
      </c>
      <c r="L67" s="16">
        <v>1921</v>
      </c>
      <c r="M67" s="13">
        <v>0.12330000000000001</v>
      </c>
      <c r="N67" s="13">
        <v>0.2722</v>
      </c>
      <c r="O67" s="16">
        <v>11036</v>
      </c>
      <c r="P67" s="16">
        <v>5022</v>
      </c>
      <c r="Q67" s="13">
        <v>5.5999999999999999E-3</v>
      </c>
      <c r="R67" s="16">
        <v>9</v>
      </c>
      <c r="S67" s="16">
        <v>64</v>
      </c>
      <c r="T67" s="16">
        <v>891</v>
      </c>
      <c r="U67" s="16"/>
      <c r="V67" s="19">
        <f t="shared" si="0"/>
        <v>0.60446821900566394</v>
      </c>
      <c r="W67" s="20">
        <f t="shared" ref="W67:X67" si="75">T67-T66</f>
        <v>-77</v>
      </c>
      <c r="X67" s="20">
        <f t="shared" si="75"/>
        <v>-50</v>
      </c>
      <c r="Y67" s="19">
        <f t="shared" si="52"/>
        <v>0.46382092660072877</v>
      </c>
      <c r="Z67" s="19">
        <f t="shared" si="53"/>
        <v>0</v>
      </c>
      <c r="AA67" s="21">
        <f t="shared" si="18"/>
        <v>0.65625</v>
      </c>
      <c r="AB67" s="26">
        <f t="shared" si="27"/>
        <v>0.7555194404358081</v>
      </c>
      <c r="AC67" s="23">
        <f t="shared" si="8"/>
        <v>45</v>
      </c>
      <c r="AD67" s="23">
        <f t="shared" si="25"/>
        <v>9.8571428571428577</v>
      </c>
      <c r="AE67" s="23">
        <f t="shared" si="9"/>
        <v>3246.7142857142858</v>
      </c>
      <c r="AF67" s="25">
        <f t="shared" si="13"/>
        <v>1.6085714285714283E-2</v>
      </c>
      <c r="AG67" s="25"/>
      <c r="AH67" s="25"/>
      <c r="AI67" s="25"/>
      <c r="AJ67" s="25"/>
      <c r="AK67" s="25"/>
      <c r="AL67" s="25"/>
      <c r="AM67" s="26">
        <f t="shared" si="21"/>
        <v>36.571428571428569</v>
      </c>
    </row>
    <row r="68" spans="1:39" ht="16">
      <c r="A68" s="15">
        <v>43960</v>
      </c>
      <c r="B68" s="16">
        <v>3213</v>
      </c>
      <c r="C68" s="16">
        <v>35</v>
      </c>
      <c r="D68" s="16">
        <v>405</v>
      </c>
      <c r="E68" s="16">
        <v>904</v>
      </c>
      <c r="F68" s="16">
        <v>103258</v>
      </c>
      <c r="G68" s="17">
        <f t="shared" si="2"/>
        <v>10536.530612244896</v>
      </c>
      <c r="H68" s="20"/>
      <c r="I68" s="13">
        <v>1.0999999999999999E-2</v>
      </c>
      <c r="J68" s="13">
        <v>3.1099999999999999E-2</v>
      </c>
      <c r="K68" s="22">
        <v>4.2000000000000003E-2</v>
      </c>
      <c r="L68" s="16">
        <v>1904</v>
      </c>
      <c r="M68" s="13">
        <v>0.12609999999999999</v>
      </c>
      <c r="N68" s="13">
        <v>0.28139999999999998</v>
      </c>
      <c r="O68" s="16">
        <v>10927</v>
      </c>
      <c r="P68" s="16">
        <v>4200</v>
      </c>
      <c r="Q68" s="13">
        <v>8.3000000000000001E-3</v>
      </c>
      <c r="R68" s="16">
        <v>13</v>
      </c>
      <c r="S68" s="16">
        <v>39</v>
      </c>
      <c r="T68" s="16">
        <v>875</v>
      </c>
      <c r="V68" s="19">
        <f t="shared" si="0"/>
        <v>0.59259259259259256</v>
      </c>
      <c r="W68" s="20">
        <f t="shared" ref="W68:X68" si="76">T68-T67</f>
        <v>-16</v>
      </c>
      <c r="X68" s="20">
        <f t="shared" si="76"/>
        <v>0</v>
      </c>
      <c r="Y68" s="19">
        <f t="shared" si="52"/>
        <v>0.45955882352941174</v>
      </c>
      <c r="Z68" s="19">
        <f t="shared" si="53"/>
        <v>0</v>
      </c>
      <c r="AA68" s="21">
        <f t="shared" si="18"/>
        <v>0.54308617234468937</v>
      </c>
      <c r="AB68" s="26">
        <f t="shared" si="27"/>
        <v>0.71604946130325253</v>
      </c>
      <c r="AC68" s="23">
        <f t="shared" si="8"/>
        <v>38.714285714285715</v>
      </c>
      <c r="AD68" s="23">
        <f t="shared" si="25"/>
        <v>10</v>
      </c>
      <c r="AE68" s="23">
        <f t="shared" si="9"/>
        <v>3386.7142857142858</v>
      </c>
      <c r="AF68" s="25">
        <f t="shared" si="13"/>
        <v>1.3771428571428572E-2</v>
      </c>
      <c r="AG68" s="25"/>
      <c r="AH68" s="25"/>
      <c r="AI68" s="25"/>
      <c r="AJ68" s="25"/>
      <c r="AK68" s="25"/>
      <c r="AL68" s="25"/>
      <c r="AM68" s="26">
        <f t="shared" si="21"/>
        <v>39.857142857142854</v>
      </c>
    </row>
    <row r="69" spans="1:39" ht="16">
      <c r="A69" s="15">
        <v>43961</v>
      </c>
      <c r="B69" s="16">
        <v>3263</v>
      </c>
      <c r="C69" s="16">
        <v>50</v>
      </c>
      <c r="D69" s="16">
        <v>413</v>
      </c>
      <c r="E69" s="16">
        <v>933</v>
      </c>
      <c r="F69" s="16">
        <v>108257</v>
      </c>
      <c r="G69" s="17">
        <f t="shared" si="2"/>
        <v>11046.632653061224</v>
      </c>
      <c r="H69" s="20"/>
      <c r="I69" s="13">
        <v>1.5599999999999999E-2</v>
      </c>
      <c r="J69" s="13">
        <v>3.0099999999999998E-2</v>
      </c>
      <c r="K69" s="22">
        <v>4.8000000000000001E-2</v>
      </c>
      <c r="L69" s="16">
        <v>1917</v>
      </c>
      <c r="M69" s="13">
        <v>0.12659999999999999</v>
      </c>
      <c r="N69" s="13">
        <v>0.28589999999999999</v>
      </c>
      <c r="O69" s="16">
        <v>10356</v>
      </c>
      <c r="P69" s="16">
        <v>4999</v>
      </c>
      <c r="Q69" s="13">
        <v>0.01</v>
      </c>
      <c r="R69" s="16">
        <v>8</v>
      </c>
      <c r="S69" s="16">
        <v>29</v>
      </c>
      <c r="T69" s="16">
        <v>812</v>
      </c>
      <c r="U69" s="16">
        <v>50</v>
      </c>
      <c r="V69" s="19">
        <f t="shared" si="0"/>
        <v>0.58749616916947589</v>
      </c>
      <c r="W69" s="20">
        <f t="shared" ref="W69:X69" si="77">T69-T68</f>
        <v>-63</v>
      </c>
      <c r="X69" s="20">
        <f t="shared" si="77"/>
        <v>50</v>
      </c>
      <c r="Y69" s="19">
        <f t="shared" si="52"/>
        <v>0.42357850808555036</v>
      </c>
      <c r="Z69" s="19">
        <f t="shared" si="53"/>
        <v>6.1576354679802957E-2</v>
      </c>
      <c r="AA69" s="21">
        <f t="shared" si="18"/>
        <v>0.53212851405622486</v>
      </c>
      <c r="AB69" s="26">
        <f t="shared" si="27"/>
        <v>0.67024785959308508</v>
      </c>
      <c r="AC69" s="23">
        <f t="shared" si="8"/>
        <v>37.857142857142854</v>
      </c>
      <c r="AD69" s="23">
        <f t="shared" si="25"/>
        <v>10.428571428571429</v>
      </c>
      <c r="AE69" s="23">
        <f t="shared" si="9"/>
        <v>3749.5714285714284</v>
      </c>
      <c r="AF69" s="25">
        <f t="shared" si="13"/>
        <v>1.1942857142857142E-2</v>
      </c>
      <c r="AG69" s="25"/>
      <c r="AH69" s="25"/>
      <c r="AI69" s="25"/>
      <c r="AJ69" s="25"/>
      <c r="AK69" s="25"/>
      <c r="AL69" s="25"/>
      <c r="AM69" s="26">
        <f t="shared" si="21"/>
        <v>43.428571428571431</v>
      </c>
    </row>
    <row r="70" spans="1:39" ht="16">
      <c r="A70" s="15">
        <v>43962</v>
      </c>
      <c r="B70" s="16">
        <v>3284</v>
      </c>
      <c r="C70" s="16">
        <v>21</v>
      </c>
      <c r="D70" s="16">
        <v>421</v>
      </c>
      <c r="E70" s="16">
        <v>958</v>
      </c>
      <c r="F70" s="16">
        <v>112165</v>
      </c>
      <c r="G70" s="17">
        <f t="shared" si="2"/>
        <v>11445.408163265305</v>
      </c>
      <c r="H70" s="20"/>
      <c r="I70" s="13">
        <v>6.4000000000000003E-3</v>
      </c>
      <c r="J70" s="13">
        <v>2.93E-2</v>
      </c>
      <c r="K70" s="22">
        <v>3.5999999999999997E-2</v>
      </c>
      <c r="L70" s="16">
        <v>1905</v>
      </c>
      <c r="M70" s="13">
        <v>0.12820000000000001</v>
      </c>
      <c r="N70" s="13">
        <v>0.29170000000000001</v>
      </c>
      <c r="O70" s="16">
        <v>10955</v>
      </c>
      <c r="P70" s="16">
        <v>3908</v>
      </c>
      <c r="Q70" s="13">
        <v>5.4000000000000003E-3</v>
      </c>
      <c r="R70" s="16">
        <v>8</v>
      </c>
      <c r="S70" s="16">
        <v>25</v>
      </c>
      <c r="T70" s="16">
        <v>782</v>
      </c>
      <c r="U70" s="16">
        <v>45</v>
      </c>
      <c r="V70" s="19">
        <f t="shared" si="0"/>
        <v>0.58008526187576126</v>
      </c>
      <c r="W70" s="20">
        <f t="shared" ref="W70:X70" si="78">T70-T69</f>
        <v>-30</v>
      </c>
      <c r="X70" s="20">
        <f t="shared" si="78"/>
        <v>-5</v>
      </c>
      <c r="Y70" s="19">
        <f t="shared" si="52"/>
        <v>0.41049868766404202</v>
      </c>
      <c r="Z70" s="19">
        <f t="shared" si="53"/>
        <v>5.754475703324808E-2</v>
      </c>
      <c r="AA70" s="21">
        <f t="shared" si="18"/>
        <v>0.55088495575221241</v>
      </c>
      <c r="AB70" s="26">
        <f t="shared" si="27"/>
        <v>0.64114699827555</v>
      </c>
      <c r="AC70" s="23">
        <f t="shared" si="8"/>
        <v>35.571428571428569</v>
      </c>
      <c r="AD70" s="23">
        <f t="shared" si="25"/>
        <v>10</v>
      </c>
      <c r="AE70" s="23">
        <f t="shared" si="9"/>
        <v>4029.5714285714284</v>
      </c>
      <c r="AF70" s="25">
        <f t="shared" si="13"/>
        <v>0.01</v>
      </c>
      <c r="AG70" s="25"/>
      <c r="AH70" s="25"/>
      <c r="AI70" s="25"/>
      <c r="AJ70" s="25"/>
      <c r="AK70" s="25"/>
      <c r="AL70" s="25"/>
      <c r="AM70" s="26">
        <f t="shared" si="21"/>
        <v>46.857142857142854</v>
      </c>
    </row>
    <row r="71" spans="1:39" ht="16">
      <c r="A71" s="15">
        <v>43963</v>
      </c>
      <c r="B71" s="16">
        <v>3313</v>
      </c>
      <c r="C71" s="16">
        <v>29</v>
      </c>
      <c r="D71" s="16">
        <v>425</v>
      </c>
      <c r="E71" s="16">
        <v>1007</v>
      </c>
      <c r="F71" s="16">
        <v>114719</v>
      </c>
      <c r="G71" s="17">
        <f t="shared" si="2"/>
        <v>11706.020408163264</v>
      </c>
      <c r="H71" s="20"/>
      <c r="I71" s="13">
        <v>8.8000000000000005E-3</v>
      </c>
      <c r="J71" s="13">
        <v>2.8899999999999999E-2</v>
      </c>
      <c r="K71" s="22">
        <v>2.3E-2</v>
      </c>
      <c r="L71" s="16">
        <v>1881</v>
      </c>
      <c r="M71" s="13">
        <v>0.1283</v>
      </c>
      <c r="N71" s="13">
        <v>0.30399999999999999</v>
      </c>
      <c r="O71" s="16">
        <v>11016</v>
      </c>
      <c r="P71" s="16">
        <v>2554</v>
      </c>
      <c r="Q71" s="13">
        <v>1.14E-2</v>
      </c>
      <c r="R71" s="16">
        <v>4</v>
      </c>
      <c r="S71" s="16">
        <v>49</v>
      </c>
      <c r="T71" s="16">
        <v>746</v>
      </c>
      <c r="U71" s="16">
        <v>45</v>
      </c>
      <c r="V71" s="19">
        <f t="shared" si="0"/>
        <v>0.56776335647449439</v>
      </c>
      <c r="W71" s="20">
        <f t="shared" ref="W71:X71" si="79">T71-T70</f>
        <v>-36</v>
      </c>
      <c r="X71" s="20">
        <f t="shared" si="79"/>
        <v>0</v>
      </c>
      <c r="Y71" s="19">
        <f t="shared" si="52"/>
        <v>0.39659755449229134</v>
      </c>
      <c r="Z71" s="19">
        <f t="shared" si="53"/>
        <v>6.0321715817694369E-2</v>
      </c>
      <c r="AA71" s="21">
        <f t="shared" si="18"/>
        <v>0.59615384615384615</v>
      </c>
      <c r="AB71" s="26">
        <f t="shared" si="27"/>
        <v>0.61845598692755122</v>
      </c>
      <c r="AC71" s="23">
        <f t="shared" si="8"/>
        <v>35.428571428571431</v>
      </c>
      <c r="AD71" s="23">
        <f t="shared" si="25"/>
        <v>8.8571428571428577</v>
      </c>
      <c r="AE71" s="23">
        <f t="shared" si="9"/>
        <v>4166</v>
      </c>
      <c r="AF71" s="25">
        <f t="shared" si="13"/>
        <v>8.9428571428571448E-3</v>
      </c>
      <c r="AG71" s="25"/>
      <c r="AH71" s="25"/>
      <c r="AI71" s="25"/>
      <c r="AJ71" s="25"/>
      <c r="AK71" s="25"/>
      <c r="AL71" s="25"/>
      <c r="AM71" s="26">
        <f t="shared" si="21"/>
        <v>42.571428571428569</v>
      </c>
    </row>
    <row r="72" spans="1:39" ht="16">
      <c r="A72" s="15">
        <v>43964</v>
      </c>
      <c r="B72" s="16">
        <v>3341</v>
      </c>
      <c r="C72" s="16">
        <v>28</v>
      </c>
      <c r="D72" s="16">
        <v>430</v>
      </c>
      <c r="E72" s="16">
        <v>1102</v>
      </c>
      <c r="F72" s="16">
        <v>118500</v>
      </c>
      <c r="G72" s="17">
        <f t="shared" si="2"/>
        <v>12091.836734693876</v>
      </c>
      <c r="H72" s="20"/>
      <c r="I72" s="13">
        <v>8.5000000000000006E-3</v>
      </c>
      <c r="J72" s="13">
        <v>2.8199999999999999E-2</v>
      </c>
      <c r="K72" s="22">
        <v>3.3000000000000002E-2</v>
      </c>
      <c r="L72" s="16">
        <v>1809</v>
      </c>
      <c r="M72" s="13">
        <v>0.12870000000000001</v>
      </c>
      <c r="N72" s="13">
        <v>0.32979999999999998</v>
      </c>
      <c r="O72" s="16">
        <v>11053</v>
      </c>
      <c r="P72" s="16">
        <v>3781</v>
      </c>
      <c r="Q72" s="13">
        <v>7.4000000000000003E-3</v>
      </c>
      <c r="R72" s="16">
        <v>5</v>
      </c>
      <c r="S72" s="16">
        <v>95</v>
      </c>
      <c r="T72" s="16">
        <v>688</v>
      </c>
      <c r="U72" s="16">
        <v>45</v>
      </c>
      <c r="V72" s="19">
        <f t="shared" si="0"/>
        <v>0.54145465429512118</v>
      </c>
      <c r="W72" s="20">
        <f t="shared" ref="W72:X72" si="80">T72-T71</f>
        <v>-58</v>
      </c>
      <c r="X72" s="20">
        <f t="shared" si="80"/>
        <v>0</v>
      </c>
      <c r="Y72" s="19">
        <f t="shared" si="52"/>
        <v>0.38032061912658927</v>
      </c>
      <c r="Z72" s="19">
        <f t="shared" si="53"/>
        <v>6.5406976744186052E-2</v>
      </c>
      <c r="AA72" s="21">
        <f t="shared" si="18"/>
        <v>0.59895833333333337</v>
      </c>
      <c r="AB72" s="26">
        <f t="shared" si="27"/>
        <v>0.60588703940220845</v>
      </c>
      <c r="AC72" s="23">
        <f t="shared" si="8"/>
        <v>32.857142857142854</v>
      </c>
      <c r="AD72" s="23">
        <f t="shared" si="25"/>
        <v>8.1428571428571423</v>
      </c>
      <c r="AE72" s="23">
        <f t="shared" si="9"/>
        <v>4252.1428571428569</v>
      </c>
      <c r="AF72" s="25">
        <f t="shared" si="13"/>
        <v>7.9285714285714289E-3</v>
      </c>
      <c r="AG72" s="25"/>
      <c r="AH72" s="25"/>
      <c r="AI72" s="25"/>
      <c r="AJ72" s="25"/>
      <c r="AK72" s="25"/>
      <c r="AL72" s="25"/>
      <c r="AM72" s="26">
        <f t="shared" si="21"/>
        <v>49</v>
      </c>
    </row>
    <row r="73" spans="1:39" ht="16">
      <c r="A73" s="15">
        <v>43965</v>
      </c>
      <c r="B73" s="16">
        <v>3380</v>
      </c>
      <c r="C73" s="16">
        <v>39</v>
      </c>
      <c r="D73" s="16">
        <v>436</v>
      </c>
      <c r="E73" s="16">
        <v>1169</v>
      </c>
      <c r="F73" s="16">
        <v>123258</v>
      </c>
      <c r="G73" s="17">
        <f t="shared" si="2"/>
        <v>12577.346938775509</v>
      </c>
      <c r="H73" s="20"/>
      <c r="I73" s="13">
        <v>1.17E-2</v>
      </c>
      <c r="J73" s="13">
        <v>2.7400000000000001E-2</v>
      </c>
      <c r="K73" s="22">
        <v>0.04</v>
      </c>
      <c r="L73" s="16">
        <v>1775</v>
      </c>
      <c r="M73" s="13">
        <v>0.129</v>
      </c>
      <c r="N73" s="13">
        <v>0.34589999999999999</v>
      </c>
      <c r="O73" s="16">
        <v>11084</v>
      </c>
      <c r="P73" s="16">
        <v>4758</v>
      </c>
      <c r="Q73" s="13">
        <v>8.2000000000000007E-3</v>
      </c>
      <c r="R73" s="16">
        <v>6</v>
      </c>
      <c r="S73" s="16">
        <v>67</v>
      </c>
      <c r="T73" s="16">
        <v>658</v>
      </c>
      <c r="U73" s="16">
        <v>49</v>
      </c>
      <c r="V73" s="19">
        <f t="shared" si="0"/>
        <v>0.5251479289940828</v>
      </c>
      <c r="W73" s="20">
        <f t="shared" ref="W73:X73" si="81">T73-T72</f>
        <v>-30</v>
      </c>
      <c r="X73" s="20">
        <f t="shared" si="81"/>
        <v>4</v>
      </c>
      <c r="Y73" s="19">
        <f t="shared" si="52"/>
        <v>0.37070422535211267</v>
      </c>
      <c r="Z73" s="19">
        <f t="shared" si="53"/>
        <v>7.4468085106382975E-2</v>
      </c>
      <c r="AA73" s="21">
        <f t="shared" si="18"/>
        <v>0.61333333333333329</v>
      </c>
      <c r="AB73" s="26">
        <f t="shared" si="27"/>
        <v>0.58439930785337701</v>
      </c>
      <c r="AC73" s="23">
        <f t="shared" si="8"/>
        <v>32.857142857142854</v>
      </c>
      <c r="AD73" s="23">
        <f t="shared" si="25"/>
        <v>7.5714285714285712</v>
      </c>
      <c r="AE73" s="23">
        <f t="shared" si="9"/>
        <v>4174.5714285714284</v>
      </c>
      <c r="AF73" s="25">
        <f t="shared" si="13"/>
        <v>8.0428571428571433E-3</v>
      </c>
      <c r="AG73" s="25"/>
      <c r="AH73" s="25"/>
      <c r="AI73" s="25"/>
      <c r="AJ73" s="25"/>
      <c r="AK73" s="25"/>
      <c r="AL73" s="25"/>
      <c r="AM73" s="26">
        <f t="shared" si="21"/>
        <v>52.571428571428569</v>
      </c>
    </row>
    <row r="74" spans="1:39" ht="16">
      <c r="A74" s="15">
        <v>43966</v>
      </c>
      <c r="B74" s="16">
        <v>3417</v>
      </c>
      <c r="C74" s="16">
        <v>37</v>
      </c>
      <c r="D74" s="16">
        <v>442</v>
      </c>
      <c r="E74" s="16">
        <v>1287</v>
      </c>
      <c r="F74" s="16">
        <v>127237</v>
      </c>
      <c r="G74" s="17">
        <f t="shared" si="2"/>
        <v>12983.367346938774</v>
      </c>
      <c r="H74" s="20"/>
      <c r="I74" s="13">
        <v>1.09E-2</v>
      </c>
      <c r="J74" s="13">
        <v>2.69E-2</v>
      </c>
      <c r="K74" s="22">
        <v>3.2000000000000001E-2</v>
      </c>
      <c r="L74" s="16">
        <v>1688</v>
      </c>
      <c r="M74" s="13">
        <v>0.12939999999999999</v>
      </c>
      <c r="N74" s="13">
        <v>0.37659999999999999</v>
      </c>
      <c r="O74" s="16">
        <v>10954</v>
      </c>
      <c r="P74" s="16">
        <v>3979</v>
      </c>
      <c r="Q74" s="13">
        <v>9.2999999999999992E-3</v>
      </c>
      <c r="R74" s="16">
        <v>6</v>
      </c>
      <c r="S74" s="16">
        <v>118</v>
      </c>
      <c r="T74" s="16">
        <v>614</v>
      </c>
      <c r="U74" s="16">
        <v>46</v>
      </c>
      <c r="V74" s="19">
        <f t="shared" si="0"/>
        <v>0.49400058530875035</v>
      </c>
      <c r="W74" s="20">
        <f t="shared" ref="W74:X74" si="82">T74-T73</f>
        <v>-44</v>
      </c>
      <c r="X74" s="20">
        <f t="shared" si="82"/>
        <v>-3</v>
      </c>
      <c r="Y74" s="19">
        <f t="shared" si="52"/>
        <v>0.36374407582938389</v>
      </c>
      <c r="Z74" s="19">
        <f t="shared" si="53"/>
        <v>7.4918566775244305E-2</v>
      </c>
      <c r="AA74" s="21">
        <f t="shared" si="18"/>
        <v>0.7587301587301587</v>
      </c>
      <c r="AB74" s="26">
        <f t="shared" si="27"/>
        <v>0.59903933052911407</v>
      </c>
      <c r="AC74" s="23">
        <f t="shared" si="8"/>
        <v>34.142857142857146</v>
      </c>
      <c r="AD74" s="23">
        <f t="shared" si="25"/>
        <v>7.1428571428571432</v>
      </c>
      <c r="AE74" s="23">
        <f t="shared" si="9"/>
        <v>4025.5714285714284</v>
      </c>
      <c r="AF74" s="25">
        <f t="shared" si="13"/>
        <v>8.5714285714285719E-3</v>
      </c>
      <c r="AG74" s="25"/>
      <c r="AH74" s="25"/>
      <c r="AI74" s="25"/>
      <c r="AJ74" s="25"/>
      <c r="AK74" s="25"/>
      <c r="AL74" s="25"/>
      <c r="AM74" s="26">
        <f t="shared" si="21"/>
        <v>60.285714285714285</v>
      </c>
    </row>
    <row r="75" spans="1:39" ht="16">
      <c r="A75" s="15">
        <v>43967</v>
      </c>
      <c r="B75" s="16">
        <v>3473</v>
      </c>
      <c r="C75" s="16">
        <v>56</v>
      </c>
      <c r="D75" s="16">
        <v>448</v>
      </c>
      <c r="E75" s="16">
        <v>1371</v>
      </c>
      <c r="F75" s="16">
        <v>131429</v>
      </c>
      <c r="G75" s="17">
        <f t="shared" si="2"/>
        <v>13411.122448979591</v>
      </c>
      <c r="H75" s="20"/>
      <c r="I75" s="13">
        <v>1.6400000000000001E-2</v>
      </c>
      <c r="J75" s="13">
        <v>2.64E-2</v>
      </c>
      <c r="K75" s="22">
        <v>3.3000000000000002E-2</v>
      </c>
      <c r="L75" s="16">
        <v>1654</v>
      </c>
      <c r="M75" s="13">
        <v>0.129</v>
      </c>
      <c r="N75" s="13">
        <v>0.39479999999999998</v>
      </c>
      <c r="O75" s="16">
        <v>10742</v>
      </c>
      <c r="P75" s="16">
        <v>4192</v>
      </c>
      <c r="Q75" s="13">
        <v>1.34E-2</v>
      </c>
      <c r="R75" s="16">
        <v>6</v>
      </c>
      <c r="S75" s="16">
        <v>84</v>
      </c>
      <c r="T75" s="16">
        <v>570</v>
      </c>
      <c r="U75" s="16">
        <v>45</v>
      </c>
      <c r="V75" s="19">
        <f t="shared" si="0"/>
        <v>0.4762453210480852</v>
      </c>
      <c r="W75" s="20">
        <f t="shared" ref="W75:X75" si="83">T75-T74</f>
        <v>-44</v>
      </c>
      <c r="X75" s="20">
        <f t="shared" si="83"/>
        <v>-1</v>
      </c>
      <c r="Y75" s="19">
        <f t="shared" si="52"/>
        <v>0.34461910519951633</v>
      </c>
      <c r="Z75" s="19">
        <f t="shared" si="53"/>
        <v>7.8947368421052627E-2</v>
      </c>
      <c r="AA75" s="21">
        <f t="shared" si="18"/>
        <v>0.95940959409594095</v>
      </c>
      <c r="AB75" s="26">
        <f t="shared" si="27"/>
        <v>0.65851410506500707</v>
      </c>
      <c r="AC75" s="23">
        <f t="shared" si="8"/>
        <v>37.142857142857146</v>
      </c>
      <c r="AD75" s="23">
        <f t="shared" si="25"/>
        <v>6.1428571428571432</v>
      </c>
      <c r="AE75" s="23">
        <f t="shared" si="9"/>
        <v>4024.4285714285716</v>
      </c>
      <c r="AF75" s="25">
        <f t="shared" si="13"/>
        <v>9.2999999999999992E-3</v>
      </c>
      <c r="AG75" s="25"/>
      <c r="AH75" s="25"/>
      <c r="AI75" s="25"/>
      <c r="AJ75" s="25"/>
      <c r="AK75" s="25"/>
      <c r="AL75" s="25"/>
      <c r="AM75" s="26">
        <f t="shared" si="21"/>
        <v>66.714285714285708</v>
      </c>
    </row>
    <row r="76" spans="1:39" ht="16">
      <c r="A76" s="15">
        <v>43968</v>
      </c>
      <c r="B76" s="16">
        <v>3509</v>
      </c>
      <c r="C76" s="16">
        <v>36</v>
      </c>
      <c r="D76" s="16">
        <v>451</v>
      </c>
      <c r="E76" s="16">
        <v>1396</v>
      </c>
      <c r="F76" s="16">
        <v>135137</v>
      </c>
      <c r="G76" s="17">
        <f t="shared" si="2"/>
        <v>13789.489795918367</v>
      </c>
      <c r="H76" s="20"/>
      <c r="I76" s="13">
        <v>1.04E-2</v>
      </c>
      <c r="J76" s="13">
        <v>2.5999999999999999E-2</v>
      </c>
      <c r="K76" s="22">
        <v>2.8000000000000001E-2</v>
      </c>
      <c r="L76" s="16">
        <v>1662</v>
      </c>
      <c r="M76" s="13">
        <v>0.1285</v>
      </c>
      <c r="N76" s="13">
        <v>0.39779999999999999</v>
      </c>
      <c r="O76" s="16">
        <v>10470</v>
      </c>
      <c r="P76" s="16">
        <v>3708</v>
      </c>
      <c r="Q76" s="13">
        <v>9.7000000000000003E-3</v>
      </c>
      <c r="R76" s="16">
        <v>3</v>
      </c>
      <c r="S76" s="16">
        <v>25</v>
      </c>
      <c r="T76" s="16">
        <v>562</v>
      </c>
      <c r="U76" s="16">
        <v>47</v>
      </c>
      <c r="V76" s="19">
        <f t="shared" si="0"/>
        <v>0.4736392134511257</v>
      </c>
      <c r="W76" s="20">
        <f t="shared" ref="W76:X76" si="84">T76-T75</f>
        <v>-8</v>
      </c>
      <c r="X76" s="20">
        <f t="shared" si="84"/>
        <v>2</v>
      </c>
      <c r="Y76" s="19">
        <f t="shared" si="52"/>
        <v>0.33814681107099881</v>
      </c>
      <c r="Z76" s="19">
        <f t="shared" si="53"/>
        <v>8.3629893238434158E-2</v>
      </c>
      <c r="AA76" s="21">
        <f t="shared" si="18"/>
        <v>0.92830188679245285</v>
      </c>
      <c r="AB76" s="26">
        <f t="shared" si="27"/>
        <v>0.71511030117018259</v>
      </c>
      <c r="AC76" s="23">
        <f t="shared" si="8"/>
        <v>35.142857142857146</v>
      </c>
      <c r="AD76" s="23">
        <f t="shared" si="25"/>
        <v>5.4285714285714288</v>
      </c>
      <c r="AE76" s="23">
        <f t="shared" si="9"/>
        <v>3840</v>
      </c>
      <c r="AF76" s="25">
        <f t="shared" si="13"/>
        <v>9.2571428571428561E-3</v>
      </c>
      <c r="AG76" s="25"/>
      <c r="AH76" s="25"/>
      <c r="AI76" s="25"/>
      <c r="AJ76" s="25"/>
      <c r="AK76" s="25"/>
      <c r="AL76" s="25"/>
      <c r="AM76" s="26">
        <f t="shared" si="21"/>
        <v>66.142857142857139</v>
      </c>
    </row>
    <row r="77" spans="1:39" ht="16">
      <c r="A77" s="15">
        <v>43969</v>
      </c>
      <c r="B77" s="16">
        <v>3535</v>
      </c>
      <c r="C77" s="16">
        <v>26</v>
      </c>
      <c r="D77" s="16">
        <v>462</v>
      </c>
      <c r="E77" s="16">
        <v>1400</v>
      </c>
      <c r="F77" s="16">
        <v>137243</v>
      </c>
      <c r="G77" s="17">
        <f t="shared" si="2"/>
        <v>14004.38775510204</v>
      </c>
      <c r="H77" s="20"/>
      <c r="I77" s="13">
        <v>7.4000000000000003E-3</v>
      </c>
      <c r="J77" s="13">
        <v>2.58E-2</v>
      </c>
      <c r="K77" s="22">
        <v>1.6E-2</v>
      </c>
      <c r="L77" s="16">
        <v>1673</v>
      </c>
      <c r="M77" s="13">
        <v>0.13070000000000001</v>
      </c>
      <c r="N77" s="13">
        <v>0.39600000000000002</v>
      </c>
      <c r="O77" s="16">
        <v>10388</v>
      </c>
      <c r="P77" s="16">
        <v>2106</v>
      </c>
      <c r="Q77" s="13">
        <v>1.23E-2</v>
      </c>
      <c r="R77" s="16">
        <v>11</v>
      </c>
      <c r="S77" s="16">
        <v>4</v>
      </c>
      <c r="T77" s="16">
        <v>568</v>
      </c>
      <c r="U77" s="16">
        <v>46</v>
      </c>
      <c r="V77" s="19">
        <f t="shared" si="0"/>
        <v>0.47326732673267324</v>
      </c>
      <c r="W77" s="20">
        <f t="shared" ref="W77:X77" si="85">T77-T76</f>
        <v>6</v>
      </c>
      <c r="X77" s="20">
        <f t="shared" si="85"/>
        <v>-1</v>
      </c>
      <c r="Y77" s="19">
        <f t="shared" si="52"/>
        <v>0.33950986252241483</v>
      </c>
      <c r="Z77" s="19">
        <f t="shared" si="53"/>
        <v>8.098591549295775E-2</v>
      </c>
      <c r="AA77" s="21">
        <f t="shared" si="18"/>
        <v>1.0080321285140563</v>
      </c>
      <c r="AB77" s="26">
        <f t="shared" si="27"/>
        <v>0.7804170401361602</v>
      </c>
      <c r="AC77" s="23">
        <f t="shared" si="8"/>
        <v>35.857142857142854</v>
      </c>
      <c r="AD77" s="23">
        <f t="shared" si="25"/>
        <v>5.8571428571428568</v>
      </c>
      <c r="AE77" s="23">
        <f t="shared" si="9"/>
        <v>3582.5714285714284</v>
      </c>
      <c r="AF77" s="25">
        <f t="shared" si="13"/>
        <v>1.0242857142857142E-2</v>
      </c>
      <c r="AG77" s="25"/>
      <c r="AH77" s="25"/>
      <c r="AI77" s="25"/>
      <c r="AJ77" s="25"/>
      <c r="AK77" s="25"/>
      <c r="AL77" s="25"/>
      <c r="AM77" s="26">
        <f t="shared" si="21"/>
        <v>63.142857142857146</v>
      </c>
    </row>
    <row r="78" spans="1:39" ht="16">
      <c r="A78" s="15">
        <v>43970</v>
      </c>
      <c r="B78" s="16">
        <v>3556</v>
      </c>
      <c r="C78" s="16">
        <v>21</v>
      </c>
      <c r="D78" s="16">
        <v>467</v>
      </c>
      <c r="E78" s="16">
        <v>1412</v>
      </c>
      <c r="F78" s="16">
        <v>138697</v>
      </c>
      <c r="G78" s="17">
        <f t="shared" si="2"/>
        <v>14152.755102040815</v>
      </c>
      <c r="H78" s="20"/>
      <c r="I78" s="13">
        <v>5.8999999999999999E-3</v>
      </c>
      <c r="J78" s="13">
        <v>2.5600000000000001E-2</v>
      </c>
      <c r="K78" s="22">
        <v>1.0999999999999999E-2</v>
      </c>
      <c r="L78" s="16">
        <v>1677</v>
      </c>
      <c r="M78" s="13">
        <v>0.1313</v>
      </c>
      <c r="N78" s="13">
        <v>0.39710000000000001</v>
      </c>
      <c r="O78" s="16">
        <v>10394</v>
      </c>
      <c r="P78" s="16">
        <v>1454</v>
      </c>
      <c r="Q78" s="13">
        <v>1.44E-2</v>
      </c>
      <c r="R78" s="16">
        <v>5</v>
      </c>
      <c r="S78" s="16">
        <v>12</v>
      </c>
      <c r="V78" s="19">
        <f t="shared" si="0"/>
        <v>0.47159730033745784</v>
      </c>
      <c r="W78" s="20">
        <f t="shared" ref="W78:X78" si="86">T78-T77</f>
        <v>-568</v>
      </c>
      <c r="X78" s="20">
        <f t="shared" si="86"/>
        <v>-46</v>
      </c>
      <c r="Y78" s="19"/>
      <c r="Z78" s="19"/>
      <c r="AA78" s="21">
        <f t="shared" si="18"/>
        <v>0.97983870967741937</v>
      </c>
      <c r="AB78" s="26">
        <f t="shared" si="27"/>
        <v>0.83522916349667065</v>
      </c>
      <c r="AC78" s="23">
        <f t="shared" si="8"/>
        <v>34.714285714285715</v>
      </c>
      <c r="AD78" s="23">
        <f t="shared" si="25"/>
        <v>6</v>
      </c>
      <c r="AE78" s="23">
        <f t="shared" si="9"/>
        <v>3425.4285714285716</v>
      </c>
      <c r="AF78" s="25">
        <f t="shared" si="13"/>
        <v>1.0671428571428571E-2</v>
      </c>
      <c r="AG78" s="25"/>
      <c r="AH78" s="25"/>
      <c r="AI78" s="25"/>
      <c r="AJ78" s="25"/>
      <c r="AK78" s="25"/>
      <c r="AL78" s="25"/>
      <c r="AM78" s="26">
        <f t="shared" si="21"/>
        <v>57.857142857142854</v>
      </c>
    </row>
    <row r="79" spans="1:39" ht="16">
      <c r="A79" s="15">
        <v>43971</v>
      </c>
      <c r="B79" s="16">
        <v>3598</v>
      </c>
      <c r="C79" s="16">
        <v>42</v>
      </c>
      <c r="D79" s="16">
        <v>470</v>
      </c>
      <c r="E79" s="16">
        <v>1454</v>
      </c>
      <c r="F79" s="16">
        <v>142729</v>
      </c>
      <c r="G79" s="17">
        <f t="shared" si="2"/>
        <v>14564.183673469386</v>
      </c>
      <c r="H79" s="20"/>
      <c r="I79" s="13">
        <v>1.18E-2</v>
      </c>
      <c r="J79" s="13">
        <v>2.52E-2</v>
      </c>
      <c r="K79" s="22">
        <v>2.9000000000000001E-2</v>
      </c>
      <c r="L79" s="16">
        <v>1674</v>
      </c>
      <c r="M79" s="13">
        <v>0.13059999999999999</v>
      </c>
      <c r="N79" s="13">
        <v>0.40410000000000001</v>
      </c>
      <c r="O79" s="16">
        <v>10931</v>
      </c>
      <c r="P79" s="16">
        <v>4032</v>
      </c>
      <c r="Q79" s="13">
        <v>1.04E-2</v>
      </c>
      <c r="R79" s="16">
        <v>3</v>
      </c>
      <c r="S79" s="16">
        <v>42</v>
      </c>
      <c r="T79" s="16">
        <v>539</v>
      </c>
      <c r="U79" s="16">
        <v>29</v>
      </c>
      <c r="V79" s="19">
        <f t="shared" si="0"/>
        <v>0.4652584769316287</v>
      </c>
      <c r="W79" s="20">
        <f t="shared" ref="W79:X79" si="87">T79-T78</f>
        <v>539</v>
      </c>
      <c r="X79" s="20">
        <f t="shared" si="87"/>
        <v>29</v>
      </c>
      <c r="Y79" s="19">
        <f t="shared" ref="Y79:Y83" si="88">T79/L79</f>
        <v>0.32198327359617684</v>
      </c>
      <c r="Z79" s="19">
        <f t="shared" ref="Z79:Z83" si="89">U79/T79</f>
        <v>5.3803339517625233E-2</v>
      </c>
      <c r="AA79" s="21">
        <f t="shared" si="18"/>
        <v>1.1173913043478261</v>
      </c>
      <c r="AB79" s="26">
        <f t="shared" si="27"/>
        <v>0.909291016498741</v>
      </c>
      <c r="AC79" s="23">
        <f t="shared" si="8"/>
        <v>36.714285714285715</v>
      </c>
      <c r="AD79" s="23">
        <f t="shared" si="25"/>
        <v>5.7142857142857144</v>
      </c>
      <c r="AE79" s="23">
        <f t="shared" si="9"/>
        <v>3461.2857142857142</v>
      </c>
      <c r="AF79" s="25">
        <f t="shared" si="13"/>
        <v>1.1099999999999999E-2</v>
      </c>
      <c r="AG79" s="25"/>
      <c r="AH79" s="25"/>
      <c r="AI79" s="25"/>
      <c r="AJ79" s="25"/>
      <c r="AK79" s="25"/>
      <c r="AL79" s="25"/>
      <c r="AM79" s="26">
        <f t="shared" si="21"/>
        <v>50.285714285714285</v>
      </c>
    </row>
    <row r="80" spans="1:39" ht="16">
      <c r="A80" s="15">
        <v>43972</v>
      </c>
      <c r="B80" s="16">
        <v>3641</v>
      </c>
      <c r="C80" s="16">
        <v>43</v>
      </c>
      <c r="D80" s="16">
        <v>473</v>
      </c>
      <c r="E80" s="16">
        <v>1509</v>
      </c>
      <c r="F80" s="16">
        <v>147511</v>
      </c>
      <c r="G80" s="17">
        <f t="shared" si="2"/>
        <v>15052.142857142857</v>
      </c>
      <c r="H80" s="20"/>
      <c r="I80" s="13">
        <v>1.2E-2</v>
      </c>
      <c r="J80" s="13">
        <v>2.47E-2</v>
      </c>
      <c r="K80" s="22">
        <v>3.4000000000000002E-2</v>
      </c>
      <c r="L80" s="16">
        <v>1659</v>
      </c>
      <c r="M80" s="13">
        <v>0.12989999999999999</v>
      </c>
      <c r="N80" s="13">
        <v>0.41439999999999999</v>
      </c>
      <c r="O80" s="16">
        <v>11103</v>
      </c>
      <c r="P80" s="16">
        <v>4782</v>
      </c>
      <c r="Q80" s="13">
        <v>8.9999999999999993E-3</v>
      </c>
      <c r="R80" s="16">
        <v>3</v>
      </c>
      <c r="S80" s="16">
        <v>55</v>
      </c>
      <c r="T80" s="16">
        <v>510</v>
      </c>
      <c r="U80" s="16">
        <v>27</v>
      </c>
      <c r="V80" s="19">
        <f t="shared" si="0"/>
        <v>0.45564405383136503</v>
      </c>
      <c r="W80" s="20">
        <f t="shared" ref="W80:X80" si="90">T80-T79</f>
        <v>-29</v>
      </c>
      <c r="X80" s="20">
        <f t="shared" si="90"/>
        <v>-2</v>
      </c>
      <c r="Y80" s="19">
        <f t="shared" si="88"/>
        <v>0.30741410488245929</v>
      </c>
      <c r="Z80" s="19">
        <f t="shared" si="89"/>
        <v>5.2941176470588235E-2</v>
      </c>
      <c r="AA80" s="21">
        <f t="shared" si="18"/>
        <v>1.1347826086956523</v>
      </c>
      <c r="AB80" s="26">
        <f t="shared" si="27"/>
        <v>0.98378377012192952</v>
      </c>
      <c r="AC80" s="23">
        <f t="shared" si="8"/>
        <v>37.285714285714285</v>
      </c>
      <c r="AD80" s="23">
        <f t="shared" si="25"/>
        <v>5.2857142857142856</v>
      </c>
      <c r="AE80" s="23">
        <f t="shared" si="9"/>
        <v>3464.7142857142858</v>
      </c>
      <c r="AF80" s="25">
        <f t="shared" si="13"/>
        <v>1.1214285714285715E-2</v>
      </c>
      <c r="AG80" s="25"/>
      <c r="AH80" s="25"/>
      <c r="AI80" s="25"/>
      <c r="AJ80" s="25"/>
      <c r="AK80" s="25"/>
      <c r="AL80" s="25"/>
      <c r="AM80" s="26">
        <f t="shared" si="21"/>
        <v>48.571428571428569</v>
      </c>
    </row>
    <row r="81" spans="1:39" ht="16">
      <c r="A81" s="15">
        <v>43973</v>
      </c>
      <c r="B81" s="16">
        <v>3678</v>
      </c>
      <c r="C81" s="16">
        <v>37</v>
      </c>
      <c r="D81" s="16">
        <v>476</v>
      </c>
      <c r="E81" s="16">
        <v>1587</v>
      </c>
      <c r="F81" s="16">
        <v>155801</v>
      </c>
      <c r="G81" s="17">
        <f t="shared" si="2"/>
        <v>15898.061224489795</v>
      </c>
      <c r="H81" s="20"/>
      <c r="I81" s="13">
        <v>1.0200000000000001E-2</v>
      </c>
      <c r="J81" s="13">
        <v>2.3599999999999999E-2</v>
      </c>
      <c r="K81" s="22">
        <v>5.6000000000000001E-2</v>
      </c>
      <c r="L81" s="16">
        <v>1615</v>
      </c>
      <c r="M81" s="13">
        <v>0.12939999999999999</v>
      </c>
      <c r="N81" s="13">
        <v>0.43149999999999999</v>
      </c>
      <c r="O81" s="16">
        <v>11668</v>
      </c>
      <c r="P81" s="16">
        <v>8290</v>
      </c>
      <c r="Q81" s="13">
        <v>4.4999999999999997E-3</v>
      </c>
      <c r="R81" s="16">
        <v>3</v>
      </c>
      <c r="S81" s="16">
        <v>78</v>
      </c>
      <c r="T81" s="16">
        <v>483</v>
      </c>
      <c r="U81" s="16">
        <v>23</v>
      </c>
      <c r="V81" s="19">
        <f t="shared" si="0"/>
        <v>0.4390973355084285</v>
      </c>
      <c r="W81" s="20">
        <f t="shared" ref="W81:X81" si="91">T81-T80</f>
        <v>-27</v>
      </c>
      <c r="X81" s="20">
        <f t="shared" si="91"/>
        <v>-4</v>
      </c>
      <c r="Y81" s="19">
        <f t="shared" si="88"/>
        <v>0.29907120743034055</v>
      </c>
      <c r="Z81" s="19">
        <f t="shared" si="89"/>
        <v>4.7619047619047616E-2</v>
      </c>
      <c r="AA81" s="21">
        <f t="shared" si="18"/>
        <v>1.0920502092050208</v>
      </c>
      <c r="AB81" s="26">
        <f t="shared" si="27"/>
        <v>1.0314009201897671</v>
      </c>
      <c r="AC81" s="23">
        <f t="shared" si="8"/>
        <v>37.285714285714285</v>
      </c>
      <c r="AD81" s="23">
        <f t="shared" si="25"/>
        <v>4.8571428571428568</v>
      </c>
      <c r="AE81" s="23">
        <f t="shared" si="9"/>
        <v>4080.5714285714284</v>
      </c>
      <c r="AF81" s="25">
        <f t="shared" si="13"/>
        <v>1.0528571428571429E-2</v>
      </c>
      <c r="AG81" s="25"/>
      <c r="AH81" s="25"/>
      <c r="AI81" s="25"/>
      <c r="AJ81" s="25"/>
      <c r="AK81" s="25"/>
      <c r="AL81" s="25"/>
      <c r="AM81" s="26">
        <f t="shared" si="21"/>
        <v>42.857142857142854</v>
      </c>
    </row>
    <row r="82" spans="1:39" ht="16">
      <c r="A82" s="15">
        <v>43974</v>
      </c>
      <c r="B82" s="16">
        <v>3713</v>
      </c>
      <c r="C82" s="16">
        <v>35</v>
      </c>
      <c r="D82" s="16">
        <v>482</v>
      </c>
      <c r="E82" s="16">
        <v>1655</v>
      </c>
      <c r="F82" s="16">
        <v>159260</v>
      </c>
      <c r="G82" s="17">
        <f t="shared" si="2"/>
        <v>16251.020408163264</v>
      </c>
      <c r="H82" s="20"/>
      <c r="I82" s="13">
        <v>9.4999999999999998E-3</v>
      </c>
      <c r="J82" s="13">
        <v>2.3300000000000001E-2</v>
      </c>
      <c r="K82" s="22">
        <v>2.1999999999999999E-2</v>
      </c>
      <c r="L82" s="16">
        <v>1576</v>
      </c>
      <c r="M82" s="13">
        <v>0.1298</v>
      </c>
      <c r="N82" s="13">
        <v>0.44569999999999999</v>
      </c>
      <c r="O82" s="16">
        <v>11704</v>
      </c>
      <c r="P82" s="16">
        <v>3459</v>
      </c>
      <c r="Q82" s="13">
        <v>1.01E-2</v>
      </c>
      <c r="R82" s="16">
        <v>6</v>
      </c>
      <c r="S82" s="16">
        <v>68</v>
      </c>
      <c r="T82" s="16">
        <v>462</v>
      </c>
      <c r="U82" s="16">
        <v>21</v>
      </c>
      <c r="V82" s="19">
        <f t="shared" si="0"/>
        <v>0.42445461890654457</v>
      </c>
      <c r="W82" s="20">
        <f t="shared" ref="W82:X82" si="92">T82-T81</f>
        <v>-21</v>
      </c>
      <c r="X82" s="20">
        <f t="shared" si="92"/>
        <v>-2</v>
      </c>
      <c r="Y82" s="19">
        <f t="shared" si="88"/>
        <v>0.29314720812182743</v>
      </c>
      <c r="Z82" s="19">
        <f t="shared" si="89"/>
        <v>4.5454545454545456E-2</v>
      </c>
      <c r="AA82" s="21">
        <f t="shared" si="18"/>
        <v>0.92307692307692313</v>
      </c>
      <c r="AB82" s="26">
        <f t="shared" si="27"/>
        <v>1.0262105386156217</v>
      </c>
      <c r="AC82" s="23">
        <f t="shared" si="8"/>
        <v>34.285714285714285</v>
      </c>
      <c r="AD82" s="23">
        <f t="shared" si="25"/>
        <v>4.8571428571428568</v>
      </c>
      <c r="AE82" s="23">
        <f t="shared" si="9"/>
        <v>3975.8571428571427</v>
      </c>
      <c r="AF82" s="25">
        <f t="shared" si="13"/>
        <v>1.0057142857142858E-2</v>
      </c>
      <c r="AG82" s="25"/>
      <c r="AH82" s="25"/>
      <c r="AI82" s="25"/>
      <c r="AJ82" s="25"/>
      <c r="AK82" s="25"/>
      <c r="AL82" s="25"/>
      <c r="AM82" s="26">
        <f t="shared" si="21"/>
        <v>40.571428571428569</v>
      </c>
    </row>
    <row r="83" spans="1:39" ht="16">
      <c r="A83" s="15">
        <v>43975</v>
      </c>
      <c r="B83" s="16">
        <v>3741</v>
      </c>
      <c r="C83" s="16">
        <v>28</v>
      </c>
      <c r="D83" s="16">
        <v>486</v>
      </c>
      <c r="E83" s="16">
        <v>1690</v>
      </c>
      <c r="F83" s="16">
        <v>162925</v>
      </c>
      <c r="G83" s="17">
        <f t="shared" si="2"/>
        <v>16625</v>
      </c>
      <c r="H83" s="20"/>
      <c r="I83" s="13">
        <v>7.4999999999999997E-3</v>
      </c>
      <c r="J83" s="13">
        <v>2.3E-2</v>
      </c>
      <c r="K83" s="22">
        <v>2.3E-2</v>
      </c>
      <c r="L83" s="16">
        <v>1565</v>
      </c>
      <c r="M83" s="13">
        <v>0.12989999999999999</v>
      </c>
      <c r="N83" s="13">
        <v>0.45179999999999998</v>
      </c>
      <c r="O83" s="16">
        <v>11934</v>
      </c>
      <c r="P83" s="16">
        <v>3665</v>
      </c>
      <c r="Q83" s="13">
        <v>7.6E-3</v>
      </c>
      <c r="R83" s="16">
        <v>4</v>
      </c>
      <c r="S83" s="16">
        <v>35</v>
      </c>
      <c r="T83" s="16">
        <v>442</v>
      </c>
      <c r="U83" s="16">
        <v>28</v>
      </c>
      <c r="V83" s="19">
        <f t="shared" si="0"/>
        <v>0.41833734295642877</v>
      </c>
      <c r="W83" s="20">
        <f t="shared" ref="W83:X83" si="93">T83-T82</f>
        <v>-20</v>
      </c>
      <c r="X83" s="20">
        <f t="shared" si="93"/>
        <v>7</v>
      </c>
      <c r="Y83" s="19">
        <f t="shared" si="88"/>
        <v>0.28242811501597442</v>
      </c>
      <c r="Z83" s="19">
        <f t="shared" si="89"/>
        <v>6.3348416289592757E-2</v>
      </c>
      <c r="AA83" s="21">
        <f t="shared" si="18"/>
        <v>0.94308943089430897</v>
      </c>
      <c r="AB83" s="26">
        <f t="shared" si="27"/>
        <v>1.0283230449158869</v>
      </c>
      <c r="AC83" s="23">
        <f t="shared" si="8"/>
        <v>33.142857142857146</v>
      </c>
      <c r="AD83" s="23">
        <f t="shared" si="25"/>
        <v>5</v>
      </c>
      <c r="AE83" s="23">
        <f t="shared" si="9"/>
        <v>3969.7142857142858</v>
      </c>
      <c r="AF83" s="25">
        <f t="shared" si="13"/>
        <v>9.7571428571428566E-3</v>
      </c>
      <c r="AG83" s="25"/>
      <c r="AH83" s="25"/>
      <c r="AI83" s="25"/>
      <c r="AJ83" s="25"/>
      <c r="AK83" s="25"/>
      <c r="AL83" s="25"/>
      <c r="AM83" s="26">
        <f t="shared" si="21"/>
        <v>42</v>
      </c>
    </row>
    <row r="84" spans="1:39" ht="16">
      <c r="A84" s="15">
        <v>43976</v>
      </c>
      <c r="B84" s="16">
        <v>3756</v>
      </c>
      <c r="C84" s="16">
        <v>15</v>
      </c>
      <c r="D84" s="16">
        <v>491</v>
      </c>
      <c r="E84" s="16">
        <v>1711</v>
      </c>
      <c r="F84" s="16">
        <v>164619</v>
      </c>
      <c r="G84" s="17">
        <f t="shared" si="2"/>
        <v>16797.857142857141</v>
      </c>
      <c r="H84" s="20"/>
      <c r="I84" s="13">
        <v>4.0000000000000001E-3</v>
      </c>
      <c r="J84" s="13">
        <v>2.2800000000000001E-2</v>
      </c>
      <c r="K84" s="22">
        <v>0.01</v>
      </c>
      <c r="L84" s="16">
        <v>1554</v>
      </c>
      <c r="M84" s="13">
        <v>0.13070000000000001</v>
      </c>
      <c r="N84" s="13">
        <v>0.45550000000000002</v>
      </c>
      <c r="O84" s="16">
        <v>11810</v>
      </c>
      <c r="P84" s="16">
        <v>1694</v>
      </c>
      <c r="Q84" s="13">
        <v>8.8999999999999999E-3</v>
      </c>
      <c r="R84" s="16">
        <v>5</v>
      </c>
      <c r="S84" s="16">
        <v>21</v>
      </c>
      <c r="V84" s="19">
        <f t="shared" si="0"/>
        <v>0.41373801916932906</v>
      </c>
      <c r="W84" s="20">
        <f t="shared" ref="W84:X84" si="94">T84-T83</f>
        <v>-442</v>
      </c>
      <c r="X84" s="20">
        <f t="shared" si="94"/>
        <v>-28</v>
      </c>
      <c r="Y84" s="19"/>
      <c r="Z84" s="19"/>
      <c r="AA84" s="21">
        <f t="shared" si="18"/>
        <v>0.88047808764940239</v>
      </c>
      <c r="AB84" s="26">
        <f t="shared" si="27"/>
        <v>1.0101010390780791</v>
      </c>
      <c r="AC84" s="23">
        <f t="shared" si="8"/>
        <v>31.571428571428573</v>
      </c>
      <c r="AD84" s="23">
        <f t="shared" si="25"/>
        <v>4.1428571428571432</v>
      </c>
      <c r="AE84" s="23">
        <f t="shared" si="9"/>
        <v>3910.8571428571427</v>
      </c>
      <c r="AF84" s="25">
        <f t="shared" si="13"/>
        <v>9.2714285714285711E-3</v>
      </c>
      <c r="AG84" s="25"/>
      <c r="AH84" s="25"/>
      <c r="AI84" s="25"/>
      <c r="AJ84" s="25"/>
      <c r="AK84" s="25"/>
      <c r="AL84" s="25"/>
      <c r="AM84" s="26">
        <f t="shared" si="21"/>
        <v>44.428571428571431</v>
      </c>
    </row>
    <row r="85" spans="1:39" ht="16">
      <c r="A85" s="15">
        <v>43977</v>
      </c>
      <c r="B85" s="16">
        <v>3771</v>
      </c>
      <c r="C85" s="16">
        <v>15</v>
      </c>
      <c r="D85" s="16">
        <v>499</v>
      </c>
      <c r="E85" s="16">
        <v>1836</v>
      </c>
      <c r="F85" s="16">
        <v>166263</v>
      </c>
      <c r="G85" s="17">
        <f t="shared" si="2"/>
        <v>16965.612244897959</v>
      </c>
      <c r="H85" s="20"/>
      <c r="I85" s="13">
        <v>4.0000000000000001E-3</v>
      </c>
      <c r="J85" s="13">
        <v>2.2700000000000001E-2</v>
      </c>
      <c r="K85" s="22">
        <v>0.01</v>
      </c>
      <c r="L85" s="16">
        <v>1436</v>
      </c>
      <c r="M85" s="13">
        <v>0.1323</v>
      </c>
      <c r="N85" s="13">
        <v>0.4869</v>
      </c>
      <c r="O85" s="16">
        <v>11611</v>
      </c>
      <c r="P85" s="16">
        <v>1644</v>
      </c>
      <c r="Q85" s="13">
        <v>9.1000000000000004E-3</v>
      </c>
      <c r="R85" s="16">
        <v>8</v>
      </c>
      <c r="S85" s="16">
        <v>125</v>
      </c>
      <c r="T85" s="16">
        <v>436</v>
      </c>
      <c r="U85" s="16">
        <v>27</v>
      </c>
      <c r="V85" s="19">
        <f t="shared" si="0"/>
        <v>0.38080084858127816</v>
      </c>
      <c r="W85" s="20">
        <f t="shared" ref="W85:X85" si="95">T85-T84</f>
        <v>436</v>
      </c>
      <c r="X85" s="20">
        <f t="shared" si="95"/>
        <v>27</v>
      </c>
      <c r="Y85" s="19">
        <f t="shared" ref="Y85:Y339" si="96">T85/L85</f>
        <v>0.30362116991643456</v>
      </c>
      <c r="Z85" s="19">
        <f t="shared" ref="Z85:Z339" si="97">U85/T85</f>
        <v>6.1926605504587159E-2</v>
      </c>
      <c r="AA85" s="21">
        <f t="shared" si="18"/>
        <v>0.8847736625514403</v>
      </c>
      <c r="AB85" s="26">
        <f t="shared" si="27"/>
        <v>0.99652031806008201</v>
      </c>
      <c r="AC85" s="23">
        <f t="shared" si="8"/>
        <v>30.714285714285715</v>
      </c>
      <c r="AD85" s="23">
        <f t="shared" si="25"/>
        <v>4.5714285714285712</v>
      </c>
      <c r="AE85" s="23">
        <f t="shared" si="9"/>
        <v>3938</v>
      </c>
      <c r="AF85" s="25">
        <f t="shared" si="13"/>
        <v>8.5142857142857138E-3</v>
      </c>
      <c r="AG85" s="25"/>
      <c r="AH85" s="25"/>
      <c r="AI85" s="25"/>
      <c r="AJ85" s="25"/>
      <c r="AK85" s="25"/>
      <c r="AL85" s="25"/>
      <c r="AM85" s="26">
        <f t="shared" si="21"/>
        <v>60.571428571428569</v>
      </c>
    </row>
    <row r="86" spans="1:39" ht="16">
      <c r="A86" s="15">
        <v>43978</v>
      </c>
      <c r="B86" s="16">
        <v>3793</v>
      </c>
      <c r="C86" s="16">
        <v>22</v>
      </c>
      <c r="D86" s="16">
        <v>505</v>
      </c>
      <c r="E86" s="16">
        <v>1856</v>
      </c>
      <c r="F86" s="16">
        <v>169960</v>
      </c>
      <c r="G86" s="17">
        <f t="shared" si="2"/>
        <v>17342.857142857141</v>
      </c>
      <c r="H86" s="20"/>
      <c r="I86" s="13">
        <v>5.7999999999999996E-3</v>
      </c>
      <c r="J86" s="13">
        <v>2.23E-2</v>
      </c>
      <c r="K86" s="22">
        <v>2.1999999999999999E-2</v>
      </c>
      <c r="L86" s="16">
        <v>1432</v>
      </c>
      <c r="M86" s="13">
        <v>0.1331</v>
      </c>
      <c r="N86" s="13">
        <v>0.48930000000000001</v>
      </c>
      <c r="O86" s="16">
        <v>11616</v>
      </c>
      <c r="P86" s="16">
        <v>3697</v>
      </c>
      <c r="Q86" s="13">
        <v>6.0000000000000001E-3</v>
      </c>
      <c r="R86" s="16">
        <v>6</v>
      </c>
      <c r="S86" s="16">
        <v>20</v>
      </c>
      <c r="T86" s="16">
        <v>430</v>
      </c>
      <c r="U86" s="16">
        <v>25</v>
      </c>
      <c r="V86" s="19">
        <f t="shared" si="0"/>
        <v>0.37753756920643289</v>
      </c>
      <c r="W86" s="20">
        <f t="shared" ref="W86:X86" si="98">T86-T85</f>
        <v>-6</v>
      </c>
      <c r="X86" s="20">
        <f t="shared" si="98"/>
        <v>-2</v>
      </c>
      <c r="Y86" s="19">
        <f t="shared" si="96"/>
        <v>0.30027932960893855</v>
      </c>
      <c r="Z86" s="19">
        <f t="shared" si="97"/>
        <v>5.8139534883720929E-2</v>
      </c>
      <c r="AA86" s="21">
        <f t="shared" si="18"/>
        <v>0.75875486381322954</v>
      </c>
      <c r="AB86" s="26">
        <f t="shared" si="27"/>
        <v>0.94528654084085406</v>
      </c>
      <c r="AC86" s="23">
        <f t="shared" si="8"/>
        <v>27.857142857142858</v>
      </c>
      <c r="AD86" s="23">
        <f t="shared" si="25"/>
        <v>5</v>
      </c>
      <c r="AE86" s="23">
        <f t="shared" si="9"/>
        <v>3890.1428571428573</v>
      </c>
      <c r="AF86" s="25">
        <f t="shared" si="13"/>
        <v>7.8857142857142841E-3</v>
      </c>
      <c r="AG86" s="25"/>
      <c r="AH86" s="25"/>
      <c r="AI86" s="25"/>
      <c r="AJ86" s="25"/>
      <c r="AK86" s="25"/>
      <c r="AL86" s="25"/>
      <c r="AM86" s="26">
        <f t="shared" si="21"/>
        <v>57.428571428571431</v>
      </c>
    </row>
    <row r="87" spans="1:39" ht="16">
      <c r="A87" s="15">
        <v>43979</v>
      </c>
      <c r="B87" s="16">
        <v>3816</v>
      </c>
      <c r="C87" s="16">
        <v>23</v>
      </c>
      <c r="D87" s="16">
        <v>509</v>
      </c>
      <c r="E87" s="16">
        <v>1996</v>
      </c>
      <c r="F87" s="16">
        <v>174011</v>
      </c>
      <c r="G87" s="17">
        <f t="shared" si="2"/>
        <v>17756.224489795917</v>
      </c>
      <c r="H87" s="20"/>
      <c r="I87" s="13">
        <v>6.1000000000000004E-3</v>
      </c>
      <c r="J87" s="13">
        <v>2.1899999999999999E-2</v>
      </c>
      <c r="K87" s="22">
        <v>2.4E-2</v>
      </c>
      <c r="L87" s="16">
        <v>1311</v>
      </c>
      <c r="M87" s="13">
        <v>0.13339999999999999</v>
      </c>
      <c r="N87" s="13">
        <v>0.52310000000000001</v>
      </c>
      <c r="O87" s="16">
        <v>11525</v>
      </c>
      <c r="P87" s="16">
        <v>4051</v>
      </c>
      <c r="Q87" s="13">
        <v>5.7000000000000002E-3</v>
      </c>
      <c r="R87" s="16">
        <v>4</v>
      </c>
      <c r="S87" s="16">
        <v>140</v>
      </c>
      <c r="T87" s="16">
        <v>404</v>
      </c>
      <c r="U87" s="16">
        <v>24</v>
      </c>
      <c r="V87" s="19">
        <f t="shared" si="0"/>
        <v>0.34355345911949686</v>
      </c>
      <c r="W87" s="20">
        <f t="shared" ref="W87:X87" si="99">T87-T86</f>
        <v>-26</v>
      </c>
      <c r="X87" s="20">
        <f t="shared" si="99"/>
        <v>-1</v>
      </c>
      <c r="Y87" s="19">
        <f t="shared" si="96"/>
        <v>0.30816170861937453</v>
      </c>
      <c r="Z87" s="19">
        <f t="shared" si="97"/>
        <v>5.9405940594059403E-2</v>
      </c>
      <c r="AA87" s="21">
        <f t="shared" si="18"/>
        <v>0.67049808429118773</v>
      </c>
      <c r="AB87" s="26">
        <f t="shared" si="27"/>
        <v>0.87896018021164479</v>
      </c>
      <c r="AC87" s="23">
        <f t="shared" si="8"/>
        <v>25</v>
      </c>
      <c r="AD87" s="23">
        <f t="shared" si="25"/>
        <v>5.1428571428571432</v>
      </c>
      <c r="AE87" s="23">
        <f t="shared" si="9"/>
        <v>3785.7142857142858</v>
      </c>
      <c r="AF87" s="25">
        <f t="shared" si="13"/>
        <v>7.4142857142857144E-3</v>
      </c>
      <c r="AG87" s="25"/>
      <c r="AH87" s="25"/>
      <c r="AI87" s="25"/>
      <c r="AJ87" s="25"/>
      <c r="AK87" s="25"/>
      <c r="AL87" s="25"/>
      <c r="AM87" s="26">
        <f t="shared" si="21"/>
        <v>69.571428571428569</v>
      </c>
    </row>
    <row r="88" spans="1:39" ht="16">
      <c r="A88" s="15">
        <v>43980</v>
      </c>
      <c r="B88" s="16">
        <v>3841</v>
      </c>
      <c r="C88" s="16">
        <v>25</v>
      </c>
      <c r="D88" s="16">
        <v>517</v>
      </c>
      <c r="E88" s="16">
        <v>2024</v>
      </c>
      <c r="F88" s="16">
        <v>180152</v>
      </c>
      <c r="G88" s="17">
        <f t="shared" si="2"/>
        <v>18382.857142857141</v>
      </c>
      <c r="H88" s="20"/>
      <c r="I88" s="13">
        <v>6.6E-3</v>
      </c>
      <c r="J88" s="13">
        <v>2.1299999999999999E-2</v>
      </c>
      <c r="K88" s="22">
        <v>3.5000000000000003E-2</v>
      </c>
      <c r="L88" s="16">
        <v>1300</v>
      </c>
      <c r="M88" s="13">
        <v>0.1346</v>
      </c>
      <c r="N88" s="13">
        <v>0.52690000000000003</v>
      </c>
      <c r="O88" s="16">
        <v>10763</v>
      </c>
      <c r="P88" s="16">
        <v>6141</v>
      </c>
      <c r="Q88" s="13">
        <v>4.1000000000000003E-3</v>
      </c>
      <c r="R88" s="16">
        <v>8</v>
      </c>
      <c r="S88" s="16">
        <v>28</v>
      </c>
      <c r="T88" s="16">
        <v>384</v>
      </c>
      <c r="U88" s="16">
        <v>24</v>
      </c>
      <c r="V88" s="19">
        <f t="shared" si="0"/>
        <v>0.33845352772715437</v>
      </c>
      <c r="W88" s="20">
        <f t="shared" ref="W88:X88" si="100">T88-T87</f>
        <v>-20</v>
      </c>
      <c r="X88" s="20">
        <f t="shared" si="100"/>
        <v>0</v>
      </c>
      <c r="Y88" s="19">
        <f t="shared" si="96"/>
        <v>0.29538461538461541</v>
      </c>
      <c r="Z88" s="19">
        <f t="shared" si="97"/>
        <v>6.25E-2</v>
      </c>
      <c r="AA88" s="21">
        <f t="shared" si="18"/>
        <v>0.62452107279693492</v>
      </c>
      <c r="AB88" s="26">
        <f t="shared" si="27"/>
        <v>0.81217030358191811</v>
      </c>
      <c r="AC88" s="23">
        <f t="shared" si="8"/>
        <v>23.285714285714285</v>
      </c>
      <c r="AD88" s="23">
        <f t="shared" si="25"/>
        <v>5.8571428571428568</v>
      </c>
      <c r="AE88" s="23">
        <f t="shared" si="9"/>
        <v>3478.7142857142858</v>
      </c>
      <c r="AF88" s="25">
        <f t="shared" si="13"/>
        <v>7.3571428571428564E-3</v>
      </c>
      <c r="AG88" s="25"/>
      <c r="AH88" s="25"/>
      <c r="AI88" s="25"/>
      <c r="AJ88" s="25"/>
      <c r="AK88" s="25"/>
      <c r="AL88" s="25"/>
      <c r="AM88" s="26">
        <f t="shared" si="21"/>
        <v>62.428571428571431</v>
      </c>
    </row>
    <row r="89" spans="1:39" ht="16">
      <c r="A89" s="15">
        <v>43981</v>
      </c>
      <c r="B89" s="16">
        <v>3867</v>
      </c>
      <c r="C89" s="16">
        <v>26</v>
      </c>
      <c r="D89" s="16">
        <v>524</v>
      </c>
      <c r="E89" s="16">
        <v>2142</v>
      </c>
      <c r="F89" s="16">
        <v>183562</v>
      </c>
      <c r="G89" s="17">
        <f t="shared" si="2"/>
        <v>18730.81632653061</v>
      </c>
      <c r="H89" s="20"/>
      <c r="I89" s="13">
        <v>6.7999999999999996E-3</v>
      </c>
      <c r="J89" s="13">
        <v>2.1100000000000001E-2</v>
      </c>
      <c r="K89" s="22">
        <v>1.9E-2</v>
      </c>
      <c r="L89" s="16">
        <v>1201</v>
      </c>
      <c r="M89" s="13">
        <v>0.13550000000000001</v>
      </c>
      <c r="N89" s="13">
        <v>0.55389999999999995</v>
      </c>
      <c r="O89" s="16">
        <v>11408</v>
      </c>
      <c r="P89" s="16">
        <v>3410</v>
      </c>
      <c r="Q89" s="13">
        <v>7.6E-3</v>
      </c>
      <c r="R89" s="16">
        <v>7</v>
      </c>
      <c r="S89" s="16">
        <v>118</v>
      </c>
      <c r="T89" s="16">
        <v>414</v>
      </c>
      <c r="U89" s="16">
        <v>22</v>
      </c>
      <c r="V89" s="19">
        <f t="shared" si="0"/>
        <v>0.31057667442461856</v>
      </c>
      <c r="W89" s="20">
        <f t="shared" ref="W89:X89" si="101">T89-T88</f>
        <v>30</v>
      </c>
      <c r="X89" s="20">
        <f t="shared" si="101"/>
        <v>-2</v>
      </c>
      <c r="Y89" s="19">
        <f t="shared" si="96"/>
        <v>0.34471273938384678</v>
      </c>
      <c r="Z89" s="19">
        <f t="shared" si="97"/>
        <v>5.3140096618357488E-2</v>
      </c>
      <c r="AA89" s="21">
        <f t="shared" si="18"/>
        <v>0.64166666666666672</v>
      </c>
      <c r="AB89" s="26">
        <f t="shared" si="27"/>
        <v>0.77196883838045305</v>
      </c>
      <c r="AC89" s="23">
        <f t="shared" si="8"/>
        <v>22</v>
      </c>
      <c r="AD89" s="23">
        <f t="shared" si="25"/>
        <v>6</v>
      </c>
      <c r="AE89" s="23">
        <f t="shared" si="9"/>
        <v>3471.7142857142858</v>
      </c>
      <c r="AF89" s="25">
        <f t="shared" si="13"/>
        <v>7.0000000000000001E-3</v>
      </c>
      <c r="AG89" s="25"/>
      <c r="AH89" s="25"/>
      <c r="AI89" s="25"/>
      <c r="AJ89" s="25"/>
      <c r="AK89" s="25"/>
      <c r="AL89" s="25"/>
      <c r="AM89" s="26">
        <f t="shared" si="21"/>
        <v>69.571428571428569</v>
      </c>
    </row>
    <row r="90" spans="1:39" ht="16">
      <c r="A90" s="15">
        <v>43982</v>
      </c>
      <c r="B90" s="16">
        <v>3876</v>
      </c>
      <c r="C90" s="16">
        <v>9</v>
      </c>
      <c r="D90" s="16">
        <v>526</v>
      </c>
      <c r="E90" s="16">
        <v>2147</v>
      </c>
      <c r="F90" s="16">
        <v>185980</v>
      </c>
      <c r="G90" s="17">
        <f t="shared" si="2"/>
        <v>18977.551020408162</v>
      </c>
      <c r="H90" s="20"/>
      <c r="I90" s="13">
        <v>2.3E-3</v>
      </c>
      <c r="J90" s="13">
        <v>2.0799999999999999E-2</v>
      </c>
      <c r="K90" s="22">
        <v>1.2999999999999999E-2</v>
      </c>
      <c r="L90" s="16">
        <v>1203</v>
      </c>
      <c r="M90" s="13">
        <v>0.13569999999999999</v>
      </c>
      <c r="N90" s="13">
        <v>0.55389999999999995</v>
      </c>
      <c r="O90" s="16">
        <v>11540</v>
      </c>
      <c r="P90" s="16">
        <v>2418</v>
      </c>
      <c r="Q90" s="13">
        <v>3.7000000000000002E-3</v>
      </c>
      <c r="R90" s="16">
        <v>2</v>
      </c>
      <c r="S90" s="16">
        <v>5</v>
      </c>
      <c r="T90" s="16">
        <v>419</v>
      </c>
      <c r="U90" s="16">
        <v>25</v>
      </c>
      <c r="V90" s="19">
        <f t="shared" si="0"/>
        <v>0.31037151702786375</v>
      </c>
      <c r="W90" s="20">
        <f t="shared" ref="W90:X90" si="102">T90-T89</f>
        <v>5</v>
      </c>
      <c r="X90" s="20">
        <f t="shared" si="102"/>
        <v>3</v>
      </c>
      <c r="Y90" s="19">
        <f t="shared" si="96"/>
        <v>0.3482959268495428</v>
      </c>
      <c r="Z90" s="19">
        <f t="shared" si="97"/>
        <v>5.9665871121718374E-2</v>
      </c>
      <c r="AA90" s="21">
        <f t="shared" si="18"/>
        <v>0.5818965517241379</v>
      </c>
      <c r="AB90" s="26">
        <f t="shared" si="27"/>
        <v>0.72036985564185707</v>
      </c>
      <c r="AC90" s="23">
        <f t="shared" si="8"/>
        <v>19.285714285714285</v>
      </c>
      <c r="AD90" s="23">
        <f t="shared" si="25"/>
        <v>5.7142857142857144</v>
      </c>
      <c r="AE90" s="23">
        <f t="shared" si="9"/>
        <v>3293.5714285714284</v>
      </c>
      <c r="AF90" s="25">
        <f t="shared" si="13"/>
        <v>6.4428571428571443E-3</v>
      </c>
      <c r="AG90" s="25"/>
      <c r="AH90" s="25"/>
      <c r="AI90" s="25"/>
      <c r="AJ90" s="25"/>
      <c r="AK90" s="25"/>
      <c r="AL90" s="25"/>
      <c r="AM90" s="26">
        <f t="shared" si="21"/>
        <v>65.285714285714292</v>
      </c>
    </row>
    <row r="91" spans="1:39" ht="16">
      <c r="A91" s="15">
        <v>43983</v>
      </c>
      <c r="B91" s="16">
        <v>3892</v>
      </c>
      <c r="C91" s="16">
        <v>16</v>
      </c>
      <c r="D91" s="16">
        <v>527</v>
      </c>
      <c r="E91" s="16">
        <v>2156</v>
      </c>
      <c r="F91" s="16">
        <v>187965</v>
      </c>
      <c r="G91" s="17">
        <f t="shared" si="2"/>
        <v>19180.102040816324</v>
      </c>
      <c r="H91" s="20"/>
      <c r="I91" s="13">
        <v>4.1000000000000003E-3</v>
      </c>
      <c r="J91" s="13">
        <v>2.07E-2</v>
      </c>
      <c r="K91" s="22">
        <v>1.0999999999999999E-2</v>
      </c>
      <c r="L91" s="16">
        <v>1209</v>
      </c>
      <c r="M91" s="13">
        <v>0.13539999999999999</v>
      </c>
      <c r="N91" s="13">
        <v>0.55400000000000005</v>
      </c>
      <c r="O91" s="16">
        <v>11226</v>
      </c>
      <c r="P91" s="16">
        <v>1985</v>
      </c>
      <c r="Q91" s="13">
        <v>8.0999999999999996E-3</v>
      </c>
      <c r="R91" s="16">
        <v>1</v>
      </c>
      <c r="S91" s="16">
        <v>9</v>
      </c>
      <c r="T91" s="16">
        <v>417</v>
      </c>
      <c r="U91" s="16">
        <v>25</v>
      </c>
      <c r="V91" s="19">
        <f t="shared" si="0"/>
        <v>0.31063720452209659</v>
      </c>
      <c r="W91" s="20">
        <f t="shared" ref="W91:X91" si="103">T91-T90</f>
        <v>-2</v>
      </c>
      <c r="X91" s="20">
        <f t="shared" si="103"/>
        <v>0</v>
      </c>
      <c r="Y91" s="19">
        <f t="shared" si="96"/>
        <v>0.34491315136476425</v>
      </c>
      <c r="Z91" s="19">
        <f t="shared" si="97"/>
        <v>5.9952038369304558E-2</v>
      </c>
      <c r="AA91" s="21">
        <f t="shared" si="18"/>
        <v>0.61538461538461542</v>
      </c>
      <c r="AB91" s="26">
        <f t="shared" si="27"/>
        <v>0.6824993596040303</v>
      </c>
      <c r="AC91" s="23">
        <f t="shared" si="8"/>
        <v>19.428571428571427</v>
      </c>
      <c r="AD91" s="23">
        <f t="shared" si="25"/>
        <v>5.1428571428571432</v>
      </c>
      <c r="AE91" s="23">
        <f t="shared" si="9"/>
        <v>3335.1428571428573</v>
      </c>
      <c r="AF91" s="25">
        <f t="shared" si="13"/>
        <v>6.3285714285714291E-3</v>
      </c>
      <c r="AG91" s="25"/>
      <c r="AH91" s="25"/>
      <c r="AI91" s="25"/>
      <c r="AJ91" s="25"/>
      <c r="AK91" s="25"/>
      <c r="AL91" s="25"/>
      <c r="AM91" s="26">
        <f t="shared" si="21"/>
        <v>63.571428571428569</v>
      </c>
    </row>
    <row r="92" spans="1:39" ht="16">
      <c r="A92" s="15">
        <v>43984</v>
      </c>
      <c r="B92" s="16">
        <v>3921</v>
      </c>
      <c r="C92" s="16">
        <v>29</v>
      </c>
      <c r="D92" s="16">
        <v>532</v>
      </c>
      <c r="E92" s="16">
        <v>2160</v>
      </c>
      <c r="F92" s="16">
        <v>189969</v>
      </c>
      <c r="G92" s="17">
        <f t="shared" si="2"/>
        <v>19384.591836734693</v>
      </c>
      <c r="H92" s="20"/>
      <c r="I92" s="13">
        <v>7.4999999999999997E-3</v>
      </c>
      <c r="J92" s="13">
        <v>2.06E-2</v>
      </c>
      <c r="K92" s="22">
        <v>1.0999999999999999E-2</v>
      </c>
      <c r="L92" s="16">
        <v>1229</v>
      </c>
      <c r="M92" s="13">
        <v>0.13569999999999999</v>
      </c>
      <c r="N92" s="13">
        <v>0.55089999999999995</v>
      </c>
      <c r="O92" s="16">
        <v>11159</v>
      </c>
      <c r="P92" s="16">
        <v>2004</v>
      </c>
      <c r="Q92" s="13">
        <v>1.4500000000000001E-2</v>
      </c>
      <c r="R92" s="16">
        <v>5</v>
      </c>
      <c r="S92" s="16">
        <v>4</v>
      </c>
      <c r="T92" s="16">
        <v>427</v>
      </c>
      <c r="U92" s="16">
        <v>24</v>
      </c>
      <c r="V92" s="19">
        <f t="shared" si="0"/>
        <v>0.31344044886508543</v>
      </c>
      <c r="W92" s="20">
        <f t="shared" ref="W92:X92" si="104">T92-T91</f>
        <v>10</v>
      </c>
      <c r="X92" s="20">
        <f t="shared" si="104"/>
        <v>-1</v>
      </c>
      <c r="Y92" s="19">
        <f t="shared" si="96"/>
        <v>0.34743694060211555</v>
      </c>
      <c r="Z92" s="19">
        <f t="shared" si="97"/>
        <v>5.6206088992974239E-2</v>
      </c>
      <c r="AA92" s="21">
        <f t="shared" si="18"/>
        <v>0.69767441860465118</v>
      </c>
      <c r="AB92" s="26">
        <f t="shared" si="27"/>
        <v>0.6557708961830605</v>
      </c>
      <c r="AC92" s="23">
        <f t="shared" si="8"/>
        <v>21.428571428571427</v>
      </c>
      <c r="AD92" s="23">
        <f t="shared" si="25"/>
        <v>4.7142857142857144</v>
      </c>
      <c r="AE92" s="23">
        <f t="shared" si="9"/>
        <v>3386.5714285714284</v>
      </c>
      <c r="AF92" s="25">
        <f t="shared" si="13"/>
        <v>7.0999999999999995E-3</v>
      </c>
      <c r="AG92" s="25"/>
      <c r="AH92" s="25"/>
      <c r="AI92" s="25"/>
      <c r="AJ92" s="25"/>
      <c r="AK92" s="25"/>
      <c r="AL92" s="25"/>
      <c r="AM92" s="26">
        <f t="shared" si="21"/>
        <v>46.285714285714285</v>
      </c>
    </row>
    <row r="93" spans="1:39" ht="16">
      <c r="A93" s="15">
        <v>43985</v>
      </c>
      <c r="B93" s="16">
        <v>3931</v>
      </c>
      <c r="C93" s="16">
        <v>10</v>
      </c>
      <c r="D93" s="16">
        <v>534</v>
      </c>
      <c r="E93" s="16">
        <v>2190</v>
      </c>
      <c r="F93" s="16">
        <v>191572</v>
      </c>
      <c r="G93" s="17">
        <f t="shared" si="2"/>
        <v>19548.163265306121</v>
      </c>
      <c r="H93" s="20"/>
      <c r="I93" s="13">
        <v>2.5999999999999999E-3</v>
      </c>
      <c r="J93" s="13">
        <v>2.0500000000000001E-2</v>
      </c>
      <c r="K93" s="22">
        <v>8.0000000000000002E-3</v>
      </c>
      <c r="L93" s="16">
        <v>1207</v>
      </c>
      <c r="M93" s="13">
        <v>0.1358</v>
      </c>
      <c r="N93" s="13">
        <v>0.55710000000000004</v>
      </c>
      <c r="O93" s="16">
        <v>11172</v>
      </c>
      <c r="P93" s="16">
        <v>1603</v>
      </c>
      <c r="Q93" s="13">
        <v>6.1999999999999998E-3</v>
      </c>
      <c r="R93" s="16">
        <v>2</v>
      </c>
      <c r="S93" s="16">
        <v>30</v>
      </c>
      <c r="T93" s="16">
        <v>414</v>
      </c>
      <c r="U93" s="16">
        <v>24</v>
      </c>
      <c r="V93" s="19">
        <f t="shared" si="0"/>
        <v>0.30704655303993894</v>
      </c>
      <c r="W93" s="20">
        <f t="shared" ref="W93:X93" si="105">T93-T92</f>
        <v>-13</v>
      </c>
      <c r="X93" s="20">
        <f t="shared" si="105"/>
        <v>0</v>
      </c>
      <c r="Y93" s="19">
        <f t="shared" si="96"/>
        <v>0.34299917149958575</v>
      </c>
      <c r="Z93" s="19">
        <f t="shared" si="97"/>
        <v>5.7971014492753624E-2</v>
      </c>
      <c r="AA93" s="21">
        <f t="shared" si="18"/>
        <v>0.70769230769230773</v>
      </c>
      <c r="AB93" s="26">
        <f t="shared" si="27"/>
        <v>0.64847624530864312</v>
      </c>
      <c r="AC93" s="23">
        <f t="shared" si="8"/>
        <v>19.714285714285715</v>
      </c>
      <c r="AD93" s="23">
        <f t="shared" si="25"/>
        <v>4.1428571428571432</v>
      </c>
      <c r="AE93" s="23">
        <f t="shared" si="9"/>
        <v>3087.4285714285716</v>
      </c>
      <c r="AF93" s="25">
        <f t="shared" si="13"/>
        <v>7.1285714285714286E-3</v>
      </c>
      <c r="AG93" s="25"/>
      <c r="AH93" s="25"/>
      <c r="AI93" s="25"/>
      <c r="AJ93" s="25"/>
      <c r="AK93" s="25"/>
      <c r="AL93" s="25"/>
      <c r="AM93" s="26">
        <f t="shared" si="21"/>
        <v>47.714285714285715</v>
      </c>
    </row>
    <row r="94" spans="1:39" ht="16">
      <c r="A94" s="15">
        <v>43986</v>
      </c>
      <c r="B94" s="16">
        <v>3954</v>
      </c>
      <c r="C94" s="16">
        <v>23</v>
      </c>
      <c r="D94" s="16">
        <v>539</v>
      </c>
      <c r="E94" s="16">
        <v>2205</v>
      </c>
      <c r="F94" s="16">
        <v>195894</v>
      </c>
      <c r="G94" s="17">
        <f t="shared" si="2"/>
        <v>19989.183673469386</v>
      </c>
      <c r="H94" s="20"/>
      <c r="I94" s="13">
        <v>5.8999999999999999E-3</v>
      </c>
      <c r="J94" s="13">
        <v>2.0199999999999999E-2</v>
      </c>
      <c r="K94" s="22">
        <v>2.3E-2</v>
      </c>
      <c r="L94" s="16">
        <v>1210</v>
      </c>
      <c r="M94" s="13">
        <v>0.1363</v>
      </c>
      <c r="N94" s="13">
        <v>0.55769999999999997</v>
      </c>
      <c r="O94" s="16">
        <v>10985</v>
      </c>
      <c r="P94" s="16">
        <v>4322</v>
      </c>
      <c r="Q94" s="13">
        <v>5.3E-3</v>
      </c>
      <c r="R94" s="16">
        <v>5</v>
      </c>
      <c r="S94" s="16">
        <v>15</v>
      </c>
      <c r="T94" s="16">
        <v>406</v>
      </c>
      <c r="U94" s="16">
        <v>24</v>
      </c>
      <c r="V94" s="19">
        <f t="shared" si="0"/>
        <v>0.30601922104198281</v>
      </c>
      <c r="W94" s="20">
        <f t="shared" ref="W94:X94" si="106">T94-T93</f>
        <v>-8</v>
      </c>
      <c r="X94" s="20">
        <f t="shared" si="106"/>
        <v>0</v>
      </c>
      <c r="Y94" s="19">
        <f t="shared" si="96"/>
        <v>0.33553719008264465</v>
      </c>
      <c r="Z94" s="19">
        <f t="shared" si="97"/>
        <v>5.9113300492610835E-2</v>
      </c>
      <c r="AA94" s="21">
        <f t="shared" si="18"/>
        <v>0.78857142857142859</v>
      </c>
      <c r="AB94" s="26">
        <f t="shared" si="27"/>
        <v>0.66534386592010608</v>
      </c>
      <c r="AC94" s="23">
        <f t="shared" si="8"/>
        <v>19.714285714285715</v>
      </c>
      <c r="AD94" s="23">
        <f t="shared" si="25"/>
        <v>4.2857142857142856</v>
      </c>
      <c r="AE94" s="23">
        <f t="shared" si="9"/>
        <v>3126.1428571428573</v>
      </c>
      <c r="AF94" s="25">
        <f t="shared" si="13"/>
        <v>7.0714285714285705E-3</v>
      </c>
      <c r="AG94" s="25"/>
      <c r="AH94" s="25"/>
      <c r="AI94" s="25"/>
      <c r="AJ94" s="25"/>
      <c r="AK94" s="25"/>
      <c r="AL94" s="25"/>
      <c r="AM94" s="26">
        <f t="shared" si="21"/>
        <v>29.857142857142858</v>
      </c>
    </row>
    <row r="95" spans="1:39" ht="16">
      <c r="A95" s="15">
        <v>43987</v>
      </c>
      <c r="B95" s="16">
        <v>3970</v>
      </c>
      <c r="C95" s="16">
        <v>16</v>
      </c>
      <c r="D95" s="16">
        <v>542</v>
      </c>
      <c r="E95" s="16">
        <v>2245</v>
      </c>
      <c r="F95" s="16">
        <v>202606</v>
      </c>
      <c r="G95" s="17">
        <f t="shared" si="2"/>
        <v>20674.081632653058</v>
      </c>
      <c r="I95" s="13">
        <v>4.0000000000000001E-3</v>
      </c>
      <c r="J95" s="13">
        <v>1.9599999999999999E-2</v>
      </c>
      <c r="K95" s="22">
        <v>3.4000000000000002E-2</v>
      </c>
      <c r="L95" s="16">
        <v>1183</v>
      </c>
      <c r="M95" s="13">
        <v>0.13650000000000001</v>
      </c>
      <c r="N95" s="13">
        <v>0.5655</v>
      </c>
      <c r="O95" s="16">
        <v>9693</v>
      </c>
      <c r="P95" s="16">
        <v>6712</v>
      </c>
      <c r="Q95" s="13">
        <v>2.3999999999999998E-3</v>
      </c>
      <c r="R95" s="16">
        <v>3</v>
      </c>
      <c r="S95" s="16">
        <v>40</v>
      </c>
      <c r="T95" s="16">
        <v>397</v>
      </c>
      <c r="U95" s="16">
        <v>21</v>
      </c>
      <c r="V95" s="19">
        <f t="shared" si="0"/>
        <v>0.29798488664987405</v>
      </c>
      <c r="W95" s="20">
        <f t="shared" ref="W95:X95" si="107">T95-T94</f>
        <v>-9</v>
      </c>
      <c r="X95" s="20">
        <f t="shared" si="107"/>
        <v>-3</v>
      </c>
      <c r="Y95" s="19">
        <f t="shared" si="96"/>
        <v>0.3355874894336433</v>
      </c>
      <c r="Z95" s="19">
        <f t="shared" si="97"/>
        <v>5.2896725440806043E-2</v>
      </c>
      <c r="AA95" s="21">
        <f t="shared" si="18"/>
        <v>0.79141104294478526</v>
      </c>
      <c r="AB95" s="26">
        <f t="shared" si="27"/>
        <v>0.68918529022694186</v>
      </c>
      <c r="AC95" s="23">
        <f t="shared" si="8"/>
        <v>18.428571428571427</v>
      </c>
      <c r="AD95" s="23">
        <f t="shared" si="25"/>
        <v>3.5714285714285716</v>
      </c>
      <c r="AE95" s="23">
        <f t="shared" si="9"/>
        <v>3207.7142857142858</v>
      </c>
      <c r="AF95" s="25">
        <f t="shared" si="13"/>
        <v>6.8285714285714278E-3</v>
      </c>
      <c r="AG95" s="25"/>
      <c r="AH95" s="25"/>
      <c r="AI95" s="25"/>
      <c r="AJ95" s="25"/>
      <c r="AK95" s="25"/>
      <c r="AL95" s="25"/>
      <c r="AM95" s="26">
        <f t="shared" si="21"/>
        <v>31.571428571428573</v>
      </c>
    </row>
    <row r="96" spans="1:39" ht="16">
      <c r="A96" s="15">
        <v>43988</v>
      </c>
      <c r="B96" s="16">
        <v>3990</v>
      </c>
      <c r="C96" s="16">
        <v>20</v>
      </c>
      <c r="D96" s="16">
        <v>545</v>
      </c>
      <c r="E96" s="16">
        <v>2279</v>
      </c>
      <c r="F96" s="16">
        <v>206853</v>
      </c>
      <c r="G96" s="17">
        <f t="shared" si="2"/>
        <v>21107.448979591834</v>
      </c>
      <c r="H96" s="20"/>
      <c r="I96" s="13">
        <v>5.0000000000000001E-3</v>
      </c>
      <c r="J96" s="13">
        <v>1.9300000000000001E-2</v>
      </c>
      <c r="K96" s="22">
        <v>2.1000000000000001E-2</v>
      </c>
      <c r="L96" s="16">
        <v>1166</v>
      </c>
      <c r="M96" s="13">
        <v>0.1366</v>
      </c>
      <c r="N96" s="13">
        <v>0.57120000000000004</v>
      </c>
      <c r="O96" s="16">
        <v>10133</v>
      </c>
      <c r="P96" s="16">
        <v>4247</v>
      </c>
      <c r="Q96" s="13">
        <v>4.7000000000000002E-3</v>
      </c>
      <c r="R96" s="16">
        <v>3</v>
      </c>
      <c r="S96" s="16">
        <v>34</v>
      </c>
      <c r="T96" s="16">
        <v>387</v>
      </c>
      <c r="U96" s="16">
        <v>21</v>
      </c>
      <c r="V96" s="19">
        <f t="shared" si="0"/>
        <v>0.29223057644110273</v>
      </c>
      <c r="W96" s="20">
        <f t="shared" ref="W96:X96" si="108">T96-T95</f>
        <v>-10</v>
      </c>
      <c r="X96" s="20">
        <f t="shared" si="108"/>
        <v>0</v>
      </c>
      <c r="Y96" s="19">
        <f t="shared" si="96"/>
        <v>0.33190394511149229</v>
      </c>
      <c r="Z96" s="19">
        <f t="shared" si="97"/>
        <v>5.4263565891472867E-2</v>
      </c>
      <c r="AA96" s="21">
        <f t="shared" si="18"/>
        <v>0.79870129870129869</v>
      </c>
      <c r="AB96" s="26">
        <f t="shared" si="27"/>
        <v>0.71161880908903208</v>
      </c>
      <c r="AC96" s="23">
        <f t="shared" si="8"/>
        <v>17.571428571428573</v>
      </c>
      <c r="AD96" s="23">
        <f t="shared" si="25"/>
        <v>3</v>
      </c>
      <c r="AE96" s="23">
        <f t="shared" si="9"/>
        <v>3327.2857142857142</v>
      </c>
      <c r="AF96" s="25">
        <f t="shared" si="13"/>
        <v>6.4142857142857144E-3</v>
      </c>
      <c r="AG96" s="25"/>
      <c r="AH96" s="25"/>
      <c r="AI96" s="25"/>
      <c r="AJ96" s="25"/>
      <c r="AK96" s="25"/>
      <c r="AL96" s="25"/>
      <c r="AM96" s="26">
        <f t="shared" si="21"/>
        <v>19.571428571428573</v>
      </c>
    </row>
    <row r="97" spans="1:39" ht="16">
      <c r="A97" s="15">
        <v>43989</v>
      </c>
      <c r="B97" s="16">
        <v>4008</v>
      </c>
      <c r="C97" s="16">
        <v>18</v>
      </c>
      <c r="D97" s="16">
        <v>546</v>
      </c>
      <c r="E97" s="16">
        <v>2279</v>
      </c>
      <c r="F97" s="16">
        <v>210202</v>
      </c>
      <c r="G97" s="17">
        <f t="shared" si="2"/>
        <v>21449.183673469386</v>
      </c>
      <c r="I97" s="13">
        <v>4.4999999999999997E-3</v>
      </c>
      <c r="J97" s="13">
        <v>1.9099999999999999E-2</v>
      </c>
      <c r="K97" s="22">
        <v>1.6E-2</v>
      </c>
      <c r="L97" s="16">
        <v>1183</v>
      </c>
      <c r="M97" s="13">
        <v>0.13619999999999999</v>
      </c>
      <c r="N97" s="13">
        <v>0.56859999999999999</v>
      </c>
      <c r="O97" s="16">
        <v>9916</v>
      </c>
      <c r="P97" s="16">
        <v>3349</v>
      </c>
      <c r="Q97" s="13">
        <v>5.4000000000000003E-3</v>
      </c>
      <c r="R97" s="16">
        <v>1</v>
      </c>
      <c r="S97" s="16">
        <v>0</v>
      </c>
      <c r="T97" s="16">
        <v>386</v>
      </c>
      <c r="U97" s="16">
        <v>21</v>
      </c>
      <c r="V97" s="19">
        <f t="shared" si="0"/>
        <v>0.29515968063872255</v>
      </c>
      <c r="W97" s="20">
        <f t="shared" ref="W97:X97" si="109">T97-T96</f>
        <v>-1</v>
      </c>
      <c r="X97" s="20">
        <f t="shared" si="109"/>
        <v>0</v>
      </c>
      <c r="Y97" s="19">
        <f t="shared" si="96"/>
        <v>0.32628909551986474</v>
      </c>
      <c r="Z97" s="19">
        <f t="shared" si="97"/>
        <v>5.4404145077720206E-2</v>
      </c>
      <c r="AA97" s="21">
        <f t="shared" si="18"/>
        <v>0.97777777777777775</v>
      </c>
      <c r="AB97" s="26">
        <f t="shared" si="27"/>
        <v>0.76817326995383783</v>
      </c>
      <c r="AC97" s="23">
        <f t="shared" si="8"/>
        <v>18.857142857142858</v>
      </c>
      <c r="AD97" s="23">
        <f t="shared" si="25"/>
        <v>2.8571428571428572</v>
      </c>
      <c r="AE97" s="23">
        <f t="shared" si="9"/>
        <v>3460.2857142857142</v>
      </c>
      <c r="AF97" s="25">
        <f t="shared" si="13"/>
        <v>6.6571428571428589E-3</v>
      </c>
      <c r="AG97" s="25"/>
      <c r="AH97" s="25"/>
      <c r="AI97" s="25"/>
      <c r="AJ97" s="25"/>
      <c r="AK97" s="25"/>
      <c r="AL97" s="25"/>
      <c r="AM97" s="26">
        <f t="shared" si="21"/>
        <v>18.857142857142858</v>
      </c>
    </row>
    <row r="98" spans="1:39" ht="16">
      <c r="A98" s="15">
        <v>43990</v>
      </c>
      <c r="B98" s="16">
        <v>4014</v>
      </c>
      <c r="C98" s="16">
        <v>6</v>
      </c>
      <c r="D98" s="16">
        <v>548</v>
      </c>
      <c r="E98" s="16">
        <v>2284</v>
      </c>
      <c r="F98" s="16">
        <v>210749</v>
      </c>
      <c r="G98" s="17">
        <f t="shared" si="2"/>
        <v>21505</v>
      </c>
      <c r="H98" s="20"/>
      <c r="I98" s="13">
        <v>1.5E-3</v>
      </c>
      <c r="J98" s="13">
        <v>1.9E-2</v>
      </c>
      <c r="K98" s="22">
        <v>3.0000000000000001E-3</v>
      </c>
      <c r="L98" s="16">
        <v>1182</v>
      </c>
      <c r="M98" s="13">
        <v>0.13650000000000001</v>
      </c>
      <c r="N98" s="13">
        <v>0.56899999999999995</v>
      </c>
      <c r="O98" s="16">
        <v>9665</v>
      </c>
      <c r="P98" s="16">
        <v>547</v>
      </c>
      <c r="Q98" s="13">
        <v>1.0999999999999999E-2</v>
      </c>
      <c r="R98" s="16">
        <v>1</v>
      </c>
      <c r="S98" s="16">
        <v>5</v>
      </c>
      <c r="T98" s="16">
        <v>385</v>
      </c>
      <c r="U98" s="16">
        <v>21</v>
      </c>
      <c r="V98" s="19">
        <f t="shared" si="0"/>
        <v>0.29446935724962631</v>
      </c>
      <c r="W98" s="20">
        <f t="shared" ref="W98:X98" si="110">T98-T97</f>
        <v>-1</v>
      </c>
      <c r="X98" s="20">
        <f t="shared" si="110"/>
        <v>0</v>
      </c>
      <c r="Y98" s="19">
        <f t="shared" si="96"/>
        <v>0.3257191201353638</v>
      </c>
      <c r="Z98" s="19">
        <f t="shared" si="97"/>
        <v>5.4545454545454543E-2</v>
      </c>
      <c r="AA98" s="21">
        <f t="shared" si="18"/>
        <v>0.8970588235294118</v>
      </c>
      <c r="AB98" s="26">
        <f t="shared" si="27"/>
        <v>0.80841244254595157</v>
      </c>
      <c r="AC98" s="23">
        <f t="shared" si="8"/>
        <v>17.428571428571427</v>
      </c>
      <c r="AD98" s="23">
        <f t="shared" si="25"/>
        <v>2.8571428571428572</v>
      </c>
      <c r="AE98" s="23">
        <f t="shared" si="9"/>
        <v>3254.8571428571427</v>
      </c>
      <c r="AF98" s="25">
        <f t="shared" si="13"/>
        <v>7.0714285714285714E-3</v>
      </c>
      <c r="AG98" s="25"/>
      <c r="AH98" s="25"/>
      <c r="AI98" s="25"/>
      <c r="AJ98" s="25"/>
      <c r="AK98" s="25"/>
      <c r="AL98" s="25"/>
      <c r="AM98" s="26">
        <f t="shared" si="21"/>
        <v>18.285714285714285</v>
      </c>
    </row>
    <row r="99" spans="1:39" ht="16">
      <c r="A99" s="15">
        <v>43991</v>
      </c>
      <c r="B99" s="16">
        <v>4017</v>
      </c>
      <c r="C99" s="16">
        <v>3</v>
      </c>
      <c r="D99" s="16">
        <v>550</v>
      </c>
      <c r="E99" s="16">
        <v>2324</v>
      </c>
      <c r="F99" s="16">
        <v>214468</v>
      </c>
      <c r="G99" s="17">
        <f t="shared" si="2"/>
        <v>21884.489795918365</v>
      </c>
      <c r="H99" s="20"/>
      <c r="I99" s="13">
        <v>6.9999999999999999E-4</v>
      </c>
      <c r="J99" s="13">
        <v>1.8700000000000001E-2</v>
      </c>
      <c r="K99" s="22">
        <v>1.7999999999999999E-2</v>
      </c>
      <c r="L99" s="16">
        <v>1143</v>
      </c>
      <c r="M99" s="13">
        <v>0.13689999999999999</v>
      </c>
      <c r="N99" s="13">
        <v>0.57850000000000001</v>
      </c>
      <c r="P99" s="16">
        <v>3719</v>
      </c>
      <c r="Q99" s="13">
        <v>8.0000000000000004E-4</v>
      </c>
      <c r="R99" s="16">
        <v>2</v>
      </c>
      <c r="S99" s="16">
        <v>40</v>
      </c>
      <c r="T99" s="16">
        <v>365</v>
      </c>
      <c r="U99" s="16">
        <v>20</v>
      </c>
      <c r="V99" s="19">
        <f t="shared" si="0"/>
        <v>0.28454070201643017</v>
      </c>
      <c r="W99" s="20">
        <f t="shared" ref="W99:X99" si="111">T99-T98</f>
        <v>-20</v>
      </c>
      <c r="X99" s="20">
        <f t="shared" si="111"/>
        <v>-1</v>
      </c>
      <c r="Y99" s="19">
        <f t="shared" si="96"/>
        <v>0.31933508311461067</v>
      </c>
      <c r="Z99" s="19">
        <f t="shared" si="97"/>
        <v>5.4794520547945202E-2</v>
      </c>
      <c r="AA99" s="21">
        <f t="shared" si="18"/>
        <v>0.64</v>
      </c>
      <c r="AB99" s="26">
        <f t="shared" si="27"/>
        <v>0.80017323988814426</v>
      </c>
      <c r="AC99" s="23">
        <f t="shared" si="8"/>
        <v>13.714285714285714</v>
      </c>
      <c r="AD99" s="23">
        <f t="shared" si="25"/>
        <v>2.4285714285714284</v>
      </c>
      <c r="AE99" s="23">
        <f t="shared" si="9"/>
        <v>3499.8571428571427</v>
      </c>
      <c r="AF99" s="25">
        <f t="shared" si="13"/>
        <v>5.1142857142857153E-3</v>
      </c>
      <c r="AG99" s="25"/>
      <c r="AH99" s="25"/>
      <c r="AI99" s="25"/>
      <c r="AJ99" s="25"/>
      <c r="AK99" s="25"/>
      <c r="AL99" s="25"/>
      <c r="AM99" s="26">
        <f t="shared" si="21"/>
        <v>23.428571428571427</v>
      </c>
    </row>
    <row r="100" spans="1:39" ht="16">
      <c r="A100" s="15">
        <v>43992</v>
      </c>
      <c r="B100" s="16">
        <v>4027</v>
      </c>
      <c r="C100" s="16">
        <v>10</v>
      </c>
      <c r="D100" s="16">
        <v>551</v>
      </c>
      <c r="E100" s="16">
        <v>2355</v>
      </c>
      <c r="F100" s="16">
        <v>217689</v>
      </c>
      <c r="G100" s="17">
        <f t="shared" si="2"/>
        <v>22213.163265306121</v>
      </c>
      <c r="H100" s="18"/>
      <c r="I100" s="13">
        <v>2.5000000000000001E-3</v>
      </c>
      <c r="J100" s="13">
        <v>1.8499999999999999E-2</v>
      </c>
      <c r="K100" s="22">
        <v>1.4999999999999999E-2</v>
      </c>
      <c r="L100" s="16">
        <v>1121</v>
      </c>
      <c r="M100" s="13">
        <v>0.1368</v>
      </c>
      <c r="N100" s="13">
        <v>0.58479999999999999</v>
      </c>
      <c r="O100" s="16">
        <v>8805</v>
      </c>
      <c r="P100" s="16">
        <v>3221</v>
      </c>
      <c r="Q100" s="13">
        <v>3.0999999999999999E-3</v>
      </c>
      <c r="R100" s="16">
        <v>1</v>
      </c>
      <c r="S100" s="16">
        <v>31</v>
      </c>
      <c r="T100" s="16">
        <v>344</v>
      </c>
      <c r="U100" s="16">
        <v>20</v>
      </c>
      <c r="V100" s="19">
        <f t="shared" si="0"/>
        <v>0.27837099577849517</v>
      </c>
      <c r="W100" s="20">
        <f t="shared" ref="W100:X100" si="112">T100-T99</f>
        <v>-21</v>
      </c>
      <c r="X100" s="20">
        <f t="shared" si="112"/>
        <v>0</v>
      </c>
      <c r="Y100" s="19">
        <f t="shared" si="96"/>
        <v>0.30686886708296163</v>
      </c>
      <c r="Z100" s="19">
        <f t="shared" si="97"/>
        <v>5.8139534883720929E-2</v>
      </c>
      <c r="AA100" s="21">
        <f t="shared" si="18"/>
        <v>0.69565217391304346</v>
      </c>
      <c r="AB100" s="26">
        <f t="shared" si="27"/>
        <v>0.7984532207768209</v>
      </c>
      <c r="AC100" s="23">
        <f t="shared" si="8"/>
        <v>13.714285714285714</v>
      </c>
      <c r="AD100" s="23">
        <f t="shared" si="25"/>
        <v>2.2857142857142856</v>
      </c>
      <c r="AE100" s="23">
        <f t="shared" si="9"/>
        <v>3731</v>
      </c>
      <c r="AF100" s="25">
        <f t="shared" si="13"/>
        <v>4.6714285714285712E-3</v>
      </c>
      <c r="AG100" s="25"/>
      <c r="AH100" s="25"/>
      <c r="AI100" s="25"/>
      <c r="AJ100" s="25"/>
      <c r="AK100" s="25"/>
      <c r="AL100" s="25"/>
      <c r="AM100" s="26">
        <f t="shared" si="21"/>
        <v>23.571428571428573</v>
      </c>
    </row>
    <row r="101" spans="1:39" ht="16">
      <c r="A101" s="15">
        <v>43993</v>
      </c>
      <c r="B101" s="16">
        <v>4039</v>
      </c>
      <c r="C101" s="16">
        <v>12</v>
      </c>
      <c r="D101" s="16">
        <v>553</v>
      </c>
      <c r="E101" s="16">
        <v>2391</v>
      </c>
      <c r="F101" s="16">
        <v>222247</v>
      </c>
      <c r="G101" s="17">
        <f t="shared" si="2"/>
        <v>22678.265306122448</v>
      </c>
      <c r="H101" s="20"/>
      <c r="I101" s="13">
        <v>3.0000000000000001E-3</v>
      </c>
      <c r="J101" s="13">
        <v>1.8200000000000001E-2</v>
      </c>
      <c r="K101" s="22">
        <v>2.1000000000000001E-2</v>
      </c>
      <c r="L101" s="16">
        <v>1095</v>
      </c>
      <c r="M101" s="13">
        <v>0.13689999999999999</v>
      </c>
      <c r="N101" s="13">
        <v>0.59199999999999997</v>
      </c>
      <c r="O101" s="16">
        <v>9167</v>
      </c>
      <c r="P101" s="16">
        <v>4558</v>
      </c>
      <c r="Q101" s="13">
        <v>2.5999999999999999E-3</v>
      </c>
      <c r="R101" s="16">
        <v>2</v>
      </c>
      <c r="S101" s="16">
        <v>36</v>
      </c>
      <c r="T101" s="16">
        <v>321</v>
      </c>
      <c r="U101" s="16">
        <v>19</v>
      </c>
      <c r="V101" s="19">
        <f t="shared" si="0"/>
        <v>0.27110670958157962</v>
      </c>
      <c r="W101" s="20">
        <f t="shared" ref="W101:X101" si="113">T101-T100</f>
        <v>-23</v>
      </c>
      <c r="X101" s="20">
        <f t="shared" si="113"/>
        <v>-1</v>
      </c>
      <c r="Y101" s="19">
        <f t="shared" si="96"/>
        <v>0.29315068493150687</v>
      </c>
      <c r="Z101" s="19">
        <f t="shared" si="97"/>
        <v>5.9190031152647975E-2</v>
      </c>
      <c r="AA101" s="21">
        <f t="shared" si="18"/>
        <v>0.61594202898550721</v>
      </c>
      <c r="AB101" s="26">
        <f t="shared" si="27"/>
        <v>0.77379187797883187</v>
      </c>
      <c r="AC101" s="23">
        <f t="shared" si="8"/>
        <v>12.142857142857142</v>
      </c>
      <c r="AD101" s="23">
        <f t="shared" si="25"/>
        <v>1.8571428571428572</v>
      </c>
      <c r="AE101" s="23">
        <f t="shared" si="9"/>
        <v>3764.7142857142858</v>
      </c>
      <c r="AF101" s="25">
        <f t="shared" si="13"/>
        <v>4.2857142857142859E-3</v>
      </c>
      <c r="AG101" s="25"/>
      <c r="AH101" s="25"/>
      <c r="AI101" s="25"/>
      <c r="AJ101" s="25"/>
      <c r="AK101" s="25"/>
      <c r="AL101" s="25"/>
      <c r="AM101" s="26">
        <f t="shared" si="21"/>
        <v>26.571428571428573</v>
      </c>
    </row>
    <row r="102" spans="1:39" ht="16">
      <c r="A102" s="15">
        <v>43994</v>
      </c>
      <c r="B102" s="16">
        <v>4053</v>
      </c>
      <c r="C102" s="16">
        <v>14</v>
      </c>
      <c r="D102" s="16">
        <v>555</v>
      </c>
      <c r="E102" s="16">
        <v>2447</v>
      </c>
      <c r="F102" s="16">
        <v>226669</v>
      </c>
      <c r="G102" s="17">
        <f t="shared" si="2"/>
        <v>23129.489795918365</v>
      </c>
      <c r="H102" s="20"/>
      <c r="I102" s="13">
        <v>3.5000000000000001E-3</v>
      </c>
      <c r="J102" s="13">
        <v>1.7899999999999999E-2</v>
      </c>
      <c r="K102" s="22">
        <v>0.02</v>
      </c>
      <c r="L102" s="16">
        <v>1051</v>
      </c>
      <c r="M102" s="13">
        <v>0.13689999999999999</v>
      </c>
      <c r="N102" s="13">
        <v>0.6038</v>
      </c>
      <c r="O102" s="16">
        <v>8834</v>
      </c>
      <c r="P102" s="16">
        <v>4422</v>
      </c>
      <c r="Q102" s="13">
        <v>3.2000000000000002E-3</v>
      </c>
      <c r="R102" s="16">
        <v>2</v>
      </c>
      <c r="S102" s="16">
        <v>56</v>
      </c>
      <c r="T102" s="16">
        <v>290</v>
      </c>
      <c r="U102" s="16">
        <v>20</v>
      </c>
      <c r="V102" s="19">
        <f t="shared" si="0"/>
        <v>0.25931408832963238</v>
      </c>
      <c r="W102" s="20">
        <f t="shared" ref="W102:X102" si="114">T102-T101</f>
        <v>-31</v>
      </c>
      <c r="X102" s="20">
        <f t="shared" si="114"/>
        <v>1</v>
      </c>
      <c r="Y102" s="19">
        <f t="shared" si="96"/>
        <v>0.2759276879162702</v>
      </c>
      <c r="Z102" s="19">
        <f t="shared" si="97"/>
        <v>6.8965517241379309E-2</v>
      </c>
      <c r="AA102" s="21">
        <f t="shared" si="18"/>
        <v>0.64341085271317833</v>
      </c>
      <c r="AB102" s="26">
        <f t="shared" si="27"/>
        <v>0.75264899366003113</v>
      </c>
      <c r="AC102" s="23">
        <f t="shared" si="8"/>
        <v>11.857142857142858</v>
      </c>
      <c r="AD102" s="23">
        <f t="shared" si="25"/>
        <v>1.7142857142857142</v>
      </c>
      <c r="AE102" s="23">
        <f t="shared" si="9"/>
        <v>3437.5714285714284</v>
      </c>
      <c r="AF102" s="25">
        <f t="shared" si="13"/>
        <v>4.4000000000000003E-3</v>
      </c>
      <c r="AG102" s="25"/>
      <c r="AH102" s="25"/>
      <c r="AI102" s="25"/>
      <c r="AJ102" s="25"/>
      <c r="AK102" s="25"/>
      <c r="AL102" s="25"/>
      <c r="AM102" s="26">
        <f t="shared" si="21"/>
        <v>28.857142857142858</v>
      </c>
    </row>
    <row r="103" spans="1:39" ht="16">
      <c r="A103" s="15">
        <v>43995</v>
      </c>
      <c r="B103" s="16">
        <v>4064</v>
      </c>
      <c r="C103" s="16">
        <v>11</v>
      </c>
      <c r="D103" s="16">
        <v>559</v>
      </c>
      <c r="E103" s="16">
        <v>2476</v>
      </c>
      <c r="F103" s="16">
        <v>230169</v>
      </c>
      <c r="G103" s="17">
        <f t="shared" si="2"/>
        <v>23486.632653061224</v>
      </c>
      <c r="H103" s="20"/>
      <c r="I103" s="13">
        <v>2.7000000000000001E-3</v>
      </c>
      <c r="J103" s="13">
        <v>1.77E-2</v>
      </c>
      <c r="K103" s="22">
        <v>1.4999999999999999E-2</v>
      </c>
      <c r="L103" s="16">
        <v>1029</v>
      </c>
      <c r="M103" s="13">
        <v>0.13750000000000001</v>
      </c>
      <c r="N103" s="13">
        <v>0.60929999999999995</v>
      </c>
      <c r="O103" s="16"/>
      <c r="P103" s="16">
        <v>3500</v>
      </c>
      <c r="Q103" s="13">
        <v>3.0999999999999999E-3</v>
      </c>
      <c r="R103" s="16">
        <v>4</v>
      </c>
      <c r="S103" s="16">
        <v>29</v>
      </c>
      <c r="T103" s="16">
        <v>283</v>
      </c>
      <c r="U103" s="16">
        <v>20</v>
      </c>
      <c r="V103" s="19">
        <f t="shared" si="0"/>
        <v>0.25319881889763779</v>
      </c>
      <c r="W103" s="20">
        <f t="shared" ref="W103:X103" si="115">T103-T102</f>
        <v>-7</v>
      </c>
      <c r="X103" s="20">
        <f t="shared" si="115"/>
        <v>0</v>
      </c>
      <c r="Y103" s="19">
        <f t="shared" si="96"/>
        <v>0.27502429543245871</v>
      </c>
      <c r="Z103" s="19">
        <f t="shared" si="97"/>
        <v>7.0671378091872794E-2</v>
      </c>
      <c r="AA103" s="21">
        <f t="shared" si="18"/>
        <v>0.60162601626016265</v>
      </c>
      <c r="AB103" s="26">
        <f t="shared" si="27"/>
        <v>0.72449538188272589</v>
      </c>
      <c r="AC103" s="23">
        <f t="shared" si="8"/>
        <v>10.571428571428571</v>
      </c>
      <c r="AD103" s="23">
        <f t="shared" si="25"/>
        <v>1.8571428571428572</v>
      </c>
      <c r="AE103" s="23">
        <f t="shared" si="9"/>
        <v>3330.8571428571427</v>
      </c>
      <c r="AF103" s="25">
        <f t="shared" si="13"/>
        <v>4.1714285714285707E-3</v>
      </c>
      <c r="AG103" s="25"/>
      <c r="AH103" s="25"/>
      <c r="AI103" s="25"/>
      <c r="AJ103" s="25"/>
      <c r="AK103" s="25"/>
      <c r="AL103" s="25"/>
      <c r="AM103" s="26">
        <f t="shared" si="21"/>
        <v>28.142857142857142</v>
      </c>
    </row>
    <row r="104" spans="1:39" ht="16">
      <c r="A104" s="15">
        <v>43996</v>
      </c>
      <c r="B104" s="16">
        <v>4069</v>
      </c>
      <c r="C104" s="16">
        <v>5</v>
      </c>
      <c r="D104" s="16">
        <v>562</v>
      </c>
      <c r="E104" s="16">
        <v>2482</v>
      </c>
      <c r="F104" s="16">
        <v>233742</v>
      </c>
      <c r="G104" s="17">
        <f t="shared" si="2"/>
        <v>23851.224489795917</v>
      </c>
      <c r="H104" s="20"/>
      <c r="I104" s="13">
        <v>1.1999999999999999E-3</v>
      </c>
      <c r="J104" s="13">
        <v>1.7399999999999999E-2</v>
      </c>
      <c r="K104" s="22">
        <v>1.6E-2</v>
      </c>
      <c r="L104" s="16">
        <v>1025</v>
      </c>
      <c r="M104" s="13">
        <v>0.1381</v>
      </c>
      <c r="N104" s="13">
        <v>0.61</v>
      </c>
      <c r="O104" s="16">
        <v>7287</v>
      </c>
      <c r="P104" s="16">
        <v>3573</v>
      </c>
      <c r="Q104" s="13">
        <v>1.4E-3</v>
      </c>
      <c r="R104" s="16">
        <v>3</v>
      </c>
      <c r="S104" s="16">
        <v>6</v>
      </c>
      <c r="T104" s="16">
        <v>275</v>
      </c>
      <c r="U104" s="16">
        <v>20</v>
      </c>
      <c r="V104" s="19">
        <f t="shared" si="0"/>
        <v>0.25190464487589087</v>
      </c>
      <c r="W104" s="20">
        <f t="shared" ref="W104:X104" si="116">T104-T103</f>
        <v>-8</v>
      </c>
      <c r="X104" s="20">
        <f t="shared" si="116"/>
        <v>0</v>
      </c>
      <c r="Y104" s="19">
        <f t="shared" si="96"/>
        <v>0.26829268292682928</v>
      </c>
      <c r="Z104" s="19">
        <f t="shared" si="97"/>
        <v>7.2727272727272724E-2</v>
      </c>
      <c r="AA104" s="21">
        <f t="shared" si="18"/>
        <v>0.4621212121212121</v>
      </c>
      <c r="AB104" s="26">
        <f t="shared" si="27"/>
        <v>0.65083015821750223</v>
      </c>
      <c r="AC104" s="23">
        <f t="shared" si="8"/>
        <v>8.7142857142857135</v>
      </c>
      <c r="AD104" s="23">
        <f t="shared" si="25"/>
        <v>2.1428571428571428</v>
      </c>
      <c r="AE104" s="23">
        <f t="shared" si="9"/>
        <v>3362.8571428571427</v>
      </c>
      <c r="AF104" s="25">
        <f t="shared" si="13"/>
        <v>3.5999999999999999E-3</v>
      </c>
      <c r="AG104" s="25"/>
      <c r="AH104" s="25"/>
      <c r="AI104" s="25"/>
      <c r="AJ104" s="25"/>
      <c r="AK104" s="25"/>
      <c r="AL104" s="25"/>
      <c r="AM104" s="26">
        <f t="shared" si="21"/>
        <v>29</v>
      </c>
    </row>
    <row r="105" spans="1:39" ht="16">
      <c r="A105" s="15">
        <v>43997</v>
      </c>
      <c r="B105" s="16">
        <v>4076</v>
      </c>
      <c r="C105" s="16">
        <v>7</v>
      </c>
      <c r="D105" s="16">
        <v>563</v>
      </c>
      <c r="E105" s="16">
        <v>2485</v>
      </c>
      <c r="F105" s="16">
        <v>235377</v>
      </c>
      <c r="G105" s="17">
        <f t="shared" si="2"/>
        <v>24018.061224489793</v>
      </c>
      <c r="H105" s="20"/>
      <c r="I105" s="13">
        <v>1.6999999999999999E-3</v>
      </c>
      <c r="J105" s="13">
        <v>1.7299999999999999E-2</v>
      </c>
      <c r="K105" s="22">
        <v>7.0000000000000001E-3</v>
      </c>
      <c r="L105" s="16">
        <v>1028</v>
      </c>
      <c r="M105" s="13">
        <v>0.1381</v>
      </c>
      <c r="N105" s="13">
        <v>0.60970000000000002</v>
      </c>
      <c r="O105" s="16">
        <v>7707</v>
      </c>
      <c r="P105" s="16">
        <v>1635</v>
      </c>
      <c r="Q105" s="13">
        <v>4.3E-3</v>
      </c>
      <c r="R105" s="16">
        <v>1</v>
      </c>
      <c r="S105" s="16">
        <v>3</v>
      </c>
      <c r="T105" s="16">
        <v>275</v>
      </c>
      <c r="U105" s="16">
        <v>19</v>
      </c>
      <c r="V105" s="19">
        <f t="shared" si="0"/>
        <v>0.25220804710500488</v>
      </c>
      <c r="W105" s="20">
        <f t="shared" ref="W105:X105" si="117">T105-T104</f>
        <v>0</v>
      </c>
      <c r="X105" s="20">
        <f t="shared" si="117"/>
        <v>-1</v>
      </c>
      <c r="Y105" s="19">
        <f t="shared" si="96"/>
        <v>0.26750972762645914</v>
      </c>
      <c r="Z105" s="19">
        <f t="shared" si="97"/>
        <v>6.9090909090909092E-2</v>
      </c>
      <c r="AA105" s="21">
        <f t="shared" si="18"/>
        <v>0.50819672131147542</v>
      </c>
      <c r="AB105" s="26">
        <f t="shared" si="27"/>
        <v>0.59527842932922559</v>
      </c>
      <c r="AC105" s="23">
        <f t="shared" si="8"/>
        <v>8.8571428571428577</v>
      </c>
      <c r="AD105" s="23">
        <f t="shared" si="25"/>
        <v>2.1428571428571428</v>
      </c>
      <c r="AE105" s="23">
        <f t="shared" si="9"/>
        <v>3518.2857142857142</v>
      </c>
      <c r="AF105" s="25">
        <f t="shared" si="13"/>
        <v>2.6428571428571434E-3</v>
      </c>
      <c r="AG105" s="25"/>
      <c r="AH105" s="25"/>
      <c r="AI105" s="25"/>
      <c r="AJ105" s="25"/>
      <c r="AK105" s="25"/>
      <c r="AL105" s="25"/>
      <c r="AM105" s="26">
        <f t="shared" si="21"/>
        <v>28.714285714285715</v>
      </c>
    </row>
    <row r="106" spans="1:39" ht="16">
      <c r="A106" s="15">
        <v>43998</v>
      </c>
      <c r="B106" s="16">
        <v>4077</v>
      </c>
      <c r="C106" s="16">
        <v>1</v>
      </c>
      <c r="D106" s="16">
        <v>565</v>
      </c>
      <c r="E106" s="16">
        <v>2516</v>
      </c>
      <c r="F106" s="16">
        <v>236828</v>
      </c>
      <c r="G106" s="17">
        <f t="shared" si="2"/>
        <v>24166.12244897959</v>
      </c>
      <c r="H106" s="20"/>
      <c r="I106" s="13">
        <v>2.0000000000000001E-4</v>
      </c>
      <c r="J106" s="13">
        <v>1.72E-2</v>
      </c>
      <c r="K106" s="22">
        <v>6.0000000000000001E-3</v>
      </c>
      <c r="L106" s="16">
        <v>996</v>
      </c>
      <c r="M106" s="13">
        <v>0.1386</v>
      </c>
      <c r="N106" s="13">
        <v>0.61709999999999998</v>
      </c>
      <c r="O106" s="16">
        <v>7545</v>
      </c>
      <c r="P106" s="16">
        <v>1451</v>
      </c>
      <c r="Q106" s="13">
        <v>6.9999999999999999E-4</v>
      </c>
      <c r="R106" s="16">
        <v>2</v>
      </c>
      <c r="S106" s="16">
        <v>31</v>
      </c>
      <c r="T106" s="16">
        <v>255</v>
      </c>
      <c r="U106" s="16">
        <v>17</v>
      </c>
      <c r="V106" s="19">
        <f t="shared" si="0"/>
        <v>0.24429727740986018</v>
      </c>
      <c r="W106" s="20">
        <f t="shared" ref="W106:X106" si="118">T106-T105</f>
        <v>-20</v>
      </c>
      <c r="X106" s="20">
        <f t="shared" si="118"/>
        <v>-2</v>
      </c>
      <c r="Y106" s="19">
        <f t="shared" si="96"/>
        <v>0.25602409638554219</v>
      </c>
      <c r="Z106" s="19">
        <f t="shared" si="97"/>
        <v>6.6666666666666666E-2</v>
      </c>
      <c r="AA106" s="21">
        <f t="shared" si="18"/>
        <v>0.625</v>
      </c>
      <c r="AB106" s="26">
        <f t="shared" si="27"/>
        <v>0.59313557218636848</v>
      </c>
      <c r="AC106" s="23">
        <f t="shared" si="8"/>
        <v>8.5714285714285712</v>
      </c>
      <c r="AD106" s="23">
        <f t="shared" si="25"/>
        <v>2.1428571428571428</v>
      </c>
      <c r="AE106" s="23">
        <f t="shared" si="9"/>
        <v>3194.2857142857142</v>
      </c>
      <c r="AF106" s="25">
        <f t="shared" si="13"/>
        <v>2.6285714285714285E-3</v>
      </c>
      <c r="AG106" s="25"/>
      <c r="AH106" s="25"/>
      <c r="AI106" s="25"/>
      <c r="AJ106" s="25"/>
      <c r="AK106" s="25"/>
      <c r="AL106" s="25"/>
      <c r="AM106" s="26">
        <f t="shared" si="21"/>
        <v>27.428571428571427</v>
      </c>
    </row>
    <row r="107" spans="1:39" ht="16">
      <c r="A107" s="15">
        <v>43999</v>
      </c>
      <c r="B107" s="16">
        <v>4078</v>
      </c>
      <c r="C107" s="16">
        <v>1</v>
      </c>
      <c r="D107" s="16">
        <v>567</v>
      </c>
      <c r="E107" s="16">
        <v>2547</v>
      </c>
      <c r="F107" s="16">
        <v>242139</v>
      </c>
      <c r="G107" s="17">
        <f t="shared" si="2"/>
        <v>24708.061224489793</v>
      </c>
      <c r="H107" s="20"/>
      <c r="I107" s="13">
        <v>2.0000000000000001E-4</v>
      </c>
      <c r="J107" s="13">
        <v>1.6799999999999999E-2</v>
      </c>
      <c r="K107" s="22">
        <v>2.1999999999999999E-2</v>
      </c>
      <c r="L107" s="16">
        <v>964</v>
      </c>
      <c r="M107" s="13">
        <v>0.13900000000000001</v>
      </c>
      <c r="N107" s="13">
        <v>0.62460000000000004</v>
      </c>
      <c r="O107" s="16">
        <v>7092</v>
      </c>
      <c r="P107" s="16">
        <v>5311</v>
      </c>
      <c r="Q107" s="13">
        <v>2.0000000000000001E-4</v>
      </c>
      <c r="R107" s="16">
        <v>2</v>
      </c>
      <c r="S107" s="16">
        <v>31</v>
      </c>
      <c r="T107" s="16">
        <v>210</v>
      </c>
      <c r="U107" s="16">
        <v>16</v>
      </c>
      <c r="V107" s="19">
        <f t="shared" si="0"/>
        <v>0.23639038744482591</v>
      </c>
      <c r="W107" s="20">
        <f t="shared" ref="W107:X107" si="119">T107-T106</f>
        <v>-45</v>
      </c>
      <c r="X107" s="20">
        <f t="shared" si="119"/>
        <v>-1</v>
      </c>
      <c r="Y107" s="19">
        <f t="shared" si="96"/>
        <v>0.21784232365145229</v>
      </c>
      <c r="Z107" s="19">
        <f t="shared" si="97"/>
        <v>7.6190476190476197E-2</v>
      </c>
      <c r="AA107" s="21">
        <f t="shared" si="18"/>
        <v>0.53125</v>
      </c>
      <c r="AB107" s="26">
        <f t="shared" si="27"/>
        <v>0.56964954734164785</v>
      </c>
      <c r="AC107" s="23">
        <f t="shared" si="8"/>
        <v>7.2857142857142856</v>
      </c>
      <c r="AD107" s="23">
        <f t="shared" si="25"/>
        <v>2.2857142857142856</v>
      </c>
      <c r="AE107" s="23">
        <f t="shared" si="9"/>
        <v>3492.8571428571427</v>
      </c>
      <c r="AF107" s="25">
        <f t="shared" si="13"/>
        <v>2.2142857142857142E-3</v>
      </c>
      <c r="AG107" s="25"/>
      <c r="AH107" s="25"/>
      <c r="AI107" s="25"/>
      <c r="AJ107" s="25"/>
      <c r="AK107" s="25"/>
      <c r="AL107" s="25"/>
      <c r="AM107" s="26">
        <f t="shared" si="21"/>
        <v>27.428571428571427</v>
      </c>
    </row>
    <row r="108" spans="1:39" ht="16">
      <c r="A108" s="15">
        <v>44000</v>
      </c>
      <c r="B108" s="16">
        <v>4079</v>
      </c>
      <c r="C108" s="16">
        <v>1</v>
      </c>
      <c r="D108" s="16">
        <v>568</v>
      </c>
      <c r="E108" s="16">
        <v>2564</v>
      </c>
      <c r="F108" s="16">
        <v>245598</v>
      </c>
      <c r="G108" s="17">
        <f t="shared" si="2"/>
        <v>25061.020408163262</v>
      </c>
      <c r="H108" s="20"/>
      <c r="I108" s="13">
        <v>2.0000000000000001E-4</v>
      </c>
      <c r="J108" s="13">
        <v>1.66E-2</v>
      </c>
      <c r="K108" s="22">
        <v>1.4E-2</v>
      </c>
      <c r="L108" s="16">
        <v>947</v>
      </c>
      <c r="M108" s="13">
        <v>0.13919999999999999</v>
      </c>
      <c r="N108" s="13">
        <v>0.62860000000000005</v>
      </c>
      <c r="O108" s="16">
        <v>6310</v>
      </c>
      <c r="P108" s="16">
        <v>3459</v>
      </c>
      <c r="Q108" s="13">
        <v>2.9999999999999997E-4</v>
      </c>
      <c r="R108" s="16">
        <v>1</v>
      </c>
      <c r="S108" s="16">
        <v>17</v>
      </c>
      <c r="T108" s="16">
        <v>199</v>
      </c>
      <c r="U108" s="16">
        <v>15</v>
      </c>
      <c r="V108" s="19">
        <f t="shared" si="0"/>
        <v>0.23216474626133857</v>
      </c>
      <c r="W108" s="20">
        <f t="shared" ref="W108:X108" si="120">T108-T107</f>
        <v>-11</v>
      </c>
      <c r="X108" s="20">
        <f t="shared" si="120"/>
        <v>-1</v>
      </c>
      <c r="Y108" s="19">
        <f t="shared" si="96"/>
        <v>0.21013727560718057</v>
      </c>
      <c r="Z108" s="19">
        <f t="shared" si="97"/>
        <v>7.5376884422110546E-2</v>
      </c>
      <c r="AA108" s="21">
        <f t="shared" si="18"/>
        <v>0.47058823529411764</v>
      </c>
      <c r="AB108" s="26">
        <f t="shared" si="27"/>
        <v>0.54888471967144947</v>
      </c>
      <c r="AC108" s="23">
        <f t="shared" si="8"/>
        <v>5.7142857142857144</v>
      </c>
      <c r="AD108" s="23">
        <f t="shared" si="25"/>
        <v>2.1428571428571428</v>
      </c>
      <c r="AE108" s="23">
        <f t="shared" si="9"/>
        <v>3335.8571428571427</v>
      </c>
      <c r="AF108" s="25">
        <f t="shared" si="13"/>
        <v>1.8857142857142857E-3</v>
      </c>
      <c r="AG108" s="25"/>
      <c r="AH108" s="25"/>
      <c r="AI108" s="25"/>
      <c r="AJ108" s="25"/>
      <c r="AK108" s="25"/>
      <c r="AL108" s="25"/>
      <c r="AM108" s="26">
        <f t="shared" si="21"/>
        <v>24.714285714285715</v>
      </c>
    </row>
    <row r="109" spans="1:39" ht="16">
      <c r="A109" s="15">
        <v>44001</v>
      </c>
      <c r="B109" s="16">
        <v>4081</v>
      </c>
      <c r="C109" s="16">
        <v>2</v>
      </c>
      <c r="D109" s="16">
        <v>568</v>
      </c>
      <c r="E109" s="16">
        <v>2581</v>
      </c>
      <c r="F109" s="16">
        <v>249391</v>
      </c>
      <c r="G109" s="17">
        <f t="shared" si="2"/>
        <v>25448.061224489793</v>
      </c>
      <c r="H109" s="20"/>
      <c r="I109" s="13">
        <v>5.0000000000000001E-4</v>
      </c>
      <c r="J109" s="13">
        <v>1.6400000000000001E-2</v>
      </c>
      <c r="K109" s="22">
        <v>1.4999999999999999E-2</v>
      </c>
      <c r="L109" s="16">
        <v>932</v>
      </c>
      <c r="M109" s="13">
        <v>0.13919999999999999</v>
      </c>
      <c r="N109" s="13">
        <v>0.63239999999999996</v>
      </c>
      <c r="O109" s="16">
        <v>3944</v>
      </c>
      <c r="P109" s="16">
        <v>3793</v>
      </c>
      <c r="Q109" s="13">
        <v>5.0000000000000001E-4</v>
      </c>
      <c r="R109" s="16">
        <v>0</v>
      </c>
      <c r="S109" s="16">
        <v>17</v>
      </c>
      <c r="T109" s="16">
        <v>192</v>
      </c>
      <c r="U109" s="16">
        <v>15</v>
      </c>
      <c r="V109" s="19">
        <f t="shared" si="0"/>
        <v>0.22837539818671895</v>
      </c>
      <c r="W109" s="20">
        <f t="shared" ref="W109:X109" si="121">T109-T108</f>
        <v>-7</v>
      </c>
      <c r="X109" s="20">
        <f t="shared" si="121"/>
        <v>0</v>
      </c>
      <c r="Y109" s="19">
        <f t="shared" si="96"/>
        <v>0.20600858369098712</v>
      </c>
      <c r="Z109" s="19">
        <f t="shared" si="97"/>
        <v>7.8125E-2</v>
      </c>
      <c r="AA109" s="21">
        <f t="shared" si="18"/>
        <v>0.33734939759036142</v>
      </c>
      <c r="AB109" s="26">
        <f t="shared" si="27"/>
        <v>0.50516165465390428</v>
      </c>
      <c r="AC109" s="23">
        <f t="shared" si="8"/>
        <v>4</v>
      </c>
      <c r="AD109" s="23">
        <f t="shared" si="25"/>
        <v>1.8571428571428572</v>
      </c>
      <c r="AE109" s="23">
        <f t="shared" si="9"/>
        <v>3246</v>
      </c>
      <c r="AF109" s="25">
        <f t="shared" si="13"/>
        <v>1.4999999999999998E-3</v>
      </c>
      <c r="AG109" s="25"/>
      <c r="AH109" s="25"/>
      <c r="AI109" s="25"/>
      <c r="AJ109" s="25"/>
      <c r="AK109" s="25"/>
      <c r="AL109" s="25"/>
      <c r="AM109" s="26">
        <f t="shared" si="21"/>
        <v>19.142857142857142</v>
      </c>
    </row>
    <row r="110" spans="1:39" ht="16">
      <c r="A110" s="15">
        <v>44002</v>
      </c>
      <c r="B110" s="16">
        <v>4086</v>
      </c>
      <c r="C110" s="16">
        <v>5</v>
      </c>
      <c r="D110" s="16">
        <v>570</v>
      </c>
      <c r="E110" s="16">
        <v>2585</v>
      </c>
      <c r="F110" s="16">
        <v>253100</v>
      </c>
      <c r="G110" s="17">
        <f t="shared" si="2"/>
        <v>25826.530612244896</v>
      </c>
      <c r="H110" s="20"/>
      <c r="I110" s="13">
        <v>1.1999999999999999E-3</v>
      </c>
      <c r="J110" s="13">
        <v>1.61E-2</v>
      </c>
      <c r="K110" s="22">
        <v>1.4999999999999999E-2</v>
      </c>
      <c r="L110" s="16">
        <v>931</v>
      </c>
      <c r="M110" s="13">
        <v>0.13950000000000001</v>
      </c>
      <c r="N110" s="13">
        <v>0.63260000000000005</v>
      </c>
      <c r="P110" s="16">
        <v>3709</v>
      </c>
      <c r="Q110" s="13">
        <v>1.2999999999999999E-3</v>
      </c>
      <c r="R110" s="16">
        <v>2</v>
      </c>
      <c r="S110" s="16">
        <v>4</v>
      </c>
      <c r="T110" s="16">
        <v>186</v>
      </c>
      <c r="U110" s="16">
        <v>15</v>
      </c>
      <c r="V110" s="19">
        <f t="shared" si="0"/>
        <v>0.227851199216838</v>
      </c>
      <c r="W110" s="20">
        <f t="shared" ref="W110:X110" si="122">T110-T109</f>
        <v>-6</v>
      </c>
      <c r="X110" s="20">
        <f t="shared" si="122"/>
        <v>0</v>
      </c>
      <c r="Y110" s="19">
        <f t="shared" si="96"/>
        <v>0.19978517722878625</v>
      </c>
      <c r="Z110" s="19">
        <f t="shared" si="97"/>
        <v>8.0645161290322578E-2</v>
      </c>
      <c r="AA110" s="21">
        <f t="shared" si="18"/>
        <v>0.29729729729729731</v>
      </c>
      <c r="AB110" s="26">
        <f t="shared" si="27"/>
        <v>0.46168612337349479</v>
      </c>
      <c r="AC110" s="23">
        <f t="shared" si="8"/>
        <v>3.1428571428571428</v>
      </c>
      <c r="AD110" s="23">
        <f t="shared" si="25"/>
        <v>1.5714285714285714</v>
      </c>
      <c r="AE110" s="23">
        <f t="shared" si="9"/>
        <v>3275.8571428571427</v>
      </c>
      <c r="AF110" s="25">
        <f t="shared" si="13"/>
        <v>1.2428571428571428E-3</v>
      </c>
      <c r="AG110" s="25"/>
      <c r="AH110" s="25"/>
      <c r="AI110" s="25"/>
      <c r="AJ110" s="25"/>
      <c r="AK110" s="25"/>
      <c r="AL110" s="25"/>
      <c r="AM110" s="26">
        <f t="shared" si="21"/>
        <v>15.571428571428571</v>
      </c>
    </row>
    <row r="111" spans="1:39" ht="16">
      <c r="A111" s="15">
        <v>44003</v>
      </c>
      <c r="B111" s="16">
        <v>4094</v>
      </c>
      <c r="C111" s="16">
        <v>8</v>
      </c>
      <c r="D111" s="16">
        <v>570</v>
      </c>
      <c r="E111" s="16">
        <v>2589</v>
      </c>
      <c r="F111" s="16">
        <v>256326</v>
      </c>
      <c r="G111" s="17">
        <f t="shared" si="2"/>
        <v>26155.714285714283</v>
      </c>
      <c r="H111" s="20"/>
      <c r="I111" s="13">
        <v>2E-3</v>
      </c>
      <c r="J111" s="13">
        <v>1.6E-2</v>
      </c>
      <c r="K111" s="22">
        <v>1.2999999999999999E-2</v>
      </c>
      <c r="L111" s="16">
        <v>935</v>
      </c>
      <c r="M111" s="13">
        <v>0.13919999999999999</v>
      </c>
      <c r="N111" s="13">
        <v>0.63239999999999996</v>
      </c>
      <c r="P111" s="16">
        <v>3226</v>
      </c>
      <c r="Q111" s="13">
        <v>2.5000000000000001E-3</v>
      </c>
      <c r="R111" s="16">
        <v>0</v>
      </c>
      <c r="S111" s="16">
        <v>4</v>
      </c>
      <c r="T111" s="16">
        <v>185</v>
      </c>
      <c r="U111" s="16">
        <v>15</v>
      </c>
      <c r="V111" s="19">
        <f t="shared" si="0"/>
        <v>0.22838299951148022</v>
      </c>
      <c r="W111" s="20">
        <f t="shared" ref="W111:X111" si="123">T111-T110</f>
        <v>-1</v>
      </c>
      <c r="X111" s="20">
        <f t="shared" si="123"/>
        <v>0</v>
      </c>
      <c r="Y111" s="19">
        <f t="shared" si="96"/>
        <v>0.19786096256684493</v>
      </c>
      <c r="Z111" s="19">
        <f t="shared" si="97"/>
        <v>8.1081081081081086E-2</v>
      </c>
      <c r="AA111" s="21">
        <f t="shared" si="18"/>
        <v>0.4098360655737705</v>
      </c>
      <c r="AB111" s="26">
        <f t="shared" si="27"/>
        <v>0.45421681672386033</v>
      </c>
      <c r="AC111" s="23">
        <f t="shared" si="8"/>
        <v>3.5714285714285716</v>
      </c>
      <c r="AD111" s="23">
        <f t="shared" si="25"/>
        <v>1.1428571428571428</v>
      </c>
      <c r="AE111" s="23">
        <f t="shared" si="9"/>
        <v>3226.2857142857142</v>
      </c>
      <c r="AF111" s="25">
        <f t="shared" si="13"/>
        <v>1.4E-3</v>
      </c>
      <c r="AG111" s="25"/>
      <c r="AH111" s="25"/>
      <c r="AI111" s="25"/>
      <c r="AJ111" s="25"/>
      <c r="AK111" s="25"/>
      <c r="AL111" s="25"/>
      <c r="AM111" s="26">
        <f t="shared" si="21"/>
        <v>15.285714285714286</v>
      </c>
    </row>
    <row r="112" spans="1:39" ht="16">
      <c r="A112" s="15">
        <v>44004</v>
      </c>
      <c r="B112" s="16">
        <v>4102</v>
      </c>
      <c r="C112" s="16">
        <v>8</v>
      </c>
      <c r="D112" s="16">
        <v>572</v>
      </c>
      <c r="E112" s="16">
        <v>2590</v>
      </c>
      <c r="F112" s="16">
        <v>258115</v>
      </c>
      <c r="G112" s="17">
        <f t="shared" si="2"/>
        <v>26338.265306122448</v>
      </c>
      <c r="H112" s="20"/>
      <c r="I112" s="13">
        <v>2E-3</v>
      </c>
      <c r="J112" s="13">
        <v>1.5900000000000001E-2</v>
      </c>
      <c r="K112" s="22">
        <v>7.0000000000000001E-3</v>
      </c>
      <c r="L112" s="16">
        <v>940</v>
      </c>
      <c r="M112" s="13">
        <v>0.1394</v>
      </c>
      <c r="N112" s="13">
        <v>0.63139999999999996</v>
      </c>
      <c r="O112" s="16">
        <v>3528</v>
      </c>
      <c r="P112" s="16">
        <v>1789</v>
      </c>
      <c r="Q112" s="13">
        <v>4.4999999999999997E-3</v>
      </c>
      <c r="R112" s="16">
        <v>2</v>
      </c>
      <c r="S112" s="16">
        <v>1</v>
      </c>
      <c r="T112" s="16">
        <v>184</v>
      </c>
      <c r="U112" s="16">
        <v>14</v>
      </c>
      <c r="V112" s="19">
        <f t="shared" si="0"/>
        <v>0.22915650901999024</v>
      </c>
      <c r="W112" s="20">
        <f t="shared" ref="W112:X112" si="124">T112-T111</f>
        <v>-1</v>
      </c>
      <c r="X112" s="20">
        <f t="shared" si="124"/>
        <v>-1</v>
      </c>
      <c r="Y112" s="19">
        <f t="shared" si="96"/>
        <v>0.19574468085106383</v>
      </c>
      <c r="Z112" s="19">
        <f t="shared" si="97"/>
        <v>7.6086956521739135E-2</v>
      </c>
      <c r="AA112" s="21">
        <f t="shared" si="18"/>
        <v>0.41935483870967744</v>
      </c>
      <c r="AB112" s="26">
        <f t="shared" si="27"/>
        <v>0.44152511920931781</v>
      </c>
      <c r="AC112" s="23">
        <f t="shared" si="8"/>
        <v>3.7142857142857144</v>
      </c>
      <c r="AD112" s="23">
        <f t="shared" si="25"/>
        <v>1.2857142857142858</v>
      </c>
      <c r="AE112" s="23">
        <f t="shared" si="9"/>
        <v>3248.2857142857142</v>
      </c>
      <c r="AF112" s="25">
        <f t="shared" si="13"/>
        <v>1.4285714285714284E-3</v>
      </c>
      <c r="AG112" s="25"/>
      <c r="AH112" s="25"/>
      <c r="AI112" s="25"/>
      <c r="AJ112" s="25"/>
      <c r="AK112" s="25"/>
      <c r="AL112" s="25"/>
      <c r="AM112" s="26">
        <f t="shared" si="21"/>
        <v>15</v>
      </c>
    </row>
    <row r="113" spans="1:39" ht="16">
      <c r="A113" s="15">
        <v>44005</v>
      </c>
      <c r="B113" s="16">
        <v>4107</v>
      </c>
      <c r="C113" s="16">
        <v>5</v>
      </c>
      <c r="D113" s="16">
        <v>573</v>
      </c>
      <c r="E113" s="16">
        <v>2600</v>
      </c>
      <c r="F113" s="16">
        <v>258861</v>
      </c>
      <c r="G113" s="17">
        <f t="shared" si="2"/>
        <v>26414.387755102038</v>
      </c>
      <c r="H113" s="20"/>
      <c r="I113" s="13">
        <v>1.1999999999999999E-3</v>
      </c>
      <c r="J113" s="13">
        <v>1.5900000000000001E-2</v>
      </c>
      <c r="K113" s="22">
        <v>3.0000000000000001E-3</v>
      </c>
      <c r="L113" s="16">
        <v>934</v>
      </c>
      <c r="M113" s="13">
        <v>0.13950000000000001</v>
      </c>
      <c r="N113" s="13">
        <v>0.6331</v>
      </c>
      <c r="P113" s="16">
        <v>746</v>
      </c>
      <c r="Q113" s="13">
        <v>6.7000000000000002E-3</v>
      </c>
      <c r="R113" s="16">
        <v>1</v>
      </c>
      <c r="S113" s="16">
        <v>10</v>
      </c>
      <c r="T113" s="16">
        <v>183</v>
      </c>
      <c r="U113" s="16">
        <v>14</v>
      </c>
      <c r="V113" s="19">
        <f t="shared" si="0"/>
        <v>0.22741660579498418</v>
      </c>
      <c r="W113" s="20">
        <f t="shared" ref="W113:X113" si="125">T113-T112</f>
        <v>-1</v>
      </c>
      <c r="X113" s="20">
        <f t="shared" si="125"/>
        <v>0</v>
      </c>
      <c r="Y113" s="19">
        <f t="shared" si="96"/>
        <v>0.19593147751605997</v>
      </c>
      <c r="Z113" s="19">
        <f t="shared" si="97"/>
        <v>7.650273224043716E-2</v>
      </c>
      <c r="AA113" s="21">
        <f t="shared" si="18"/>
        <v>0.5</v>
      </c>
      <c r="AB113" s="26">
        <f t="shared" si="27"/>
        <v>0.42366797635217496</v>
      </c>
      <c r="AC113" s="23">
        <f t="shared" si="8"/>
        <v>4.2857142857142856</v>
      </c>
      <c r="AD113" s="23">
        <f t="shared" si="25"/>
        <v>1.1428571428571428</v>
      </c>
      <c r="AE113" s="23">
        <f t="shared" si="9"/>
        <v>3147.5714285714284</v>
      </c>
      <c r="AF113" s="25">
        <f t="shared" si="13"/>
        <v>2.2857142857142859E-3</v>
      </c>
      <c r="AG113" s="25"/>
      <c r="AH113" s="25"/>
      <c r="AI113" s="25"/>
      <c r="AJ113" s="25"/>
      <c r="AK113" s="25"/>
      <c r="AL113" s="25"/>
      <c r="AM113" s="26">
        <f t="shared" si="21"/>
        <v>12</v>
      </c>
    </row>
    <row r="114" spans="1:39" ht="16">
      <c r="A114" s="15">
        <v>44006</v>
      </c>
      <c r="B114" s="16">
        <v>4114</v>
      </c>
      <c r="C114" s="16">
        <v>7</v>
      </c>
      <c r="D114" s="16">
        <v>576</v>
      </c>
      <c r="E114" s="16">
        <v>2618</v>
      </c>
      <c r="F114" s="16">
        <v>261420</v>
      </c>
      <c r="G114" s="17">
        <f t="shared" si="2"/>
        <v>26675.510204081631</v>
      </c>
      <c r="H114" s="20"/>
      <c r="I114" s="13">
        <v>1.6999999999999999E-3</v>
      </c>
      <c r="J114" s="13">
        <v>1.5699999999999999E-2</v>
      </c>
      <c r="K114" s="22">
        <v>0.01</v>
      </c>
      <c r="L114" s="16">
        <v>920</v>
      </c>
      <c r="M114" s="13">
        <v>0.14000000000000001</v>
      </c>
      <c r="N114" s="13">
        <v>0.63639999999999997</v>
      </c>
      <c r="P114" s="16">
        <v>2559</v>
      </c>
      <c r="Q114" s="13">
        <v>2.7000000000000001E-3</v>
      </c>
      <c r="R114" s="16">
        <v>3</v>
      </c>
      <c r="S114" s="16">
        <v>18</v>
      </c>
      <c r="T114" s="16">
        <v>183</v>
      </c>
      <c r="U114" s="16">
        <v>13</v>
      </c>
      <c r="V114" s="19">
        <f t="shared" si="0"/>
        <v>0.2236266407389402</v>
      </c>
      <c r="W114" s="20">
        <f t="shared" ref="W114:X114" si="126">T114-T113</f>
        <v>0</v>
      </c>
      <c r="X114" s="20">
        <f t="shared" si="126"/>
        <v>-1</v>
      </c>
      <c r="Y114" s="19">
        <f t="shared" si="96"/>
        <v>0.19891304347826086</v>
      </c>
      <c r="Z114" s="19">
        <f t="shared" si="97"/>
        <v>7.1038251366120214E-2</v>
      </c>
      <c r="AA114" s="21">
        <f t="shared" si="18"/>
        <v>0.70588235294117652</v>
      </c>
      <c r="AB114" s="26">
        <f t="shared" si="27"/>
        <v>0.44861545534377151</v>
      </c>
      <c r="AC114" s="23">
        <f t="shared" si="8"/>
        <v>5.1428571428571432</v>
      </c>
      <c r="AD114" s="23">
        <f t="shared" si="25"/>
        <v>1.2857142857142858</v>
      </c>
      <c r="AE114" s="23">
        <f t="shared" si="9"/>
        <v>2754.4285714285716</v>
      </c>
      <c r="AF114" s="25">
        <f t="shared" si="13"/>
        <v>2.6428571428571434E-3</v>
      </c>
      <c r="AG114" s="25"/>
      <c r="AH114" s="25"/>
      <c r="AI114" s="25"/>
      <c r="AJ114" s="25"/>
      <c r="AK114" s="25"/>
      <c r="AL114" s="25"/>
      <c r="AM114" s="26">
        <f t="shared" si="21"/>
        <v>10.142857142857142</v>
      </c>
    </row>
    <row r="115" spans="1:39" ht="16">
      <c r="A115" s="15">
        <v>44007</v>
      </c>
      <c r="B115" s="16">
        <v>4123</v>
      </c>
      <c r="C115" s="16">
        <v>9</v>
      </c>
      <c r="D115" s="16">
        <v>577</v>
      </c>
      <c r="E115" s="16">
        <v>2640</v>
      </c>
      <c r="F115" s="16">
        <v>265129</v>
      </c>
      <c r="G115" s="17">
        <f t="shared" si="2"/>
        <v>27053.979591836734</v>
      </c>
      <c r="H115" s="20"/>
      <c r="I115" s="13">
        <v>2.2000000000000001E-3</v>
      </c>
      <c r="J115" s="13">
        <v>1.5599999999999999E-2</v>
      </c>
      <c r="K115" s="22">
        <v>1.4E-2</v>
      </c>
      <c r="L115" s="16">
        <v>906</v>
      </c>
      <c r="M115" s="13">
        <v>0.1399</v>
      </c>
      <c r="N115" s="13">
        <v>0.64029999999999998</v>
      </c>
      <c r="P115" s="16">
        <v>3709</v>
      </c>
      <c r="Q115" s="13">
        <v>2.3999999999999998E-3</v>
      </c>
      <c r="R115" s="16">
        <v>1</v>
      </c>
      <c r="S115" s="16">
        <v>22</v>
      </c>
      <c r="T115" s="16">
        <v>182</v>
      </c>
      <c r="U115" s="16">
        <v>13</v>
      </c>
      <c r="V115" s="19">
        <f t="shared" si="0"/>
        <v>0.21974290565122484</v>
      </c>
      <c r="W115" s="20">
        <f t="shared" ref="W115:X115" si="127">T115-T114</f>
        <v>-1</v>
      </c>
      <c r="X115" s="20">
        <f t="shared" si="127"/>
        <v>0</v>
      </c>
      <c r="Y115" s="19">
        <f t="shared" si="96"/>
        <v>0.20088300220750552</v>
      </c>
      <c r="Z115" s="19">
        <f t="shared" si="97"/>
        <v>7.1428571428571425E-2</v>
      </c>
      <c r="AA115" s="21">
        <f t="shared" si="18"/>
        <v>1.1000000000000001</v>
      </c>
      <c r="AB115" s="26">
        <f t="shared" si="27"/>
        <v>0.5385314217303262</v>
      </c>
      <c r="AC115" s="23">
        <f t="shared" si="8"/>
        <v>6.2857142857142856</v>
      </c>
      <c r="AD115" s="23">
        <f t="shared" si="25"/>
        <v>1.2857142857142858</v>
      </c>
      <c r="AE115" s="23">
        <f t="shared" si="9"/>
        <v>2790.1428571428573</v>
      </c>
      <c r="AF115" s="25">
        <f t="shared" si="13"/>
        <v>2.9428571428571429E-3</v>
      </c>
      <c r="AG115" s="25"/>
      <c r="AH115" s="25"/>
      <c r="AI115" s="25"/>
      <c r="AJ115" s="25"/>
      <c r="AK115" s="25"/>
      <c r="AL115" s="25"/>
      <c r="AM115" s="26">
        <f t="shared" si="21"/>
        <v>10.857142857142858</v>
      </c>
    </row>
    <row r="116" spans="1:39" ht="16">
      <c r="A116" s="15">
        <v>44008</v>
      </c>
      <c r="B116" s="16">
        <v>4127</v>
      </c>
      <c r="C116" s="16">
        <v>4</v>
      </c>
      <c r="D116" s="16">
        <v>578</v>
      </c>
      <c r="E116" s="16">
        <v>2663</v>
      </c>
      <c r="F116" s="16">
        <v>267056</v>
      </c>
      <c r="G116" s="17">
        <f t="shared" si="2"/>
        <v>27250.612244897959</v>
      </c>
      <c r="H116" s="20"/>
      <c r="I116" s="13">
        <v>1E-3</v>
      </c>
      <c r="J116" s="13">
        <v>1.55E-2</v>
      </c>
      <c r="K116" s="22">
        <v>7.0000000000000001E-3</v>
      </c>
      <c r="L116" s="16">
        <v>886</v>
      </c>
      <c r="M116" s="13">
        <v>0.1401</v>
      </c>
      <c r="N116" s="13">
        <v>0.64529999999999998</v>
      </c>
      <c r="P116" s="16">
        <v>1927</v>
      </c>
      <c r="Q116" s="13">
        <v>2.0999999999999999E-3</v>
      </c>
      <c r="R116" s="16">
        <v>1</v>
      </c>
      <c r="S116" s="16">
        <v>23</v>
      </c>
      <c r="T116" s="16">
        <v>179</v>
      </c>
      <c r="U116" s="16">
        <v>13</v>
      </c>
      <c r="V116" s="19">
        <f t="shared" si="0"/>
        <v>0.214683789677732</v>
      </c>
      <c r="W116" s="20">
        <f t="shared" ref="W116:X116" si="128">T116-T115</f>
        <v>-3</v>
      </c>
      <c r="X116" s="20">
        <f t="shared" si="128"/>
        <v>0</v>
      </c>
      <c r="Y116" s="19">
        <f t="shared" si="96"/>
        <v>0.2020316027088036</v>
      </c>
      <c r="Z116" s="19">
        <f t="shared" si="97"/>
        <v>7.2625698324022353E-2</v>
      </c>
      <c r="AA116" s="21">
        <f t="shared" si="18"/>
        <v>1.6428571428571428</v>
      </c>
      <c r="AB116" s="26">
        <f t="shared" si="27"/>
        <v>0.72503252819700925</v>
      </c>
      <c r="AC116" s="23">
        <f t="shared" si="8"/>
        <v>6.5714285714285712</v>
      </c>
      <c r="AD116" s="23">
        <f t="shared" si="25"/>
        <v>1.4285714285714286</v>
      </c>
      <c r="AE116" s="23">
        <f t="shared" si="9"/>
        <v>2523.5714285714284</v>
      </c>
      <c r="AF116" s="25">
        <f t="shared" si="13"/>
        <v>3.1714285714285716E-3</v>
      </c>
      <c r="AG116" s="25"/>
      <c r="AH116" s="25"/>
      <c r="AI116" s="25"/>
      <c r="AJ116" s="25"/>
      <c r="AK116" s="25"/>
      <c r="AL116" s="25"/>
      <c r="AM116" s="26">
        <f t="shared" si="21"/>
        <v>11.714285714285714</v>
      </c>
    </row>
    <row r="117" spans="1:39" ht="16">
      <c r="A117" s="15">
        <v>44009</v>
      </c>
      <c r="B117" s="16">
        <v>4138</v>
      </c>
      <c r="C117" s="16">
        <v>11</v>
      </c>
      <c r="D117" s="16">
        <v>578</v>
      </c>
      <c r="E117" s="16">
        <v>2681</v>
      </c>
      <c r="F117" s="16">
        <v>270263</v>
      </c>
      <c r="G117" s="17">
        <f t="shared" si="2"/>
        <v>27577.857142857141</v>
      </c>
      <c r="H117" s="20"/>
      <c r="I117" s="13">
        <v>2.7000000000000001E-3</v>
      </c>
      <c r="J117" s="13">
        <v>1.5299999999999999E-2</v>
      </c>
      <c r="K117" s="22">
        <v>1.2E-2</v>
      </c>
      <c r="L117" s="16">
        <v>879</v>
      </c>
      <c r="M117" s="13">
        <v>0.13969999999999999</v>
      </c>
      <c r="N117" s="13">
        <v>0.64790000000000003</v>
      </c>
      <c r="P117" s="16">
        <v>3207</v>
      </c>
      <c r="Q117" s="13">
        <v>3.3999999999999998E-3</v>
      </c>
      <c r="R117" s="16">
        <v>0</v>
      </c>
      <c r="S117" s="16">
        <v>18</v>
      </c>
      <c r="T117" s="16">
        <v>174</v>
      </c>
      <c r="U117" s="16">
        <v>11</v>
      </c>
      <c r="V117" s="19">
        <f t="shared" si="0"/>
        <v>0.2124214596423393</v>
      </c>
      <c r="W117" s="20">
        <f t="shared" ref="W117:X117" si="129">T117-T116</f>
        <v>-5</v>
      </c>
      <c r="X117" s="20">
        <f t="shared" si="129"/>
        <v>-2</v>
      </c>
      <c r="Y117" s="19">
        <f t="shared" si="96"/>
        <v>0.19795221843003413</v>
      </c>
      <c r="Z117" s="19">
        <f t="shared" si="97"/>
        <v>6.3218390804597707E-2</v>
      </c>
      <c r="AA117" s="21">
        <f t="shared" si="18"/>
        <v>2.3636363636363638</v>
      </c>
      <c r="AB117" s="26">
        <f t="shared" si="27"/>
        <v>1.0202238233883045</v>
      </c>
      <c r="AC117" s="23">
        <f t="shared" si="8"/>
        <v>7.4285714285714288</v>
      </c>
      <c r="AD117" s="23">
        <f t="shared" si="25"/>
        <v>1.1428571428571428</v>
      </c>
      <c r="AE117" s="23">
        <f t="shared" si="9"/>
        <v>2451.8571428571427</v>
      </c>
      <c r="AF117" s="25">
        <f t="shared" si="13"/>
        <v>3.4714285714285719E-3</v>
      </c>
      <c r="AG117" s="25"/>
      <c r="AH117" s="25"/>
      <c r="AI117" s="25"/>
      <c r="AJ117" s="25"/>
      <c r="AK117" s="25"/>
      <c r="AL117" s="25"/>
      <c r="AM117" s="26">
        <f t="shared" si="21"/>
        <v>13.714285714285714</v>
      </c>
    </row>
    <row r="118" spans="1:39" ht="16">
      <c r="A118" s="15">
        <v>44010</v>
      </c>
      <c r="B118" s="16">
        <v>4142</v>
      </c>
      <c r="C118" s="16">
        <v>4</v>
      </c>
      <c r="D118" s="16">
        <v>581</v>
      </c>
      <c r="E118" s="16">
        <v>2685</v>
      </c>
      <c r="F118" s="16">
        <v>271194</v>
      </c>
      <c r="G118" s="17">
        <f t="shared" si="2"/>
        <v>27672.857142857141</v>
      </c>
      <c r="H118" s="20"/>
      <c r="I118" s="13">
        <v>1E-3</v>
      </c>
      <c r="J118" s="13">
        <v>1.5299999999999999E-2</v>
      </c>
      <c r="K118" s="22">
        <v>3.0000000000000001E-3</v>
      </c>
      <c r="L118" s="16">
        <v>876</v>
      </c>
      <c r="M118" s="13">
        <v>0.14030000000000001</v>
      </c>
      <c r="N118" s="13">
        <v>0.6482</v>
      </c>
      <c r="P118" s="16">
        <v>931</v>
      </c>
      <c r="Q118" s="13">
        <v>4.3E-3</v>
      </c>
      <c r="R118" s="16">
        <v>3</v>
      </c>
      <c r="S118" s="16">
        <v>4</v>
      </c>
      <c r="T118" s="16">
        <v>172</v>
      </c>
      <c r="U118" s="16">
        <v>9</v>
      </c>
      <c r="V118" s="19">
        <f t="shared" si="0"/>
        <v>0.21149203283437953</v>
      </c>
      <c r="W118" s="20">
        <f t="shared" ref="W118:X118" si="130">T118-T117</f>
        <v>-2</v>
      </c>
      <c r="X118" s="20">
        <f t="shared" si="130"/>
        <v>-2</v>
      </c>
      <c r="Y118" s="19">
        <f t="shared" si="96"/>
        <v>0.19634703196347031</v>
      </c>
      <c r="Z118" s="19">
        <f t="shared" si="97"/>
        <v>5.232558139534884E-2</v>
      </c>
      <c r="AA118" s="21">
        <f t="shared" si="18"/>
        <v>1.92</v>
      </c>
      <c r="AB118" s="26">
        <f t="shared" si="27"/>
        <v>1.2359615283063372</v>
      </c>
      <c r="AC118" s="23">
        <f t="shared" si="8"/>
        <v>6.8571428571428568</v>
      </c>
      <c r="AD118" s="23">
        <f t="shared" si="25"/>
        <v>1.5714285714285714</v>
      </c>
      <c r="AE118" s="23">
        <f t="shared" si="9"/>
        <v>2124</v>
      </c>
      <c r="AF118" s="25">
        <f t="shared" si="13"/>
        <v>3.7285714285714283E-3</v>
      </c>
      <c r="AG118" s="25"/>
      <c r="AH118" s="25"/>
      <c r="AI118" s="25"/>
      <c r="AJ118" s="25"/>
      <c r="AK118" s="25"/>
      <c r="AL118" s="25"/>
      <c r="AM118" s="26">
        <f t="shared" si="21"/>
        <v>13.714285714285714</v>
      </c>
    </row>
    <row r="119" spans="1:39" ht="16">
      <c r="A119" s="15">
        <v>44011</v>
      </c>
      <c r="B119" s="16">
        <v>4145</v>
      </c>
      <c r="C119" s="16">
        <v>3</v>
      </c>
      <c r="D119" s="16">
        <v>585</v>
      </c>
      <c r="E119" s="16">
        <v>2685</v>
      </c>
      <c r="F119" s="16">
        <v>273879</v>
      </c>
      <c r="G119" s="17">
        <f t="shared" si="2"/>
        <v>27946.836734693876</v>
      </c>
      <c r="H119" s="20"/>
      <c r="I119" s="13">
        <v>6.9999999999999999E-4</v>
      </c>
      <c r="J119" s="13">
        <v>1.5100000000000001E-2</v>
      </c>
      <c r="K119" s="22">
        <v>0.01</v>
      </c>
      <c r="L119" s="16">
        <v>875</v>
      </c>
      <c r="M119" s="13">
        <v>0.1411</v>
      </c>
      <c r="N119" s="13">
        <v>0.64780000000000004</v>
      </c>
      <c r="O119" s="16">
        <v>1763</v>
      </c>
      <c r="P119" s="16">
        <v>2685</v>
      </c>
      <c r="Q119" s="13">
        <v>1.1000000000000001E-3</v>
      </c>
      <c r="R119" s="16">
        <v>4</v>
      </c>
      <c r="S119" s="16">
        <v>0</v>
      </c>
      <c r="T119" s="16">
        <v>170</v>
      </c>
      <c r="U119" s="16">
        <v>9</v>
      </c>
      <c r="V119" s="19">
        <f t="shared" si="0"/>
        <v>0.21109770808202655</v>
      </c>
      <c r="W119" s="20">
        <f t="shared" ref="W119:X119" si="131">T119-T118</f>
        <v>-2</v>
      </c>
      <c r="X119" s="20">
        <f t="shared" si="131"/>
        <v>0</v>
      </c>
      <c r="Y119" s="19">
        <f t="shared" si="96"/>
        <v>0.19428571428571428</v>
      </c>
      <c r="Z119" s="19">
        <f t="shared" si="97"/>
        <v>5.2941176470588235E-2</v>
      </c>
      <c r="AA119" s="21">
        <f t="shared" si="18"/>
        <v>1.6538461538461537</v>
      </c>
      <c r="AB119" s="26">
        <f t="shared" si="27"/>
        <v>1.412317430468691</v>
      </c>
      <c r="AC119" s="23">
        <f t="shared" si="8"/>
        <v>6.1428571428571432</v>
      </c>
      <c r="AD119" s="23">
        <f t="shared" si="25"/>
        <v>1.8571428571428572</v>
      </c>
      <c r="AE119" s="23">
        <f t="shared" si="9"/>
        <v>2252</v>
      </c>
      <c r="AF119" s="25">
        <f t="shared" si="13"/>
        <v>3.2428571428571432E-3</v>
      </c>
      <c r="AG119" s="25"/>
      <c r="AH119" s="25"/>
      <c r="AI119" s="25"/>
      <c r="AJ119" s="25"/>
      <c r="AK119" s="25"/>
      <c r="AL119" s="25"/>
      <c r="AM119" s="26">
        <f t="shared" si="21"/>
        <v>13.571428571428571</v>
      </c>
    </row>
    <row r="120" spans="1:39" ht="16">
      <c r="A120" s="15">
        <v>44012</v>
      </c>
      <c r="B120" s="16">
        <v>4155</v>
      </c>
      <c r="C120" s="16">
        <v>10</v>
      </c>
      <c r="D120" s="16">
        <v>585</v>
      </c>
      <c r="E120" s="16">
        <v>2692</v>
      </c>
      <c r="F120" s="16">
        <v>274945</v>
      </c>
      <c r="G120" s="17">
        <f t="shared" si="2"/>
        <v>28055.612244897959</v>
      </c>
      <c r="H120" s="20"/>
      <c r="I120" s="13">
        <v>2.3999999999999998E-3</v>
      </c>
      <c r="J120" s="13">
        <v>1.5100000000000001E-2</v>
      </c>
      <c r="K120" s="22">
        <v>4.0000000000000001E-3</v>
      </c>
      <c r="L120" s="16">
        <v>878</v>
      </c>
      <c r="M120" s="13">
        <v>0.14080000000000001</v>
      </c>
      <c r="N120" s="13">
        <v>0.64790000000000003</v>
      </c>
      <c r="P120" s="16">
        <v>1066</v>
      </c>
      <c r="Q120" s="13">
        <v>9.4000000000000004E-3</v>
      </c>
      <c r="R120" s="16">
        <v>0</v>
      </c>
      <c r="S120" s="16">
        <v>7</v>
      </c>
      <c r="T120" s="16">
        <v>169</v>
      </c>
      <c r="U120" s="16">
        <v>9</v>
      </c>
      <c r="V120" s="19">
        <f t="shared" si="0"/>
        <v>0.21131167268351383</v>
      </c>
      <c r="W120" s="20">
        <f t="shared" ref="W120:X120" si="132">T120-T119</f>
        <v>-1</v>
      </c>
      <c r="X120" s="20">
        <f t="shared" si="132"/>
        <v>0</v>
      </c>
      <c r="Y120" s="19">
        <f t="shared" si="96"/>
        <v>0.19248291571753987</v>
      </c>
      <c r="Z120" s="19">
        <f t="shared" si="97"/>
        <v>5.3254437869822487E-2</v>
      </c>
      <c r="AA120" s="21">
        <f t="shared" si="18"/>
        <v>1.6</v>
      </c>
      <c r="AB120" s="26">
        <f t="shared" si="27"/>
        <v>1.569460287611548</v>
      </c>
      <c r="AC120" s="23">
        <f t="shared" si="8"/>
        <v>6.8571428571428568</v>
      </c>
      <c r="AD120" s="23">
        <f t="shared" si="25"/>
        <v>1.7142857142857142</v>
      </c>
      <c r="AE120" s="23">
        <f t="shared" si="9"/>
        <v>2297.7142857142858</v>
      </c>
      <c r="AF120" s="25">
        <f t="shared" si="13"/>
        <v>3.6285714285714285E-3</v>
      </c>
      <c r="AG120" s="25"/>
      <c r="AH120" s="25"/>
      <c r="AI120" s="25"/>
      <c r="AJ120" s="25"/>
      <c r="AK120" s="25"/>
      <c r="AL120" s="25"/>
      <c r="AM120" s="26">
        <f t="shared" si="21"/>
        <v>13.142857142857142</v>
      </c>
    </row>
    <row r="121" spans="1:39" ht="16">
      <c r="A121" s="15">
        <v>44013</v>
      </c>
      <c r="B121" s="16">
        <v>4157</v>
      </c>
      <c r="C121" s="16">
        <v>2</v>
      </c>
      <c r="D121" s="16">
        <v>586</v>
      </c>
      <c r="E121" s="16">
        <v>2714</v>
      </c>
      <c r="F121" s="16">
        <v>277750</v>
      </c>
      <c r="G121" s="17">
        <f t="shared" si="2"/>
        <v>28341.836734693876</v>
      </c>
      <c r="H121" s="20"/>
      <c r="I121" s="13">
        <v>5.0000000000000001E-4</v>
      </c>
      <c r="J121" s="13">
        <v>1.4999999999999999E-2</v>
      </c>
      <c r="K121" s="22">
        <v>0.01</v>
      </c>
      <c r="L121" s="16">
        <v>857</v>
      </c>
      <c r="M121" s="13">
        <v>0.14099999999999999</v>
      </c>
      <c r="N121" s="13">
        <v>0.65290000000000004</v>
      </c>
      <c r="P121" s="16">
        <v>2805</v>
      </c>
      <c r="Q121" s="13">
        <v>6.9999999999999999E-4</v>
      </c>
      <c r="R121" s="16">
        <v>1</v>
      </c>
      <c r="S121" s="16">
        <v>22</v>
      </c>
      <c r="T121" s="16">
        <v>169</v>
      </c>
      <c r="U121" s="16">
        <v>8</v>
      </c>
      <c r="V121" s="19">
        <f t="shared" si="0"/>
        <v>0.20615828722636517</v>
      </c>
      <c r="W121" s="20">
        <f t="shared" ref="W121:X121" si="133">T121-T120</f>
        <v>0</v>
      </c>
      <c r="X121" s="20">
        <f t="shared" si="133"/>
        <v>-1</v>
      </c>
      <c r="Y121" s="19">
        <f t="shared" si="96"/>
        <v>0.1971995332555426</v>
      </c>
      <c r="Z121" s="19">
        <f t="shared" si="97"/>
        <v>4.7337278106508875E-2</v>
      </c>
      <c r="AA121" s="21">
        <f t="shared" si="18"/>
        <v>1.1944444444444444</v>
      </c>
      <c r="AB121" s="26">
        <f t="shared" si="27"/>
        <v>1.639254872112015</v>
      </c>
      <c r="AC121" s="23">
        <f t="shared" si="8"/>
        <v>6.1428571428571432</v>
      </c>
      <c r="AD121" s="23">
        <f t="shared" si="25"/>
        <v>1.4285714285714286</v>
      </c>
      <c r="AE121" s="23">
        <f t="shared" si="9"/>
        <v>2332.8571428571427</v>
      </c>
      <c r="AF121" s="25">
        <f t="shared" si="13"/>
        <v>3.3428571428571426E-3</v>
      </c>
      <c r="AG121" s="25"/>
      <c r="AH121" s="25"/>
      <c r="AI121" s="25"/>
      <c r="AJ121" s="25"/>
      <c r="AK121" s="25"/>
      <c r="AL121" s="25"/>
      <c r="AM121" s="26">
        <f t="shared" si="21"/>
        <v>13.714285714285714</v>
      </c>
    </row>
    <row r="122" spans="1:39" ht="16">
      <c r="A122" s="15">
        <v>44014</v>
      </c>
      <c r="B122" s="16">
        <v>4166</v>
      </c>
      <c r="C122" s="16">
        <v>9</v>
      </c>
      <c r="D122" s="16">
        <v>587</v>
      </c>
      <c r="E122" s="16">
        <v>2721</v>
      </c>
      <c r="F122" s="16">
        <v>279690</v>
      </c>
      <c r="G122" s="17">
        <f t="shared" si="2"/>
        <v>28539.795918367345</v>
      </c>
      <c r="H122" s="20"/>
      <c r="I122" s="13">
        <v>2.2000000000000001E-3</v>
      </c>
      <c r="J122" s="13">
        <v>1.49E-2</v>
      </c>
      <c r="K122" s="22">
        <v>7.0000000000000001E-3</v>
      </c>
      <c r="L122" s="16">
        <v>858</v>
      </c>
      <c r="M122" s="13">
        <v>0.1409</v>
      </c>
      <c r="N122" s="13">
        <v>0.65310000000000001</v>
      </c>
      <c r="P122" s="16">
        <v>1940</v>
      </c>
      <c r="Q122" s="13">
        <v>4.5999999999999999E-3</v>
      </c>
      <c r="R122" s="16">
        <v>1</v>
      </c>
      <c r="S122" s="16">
        <v>7</v>
      </c>
      <c r="T122" s="16">
        <v>157</v>
      </c>
      <c r="U122" s="16">
        <v>8</v>
      </c>
      <c r="V122" s="19">
        <f t="shared" si="0"/>
        <v>0.20595295247239559</v>
      </c>
      <c r="W122" s="20">
        <f t="shared" ref="W122:X122" si="134">T122-T121</f>
        <v>-12</v>
      </c>
      <c r="X122" s="20">
        <f t="shared" si="134"/>
        <v>0</v>
      </c>
      <c r="Y122" s="19">
        <f t="shared" si="96"/>
        <v>0.18298368298368298</v>
      </c>
      <c r="Z122" s="19">
        <f t="shared" si="97"/>
        <v>5.0955414012738856E-2</v>
      </c>
      <c r="AA122" s="21">
        <f t="shared" si="18"/>
        <v>0.97727272727272729</v>
      </c>
      <c r="AB122" s="26">
        <f t="shared" si="27"/>
        <v>1.6217224045795473</v>
      </c>
      <c r="AC122" s="23">
        <f t="shared" si="8"/>
        <v>6.1428571428571432</v>
      </c>
      <c r="AD122" s="23">
        <f t="shared" si="25"/>
        <v>1.4285714285714286</v>
      </c>
      <c r="AE122" s="23">
        <f t="shared" si="9"/>
        <v>2080.1428571428573</v>
      </c>
      <c r="AF122" s="25">
        <f t="shared" si="13"/>
        <v>3.6571428571428566E-3</v>
      </c>
      <c r="AG122" s="25"/>
      <c r="AH122" s="25"/>
      <c r="AI122" s="25"/>
      <c r="AJ122" s="25"/>
      <c r="AK122" s="25"/>
      <c r="AL122" s="25"/>
      <c r="AM122" s="26">
        <f t="shared" si="21"/>
        <v>11.571428571428571</v>
      </c>
    </row>
    <row r="123" spans="1:39" ht="16">
      <c r="A123" s="15">
        <v>44015</v>
      </c>
      <c r="B123" s="16">
        <v>4172</v>
      </c>
      <c r="C123" s="16">
        <v>6</v>
      </c>
      <c r="D123" s="16">
        <v>588</v>
      </c>
      <c r="E123" s="16">
        <v>2752</v>
      </c>
      <c r="F123" s="16">
        <v>281628</v>
      </c>
      <c r="G123" s="17">
        <f t="shared" si="2"/>
        <v>28737.551020408162</v>
      </c>
      <c r="H123" s="20"/>
      <c r="I123" s="13">
        <v>1.4E-3</v>
      </c>
      <c r="J123" s="13">
        <v>1.4800000000000001E-2</v>
      </c>
      <c r="K123" s="22">
        <v>7.0000000000000001E-3</v>
      </c>
      <c r="L123" s="16">
        <v>832</v>
      </c>
      <c r="M123" s="13">
        <v>0.1409</v>
      </c>
      <c r="N123" s="13">
        <v>0.65959999999999996</v>
      </c>
      <c r="P123" s="16">
        <v>1938</v>
      </c>
      <c r="Q123" s="13">
        <v>3.0999999999999999E-3</v>
      </c>
      <c r="R123" s="16">
        <v>1</v>
      </c>
      <c r="S123" s="16">
        <v>31</v>
      </c>
      <c r="T123" s="16">
        <v>150</v>
      </c>
      <c r="U123" s="16">
        <v>9</v>
      </c>
      <c r="V123" s="19">
        <f t="shared" si="0"/>
        <v>0.19942473633748803</v>
      </c>
      <c r="W123" s="20">
        <f t="shared" ref="W123:X123" si="135">T123-T122</f>
        <v>-7</v>
      </c>
      <c r="X123" s="20">
        <f t="shared" si="135"/>
        <v>1</v>
      </c>
      <c r="Y123" s="19">
        <f t="shared" si="96"/>
        <v>0.18028846153846154</v>
      </c>
      <c r="Z123" s="19">
        <f t="shared" si="97"/>
        <v>0.06</v>
      </c>
      <c r="AA123" s="21">
        <f t="shared" si="18"/>
        <v>0.97826086956521741</v>
      </c>
      <c r="AB123" s="26">
        <f t="shared" si="27"/>
        <v>1.5267800798235578</v>
      </c>
      <c r="AC123" s="23">
        <f t="shared" si="8"/>
        <v>6.4285714285714288</v>
      </c>
      <c r="AD123" s="23">
        <f t="shared" si="25"/>
        <v>1.4285714285714286</v>
      </c>
      <c r="AE123" s="23">
        <f t="shared" si="9"/>
        <v>2081.7142857142858</v>
      </c>
      <c r="AF123" s="25">
        <f t="shared" si="13"/>
        <v>3.8E-3</v>
      </c>
      <c r="AG123" s="25"/>
      <c r="AH123" s="25"/>
      <c r="AI123" s="25"/>
      <c r="AJ123" s="25"/>
      <c r="AK123" s="25"/>
      <c r="AL123" s="25"/>
      <c r="AM123" s="26">
        <f t="shared" si="21"/>
        <v>12.714285714285714</v>
      </c>
    </row>
    <row r="124" spans="1:39" ht="16">
      <c r="A124" s="15">
        <v>44016</v>
      </c>
      <c r="B124" s="16">
        <v>4174</v>
      </c>
      <c r="C124" s="16">
        <v>2</v>
      </c>
      <c r="D124" s="16">
        <v>589</v>
      </c>
      <c r="E124" s="16">
        <v>2784</v>
      </c>
      <c r="F124" s="16">
        <v>283508</v>
      </c>
      <c r="G124" s="17">
        <f t="shared" si="2"/>
        <v>28929.387755102038</v>
      </c>
      <c r="H124" s="20"/>
      <c r="I124" s="13">
        <v>5.0000000000000001E-4</v>
      </c>
      <c r="J124" s="13">
        <v>1.47E-2</v>
      </c>
      <c r="K124" s="22">
        <v>7.0000000000000001E-3</v>
      </c>
      <c r="L124" s="16">
        <v>801</v>
      </c>
      <c r="M124" s="13">
        <v>0.1411</v>
      </c>
      <c r="N124" s="13">
        <v>0.66700000000000004</v>
      </c>
      <c r="P124" s="16">
        <v>1880</v>
      </c>
      <c r="Q124" s="13">
        <v>1.1000000000000001E-3</v>
      </c>
      <c r="R124" s="16">
        <v>1</v>
      </c>
      <c r="S124" s="16">
        <v>32</v>
      </c>
      <c r="T124" s="16">
        <v>140</v>
      </c>
      <c r="U124" s="16">
        <v>8</v>
      </c>
      <c r="V124" s="19">
        <f t="shared" si="0"/>
        <v>0.19190225203641592</v>
      </c>
      <c r="W124" s="20">
        <f t="shared" ref="W124:X124" si="136">T124-T123</f>
        <v>-10</v>
      </c>
      <c r="X124" s="20">
        <f t="shared" si="136"/>
        <v>-1</v>
      </c>
      <c r="Y124" s="19">
        <f t="shared" si="96"/>
        <v>0.17478152309612985</v>
      </c>
      <c r="Z124" s="19">
        <f t="shared" si="97"/>
        <v>5.7142857142857141E-2</v>
      </c>
      <c r="AA124" s="21">
        <f t="shared" si="18"/>
        <v>0.69230769230769229</v>
      </c>
      <c r="AB124" s="26">
        <f t="shared" si="27"/>
        <v>1.2880188410623192</v>
      </c>
      <c r="AC124" s="23">
        <f t="shared" si="8"/>
        <v>5.1428571428571432</v>
      </c>
      <c r="AD124" s="23">
        <f t="shared" si="25"/>
        <v>1.5714285714285714</v>
      </c>
      <c r="AE124" s="23">
        <f t="shared" si="9"/>
        <v>1892.1428571428571</v>
      </c>
      <c r="AF124" s="25">
        <f t="shared" si="13"/>
        <v>3.4714285714285711E-3</v>
      </c>
      <c r="AG124" s="25"/>
      <c r="AH124" s="25"/>
      <c r="AI124" s="25"/>
      <c r="AJ124" s="25"/>
      <c r="AK124" s="25"/>
      <c r="AL124" s="25"/>
      <c r="AM124" s="26">
        <f t="shared" si="21"/>
        <v>14.714285714285714</v>
      </c>
    </row>
    <row r="125" spans="1:39" ht="16">
      <c r="A125" s="15">
        <v>44017</v>
      </c>
      <c r="B125" s="16">
        <v>4183</v>
      </c>
      <c r="C125" s="16">
        <v>9</v>
      </c>
      <c r="D125" s="16">
        <v>589</v>
      </c>
      <c r="E125" s="16">
        <v>2811</v>
      </c>
      <c r="F125" s="16">
        <v>285590</v>
      </c>
      <c r="G125" s="17">
        <f t="shared" si="2"/>
        <v>29141.836734693876</v>
      </c>
      <c r="H125" s="20"/>
      <c r="I125" s="13">
        <v>2.2000000000000001E-3</v>
      </c>
      <c r="J125" s="13">
        <v>1.46E-2</v>
      </c>
      <c r="K125" s="22">
        <v>7.0000000000000001E-3</v>
      </c>
      <c r="L125" s="16">
        <v>783</v>
      </c>
      <c r="M125" s="13">
        <v>0.14080000000000001</v>
      </c>
      <c r="N125" s="13">
        <v>0.67200000000000004</v>
      </c>
      <c r="O125" s="16">
        <v>1348</v>
      </c>
      <c r="P125" s="16">
        <v>2082</v>
      </c>
      <c r="Q125" s="13">
        <v>4.3E-3</v>
      </c>
      <c r="R125" s="16">
        <v>0</v>
      </c>
      <c r="S125" s="16">
        <v>27</v>
      </c>
      <c r="T125" s="16">
        <v>144</v>
      </c>
      <c r="U125" s="16">
        <v>8</v>
      </c>
      <c r="V125" s="19">
        <f t="shared" si="0"/>
        <v>0.18718622997848433</v>
      </c>
      <c r="W125" s="20">
        <f t="shared" ref="W125:X125" si="137">T125-T124</f>
        <v>4</v>
      </c>
      <c r="X125" s="20">
        <f t="shared" si="137"/>
        <v>0</v>
      </c>
      <c r="Y125" s="19">
        <f t="shared" si="96"/>
        <v>0.18390804597701149</v>
      </c>
      <c r="Z125" s="19">
        <f t="shared" si="97"/>
        <v>5.5555555555555552E-2</v>
      </c>
      <c r="AA125" s="21">
        <f t="shared" si="18"/>
        <v>0.85416666666666663</v>
      </c>
      <c r="AB125" s="26">
        <f t="shared" si="27"/>
        <v>1.1357569363004147</v>
      </c>
      <c r="AC125" s="23">
        <f t="shared" si="8"/>
        <v>5.8571428571428568</v>
      </c>
      <c r="AD125" s="23">
        <f t="shared" si="25"/>
        <v>1.1428571428571428</v>
      </c>
      <c r="AE125" s="23">
        <f t="shared" si="9"/>
        <v>2056.5714285714284</v>
      </c>
      <c r="AF125" s="25">
        <f t="shared" si="13"/>
        <v>3.4714285714285719E-3</v>
      </c>
      <c r="AG125" s="25"/>
      <c r="AH125" s="25"/>
      <c r="AI125" s="25"/>
      <c r="AJ125" s="25"/>
      <c r="AK125" s="25"/>
      <c r="AL125" s="25"/>
      <c r="AM125" s="26">
        <f t="shared" si="21"/>
        <v>18</v>
      </c>
    </row>
    <row r="126" spans="1:39" ht="16">
      <c r="A126" s="15">
        <v>44018</v>
      </c>
      <c r="B126" s="16">
        <v>4189</v>
      </c>
      <c r="C126" s="16">
        <v>6</v>
      </c>
      <c r="D126" s="16">
        <v>589</v>
      </c>
      <c r="E126" s="16">
        <v>2860</v>
      </c>
      <c r="F126" s="16">
        <v>286083</v>
      </c>
      <c r="G126" s="17">
        <f t="shared" si="2"/>
        <v>29192.142857142855</v>
      </c>
      <c r="H126" s="20"/>
      <c r="I126" s="13">
        <v>1.4E-3</v>
      </c>
      <c r="J126" s="13">
        <v>1.46E-2</v>
      </c>
      <c r="K126" s="22">
        <v>2E-3</v>
      </c>
      <c r="L126" s="16">
        <v>740</v>
      </c>
      <c r="M126" s="13">
        <v>0.1406</v>
      </c>
      <c r="N126" s="13">
        <v>0.68269999999999997</v>
      </c>
      <c r="O126" s="16">
        <v>1675</v>
      </c>
      <c r="P126" s="16">
        <v>493</v>
      </c>
      <c r="Q126" s="13">
        <v>1.2200000000000001E-2</v>
      </c>
      <c r="R126" s="16">
        <v>0</v>
      </c>
      <c r="S126" s="16">
        <v>49</v>
      </c>
      <c r="T126" s="16">
        <v>140</v>
      </c>
      <c r="U126" s="16">
        <v>8</v>
      </c>
      <c r="V126" s="19">
        <f t="shared" si="0"/>
        <v>0.17665313917402722</v>
      </c>
      <c r="W126" s="20">
        <f t="shared" ref="W126:X126" si="138">T126-T125</f>
        <v>-4</v>
      </c>
      <c r="X126" s="20">
        <f t="shared" si="138"/>
        <v>0</v>
      </c>
      <c r="Y126" s="19">
        <f t="shared" si="96"/>
        <v>0.1891891891891892</v>
      </c>
      <c r="Z126" s="19">
        <f t="shared" si="97"/>
        <v>5.7142857142857141E-2</v>
      </c>
      <c r="AA126" s="21">
        <f t="shared" si="18"/>
        <v>1.0232558139534884</v>
      </c>
      <c r="AB126" s="26">
        <f t="shared" si="27"/>
        <v>1.045672602030034</v>
      </c>
      <c r="AC126" s="23">
        <f t="shared" si="8"/>
        <v>6.2857142857142856</v>
      </c>
      <c r="AD126" s="23">
        <f t="shared" si="25"/>
        <v>0.5714285714285714</v>
      </c>
      <c r="AE126" s="23">
        <f t="shared" si="9"/>
        <v>1743.4285714285713</v>
      </c>
      <c r="AF126" s="25">
        <f t="shared" si="13"/>
        <v>5.0571428571428573E-3</v>
      </c>
      <c r="AG126" s="25"/>
      <c r="AH126" s="25"/>
      <c r="AI126" s="25"/>
      <c r="AJ126" s="25"/>
      <c r="AK126" s="25"/>
      <c r="AL126" s="25"/>
      <c r="AM126" s="26">
        <f t="shared" si="21"/>
        <v>25</v>
      </c>
    </row>
    <row r="127" spans="1:39" ht="16">
      <c r="A127" s="15">
        <v>44019</v>
      </c>
      <c r="B127" s="16">
        <v>4205</v>
      </c>
      <c r="C127" s="16">
        <v>16</v>
      </c>
      <c r="D127" s="16">
        <v>589</v>
      </c>
      <c r="E127" s="16">
        <v>2874</v>
      </c>
      <c r="F127" s="16">
        <v>286983</v>
      </c>
      <c r="G127" s="17">
        <f t="shared" si="2"/>
        <v>29283.979591836731</v>
      </c>
      <c r="H127" s="20"/>
      <c r="I127" s="13">
        <v>3.8E-3</v>
      </c>
      <c r="J127" s="13">
        <v>1.47E-2</v>
      </c>
      <c r="K127" s="22">
        <v>3.0000000000000001E-3</v>
      </c>
      <c r="L127" s="16">
        <v>742</v>
      </c>
      <c r="M127" s="13">
        <v>0.1401</v>
      </c>
      <c r="N127" s="13">
        <v>0.6835</v>
      </c>
      <c r="P127" s="16">
        <v>900</v>
      </c>
      <c r="Q127" s="13">
        <v>1.78E-2</v>
      </c>
      <c r="R127" s="16">
        <v>0</v>
      </c>
      <c r="S127" s="16">
        <v>14</v>
      </c>
      <c r="T127" s="16">
        <v>142</v>
      </c>
      <c r="U127" s="16">
        <v>7</v>
      </c>
      <c r="V127" s="19">
        <f t="shared" si="0"/>
        <v>0.17645659928656363</v>
      </c>
      <c r="W127" s="20">
        <f t="shared" ref="W127:X127" si="139">T127-T126</f>
        <v>2</v>
      </c>
      <c r="X127" s="20">
        <f t="shared" si="139"/>
        <v>-1</v>
      </c>
      <c r="Y127" s="19">
        <f t="shared" si="96"/>
        <v>0.19137466307277629</v>
      </c>
      <c r="Z127" s="19">
        <f t="shared" si="97"/>
        <v>4.9295774647887321E-2</v>
      </c>
      <c r="AA127" s="21">
        <f t="shared" si="18"/>
        <v>1.0416666666666667</v>
      </c>
      <c r="AB127" s="26">
        <f t="shared" si="27"/>
        <v>0.96591069726812917</v>
      </c>
      <c r="AC127" s="23">
        <f t="shared" si="8"/>
        <v>7.1428571428571432</v>
      </c>
      <c r="AD127" s="23">
        <f t="shared" si="25"/>
        <v>0.5714285714285714</v>
      </c>
      <c r="AE127" s="23">
        <f t="shared" si="9"/>
        <v>1719.7142857142858</v>
      </c>
      <c r="AF127" s="25">
        <f t="shared" si="13"/>
        <v>6.2571428571428578E-3</v>
      </c>
      <c r="AG127" s="25"/>
      <c r="AH127" s="25"/>
      <c r="AI127" s="25"/>
      <c r="AJ127" s="25"/>
      <c r="AK127" s="25"/>
      <c r="AL127" s="25"/>
      <c r="AM127" s="26">
        <f t="shared" si="21"/>
        <v>26</v>
      </c>
    </row>
    <row r="128" spans="1:39" ht="16">
      <c r="A128" s="15">
        <v>44020</v>
      </c>
      <c r="B128" s="16">
        <v>4210</v>
      </c>
      <c r="C128" s="16">
        <v>5</v>
      </c>
      <c r="D128" s="16">
        <v>589</v>
      </c>
      <c r="E128" s="16">
        <v>2885</v>
      </c>
      <c r="F128" s="16">
        <v>288693</v>
      </c>
      <c r="G128" s="17">
        <f t="shared" si="2"/>
        <v>29458.4693877551</v>
      </c>
      <c r="H128" s="20"/>
      <c r="I128" s="13">
        <v>1.1999999999999999E-3</v>
      </c>
      <c r="J128" s="13">
        <v>1.46E-2</v>
      </c>
      <c r="K128" s="22">
        <v>6.0000000000000001E-3</v>
      </c>
      <c r="L128" s="16">
        <v>736</v>
      </c>
      <c r="M128" s="13">
        <v>0.1399</v>
      </c>
      <c r="N128" s="13">
        <v>0.68530000000000002</v>
      </c>
      <c r="O128" s="16">
        <v>1909</v>
      </c>
      <c r="P128" s="16">
        <v>1710</v>
      </c>
      <c r="Q128" s="13">
        <v>2.8999999999999998E-3</v>
      </c>
      <c r="R128" s="16">
        <v>0</v>
      </c>
      <c r="S128" s="16">
        <v>11</v>
      </c>
      <c r="T128" s="16">
        <v>132</v>
      </c>
      <c r="U128" s="16">
        <v>6</v>
      </c>
      <c r="V128" s="19">
        <f t="shared" si="0"/>
        <v>0.17482185273159145</v>
      </c>
      <c r="W128" s="20">
        <f t="shared" ref="W128:X128" si="140">T128-T127</f>
        <v>-10</v>
      </c>
      <c r="X128" s="20">
        <f t="shared" si="140"/>
        <v>-1</v>
      </c>
      <c r="Y128" s="19">
        <f t="shared" si="96"/>
        <v>0.17934782608695651</v>
      </c>
      <c r="Z128" s="19">
        <f t="shared" si="97"/>
        <v>4.5454545454545456E-2</v>
      </c>
      <c r="AA128" s="21">
        <f t="shared" si="18"/>
        <v>1.2325581395348837</v>
      </c>
      <c r="AB128" s="26">
        <f t="shared" si="27"/>
        <v>0.9713555108524774</v>
      </c>
      <c r="AC128" s="23">
        <f t="shared" si="8"/>
        <v>7.5714285714285712</v>
      </c>
      <c r="AD128" s="23">
        <f t="shared" si="25"/>
        <v>0.42857142857142855</v>
      </c>
      <c r="AE128" s="23">
        <f t="shared" si="9"/>
        <v>1563.2857142857142</v>
      </c>
      <c r="AF128" s="25">
        <f t="shared" si="13"/>
        <v>6.5714285714285709E-3</v>
      </c>
      <c r="AG128" s="25"/>
      <c r="AH128" s="25"/>
      <c r="AI128" s="25"/>
      <c r="AJ128" s="25"/>
      <c r="AK128" s="25"/>
      <c r="AL128" s="25"/>
      <c r="AM128" s="26">
        <f t="shared" si="21"/>
        <v>24.428571428571427</v>
      </c>
    </row>
    <row r="129" spans="1:39" ht="16">
      <c r="A129" s="15">
        <v>44021</v>
      </c>
      <c r="B129" s="16">
        <v>4220</v>
      </c>
      <c r="C129" s="16">
        <v>10</v>
      </c>
      <c r="D129" s="16">
        <v>591</v>
      </c>
      <c r="E129" s="16">
        <v>2887</v>
      </c>
      <c r="F129" s="16">
        <v>289602</v>
      </c>
      <c r="G129" s="17">
        <f t="shared" si="2"/>
        <v>29551.224489795917</v>
      </c>
      <c r="H129" s="20"/>
      <c r="I129" s="13">
        <v>2.3999999999999998E-3</v>
      </c>
      <c r="J129" s="13">
        <v>1.46E-2</v>
      </c>
      <c r="K129" s="22">
        <v>3.0000000000000001E-3</v>
      </c>
      <c r="L129" s="16">
        <v>742</v>
      </c>
      <c r="M129" s="13">
        <v>0.14000000000000001</v>
      </c>
      <c r="N129" s="13">
        <v>0.68410000000000004</v>
      </c>
      <c r="P129" s="16">
        <v>909</v>
      </c>
      <c r="Q129" s="13">
        <v>1.0999999999999999E-2</v>
      </c>
      <c r="R129" s="16">
        <v>2</v>
      </c>
      <c r="S129" s="16">
        <v>2</v>
      </c>
      <c r="T129" s="16">
        <v>131</v>
      </c>
      <c r="U129" s="16">
        <v>6</v>
      </c>
      <c r="V129" s="19">
        <f t="shared" si="0"/>
        <v>0.17582938388625594</v>
      </c>
      <c r="W129" s="20">
        <f t="shared" ref="W129:X129" si="141">T129-T128</f>
        <v>-1</v>
      </c>
      <c r="X129" s="20">
        <f t="shared" si="141"/>
        <v>0</v>
      </c>
      <c r="Y129" s="19">
        <f t="shared" si="96"/>
        <v>0.17654986522911051</v>
      </c>
      <c r="Z129" s="19">
        <f t="shared" si="97"/>
        <v>4.5801526717557252E-2</v>
      </c>
      <c r="AA129" s="21">
        <f t="shared" si="18"/>
        <v>1.2558139534883721</v>
      </c>
      <c r="AB129" s="26">
        <f t="shared" si="27"/>
        <v>1.0111471145975697</v>
      </c>
      <c r="AC129" s="23">
        <f t="shared" si="8"/>
        <v>7.7142857142857144</v>
      </c>
      <c r="AD129" s="23">
        <f t="shared" si="25"/>
        <v>0.5714285714285714</v>
      </c>
      <c r="AE129" s="23">
        <f t="shared" si="9"/>
        <v>1416</v>
      </c>
      <c r="AF129" s="25">
        <f t="shared" si="13"/>
        <v>7.4857142857142856E-3</v>
      </c>
      <c r="AG129" s="25"/>
      <c r="AH129" s="25"/>
      <c r="AI129" s="25"/>
      <c r="AJ129" s="25"/>
      <c r="AK129" s="25"/>
      <c r="AL129" s="25"/>
      <c r="AM129" s="26">
        <f t="shared" si="21"/>
        <v>23.714285714285715</v>
      </c>
    </row>
    <row r="130" spans="1:39" ht="16">
      <c r="A130" s="15">
        <v>44022</v>
      </c>
      <c r="B130" s="16">
        <v>4223</v>
      </c>
      <c r="C130" s="16">
        <v>3</v>
      </c>
      <c r="D130" s="16">
        <v>593</v>
      </c>
      <c r="E130" s="16">
        <v>2941</v>
      </c>
      <c r="F130" s="16">
        <v>292037</v>
      </c>
      <c r="G130" s="17">
        <f t="shared" si="2"/>
        <v>29799.693877551017</v>
      </c>
      <c r="H130" s="20"/>
      <c r="I130" s="13">
        <v>6.9999999999999999E-4</v>
      </c>
      <c r="J130" s="13">
        <v>1.4500000000000001E-2</v>
      </c>
      <c r="K130" s="22">
        <v>8.0000000000000002E-3</v>
      </c>
      <c r="L130" s="16">
        <v>689</v>
      </c>
      <c r="M130" s="13">
        <v>0.1404</v>
      </c>
      <c r="N130" s="13">
        <v>0.69640000000000002</v>
      </c>
      <c r="P130" s="16">
        <v>2435</v>
      </c>
      <c r="Q130" s="13">
        <v>1.1999999999999999E-3</v>
      </c>
      <c r="R130" s="16">
        <v>2</v>
      </c>
      <c r="S130" s="16">
        <v>54</v>
      </c>
      <c r="T130" s="16">
        <v>133</v>
      </c>
      <c r="U130" s="16">
        <v>6</v>
      </c>
      <c r="V130" s="19">
        <f t="shared" si="0"/>
        <v>0.16315415581340278</v>
      </c>
      <c r="W130" s="20">
        <f t="shared" ref="W130:X130" si="142">T130-T129</f>
        <v>2</v>
      </c>
      <c r="X130" s="20">
        <f t="shared" si="142"/>
        <v>0</v>
      </c>
      <c r="Y130" s="19">
        <f t="shared" si="96"/>
        <v>0.19303338171262699</v>
      </c>
      <c r="Z130" s="19">
        <f t="shared" si="97"/>
        <v>4.5112781954887216E-2</v>
      </c>
      <c r="AA130" s="21">
        <f t="shared" si="18"/>
        <v>1.1333333333333333</v>
      </c>
      <c r="AB130" s="26">
        <f t="shared" si="27"/>
        <v>1.0333003237073004</v>
      </c>
      <c r="AC130" s="23">
        <f t="shared" si="8"/>
        <v>7.2857142857142856</v>
      </c>
      <c r="AD130" s="23">
        <f t="shared" si="25"/>
        <v>0.7142857142857143</v>
      </c>
      <c r="AE130" s="23">
        <f t="shared" si="9"/>
        <v>1487</v>
      </c>
      <c r="AF130" s="25">
        <f t="shared" si="13"/>
        <v>7.2142857142857139E-3</v>
      </c>
      <c r="AG130" s="25"/>
      <c r="AH130" s="25"/>
      <c r="AI130" s="25"/>
      <c r="AJ130" s="25"/>
      <c r="AK130" s="25"/>
      <c r="AL130" s="25"/>
      <c r="AM130" s="26">
        <f t="shared" si="21"/>
        <v>27</v>
      </c>
    </row>
    <row r="131" spans="1:39" ht="16">
      <c r="A131" s="15">
        <v>44023</v>
      </c>
      <c r="B131" s="16">
        <v>4229</v>
      </c>
      <c r="C131" s="16">
        <v>6</v>
      </c>
      <c r="D131" s="16">
        <v>595</v>
      </c>
      <c r="E131" s="16">
        <v>2974</v>
      </c>
      <c r="F131" s="16">
        <v>293220</v>
      </c>
      <c r="G131" s="17">
        <f t="shared" si="2"/>
        <v>29920.408163265303</v>
      </c>
      <c r="H131" s="20"/>
      <c r="I131" s="13">
        <v>1.4E-3</v>
      </c>
      <c r="J131" s="13">
        <v>1.44E-2</v>
      </c>
      <c r="K131" s="22">
        <v>4.0000000000000001E-3</v>
      </c>
      <c r="L131" s="16">
        <v>660</v>
      </c>
      <c r="M131" s="13">
        <v>0.14069999999999999</v>
      </c>
      <c r="N131" s="13">
        <v>0.70320000000000005</v>
      </c>
      <c r="P131" s="16">
        <v>1183</v>
      </c>
      <c r="Q131" s="13">
        <v>5.1000000000000004E-3</v>
      </c>
      <c r="R131" s="16">
        <v>2</v>
      </c>
      <c r="S131" s="16">
        <v>33</v>
      </c>
      <c r="T131" s="16">
        <v>129</v>
      </c>
      <c r="U131" s="16">
        <v>5</v>
      </c>
      <c r="V131" s="19">
        <f t="shared" si="0"/>
        <v>0.15606526365571058</v>
      </c>
      <c r="W131" s="20">
        <f t="shared" ref="W131:X131" si="143">T131-T130</f>
        <v>-4</v>
      </c>
      <c r="X131" s="20">
        <f t="shared" si="143"/>
        <v>-1</v>
      </c>
      <c r="Y131" s="19">
        <f t="shared" si="96"/>
        <v>0.19545454545454546</v>
      </c>
      <c r="Z131" s="19">
        <f t="shared" si="97"/>
        <v>3.875968992248062E-2</v>
      </c>
      <c r="AA131" s="21">
        <f t="shared" si="18"/>
        <v>1.5277777777777777</v>
      </c>
      <c r="AB131" s="26">
        <f t="shared" si="27"/>
        <v>1.1526531930601698</v>
      </c>
      <c r="AC131" s="23">
        <f t="shared" si="8"/>
        <v>7.8571428571428568</v>
      </c>
      <c r="AD131" s="23">
        <f t="shared" si="25"/>
        <v>0.8571428571428571</v>
      </c>
      <c r="AE131" s="23">
        <f t="shared" si="9"/>
        <v>1387.4285714285713</v>
      </c>
      <c r="AF131" s="25">
        <f t="shared" si="13"/>
        <v>7.7857142857142847E-3</v>
      </c>
      <c r="AG131" s="25"/>
      <c r="AH131" s="25"/>
      <c r="AI131" s="25"/>
      <c r="AJ131" s="25"/>
      <c r="AK131" s="25"/>
      <c r="AL131" s="25"/>
      <c r="AM131" s="26">
        <f t="shared" si="21"/>
        <v>27.142857142857142</v>
      </c>
    </row>
    <row r="132" spans="1:39" ht="16">
      <c r="A132" s="15">
        <v>44024</v>
      </c>
      <c r="B132" s="16">
        <v>4234</v>
      </c>
      <c r="C132" s="16">
        <v>5</v>
      </c>
      <c r="D132" s="16">
        <v>595</v>
      </c>
      <c r="E132" s="16">
        <v>3036</v>
      </c>
      <c r="F132" s="16">
        <v>294425</v>
      </c>
      <c r="G132" s="17">
        <f t="shared" si="2"/>
        <v>30043.367346938772</v>
      </c>
      <c r="H132" s="20"/>
      <c r="I132" s="13">
        <v>1.1999999999999999E-3</v>
      </c>
      <c r="J132" s="13">
        <v>1.44E-2</v>
      </c>
      <c r="K132" s="22">
        <v>4.0000000000000001E-3</v>
      </c>
      <c r="L132" s="16">
        <v>603</v>
      </c>
      <c r="M132" s="13">
        <v>0.14050000000000001</v>
      </c>
      <c r="N132" s="13">
        <v>0.71709999999999996</v>
      </c>
      <c r="O132" s="16">
        <v>2322</v>
      </c>
      <c r="P132" s="16">
        <v>1205</v>
      </c>
      <c r="Q132" s="13">
        <v>4.1000000000000003E-3</v>
      </c>
      <c r="R132" s="16">
        <v>0</v>
      </c>
      <c r="S132" s="16">
        <v>62</v>
      </c>
      <c r="T132" s="16">
        <v>128</v>
      </c>
      <c r="U132" s="16">
        <v>5</v>
      </c>
      <c r="V132" s="19">
        <f t="shared" si="0"/>
        <v>0.14241851676901277</v>
      </c>
      <c r="W132" s="20">
        <f t="shared" ref="W132:X132" si="144">T132-T131</f>
        <v>-1</v>
      </c>
      <c r="X132" s="20">
        <f t="shared" si="144"/>
        <v>0</v>
      </c>
      <c r="Y132" s="19">
        <f t="shared" si="96"/>
        <v>0.21227197346600332</v>
      </c>
      <c r="Z132" s="19">
        <f t="shared" si="97"/>
        <v>3.90625E-2</v>
      </c>
      <c r="AA132" s="21">
        <f t="shared" si="18"/>
        <v>1.2439024390243902</v>
      </c>
      <c r="AB132" s="26">
        <f t="shared" si="27"/>
        <v>1.2083297319684159</v>
      </c>
      <c r="AC132" s="23">
        <f t="shared" si="8"/>
        <v>7.2857142857142856</v>
      </c>
      <c r="AD132" s="23">
        <f t="shared" si="25"/>
        <v>0.8571428571428571</v>
      </c>
      <c r="AE132" s="23">
        <f t="shared" si="9"/>
        <v>1262.1428571428571</v>
      </c>
      <c r="AF132" s="25">
        <f t="shared" si="13"/>
        <v>7.7571428571428565E-3</v>
      </c>
      <c r="AG132" s="25"/>
      <c r="AH132" s="25"/>
      <c r="AI132" s="25"/>
      <c r="AJ132" s="25"/>
      <c r="AK132" s="25"/>
      <c r="AL132" s="25"/>
      <c r="AM132" s="26">
        <f t="shared" si="21"/>
        <v>32.142857142857146</v>
      </c>
    </row>
    <row r="133" spans="1:39" ht="16">
      <c r="A133" s="15">
        <v>44025</v>
      </c>
      <c r="B133" s="16">
        <v>4247</v>
      </c>
      <c r="C133" s="16">
        <v>13</v>
      </c>
      <c r="D133" s="16">
        <v>595</v>
      </c>
      <c r="E133" s="16">
        <v>3073</v>
      </c>
      <c r="F133" s="16">
        <v>295561</v>
      </c>
      <c r="G133" s="17">
        <f t="shared" si="2"/>
        <v>30159.285714285714</v>
      </c>
      <c r="H133" s="20"/>
      <c r="I133" s="13">
        <v>3.0999999999999999E-3</v>
      </c>
      <c r="J133" s="13">
        <v>1.44E-2</v>
      </c>
      <c r="K133" s="22">
        <v>4.0000000000000001E-3</v>
      </c>
      <c r="L133" s="16">
        <v>579</v>
      </c>
      <c r="M133" s="13">
        <v>0.1401</v>
      </c>
      <c r="N133" s="13">
        <v>0.72360000000000002</v>
      </c>
      <c r="O133" s="16">
        <v>2453</v>
      </c>
      <c r="P133" s="16">
        <v>1136</v>
      </c>
      <c r="Q133" s="13">
        <v>1.14E-2</v>
      </c>
      <c r="R133" s="16">
        <v>0</v>
      </c>
      <c r="S133" s="16">
        <v>37</v>
      </c>
      <c r="T133" s="16">
        <v>127</v>
      </c>
      <c r="U133" s="16">
        <v>5</v>
      </c>
      <c r="V133" s="19">
        <f t="shared" si="0"/>
        <v>0.13633152813750882</v>
      </c>
      <c r="W133" s="20">
        <f t="shared" ref="W133:X133" si="145">T133-T132</f>
        <v>-1</v>
      </c>
      <c r="X133" s="20">
        <f t="shared" si="145"/>
        <v>0</v>
      </c>
      <c r="Y133" s="19">
        <f t="shared" si="96"/>
        <v>0.21934369602763384</v>
      </c>
      <c r="Z133" s="19">
        <f t="shared" si="97"/>
        <v>3.937007874015748E-2</v>
      </c>
      <c r="AA133" s="21">
        <f t="shared" si="18"/>
        <v>1.3181818181818181</v>
      </c>
      <c r="AB133" s="26">
        <f t="shared" si="27"/>
        <v>1.2504620182867487</v>
      </c>
      <c r="AC133" s="23">
        <f t="shared" si="8"/>
        <v>8.2857142857142865</v>
      </c>
      <c r="AD133" s="23">
        <f t="shared" si="25"/>
        <v>0.8571428571428571</v>
      </c>
      <c r="AE133" s="23">
        <f t="shared" si="9"/>
        <v>1354</v>
      </c>
      <c r="AF133" s="25">
        <f t="shared" si="13"/>
        <v>7.6428571428571431E-3</v>
      </c>
      <c r="AG133" s="25"/>
      <c r="AH133" s="25"/>
      <c r="AI133" s="25"/>
      <c r="AJ133" s="25"/>
      <c r="AK133" s="25"/>
      <c r="AL133" s="25"/>
      <c r="AM133" s="26">
        <f t="shared" si="21"/>
        <v>30.428571428571427</v>
      </c>
    </row>
    <row r="134" spans="1:39" ht="16">
      <c r="A134" s="15">
        <v>44026</v>
      </c>
      <c r="B134" s="16">
        <v>4258</v>
      </c>
      <c r="C134" s="16">
        <v>11</v>
      </c>
      <c r="D134" s="16">
        <v>595</v>
      </c>
      <c r="E134" s="16">
        <v>3106</v>
      </c>
      <c r="F134" s="16">
        <v>296358</v>
      </c>
      <c r="G134" s="17">
        <f t="shared" si="2"/>
        <v>30240.612244897959</v>
      </c>
      <c r="H134" s="20"/>
      <c r="I134" s="13">
        <v>2.5999999999999999E-3</v>
      </c>
      <c r="J134" s="13">
        <v>1.44E-2</v>
      </c>
      <c r="K134" s="22">
        <v>3.0000000000000001E-3</v>
      </c>
      <c r="L134" s="16">
        <v>557</v>
      </c>
      <c r="M134" s="13">
        <v>0.13969999999999999</v>
      </c>
      <c r="N134" s="13">
        <v>0.72950000000000004</v>
      </c>
      <c r="P134" s="16">
        <v>797</v>
      </c>
      <c r="Q134" s="13">
        <v>1.38E-2</v>
      </c>
      <c r="R134" s="16">
        <v>0</v>
      </c>
      <c r="S134" s="16">
        <v>33</v>
      </c>
      <c r="T134" s="16">
        <v>131</v>
      </c>
      <c r="U134" s="16">
        <v>5</v>
      </c>
      <c r="V134" s="19">
        <f t="shared" si="0"/>
        <v>0.13081258806951621</v>
      </c>
      <c r="W134" s="20">
        <f t="shared" ref="W134:X134" si="146">T134-T133</f>
        <v>4</v>
      </c>
      <c r="X134" s="20">
        <f t="shared" si="146"/>
        <v>0</v>
      </c>
      <c r="Y134" s="19">
        <f t="shared" si="96"/>
        <v>0.23518850987432674</v>
      </c>
      <c r="Z134" s="19">
        <f t="shared" si="97"/>
        <v>3.8167938931297711E-2</v>
      </c>
      <c r="AA134" s="21">
        <f t="shared" si="18"/>
        <v>1.06</v>
      </c>
      <c r="AB134" s="26">
        <f t="shared" si="27"/>
        <v>1.2530810659057965</v>
      </c>
      <c r="AC134" s="23">
        <f t="shared" si="8"/>
        <v>7.5714285714285712</v>
      </c>
      <c r="AD134" s="23">
        <f t="shared" si="25"/>
        <v>0.8571428571428571</v>
      </c>
      <c r="AE134" s="23">
        <f t="shared" si="9"/>
        <v>1339.2857142857142</v>
      </c>
      <c r="AF134" s="25">
        <f t="shared" si="13"/>
        <v>7.0714285714285705E-3</v>
      </c>
      <c r="AG134" s="25"/>
      <c r="AH134" s="25"/>
      <c r="AI134" s="25"/>
      <c r="AJ134" s="25"/>
      <c r="AK134" s="25"/>
      <c r="AL134" s="25"/>
      <c r="AM134" s="26">
        <f t="shared" si="21"/>
        <v>33.142857142857146</v>
      </c>
    </row>
    <row r="135" spans="1:39" ht="16">
      <c r="A135" s="15">
        <v>44027</v>
      </c>
      <c r="B135" s="16">
        <v>4263</v>
      </c>
      <c r="C135" s="16">
        <v>5</v>
      </c>
      <c r="D135" s="16">
        <v>595</v>
      </c>
      <c r="E135" s="16">
        <v>3127</v>
      </c>
      <c r="F135" s="16">
        <v>299185</v>
      </c>
      <c r="G135" s="17">
        <f t="shared" si="2"/>
        <v>30529.081632653058</v>
      </c>
      <c r="H135" s="20"/>
      <c r="I135" s="13">
        <v>1.1999999999999999E-3</v>
      </c>
      <c r="J135" s="13">
        <v>1.4200000000000001E-2</v>
      </c>
      <c r="K135" s="22">
        <v>8.9999999999999993E-3</v>
      </c>
      <c r="L135" s="16">
        <v>541</v>
      </c>
      <c r="M135" s="13">
        <v>0.1396</v>
      </c>
      <c r="N135" s="13">
        <v>0.73350000000000004</v>
      </c>
      <c r="P135" s="16">
        <v>2827</v>
      </c>
      <c r="Q135" s="13">
        <v>1.8E-3</v>
      </c>
      <c r="R135" s="16">
        <v>0</v>
      </c>
      <c r="S135" s="16">
        <v>21</v>
      </c>
      <c r="T135" s="16">
        <v>125</v>
      </c>
      <c r="U135" s="16">
        <v>5</v>
      </c>
      <c r="V135" s="19">
        <f t="shared" si="0"/>
        <v>0.12690593478770817</v>
      </c>
      <c r="W135" s="20">
        <f t="shared" ref="W135:X135" si="147">T135-T134</f>
        <v>-6</v>
      </c>
      <c r="X135" s="20">
        <f t="shared" si="147"/>
        <v>0</v>
      </c>
      <c r="Y135" s="19">
        <f t="shared" si="96"/>
        <v>0.23105360443622922</v>
      </c>
      <c r="Z135" s="19">
        <f t="shared" si="97"/>
        <v>0.04</v>
      </c>
      <c r="AA135" s="21">
        <f t="shared" si="18"/>
        <v>1</v>
      </c>
      <c r="AB135" s="26">
        <f t="shared" si="27"/>
        <v>1.2198584745436702</v>
      </c>
      <c r="AC135" s="23">
        <f t="shared" si="8"/>
        <v>7.5714285714285712</v>
      </c>
      <c r="AD135" s="23">
        <f t="shared" si="25"/>
        <v>0.8571428571428571</v>
      </c>
      <c r="AE135" s="23">
        <f t="shared" si="9"/>
        <v>1498.8571428571429</v>
      </c>
      <c r="AF135" s="25">
        <f t="shared" si="13"/>
        <v>6.914285714285714E-3</v>
      </c>
      <c r="AG135" s="25"/>
      <c r="AH135" s="25"/>
      <c r="AI135" s="25"/>
      <c r="AJ135" s="25"/>
      <c r="AK135" s="25"/>
      <c r="AL135" s="25"/>
      <c r="AM135" s="26">
        <f t="shared" si="21"/>
        <v>34.571428571428569</v>
      </c>
    </row>
    <row r="136" spans="1:39" ht="16">
      <c r="A136" s="15">
        <v>44028</v>
      </c>
      <c r="B136" s="16">
        <v>4279</v>
      </c>
      <c r="C136" s="16">
        <v>16</v>
      </c>
      <c r="D136" s="16">
        <v>595</v>
      </c>
      <c r="E136" s="16">
        <v>3156</v>
      </c>
      <c r="F136" s="16">
        <v>300632</v>
      </c>
      <c r="G136" s="17">
        <f t="shared" si="2"/>
        <v>30676.734693877548</v>
      </c>
      <c r="H136" s="20"/>
      <c r="I136" s="13">
        <v>3.8E-3</v>
      </c>
      <c r="J136" s="13">
        <v>1.4200000000000001E-2</v>
      </c>
      <c r="K136" s="22">
        <v>5.0000000000000001E-3</v>
      </c>
      <c r="L136" s="16">
        <v>528</v>
      </c>
      <c r="M136" s="13">
        <v>0.1391</v>
      </c>
      <c r="N136" s="13">
        <v>0.73760000000000003</v>
      </c>
      <c r="P136" s="16">
        <v>1447</v>
      </c>
      <c r="Q136" s="13">
        <v>1.11E-2</v>
      </c>
      <c r="R136" s="16">
        <v>0</v>
      </c>
      <c r="S136" s="16">
        <v>29</v>
      </c>
      <c r="T136" s="16">
        <v>109</v>
      </c>
      <c r="U136" s="16">
        <v>5</v>
      </c>
      <c r="V136" s="19">
        <f t="shared" si="0"/>
        <v>0.12339331619537275</v>
      </c>
      <c r="W136" s="20">
        <f t="shared" ref="W136:X136" si="148">T136-T135</f>
        <v>-16</v>
      </c>
      <c r="X136" s="20">
        <f t="shared" si="148"/>
        <v>0</v>
      </c>
      <c r="Y136" s="19">
        <f t="shared" si="96"/>
        <v>0.20643939393939395</v>
      </c>
      <c r="Z136" s="19">
        <f t="shared" si="97"/>
        <v>4.5871559633027525E-2</v>
      </c>
      <c r="AA136" s="21">
        <f t="shared" si="18"/>
        <v>1.0925925925925926</v>
      </c>
      <c r="AB136" s="26">
        <f t="shared" si="27"/>
        <v>1.1965411372728443</v>
      </c>
      <c r="AC136" s="23">
        <f t="shared" si="8"/>
        <v>8.4285714285714288</v>
      </c>
      <c r="AD136" s="23">
        <f t="shared" si="25"/>
        <v>0.5714285714285714</v>
      </c>
      <c r="AE136" s="23">
        <f t="shared" si="9"/>
        <v>1575.7142857142858</v>
      </c>
      <c r="AF136" s="25">
        <f t="shared" si="13"/>
        <v>6.9285714285714289E-3</v>
      </c>
      <c r="AG136" s="25"/>
      <c r="AH136" s="25"/>
      <c r="AI136" s="25"/>
      <c r="AJ136" s="25"/>
      <c r="AK136" s="25"/>
      <c r="AL136" s="25"/>
      <c r="AM136" s="26">
        <f t="shared" si="21"/>
        <v>38.428571428571431</v>
      </c>
    </row>
    <row r="137" spans="1:39" ht="16">
      <c r="A137" s="15">
        <v>44029</v>
      </c>
      <c r="B137" s="16">
        <v>4293</v>
      </c>
      <c r="C137" s="16">
        <v>14</v>
      </c>
      <c r="D137" s="16">
        <v>595</v>
      </c>
      <c r="E137" s="16">
        <v>3220</v>
      </c>
      <c r="F137" s="16">
        <v>302749</v>
      </c>
      <c r="G137" s="17">
        <f t="shared" si="2"/>
        <v>30892.755102040814</v>
      </c>
      <c r="H137" s="20"/>
      <c r="I137" s="13">
        <v>3.3E-3</v>
      </c>
      <c r="J137" s="13">
        <v>1.4200000000000001E-2</v>
      </c>
      <c r="K137" s="22">
        <v>7.0000000000000001E-3</v>
      </c>
      <c r="L137" s="16">
        <v>478</v>
      </c>
      <c r="M137" s="13">
        <v>0.1386</v>
      </c>
      <c r="N137" s="13">
        <v>0.75009999999999999</v>
      </c>
      <c r="P137" s="16">
        <v>2117</v>
      </c>
      <c r="Q137" s="13">
        <v>6.6E-3</v>
      </c>
      <c r="R137" s="16">
        <v>0</v>
      </c>
      <c r="S137" s="16">
        <v>64</v>
      </c>
      <c r="T137" s="16">
        <v>83</v>
      </c>
      <c r="U137" s="16">
        <v>4</v>
      </c>
      <c r="V137" s="19">
        <f t="shared" si="0"/>
        <v>0.1113440484509667</v>
      </c>
      <c r="W137" s="20">
        <f t="shared" ref="W137:X137" si="149">T137-T136</f>
        <v>-26</v>
      </c>
      <c r="X137" s="20">
        <f t="shared" si="149"/>
        <v>-1</v>
      </c>
      <c r="Y137" s="19">
        <f t="shared" si="96"/>
        <v>0.17364016736401675</v>
      </c>
      <c r="Z137" s="19">
        <f t="shared" si="97"/>
        <v>4.8192771084337352E-2</v>
      </c>
      <c r="AA137" s="21">
        <f t="shared" si="18"/>
        <v>1.3725490196078431</v>
      </c>
      <c r="AB137" s="26">
        <f t="shared" si="27"/>
        <v>1.2307148067406317</v>
      </c>
      <c r="AC137" s="23">
        <f t="shared" si="8"/>
        <v>10</v>
      </c>
      <c r="AD137" s="23">
        <f t="shared" si="25"/>
        <v>0.2857142857142857</v>
      </c>
      <c r="AE137" s="23">
        <f t="shared" si="9"/>
        <v>1530.2857142857142</v>
      </c>
      <c r="AF137" s="25">
        <f t="shared" si="13"/>
        <v>7.7000000000000002E-3</v>
      </c>
      <c r="AG137" s="25"/>
      <c r="AH137" s="25"/>
      <c r="AI137" s="25"/>
      <c r="AJ137" s="25"/>
      <c r="AK137" s="25"/>
      <c r="AL137" s="25"/>
      <c r="AM137" s="26">
        <f t="shared" si="21"/>
        <v>39.857142857142854</v>
      </c>
    </row>
    <row r="138" spans="1:39" ht="16">
      <c r="A138" s="15">
        <v>44030</v>
      </c>
      <c r="B138" s="16">
        <v>4315</v>
      </c>
      <c r="C138" s="16">
        <v>22</v>
      </c>
      <c r="D138" s="16">
        <v>596</v>
      </c>
      <c r="E138" s="16">
        <v>3222</v>
      </c>
      <c r="F138" s="16">
        <v>305133</v>
      </c>
      <c r="G138" s="17">
        <f t="shared" si="2"/>
        <v>31136.020408163262</v>
      </c>
      <c r="H138" s="20"/>
      <c r="I138" s="13">
        <v>5.1000000000000004E-3</v>
      </c>
      <c r="J138" s="13">
        <v>1.41E-2</v>
      </c>
      <c r="K138" s="22">
        <v>8.0000000000000002E-3</v>
      </c>
      <c r="L138" s="16">
        <v>497</v>
      </c>
      <c r="M138" s="13">
        <v>0.1381</v>
      </c>
      <c r="N138" s="13">
        <v>0.74670000000000003</v>
      </c>
      <c r="O138" s="16">
        <v>4953</v>
      </c>
      <c r="P138" s="16">
        <v>2384</v>
      </c>
      <c r="Q138" s="13">
        <v>9.1999999999999998E-3</v>
      </c>
      <c r="R138" s="16">
        <v>1</v>
      </c>
      <c r="S138" s="16">
        <v>2</v>
      </c>
      <c r="T138" s="16">
        <v>83</v>
      </c>
      <c r="U138" s="16">
        <v>3</v>
      </c>
      <c r="V138" s="19">
        <f t="shared" si="0"/>
        <v>0.11517960602549247</v>
      </c>
      <c r="W138" s="20">
        <f t="shared" ref="W138:X138" si="150">T138-T137</f>
        <v>0</v>
      </c>
      <c r="X138" s="20">
        <f t="shared" si="150"/>
        <v>-1</v>
      </c>
      <c r="Y138" s="19">
        <f t="shared" si="96"/>
        <v>0.16700201207243462</v>
      </c>
      <c r="Z138" s="19">
        <f t="shared" si="97"/>
        <v>3.614457831325301E-2</v>
      </c>
      <c r="AA138" s="21">
        <f t="shared" si="18"/>
        <v>1.5636363636363637</v>
      </c>
      <c r="AB138" s="26">
        <f t="shared" si="27"/>
        <v>1.235837461863287</v>
      </c>
      <c r="AC138" s="23">
        <f t="shared" si="8"/>
        <v>12.285714285714286</v>
      </c>
      <c r="AD138" s="23">
        <f t="shared" si="25"/>
        <v>0.14285714285714285</v>
      </c>
      <c r="AE138" s="23">
        <f t="shared" si="9"/>
        <v>1701.8571428571429</v>
      </c>
      <c r="AF138" s="25">
        <f t="shared" si="13"/>
        <v>8.2857142857142869E-3</v>
      </c>
      <c r="AG138" s="25"/>
      <c r="AH138" s="25"/>
      <c r="AI138" s="25"/>
      <c r="AJ138" s="25"/>
      <c r="AK138" s="25"/>
      <c r="AL138" s="25"/>
      <c r="AM138" s="26">
        <f t="shared" si="21"/>
        <v>35.428571428571431</v>
      </c>
    </row>
    <row r="139" spans="1:39" ht="16">
      <c r="A139" s="15">
        <v>44031</v>
      </c>
      <c r="B139" s="16">
        <v>4333</v>
      </c>
      <c r="C139" s="16">
        <v>18</v>
      </c>
      <c r="D139" s="16">
        <v>596</v>
      </c>
      <c r="E139" s="16">
        <v>3223</v>
      </c>
      <c r="F139" s="16">
        <v>307846</v>
      </c>
      <c r="G139" s="17">
        <f t="shared" si="2"/>
        <v>31412.857142857141</v>
      </c>
      <c r="H139" s="20"/>
      <c r="I139" s="13">
        <v>4.1999999999999997E-3</v>
      </c>
      <c r="J139" s="13">
        <v>1.41E-2</v>
      </c>
      <c r="K139" s="22">
        <v>8.9999999999999993E-3</v>
      </c>
      <c r="L139" s="16">
        <v>514</v>
      </c>
      <c r="M139" s="13">
        <v>0.13750000000000001</v>
      </c>
      <c r="N139" s="13">
        <v>0.74380000000000002</v>
      </c>
      <c r="O139" s="16">
        <v>5486</v>
      </c>
      <c r="P139" s="16">
        <v>2713</v>
      </c>
      <c r="Q139" s="13">
        <v>6.6E-3</v>
      </c>
      <c r="R139" s="16">
        <v>0</v>
      </c>
      <c r="S139" s="16">
        <v>1</v>
      </c>
      <c r="T139" s="16">
        <v>82</v>
      </c>
      <c r="U139" s="16">
        <v>3</v>
      </c>
      <c r="V139" s="19">
        <f t="shared" si="0"/>
        <v>0.11862450957765983</v>
      </c>
      <c r="W139" s="20">
        <f t="shared" ref="W139:X139" si="151">T139-T138</f>
        <v>-1</v>
      </c>
      <c r="X139" s="20">
        <f t="shared" si="151"/>
        <v>0</v>
      </c>
      <c r="Y139" s="19">
        <f t="shared" si="96"/>
        <v>0.15953307392996108</v>
      </c>
      <c r="Z139" s="19">
        <f t="shared" si="97"/>
        <v>3.6585365853658534E-2</v>
      </c>
      <c r="AA139" s="21">
        <f t="shared" si="18"/>
        <v>1.9411764705882353</v>
      </c>
      <c r="AB139" s="26">
        <f t="shared" si="27"/>
        <v>1.335448037800979</v>
      </c>
      <c r="AC139" s="23">
        <f t="shared" si="8"/>
        <v>14.142857142857142</v>
      </c>
      <c r="AD139" s="23">
        <f t="shared" si="25"/>
        <v>0.14285714285714285</v>
      </c>
      <c r="AE139" s="23">
        <f t="shared" si="9"/>
        <v>1917.2857142857142</v>
      </c>
      <c r="AF139" s="25">
        <f t="shared" si="13"/>
        <v>8.6428571428571431E-3</v>
      </c>
      <c r="AG139" s="25"/>
      <c r="AH139" s="25"/>
      <c r="AI139" s="25"/>
      <c r="AJ139" s="25"/>
      <c r="AK139" s="25"/>
      <c r="AL139" s="25"/>
      <c r="AM139" s="26">
        <f t="shared" si="21"/>
        <v>26.714285714285715</v>
      </c>
    </row>
    <row r="140" spans="1:39" ht="16">
      <c r="A140" s="15">
        <v>44032</v>
      </c>
      <c r="B140" s="16">
        <v>4339</v>
      </c>
      <c r="C140" s="16">
        <v>6</v>
      </c>
      <c r="D140" s="16">
        <v>596</v>
      </c>
      <c r="E140" s="16">
        <v>3232</v>
      </c>
      <c r="F140" s="16">
        <v>310070</v>
      </c>
      <c r="G140" s="17">
        <f t="shared" si="2"/>
        <v>31639.795918367345</v>
      </c>
      <c r="H140" s="20"/>
      <c r="I140" s="13">
        <v>1.4E-3</v>
      </c>
      <c r="J140" s="13">
        <v>1.4E-2</v>
      </c>
      <c r="K140" s="22">
        <v>7.0000000000000001E-3</v>
      </c>
      <c r="L140" s="16">
        <v>511</v>
      </c>
      <c r="M140" s="13">
        <v>0.13739999999999999</v>
      </c>
      <c r="N140" s="13">
        <v>0.74490000000000001</v>
      </c>
      <c r="O140" s="16">
        <v>5710</v>
      </c>
      <c r="P140" s="16">
        <v>2224</v>
      </c>
      <c r="Q140" s="13">
        <v>2.7000000000000001E-3</v>
      </c>
      <c r="R140" s="16">
        <v>0</v>
      </c>
      <c r="S140" s="16">
        <v>9</v>
      </c>
      <c r="T140" s="16">
        <v>83</v>
      </c>
      <c r="U140" s="16">
        <v>5</v>
      </c>
      <c r="V140" s="19">
        <f t="shared" si="0"/>
        <v>0.11776907121456556</v>
      </c>
      <c r="W140" s="20">
        <f t="shared" ref="W140:X140" si="152">T140-T139</f>
        <v>1</v>
      </c>
      <c r="X140" s="20">
        <f t="shared" si="152"/>
        <v>2</v>
      </c>
      <c r="Y140" s="19">
        <f t="shared" si="96"/>
        <v>0.16242661448140899</v>
      </c>
      <c r="Z140" s="19">
        <f t="shared" si="97"/>
        <v>6.0240963855421686E-2</v>
      </c>
      <c r="AA140" s="21">
        <f t="shared" si="18"/>
        <v>1.5862068965517242</v>
      </c>
      <c r="AB140" s="26">
        <f t="shared" si="27"/>
        <v>1.3737373347109654</v>
      </c>
      <c r="AC140" s="23">
        <f t="shared" si="8"/>
        <v>13.142857142857142</v>
      </c>
      <c r="AD140" s="23">
        <f t="shared" si="25"/>
        <v>0.14285714285714285</v>
      </c>
      <c r="AE140" s="23">
        <f t="shared" si="9"/>
        <v>2072.7142857142858</v>
      </c>
      <c r="AF140" s="25">
        <f t="shared" si="13"/>
        <v>7.4000000000000012E-3</v>
      </c>
      <c r="AG140" s="25"/>
      <c r="AH140" s="25"/>
      <c r="AI140" s="25"/>
      <c r="AJ140" s="25"/>
      <c r="AK140" s="25"/>
      <c r="AL140" s="25"/>
      <c r="AM140" s="26">
        <f t="shared" si="21"/>
        <v>22.714285714285715</v>
      </c>
    </row>
    <row r="141" spans="1:39" ht="16">
      <c r="A141" s="15">
        <v>44033</v>
      </c>
      <c r="B141" s="16">
        <v>4347</v>
      </c>
      <c r="C141" s="16">
        <v>8</v>
      </c>
      <c r="D141" s="16">
        <v>596</v>
      </c>
      <c r="E141" s="16">
        <v>3257</v>
      </c>
      <c r="F141" s="16">
        <v>310830</v>
      </c>
      <c r="G141" s="17">
        <f t="shared" si="2"/>
        <v>31717.346938775507</v>
      </c>
      <c r="H141" s="20"/>
      <c r="I141" s="13">
        <v>1.8E-3</v>
      </c>
      <c r="J141" s="13">
        <v>1.4E-2</v>
      </c>
      <c r="K141" s="22">
        <v>2E-3</v>
      </c>
      <c r="L141" s="16">
        <v>494</v>
      </c>
      <c r="M141" s="13">
        <v>0.1371</v>
      </c>
      <c r="N141" s="13">
        <v>0.74929999999999997</v>
      </c>
      <c r="O141" s="16">
        <v>6388</v>
      </c>
      <c r="P141" s="16">
        <v>760</v>
      </c>
      <c r="Q141" s="13">
        <v>1.0500000000000001E-2</v>
      </c>
      <c r="R141" s="16">
        <v>0</v>
      </c>
      <c r="S141" s="16">
        <v>25</v>
      </c>
      <c r="T141" s="16">
        <v>78</v>
      </c>
      <c r="U141" s="16">
        <v>4</v>
      </c>
      <c r="V141" s="19">
        <f t="shared" si="0"/>
        <v>0.11364159190246147</v>
      </c>
      <c r="W141" s="20">
        <f t="shared" ref="W141:X141" si="153">T141-T140</f>
        <v>-5</v>
      </c>
      <c r="X141" s="20">
        <f t="shared" si="153"/>
        <v>-1</v>
      </c>
      <c r="Y141" s="19">
        <f t="shared" si="96"/>
        <v>0.15789473684210525</v>
      </c>
      <c r="Z141" s="19">
        <f t="shared" si="97"/>
        <v>5.128205128205128E-2</v>
      </c>
      <c r="AA141" s="21">
        <f t="shared" si="18"/>
        <v>1.679245283018868</v>
      </c>
      <c r="AB141" s="26">
        <f t="shared" si="27"/>
        <v>1.4622009465708039</v>
      </c>
      <c r="AC141" s="23">
        <f t="shared" si="8"/>
        <v>12.714285714285714</v>
      </c>
      <c r="AD141" s="23">
        <f t="shared" si="25"/>
        <v>0.14285714285714285</v>
      </c>
      <c r="AE141" s="23">
        <f t="shared" si="9"/>
        <v>2067.4285714285716</v>
      </c>
      <c r="AF141" s="25">
        <f t="shared" si="13"/>
        <v>6.9285714285714289E-3</v>
      </c>
      <c r="AG141" s="25"/>
      <c r="AH141" s="25"/>
      <c r="AI141" s="25"/>
      <c r="AJ141" s="25"/>
      <c r="AK141" s="25"/>
      <c r="AL141" s="25"/>
      <c r="AM141" s="26">
        <f t="shared" si="21"/>
        <v>21.571428571428573</v>
      </c>
    </row>
    <row r="142" spans="1:39" ht="16">
      <c r="A142" s="15">
        <v>44034</v>
      </c>
      <c r="B142" s="16">
        <v>4366</v>
      </c>
      <c r="C142" s="16">
        <v>19</v>
      </c>
      <c r="D142" s="16">
        <v>596</v>
      </c>
      <c r="E142" s="16">
        <v>3283</v>
      </c>
      <c r="F142" s="16">
        <v>312988</v>
      </c>
      <c r="G142" s="17">
        <f t="shared" si="2"/>
        <v>31937.551020408162</v>
      </c>
      <c r="H142" s="20"/>
      <c r="I142" s="13">
        <v>4.4000000000000003E-3</v>
      </c>
      <c r="J142" s="13">
        <v>1.3899999999999999E-2</v>
      </c>
      <c r="K142" s="22">
        <v>7.0000000000000001E-3</v>
      </c>
      <c r="L142" s="16">
        <v>487</v>
      </c>
      <c r="M142" s="13">
        <v>0.13650000000000001</v>
      </c>
      <c r="N142" s="13">
        <v>0.75190000000000001</v>
      </c>
      <c r="O142" s="16">
        <v>6553</v>
      </c>
      <c r="P142" s="16">
        <v>2158</v>
      </c>
      <c r="Q142" s="13">
        <v>8.8000000000000005E-3</v>
      </c>
      <c r="R142" s="16">
        <v>0</v>
      </c>
      <c r="S142" s="16">
        <v>26</v>
      </c>
      <c r="T142" s="16">
        <v>78</v>
      </c>
      <c r="U142" s="16">
        <v>4</v>
      </c>
      <c r="V142" s="19">
        <f t="shared" si="0"/>
        <v>0.11154374713696748</v>
      </c>
      <c r="W142" s="20">
        <f t="shared" ref="W142:X142" si="154">T142-T141</f>
        <v>0</v>
      </c>
      <c r="X142" s="20">
        <f t="shared" si="154"/>
        <v>0</v>
      </c>
      <c r="Y142" s="19">
        <f t="shared" si="96"/>
        <v>0.16016427104722791</v>
      </c>
      <c r="Z142" s="19">
        <f t="shared" si="97"/>
        <v>5.128205128205128E-2</v>
      </c>
      <c r="AA142" s="21">
        <f t="shared" si="18"/>
        <v>1.9433962264150944</v>
      </c>
      <c r="AB142" s="26">
        <f t="shared" si="27"/>
        <v>1.5969718360586747</v>
      </c>
      <c r="AC142" s="23">
        <f t="shared" si="8"/>
        <v>14.714285714285714</v>
      </c>
      <c r="AD142" s="23">
        <f t="shared" si="25"/>
        <v>0.14285714285714285</v>
      </c>
      <c r="AE142" s="23">
        <f t="shared" si="9"/>
        <v>1971.8571428571429</v>
      </c>
      <c r="AF142" s="25">
        <f t="shared" si="13"/>
        <v>7.9285714285714289E-3</v>
      </c>
      <c r="AG142" s="25"/>
      <c r="AH142" s="25"/>
      <c r="AI142" s="25"/>
      <c r="AJ142" s="25"/>
      <c r="AK142" s="25"/>
      <c r="AL142" s="25"/>
      <c r="AM142" s="26">
        <f t="shared" si="21"/>
        <v>22.285714285714285</v>
      </c>
    </row>
    <row r="143" spans="1:39" ht="16">
      <c r="A143" s="15">
        <v>44035</v>
      </c>
      <c r="B143" s="16">
        <v>4380</v>
      </c>
      <c r="C143" s="16">
        <v>14</v>
      </c>
      <c r="D143" s="16">
        <v>596</v>
      </c>
      <c r="E143" s="16">
        <v>3300</v>
      </c>
      <c r="F143" s="16">
        <v>316120</v>
      </c>
      <c r="G143" s="17">
        <f t="shared" si="2"/>
        <v>32257.142857142855</v>
      </c>
      <c r="H143" s="20"/>
      <c r="I143" s="13">
        <v>3.2000000000000002E-3</v>
      </c>
      <c r="J143" s="13">
        <v>1.3899999999999999E-2</v>
      </c>
      <c r="K143" s="22">
        <v>0.01</v>
      </c>
      <c r="L143" s="16">
        <v>484</v>
      </c>
      <c r="M143" s="13">
        <v>0.1361</v>
      </c>
      <c r="N143" s="13">
        <v>0.75339999999999996</v>
      </c>
      <c r="O143" s="16">
        <v>7001</v>
      </c>
      <c r="P143" s="16">
        <v>3132</v>
      </c>
      <c r="Q143" s="13">
        <v>4.4999999999999997E-3</v>
      </c>
      <c r="R143" s="16">
        <v>0</v>
      </c>
      <c r="S143" s="16">
        <v>17</v>
      </c>
      <c r="T143" s="16">
        <v>76</v>
      </c>
      <c r="U143" s="16">
        <v>4</v>
      </c>
      <c r="V143" s="19">
        <f t="shared" si="0"/>
        <v>0.11050228310502283</v>
      </c>
      <c r="W143" s="20">
        <f t="shared" ref="W143:X143" si="155">T143-T142</f>
        <v>-2</v>
      </c>
      <c r="X143" s="20">
        <f t="shared" si="155"/>
        <v>0</v>
      </c>
      <c r="Y143" s="19">
        <f t="shared" si="96"/>
        <v>0.15702479338842976</v>
      </c>
      <c r="Z143" s="19">
        <f t="shared" si="97"/>
        <v>5.2631578947368418E-2</v>
      </c>
      <c r="AA143" s="21">
        <f t="shared" si="18"/>
        <v>1.7118644067796611</v>
      </c>
      <c r="AB143" s="26">
        <f t="shared" si="27"/>
        <v>1.6854392380853986</v>
      </c>
      <c r="AC143" s="23">
        <f t="shared" si="8"/>
        <v>14.428571428571429</v>
      </c>
      <c r="AD143" s="23">
        <f t="shared" si="25"/>
        <v>0.14285714285714285</v>
      </c>
      <c r="AE143" s="23">
        <f t="shared" si="9"/>
        <v>2212.5714285714284</v>
      </c>
      <c r="AF143" s="25">
        <f t="shared" si="13"/>
        <v>6.9857142857142869E-3</v>
      </c>
      <c r="AG143" s="25"/>
      <c r="AH143" s="25"/>
      <c r="AI143" s="25"/>
      <c r="AJ143" s="25"/>
      <c r="AK143" s="25"/>
      <c r="AL143" s="25"/>
      <c r="AM143" s="26">
        <f t="shared" si="21"/>
        <v>20.571428571428573</v>
      </c>
    </row>
    <row r="144" spans="1:39" ht="16">
      <c r="A144" s="15">
        <v>44036</v>
      </c>
      <c r="B144" s="16">
        <v>4398</v>
      </c>
      <c r="C144" s="16">
        <v>18</v>
      </c>
      <c r="D144" s="16">
        <v>596</v>
      </c>
      <c r="E144" s="16">
        <v>3312</v>
      </c>
      <c r="F144" s="16">
        <v>319854</v>
      </c>
      <c r="G144" s="17">
        <f t="shared" si="2"/>
        <v>32638.163265306121</v>
      </c>
      <c r="H144" s="20"/>
      <c r="I144" s="13">
        <v>4.1000000000000003E-3</v>
      </c>
      <c r="J144" s="13">
        <v>1.38E-2</v>
      </c>
      <c r="K144" s="22">
        <v>1.2E-2</v>
      </c>
      <c r="L144" s="16">
        <v>490</v>
      </c>
      <c r="M144" s="13">
        <v>0.13550000000000001</v>
      </c>
      <c r="N144" s="13">
        <v>0.75309999999999999</v>
      </c>
      <c r="O144" s="16">
        <v>7318</v>
      </c>
      <c r="P144" s="16">
        <v>3734</v>
      </c>
      <c r="Q144" s="13">
        <v>4.7999999999999996E-3</v>
      </c>
      <c r="R144" s="16">
        <v>0</v>
      </c>
      <c r="S144" s="16">
        <v>12</v>
      </c>
      <c r="T144" s="16">
        <v>70</v>
      </c>
      <c r="U144" s="16">
        <v>4</v>
      </c>
      <c r="V144" s="19">
        <f t="shared" si="0"/>
        <v>0.11141427921782629</v>
      </c>
      <c r="W144" s="20">
        <f t="shared" ref="W144:X144" si="156">T144-T143</f>
        <v>-6</v>
      </c>
      <c r="X144" s="20">
        <f t="shared" si="156"/>
        <v>0</v>
      </c>
      <c r="Y144" s="19">
        <f t="shared" si="96"/>
        <v>0.14285714285714285</v>
      </c>
      <c r="Z144" s="19">
        <f t="shared" si="97"/>
        <v>5.7142857142857141E-2</v>
      </c>
      <c r="AA144" s="21">
        <f t="shared" si="18"/>
        <v>1.5</v>
      </c>
      <c r="AB144" s="26">
        <f t="shared" si="27"/>
        <v>1.7036465209985638</v>
      </c>
      <c r="AC144" s="23">
        <f t="shared" si="8"/>
        <v>15</v>
      </c>
      <c r="AD144" s="23">
        <f t="shared" si="25"/>
        <v>0.14285714285714285</v>
      </c>
      <c r="AE144" s="23">
        <f t="shared" si="9"/>
        <v>2443.5714285714284</v>
      </c>
      <c r="AF144" s="25">
        <f t="shared" si="13"/>
        <v>6.7285714285714292E-3</v>
      </c>
      <c r="AG144" s="25"/>
      <c r="AH144" s="25"/>
      <c r="AI144" s="25"/>
      <c r="AJ144" s="25"/>
      <c r="AK144" s="25"/>
      <c r="AL144" s="25"/>
      <c r="AM144" s="26">
        <f t="shared" si="21"/>
        <v>13.142857142857142</v>
      </c>
    </row>
    <row r="145" spans="1:39" ht="16">
      <c r="A145" s="15">
        <v>44037</v>
      </c>
      <c r="B145" s="16">
        <v>4424</v>
      </c>
      <c r="C145" s="16">
        <v>26</v>
      </c>
      <c r="D145" s="16">
        <v>596</v>
      </c>
      <c r="E145" s="16">
        <v>3324</v>
      </c>
      <c r="F145" s="16">
        <v>323673</v>
      </c>
      <c r="G145" s="17">
        <f t="shared" si="2"/>
        <v>33027.857142857138</v>
      </c>
      <c r="H145" s="20"/>
      <c r="I145" s="13">
        <v>5.8999999999999999E-3</v>
      </c>
      <c r="J145" s="13">
        <v>1.37E-2</v>
      </c>
      <c r="K145" s="22">
        <v>1.2E-2</v>
      </c>
      <c r="L145" s="16">
        <v>504</v>
      </c>
      <c r="M145" s="13">
        <v>0.13469999999999999</v>
      </c>
      <c r="N145" s="13">
        <v>0.75139999999999996</v>
      </c>
      <c r="O145" s="16">
        <v>7453</v>
      </c>
      <c r="P145" s="16">
        <v>3819</v>
      </c>
      <c r="Q145" s="13">
        <v>6.7999999999999996E-3</v>
      </c>
      <c r="R145" s="16">
        <v>0</v>
      </c>
      <c r="S145" s="16">
        <v>12</v>
      </c>
      <c r="T145" s="16">
        <v>68</v>
      </c>
      <c r="U145" s="16">
        <v>5</v>
      </c>
      <c r="V145" s="19">
        <f t="shared" si="0"/>
        <v>0.11392405063291139</v>
      </c>
      <c r="W145" s="20">
        <f t="shared" ref="W145:X145" si="157">T145-T144</f>
        <v>-2</v>
      </c>
      <c r="X145" s="20">
        <f t="shared" si="157"/>
        <v>1</v>
      </c>
      <c r="Y145" s="19">
        <f t="shared" si="96"/>
        <v>0.13492063492063491</v>
      </c>
      <c r="Z145" s="19">
        <f t="shared" si="97"/>
        <v>7.3529411764705885E-2</v>
      </c>
      <c r="AA145" s="21">
        <f t="shared" si="18"/>
        <v>1.2674418604651163</v>
      </c>
      <c r="AB145" s="26">
        <f t="shared" si="27"/>
        <v>1.6613330205455286</v>
      </c>
      <c r="AC145" s="23">
        <f t="shared" si="8"/>
        <v>15.571428571428571</v>
      </c>
      <c r="AD145" s="23">
        <f t="shared" si="25"/>
        <v>0</v>
      </c>
      <c r="AE145" s="23">
        <f t="shared" si="9"/>
        <v>2648.5714285714284</v>
      </c>
      <c r="AF145" s="25">
        <f t="shared" si="13"/>
        <v>6.3857142857142854E-3</v>
      </c>
      <c r="AG145" s="25"/>
      <c r="AH145" s="25"/>
      <c r="AI145" s="25"/>
      <c r="AJ145" s="25"/>
      <c r="AK145" s="25"/>
      <c r="AL145" s="25"/>
      <c r="AM145" s="26">
        <f t="shared" si="21"/>
        <v>14.571428571428571</v>
      </c>
    </row>
    <row r="146" spans="1:39" ht="16">
      <c r="A146" s="15">
        <v>44038</v>
      </c>
      <c r="B146" s="16">
        <v>4435</v>
      </c>
      <c r="C146" s="16">
        <v>11</v>
      </c>
      <c r="D146" s="16">
        <v>596</v>
      </c>
      <c r="E146" s="16">
        <v>3329</v>
      </c>
      <c r="F146" s="16">
        <v>326554</v>
      </c>
      <c r="G146" s="17">
        <f t="shared" si="2"/>
        <v>33321.836734693876</v>
      </c>
      <c r="H146" s="20"/>
      <c r="I146" s="13">
        <v>2.5000000000000001E-3</v>
      </c>
      <c r="J146" s="13">
        <v>1.3599999999999999E-2</v>
      </c>
      <c r="K146" s="22">
        <v>8.9999999999999993E-3</v>
      </c>
      <c r="L146" s="16">
        <v>510</v>
      </c>
      <c r="M146" s="13">
        <v>0.13439999999999999</v>
      </c>
      <c r="N146" s="13">
        <v>0.75060000000000004</v>
      </c>
      <c r="O146" s="16">
        <v>7824</v>
      </c>
      <c r="P146" s="16">
        <v>2881</v>
      </c>
      <c r="Q146" s="13">
        <v>3.8E-3</v>
      </c>
      <c r="R146" s="16">
        <v>0</v>
      </c>
      <c r="S146" s="16">
        <v>5</v>
      </c>
      <c r="T146" s="16">
        <v>69</v>
      </c>
      <c r="U146" s="16">
        <v>6</v>
      </c>
      <c r="V146" s="19">
        <f t="shared" si="0"/>
        <v>0.11499436302142052</v>
      </c>
      <c r="W146" s="20">
        <f t="shared" ref="W146:X146" si="158">T146-T145</f>
        <v>1</v>
      </c>
      <c r="X146" s="20">
        <f t="shared" si="158"/>
        <v>1</v>
      </c>
      <c r="Y146" s="19">
        <f t="shared" si="96"/>
        <v>0.13529411764705881</v>
      </c>
      <c r="Z146" s="19">
        <f t="shared" si="97"/>
        <v>8.6956521739130432E-2</v>
      </c>
      <c r="AA146" s="21">
        <f t="shared" si="18"/>
        <v>1.0303030303030303</v>
      </c>
      <c r="AB146" s="26">
        <f t="shared" si="27"/>
        <v>1.5312082433619278</v>
      </c>
      <c r="AC146" s="23">
        <f t="shared" si="8"/>
        <v>14.571428571428571</v>
      </c>
      <c r="AD146" s="23">
        <f t="shared" si="25"/>
        <v>0</v>
      </c>
      <c r="AE146" s="23">
        <f t="shared" si="9"/>
        <v>2672.5714285714284</v>
      </c>
      <c r="AF146" s="25">
        <f t="shared" si="13"/>
        <v>5.985714285714286E-3</v>
      </c>
      <c r="AG146" s="25"/>
      <c r="AH146" s="25"/>
      <c r="AI146" s="25"/>
      <c r="AJ146" s="25"/>
      <c r="AK146" s="25"/>
      <c r="AL146" s="25"/>
      <c r="AM146" s="26">
        <f t="shared" si="21"/>
        <v>15.142857142857142</v>
      </c>
    </row>
    <row r="147" spans="1:39" ht="16">
      <c r="A147" s="15">
        <v>44039</v>
      </c>
      <c r="B147" s="16">
        <v>4448</v>
      </c>
      <c r="C147" s="16">
        <v>13</v>
      </c>
      <c r="D147" s="16">
        <v>596</v>
      </c>
      <c r="E147" s="16">
        <v>3329</v>
      </c>
      <c r="F147" s="16">
        <v>328583</v>
      </c>
      <c r="G147" s="17">
        <f t="shared" si="2"/>
        <v>33528.877551020407</v>
      </c>
      <c r="H147" s="20"/>
      <c r="I147" s="13">
        <v>2.8999999999999998E-3</v>
      </c>
      <c r="J147" s="13">
        <v>1.35E-2</v>
      </c>
      <c r="K147" s="22">
        <v>6.0000000000000001E-3</v>
      </c>
      <c r="L147" s="16">
        <v>523</v>
      </c>
      <c r="M147" s="13">
        <v>0.13400000000000001</v>
      </c>
      <c r="N147" s="13">
        <v>0.74839999999999995</v>
      </c>
      <c r="O147" s="16">
        <v>8490</v>
      </c>
      <c r="P147" s="16">
        <v>2029</v>
      </c>
      <c r="Q147" s="13">
        <v>6.4000000000000003E-3</v>
      </c>
      <c r="R147" s="16">
        <v>0</v>
      </c>
      <c r="S147" s="16">
        <v>0</v>
      </c>
      <c r="T147" s="16">
        <v>71</v>
      </c>
      <c r="U147" s="16">
        <v>6</v>
      </c>
      <c r="V147" s="19">
        <f t="shared" si="0"/>
        <v>0.11758093525179857</v>
      </c>
      <c r="W147" s="20">
        <f t="shared" ref="W147:X147" si="159">T147-T146</f>
        <v>2</v>
      </c>
      <c r="X147" s="20">
        <f t="shared" si="159"/>
        <v>0</v>
      </c>
      <c r="Y147" s="19">
        <f t="shared" si="96"/>
        <v>0.13575525812619502</v>
      </c>
      <c r="Z147" s="19">
        <f t="shared" si="97"/>
        <v>8.4507042253521125E-2</v>
      </c>
      <c r="AA147" s="21">
        <f t="shared" si="18"/>
        <v>1.1847826086956521</v>
      </c>
      <c r="AB147" s="26">
        <f t="shared" si="27"/>
        <v>1.4738619165253459</v>
      </c>
      <c r="AC147" s="23">
        <f t="shared" si="8"/>
        <v>15.571428571428571</v>
      </c>
      <c r="AD147" s="23">
        <f t="shared" si="25"/>
        <v>0</v>
      </c>
      <c r="AE147" s="23">
        <f t="shared" si="9"/>
        <v>2644.7142857142858</v>
      </c>
      <c r="AF147" s="25">
        <f t="shared" si="13"/>
        <v>6.5142857142857146E-3</v>
      </c>
      <c r="AG147" s="25"/>
      <c r="AH147" s="25"/>
      <c r="AI147" s="25"/>
      <c r="AJ147" s="25"/>
      <c r="AK147" s="25"/>
      <c r="AL147" s="25"/>
      <c r="AM147" s="26">
        <f t="shared" si="21"/>
        <v>13.857142857142858</v>
      </c>
    </row>
    <row r="148" spans="1:39" ht="16">
      <c r="A148" s="15">
        <v>44040</v>
      </c>
      <c r="B148" s="16">
        <v>4456</v>
      </c>
      <c r="C148" s="16">
        <v>8</v>
      </c>
      <c r="D148" s="16">
        <v>596</v>
      </c>
      <c r="E148" s="16">
        <v>3331</v>
      </c>
      <c r="F148" s="16">
        <v>330239</v>
      </c>
      <c r="G148" s="17">
        <f t="shared" si="2"/>
        <v>33697.857142857138</v>
      </c>
      <c r="H148" s="20"/>
      <c r="I148" s="13">
        <v>1.8E-3</v>
      </c>
      <c r="J148" s="13">
        <v>1.35E-2</v>
      </c>
      <c r="K148" s="22">
        <v>5.0000000000000001E-3</v>
      </c>
      <c r="L148" s="16">
        <v>529</v>
      </c>
      <c r="M148" s="13">
        <v>0.1338</v>
      </c>
      <c r="N148" s="13">
        <v>0.74750000000000005</v>
      </c>
      <c r="O148" s="16">
        <v>8970</v>
      </c>
      <c r="P148" s="16">
        <v>1656</v>
      </c>
      <c r="Q148" s="13">
        <v>4.7999999999999996E-3</v>
      </c>
      <c r="R148" s="16">
        <v>0</v>
      </c>
      <c r="S148" s="16">
        <v>2</v>
      </c>
      <c r="T148" s="16">
        <v>76</v>
      </c>
      <c r="U148" s="16">
        <v>6</v>
      </c>
      <c r="V148" s="19">
        <f t="shared" si="0"/>
        <v>0.11871633752244165</v>
      </c>
      <c r="W148" s="20">
        <f t="shared" ref="W148:X148" si="160">T148-T147</f>
        <v>5</v>
      </c>
      <c r="X148" s="20">
        <f t="shared" si="160"/>
        <v>0</v>
      </c>
      <c r="Y148" s="19">
        <f t="shared" si="96"/>
        <v>0.14366729678638943</v>
      </c>
      <c r="Z148" s="19">
        <f t="shared" si="97"/>
        <v>7.8947368421052627E-2</v>
      </c>
      <c r="AA148" s="21">
        <f t="shared" si="18"/>
        <v>1.2247191011235956</v>
      </c>
      <c r="AB148" s="26">
        <f t="shared" si="27"/>
        <v>1.4089296048260211</v>
      </c>
      <c r="AC148" s="23">
        <f t="shared" si="8"/>
        <v>15.571428571428571</v>
      </c>
      <c r="AD148" s="23">
        <f t="shared" si="25"/>
        <v>0</v>
      </c>
      <c r="AE148" s="23">
        <f t="shared" si="9"/>
        <v>2772.7142857142858</v>
      </c>
      <c r="AF148" s="25">
        <f t="shared" si="13"/>
        <v>5.6999999999999993E-3</v>
      </c>
      <c r="AG148" s="25"/>
      <c r="AH148" s="25"/>
      <c r="AI148" s="25"/>
      <c r="AJ148" s="25"/>
      <c r="AK148" s="25"/>
      <c r="AL148" s="25"/>
      <c r="AM148" s="26">
        <f t="shared" si="21"/>
        <v>10.571428571428571</v>
      </c>
    </row>
    <row r="149" spans="1:39" ht="16">
      <c r="A149" s="15">
        <v>44041</v>
      </c>
      <c r="B149" s="16">
        <v>4465</v>
      </c>
      <c r="C149" s="16">
        <v>9</v>
      </c>
      <c r="D149" s="16">
        <v>596</v>
      </c>
      <c r="E149" s="16">
        <v>3339</v>
      </c>
      <c r="F149" s="16">
        <v>333446</v>
      </c>
      <c r="G149" s="17">
        <f t="shared" si="2"/>
        <v>34025.102040816324</v>
      </c>
      <c r="H149" s="20"/>
      <c r="I149" s="13">
        <v>2E-3</v>
      </c>
      <c r="J149" s="13">
        <v>1.34E-2</v>
      </c>
      <c r="K149" s="22">
        <v>0.01</v>
      </c>
      <c r="L149" s="16">
        <v>530</v>
      </c>
      <c r="M149" s="13">
        <v>0.13350000000000001</v>
      </c>
      <c r="N149" s="13">
        <v>0.74780000000000002</v>
      </c>
      <c r="O149" s="16">
        <v>8683</v>
      </c>
      <c r="P149" s="16">
        <v>3207</v>
      </c>
      <c r="Q149" s="13">
        <v>2.8E-3</v>
      </c>
      <c r="R149" s="16">
        <v>0</v>
      </c>
      <c r="S149" s="16">
        <v>8</v>
      </c>
      <c r="T149" s="16">
        <v>76</v>
      </c>
      <c r="U149" s="16">
        <v>6</v>
      </c>
      <c r="V149" s="19">
        <f t="shared" si="0"/>
        <v>0.11870100783874581</v>
      </c>
      <c r="W149" s="20">
        <f t="shared" ref="W149:X149" si="161">T149-T148</f>
        <v>0</v>
      </c>
      <c r="X149" s="20">
        <f t="shared" si="161"/>
        <v>0</v>
      </c>
      <c r="Y149" s="19">
        <f t="shared" si="96"/>
        <v>0.14339622641509434</v>
      </c>
      <c r="Z149" s="19">
        <f t="shared" si="97"/>
        <v>7.8947368421052627E-2</v>
      </c>
      <c r="AA149" s="21">
        <f t="shared" si="18"/>
        <v>0.96116504854368934</v>
      </c>
      <c r="AB149" s="26">
        <f t="shared" si="27"/>
        <v>1.2686108651301065</v>
      </c>
      <c r="AC149" s="23">
        <f t="shared" si="8"/>
        <v>14.142857142857142</v>
      </c>
      <c r="AD149" s="23">
        <f t="shared" si="25"/>
        <v>0</v>
      </c>
      <c r="AE149" s="23">
        <f t="shared" si="9"/>
        <v>2922.5714285714284</v>
      </c>
      <c r="AF149" s="25">
        <f t="shared" si="13"/>
        <v>4.8428571428571427E-3</v>
      </c>
      <c r="AG149" s="25"/>
      <c r="AH149" s="25"/>
      <c r="AI149" s="25"/>
      <c r="AJ149" s="25"/>
      <c r="AK149" s="25"/>
      <c r="AL149" s="25"/>
      <c r="AM149" s="26">
        <f t="shared" si="21"/>
        <v>8</v>
      </c>
    </row>
    <row r="150" spans="1:39" ht="16">
      <c r="A150" s="15">
        <v>44042</v>
      </c>
      <c r="B150" s="16">
        <v>4484</v>
      </c>
      <c r="C150" s="16">
        <v>19</v>
      </c>
      <c r="D150" s="16">
        <v>596</v>
      </c>
      <c r="E150" s="16">
        <v>3346</v>
      </c>
      <c r="F150" s="16">
        <v>336461</v>
      </c>
      <c r="G150" s="17">
        <f t="shared" si="2"/>
        <v>34332.755102040814</v>
      </c>
      <c r="H150" s="20"/>
      <c r="I150" s="13">
        <v>4.3E-3</v>
      </c>
      <c r="J150" s="13">
        <v>1.3299999999999999E-2</v>
      </c>
      <c r="K150" s="22">
        <v>8.9999999999999993E-3</v>
      </c>
      <c r="L150" s="16">
        <v>542</v>
      </c>
      <c r="M150" s="13">
        <v>0.13289999999999999</v>
      </c>
      <c r="N150" s="13">
        <v>0.74619999999999997</v>
      </c>
      <c r="O150" s="16">
        <v>7819</v>
      </c>
      <c r="P150" s="16">
        <v>3015</v>
      </c>
      <c r="Q150" s="13">
        <v>6.3E-3</v>
      </c>
      <c r="R150" s="16">
        <v>0</v>
      </c>
      <c r="S150" s="16">
        <v>7</v>
      </c>
      <c r="T150" s="16">
        <v>76</v>
      </c>
      <c r="U150" s="16">
        <v>6</v>
      </c>
      <c r="V150" s="19">
        <f t="shared" si="0"/>
        <v>0.12087421944692239</v>
      </c>
      <c r="W150" s="20">
        <f t="shared" ref="W150:X150" si="162">T150-T149</f>
        <v>0</v>
      </c>
      <c r="X150" s="20">
        <f t="shared" si="162"/>
        <v>0</v>
      </c>
      <c r="Y150" s="19">
        <f t="shared" si="96"/>
        <v>0.14022140221402213</v>
      </c>
      <c r="Z150" s="19">
        <f t="shared" si="97"/>
        <v>7.8947368421052627E-2</v>
      </c>
      <c r="AA150" s="21">
        <f t="shared" si="18"/>
        <v>1.0297029702970297</v>
      </c>
      <c r="AB150" s="26">
        <f t="shared" si="27"/>
        <v>1.1711592313468735</v>
      </c>
      <c r="AC150" s="23">
        <f t="shared" si="8"/>
        <v>14.857142857142858</v>
      </c>
      <c r="AD150" s="23">
        <f t="shared" si="25"/>
        <v>0</v>
      </c>
      <c r="AE150" s="23">
        <f t="shared" si="9"/>
        <v>2905.8571428571427</v>
      </c>
      <c r="AF150" s="25">
        <f t="shared" si="13"/>
        <v>5.0999999999999995E-3</v>
      </c>
      <c r="AG150" s="25"/>
      <c r="AH150" s="25"/>
      <c r="AI150" s="25"/>
      <c r="AJ150" s="25"/>
      <c r="AK150" s="25"/>
      <c r="AL150" s="25"/>
      <c r="AM150" s="26">
        <f t="shared" si="21"/>
        <v>6.5714285714285712</v>
      </c>
    </row>
    <row r="151" spans="1:39" ht="16">
      <c r="A151" s="15">
        <v>44043</v>
      </c>
      <c r="B151" s="16">
        <v>4505</v>
      </c>
      <c r="C151" s="16">
        <v>21</v>
      </c>
      <c r="D151" s="16">
        <v>596</v>
      </c>
      <c r="E151" s="16">
        <v>3353</v>
      </c>
      <c r="F151" s="16">
        <v>339163</v>
      </c>
      <c r="G151" s="17">
        <f t="shared" si="2"/>
        <v>34608.469387755096</v>
      </c>
      <c r="H151" s="20"/>
      <c r="I151" s="13">
        <v>4.7000000000000002E-3</v>
      </c>
      <c r="J151" s="13">
        <v>1.3299999999999999E-2</v>
      </c>
      <c r="K151" s="22">
        <v>8.0000000000000002E-3</v>
      </c>
      <c r="L151" s="16">
        <v>556</v>
      </c>
      <c r="M151" s="13">
        <v>0.1323</v>
      </c>
      <c r="N151" s="13">
        <v>0.74429999999999996</v>
      </c>
      <c r="O151" s="16">
        <v>8083</v>
      </c>
      <c r="P151" s="16">
        <v>2702</v>
      </c>
      <c r="Q151" s="13">
        <v>7.7999999999999996E-3</v>
      </c>
      <c r="R151" s="16">
        <v>0</v>
      </c>
      <c r="S151" s="16">
        <v>7</v>
      </c>
      <c r="T151" s="16">
        <v>73</v>
      </c>
      <c r="U151" s="16">
        <v>6</v>
      </c>
      <c r="V151" s="19">
        <f t="shared" si="0"/>
        <v>0.12341842397336293</v>
      </c>
      <c r="W151" s="20">
        <f t="shared" ref="W151:X151" si="163">T151-T150</f>
        <v>-3</v>
      </c>
      <c r="X151" s="20">
        <f t="shared" si="163"/>
        <v>0</v>
      </c>
      <c r="Y151" s="19">
        <f t="shared" si="96"/>
        <v>0.13129496402877697</v>
      </c>
      <c r="Z151" s="19">
        <f t="shared" si="97"/>
        <v>8.2191780821917804E-2</v>
      </c>
      <c r="AA151" s="21">
        <f t="shared" si="18"/>
        <v>1.019047619047619</v>
      </c>
      <c r="AB151" s="26">
        <f t="shared" si="27"/>
        <v>1.102451748353676</v>
      </c>
      <c r="AC151" s="23">
        <f t="shared" si="8"/>
        <v>15.285714285714286</v>
      </c>
      <c r="AD151" s="23">
        <f t="shared" si="25"/>
        <v>0</v>
      </c>
      <c r="AE151" s="23">
        <f t="shared" si="9"/>
        <v>2758.4285714285716</v>
      </c>
      <c r="AF151" s="25">
        <f t="shared" si="13"/>
        <v>5.5285714285714287E-3</v>
      </c>
      <c r="AG151" s="25"/>
      <c r="AH151" s="25"/>
      <c r="AI151" s="25"/>
      <c r="AJ151" s="25"/>
      <c r="AK151" s="25"/>
      <c r="AL151" s="25"/>
      <c r="AM151" s="26">
        <f t="shared" si="21"/>
        <v>5.8571428571428568</v>
      </c>
    </row>
    <row r="152" spans="1:39" ht="16">
      <c r="A152" s="15">
        <v>44044</v>
      </c>
      <c r="B152" s="16">
        <v>4526</v>
      </c>
      <c r="C152" s="16">
        <v>21</v>
      </c>
      <c r="D152" s="16">
        <v>597</v>
      </c>
      <c r="E152" s="16">
        <v>3364</v>
      </c>
      <c r="F152" s="16">
        <v>342887</v>
      </c>
      <c r="G152" s="17">
        <f t="shared" si="2"/>
        <v>34988.469387755096</v>
      </c>
      <c r="H152" s="20"/>
      <c r="I152" s="13">
        <v>4.7000000000000002E-3</v>
      </c>
      <c r="J152" s="13">
        <v>1.32E-2</v>
      </c>
      <c r="K152" s="22">
        <v>1.0999999999999999E-2</v>
      </c>
      <c r="L152" s="16">
        <v>565</v>
      </c>
      <c r="M152" s="13">
        <v>0.13189999999999999</v>
      </c>
      <c r="N152" s="13">
        <v>0.74329999999999996</v>
      </c>
      <c r="O152" s="16">
        <v>7782</v>
      </c>
      <c r="P152" s="16">
        <v>3724</v>
      </c>
      <c r="Q152" s="13">
        <v>5.5999999999999999E-3</v>
      </c>
      <c r="R152" s="16">
        <v>1</v>
      </c>
      <c r="S152" s="16">
        <v>11</v>
      </c>
      <c r="T152" s="16">
        <v>73</v>
      </c>
      <c r="U152" s="16">
        <v>6</v>
      </c>
      <c r="V152" s="19">
        <f t="shared" si="0"/>
        <v>0.12483429076447194</v>
      </c>
      <c r="W152" s="20">
        <f t="shared" ref="W152:X152" si="164">T152-T151</f>
        <v>0</v>
      </c>
      <c r="X152" s="20">
        <f t="shared" si="164"/>
        <v>0</v>
      </c>
      <c r="Y152" s="19">
        <f t="shared" si="96"/>
        <v>0.12920353982300886</v>
      </c>
      <c r="Z152" s="19">
        <f t="shared" si="97"/>
        <v>8.2191780821917804E-2</v>
      </c>
      <c r="AA152" s="21">
        <f t="shared" si="18"/>
        <v>0.93577981651376152</v>
      </c>
      <c r="AB152" s="26">
        <f t="shared" si="27"/>
        <v>1.0550714563606254</v>
      </c>
      <c r="AC152" s="23">
        <f t="shared" si="8"/>
        <v>14.571428571428571</v>
      </c>
      <c r="AD152" s="23">
        <f t="shared" si="25"/>
        <v>0.14285714285714285</v>
      </c>
      <c r="AE152" s="23">
        <f t="shared" si="9"/>
        <v>2744.8571428571427</v>
      </c>
      <c r="AF152" s="25">
        <f t="shared" si="13"/>
        <v>5.3571428571428572E-3</v>
      </c>
      <c r="AG152" s="25"/>
      <c r="AH152" s="25"/>
      <c r="AI152" s="25"/>
      <c r="AJ152" s="25"/>
      <c r="AK152" s="25"/>
      <c r="AL152" s="25"/>
      <c r="AM152" s="26">
        <f t="shared" si="21"/>
        <v>5.7142857142857144</v>
      </c>
    </row>
    <row r="153" spans="1:39" ht="16">
      <c r="A153" s="15">
        <v>44045</v>
      </c>
      <c r="B153" s="16">
        <v>4535</v>
      </c>
      <c r="C153" s="16">
        <v>9</v>
      </c>
      <c r="D153" s="16">
        <v>597</v>
      </c>
      <c r="E153" s="16">
        <v>3389</v>
      </c>
      <c r="F153" s="16">
        <v>344997</v>
      </c>
      <c r="G153" s="17">
        <f t="shared" si="2"/>
        <v>35203.775510204076</v>
      </c>
      <c r="H153" s="20"/>
      <c r="I153" s="13">
        <v>2E-3</v>
      </c>
      <c r="J153" s="13">
        <v>1.3100000000000001E-2</v>
      </c>
      <c r="K153" s="22">
        <v>6.0000000000000001E-3</v>
      </c>
      <c r="L153" s="16">
        <v>549</v>
      </c>
      <c r="M153" s="13">
        <v>0.13159999999999999</v>
      </c>
      <c r="N153" s="13">
        <v>0.74729999999999996</v>
      </c>
      <c r="O153" s="16">
        <v>7436</v>
      </c>
      <c r="P153" s="16">
        <v>2110</v>
      </c>
      <c r="Q153" s="13">
        <v>4.3E-3</v>
      </c>
      <c r="R153" s="16">
        <v>0</v>
      </c>
      <c r="S153" s="16">
        <v>25</v>
      </c>
      <c r="T153" s="16">
        <v>71</v>
      </c>
      <c r="U153" s="16">
        <v>7</v>
      </c>
      <c r="V153" s="19">
        <f t="shared" si="0"/>
        <v>0.12105843439911797</v>
      </c>
      <c r="W153" s="20">
        <f t="shared" ref="W153:X153" si="165">T153-T152</f>
        <v>-2</v>
      </c>
      <c r="X153" s="20">
        <f t="shared" si="165"/>
        <v>1</v>
      </c>
      <c r="Y153" s="19">
        <f t="shared" si="96"/>
        <v>0.12932604735883424</v>
      </c>
      <c r="Z153" s="19">
        <f t="shared" si="97"/>
        <v>9.8591549295774641E-2</v>
      </c>
      <c r="AA153" s="21">
        <f t="shared" si="18"/>
        <v>0.98039215686274506</v>
      </c>
      <c r="AB153" s="26">
        <f t="shared" si="27"/>
        <v>1.0479413315834418</v>
      </c>
      <c r="AC153" s="23">
        <f t="shared" si="8"/>
        <v>14.285714285714286</v>
      </c>
      <c r="AD153" s="23">
        <f t="shared" si="25"/>
        <v>0.14285714285714285</v>
      </c>
      <c r="AE153" s="23">
        <f t="shared" si="9"/>
        <v>2634.7142857142858</v>
      </c>
      <c r="AF153" s="25">
        <f t="shared" si="13"/>
        <v>5.4285714285714284E-3</v>
      </c>
      <c r="AG153" s="25"/>
      <c r="AH153" s="25"/>
      <c r="AI153" s="25"/>
      <c r="AJ153" s="25"/>
      <c r="AK153" s="25"/>
      <c r="AL153" s="25"/>
      <c r="AM153" s="26">
        <f t="shared" si="21"/>
        <v>8.5714285714285712</v>
      </c>
    </row>
    <row r="154" spans="1:39" ht="16">
      <c r="A154" s="15">
        <v>44046</v>
      </c>
      <c r="B154" s="16">
        <v>4544</v>
      </c>
      <c r="C154" s="16">
        <v>9</v>
      </c>
      <c r="D154" s="16">
        <v>597</v>
      </c>
      <c r="E154" s="16">
        <v>3413</v>
      </c>
      <c r="F154" s="16">
        <v>346962</v>
      </c>
      <c r="G154" s="17">
        <f t="shared" si="2"/>
        <v>35404.28571428571</v>
      </c>
      <c r="H154" s="20"/>
      <c r="I154" s="13">
        <v>2E-3</v>
      </c>
      <c r="J154" s="13">
        <v>1.3100000000000001E-2</v>
      </c>
      <c r="K154" s="22">
        <v>6.0000000000000001E-3</v>
      </c>
      <c r="L154" s="16">
        <v>534</v>
      </c>
      <c r="M154" s="13">
        <v>0.13139999999999999</v>
      </c>
      <c r="N154" s="13">
        <v>0.75109999999999999</v>
      </c>
      <c r="O154" s="16">
        <v>7657</v>
      </c>
      <c r="P154" s="16">
        <v>1965</v>
      </c>
      <c r="Q154" s="13">
        <v>4.5999999999999999E-3</v>
      </c>
      <c r="R154" s="16">
        <v>0</v>
      </c>
      <c r="S154" s="16">
        <v>24</v>
      </c>
      <c r="T154" s="16">
        <v>74</v>
      </c>
      <c r="U154" s="16">
        <v>7</v>
      </c>
      <c r="V154" s="19">
        <f t="shared" si="0"/>
        <v>0.11751760563380281</v>
      </c>
      <c r="W154" s="20">
        <f t="shared" ref="W154:X154" si="166">T154-T153</f>
        <v>3</v>
      </c>
      <c r="X154" s="20">
        <f t="shared" si="166"/>
        <v>0</v>
      </c>
      <c r="Y154" s="19">
        <f t="shared" si="96"/>
        <v>0.13857677902621723</v>
      </c>
      <c r="Z154" s="19">
        <f t="shared" si="97"/>
        <v>9.45945945945946E-2</v>
      </c>
      <c r="AA154" s="21">
        <f t="shared" si="18"/>
        <v>0.88073394495412849</v>
      </c>
      <c r="AB154" s="26">
        <f t="shared" si="27"/>
        <v>1.0045058081917957</v>
      </c>
      <c r="AC154" s="23">
        <f t="shared" si="8"/>
        <v>13.714285714285714</v>
      </c>
      <c r="AD154" s="23">
        <f t="shared" si="25"/>
        <v>0.14285714285714285</v>
      </c>
      <c r="AE154" s="23">
        <f t="shared" si="9"/>
        <v>2625.5714285714284</v>
      </c>
      <c r="AF154" s="25">
        <f t="shared" si="13"/>
        <v>5.1714285714285707E-3</v>
      </c>
      <c r="AG154" s="25"/>
      <c r="AH154" s="25"/>
      <c r="AI154" s="25"/>
      <c r="AJ154" s="25"/>
      <c r="AK154" s="25"/>
      <c r="AL154" s="25"/>
      <c r="AM154" s="26">
        <f t="shared" si="21"/>
        <v>12</v>
      </c>
    </row>
    <row r="155" spans="1:39" ht="16">
      <c r="A155" s="15">
        <v>44047</v>
      </c>
      <c r="B155" s="16">
        <v>4553</v>
      </c>
      <c r="C155" s="16">
        <v>9</v>
      </c>
      <c r="D155" s="16">
        <v>598</v>
      </c>
      <c r="E155" s="16">
        <v>3415</v>
      </c>
      <c r="F155" s="16">
        <v>348132</v>
      </c>
      <c r="G155" s="17">
        <f t="shared" si="2"/>
        <v>35523.673469387752</v>
      </c>
      <c r="H155" s="20"/>
      <c r="I155" s="13">
        <v>2E-3</v>
      </c>
      <c r="J155" s="13">
        <v>1.3100000000000001E-2</v>
      </c>
      <c r="K155" s="22">
        <v>3.0000000000000001E-3</v>
      </c>
      <c r="L155" s="16">
        <v>540</v>
      </c>
      <c r="M155" s="13">
        <v>0.1313</v>
      </c>
      <c r="N155" s="13">
        <v>0.75009999999999999</v>
      </c>
      <c r="O155" s="16">
        <v>7742</v>
      </c>
      <c r="P155" s="16">
        <v>1170</v>
      </c>
      <c r="Q155" s="13">
        <v>7.7000000000000002E-3</v>
      </c>
      <c r="R155" s="16">
        <v>1</v>
      </c>
      <c r="S155" s="16">
        <v>2</v>
      </c>
      <c r="T155" s="16">
        <v>74</v>
      </c>
      <c r="U155" s="16">
        <v>7</v>
      </c>
      <c r="V155" s="19">
        <f t="shared" si="0"/>
        <v>0.11860311882275423</v>
      </c>
      <c r="W155" s="20">
        <f t="shared" ref="W155:X155" si="167">T155-T154</f>
        <v>0</v>
      </c>
      <c r="X155" s="20">
        <f t="shared" si="167"/>
        <v>0</v>
      </c>
      <c r="Y155" s="19">
        <f t="shared" si="96"/>
        <v>0.13703703703703704</v>
      </c>
      <c r="Z155" s="19">
        <f t="shared" si="97"/>
        <v>9.45945945945946E-2</v>
      </c>
      <c r="AA155" s="21">
        <f t="shared" si="18"/>
        <v>0.88990825688073394</v>
      </c>
      <c r="AB155" s="26">
        <f t="shared" si="27"/>
        <v>0.95667568758567245</v>
      </c>
      <c r="AC155" s="23">
        <f t="shared" si="8"/>
        <v>13.857142857142858</v>
      </c>
      <c r="AD155" s="23">
        <f t="shared" si="25"/>
        <v>0.2857142857142857</v>
      </c>
      <c r="AE155" s="23">
        <f t="shared" si="9"/>
        <v>2556.1428571428573</v>
      </c>
      <c r="AF155" s="25">
        <f t="shared" si="13"/>
        <v>5.585714285714285E-3</v>
      </c>
      <c r="AG155" s="25"/>
      <c r="AH155" s="25"/>
      <c r="AI155" s="25"/>
      <c r="AJ155" s="25"/>
      <c r="AK155" s="25"/>
      <c r="AL155" s="25"/>
      <c r="AM155" s="26">
        <f t="shared" si="21"/>
        <v>12</v>
      </c>
    </row>
    <row r="156" spans="1:39" ht="16">
      <c r="A156" s="15">
        <v>44048</v>
      </c>
      <c r="B156" s="16">
        <v>4564</v>
      </c>
      <c r="C156" s="16">
        <v>11</v>
      </c>
      <c r="D156" s="16">
        <v>599</v>
      </c>
      <c r="E156" s="16">
        <v>3431</v>
      </c>
      <c r="F156" s="16">
        <v>350108</v>
      </c>
      <c r="G156" s="17">
        <f t="shared" si="2"/>
        <v>35725.306122448979</v>
      </c>
      <c r="H156" s="20"/>
      <c r="I156" s="13">
        <v>2.3999999999999998E-3</v>
      </c>
      <c r="J156" s="13">
        <v>1.2999999999999999E-2</v>
      </c>
      <c r="K156" s="22">
        <v>6.0000000000000001E-3</v>
      </c>
      <c r="L156" s="16">
        <v>534</v>
      </c>
      <c r="M156" s="13">
        <v>0.13120000000000001</v>
      </c>
      <c r="N156" s="13">
        <v>0.75180000000000002</v>
      </c>
      <c r="O156" s="16">
        <v>6858</v>
      </c>
      <c r="P156" s="16">
        <v>1976</v>
      </c>
      <c r="Q156" s="13">
        <v>5.5999999999999999E-3</v>
      </c>
      <c r="R156" s="16">
        <v>1</v>
      </c>
      <c r="S156" s="16">
        <v>16</v>
      </c>
      <c r="T156" s="16">
        <v>72</v>
      </c>
      <c r="U156" s="16">
        <v>7</v>
      </c>
      <c r="V156" s="19">
        <f t="shared" si="0"/>
        <v>0.11700262927256792</v>
      </c>
      <c r="W156" s="20">
        <f t="shared" ref="W156:X156" si="168">T156-T155</f>
        <v>-2</v>
      </c>
      <c r="X156" s="20">
        <f t="shared" si="168"/>
        <v>0</v>
      </c>
      <c r="Y156" s="19">
        <f t="shared" si="96"/>
        <v>0.1348314606741573</v>
      </c>
      <c r="Z156" s="19">
        <f t="shared" si="97"/>
        <v>9.7222222222222224E-2</v>
      </c>
      <c r="AA156" s="21">
        <f t="shared" si="18"/>
        <v>1</v>
      </c>
      <c r="AB156" s="26">
        <f t="shared" si="27"/>
        <v>0.96222353779371683</v>
      </c>
      <c r="AC156" s="23">
        <f t="shared" si="8"/>
        <v>14.142857142857142</v>
      </c>
      <c r="AD156" s="23">
        <f t="shared" si="25"/>
        <v>0.42857142857142855</v>
      </c>
      <c r="AE156" s="23">
        <f t="shared" si="9"/>
        <v>2380.2857142857142</v>
      </c>
      <c r="AF156" s="25">
        <f t="shared" si="13"/>
        <v>5.985714285714286E-3</v>
      </c>
      <c r="AG156" s="25"/>
      <c r="AH156" s="25"/>
      <c r="AI156" s="25"/>
      <c r="AJ156" s="25"/>
      <c r="AK156" s="25"/>
      <c r="AL156" s="25"/>
      <c r="AM156" s="26">
        <f t="shared" si="21"/>
        <v>13.142857142857142</v>
      </c>
    </row>
    <row r="157" spans="1:39" ht="16">
      <c r="A157" s="15">
        <v>44049</v>
      </c>
      <c r="B157" s="16">
        <v>4597</v>
      </c>
      <c r="C157" s="16">
        <v>33</v>
      </c>
      <c r="D157" s="16">
        <v>600</v>
      </c>
      <c r="E157" s="16">
        <v>3463</v>
      </c>
      <c r="F157" s="16">
        <v>352546</v>
      </c>
      <c r="G157" s="17">
        <f t="shared" si="2"/>
        <v>35974.081632653062</v>
      </c>
      <c r="H157" s="20"/>
      <c r="I157" s="13">
        <v>7.1999999999999998E-3</v>
      </c>
      <c r="J157" s="13">
        <v>1.2999999999999999E-2</v>
      </c>
      <c r="K157" s="22">
        <v>7.0000000000000001E-3</v>
      </c>
      <c r="L157" s="16">
        <v>534</v>
      </c>
      <c r="M157" s="13">
        <v>0.1305</v>
      </c>
      <c r="N157" s="13">
        <v>0.75329999999999997</v>
      </c>
      <c r="O157" s="16">
        <v>7227</v>
      </c>
      <c r="P157" s="16">
        <v>2438</v>
      </c>
      <c r="Q157" s="13">
        <v>1.35E-2</v>
      </c>
      <c r="R157" s="16">
        <v>1</v>
      </c>
      <c r="S157" s="16">
        <v>32</v>
      </c>
      <c r="T157" s="16">
        <v>74</v>
      </c>
      <c r="U157" s="16">
        <v>8</v>
      </c>
      <c r="V157" s="19">
        <f t="shared" si="0"/>
        <v>0.11616271481400914</v>
      </c>
      <c r="W157" s="20">
        <f t="shared" ref="W157:X157" si="169">T157-T156</f>
        <v>2</v>
      </c>
      <c r="X157" s="20">
        <f t="shared" si="169"/>
        <v>1</v>
      </c>
      <c r="Y157" s="19">
        <f t="shared" si="96"/>
        <v>0.13857677902621723</v>
      </c>
      <c r="Z157" s="19">
        <f t="shared" si="97"/>
        <v>0.10810810810810811</v>
      </c>
      <c r="AA157" s="21">
        <f t="shared" si="18"/>
        <v>1.0865384615384615</v>
      </c>
      <c r="AB157" s="26">
        <f t="shared" si="27"/>
        <v>0.97034289368534998</v>
      </c>
      <c r="AC157" s="23">
        <f t="shared" si="8"/>
        <v>16.142857142857142</v>
      </c>
      <c r="AD157" s="23">
        <f t="shared" si="25"/>
        <v>0.5714285714285714</v>
      </c>
      <c r="AE157" s="23">
        <f t="shared" si="9"/>
        <v>2297.8571428571427</v>
      </c>
      <c r="AF157" s="25">
        <f t="shared" si="13"/>
        <v>7.0142857142857142E-3</v>
      </c>
      <c r="AG157" s="25"/>
      <c r="AH157" s="25"/>
      <c r="AI157" s="25"/>
      <c r="AJ157" s="25"/>
      <c r="AK157" s="25"/>
      <c r="AL157" s="25"/>
      <c r="AM157" s="26">
        <f t="shared" si="21"/>
        <v>16.714285714285715</v>
      </c>
    </row>
    <row r="158" spans="1:39" ht="16">
      <c r="A158" s="15">
        <v>44050</v>
      </c>
      <c r="B158" s="16">
        <v>4621</v>
      </c>
      <c r="C158" s="16">
        <v>24</v>
      </c>
      <c r="D158" s="16">
        <v>602</v>
      </c>
      <c r="E158" s="16">
        <v>3464</v>
      </c>
      <c r="F158" s="16">
        <v>355467</v>
      </c>
      <c r="G158" s="17">
        <f t="shared" si="2"/>
        <v>36272.142857142855</v>
      </c>
      <c r="H158" s="20"/>
      <c r="I158" s="13">
        <v>5.1999999999999998E-3</v>
      </c>
      <c r="J158" s="13">
        <v>1.2999999999999999E-2</v>
      </c>
      <c r="K158" s="22">
        <v>8.0000000000000002E-3</v>
      </c>
      <c r="L158" s="16">
        <v>555</v>
      </c>
      <c r="M158" s="13">
        <v>0.1303</v>
      </c>
      <c r="N158" s="13">
        <v>0.74960000000000004</v>
      </c>
      <c r="O158" s="16">
        <v>7092</v>
      </c>
      <c r="P158" s="16">
        <v>2921</v>
      </c>
      <c r="Q158" s="13">
        <v>8.2000000000000007E-3</v>
      </c>
      <c r="R158" s="16">
        <v>2</v>
      </c>
      <c r="S158" s="16">
        <v>1</v>
      </c>
      <c r="T158" s="16">
        <v>72</v>
      </c>
      <c r="U158" s="16">
        <v>6</v>
      </c>
      <c r="V158" s="19">
        <f t="shared" si="0"/>
        <v>0.12010387362042847</v>
      </c>
      <c r="W158" s="20">
        <f t="shared" ref="W158:X158" si="170">T158-T157</f>
        <v>-2</v>
      </c>
      <c r="X158" s="20">
        <f t="shared" si="170"/>
        <v>-2</v>
      </c>
      <c r="Y158" s="19">
        <f t="shared" si="96"/>
        <v>0.12972972972972974</v>
      </c>
      <c r="Z158" s="19">
        <f t="shared" si="97"/>
        <v>8.3333333333333329E-2</v>
      </c>
      <c r="AA158" s="21">
        <f t="shared" si="18"/>
        <v>1.0841121495327102</v>
      </c>
      <c r="AB158" s="26">
        <f t="shared" si="27"/>
        <v>0.97963782661179155</v>
      </c>
      <c r="AC158" s="23">
        <f t="shared" si="8"/>
        <v>16.571428571428573</v>
      </c>
      <c r="AD158" s="23">
        <f t="shared" si="25"/>
        <v>0.8571428571428571</v>
      </c>
      <c r="AE158" s="23">
        <f t="shared" si="9"/>
        <v>2329.1428571428573</v>
      </c>
      <c r="AF158" s="25">
        <f t="shared" si="13"/>
        <v>7.0714285714285705E-3</v>
      </c>
      <c r="AG158" s="25"/>
      <c r="AH158" s="25"/>
      <c r="AI158" s="25"/>
      <c r="AJ158" s="25"/>
      <c r="AK158" s="25"/>
      <c r="AL158" s="25"/>
      <c r="AM158" s="26">
        <f t="shared" si="21"/>
        <v>15.857142857142858</v>
      </c>
    </row>
    <row r="159" spans="1:39" ht="16">
      <c r="A159" s="15">
        <v>44051</v>
      </c>
      <c r="B159" s="16">
        <v>4653</v>
      </c>
      <c r="C159" s="16">
        <v>32</v>
      </c>
      <c r="D159" s="16">
        <v>602</v>
      </c>
      <c r="E159" s="16">
        <v>3491</v>
      </c>
      <c r="F159" s="16">
        <v>358437</v>
      </c>
      <c r="G159" s="17">
        <f t="shared" si="2"/>
        <v>36575.204081632648</v>
      </c>
      <c r="H159" s="20"/>
      <c r="I159" s="13">
        <v>6.8999999999999999E-3</v>
      </c>
      <c r="J159" s="13">
        <v>1.2999999999999999E-2</v>
      </c>
      <c r="K159" s="22">
        <v>8.0000000000000002E-3</v>
      </c>
      <c r="L159" s="16">
        <v>560</v>
      </c>
      <c r="M159" s="13">
        <v>0.12939999999999999</v>
      </c>
      <c r="N159" s="13">
        <v>0.75029999999999997</v>
      </c>
      <c r="P159" s="16">
        <v>2970</v>
      </c>
      <c r="Q159" s="13">
        <v>1.0800000000000001E-2</v>
      </c>
      <c r="R159" s="16">
        <v>0</v>
      </c>
      <c r="S159" s="16">
        <v>27</v>
      </c>
      <c r="T159" s="16">
        <v>69</v>
      </c>
      <c r="U159" s="16">
        <v>6</v>
      </c>
      <c r="V159" s="19">
        <f t="shared" si="0"/>
        <v>0.12035246077799269</v>
      </c>
      <c r="W159" s="20">
        <f t="shared" ref="W159:X159" si="171">T159-T158</f>
        <v>-3</v>
      </c>
      <c r="X159" s="20">
        <f t="shared" si="171"/>
        <v>0</v>
      </c>
      <c r="Y159" s="19">
        <f t="shared" si="96"/>
        <v>0.12321428571428572</v>
      </c>
      <c r="Z159" s="19">
        <f t="shared" si="97"/>
        <v>8.6956521739130432E-2</v>
      </c>
      <c r="AA159" s="21">
        <f t="shared" si="18"/>
        <v>1.2450980392156863</v>
      </c>
      <c r="AB159" s="26">
        <f t="shared" si="27"/>
        <v>1.023826144140638</v>
      </c>
      <c r="AC159" s="23">
        <f t="shared" si="8"/>
        <v>18.142857142857142</v>
      </c>
      <c r="AD159" s="23">
        <f t="shared" si="25"/>
        <v>0.7142857142857143</v>
      </c>
      <c r="AE159" s="23">
        <f t="shared" si="9"/>
        <v>2221.4285714285716</v>
      </c>
      <c r="AF159" s="25">
        <f t="shared" si="13"/>
        <v>7.8142857142857146E-3</v>
      </c>
      <c r="AG159" s="25"/>
      <c r="AH159" s="25"/>
      <c r="AI159" s="25"/>
      <c r="AJ159" s="25"/>
      <c r="AK159" s="25"/>
      <c r="AL159" s="25"/>
      <c r="AM159" s="26">
        <f t="shared" si="21"/>
        <v>18.142857142857142</v>
      </c>
    </row>
    <row r="160" spans="1:39" ht="16">
      <c r="A160" s="15">
        <v>44052</v>
      </c>
      <c r="B160" s="16">
        <v>4696</v>
      </c>
      <c r="C160" s="16">
        <v>43</v>
      </c>
      <c r="D160" s="16">
        <v>602</v>
      </c>
      <c r="E160" s="16">
        <v>3499</v>
      </c>
      <c r="F160" s="16">
        <v>360772</v>
      </c>
      <c r="G160" s="17">
        <f t="shared" si="2"/>
        <v>36813.469387755096</v>
      </c>
      <c r="H160" s="20"/>
      <c r="I160" s="13">
        <v>9.1999999999999998E-3</v>
      </c>
      <c r="J160" s="13">
        <v>1.2999999999999999E-2</v>
      </c>
      <c r="K160" s="22">
        <v>6.0000000000000001E-3</v>
      </c>
      <c r="L160" s="16">
        <v>595</v>
      </c>
      <c r="M160" s="13">
        <v>0.12820000000000001</v>
      </c>
      <c r="N160" s="13">
        <v>0.74509999999999998</v>
      </c>
      <c r="O160" s="16">
        <v>7184</v>
      </c>
      <c r="P160" s="16">
        <v>2335</v>
      </c>
      <c r="Q160" s="13">
        <v>1.84E-2</v>
      </c>
      <c r="R160" s="16">
        <v>0</v>
      </c>
      <c r="S160" s="16">
        <v>8</v>
      </c>
      <c r="T160" s="16">
        <v>73</v>
      </c>
      <c r="U160" s="16">
        <v>6</v>
      </c>
      <c r="V160" s="19">
        <f t="shared" si="0"/>
        <v>0.12670357751277683</v>
      </c>
      <c r="W160" s="20">
        <f t="shared" ref="W160:X160" si="172">T160-T159</f>
        <v>4</v>
      </c>
      <c r="X160" s="20">
        <f t="shared" si="172"/>
        <v>0</v>
      </c>
      <c r="Y160" s="19">
        <f t="shared" si="96"/>
        <v>0.1226890756302521</v>
      </c>
      <c r="Z160" s="19">
        <f t="shared" si="97"/>
        <v>8.2191780821917804E-2</v>
      </c>
      <c r="AA160" s="21">
        <f t="shared" si="18"/>
        <v>1.61</v>
      </c>
      <c r="AB160" s="26">
        <f t="shared" si="27"/>
        <v>1.1137701217316744</v>
      </c>
      <c r="AC160" s="23">
        <f t="shared" si="8"/>
        <v>23</v>
      </c>
      <c r="AD160" s="23">
        <f t="shared" si="25"/>
        <v>0.7142857142857143</v>
      </c>
      <c r="AE160" s="23">
        <f t="shared" si="9"/>
        <v>2253.5714285714284</v>
      </c>
      <c r="AF160" s="25">
        <f t="shared" si="13"/>
        <v>9.8285714285714278E-3</v>
      </c>
      <c r="AG160" s="25"/>
      <c r="AH160" s="25"/>
      <c r="AI160" s="25"/>
      <c r="AJ160" s="25"/>
      <c r="AK160" s="25"/>
      <c r="AL160" s="25"/>
      <c r="AM160" s="26">
        <f t="shared" si="21"/>
        <v>15.714285714285714</v>
      </c>
    </row>
    <row r="161" spans="1:39" ht="16">
      <c r="A161" s="15">
        <v>44053</v>
      </c>
      <c r="B161" s="16">
        <v>4731</v>
      </c>
      <c r="C161" s="16">
        <v>35</v>
      </c>
      <c r="D161" s="16">
        <v>605</v>
      </c>
      <c r="E161" s="16">
        <v>3525</v>
      </c>
      <c r="F161" s="16">
        <v>362660</v>
      </c>
      <c r="G161" s="17">
        <f t="shared" si="2"/>
        <v>37006.122448979586</v>
      </c>
      <c r="H161" s="20"/>
      <c r="I161" s="13">
        <v>7.4999999999999997E-3</v>
      </c>
      <c r="J161" s="13">
        <v>1.2999999999999999E-2</v>
      </c>
      <c r="K161" s="22">
        <v>5.0000000000000001E-3</v>
      </c>
      <c r="L161" s="16">
        <v>601</v>
      </c>
      <c r="M161" s="13">
        <v>0.12790000000000001</v>
      </c>
      <c r="N161" s="13">
        <v>0.74509999999999998</v>
      </c>
      <c r="O161" s="16"/>
      <c r="P161" s="16">
        <v>1888</v>
      </c>
      <c r="Q161" s="13">
        <v>1.8499999999999999E-2</v>
      </c>
      <c r="R161" s="16">
        <v>3</v>
      </c>
      <c r="S161" s="16">
        <v>26</v>
      </c>
      <c r="T161" s="16">
        <v>61</v>
      </c>
      <c r="U161" s="16">
        <v>6</v>
      </c>
      <c r="V161" s="19">
        <f t="shared" si="0"/>
        <v>0.12703445360388924</v>
      </c>
      <c r="W161" s="20">
        <f t="shared" ref="W161:X161" si="173">T161-T160</f>
        <v>-12</v>
      </c>
      <c r="X161" s="20">
        <f t="shared" si="173"/>
        <v>0</v>
      </c>
      <c r="Y161" s="19">
        <f t="shared" si="96"/>
        <v>0.10149750415973377</v>
      </c>
      <c r="Z161" s="19">
        <f t="shared" si="97"/>
        <v>9.8360655737704916E-2</v>
      </c>
      <c r="AA161" s="21">
        <f t="shared" si="18"/>
        <v>1.9479166666666667</v>
      </c>
      <c r="AB161" s="26">
        <f t="shared" si="27"/>
        <v>1.266224796262037</v>
      </c>
      <c r="AC161" s="23">
        <f t="shared" si="8"/>
        <v>26.714285714285715</v>
      </c>
      <c r="AD161" s="23">
        <f t="shared" si="25"/>
        <v>1.1428571428571428</v>
      </c>
      <c r="AE161" s="23">
        <f t="shared" si="9"/>
        <v>2242.5714285714284</v>
      </c>
      <c r="AF161" s="25">
        <f t="shared" si="13"/>
        <v>1.1814285714285713E-2</v>
      </c>
      <c r="AG161" s="25"/>
      <c r="AH161" s="25"/>
      <c r="AI161" s="25"/>
      <c r="AJ161" s="25"/>
      <c r="AK161" s="25"/>
      <c r="AL161" s="25"/>
      <c r="AM161" s="26">
        <f t="shared" si="21"/>
        <v>16</v>
      </c>
    </row>
    <row r="162" spans="1:39" ht="16">
      <c r="A162" s="15">
        <v>44054</v>
      </c>
      <c r="B162" s="16">
        <v>4746</v>
      </c>
      <c r="C162" s="16">
        <v>15</v>
      </c>
      <c r="D162" s="16">
        <v>605</v>
      </c>
      <c r="E162" s="16">
        <v>3527</v>
      </c>
      <c r="F162" s="16">
        <v>363459</v>
      </c>
      <c r="G162" s="17">
        <f t="shared" si="2"/>
        <v>37087.65306122449</v>
      </c>
      <c r="H162" s="20"/>
      <c r="I162" s="13">
        <v>3.2000000000000002E-3</v>
      </c>
      <c r="J162" s="13">
        <v>1.3100000000000001E-2</v>
      </c>
      <c r="K162" s="22">
        <v>2E-3</v>
      </c>
      <c r="L162" s="16">
        <v>614</v>
      </c>
      <c r="M162" s="13">
        <v>0.1275</v>
      </c>
      <c r="N162" s="13">
        <v>0.74319999999999997</v>
      </c>
      <c r="O162" s="16"/>
      <c r="P162" s="16">
        <v>799</v>
      </c>
      <c r="Q162" s="13">
        <v>1.8800000000000001E-2</v>
      </c>
      <c r="R162" s="16">
        <v>0</v>
      </c>
      <c r="S162" s="16">
        <v>2</v>
      </c>
      <c r="T162" s="16">
        <v>62</v>
      </c>
      <c r="U162" s="16">
        <v>5</v>
      </c>
      <c r="V162" s="19">
        <f t="shared" si="0"/>
        <v>0.12937210282343026</v>
      </c>
      <c r="W162" s="20">
        <f t="shared" ref="W162:X162" si="174">T162-T161</f>
        <v>1</v>
      </c>
      <c r="X162" s="20">
        <f t="shared" si="174"/>
        <v>-1</v>
      </c>
      <c r="Y162" s="19">
        <f t="shared" si="96"/>
        <v>0.10097719869706841</v>
      </c>
      <c r="Z162" s="19">
        <f t="shared" si="97"/>
        <v>8.0645161290322578E-2</v>
      </c>
      <c r="AA162" s="21">
        <f t="shared" si="18"/>
        <v>1.9896907216494846</v>
      </c>
      <c r="AB162" s="26">
        <f t="shared" si="27"/>
        <v>1.4233365769432871</v>
      </c>
      <c r="AC162" s="23">
        <f t="shared" si="8"/>
        <v>27.571428571428573</v>
      </c>
      <c r="AD162" s="23">
        <f t="shared" si="25"/>
        <v>1</v>
      </c>
      <c r="AE162" s="23">
        <f t="shared" si="9"/>
        <v>2189.5714285714284</v>
      </c>
      <c r="AF162" s="25">
        <f t="shared" si="13"/>
        <v>1.3399999999999999E-2</v>
      </c>
      <c r="AG162" s="25"/>
      <c r="AH162" s="25"/>
      <c r="AI162" s="25"/>
      <c r="AJ162" s="25"/>
      <c r="AK162" s="25"/>
      <c r="AL162" s="25"/>
      <c r="AM162" s="26">
        <f t="shared" si="21"/>
        <v>16</v>
      </c>
    </row>
    <row r="163" spans="1:39" ht="16">
      <c r="A163" s="15">
        <v>44055</v>
      </c>
      <c r="B163" s="16">
        <v>4768</v>
      </c>
      <c r="C163" s="16">
        <v>22</v>
      </c>
      <c r="D163" s="16">
        <v>605</v>
      </c>
      <c r="E163" s="16">
        <v>3529</v>
      </c>
      <c r="F163" s="16">
        <v>366356</v>
      </c>
      <c r="G163" s="17">
        <f t="shared" si="2"/>
        <v>37383.265306122448</v>
      </c>
      <c r="H163" s="20"/>
      <c r="I163" s="13">
        <v>4.5999999999999999E-3</v>
      </c>
      <c r="J163" s="13">
        <v>1.2999999999999999E-2</v>
      </c>
      <c r="K163" s="22">
        <v>8.0000000000000002E-3</v>
      </c>
      <c r="L163" s="16">
        <v>634</v>
      </c>
      <c r="M163" s="13">
        <v>0.12690000000000001</v>
      </c>
      <c r="N163" s="13">
        <v>0.74009999999999998</v>
      </c>
      <c r="O163" s="16"/>
      <c r="P163" s="16">
        <v>2897</v>
      </c>
      <c r="Q163" s="13">
        <v>7.6E-3</v>
      </c>
      <c r="R163" s="16">
        <v>0</v>
      </c>
      <c r="S163" s="16">
        <v>2</v>
      </c>
      <c r="T163" s="16">
        <v>64</v>
      </c>
      <c r="U163" s="16">
        <v>5</v>
      </c>
      <c r="V163" s="19">
        <f t="shared" si="0"/>
        <v>0.13296979865771813</v>
      </c>
      <c r="W163" s="20">
        <f t="shared" ref="W163:X163" si="175">T163-T162</f>
        <v>2</v>
      </c>
      <c r="X163" s="20">
        <f t="shared" si="175"/>
        <v>0</v>
      </c>
      <c r="Y163" s="19">
        <f t="shared" si="96"/>
        <v>0.10094637223974763</v>
      </c>
      <c r="Z163" s="19">
        <f t="shared" si="97"/>
        <v>7.8125E-2</v>
      </c>
      <c r="AA163" s="21">
        <f t="shared" si="18"/>
        <v>2.0606060606060606</v>
      </c>
      <c r="AB163" s="26">
        <f t="shared" si="27"/>
        <v>1.5748517284584387</v>
      </c>
      <c r="AC163" s="23">
        <f t="shared" si="8"/>
        <v>29.142857142857142</v>
      </c>
      <c r="AD163" s="23">
        <f t="shared" si="25"/>
        <v>0.8571428571428571</v>
      </c>
      <c r="AE163" s="23">
        <f t="shared" si="9"/>
        <v>2321.1428571428573</v>
      </c>
      <c r="AF163" s="25">
        <f t="shared" si="13"/>
        <v>1.3685714285714285E-2</v>
      </c>
      <c r="AG163" s="25"/>
      <c r="AH163" s="25"/>
      <c r="AI163" s="25"/>
      <c r="AJ163" s="25"/>
      <c r="AK163" s="25"/>
      <c r="AL163" s="25"/>
      <c r="AM163" s="26">
        <f t="shared" si="21"/>
        <v>14</v>
      </c>
    </row>
    <row r="164" spans="1:39" ht="16">
      <c r="A164" s="15">
        <v>44056</v>
      </c>
      <c r="B164" s="16">
        <v>4813</v>
      </c>
      <c r="C164" s="16">
        <v>45</v>
      </c>
      <c r="D164" s="16">
        <v>607</v>
      </c>
      <c r="E164" s="16">
        <v>3561</v>
      </c>
      <c r="F164" s="16">
        <v>369545</v>
      </c>
      <c r="G164" s="17">
        <f t="shared" si="2"/>
        <v>37708.673469387752</v>
      </c>
      <c r="H164" s="20"/>
      <c r="I164" s="13">
        <v>9.4000000000000004E-3</v>
      </c>
      <c r="J164" s="13">
        <v>1.2999999999999999E-2</v>
      </c>
      <c r="K164" s="22">
        <v>8.9999999999999993E-3</v>
      </c>
      <c r="L164" s="16">
        <v>645</v>
      </c>
      <c r="M164" s="13">
        <v>0.12609999999999999</v>
      </c>
      <c r="N164" s="13">
        <v>0.7399</v>
      </c>
      <c r="O164" s="16"/>
      <c r="P164" s="16">
        <v>3189</v>
      </c>
      <c r="Q164" s="13">
        <v>1.41E-2</v>
      </c>
      <c r="R164" s="16">
        <v>2</v>
      </c>
      <c r="S164" s="16">
        <v>32</v>
      </c>
      <c r="T164" s="16">
        <v>66</v>
      </c>
      <c r="U164" s="16">
        <v>5</v>
      </c>
      <c r="V164" s="19">
        <f t="shared" si="0"/>
        <v>0.13401205069603159</v>
      </c>
      <c r="W164" s="20">
        <f t="shared" ref="W164:X164" si="176">T164-T163</f>
        <v>2</v>
      </c>
      <c r="X164" s="20">
        <f t="shared" si="176"/>
        <v>0</v>
      </c>
      <c r="Y164" s="19">
        <f t="shared" si="96"/>
        <v>0.10232558139534884</v>
      </c>
      <c r="Z164" s="19">
        <f t="shared" si="97"/>
        <v>7.575757575757576E-2</v>
      </c>
      <c r="AA164" s="21">
        <f t="shared" si="18"/>
        <v>1.9115044247787611</v>
      </c>
      <c r="AB164" s="26">
        <f t="shared" si="27"/>
        <v>1.6927040089213385</v>
      </c>
      <c r="AC164" s="23">
        <f t="shared" si="8"/>
        <v>30.857142857142858</v>
      </c>
      <c r="AD164" s="23">
        <f t="shared" si="25"/>
        <v>1</v>
      </c>
      <c r="AE164" s="23">
        <f t="shared" si="9"/>
        <v>2428.4285714285716</v>
      </c>
      <c r="AF164" s="25">
        <f t="shared" si="13"/>
        <v>1.3771428571428572E-2</v>
      </c>
      <c r="AG164" s="25"/>
      <c r="AH164" s="25"/>
      <c r="AI164" s="25"/>
      <c r="AJ164" s="25"/>
      <c r="AK164" s="25"/>
      <c r="AL164" s="25"/>
      <c r="AM164" s="26">
        <f t="shared" si="21"/>
        <v>14</v>
      </c>
    </row>
    <row r="165" spans="1:39" ht="16">
      <c r="A165" s="15">
        <v>44057</v>
      </c>
      <c r="B165" s="16">
        <v>4853</v>
      </c>
      <c r="C165" s="16">
        <v>40</v>
      </c>
      <c r="D165" s="16">
        <v>607</v>
      </c>
      <c r="E165" s="16">
        <v>3590</v>
      </c>
      <c r="F165" s="16">
        <v>372687</v>
      </c>
      <c r="G165" s="17">
        <f t="shared" si="2"/>
        <v>38029.28571428571</v>
      </c>
      <c r="H165" s="20"/>
      <c r="I165" s="13">
        <v>8.3000000000000001E-3</v>
      </c>
      <c r="J165" s="13">
        <v>1.2999999999999999E-2</v>
      </c>
      <c r="K165" s="22">
        <v>8.0000000000000002E-3</v>
      </c>
      <c r="L165" s="16">
        <v>656</v>
      </c>
      <c r="M165" s="13">
        <v>0.12509999999999999</v>
      </c>
      <c r="N165" s="13">
        <v>0.73970000000000002</v>
      </c>
      <c r="O165" s="16"/>
      <c r="P165" s="16">
        <v>3142</v>
      </c>
      <c r="Q165" s="13">
        <v>1.2699999999999999E-2</v>
      </c>
      <c r="R165" s="16">
        <v>0</v>
      </c>
      <c r="S165" s="16">
        <v>29</v>
      </c>
      <c r="T165" s="16">
        <v>64</v>
      </c>
      <c r="U165" s="16">
        <v>6</v>
      </c>
      <c r="V165" s="19">
        <f t="shared" si="0"/>
        <v>0.13517411910158664</v>
      </c>
      <c r="W165" s="20">
        <f t="shared" ref="W165:X165" si="177">T165-T164</f>
        <v>-2</v>
      </c>
      <c r="X165" s="20">
        <f t="shared" si="177"/>
        <v>1</v>
      </c>
      <c r="Y165" s="19">
        <f t="shared" si="96"/>
        <v>9.7560975609756101E-2</v>
      </c>
      <c r="Z165" s="19">
        <f t="shared" si="97"/>
        <v>9.375E-2</v>
      </c>
      <c r="AA165" s="21">
        <f t="shared" si="18"/>
        <v>2</v>
      </c>
      <c r="AB165" s="26">
        <f t="shared" si="27"/>
        <v>1.8235451304166654</v>
      </c>
      <c r="AC165" s="23">
        <f t="shared" si="8"/>
        <v>33.142857142857146</v>
      </c>
      <c r="AD165" s="23">
        <f t="shared" si="25"/>
        <v>0.7142857142857143</v>
      </c>
      <c r="AE165" s="23">
        <f t="shared" si="9"/>
        <v>2460</v>
      </c>
      <c r="AF165" s="25">
        <f t="shared" si="13"/>
        <v>1.4414285714285715E-2</v>
      </c>
      <c r="AG165" s="25"/>
      <c r="AH165" s="25"/>
      <c r="AI165" s="25"/>
      <c r="AJ165" s="25"/>
      <c r="AK165" s="25"/>
      <c r="AL165" s="25"/>
      <c r="AM165" s="26">
        <f t="shared" si="21"/>
        <v>18</v>
      </c>
    </row>
    <row r="166" spans="1:39" ht="16">
      <c r="A166" s="15">
        <v>44058</v>
      </c>
      <c r="B166" s="16">
        <v>4877</v>
      </c>
      <c r="C166" s="16">
        <v>24</v>
      </c>
      <c r="D166" s="16">
        <v>607</v>
      </c>
      <c r="E166" s="16">
        <v>3606</v>
      </c>
      <c r="F166" s="16">
        <v>375685</v>
      </c>
      <c r="G166" s="17">
        <f t="shared" si="2"/>
        <v>38335.204081632648</v>
      </c>
      <c r="H166" s="20"/>
      <c r="I166" s="13">
        <v>4.8999999999999998E-3</v>
      </c>
      <c r="J166" s="13">
        <v>1.2999999999999999E-2</v>
      </c>
      <c r="K166" s="22">
        <v>8.0000000000000002E-3</v>
      </c>
      <c r="L166" s="16">
        <v>664</v>
      </c>
      <c r="M166" s="13">
        <v>0.1245</v>
      </c>
      <c r="N166" s="13">
        <v>0.73939999999999995</v>
      </c>
      <c r="O166" s="16"/>
      <c r="P166" s="16">
        <v>2998</v>
      </c>
      <c r="Q166" s="13">
        <v>8.0000000000000002E-3</v>
      </c>
      <c r="R166" s="16">
        <v>0</v>
      </c>
      <c r="S166" s="16">
        <v>16</v>
      </c>
      <c r="T166" s="16">
        <v>63</v>
      </c>
      <c r="U166" s="16">
        <v>6</v>
      </c>
      <c r="V166" s="19">
        <f t="shared" si="0"/>
        <v>0.13614927209350011</v>
      </c>
      <c r="W166" s="20">
        <f t="shared" ref="W166:X166" si="178">T166-T165</f>
        <v>-1</v>
      </c>
      <c r="X166" s="20">
        <f t="shared" si="178"/>
        <v>0</v>
      </c>
      <c r="Y166" s="19">
        <f t="shared" si="96"/>
        <v>9.4879518072289157E-2</v>
      </c>
      <c r="Z166" s="19">
        <f t="shared" si="97"/>
        <v>9.5238095238095233E-2</v>
      </c>
      <c r="AA166" s="21">
        <f t="shared" si="18"/>
        <v>1.7637795275590551</v>
      </c>
      <c r="AB166" s="26">
        <f t="shared" si="27"/>
        <v>1.8976424858942897</v>
      </c>
      <c r="AC166" s="23">
        <f t="shared" si="8"/>
        <v>32</v>
      </c>
      <c r="AD166" s="23">
        <f t="shared" si="25"/>
        <v>0.7142857142857143</v>
      </c>
      <c r="AE166" s="23">
        <f t="shared" si="9"/>
        <v>2464</v>
      </c>
      <c r="AF166" s="25">
        <f t="shared" si="13"/>
        <v>1.4014285714285713E-2</v>
      </c>
      <c r="AG166" s="25"/>
      <c r="AH166" s="25"/>
      <c r="AI166" s="25"/>
      <c r="AJ166" s="25"/>
      <c r="AK166" s="25"/>
      <c r="AL166" s="25"/>
      <c r="AM166" s="26">
        <f t="shared" si="21"/>
        <v>16.428571428571427</v>
      </c>
    </row>
    <row r="167" spans="1:39" ht="16">
      <c r="A167" s="15">
        <v>44059</v>
      </c>
      <c r="B167" s="16">
        <v>4916</v>
      </c>
      <c r="C167" s="16">
        <v>39</v>
      </c>
      <c r="D167" s="16">
        <v>608</v>
      </c>
      <c r="E167" s="16">
        <v>3623</v>
      </c>
      <c r="F167" s="16">
        <v>378608</v>
      </c>
      <c r="G167" s="17">
        <f t="shared" si="2"/>
        <v>38633.469387755096</v>
      </c>
      <c r="H167" s="20"/>
      <c r="I167" s="13">
        <v>8.0000000000000002E-3</v>
      </c>
      <c r="J167" s="13">
        <v>1.2999999999999999E-2</v>
      </c>
      <c r="K167" s="22">
        <v>8.0000000000000002E-3</v>
      </c>
      <c r="L167" s="16">
        <v>685</v>
      </c>
      <c r="M167" s="13">
        <v>0.1237</v>
      </c>
      <c r="N167" s="13">
        <v>0.73699999999999999</v>
      </c>
      <c r="O167" s="16"/>
      <c r="P167" s="16">
        <v>2923</v>
      </c>
      <c r="Q167" s="13">
        <v>1.3299999999999999E-2</v>
      </c>
      <c r="R167" s="16">
        <v>1</v>
      </c>
      <c r="S167" s="16">
        <v>17</v>
      </c>
      <c r="T167" s="16">
        <v>62</v>
      </c>
      <c r="U167" s="16">
        <v>6</v>
      </c>
      <c r="V167" s="19">
        <f t="shared" si="0"/>
        <v>0.13934092758340114</v>
      </c>
      <c r="W167" s="20">
        <f t="shared" ref="W167:X167" si="179">T167-T166</f>
        <v>-1</v>
      </c>
      <c r="X167" s="20">
        <f t="shared" si="179"/>
        <v>0</v>
      </c>
      <c r="Y167" s="19">
        <f t="shared" si="96"/>
        <v>9.0510948905109495E-2</v>
      </c>
      <c r="Z167" s="19">
        <f t="shared" si="97"/>
        <v>9.6774193548387094E-2</v>
      </c>
      <c r="AA167" s="21">
        <f t="shared" si="18"/>
        <v>1.3664596273291925</v>
      </c>
      <c r="AB167" s="26">
        <f t="shared" si="27"/>
        <v>1.8628510040841744</v>
      </c>
      <c r="AC167" s="23">
        <f t="shared" si="8"/>
        <v>31.428571428571427</v>
      </c>
      <c r="AD167" s="23">
        <f t="shared" si="25"/>
        <v>0.8571428571428571</v>
      </c>
      <c r="AE167" s="23">
        <f t="shared" si="9"/>
        <v>2548</v>
      </c>
      <c r="AF167" s="25">
        <f t="shared" si="13"/>
        <v>1.3285714285714286E-2</v>
      </c>
      <c r="AG167" s="25"/>
      <c r="AH167" s="25"/>
      <c r="AI167" s="25"/>
      <c r="AJ167" s="25"/>
      <c r="AK167" s="25"/>
      <c r="AL167" s="25"/>
      <c r="AM167" s="26">
        <f t="shared" si="21"/>
        <v>17.714285714285715</v>
      </c>
    </row>
    <row r="168" spans="1:39" ht="16">
      <c r="A168" s="15">
        <v>44060</v>
      </c>
      <c r="B168" s="16">
        <v>4946</v>
      </c>
      <c r="C168" s="16">
        <v>30</v>
      </c>
      <c r="D168" s="16">
        <v>608</v>
      </c>
      <c r="E168" s="16">
        <v>3630</v>
      </c>
      <c r="F168" s="16">
        <v>380932</v>
      </c>
      <c r="G168" s="17">
        <f t="shared" si="2"/>
        <v>38870.612244897959</v>
      </c>
      <c r="H168" s="20"/>
      <c r="I168" s="13">
        <v>6.1000000000000004E-3</v>
      </c>
      <c r="J168" s="13">
        <v>1.2999999999999999E-2</v>
      </c>
      <c r="K168" s="22">
        <v>6.0000000000000001E-3</v>
      </c>
      <c r="L168" s="16">
        <v>708</v>
      </c>
      <c r="M168" s="13">
        <v>0.1229</v>
      </c>
      <c r="N168" s="13">
        <v>0.7339</v>
      </c>
      <c r="O168" s="16">
        <v>8188</v>
      </c>
      <c r="P168" s="16">
        <v>2324</v>
      </c>
      <c r="Q168" s="13">
        <v>1.29E-2</v>
      </c>
      <c r="R168" s="16">
        <v>0</v>
      </c>
      <c r="S168" s="16">
        <v>7</v>
      </c>
      <c r="T168" s="16">
        <v>62</v>
      </c>
      <c r="U168" s="16">
        <v>6</v>
      </c>
      <c r="V168" s="19">
        <f t="shared" si="0"/>
        <v>0.14314597654670441</v>
      </c>
      <c r="W168" s="20">
        <f t="shared" ref="W168:X168" si="180">T168-T167</f>
        <v>0</v>
      </c>
      <c r="X168" s="20">
        <f t="shared" si="180"/>
        <v>0</v>
      </c>
      <c r="Y168" s="19">
        <f t="shared" si="96"/>
        <v>8.7570621468926552E-2</v>
      </c>
      <c r="Z168" s="19">
        <f t="shared" si="97"/>
        <v>9.6774193548387094E-2</v>
      </c>
      <c r="AA168" s="21">
        <f t="shared" si="18"/>
        <v>1.1497326203208555</v>
      </c>
      <c r="AB168" s="26">
        <f t="shared" si="27"/>
        <v>1.7488247117490585</v>
      </c>
      <c r="AC168" s="23">
        <f t="shared" si="8"/>
        <v>30.714285714285715</v>
      </c>
      <c r="AD168" s="23">
        <f t="shared" si="25"/>
        <v>0.42857142857142855</v>
      </c>
      <c r="AE168" s="23">
        <f t="shared" si="9"/>
        <v>2610.2857142857142</v>
      </c>
      <c r="AF168" s="25">
        <f t="shared" si="13"/>
        <v>1.2485714285714284E-2</v>
      </c>
      <c r="AG168" s="25"/>
      <c r="AH168" s="25"/>
      <c r="AI168" s="25"/>
      <c r="AJ168" s="25"/>
      <c r="AK168" s="25"/>
      <c r="AL168" s="25"/>
      <c r="AM168" s="26">
        <f t="shared" si="21"/>
        <v>15</v>
      </c>
    </row>
    <row r="169" spans="1:39" ht="16">
      <c r="A169" s="15">
        <v>44061</v>
      </c>
      <c r="B169" s="16">
        <v>4970</v>
      </c>
      <c r="C169" s="16">
        <v>24</v>
      </c>
      <c r="D169" s="16">
        <v>609</v>
      </c>
      <c r="E169" s="16">
        <v>3631</v>
      </c>
      <c r="F169" s="16">
        <v>383411</v>
      </c>
      <c r="G169" s="17">
        <f t="shared" si="2"/>
        <v>39123.571428571428</v>
      </c>
      <c r="H169" s="20"/>
      <c r="I169" s="13">
        <v>4.8999999999999998E-3</v>
      </c>
      <c r="J169" s="13">
        <v>1.2999999999999999E-2</v>
      </c>
      <c r="K169" s="22">
        <v>6.0000000000000001E-3</v>
      </c>
      <c r="L169" s="16">
        <v>730</v>
      </c>
      <c r="M169" s="13">
        <v>0.1225</v>
      </c>
      <c r="N169" s="13">
        <v>0.73060000000000003</v>
      </c>
      <c r="P169" s="16">
        <v>2479</v>
      </c>
      <c r="Q169" s="13">
        <v>9.7000000000000003E-3</v>
      </c>
      <c r="R169" s="16">
        <v>1</v>
      </c>
      <c r="S169" s="16">
        <v>1</v>
      </c>
      <c r="T169" s="16">
        <v>60</v>
      </c>
      <c r="U169" s="16">
        <v>6</v>
      </c>
      <c r="V169" s="19">
        <f t="shared" si="0"/>
        <v>0.14688128772635814</v>
      </c>
      <c r="W169" s="20">
        <f t="shared" ref="W169:X169" si="181">T169-T168</f>
        <v>-2</v>
      </c>
      <c r="X169" s="20">
        <f t="shared" si="181"/>
        <v>0</v>
      </c>
      <c r="Y169" s="19">
        <f t="shared" si="96"/>
        <v>8.2191780821917804E-2</v>
      </c>
      <c r="Z169" s="19">
        <f t="shared" si="97"/>
        <v>0.1</v>
      </c>
      <c r="AA169" s="21">
        <f t="shared" si="18"/>
        <v>1.160621761658031</v>
      </c>
      <c r="AB169" s="26">
        <f t="shared" si="27"/>
        <v>1.6303862888931366</v>
      </c>
      <c r="AC169" s="23">
        <f t="shared" si="8"/>
        <v>32</v>
      </c>
      <c r="AD169" s="23">
        <f t="shared" si="25"/>
        <v>0.5714285714285714</v>
      </c>
      <c r="AE169" s="23">
        <f t="shared" si="9"/>
        <v>2850.2857142857142</v>
      </c>
      <c r="AF169" s="25">
        <f t="shared" si="13"/>
        <v>1.1185714285714285E-2</v>
      </c>
      <c r="AG169" s="25"/>
      <c r="AH169" s="25"/>
      <c r="AI169" s="25"/>
      <c r="AJ169" s="25"/>
      <c r="AK169" s="25"/>
      <c r="AL169" s="25"/>
      <c r="AM169" s="26">
        <f t="shared" si="21"/>
        <v>14.857142857142858</v>
      </c>
    </row>
    <row r="170" spans="1:39" ht="16">
      <c r="A170" s="15">
        <v>44062</v>
      </c>
      <c r="B170" s="16">
        <v>5002</v>
      </c>
      <c r="C170" s="16">
        <v>32</v>
      </c>
      <c r="D170" s="16">
        <v>609</v>
      </c>
      <c r="E170" s="16">
        <v>3665</v>
      </c>
      <c r="F170" s="16">
        <v>387111</v>
      </c>
      <c r="G170" s="17">
        <f t="shared" si="2"/>
        <v>39501.122448979586</v>
      </c>
      <c r="H170" s="20"/>
      <c r="I170" s="13">
        <v>6.4000000000000003E-3</v>
      </c>
      <c r="J170" s="13">
        <v>1.29E-2</v>
      </c>
      <c r="K170" s="22">
        <v>0.01</v>
      </c>
      <c r="L170" s="16">
        <v>728</v>
      </c>
      <c r="M170" s="13">
        <v>0.12180000000000001</v>
      </c>
      <c r="N170" s="13">
        <v>0.73270000000000002</v>
      </c>
      <c r="P170" s="16">
        <v>3700</v>
      </c>
      <c r="Q170" s="13">
        <v>8.6E-3</v>
      </c>
      <c r="R170" s="16">
        <v>0</v>
      </c>
      <c r="S170" s="16">
        <v>34</v>
      </c>
      <c r="T170" s="16">
        <v>57</v>
      </c>
      <c r="U170" s="16">
        <v>7</v>
      </c>
      <c r="V170" s="19">
        <f t="shared" si="0"/>
        <v>0.14554178328668532</v>
      </c>
      <c r="W170" s="20">
        <f t="shared" ref="W170:X170" si="182">T170-T169</f>
        <v>-3</v>
      </c>
      <c r="X170" s="20">
        <f t="shared" si="182"/>
        <v>1</v>
      </c>
      <c r="Y170" s="19">
        <f t="shared" si="96"/>
        <v>7.8296703296703296E-2</v>
      </c>
      <c r="Z170" s="19">
        <f t="shared" si="97"/>
        <v>0.12280701754385964</v>
      </c>
      <c r="AA170" s="21">
        <f t="shared" si="18"/>
        <v>1.1470588235294117</v>
      </c>
      <c r="AB170" s="26">
        <f t="shared" si="27"/>
        <v>1.4998795407393295</v>
      </c>
      <c r="AC170" s="23">
        <f t="shared" si="8"/>
        <v>33.428571428571431</v>
      </c>
      <c r="AD170" s="23">
        <f t="shared" si="25"/>
        <v>0.5714285714285714</v>
      </c>
      <c r="AE170" s="23">
        <f t="shared" si="9"/>
        <v>2965</v>
      </c>
      <c r="AF170" s="25">
        <f t="shared" si="13"/>
        <v>1.1328571428571427E-2</v>
      </c>
      <c r="AG170" s="25"/>
      <c r="AH170" s="25"/>
      <c r="AI170" s="25"/>
      <c r="AJ170" s="25"/>
      <c r="AK170" s="25"/>
      <c r="AL170" s="25"/>
      <c r="AM170" s="26">
        <f t="shared" si="21"/>
        <v>19.428571428571427</v>
      </c>
    </row>
    <row r="171" spans="1:39" ht="16">
      <c r="A171" s="15">
        <v>44063</v>
      </c>
      <c r="B171" s="16">
        <v>5046</v>
      </c>
      <c r="C171" s="16">
        <v>44</v>
      </c>
      <c r="D171" s="16">
        <v>609</v>
      </c>
      <c r="E171" s="16">
        <v>3678</v>
      </c>
      <c r="F171" s="16">
        <v>390079</v>
      </c>
      <c r="G171" s="17">
        <f t="shared" si="2"/>
        <v>39803.979591836731</v>
      </c>
      <c r="H171" s="20"/>
      <c r="I171" s="13">
        <v>8.8000000000000005E-3</v>
      </c>
      <c r="J171" s="13">
        <v>1.29E-2</v>
      </c>
      <c r="K171" s="22">
        <v>8.0000000000000002E-3</v>
      </c>
      <c r="L171" s="16">
        <v>759</v>
      </c>
      <c r="M171" s="13">
        <v>0.1207</v>
      </c>
      <c r="N171" s="13">
        <v>0.72889999999999999</v>
      </c>
      <c r="P171" s="16">
        <v>2968</v>
      </c>
      <c r="Q171" s="13">
        <v>1.4800000000000001E-2</v>
      </c>
      <c r="R171" s="16">
        <v>0</v>
      </c>
      <c r="S171" s="16">
        <v>13</v>
      </c>
      <c r="T171" s="16">
        <v>57</v>
      </c>
      <c r="U171" s="16">
        <v>7</v>
      </c>
      <c r="V171" s="19">
        <f t="shared" si="0"/>
        <v>0.15041617122473247</v>
      </c>
      <c r="W171" s="20">
        <f t="shared" ref="W171:X171" si="183">T171-T170</f>
        <v>0</v>
      </c>
      <c r="X171" s="20">
        <f t="shared" si="183"/>
        <v>0</v>
      </c>
      <c r="Y171" s="19">
        <f t="shared" si="96"/>
        <v>7.5098814229249009E-2</v>
      </c>
      <c r="Z171" s="19">
        <f t="shared" si="97"/>
        <v>0.12280701754385964</v>
      </c>
      <c r="AA171" s="21">
        <f t="shared" si="18"/>
        <v>1.0787037037037037</v>
      </c>
      <c r="AB171" s="26">
        <f t="shared" si="27"/>
        <v>1.3809080091571784</v>
      </c>
      <c r="AC171" s="23">
        <f t="shared" si="8"/>
        <v>33.285714285714285</v>
      </c>
      <c r="AD171" s="23">
        <f t="shared" si="25"/>
        <v>0.2857142857142857</v>
      </c>
      <c r="AE171" s="23">
        <f t="shared" si="9"/>
        <v>2933.4285714285716</v>
      </c>
      <c r="AF171" s="25">
        <f t="shared" si="13"/>
        <v>1.142857142857143E-2</v>
      </c>
      <c r="AG171" s="25"/>
      <c r="AH171" s="25"/>
      <c r="AI171" s="25"/>
      <c r="AJ171" s="25"/>
      <c r="AK171" s="25"/>
      <c r="AL171" s="25"/>
      <c r="AM171" s="26">
        <f t="shared" si="21"/>
        <v>16.714285714285715</v>
      </c>
    </row>
    <row r="172" spans="1:39" ht="16">
      <c r="A172" s="15">
        <v>44064</v>
      </c>
      <c r="B172" s="16">
        <v>5098</v>
      </c>
      <c r="C172" s="16">
        <v>52</v>
      </c>
      <c r="D172" s="16">
        <v>611</v>
      </c>
      <c r="E172" s="16">
        <v>3681</v>
      </c>
      <c r="F172" s="16">
        <v>393431</v>
      </c>
      <c r="G172" s="17">
        <f t="shared" si="2"/>
        <v>40146.020408163262</v>
      </c>
      <c r="H172" s="20"/>
      <c r="I172" s="13">
        <v>1.03E-2</v>
      </c>
      <c r="J172" s="13">
        <v>1.2999999999999999E-2</v>
      </c>
      <c r="K172" s="22">
        <v>8.9999999999999993E-3</v>
      </c>
      <c r="L172" s="16">
        <v>806</v>
      </c>
      <c r="M172" s="13">
        <v>0.11990000000000001</v>
      </c>
      <c r="N172" s="13">
        <v>0.72199999999999998</v>
      </c>
      <c r="P172" s="16">
        <v>3352</v>
      </c>
      <c r="Q172" s="13">
        <v>1.55E-2</v>
      </c>
      <c r="R172" s="16">
        <v>2</v>
      </c>
      <c r="S172" s="16">
        <v>3</v>
      </c>
      <c r="T172" s="16">
        <v>58</v>
      </c>
      <c r="U172" s="16">
        <v>6</v>
      </c>
      <c r="V172" s="19">
        <f t="shared" si="0"/>
        <v>0.15810121616320125</v>
      </c>
      <c r="W172" s="20">
        <f t="shared" ref="W172:X172" si="184">T172-T171</f>
        <v>1</v>
      </c>
      <c r="X172" s="20">
        <f t="shared" si="184"/>
        <v>-1</v>
      </c>
      <c r="Y172" s="19">
        <f t="shared" si="96"/>
        <v>7.1960297766749379E-2</v>
      </c>
      <c r="Z172" s="19">
        <f t="shared" si="97"/>
        <v>0.10344827586206896</v>
      </c>
      <c r="AA172" s="21">
        <f t="shared" si="18"/>
        <v>1.0560344827586208</v>
      </c>
      <c r="AB172" s="26">
        <f t="shared" si="27"/>
        <v>1.2460557924084099</v>
      </c>
      <c r="AC172" s="23">
        <f t="shared" si="8"/>
        <v>35</v>
      </c>
      <c r="AD172" s="23">
        <f t="shared" si="25"/>
        <v>0.5714285714285714</v>
      </c>
      <c r="AE172" s="23">
        <f t="shared" si="9"/>
        <v>2963.4285714285716</v>
      </c>
      <c r="AF172" s="25">
        <f t="shared" si="13"/>
        <v>1.1828571428571428E-2</v>
      </c>
      <c r="AG172" s="25"/>
      <c r="AH172" s="25"/>
      <c r="AI172" s="25"/>
      <c r="AJ172" s="25"/>
      <c r="AK172" s="25"/>
      <c r="AL172" s="25"/>
      <c r="AM172" s="26">
        <f t="shared" si="21"/>
        <v>13</v>
      </c>
    </row>
    <row r="173" spans="1:39" ht="16">
      <c r="A173" s="15">
        <v>44065</v>
      </c>
      <c r="B173" s="16">
        <v>5133</v>
      </c>
      <c r="C173" s="16">
        <v>35</v>
      </c>
      <c r="D173" s="16">
        <v>611</v>
      </c>
      <c r="E173" s="16">
        <v>3692</v>
      </c>
      <c r="F173" s="16">
        <v>394911</v>
      </c>
      <c r="G173" s="17">
        <f t="shared" si="2"/>
        <v>40297.040816326531</v>
      </c>
      <c r="H173" s="20"/>
      <c r="I173" s="13">
        <v>6.8999999999999999E-3</v>
      </c>
      <c r="J173" s="13">
        <v>1.2999999999999999E-2</v>
      </c>
      <c r="K173" s="22">
        <v>4.0000000000000001E-3</v>
      </c>
      <c r="L173" s="16">
        <v>830</v>
      </c>
      <c r="M173" s="13">
        <v>0.11899999999999999</v>
      </c>
      <c r="N173" s="13">
        <v>0.71930000000000005</v>
      </c>
      <c r="O173" s="16"/>
      <c r="P173" s="16">
        <v>1480</v>
      </c>
      <c r="Q173" s="13">
        <v>2.3599999999999999E-2</v>
      </c>
      <c r="R173" s="12">
        <v>0</v>
      </c>
      <c r="S173" s="16">
        <v>11</v>
      </c>
      <c r="T173" s="16">
        <v>60</v>
      </c>
      <c r="U173" s="16">
        <v>7</v>
      </c>
      <c r="V173" s="19">
        <f t="shared" si="0"/>
        <v>0.16169881161114358</v>
      </c>
      <c r="W173" s="20">
        <f t="shared" ref="W173:X173" si="185">T173-T172</f>
        <v>2</v>
      </c>
      <c r="X173" s="20">
        <f t="shared" si="185"/>
        <v>1</v>
      </c>
      <c r="Y173" s="19">
        <f t="shared" si="96"/>
        <v>7.2289156626506021E-2</v>
      </c>
      <c r="Z173" s="19">
        <f t="shared" si="97"/>
        <v>0.11666666666666667</v>
      </c>
      <c r="AA173" s="21">
        <f t="shared" si="18"/>
        <v>1.1428571428571428</v>
      </c>
      <c r="AB173" s="26">
        <f t="shared" si="27"/>
        <v>1.1573525945938512</v>
      </c>
      <c r="AC173" s="23">
        <f t="shared" si="8"/>
        <v>36.571428571428569</v>
      </c>
      <c r="AD173" s="23">
        <f t="shared" si="25"/>
        <v>0.5714285714285714</v>
      </c>
      <c r="AE173" s="23">
        <f t="shared" si="9"/>
        <v>2746.5714285714284</v>
      </c>
      <c r="AF173" s="25">
        <f t="shared" si="13"/>
        <v>1.4057142857142857E-2</v>
      </c>
      <c r="AG173" s="25"/>
      <c r="AH173" s="25"/>
      <c r="AI173" s="25"/>
      <c r="AJ173" s="25"/>
      <c r="AK173" s="25"/>
      <c r="AL173" s="25"/>
      <c r="AM173" s="26">
        <f t="shared" si="21"/>
        <v>12.285714285714286</v>
      </c>
    </row>
    <row r="174" spans="1:39" ht="16">
      <c r="A174" s="15">
        <v>44066</v>
      </c>
      <c r="B174" s="16">
        <v>5155</v>
      </c>
      <c r="C174" s="16">
        <v>22</v>
      </c>
      <c r="D174" s="16">
        <v>613</v>
      </c>
      <c r="E174" s="16">
        <v>3695</v>
      </c>
      <c r="F174" s="16">
        <v>397092</v>
      </c>
      <c r="G174" s="27">
        <v>40520</v>
      </c>
      <c r="H174" s="20"/>
      <c r="I174" s="13">
        <v>4.3E-3</v>
      </c>
      <c r="J174" s="13">
        <v>1.2999999999999999E-2</v>
      </c>
      <c r="K174" s="22">
        <v>5.0000000000000001E-3</v>
      </c>
      <c r="L174" s="16">
        <v>847</v>
      </c>
      <c r="M174" s="13">
        <v>0.11890000000000001</v>
      </c>
      <c r="N174" s="13">
        <v>0.71679999999999999</v>
      </c>
      <c r="O174" s="16">
        <v>7470</v>
      </c>
      <c r="P174" s="16">
        <v>2181</v>
      </c>
      <c r="Q174" s="13">
        <v>1.01E-2</v>
      </c>
      <c r="R174" s="16">
        <v>2</v>
      </c>
      <c r="S174" s="16">
        <v>3</v>
      </c>
      <c r="T174" s="16">
        <v>59</v>
      </c>
      <c r="U174" s="16">
        <v>7</v>
      </c>
      <c r="V174" s="19">
        <f t="shared" si="0"/>
        <v>0.16430649854510185</v>
      </c>
      <c r="W174" s="20">
        <f t="shared" ref="W174:X174" si="186">T174-T173</f>
        <v>-1</v>
      </c>
      <c r="X174" s="20">
        <f t="shared" si="186"/>
        <v>0</v>
      </c>
      <c r="Y174" s="19">
        <f t="shared" si="96"/>
        <v>6.9657615112160565E-2</v>
      </c>
      <c r="Z174" s="19">
        <f t="shared" si="97"/>
        <v>0.11864406779661017</v>
      </c>
      <c r="AA174" s="21">
        <f t="shared" si="18"/>
        <v>1.0863636363636364</v>
      </c>
      <c r="AB174" s="26">
        <f t="shared" si="27"/>
        <v>1.1173388815987715</v>
      </c>
      <c r="AC174" s="23">
        <f t="shared" si="8"/>
        <v>34.142857142857146</v>
      </c>
      <c r="AD174" s="23">
        <f t="shared" si="25"/>
        <v>0.7142857142857143</v>
      </c>
      <c r="AE174" s="23">
        <f t="shared" si="9"/>
        <v>2640.5714285714284</v>
      </c>
      <c r="AF174" s="25">
        <f t="shared" si="13"/>
        <v>1.3599999999999999E-2</v>
      </c>
      <c r="AG174" s="25"/>
      <c r="AH174" s="25"/>
      <c r="AI174" s="25"/>
      <c r="AJ174" s="25"/>
      <c r="AK174" s="25"/>
      <c r="AL174" s="25"/>
      <c r="AM174" s="26">
        <f t="shared" si="21"/>
        <v>10.285714285714286</v>
      </c>
    </row>
    <row r="175" spans="1:39" ht="16">
      <c r="A175" s="15">
        <v>44067</v>
      </c>
      <c r="B175" s="16">
        <v>5191</v>
      </c>
      <c r="C175" s="16">
        <v>36</v>
      </c>
      <c r="D175" s="16">
        <v>613</v>
      </c>
      <c r="E175" s="16">
        <v>3695</v>
      </c>
      <c r="F175" s="16">
        <v>398550</v>
      </c>
      <c r="G175" s="27">
        <v>40668</v>
      </c>
      <c r="H175" s="20"/>
      <c r="I175" s="13">
        <v>7.0000000000000001E-3</v>
      </c>
      <c r="J175" s="13">
        <v>1.2999999999999999E-2</v>
      </c>
      <c r="K175" s="22">
        <v>4.0000000000000001E-3</v>
      </c>
      <c r="L175" s="16">
        <v>883</v>
      </c>
      <c r="M175" s="13">
        <v>0.1181</v>
      </c>
      <c r="N175" s="13">
        <v>0.71179999999999999</v>
      </c>
      <c r="O175" s="16">
        <v>7917</v>
      </c>
      <c r="P175" s="16">
        <v>1458</v>
      </c>
      <c r="Q175" s="13">
        <v>2.47E-2</v>
      </c>
      <c r="R175" s="16">
        <v>0</v>
      </c>
      <c r="S175" s="16">
        <v>0</v>
      </c>
      <c r="T175" s="16">
        <v>59</v>
      </c>
      <c r="U175" s="16">
        <v>9</v>
      </c>
      <c r="V175" s="19">
        <f t="shared" si="0"/>
        <v>0.17010209978809479</v>
      </c>
      <c r="W175" s="20">
        <f t="shared" ref="W175:X175" si="187">T175-T174</f>
        <v>0</v>
      </c>
      <c r="X175" s="20">
        <f t="shared" si="187"/>
        <v>2</v>
      </c>
      <c r="Y175" s="19">
        <f t="shared" si="96"/>
        <v>6.6817667044167611E-2</v>
      </c>
      <c r="Z175" s="19">
        <f t="shared" si="97"/>
        <v>0.15254237288135594</v>
      </c>
      <c r="AA175" s="21">
        <f t="shared" si="18"/>
        <v>1.1395348837209303</v>
      </c>
      <c r="AB175" s="26">
        <f t="shared" si="27"/>
        <v>1.1158820620844967</v>
      </c>
      <c r="AC175" s="23">
        <f t="shared" si="8"/>
        <v>35</v>
      </c>
      <c r="AD175" s="23">
        <f t="shared" si="25"/>
        <v>0.7142857142857143</v>
      </c>
      <c r="AE175" s="23">
        <f t="shared" si="9"/>
        <v>2516.8571428571427</v>
      </c>
      <c r="AF175" s="25">
        <f t="shared" si="13"/>
        <v>1.5285714285714286E-2</v>
      </c>
      <c r="AG175" s="25"/>
      <c r="AH175" s="25"/>
      <c r="AI175" s="25"/>
      <c r="AJ175" s="25"/>
      <c r="AK175" s="25"/>
      <c r="AL175" s="25"/>
      <c r="AM175" s="26">
        <f t="shared" si="21"/>
        <v>9.2857142857142865</v>
      </c>
    </row>
    <row r="176" spans="1:39" ht="16">
      <c r="A176" s="15">
        <v>44068</v>
      </c>
      <c r="B176" s="16">
        <v>5215</v>
      </c>
      <c r="C176" s="16">
        <v>24</v>
      </c>
      <c r="D176" s="16">
        <v>614</v>
      </c>
      <c r="E176" s="16">
        <v>3716</v>
      </c>
      <c r="F176" s="16">
        <v>400442</v>
      </c>
      <c r="G176" s="27">
        <v>40861</v>
      </c>
      <c r="H176" s="20"/>
      <c r="I176" s="13">
        <v>4.5999999999999999E-3</v>
      </c>
      <c r="J176" s="13">
        <v>1.2999999999999999E-2</v>
      </c>
      <c r="K176" s="22">
        <v>5.0000000000000001E-3</v>
      </c>
      <c r="L176" s="16">
        <v>885</v>
      </c>
      <c r="M176" s="13">
        <v>0.1177</v>
      </c>
      <c r="N176" s="13">
        <v>0.71260000000000001</v>
      </c>
      <c r="O176" s="16"/>
      <c r="P176" s="16">
        <v>1892</v>
      </c>
      <c r="Q176" s="13">
        <v>1.2699999999999999E-2</v>
      </c>
      <c r="R176" s="16">
        <v>1</v>
      </c>
      <c r="S176" s="16">
        <v>21</v>
      </c>
      <c r="T176" s="16">
        <v>57</v>
      </c>
      <c r="U176" s="16">
        <v>7</v>
      </c>
      <c r="V176" s="19">
        <f t="shared" si="0"/>
        <v>0.16970278044103548</v>
      </c>
      <c r="W176" s="20">
        <f t="shared" ref="W176:X176" si="188">T176-T175</f>
        <v>-2</v>
      </c>
      <c r="X176" s="20">
        <f t="shared" si="188"/>
        <v>-2</v>
      </c>
      <c r="Y176" s="19">
        <f t="shared" si="96"/>
        <v>6.4406779661016947E-2</v>
      </c>
      <c r="Z176" s="19">
        <f t="shared" si="97"/>
        <v>0.12280701754385964</v>
      </c>
      <c r="AA176" s="21">
        <f t="shared" si="18"/>
        <v>1.09375</v>
      </c>
      <c r="AB176" s="26">
        <f t="shared" si="27"/>
        <v>1.1063289532762064</v>
      </c>
      <c r="AC176" s="23">
        <f t="shared" si="8"/>
        <v>35</v>
      </c>
      <c r="AD176" s="23">
        <f t="shared" si="25"/>
        <v>0.7142857142857143</v>
      </c>
      <c r="AE176" s="23">
        <f t="shared" si="9"/>
        <v>2433</v>
      </c>
      <c r="AF176" s="25">
        <f t="shared" si="13"/>
        <v>1.5714285714285715E-2</v>
      </c>
      <c r="AG176" s="25"/>
      <c r="AH176" s="25"/>
      <c r="AI176" s="25"/>
      <c r="AJ176" s="25"/>
      <c r="AK176" s="25"/>
      <c r="AL176" s="25"/>
      <c r="AM176" s="26">
        <f t="shared" si="21"/>
        <v>12.142857142857142</v>
      </c>
    </row>
    <row r="177" spans="1:39" ht="16">
      <c r="A177" s="15">
        <v>44069</v>
      </c>
      <c r="B177" s="16">
        <v>5288</v>
      </c>
      <c r="C177" s="16">
        <v>73</v>
      </c>
      <c r="D177" s="16">
        <v>614</v>
      </c>
      <c r="E177" s="16">
        <v>3734</v>
      </c>
      <c r="F177" s="16">
        <v>405067</v>
      </c>
      <c r="G177" s="27">
        <v>41333</v>
      </c>
      <c r="H177" s="20"/>
      <c r="I177" s="13">
        <v>1.4E-2</v>
      </c>
      <c r="J177" s="13">
        <v>1.3100000000000001E-2</v>
      </c>
      <c r="K177" s="22">
        <v>1.0999999999999999E-2</v>
      </c>
      <c r="L177" s="16">
        <v>940</v>
      </c>
      <c r="M177" s="13">
        <v>0.11609999999999999</v>
      </c>
      <c r="N177" s="13">
        <v>0.70609999999999995</v>
      </c>
      <c r="O177" s="16">
        <v>7707</v>
      </c>
      <c r="P177" s="16">
        <v>4625</v>
      </c>
      <c r="Q177" s="13">
        <v>1.5800000000000002E-2</v>
      </c>
      <c r="R177" s="16">
        <v>0</v>
      </c>
      <c r="S177" s="16">
        <v>18</v>
      </c>
      <c r="T177" s="16">
        <v>64</v>
      </c>
      <c r="U177" s="16">
        <v>7</v>
      </c>
      <c r="V177" s="19">
        <f t="shared" si="0"/>
        <v>0.1777609682299546</v>
      </c>
      <c r="W177" s="20">
        <f t="shared" ref="W177:X177" si="189">T177-T176</f>
        <v>7</v>
      </c>
      <c r="X177" s="20">
        <f t="shared" si="189"/>
        <v>0</v>
      </c>
      <c r="Y177" s="19">
        <f t="shared" si="96"/>
        <v>6.8085106382978725E-2</v>
      </c>
      <c r="Z177" s="19">
        <f t="shared" si="97"/>
        <v>0.109375</v>
      </c>
      <c r="AA177" s="21">
        <f t="shared" si="18"/>
        <v>1.2222222222222223</v>
      </c>
      <c r="AB177" s="26">
        <f t="shared" si="27"/>
        <v>1.1170665816608938</v>
      </c>
      <c r="AC177" s="23">
        <f t="shared" si="8"/>
        <v>40.857142857142854</v>
      </c>
      <c r="AD177" s="23">
        <f t="shared" si="25"/>
        <v>0.7142857142857143</v>
      </c>
      <c r="AE177" s="23">
        <f t="shared" si="9"/>
        <v>2565.1428571428573</v>
      </c>
      <c r="AF177" s="25">
        <f t="shared" si="13"/>
        <v>1.6742857142857143E-2</v>
      </c>
      <c r="AG177" s="25"/>
      <c r="AH177" s="25"/>
      <c r="AI177" s="25"/>
      <c r="AJ177" s="25"/>
      <c r="AK177" s="25"/>
      <c r="AL177" s="25"/>
      <c r="AM177" s="26">
        <f t="shared" si="21"/>
        <v>9.8571428571428577</v>
      </c>
    </row>
    <row r="178" spans="1:39" ht="16">
      <c r="A178" s="15">
        <v>44070</v>
      </c>
      <c r="B178" s="16">
        <v>5379</v>
      </c>
      <c r="C178" s="16">
        <v>91</v>
      </c>
      <c r="D178" s="16">
        <v>614</v>
      </c>
      <c r="E178" s="16">
        <v>3757</v>
      </c>
      <c r="F178" s="16">
        <v>408799</v>
      </c>
      <c r="G178" s="27">
        <v>41714</v>
      </c>
      <c r="H178" s="20"/>
      <c r="I178" s="13">
        <v>1.72E-2</v>
      </c>
      <c r="J178" s="13">
        <v>1.32E-2</v>
      </c>
      <c r="K178" s="22">
        <v>8.9999999999999993E-3</v>
      </c>
      <c r="L178" s="16">
        <v>1008</v>
      </c>
      <c r="M178" s="13">
        <v>0.11409999999999999</v>
      </c>
      <c r="N178" s="13">
        <v>0.69850000000000001</v>
      </c>
      <c r="O178" s="16"/>
      <c r="P178" s="16">
        <v>3732</v>
      </c>
      <c r="Q178" s="13">
        <v>2.4400000000000002E-2</v>
      </c>
      <c r="R178" s="16">
        <v>0</v>
      </c>
      <c r="S178" s="16">
        <v>23</v>
      </c>
      <c r="T178" s="16">
        <v>69</v>
      </c>
      <c r="U178" s="16">
        <v>8</v>
      </c>
      <c r="V178" s="19">
        <f t="shared" si="0"/>
        <v>0.18739542665923034</v>
      </c>
      <c r="W178" s="20">
        <f t="shared" ref="W178:X178" si="190">T178-T177</f>
        <v>5</v>
      </c>
      <c r="X178" s="20">
        <f t="shared" si="190"/>
        <v>1</v>
      </c>
      <c r="Y178" s="19">
        <f t="shared" si="96"/>
        <v>6.8452380952380959E-2</v>
      </c>
      <c r="Z178" s="19">
        <f t="shared" si="97"/>
        <v>0.11594202898550725</v>
      </c>
      <c r="AA178" s="21">
        <f t="shared" si="18"/>
        <v>1.4291845493562232</v>
      </c>
      <c r="AB178" s="26">
        <f t="shared" si="27"/>
        <v>1.1671352738969678</v>
      </c>
      <c r="AC178" s="23">
        <f t="shared" si="8"/>
        <v>47.571428571428569</v>
      </c>
      <c r="AD178" s="23">
        <f t="shared" si="25"/>
        <v>0.7142857142857143</v>
      </c>
      <c r="AE178" s="23">
        <f t="shared" si="9"/>
        <v>2674.2857142857142</v>
      </c>
      <c r="AF178" s="25">
        <f t="shared" si="13"/>
        <v>1.8114285714285715E-2</v>
      </c>
      <c r="AG178" s="25"/>
      <c r="AH178" s="25"/>
      <c r="AI178" s="25"/>
      <c r="AJ178" s="25"/>
      <c r="AK178" s="25"/>
      <c r="AL178" s="25"/>
      <c r="AM178" s="26">
        <f t="shared" si="21"/>
        <v>11.285714285714286</v>
      </c>
    </row>
    <row r="179" spans="1:39" ht="16">
      <c r="A179" s="15">
        <v>44071</v>
      </c>
      <c r="B179" s="16">
        <v>5511</v>
      </c>
      <c r="C179" s="16">
        <v>132</v>
      </c>
      <c r="D179" s="16">
        <v>614</v>
      </c>
      <c r="E179" s="16">
        <v>3759</v>
      </c>
      <c r="F179" s="16">
        <v>414645</v>
      </c>
      <c r="G179" s="27">
        <v>42311</v>
      </c>
      <c r="H179" s="20"/>
      <c r="I179" s="13">
        <v>2.4500000000000001E-2</v>
      </c>
      <c r="J179" s="13">
        <v>1.3299999999999999E-2</v>
      </c>
      <c r="K179" s="22">
        <v>1.4E-2</v>
      </c>
      <c r="L179" s="16">
        <v>1138</v>
      </c>
      <c r="M179" s="13">
        <v>0.1114</v>
      </c>
      <c r="N179" s="13">
        <v>0.68210000000000004</v>
      </c>
      <c r="O179" s="16">
        <v>8008</v>
      </c>
      <c r="P179" s="16">
        <v>5846</v>
      </c>
      <c r="Q179" s="13">
        <v>2.2599999999999999E-2</v>
      </c>
      <c r="R179" s="16">
        <v>0</v>
      </c>
      <c r="S179" s="16">
        <v>2</v>
      </c>
      <c r="T179" s="16">
        <v>78</v>
      </c>
      <c r="U179" s="16">
        <v>7</v>
      </c>
      <c r="V179" s="19">
        <f t="shared" si="0"/>
        <v>0.20649609871166758</v>
      </c>
      <c r="W179" s="20">
        <f t="shared" ref="W179:X179" si="191">T179-T178</f>
        <v>9</v>
      </c>
      <c r="X179" s="20">
        <f t="shared" si="191"/>
        <v>-1</v>
      </c>
      <c r="Y179" s="19">
        <f t="shared" si="96"/>
        <v>6.8541300527240778E-2</v>
      </c>
      <c r="Z179" s="19">
        <f t="shared" si="97"/>
        <v>8.9743589743589744E-2</v>
      </c>
      <c r="AA179" s="21">
        <f t="shared" si="18"/>
        <v>1.6857142857142857</v>
      </c>
      <c r="AB179" s="26">
        <f t="shared" si="27"/>
        <v>1.2570895314620629</v>
      </c>
      <c r="AC179" s="23">
        <f t="shared" si="8"/>
        <v>59</v>
      </c>
      <c r="AD179" s="23">
        <f t="shared" si="25"/>
        <v>0.42857142857142855</v>
      </c>
      <c r="AE179" s="23">
        <f t="shared" si="9"/>
        <v>3030.5714285714284</v>
      </c>
      <c r="AF179" s="25">
        <f t="shared" si="13"/>
        <v>1.9128571428571432E-2</v>
      </c>
      <c r="AG179" s="25"/>
      <c r="AH179" s="25"/>
      <c r="AI179" s="25"/>
      <c r="AJ179" s="25"/>
      <c r="AK179" s="25"/>
      <c r="AL179" s="25"/>
      <c r="AM179" s="26">
        <f t="shared" si="21"/>
        <v>11.142857142857142</v>
      </c>
    </row>
    <row r="180" spans="1:39" ht="16">
      <c r="A180" s="15">
        <v>44072</v>
      </c>
      <c r="B180" s="16">
        <v>5669</v>
      </c>
      <c r="C180" s="16">
        <v>158</v>
      </c>
      <c r="D180" s="16">
        <v>614</v>
      </c>
      <c r="E180" s="16">
        <v>3759</v>
      </c>
      <c r="F180" s="16">
        <v>417890</v>
      </c>
      <c r="G180" s="27">
        <v>42642</v>
      </c>
      <c r="H180" s="20"/>
      <c r="I180" s="13">
        <v>2.87E-2</v>
      </c>
      <c r="J180" s="13">
        <v>1.3599999999999999E-2</v>
      </c>
      <c r="K180" s="22">
        <v>8.0000000000000002E-3</v>
      </c>
      <c r="L180" s="16">
        <v>1296</v>
      </c>
      <c r="M180" s="13">
        <v>0.10829999999999999</v>
      </c>
      <c r="N180" s="13">
        <v>0.66310000000000002</v>
      </c>
      <c r="O180" s="16">
        <v>8191</v>
      </c>
      <c r="P180" s="16">
        <v>3245</v>
      </c>
      <c r="Q180" s="13">
        <v>4.87E-2</v>
      </c>
      <c r="R180" s="16">
        <v>0</v>
      </c>
      <c r="S180" s="16">
        <v>0</v>
      </c>
      <c r="T180" s="16">
        <v>90</v>
      </c>
      <c r="U180" s="16">
        <v>7</v>
      </c>
      <c r="V180" s="19">
        <f t="shared" si="0"/>
        <v>0.22861174810372201</v>
      </c>
      <c r="W180" s="20">
        <f t="shared" ref="W180:X180" si="192">T180-T179</f>
        <v>12</v>
      </c>
      <c r="X180" s="20">
        <f t="shared" si="192"/>
        <v>0</v>
      </c>
      <c r="Y180" s="19">
        <f t="shared" si="96"/>
        <v>6.9444444444444448E-2</v>
      </c>
      <c r="Z180" s="19">
        <f t="shared" si="97"/>
        <v>7.7777777777777779E-2</v>
      </c>
      <c r="AA180" s="21">
        <f t="shared" si="18"/>
        <v>2.09375</v>
      </c>
      <c r="AB180" s="26">
        <f t="shared" si="27"/>
        <v>1.3929313681967568</v>
      </c>
      <c r="AC180" s="23">
        <f t="shared" si="8"/>
        <v>76.571428571428569</v>
      </c>
      <c r="AD180" s="23">
        <f t="shared" si="25"/>
        <v>0.42857142857142855</v>
      </c>
      <c r="AE180" s="23">
        <f t="shared" si="9"/>
        <v>3282.7142857142858</v>
      </c>
      <c r="AF180" s="25">
        <f t="shared" si="13"/>
        <v>2.2714285714285715E-2</v>
      </c>
      <c r="AG180" s="25"/>
      <c r="AH180" s="25"/>
      <c r="AI180" s="25"/>
      <c r="AJ180" s="25"/>
      <c r="AK180" s="25"/>
      <c r="AL180" s="25"/>
      <c r="AM180" s="26">
        <f t="shared" si="21"/>
        <v>9.5714285714285712</v>
      </c>
    </row>
    <row r="181" spans="1:39" ht="16">
      <c r="A181" s="15">
        <v>44073</v>
      </c>
      <c r="B181" s="16">
        <v>5961</v>
      </c>
      <c r="C181" s="16">
        <v>292</v>
      </c>
      <c r="D181" s="16">
        <v>614</v>
      </c>
      <c r="E181" s="16">
        <v>3759</v>
      </c>
      <c r="F181" s="16">
        <v>424270</v>
      </c>
      <c r="G181" s="27">
        <v>43293</v>
      </c>
      <c r="H181" s="20"/>
      <c r="I181" s="13">
        <v>5.1499999999999997E-2</v>
      </c>
      <c r="J181" s="13">
        <v>1.41E-2</v>
      </c>
      <c r="K181" s="22">
        <v>1.4999999999999999E-2</v>
      </c>
      <c r="L181" s="16">
        <v>1588</v>
      </c>
      <c r="M181" s="13">
        <v>0.10299999999999999</v>
      </c>
      <c r="N181" s="13">
        <v>0.63060000000000005</v>
      </c>
      <c r="O181" s="16">
        <v>8633</v>
      </c>
      <c r="P181" s="16">
        <v>6380</v>
      </c>
      <c r="Q181" s="13">
        <v>4.58E-2</v>
      </c>
      <c r="R181" s="16">
        <v>0</v>
      </c>
      <c r="S181" s="16">
        <v>0</v>
      </c>
      <c r="T181" s="16">
        <v>90</v>
      </c>
      <c r="U181" s="16">
        <v>7</v>
      </c>
      <c r="V181" s="19">
        <f t="shared" si="0"/>
        <v>0.26639825532628753</v>
      </c>
      <c r="W181" s="20">
        <f t="shared" ref="W181:X181" si="193">T181-T180</f>
        <v>0</v>
      </c>
      <c r="X181" s="20">
        <f t="shared" si="193"/>
        <v>0</v>
      </c>
      <c r="Y181" s="19">
        <f t="shared" si="96"/>
        <v>5.6675062972292189E-2</v>
      </c>
      <c r="Z181" s="19">
        <f t="shared" si="97"/>
        <v>7.7777777777777779E-2</v>
      </c>
      <c r="AA181" s="21">
        <f t="shared" si="18"/>
        <v>3.3723849372384938</v>
      </c>
      <c r="AB181" s="26">
        <f t="shared" si="27"/>
        <v>1.7195058397503078</v>
      </c>
      <c r="AC181" s="23">
        <f t="shared" si="8"/>
        <v>115.14285714285714</v>
      </c>
      <c r="AD181" s="23">
        <f t="shared" si="25"/>
        <v>0.14285714285714285</v>
      </c>
      <c r="AE181" s="23">
        <f t="shared" si="9"/>
        <v>3882.5714285714284</v>
      </c>
      <c r="AF181" s="25">
        <f t="shared" si="13"/>
        <v>2.7814285714285715E-2</v>
      </c>
      <c r="AG181" s="25"/>
      <c r="AH181" s="25"/>
      <c r="AI181" s="25"/>
      <c r="AJ181" s="25"/>
      <c r="AK181" s="25"/>
      <c r="AL181" s="25"/>
      <c r="AM181" s="26">
        <f t="shared" si="21"/>
        <v>9.1428571428571423</v>
      </c>
    </row>
    <row r="182" spans="1:39" ht="16">
      <c r="A182" s="15">
        <v>44074</v>
      </c>
      <c r="B182" s="16">
        <v>6139</v>
      </c>
      <c r="C182" s="16">
        <v>178</v>
      </c>
      <c r="D182" s="16">
        <v>615</v>
      </c>
      <c r="E182" s="16">
        <v>3761</v>
      </c>
      <c r="F182" s="16">
        <v>428150</v>
      </c>
      <c r="G182" s="27">
        <v>43689</v>
      </c>
      <c r="H182" s="20"/>
      <c r="I182" s="13">
        <v>2.9899999999999999E-2</v>
      </c>
      <c r="J182" s="13">
        <v>1.43E-2</v>
      </c>
      <c r="K182" s="22">
        <v>8.9999999999999993E-3</v>
      </c>
      <c r="L182" s="16">
        <v>1763</v>
      </c>
      <c r="M182" s="13">
        <v>0.1002</v>
      </c>
      <c r="N182" s="13">
        <v>0.61260000000000003</v>
      </c>
      <c r="O182" s="16">
        <v>8982</v>
      </c>
      <c r="P182" s="16">
        <v>3880</v>
      </c>
      <c r="Q182" s="13">
        <v>4.5900000000000003E-2</v>
      </c>
      <c r="R182" s="16">
        <v>1</v>
      </c>
      <c r="S182" s="16">
        <v>2</v>
      </c>
      <c r="T182" s="16">
        <v>103</v>
      </c>
      <c r="U182" s="16">
        <v>7</v>
      </c>
      <c r="V182" s="19">
        <f t="shared" si="0"/>
        <v>0.28718032252809905</v>
      </c>
      <c r="W182" s="20">
        <f t="shared" ref="W182:X182" si="194">T182-T181</f>
        <v>13</v>
      </c>
      <c r="X182" s="20">
        <f t="shared" si="194"/>
        <v>0</v>
      </c>
      <c r="Y182" s="19">
        <f t="shared" si="96"/>
        <v>5.8423142370958595E-2</v>
      </c>
      <c r="Z182" s="19">
        <f t="shared" si="97"/>
        <v>6.7961165048543687E-2</v>
      </c>
      <c r="AA182" s="21">
        <f t="shared" si="18"/>
        <v>3.869387755102041</v>
      </c>
      <c r="AB182" s="26">
        <f t="shared" si="27"/>
        <v>2.109484821376181</v>
      </c>
      <c r="AC182" s="23">
        <f t="shared" si="8"/>
        <v>135.42857142857142</v>
      </c>
      <c r="AD182" s="23">
        <f t="shared" si="25"/>
        <v>0.2857142857142857</v>
      </c>
      <c r="AE182" s="23">
        <f t="shared" si="9"/>
        <v>4228.5714285714284</v>
      </c>
      <c r="AF182" s="25">
        <f t="shared" si="13"/>
        <v>3.0842857142857144E-2</v>
      </c>
      <c r="AG182" s="25"/>
      <c r="AH182" s="25"/>
      <c r="AI182" s="25"/>
      <c r="AJ182" s="25"/>
      <c r="AK182" s="25"/>
      <c r="AL182" s="25"/>
      <c r="AM182" s="26">
        <f t="shared" si="21"/>
        <v>9.4285714285714288</v>
      </c>
    </row>
    <row r="183" spans="1:39" ht="16">
      <c r="A183" s="15">
        <v>44075</v>
      </c>
      <c r="B183" s="16">
        <v>6257</v>
      </c>
      <c r="C183" s="16">
        <v>118</v>
      </c>
      <c r="D183" s="16">
        <v>616</v>
      </c>
      <c r="E183" s="16">
        <v>3821</v>
      </c>
      <c r="F183" s="16">
        <v>429942</v>
      </c>
      <c r="G183" s="27">
        <v>43872</v>
      </c>
      <c r="H183" s="20"/>
      <c r="I183" s="13">
        <v>1.9199999999999998E-2</v>
      </c>
      <c r="J183" s="13">
        <v>1.46E-2</v>
      </c>
      <c r="K183" s="22">
        <v>4.0000000000000001E-3</v>
      </c>
      <c r="L183" s="16">
        <v>1820</v>
      </c>
      <c r="M183" s="13">
        <v>9.8400000000000001E-2</v>
      </c>
      <c r="N183" s="13">
        <v>0.61070000000000002</v>
      </c>
      <c r="O183" s="16">
        <v>10124</v>
      </c>
      <c r="P183" s="16">
        <v>1792</v>
      </c>
      <c r="Q183" s="13">
        <v>6.5799999999999997E-2</v>
      </c>
      <c r="R183" s="16">
        <v>1</v>
      </c>
      <c r="S183" s="16">
        <v>60</v>
      </c>
      <c r="T183" s="16">
        <v>96</v>
      </c>
      <c r="U183" s="16">
        <v>7</v>
      </c>
      <c r="V183" s="19">
        <f t="shared" si="0"/>
        <v>0.29087422087262266</v>
      </c>
      <c r="W183" s="20">
        <f t="shared" ref="W183:X183" si="195">T183-T182</f>
        <v>-7</v>
      </c>
      <c r="X183" s="20">
        <f t="shared" si="195"/>
        <v>0</v>
      </c>
      <c r="Y183" s="19">
        <f t="shared" si="96"/>
        <v>5.2747252747252747E-2</v>
      </c>
      <c r="Z183" s="19">
        <f t="shared" si="97"/>
        <v>7.2916666666666671E-2</v>
      </c>
      <c r="AA183" s="21">
        <f t="shared" si="18"/>
        <v>4.2530612244897963</v>
      </c>
      <c r="AB183" s="26">
        <f t="shared" si="27"/>
        <v>2.5608149963032951</v>
      </c>
      <c r="AC183" s="23">
        <f t="shared" si="8"/>
        <v>148.85714285714286</v>
      </c>
      <c r="AD183" s="23">
        <f t="shared" si="25"/>
        <v>0.2857142857142857</v>
      </c>
      <c r="AE183" s="23">
        <f t="shared" si="9"/>
        <v>4214.2857142857147</v>
      </c>
      <c r="AF183" s="25">
        <f t="shared" si="13"/>
        <v>3.842857142857143E-2</v>
      </c>
      <c r="AG183" s="25"/>
      <c r="AH183" s="25"/>
      <c r="AI183" s="25"/>
      <c r="AJ183" s="25"/>
      <c r="AK183" s="25"/>
      <c r="AL183" s="25"/>
      <c r="AM183" s="26">
        <f t="shared" si="21"/>
        <v>15</v>
      </c>
    </row>
    <row r="184" spans="1:39" ht="16">
      <c r="A184" s="15">
        <v>44076</v>
      </c>
      <c r="B184" s="16">
        <v>6622</v>
      </c>
      <c r="C184" s="16">
        <v>365</v>
      </c>
      <c r="D184" s="16">
        <v>619</v>
      </c>
      <c r="E184" s="16">
        <v>3903</v>
      </c>
      <c r="F184" s="16">
        <v>437531</v>
      </c>
      <c r="G184" s="27">
        <v>44646</v>
      </c>
      <c r="H184" s="20"/>
      <c r="I184" s="13">
        <v>5.8299999999999998E-2</v>
      </c>
      <c r="J184" s="13">
        <v>1.5100000000000001E-2</v>
      </c>
      <c r="K184" s="22">
        <v>1.7000000000000001E-2</v>
      </c>
      <c r="L184" s="16">
        <v>2100</v>
      </c>
      <c r="M184" s="13">
        <v>9.35E-2</v>
      </c>
      <c r="N184" s="13">
        <v>0.58940000000000003</v>
      </c>
      <c r="O184" s="16">
        <v>11485</v>
      </c>
      <c r="P184" s="16">
        <v>7589</v>
      </c>
      <c r="Q184" s="13">
        <v>4.8099999999999997E-2</v>
      </c>
      <c r="R184" s="16">
        <v>3</v>
      </c>
      <c r="S184" s="16">
        <v>82</v>
      </c>
      <c r="T184" s="16">
        <v>98</v>
      </c>
      <c r="U184" s="16">
        <v>7</v>
      </c>
      <c r="V184" s="19">
        <f t="shared" si="0"/>
        <v>0.31712473572938688</v>
      </c>
      <c r="W184" s="20">
        <f t="shared" ref="W184:X184" si="196">T184-T183</f>
        <v>2</v>
      </c>
      <c r="X184" s="20">
        <f t="shared" si="196"/>
        <v>0</v>
      </c>
      <c r="Y184" s="19">
        <f t="shared" si="96"/>
        <v>4.6666666666666669E-2</v>
      </c>
      <c r="Z184" s="19">
        <f t="shared" si="97"/>
        <v>7.1428571428571425E-2</v>
      </c>
      <c r="AA184" s="21">
        <f t="shared" si="18"/>
        <v>4.6643356643356642</v>
      </c>
      <c r="AB184" s="26">
        <f t="shared" si="27"/>
        <v>3.0525454880337861</v>
      </c>
      <c r="AC184" s="23">
        <f t="shared" si="8"/>
        <v>190.57142857142858</v>
      </c>
      <c r="AD184" s="23">
        <f t="shared" si="25"/>
        <v>0.7142857142857143</v>
      </c>
      <c r="AE184" s="23">
        <f t="shared" si="9"/>
        <v>4637.7142857142853</v>
      </c>
      <c r="AF184" s="25">
        <f t="shared" si="13"/>
        <v>4.304285714285714E-2</v>
      </c>
      <c r="AG184" s="25"/>
      <c r="AH184" s="25"/>
      <c r="AI184" s="25"/>
      <c r="AJ184" s="25"/>
      <c r="AK184" s="25"/>
      <c r="AL184" s="25"/>
      <c r="AM184" s="26">
        <f t="shared" si="21"/>
        <v>24.142857142857142</v>
      </c>
    </row>
    <row r="185" spans="1:39" ht="16">
      <c r="A185" s="15">
        <v>44077</v>
      </c>
      <c r="B185" s="16">
        <v>6923</v>
      </c>
      <c r="C185" s="16">
        <v>301</v>
      </c>
      <c r="D185" s="16">
        <v>620</v>
      </c>
      <c r="E185" s="16">
        <v>3930</v>
      </c>
      <c r="F185" s="16">
        <v>445047</v>
      </c>
      <c r="G185" s="27">
        <v>45413</v>
      </c>
      <c r="H185" s="20"/>
      <c r="I185" s="13">
        <v>4.5499999999999999E-2</v>
      </c>
      <c r="J185" s="13">
        <v>1.5599999999999999E-2</v>
      </c>
      <c r="K185" s="22">
        <v>1.7000000000000001E-2</v>
      </c>
      <c r="L185" s="16">
        <v>2373</v>
      </c>
      <c r="M185" s="13">
        <v>8.9599999999999999E-2</v>
      </c>
      <c r="N185" s="13">
        <v>0.56769999999999998</v>
      </c>
      <c r="O185" s="16">
        <v>12608</v>
      </c>
      <c r="P185" s="16">
        <v>7516</v>
      </c>
      <c r="Q185" s="13">
        <v>0.04</v>
      </c>
      <c r="R185" s="16">
        <v>1</v>
      </c>
      <c r="S185" s="16">
        <v>27</v>
      </c>
      <c r="T185" s="16">
        <v>100</v>
      </c>
      <c r="U185" s="16">
        <v>7</v>
      </c>
      <c r="V185" s="19">
        <f t="shared" si="0"/>
        <v>0.34277047522750254</v>
      </c>
      <c r="W185" s="20">
        <f t="shared" ref="W185:X185" si="197">T185-T184</f>
        <v>2</v>
      </c>
      <c r="X185" s="20">
        <f t="shared" si="197"/>
        <v>0</v>
      </c>
      <c r="Y185" s="19">
        <f t="shared" si="96"/>
        <v>4.2140750105351878E-2</v>
      </c>
      <c r="Z185" s="19">
        <f t="shared" si="97"/>
        <v>7.0000000000000007E-2</v>
      </c>
      <c r="AA185" s="21">
        <f t="shared" si="18"/>
        <v>4.6366366366366369</v>
      </c>
      <c r="AB185" s="26">
        <f t="shared" si="27"/>
        <v>3.5107529290738455</v>
      </c>
      <c r="AC185" s="23">
        <f t="shared" si="8"/>
        <v>220.57142857142858</v>
      </c>
      <c r="AD185" s="23">
        <f t="shared" si="25"/>
        <v>0.8571428571428571</v>
      </c>
      <c r="AE185" s="23">
        <f t="shared" si="9"/>
        <v>5178.2857142857147</v>
      </c>
      <c r="AF185" s="25">
        <f t="shared" si="13"/>
        <v>4.5271428571428567E-2</v>
      </c>
      <c r="AG185" s="25"/>
      <c r="AH185" s="25"/>
      <c r="AI185" s="25"/>
      <c r="AJ185" s="25"/>
      <c r="AK185" s="25"/>
      <c r="AL185" s="25"/>
      <c r="AM185" s="26">
        <f t="shared" si="21"/>
        <v>24.714285714285715</v>
      </c>
    </row>
    <row r="186" spans="1:39" ht="16">
      <c r="A186" s="15">
        <v>44078</v>
      </c>
      <c r="B186" s="16">
        <v>7382</v>
      </c>
      <c r="C186" s="16">
        <v>459</v>
      </c>
      <c r="D186" s="16">
        <v>621</v>
      </c>
      <c r="E186" s="16">
        <v>3944</v>
      </c>
      <c r="F186" s="16">
        <v>452138</v>
      </c>
      <c r="G186" s="27">
        <v>46137</v>
      </c>
      <c r="H186" s="20"/>
      <c r="I186" s="13">
        <v>6.6299999999999998E-2</v>
      </c>
      <c r="J186" s="13">
        <v>1.6299999999999999E-2</v>
      </c>
      <c r="K186" s="22">
        <v>1.6E-2</v>
      </c>
      <c r="L186" s="16">
        <v>2817</v>
      </c>
      <c r="M186" s="13">
        <v>8.4099999999999994E-2</v>
      </c>
      <c r="N186" s="13">
        <v>0.5343</v>
      </c>
      <c r="O186" s="16">
        <v>14619</v>
      </c>
      <c r="P186" s="16">
        <v>7091</v>
      </c>
      <c r="Q186" s="13">
        <v>6.4699999999999994E-2</v>
      </c>
      <c r="R186" s="16">
        <v>1</v>
      </c>
      <c r="S186" s="16">
        <v>14</v>
      </c>
      <c r="T186" s="16">
        <v>120</v>
      </c>
      <c r="U186" s="16">
        <v>8</v>
      </c>
      <c r="V186" s="19">
        <f t="shared" si="0"/>
        <v>0.38160390138173939</v>
      </c>
      <c r="W186" s="20">
        <f t="shared" ref="W186:X186" si="198">T186-T185</f>
        <v>20</v>
      </c>
      <c r="X186" s="20">
        <f t="shared" si="198"/>
        <v>1</v>
      </c>
      <c r="Y186" s="19">
        <f t="shared" si="96"/>
        <v>4.2598509052183174E-2</v>
      </c>
      <c r="Z186" s="19">
        <f t="shared" si="97"/>
        <v>6.6666666666666666E-2</v>
      </c>
      <c r="AA186" s="21">
        <f t="shared" si="18"/>
        <v>4.5302663438256658</v>
      </c>
      <c r="AB186" s="26">
        <f t="shared" si="27"/>
        <v>3.9171175088040426</v>
      </c>
      <c r="AC186" s="23">
        <f t="shared" si="8"/>
        <v>267.28571428571428</v>
      </c>
      <c r="AD186" s="23">
        <f t="shared" si="25"/>
        <v>1</v>
      </c>
      <c r="AE186" s="23">
        <f t="shared" si="9"/>
        <v>5356.1428571428569</v>
      </c>
      <c r="AF186" s="25">
        <f t="shared" si="13"/>
        <v>5.1285714285714275E-2</v>
      </c>
      <c r="AG186" s="25"/>
      <c r="AH186" s="25"/>
      <c r="AI186" s="25"/>
      <c r="AJ186" s="25"/>
      <c r="AK186" s="25"/>
      <c r="AL186" s="25"/>
      <c r="AM186" s="26">
        <f t="shared" si="21"/>
        <v>26.428571428571427</v>
      </c>
    </row>
    <row r="187" spans="1:39" ht="16">
      <c r="A187" s="15">
        <v>44079</v>
      </c>
      <c r="B187" s="16">
        <v>7892</v>
      </c>
      <c r="C187" s="16">
        <v>510</v>
      </c>
      <c r="D187" s="16">
        <v>624</v>
      </c>
      <c r="E187" s="16">
        <v>3952</v>
      </c>
      <c r="F187" s="16">
        <v>460235</v>
      </c>
      <c r="G187" s="27">
        <v>46963</v>
      </c>
      <c r="H187" s="20"/>
      <c r="I187" s="13">
        <v>6.9099999999999995E-2</v>
      </c>
      <c r="J187" s="13">
        <v>1.7100000000000001E-2</v>
      </c>
      <c r="K187" s="22">
        <v>1.7999999999999999E-2</v>
      </c>
      <c r="L187" s="16">
        <v>3316</v>
      </c>
      <c r="M187" s="13">
        <v>7.9100000000000004E-2</v>
      </c>
      <c r="N187" s="13">
        <v>0.50080000000000002</v>
      </c>
      <c r="O187" s="16">
        <v>16438</v>
      </c>
      <c r="P187" s="16">
        <v>8097</v>
      </c>
      <c r="Q187" s="13">
        <v>6.3E-2</v>
      </c>
      <c r="R187" s="16">
        <v>3</v>
      </c>
      <c r="S187" s="16">
        <v>8</v>
      </c>
      <c r="T187" s="16">
        <v>139</v>
      </c>
      <c r="U187" s="16">
        <v>9</v>
      </c>
      <c r="V187" s="19">
        <f t="shared" si="0"/>
        <v>0.42017232640648761</v>
      </c>
      <c r="W187" s="20">
        <f t="shared" ref="W187:X187" si="199">T187-T186</f>
        <v>19</v>
      </c>
      <c r="X187" s="20">
        <f t="shared" si="199"/>
        <v>1</v>
      </c>
      <c r="Y187" s="19">
        <f t="shared" si="96"/>
        <v>4.1917973462002413E-2</v>
      </c>
      <c r="Z187" s="19">
        <f t="shared" si="97"/>
        <v>6.4748201438848921E-2</v>
      </c>
      <c r="AA187" s="21">
        <f t="shared" si="18"/>
        <v>4.1473880597014929</v>
      </c>
      <c r="AB187" s="26">
        <f t="shared" si="27"/>
        <v>4.2104943744756849</v>
      </c>
      <c r="AC187" s="23">
        <f t="shared" si="8"/>
        <v>317.57142857142856</v>
      </c>
      <c r="AD187" s="23">
        <f t="shared" si="25"/>
        <v>1.4285714285714286</v>
      </c>
      <c r="AE187" s="23">
        <f t="shared" si="9"/>
        <v>6049.2857142857147</v>
      </c>
      <c r="AF187" s="25">
        <f t="shared" si="13"/>
        <v>5.3328571428571434E-2</v>
      </c>
      <c r="AG187" s="25"/>
      <c r="AH187" s="25"/>
      <c r="AI187" s="25"/>
      <c r="AJ187" s="25"/>
      <c r="AK187" s="25"/>
      <c r="AL187" s="25"/>
      <c r="AM187" s="26">
        <f t="shared" si="21"/>
        <v>27.571428571428573</v>
      </c>
    </row>
    <row r="188" spans="1:39" ht="16">
      <c r="A188" s="15">
        <v>44080</v>
      </c>
      <c r="B188" s="16">
        <v>8387</v>
      </c>
      <c r="C188" s="16">
        <v>495</v>
      </c>
      <c r="D188" s="16">
        <v>624</v>
      </c>
      <c r="E188" s="16">
        <v>3958</v>
      </c>
      <c r="F188" s="16">
        <v>470000</v>
      </c>
      <c r="G188" s="27">
        <v>47959</v>
      </c>
      <c r="H188" s="20"/>
      <c r="I188" s="13">
        <v>6.2700000000000006E-2</v>
      </c>
      <c r="J188" s="13">
        <v>1.78E-2</v>
      </c>
      <c r="K188" s="22">
        <v>2.1000000000000001E-2</v>
      </c>
      <c r="L188" s="16">
        <v>3805</v>
      </c>
      <c r="M188" s="13">
        <v>7.4399999999999994E-2</v>
      </c>
      <c r="N188" s="13">
        <v>0.47189999999999999</v>
      </c>
      <c r="O188" s="16">
        <v>18480</v>
      </c>
      <c r="P188" s="16">
        <v>9765</v>
      </c>
      <c r="Q188" s="13">
        <v>5.0700000000000002E-2</v>
      </c>
      <c r="R188" s="16">
        <v>0</v>
      </c>
      <c r="S188" s="16">
        <v>6</v>
      </c>
      <c r="T188" s="16">
        <v>151</v>
      </c>
      <c r="U188" s="16">
        <v>11</v>
      </c>
      <c r="V188" s="19">
        <f t="shared" si="0"/>
        <v>0.45367831167282702</v>
      </c>
      <c r="W188" s="20">
        <f t="shared" ref="W188:X188" si="200">T188-T187</f>
        <v>12</v>
      </c>
      <c r="X188" s="20">
        <f t="shared" si="200"/>
        <v>2</v>
      </c>
      <c r="Y188" s="19">
        <f t="shared" si="96"/>
        <v>3.9684625492772664E-2</v>
      </c>
      <c r="Z188" s="19">
        <f t="shared" si="97"/>
        <v>7.2847682119205295E-2</v>
      </c>
      <c r="AA188" s="21">
        <f t="shared" si="18"/>
        <v>3.0099255583126552</v>
      </c>
      <c r="AB188" s="26">
        <f t="shared" si="27"/>
        <v>4.1587144632005648</v>
      </c>
      <c r="AC188" s="23">
        <f t="shared" si="8"/>
        <v>346.57142857142856</v>
      </c>
      <c r="AD188" s="23">
        <f t="shared" si="25"/>
        <v>1.4285714285714286</v>
      </c>
      <c r="AE188" s="23">
        <f t="shared" si="9"/>
        <v>6532.8571428571431</v>
      </c>
      <c r="AF188" s="25">
        <f t="shared" si="13"/>
        <v>5.4028571428571433E-2</v>
      </c>
      <c r="AG188" s="25"/>
      <c r="AH188" s="25"/>
      <c r="AI188" s="25"/>
      <c r="AJ188" s="25"/>
      <c r="AK188" s="25"/>
      <c r="AL188" s="25"/>
      <c r="AM188" s="26">
        <f t="shared" si="21"/>
        <v>28.428571428571427</v>
      </c>
    </row>
    <row r="189" spans="1:39" ht="16">
      <c r="A189" s="15">
        <v>44081</v>
      </c>
      <c r="B189" s="16">
        <v>8963</v>
      </c>
      <c r="C189" s="16">
        <v>576</v>
      </c>
      <c r="D189" s="16">
        <v>625</v>
      </c>
      <c r="E189" s="16">
        <v>3961</v>
      </c>
      <c r="F189" s="16">
        <v>481424</v>
      </c>
      <c r="G189" s="27">
        <v>49125</v>
      </c>
      <c r="H189" s="20"/>
      <c r="I189" s="13">
        <v>6.8699999999999997E-2</v>
      </c>
      <c r="J189" s="13">
        <v>1.8599999999999998E-2</v>
      </c>
      <c r="K189" s="22">
        <v>2.4E-2</v>
      </c>
      <c r="L189" s="16">
        <v>4377</v>
      </c>
      <c r="M189" s="13">
        <v>6.9699999999999998E-2</v>
      </c>
      <c r="N189" s="13">
        <v>0.44190000000000002</v>
      </c>
      <c r="O189" s="16">
        <v>21756</v>
      </c>
      <c r="P189" s="16">
        <v>11424</v>
      </c>
      <c r="Q189" s="13">
        <v>5.04E-2</v>
      </c>
      <c r="R189" s="16">
        <v>1</v>
      </c>
      <c r="S189" s="16">
        <v>3</v>
      </c>
      <c r="T189" s="16">
        <v>164</v>
      </c>
      <c r="U189" s="16">
        <v>11</v>
      </c>
      <c r="V189" s="19">
        <f t="shared" si="0"/>
        <v>0.48834095726877164</v>
      </c>
      <c r="W189" s="20">
        <f t="shared" ref="W189:X189" si="201">T189-T188</f>
        <v>13</v>
      </c>
      <c r="X189" s="20">
        <f t="shared" si="201"/>
        <v>0</v>
      </c>
      <c r="Y189" s="19">
        <f t="shared" si="96"/>
        <v>3.7468585789353435E-2</v>
      </c>
      <c r="Z189" s="19">
        <f t="shared" si="97"/>
        <v>6.7073170731707321E-2</v>
      </c>
      <c r="AA189" s="21">
        <f t="shared" si="18"/>
        <v>2.9789029535864979</v>
      </c>
      <c r="AB189" s="26">
        <f t="shared" si="27"/>
        <v>4.0315023486983446</v>
      </c>
      <c r="AC189" s="23">
        <f t="shared" si="8"/>
        <v>403.42857142857144</v>
      </c>
      <c r="AD189" s="23">
        <f t="shared" si="25"/>
        <v>1.4285714285714286</v>
      </c>
      <c r="AE189" s="23">
        <f t="shared" si="9"/>
        <v>7610.5714285714284</v>
      </c>
      <c r="AF189" s="25">
        <f t="shared" si="13"/>
        <v>5.4671428571428579E-2</v>
      </c>
      <c r="AG189" s="25"/>
      <c r="AH189" s="25"/>
      <c r="AI189" s="25"/>
      <c r="AJ189" s="25"/>
      <c r="AK189" s="25"/>
      <c r="AL189" s="25"/>
      <c r="AM189" s="26">
        <f t="shared" si="21"/>
        <v>28.571428571428573</v>
      </c>
    </row>
    <row r="190" spans="1:39" ht="16">
      <c r="A190" s="15">
        <v>44082</v>
      </c>
      <c r="B190" s="16">
        <v>9304</v>
      </c>
      <c r="C190" s="16">
        <v>341</v>
      </c>
      <c r="D190" s="16">
        <v>626</v>
      </c>
      <c r="E190" s="16">
        <v>3972</v>
      </c>
      <c r="F190" s="16">
        <v>487146</v>
      </c>
      <c r="G190" s="27">
        <v>49709</v>
      </c>
      <c r="H190" s="20"/>
      <c r="I190" s="13">
        <v>3.7999999999999999E-2</v>
      </c>
      <c r="J190" s="13">
        <v>1.9099999999999999E-2</v>
      </c>
      <c r="K190" s="22">
        <v>1.2E-2</v>
      </c>
      <c r="L190" s="16">
        <v>4706</v>
      </c>
      <c r="M190" s="13">
        <v>6.7299999999999999E-2</v>
      </c>
      <c r="N190" s="13">
        <v>0.4269</v>
      </c>
      <c r="O190" s="16">
        <v>23318</v>
      </c>
      <c r="P190" s="16">
        <v>5722</v>
      </c>
      <c r="Q190" s="13">
        <v>5.96E-2</v>
      </c>
      <c r="R190" s="16">
        <v>1</v>
      </c>
      <c r="S190" s="16">
        <v>11</v>
      </c>
      <c r="T190" s="16">
        <v>192</v>
      </c>
      <c r="U190" s="16">
        <v>12</v>
      </c>
      <c r="V190" s="19">
        <f t="shared" si="0"/>
        <v>0.50580395528804811</v>
      </c>
      <c r="W190" s="20">
        <f t="shared" ref="W190:X190" si="202">T190-T189</f>
        <v>28</v>
      </c>
      <c r="X190" s="20">
        <f t="shared" si="202"/>
        <v>1</v>
      </c>
      <c r="Y190" s="19">
        <f t="shared" si="96"/>
        <v>4.0798980025499365E-2</v>
      </c>
      <c r="Z190" s="19">
        <f t="shared" si="97"/>
        <v>6.25E-2</v>
      </c>
      <c r="AA190" s="21">
        <f t="shared" si="18"/>
        <v>2.9241842610364683</v>
      </c>
      <c r="AB190" s="26">
        <f t="shared" si="27"/>
        <v>3.8416627824907263</v>
      </c>
      <c r="AC190" s="23">
        <f t="shared" si="8"/>
        <v>435.28571428571428</v>
      </c>
      <c r="AD190" s="23">
        <f t="shared" si="25"/>
        <v>1.4285714285714286</v>
      </c>
      <c r="AE190" s="23">
        <f t="shared" si="9"/>
        <v>8172</v>
      </c>
      <c r="AF190" s="25">
        <f t="shared" si="13"/>
        <v>5.3785714285714284E-2</v>
      </c>
      <c r="AG190" s="25"/>
      <c r="AH190" s="25"/>
      <c r="AI190" s="25"/>
      <c r="AJ190" s="25"/>
      <c r="AK190" s="25"/>
      <c r="AL190" s="25"/>
      <c r="AM190" s="26">
        <f t="shared" si="21"/>
        <v>21.571428571428573</v>
      </c>
    </row>
    <row r="191" spans="1:39" ht="16">
      <c r="A191" s="15">
        <v>44083</v>
      </c>
      <c r="B191" s="16">
        <v>9715</v>
      </c>
      <c r="C191" s="16">
        <v>411</v>
      </c>
      <c r="D191" s="16">
        <v>628</v>
      </c>
      <c r="E191" s="16">
        <v>3984</v>
      </c>
      <c r="F191" s="16">
        <v>495481</v>
      </c>
      <c r="G191" s="27">
        <v>50559</v>
      </c>
      <c r="H191" s="20"/>
      <c r="I191" s="13">
        <v>4.4200000000000003E-2</v>
      </c>
      <c r="J191" s="13">
        <v>1.9599999999999999E-2</v>
      </c>
      <c r="K191" s="22">
        <v>1.7000000000000001E-2</v>
      </c>
      <c r="L191" s="16">
        <v>5103</v>
      </c>
      <c r="M191" s="13">
        <v>6.4600000000000005E-2</v>
      </c>
      <c r="N191" s="13">
        <v>0.41010000000000002</v>
      </c>
      <c r="O191" s="16">
        <v>23461</v>
      </c>
      <c r="P191" s="16">
        <v>8335</v>
      </c>
      <c r="Q191" s="13">
        <v>4.9299999999999997E-2</v>
      </c>
      <c r="R191" s="16">
        <v>2</v>
      </c>
      <c r="S191" s="16">
        <v>12</v>
      </c>
      <c r="T191" s="16">
        <v>221</v>
      </c>
      <c r="U191" s="16">
        <v>13</v>
      </c>
      <c r="V191" s="19">
        <f t="shared" si="0"/>
        <v>0.52527020072053521</v>
      </c>
      <c r="W191" s="20">
        <f t="shared" ref="W191:X191" si="203">T191-T190</f>
        <v>29</v>
      </c>
      <c r="X191" s="20">
        <f t="shared" si="203"/>
        <v>1</v>
      </c>
      <c r="Y191" s="19">
        <f t="shared" si="96"/>
        <v>4.3307858122672939E-2</v>
      </c>
      <c r="Z191" s="19">
        <f t="shared" si="97"/>
        <v>5.8823529411764705E-2</v>
      </c>
      <c r="AA191" s="21">
        <f t="shared" si="18"/>
        <v>2.3185907046476761</v>
      </c>
      <c r="AB191" s="26">
        <f t="shared" si="27"/>
        <v>3.5065563596781564</v>
      </c>
      <c r="AC191" s="23">
        <f t="shared" si="8"/>
        <v>441.85714285714283</v>
      </c>
      <c r="AD191" s="23">
        <f t="shared" si="25"/>
        <v>1.2857142857142858</v>
      </c>
      <c r="AE191" s="23">
        <f t="shared" si="9"/>
        <v>8278.5714285714294</v>
      </c>
      <c r="AF191" s="25">
        <f t="shared" si="13"/>
        <v>5.3957142857142856E-2</v>
      </c>
      <c r="AG191" s="25"/>
      <c r="AH191" s="25"/>
      <c r="AI191" s="25"/>
      <c r="AJ191" s="25"/>
      <c r="AK191" s="25"/>
      <c r="AL191" s="25"/>
      <c r="AM191" s="26">
        <f t="shared" si="21"/>
        <v>11.571428571428571</v>
      </c>
    </row>
    <row r="192" spans="1:39" ht="16">
      <c r="A192" s="15">
        <v>44084</v>
      </c>
      <c r="B192" s="16">
        <v>10191</v>
      </c>
      <c r="C192" s="16">
        <v>476</v>
      </c>
      <c r="D192" s="16">
        <v>630</v>
      </c>
      <c r="E192" s="16">
        <v>3990</v>
      </c>
      <c r="F192" s="16">
        <v>505585</v>
      </c>
      <c r="G192" s="17">
        <f t="shared" ref="G192:G446" si="204">F192/9.8</f>
        <v>51590.306122448979</v>
      </c>
      <c r="H192" s="20"/>
      <c r="I192" s="13">
        <v>4.9000000000000002E-2</v>
      </c>
      <c r="J192" s="13">
        <v>2.0199999999999999E-2</v>
      </c>
      <c r="K192" s="22">
        <v>0.02</v>
      </c>
      <c r="L192" s="16">
        <v>5571</v>
      </c>
      <c r="M192" s="13">
        <v>6.1800000000000001E-2</v>
      </c>
      <c r="N192" s="13">
        <v>0.39150000000000001</v>
      </c>
      <c r="O192" s="16">
        <v>25043</v>
      </c>
      <c r="P192" s="16">
        <v>10104</v>
      </c>
      <c r="Q192" s="13">
        <v>4.7100000000000003E-2</v>
      </c>
      <c r="R192" s="16">
        <v>2</v>
      </c>
      <c r="S192" s="16">
        <v>6</v>
      </c>
      <c r="T192" s="16">
        <v>234</v>
      </c>
      <c r="U192" s="16">
        <v>11</v>
      </c>
      <c r="V192" s="19">
        <f t="shared" si="0"/>
        <v>0.54665881660288485</v>
      </c>
      <c r="W192" s="20">
        <f t="shared" ref="W192:X192" si="205">T192-T191</f>
        <v>13</v>
      </c>
      <c r="X192" s="20">
        <f t="shared" si="205"/>
        <v>-2</v>
      </c>
      <c r="Y192" s="19">
        <f t="shared" si="96"/>
        <v>4.2003231017770599E-2</v>
      </c>
      <c r="Z192" s="19">
        <f t="shared" si="97"/>
        <v>4.7008547008547008E-2</v>
      </c>
      <c r="AA192" s="21">
        <f t="shared" si="18"/>
        <v>2.116580310880829</v>
      </c>
      <c r="AB192" s="26">
        <f t="shared" si="27"/>
        <v>3.1465483131416119</v>
      </c>
      <c r="AC192" s="23">
        <f t="shared" si="8"/>
        <v>466.85714285714283</v>
      </c>
      <c r="AD192" s="23">
        <f t="shared" si="25"/>
        <v>1.4285714285714286</v>
      </c>
      <c r="AE192" s="23">
        <f t="shared" si="9"/>
        <v>8648.2857142857138</v>
      </c>
      <c r="AF192" s="25">
        <f t="shared" si="13"/>
        <v>5.4971428571428574E-2</v>
      </c>
      <c r="AG192" s="25"/>
      <c r="AH192" s="25"/>
      <c r="AI192" s="25"/>
      <c r="AJ192" s="25"/>
      <c r="AK192" s="25"/>
      <c r="AL192" s="25"/>
      <c r="AM192" s="26">
        <f t="shared" si="21"/>
        <v>8.5714285714285712</v>
      </c>
    </row>
    <row r="193" spans="1:39" ht="16">
      <c r="A193" s="15">
        <v>44085</v>
      </c>
      <c r="B193" s="16">
        <v>10909</v>
      </c>
      <c r="C193" s="16">
        <v>718</v>
      </c>
      <c r="D193" s="16">
        <v>631</v>
      </c>
      <c r="E193" s="16">
        <v>4014</v>
      </c>
      <c r="F193" s="16">
        <v>517222</v>
      </c>
      <c r="G193" s="17">
        <f t="shared" si="204"/>
        <v>52777.755102040814</v>
      </c>
      <c r="H193" s="20"/>
      <c r="I193" s="13">
        <v>7.0499999999999993E-2</v>
      </c>
      <c r="J193" s="13">
        <v>2.1100000000000001E-2</v>
      </c>
      <c r="K193" s="22">
        <v>2.1999999999999999E-2</v>
      </c>
      <c r="L193" s="16">
        <v>6264</v>
      </c>
      <c r="M193" s="13">
        <v>5.7799999999999997E-2</v>
      </c>
      <c r="N193" s="13">
        <v>0.36799999999999999</v>
      </c>
      <c r="O193" s="16">
        <v>25117</v>
      </c>
      <c r="P193" s="16">
        <v>11637</v>
      </c>
      <c r="Q193" s="13">
        <v>6.1699999999999998E-2</v>
      </c>
      <c r="R193" s="16">
        <v>1</v>
      </c>
      <c r="S193" s="16">
        <v>24</v>
      </c>
      <c r="T193" s="16">
        <v>259</v>
      </c>
      <c r="U193" s="16">
        <v>12</v>
      </c>
      <c r="V193" s="19">
        <f t="shared" si="0"/>
        <v>0.57420478503987538</v>
      </c>
      <c r="W193" s="20">
        <f t="shared" ref="W193:X193" si="206">T193-T192</f>
        <v>25</v>
      </c>
      <c r="X193" s="20">
        <f t="shared" si="206"/>
        <v>1</v>
      </c>
      <c r="Y193" s="19">
        <f t="shared" si="96"/>
        <v>4.1347381864623244E-2</v>
      </c>
      <c r="Z193" s="19">
        <f t="shared" si="97"/>
        <v>4.633204633204633E-2</v>
      </c>
      <c r="AA193" s="21">
        <f t="shared" si="18"/>
        <v>1.8850881881346873</v>
      </c>
      <c r="AB193" s="26">
        <f t="shared" si="27"/>
        <v>2.7686657194714721</v>
      </c>
      <c r="AC193" s="23">
        <f t="shared" si="8"/>
        <v>503.85714285714283</v>
      </c>
      <c r="AD193" s="23">
        <f t="shared" si="25"/>
        <v>1.4285714285714286</v>
      </c>
      <c r="AE193" s="23">
        <f t="shared" si="9"/>
        <v>9297.7142857142862</v>
      </c>
      <c r="AF193" s="25">
        <f t="shared" si="13"/>
        <v>5.454285714285715E-2</v>
      </c>
      <c r="AG193" s="25"/>
      <c r="AH193" s="25"/>
      <c r="AI193" s="25"/>
      <c r="AJ193" s="25"/>
      <c r="AK193" s="25"/>
      <c r="AL193" s="25"/>
      <c r="AM193" s="26">
        <f t="shared" si="21"/>
        <v>10</v>
      </c>
    </row>
    <row r="194" spans="1:39" ht="16">
      <c r="A194" s="15">
        <v>44086</v>
      </c>
      <c r="B194" s="16">
        <v>11825</v>
      </c>
      <c r="C194" s="16">
        <v>916</v>
      </c>
      <c r="D194" s="16">
        <v>633</v>
      </c>
      <c r="E194" s="16">
        <v>4058</v>
      </c>
      <c r="F194" s="16">
        <v>529063</v>
      </c>
      <c r="G194" s="17">
        <f t="shared" si="204"/>
        <v>53986.020408163262</v>
      </c>
      <c r="H194" s="20"/>
      <c r="I194" s="13">
        <v>8.4000000000000005E-2</v>
      </c>
      <c r="J194" s="13">
        <v>2.24E-2</v>
      </c>
      <c r="K194" s="22">
        <v>2.1999999999999999E-2</v>
      </c>
      <c r="L194" s="16">
        <v>7134</v>
      </c>
      <c r="M194" s="13">
        <v>5.3499999999999999E-2</v>
      </c>
      <c r="N194" s="13">
        <v>0.34320000000000001</v>
      </c>
      <c r="O194" s="16">
        <v>25569</v>
      </c>
      <c r="P194" s="16">
        <v>11841</v>
      </c>
      <c r="Q194" s="13">
        <v>7.7399999999999997E-2</v>
      </c>
      <c r="R194" s="16">
        <v>2</v>
      </c>
      <c r="S194" s="16">
        <v>44</v>
      </c>
      <c r="T194" s="16">
        <v>282</v>
      </c>
      <c r="U194" s="16">
        <v>15</v>
      </c>
      <c r="V194" s="19">
        <f t="shared" si="0"/>
        <v>0.60329809725158567</v>
      </c>
      <c r="W194" s="20">
        <f t="shared" ref="W194:X194" si="207">T194-T193</f>
        <v>23</v>
      </c>
      <c r="X194" s="20">
        <f t="shared" si="207"/>
        <v>3</v>
      </c>
      <c r="Y194" s="19">
        <f t="shared" si="96"/>
        <v>3.9529015979814973E-2</v>
      </c>
      <c r="Z194" s="19">
        <f t="shared" si="97"/>
        <v>5.3191489361702128E-2</v>
      </c>
      <c r="AA194" s="21">
        <f t="shared" si="18"/>
        <v>1.7692307692307692</v>
      </c>
      <c r="AB194" s="26">
        <f t="shared" si="27"/>
        <v>2.4289289636899407</v>
      </c>
      <c r="AC194" s="23">
        <f t="shared" si="8"/>
        <v>561.85714285714289</v>
      </c>
      <c r="AD194" s="23">
        <f t="shared" si="25"/>
        <v>1.2857142857142858</v>
      </c>
      <c r="AE194" s="23">
        <f t="shared" si="9"/>
        <v>9832.5714285714294</v>
      </c>
      <c r="AF194" s="25">
        <f t="shared" si="13"/>
        <v>5.6599999999999998E-2</v>
      </c>
      <c r="AG194" s="25"/>
      <c r="AH194" s="25"/>
      <c r="AI194" s="25"/>
      <c r="AJ194" s="25"/>
      <c r="AK194" s="25"/>
      <c r="AL194" s="25"/>
      <c r="AM194" s="26">
        <f t="shared" si="21"/>
        <v>15.142857142857142</v>
      </c>
    </row>
    <row r="195" spans="1:39" ht="16">
      <c r="A195" s="15">
        <v>44087</v>
      </c>
      <c r="B195" s="16">
        <v>12309</v>
      </c>
      <c r="C195" s="16">
        <v>484</v>
      </c>
      <c r="D195" s="16">
        <v>637</v>
      </c>
      <c r="E195" s="16">
        <v>4069</v>
      </c>
      <c r="F195" s="16">
        <v>537897</v>
      </c>
      <c r="G195" s="17">
        <f t="shared" si="204"/>
        <v>54887.448979591834</v>
      </c>
      <c r="H195" s="20"/>
      <c r="I195" s="13">
        <v>4.0899999999999999E-2</v>
      </c>
      <c r="J195" s="13">
        <v>2.29E-2</v>
      </c>
      <c r="K195" s="22">
        <v>1.6E-2</v>
      </c>
      <c r="L195" s="16">
        <v>7603</v>
      </c>
      <c r="M195" s="13">
        <v>5.1799999999999999E-2</v>
      </c>
      <c r="N195" s="13">
        <v>0.3306</v>
      </c>
      <c r="O195" s="16">
        <v>26531</v>
      </c>
      <c r="P195" s="16">
        <v>8834</v>
      </c>
      <c r="Q195" s="13">
        <v>5.4800000000000001E-2</v>
      </c>
      <c r="R195" s="16">
        <v>4</v>
      </c>
      <c r="S195" s="16">
        <v>11</v>
      </c>
      <c r="T195" s="16">
        <v>282</v>
      </c>
      <c r="U195" s="16">
        <v>16</v>
      </c>
      <c r="V195" s="19">
        <f t="shared" si="0"/>
        <v>0.61767812169956937</v>
      </c>
      <c r="W195" s="20">
        <f t="shared" ref="W195:X195" si="208">T195-T194</f>
        <v>0</v>
      </c>
      <c r="X195" s="20">
        <f t="shared" si="208"/>
        <v>1</v>
      </c>
      <c r="Y195" s="19">
        <f t="shared" si="96"/>
        <v>3.7090622122846244E-2</v>
      </c>
      <c r="Z195" s="19">
        <f t="shared" si="97"/>
        <v>5.6737588652482268E-2</v>
      </c>
      <c r="AA195" s="21">
        <f t="shared" si="18"/>
        <v>1.6166529266281946</v>
      </c>
      <c r="AB195" s="26">
        <f t="shared" si="27"/>
        <v>2.2298900163064461</v>
      </c>
      <c r="AC195" s="23">
        <f t="shared" si="8"/>
        <v>560.28571428571433</v>
      </c>
      <c r="AD195" s="23">
        <f t="shared" si="25"/>
        <v>1.8571428571428572</v>
      </c>
      <c r="AE195" s="23">
        <f t="shared" si="9"/>
        <v>9699.5714285714294</v>
      </c>
      <c r="AF195" s="25">
        <f t="shared" si="13"/>
        <v>5.7185714285714291E-2</v>
      </c>
      <c r="AG195" s="25"/>
      <c r="AH195" s="25"/>
      <c r="AI195" s="25"/>
      <c r="AJ195" s="25"/>
      <c r="AK195" s="25"/>
      <c r="AL195" s="25"/>
      <c r="AM195" s="26">
        <f t="shared" si="21"/>
        <v>15.857142857142858</v>
      </c>
    </row>
    <row r="196" spans="1:39" ht="16">
      <c r="A196" s="15">
        <v>44088</v>
      </c>
      <c r="B196" s="16">
        <v>13153</v>
      </c>
      <c r="C196" s="16">
        <v>844</v>
      </c>
      <c r="D196" s="16">
        <v>642</v>
      </c>
      <c r="E196" s="16">
        <v>4117</v>
      </c>
      <c r="F196" s="16">
        <v>549211</v>
      </c>
      <c r="G196" s="17">
        <f t="shared" si="204"/>
        <v>56041.9387755102</v>
      </c>
      <c r="H196" s="20"/>
      <c r="I196" s="13">
        <v>6.8599999999999994E-2</v>
      </c>
      <c r="J196" s="13">
        <v>2.3900000000000001E-2</v>
      </c>
      <c r="K196" s="22">
        <v>2.1000000000000001E-2</v>
      </c>
      <c r="L196" s="16">
        <v>8394</v>
      </c>
      <c r="M196" s="13">
        <v>4.8800000000000003E-2</v>
      </c>
      <c r="N196" s="13">
        <v>0.313</v>
      </c>
      <c r="O196" s="16">
        <v>26668</v>
      </c>
      <c r="P196" s="16">
        <v>11314</v>
      </c>
      <c r="Q196" s="13">
        <v>7.46E-2</v>
      </c>
      <c r="R196" s="16">
        <v>5</v>
      </c>
      <c r="S196" s="16">
        <v>48</v>
      </c>
      <c r="T196" s="16">
        <v>287</v>
      </c>
      <c r="U196" s="16">
        <v>16</v>
      </c>
      <c r="V196" s="19">
        <f t="shared" si="0"/>
        <v>0.63818140348209529</v>
      </c>
      <c r="W196" s="20">
        <f t="shared" ref="W196:X196" si="209">T196-T195</f>
        <v>5</v>
      </c>
      <c r="X196" s="20">
        <f t="shared" si="209"/>
        <v>0</v>
      </c>
      <c r="Y196" s="19">
        <f t="shared" si="96"/>
        <v>3.4191088873004524E-2</v>
      </c>
      <c r="Z196" s="19">
        <f t="shared" si="97"/>
        <v>5.5749128919860627E-2</v>
      </c>
      <c r="AA196" s="21">
        <f t="shared" si="18"/>
        <v>1.4837110481586402</v>
      </c>
      <c r="AB196" s="26">
        <f t="shared" si="27"/>
        <v>2.016291172673895</v>
      </c>
      <c r="AC196" s="23">
        <f t="shared" si="8"/>
        <v>598.57142857142856</v>
      </c>
      <c r="AD196" s="23">
        <f t="shared" si="25"/>
        <v>2.4285714285714284</v>
      </c>
      <c r="AE196" s="23">
        <f t="shared" si="9"/>
        <v>9683.8571428571431</v>
      </c>
      <c r="AF196" s="25">
        <f t="shared" si="13"/>
        <v>6.0642857142857151E-2</v>
      </c>
      <c r="AG196" s="25"/>
      <c r="AH196" s="25"/>
      <c r="AI196" s="25"/>
      <c r="AJ196" s="25"/>
      <c r="AK196" s="25"/>
      <c r="AL196" s="25"/>
      <c r="AM196" s="26">
        <f t="shared" si="21"/>
        <v>22.285714285714285</v>
      </c>
    </row>
    <row r="197" spans="1:39" ht="16">
      <c r="A197" s="15">
        <v>44089</v>
      </c>
      <c r="B197" s="16">
        <v>13879</v>
      </c>
      <c r="C197" s="16">
        <v>726</v>
      </c>
      <c r="D197" s="16">
        <v>646</v>
      </c>
      <c r="E197" s="16">
        <v>4130</v>
      </c>
      <c r="F197" s="16">
        <v>557864</v>
      </c>
      <c r="G197" s="17">
        <f t="shared" si="204"/>
        <v>56924.897959183669</v>
      </c>
      <c r="H197" s="20"/>
      <c r="I197" s="13">
        <v>5.5199999999999999E-2</v>
      </c>
      <c r="J197" s="13">
        <v>2.4899999999999999E-2</v>
      </c>
      <c r="K197" s="22">
        <v>1.6E-2</v>
      </c>
      <c r="L197" s="16">
        <v>9103</v>
      </c>
      <c r="M197" s="13">
        <v>4.65E-2</v>
      </c>
      <c r="N197" s="13">
        <v>0.29759999999999998</v>
      </c>
      <c r="O197" s="16">
        <v>28584</v>
      </c>
      <c r="P197" s="16">
        <v>8653</v>
      </c>
      <c r="Q197" s="13">
        <v>8.3900000000000002E-2</v>
      </c>
      <c r="R197" s="16">
        <v>4</v>
      </c>
      <c r="S197" s="16">
        <v>13</v>
      </c>
      <c r="T197" s="16">
        <v>306</v>
      </c>
      <c r="U197" s="16">
        <v>17</v>
      </c>
      <c r="V197" s="19">
        <f t="shared" si="0"/>
        <v>0.65588298868794581</v>
      </c>
      <c r="W197" s="20">
        <f t="shared" ref="W197:X197" si="210">T197-T196</f>
        <v>19</v>
      </c>
      <c r="X197" s="20">
        <f t="shared" si="210"/>
        <v>1</v>
      </c>
      <c r="Y197" s="19">
        <f t="shared" si="96"/>
        <v>3.3615291662089423E-2</v>
      </c>
      <c r="Z197" s="19">
        <f t="shared" si="97"/>
        <v>5.5555555555555552E-2</v>
      </c>
      <c r="AA197" s="21">
        <f t="shared" si="18"/>
        <v>1.5014768624876929</v>
      </c>
      <c r="AB197" s="26">
        <f t="shared" si="27"/>
        <v>1.8130472585954982</v>
      </c>
      <c r="AC197" s="23">
        <f t="shared" si="8"/>
        <v>653.57142857142856</v>
      </c>
      <c r="AD197" s="23">
        <f t="shared" si="25"/>
        <v>2.8571428571428572</v>
      </c>
      <c r="AE197" s="23">
        <f t="shared" si="9"/>
        <v>10102.571428571429</v>
      </c>
      <c r="AF197" s="25">
        <f t="shared" si="13"/>
        <v>6.4114285714285707E-2</v>
      </c>
      <c r="AG197" s="25"/>
      <c r="AH197" s="25"/>
      <c r="AI197" s="25"/>
      <c r="AJ197" s="25"/>
      <c r="AK197" s="25"/>
      <c r="AL197" s="25"/>
      <c r="AM197" s="26">
        <f t="shared" si="21"/>
        <v>22.571428571428573</v>
      </c>
    </row>
    <row r="198" spans="1:39" ht="16">
      <c r="A198" s="15">
        <v>44090</v>
      </c>
      <c r="B198" s="16">
        <v>14460</v>
      </c>
      <c r="C198" s="16">
        <v>581</v>
      </c>
      <c r="D198" s="16">
        <v>654</v>
      </c>
      <c r="E198" s="16">
        <v>4153</v>
      </c>
      <c r="F198" s="16">
        <v>567691</v>
      </c>
      <c r="G198" s="17">
        <f t="shared" si="204"/>
        <v>57927.653061224482</v>
      </c>
      <c r="H198" s="20"/>
      <c r="I198" s="13">
        <v>4.19E-2</v>
      </c>
      <c r="J198" s="13">
        <v>2.5499999999999998E-2</v>
      </c>
      <c r="K198" s="22">
        <v>1.7000000000000001E-2</v>
      </c>
      <c r="L198" s="16">
        <v>9653</v>
      </c>
      <c r="M198" s="13">
        <v>4.5199999999999997E-2</v>
      </c>
      <c r="N198" s="13">
        <v>0.28720000000000001</v>
      </c>
      <c r="O198" s="16">
        <v>29005</v>
      </c>
      <c r="P198" s="16">
        <v>9827</v>
      </c>
      <c r="Q198" s="13">
        <v>5.91E-2</v>
      </c>
      <c r="R198" s="16">
        <v>8</v>
      </c>
      <c r="S198" s="16">
        <v>23</v>
      </c>
      <c r="T198" s="16">
        <v>324</v>
      </c>
      <c r="U198" s="16">
        <v>18</v>
      </c>
      <c r="V198" s="19">
        <f t="shared" si="0"/>
        <v>0.66756569847856151</v>
      </c>
      <c r="W198" s="20">
        <f t="shared" ref="W198:X198" si="211">T198-T197</f>
        <v>18</v>
      </c>
      <c r="X198" s="20">
        <f t="shared" si="211"/>
        <v>1</v>
      </c>
      <c r="Y198" s="19">
        <f t="shared" si="96"/>
        <v>3.3564694913498394E-2</v>
      </c>
      <c r="Z198" s="19">
        <f t="shared" si="97"/>
        <v>5.5555555555555552E-2</v>
      </c>
      <c r="AA198" s="21">
        <f t="shared" si="18"/>
        <v>1.5341092790171356</v>
      </c>
      <c r="AB198" s="26">
        <f t="shared" si="27"/>
        <v>1.7009784835054211</v>
      </c>
      <c r="AC198" s="23">
        <f t="shared" si="8"/>
        <v>677.85714285714289</v>
      </c>
      <c r="AD198" s="23">
        <f t="shared" si="25"/>
        <v>3.7142857142857144</v>
      </c>
      <c r="AE198" s="23">
        <f t="shared" si="9"/>
        <v>10315.714285714286</v>
      </c>
      <c r="AF198" s="25">
        <f t="shared" si="13"/>
        <v>6.5514285714285705E-2</v>
      </c>
      <c r="AG198" s="25"/>
      <c r="AH198" s="25"/>
      <c r="AI198" s="25"/>
      <c r="AJ198" s="25"/>
      <c r="AK198" s="25"/>
      <c r="AL198" s="25"/>
      <c r="AM198" s="26">
        <f t="shared" si="21"/>
        <v>24.142857142857142</v>
      </c>
    </row>
    <row r="199" spans="1:39" ht="16">
      <c r="A199" s="15">
        <v>44091</v>
      </c>
      <c r="B199" s="16">
        <v>15170</v>
      </c>
      <c r="C199" s="16">
        <v>710</v>
      </c>
      <c r="D199" s="16">
        <v>663</v>
      </c>
      <c r="E199" s="16">
        <v>4227</v>
      </c>
      <c r="F199" s="16">
        <v>580072</v>
      </c>
      <c r="G199" s="17">
        <f t="shared" si="204"/>
        <v>59191.020408163262</v>
      </c>
      <c r="H199" s="20"/>
      <c r="I199" s="13">
        <v>4.9099999999999998E-2</v>
      </c>
      <c r="J199" s="13">
        <v>2.6200000000000001E-2</v>
      </c>
      <c r="K199" s="22">
        <v>2.1000000000000001E-2</v>
      </c>
      <c r="L199" s="16">
        <v>10280</v>
      </c>
      <c r="M199" s="13">
        <v>4.3700000000000003E-2</v>
      </c>
      <c r="N199" s="13">
        <v>0.27860000000000001</v>
      </c>
      <c r="O199" s="16">
        <v>28920</v>
      </c>
      <c r="P199" s="16">
        <v>12381</v>
      </c>
      <c r="Q199" s="13">
        <v>5.7299999999999997E-2</v>
      </c>
      <c r="R199" s="16">
        <v>9</v>
      </c>
      <c r="S199" s="16">
        <v>74</v>
      </c>
      <c r="T199" s="16">
        <v>328</v>
      </c>
      <c r="U199" s="16">
        <v>21</v>
      </c>
      <c r="V199" s="19">
        <f t="shared" si="0"/>
        <v>0.67765326301911666</v>
      </c>
      <c r="W199" s="20">
        <f t="shared" ref="W199:X199" si="212">T199-T198</f>
        <v>4</v>
      </c>
      <c r="X199" s="20">
        <f t="shared" si="212"/>
        <v>3</v>
      </c>
      <c r="Y199" s="19">
        <f t="shared" si="96"/>
        <v>3.1906614785992216E-2</v>
      </c>
      <c r="Z199" s="19">
        <f t="shared" si="97"/>
        <v>6.402439024390244E-2</v>
      </c>
      <c r="AA199" s="21">
        <f t="shared" si="18"/>
        <v>1.5235618115055078</v>
      </c>
      <c r="AB199" s="26">
        <f t="shared" si="27"/>
        <v>1.6162615550232324</v>
      </c>
      <c r="AC199" s="23">
        <f t="shared" si="8"/>
        <v>711.28571428571433</v>
      </c>
      <c r="AD199" s="23">
        <f t="shared" si="25"/>
        <v>4.7142857142857144</v>
      </c>
      <c r="AE199" s="23">
        <f t="shared" si="9"/>
        <v>10641</v>
      </c>
      <c r="AF199" s="25">
        <f t="shared" si="13"/>
        <v>6.6971428571428585E-2</v>
      </c>
      <c r="AG199" s="25"/>
      <c r="AH199" s="25"/>
      <c r="AI199" s="25"/>
      <c r="AJ199" s="25"/>
      <c r="AK199" s="25"/>
      <c r="AL199" s="25"/>
      <c r="AM199" s="26">
        <f t="shared" si="21"/>
        <v>33.857142857142854</v>
      </c>
    </row>
    <row r="200" spans="1:39" ht="16">
      <c r="A200" s="15">
        <v>44092</v>
      </c>
      <c r="B200" s="16">
        <v>16111</v>
      </c>
      <c r="C200" s="16">
        <v>941</v>
      </c>
      <c r="D200" s="16">
        <v>669</v>
      </c>
      <c r="E200" s="16">
        <v>4240</v>
      </c>
      <c r="F200" s="16">
        <v>591618</v>
      </c>
      <c r="G200" s="17">
        <f t="shared" si="204"/>
        <v>60369.183673469386</v>
      </c>
      <c r="H200" s="20"/>
      <c r="I200" s="13">
        <v>6.2E-2</v>
      </c>
      <c r="J200" s="13">
        <v>2.7199999999999998E-2</v>
      </c>
      <c r="K200" s="22">
        <v>0.02</v>
      </c>
      <c r="L200" s="16">
        <v>11202</v>
      </c>
      <c r="M200" s="13">
        <v>4.1500000000000002E-2</v>
      </c>
      <c r="N200" s="13">
        <v>0.26319999999999999</v>
      </c>
      <c r="O200" s="16">
        <v>27866</v>
      </c>
      <c r="P200" s="16">
        <v>11546</v>
      </c>
      <c r="Q200" s="13">
        <v>8.1500000000000003E-2</v>
      </c>
      <c r="R200" s="16">
        <v>6</v>
      </c>
      <c r="S200" s="16">
        <v>13</v>
      </c>
      <c r="T200" s="16">
        <v>374</v>
      </c>
      <c r="U200" s="16">
        <v>29</v>
      </c>
      <c r="V200" s="19">
        <f t="shared" si="0"/>
        <v>0.69530134690584078</v>
      </c>
      <c r="W200" s="20">
        <f t="shared" ref="W200:X200" si="213">T200-T199</f>
        <v>46</v>
      </c>
      <c r="X200" s="20">
        <f t="shared" si="213"/>
        <v>8</v>
      </c>
      <c r="Y200" s="19">
        <f t="shared" si="96"/>
        <v>3.3386895197286201E-2</v>
      </c>
      <c r="Z200" s="19">
        <f t="shared" si="97"/>
        <v>7.7540106951871662E-2</v>
      </c>
      <c r="AA200" s="21">
        <f t="shared" si="18"/>
        <v>1.4749078537000284</v>
      </c>
      <c r="AB200" s="26">
        <f t="shared" si="27"/>
        <v>1.5576643643897099</v>
      </c>
      <c r="AC200" s="23">
        <f t="shared" si="8"/>
        <v>743.14285714285711</v>
      </c>
      <c r="AD200" s="23">
        <f t="shared" si="25"/>
        <v>5.4285714285714288</v>
      </c>
      <c r="AE200" s="23">
        <f t="shared" si="9"/>
        <v>10628</v>
      </c>
      <c r="AF200" s="25">
        <f t="shared" si="13"/>
        <v>6.9800000000000001E-2</v>
      </c>
      <c r="AG200" s="25"/>
      <c r="AH200" s="25"/>
      <c r="AI200" s="25"/>
      <c r="AJ200" s="25"/>
      <c r="AK200" s="25"/>
      <c r="AL200" s="25"/>
      <c r="AM200" s="26">
        <f t="shared" si="21"/>
        <v>32.285714285714285</v>
      </c>
    </row>
    <row r="201" spans="1:39" ht="16">
      <c r="A201" s="15">
        <v>44093</v>
      </c>
      <c r="B201" s="16">
        <v>16920</v>
      </c>
      <c r="C201" s="16">
        <v>809</v>
      </c>
      <c r="D201" s="16">
        <v>675</v>
      </c>
      <c r="E201" s="16">
        <v>4382</v>
      </c>
      <c r="F201" s="16">
        <v>604122</v>
      </c>
      <c r="G201" s="17">
        <f t="shared" si="204"/>
        <v>61645.102040816324</v>
      </c>
      <c r="H201" s="20"/>
      <c r="I201" s="13">
        <v>5.0200000000000002E-2</v>
      </c>
      <c r="J201" s="13">
        <v>2.8000000000000001E-2</v>
      </c>
      <c r="K201" s="22">
        <v>2.1000000000000001E-2</v>
      </c>
      <c r="L201" s="16">
        <v>11863</v>
      </c>
      <c r="M201" s="13">
        <v>3.9899999999999998E-2</v>
      </c>
      <c r="N201" s="13">
        <v>0.25900000000000001</v>
      </c>
      <c r="O201" s="16">
        <v>28527</v>
      </c>
      <c r="P201" s="16">
        <v>12504</v>
      </c>
      <c r="Q201" s="13">
        <v>6.4699999999999994E-2</v>
      </c>
      <c r="R201" s="16">
        <v>6</v>
      </c>
      <c r="S201" s="16">
        <v>142</v>
      </c>
      <c r="T201" s="16">
        <v>386</v>
      </c>
      <c r="U201" s="16">
        <v>30</v>
      </c>
      <c r="V201" s="19">
        <f t="shared" si="0"/>
        <v>0.70112293144208038</v>
      </c>
      <c r="W201" s="20">
        <f t="shared" ref="W201:X201" si="214">T201-T200</f>
        <v>12</v>
      </c>
      <c r="X201" s="20">
        <f t="shared" si="214"/>
        <v>1</v>
      </c>
      <c r="Y201" s="19">
        <f t="shared" si="96"/>
        <v>3.2538143808480149E-2</v>
      </c>
      <c r="Z201" s="19">
        <f t="shared" si="97"/>
        <v>7.7720207253886009E-2</v>
      </c>
      <c r="AA201" s="21">
        <f t="shared" si="18"/>
        <v>1.2954487668446479</v>
      </c>
      <c r="AB201" s="26">
        <f t="shared" si="27"/>
        <v>1.4899812211916927</v>
      </c>
      <c r="AC201" s="23">
        <f t="shared" si="8"/>
        <v>727.85714285714289</v>
      </c>
      <c r="AD201" s="23">
        <f t="shared" si="25"/>
        <v>6</v>
      </c>
      <c r="AE201" s="23">
        <f t="shared" si="9"/>
        <v>10722.714285714286</v>
      </c>
      <c r="AF201" s="25">
        <f t="shared" si="13"/>
        <v>6.7985714285714288E-2</v>
      </c>
      <c r="AG201" s="25"/>
      <c r="AH201" s="25"/>
      <c r="AI201" s="25"/>
      <c r="AJ201" s="25"/>
      <c r="AK201" s="25"/>
      <c r="AL201" s="25"/>
      <c r="AM201" s="26">
        <f t="shared" si="21"/>
        <v>46.285714285714285</v>
      </c>
    </row>
    <row r="202" spans="1:39" ht="16">
      <c r="A202" s="15">
        <v>44094</v>
      </c>
      <c r="B202" s="16">
        <v>17990</v>
      </c>
      <c r="C202" s="16">
        <v>1070</v>
      </c>
      <c r="D202" s="16">
        <v>683</v>
      </c>
      <c r="E202" s="16">
        <v>4391</v>
      </c>
      <c r="F202" s="16">
        <v>615999</v>
      </c>
      <c r="G202" s="17">
        <f t="shared" si="204"/>
        <v>62857.040816326524</v>
      </c>
      <c r="H202" s="20"/>
      <c r="I202" s="13">
        <v>6.3200000000000006E-2</v>
      </c>
      <c r="J202" s="13">
        <v>2.92E-2</v>
      </c>
      <c r="K202" s="22">
        <v>1.9E-2</v>
      </c>
      <c r="L202" s="16">
        <v>12916</v>
      </c>
      <c r="M202" s="13">
        <v>3.7999999999999999E-2</v>
      </c>
      <c r="N202" s="13">
        <v>0.24410000000000001</v>
      </c>
      <c r="O202" s="16">
        <v>25583</v>
      </c>
      <c r="P202" s="16">
        <v>11877</v>
      </c>
      <c r="Q202" s="13">
        <v>9.01E-2</v>
      </c>
      <c r="R202" s="16">
        <v>8</v>
      </c>
      <c r="S202" s="16">
        <v>9</v>
      </c>
      <c r="T202" s="16">
        <v>404</v>
      </c>
      <c r="U202" s="16">
        <v>32</v>
      </c>
      <c r="V202" s="19">
        <f t="shared" si="0"/>
        <v>0.7179544191217343</v>
      </c>
      <c r="W202" s="20">
        <f t="shared" ref="W202:X202" si="215">T202-T201</f>
        <v>18</v>
      </c>
      <c r="X202" s="20">
        <f t="shared" si="215"/>
        <v>2</v>
      </c>
      <c r="Y202" s="19">
        <f t="shared" si="96"/>
        <v>3.1279033756580983E-2</v>
      </c>
      <c r="Z202" s="19">
        <f t="shared" si="97"/>
        <v>7.9207920792079209E-2</v>
      </c>
      <c r="AA202" s="21">
        <f t="shared" si="18"/>
        <v>1.4484956654767975</v>
      </c>
      <c r="AB202" s="26">
        <f t="shared" si="27"/>
        <v>1.4659587553129216</v>
      </c>
      <c r="AC202" s="23">
        <f t="shared" si="8"/>
        <v>811.57142857142856</v>
      </c>
      <c r="AD202" s="23">
        <f t="shared" si="25"/>
        <v>6.5714285714285712</v>
      </c>
      <c r="AE202" s="23">
        <f t="shared" si="9"/>
        <v>11157.428571428571</v>
      </c>
      <c r="AF202" s="25">
        <f t="shared" si="13"/>
        <v>7.3028571428571429E-2</v>
      </c>
      <c r="AG202" s="25"/>
      <c r="AH202" s="25"/>
      <c r="AI202" s="25"/>
      <c r="AJ202" s="25"/>
      <c r="AK202" s="25"/>
      <c r="AL202" s="25"/>
      <c r="AM202" s="26">
        <f t="shared" si="21"/>
        <v>46</v>
      </c>
    </row>
    <row r="203" spans="1:39" ht="16">
      <c r="A203" s="15">
        <v>44095</v>
      </c>
      <c r="B203" s="16">
        <v>18866</v>
      </c>
      <c r="C203" s="16">
        <v>876</v>
      </c>
      <c r="D203" s="16">
        <v>686</v>
      </c>
      <c r="E203" s="16">
        <v>4401</v>
      </c>
      <c r="F203" s="16">
        <v>626021</v>
      </c>
      <c r="G203" s="17">
        <f t="shared" si="204"/>
        <v>63879.693877551013</v>
      </c>
      <c r="H203" s="20"/>
      <c r="I203" s="13">
        <v>4.87E-2</v>
      </c>
      <c r="J203" s="13">
        <v>3.0099999999999998E-2</v>
      </c>
      <c r="K203" s="22">
        <v>1.6E-2</v>
      </c>
      <c r="L203" s="16">
        <v>13779</v>
      </c>
      <c r="M203" s="13">
        <v>3.6400000000000002E-2</v>
      </c>
      <c r="N203" s="13">
        <v>0.23330000000000001</v>
      </c>
      <c r="O203" s="16">
        <v>26750</v>
      </c>
      <c r="P203" s="16">
        <v>10022</v>
      </c>
      <c r="Q203" s="13">
        <v>8.7400000000000005E-2</v>
      </c>
      <c r="R203" s="16">
        <v>3</v>
      </c>
      <c r="S203" s="16">
        <v>10</v>
      </c>
      <c r="T203" s="16">
        <v>463</v>
      </c>
      <c r="U203" s="16">
        <v>35</v>
      </c>
      <c r="V203" s="19">
        <f t="shared" si="0"/>
        <v>0.73036149687268104</v>
      </c>
      <c r="W203" s="20">
        <f t="shared" ref="W203:X203" si="216">T203-T202</f>
        <v>59</v>
      </c>
      <c r="X203" s="20">
        <f t="shared" si="216"/>
        <v>3</v>
      </c>
      <c r="Y203" s="19">
        <f t="shared" si="96"/>
        <v>3.3601857899702443E-2</v>
      </c>
      <c r="Z203" s="19">
        <f t="shared" si="97"/>
        <v>7.5593952483801297E-2</v>
      </c>
      <c r="AA203" s="21">
        <f t="shared" si="18"/>
        <v>1.3634844868735083</v>
      </c>
      <c r="AB203" s="26">
        <f t="shared" si="27"/>
        <v>1.4487835322721883</v>
      </c>
      <c r="AC203" s="23">
        <f t="shared" si="8"/>
        <v>816.14285714285711</v>
      </c>
      <c r="AD203" s="23">
        <f t="shared" si="25"/>
        <v>6.2857142857142856</v>
      </c>
      <c r="AE203" s="23">
        <f t="shared" si="9"/>
        <v>10972.857142857143</v>
      </c>
      <c r="AF203" s="25">
        <f t="shared" si="13"/>
        <v>7.4857142857142858E-2</v>
      </c>
      <c r="AG203" s="25"/>
      <c r="AH203" s="25"/>
      <c r="AI203" s="25"/>
      <c r="AJ203" s="25"/>
      <c r="AK203" s="25"/>
      <c r="AL203" s="25"/>
      <c r="AM203" s="26">
        <f t="shared" si="21"/>
        <v>40.571428571428569</v>
      </c>
    </row>
    <row r="204" spans="1:39" ht="16">
      <c r="A204" s="15">
        <v>44096</v>
      </c>
      <c r="B204" s="16">
        <v>19499</v>
      </c>
      <c r="C204" s="16">
        <v>633</v>
      </c>
      <c r="D204" s="16">
        <v>694</v>
      </c>
      <c r="E204" s="16">
        <v>4559</v>
      </c>
      <c r="F204" s="16">
        <v>632031</v>
      </c>
      <c r="G204" s="17">
        <f t="shared" si="204"/>
        <v>64492.959183673462</v>
      </c>
      <c r="H204" s="20"/>
      <c r="I204" s="13">
        <v>3.3599999999999998E-2</v>
      </c>
      <c r="J204" s="13">
        <v>3.09E-2</v>
      </c>
      <c r="K204" s="22">
        <v>0.01</v>
      </c>
      <c r="L204" s="16">
        <v>14246</v>
      </c>
      <c r="M204" s="13">
        <v>3.56E-2</v>
      </c>
      <c r="N204" s="13">
        <v>0.23380000000000001</v>
      </c>
      <c r="O204" s="16">
        <v>25212</v>
      </c>
      <c r="P204" s="16">
        <v>6010</v>
      </c>
      <c r="Q204" s="13">
        <v>0.1053</v>
      </c>
      <c r="R204" s="16">
        <v>8</v>
      </c>
      <c r="S204" s="16">
        <v>158</v>
      </c>
      <c r="T204" s="16">
        <v>534</v>
      </c>
      <c r="U204" s="16">
        <v>36</v>
      </c>
      <c r="V204" s="19">
        <f t="shared" si="0"/>
        <v>0.73060156931124676</v>
      </c>
      <c r="W204" s="20">
        <f t="shared" ref="W204:X204" si="217">T204-T203</f>
        <v>71</v>
      </c>
      <c r="X204" s="20">
        <f t="shared" si="217"/>
        <v>1</v>
      </c>
      <c r="Y204" s="19">
        <f t="shared" si="96"/>
        <v>3.7484206092938371E-2</v>
      </c>
      <c r="Z204" s="19">
        <f t="shared" si="97"/>
        <v>6.741573033707865E-2</v>
      </c>
      <c r="AA204" s="21">
        <f t="shared" si="18"/>
        <v>1.228415300546448</v>
      </c>
      <c r="AB204" s="26">
        <f t="shared" si="27"/>
        <v>1.4097747377091534</v>
      </c>
      <c r="AC204" s="23">
        <f t="shared" si="8"/>
        <v>802.85714285714289</v>
      </c>
      <c r="AD204" s="23">
        <f t="shared" si="25"/>
        <v>6.8571428571428568</v>
      </c>
      <c r="AE204" s="23">
        <f t="shared" si="9"/>
        <v>10595.285714285714</v>
      </c>
      <c r="AF204" s="25">
        <f t="shared" si="13"/>
        <v>7.7914285714285728E-2</v>
      </c>
      <c r="AG204" s="25"/>
      <c r="AH204" s="25"/>
      <c r="AI204" s="25"/>
      <c r="AJ204" s="25"/>
      <c r="AK204" s="25"/>
      <c r="AL204" s="25"/>
      <c r="AM204" s="26">
        <f t="shared" si="21"/>
        <v>61.285714285714285</v>
      </c>
    </row>
    <row r="205" spans="1:39" ht="16">
      <c r="A205" s="15">
        <v>44097</v>
      </c>
      <c r="B205" s="16">
        <v>20450</v>
      </c>
      <c r="C205" s="16">
        <v>951</v>
      </c>
      <c r="D205" s="16">
        <v>702</v>
      </c>
      <c r="E205" s="16">
        <v>4644</v>
      </c>
      <c r="F205" s="16">
        <v>645492</v>
      </c>
      <c r="G205" s="17">
        <f t="shared" si="204"/>
        <v>65866.530612244896</v>
      </c>
      <c r="H205" s="20"/>
      <c r="I205" s="13">
        <v>4.8800000000000003E-2</v>
      </c>
      <c r="J205" s="13">
        <v>3.1699999999999999E-2</v>
      </c>
      <c r="K205" s="22">
        <v>2.1000000000000001E-2</v>
      </c>
      <c r="L205" s="16">
        <v>15104</v>
      </c>
      <c r="M205" s="13">
        <v>3.4299999999999997E-2</v>
      </c>
      <c r="N205" s="13">
        <v>0.2271</v>
      </c>
      <c r="O205" s="16">
        <v>27449</v>
      </c>
      <c r="P205" s="16">
        <v>13461</v>
      </c>
      <c r="Q205" s="13">
        <v>7.0599999999999996E-2</v>
      </c>
      <c r="R205" s="16">
        <v>8</v>
      </c>
      <c r="S205" s="16">
        <v>85</v>
      </c>
      <c r="T205" s="16">
        <v>558</v>
      </c>
      <c r="U205" s="16">
        <v>35</v>
      </c>
      <c r="V205" s="19">
        <f t="shared" si="0"/>
        <v>0.73858190709046456</v>
      </c>
      <c r="W205" s="20">
        <f t="shared" ref="W205:X205" si="218">T205-T204</f>
        <v>24</v>
      </c>
      <c r="X205" s="20">
        <f t="shared" si="218"/>
        <v>-1</v>
      </c>
      <c r="Y205" s="19">
        <f t="shared" si="96"/>
        <v>3.6943855932203389E-2</v>
      </c>
      <c r="Z205" s="19">
        <f t="shared" si="97"/>
        <v>6.2724014336917558E-2</v>
      </c>
      <c r="AA205" s="21">
        <f t="shared" si="18"/>
        <v>1.262381454162276</v>
      </c>
      <c r="AB205" s="26">
        <f t="shared" si="27"/>
        <v>1.3709564770156017</v>
      </c>
      <c r="AC205" s="23">
        <f t="shared" si="8"/>
        <v>855.71428571428567</v>
      </c>
      <c r="AD205" s="23">
        <f t="shared" si="25"/>
        <v>6.8571428571428568</v>
      </c>
      <c r="AE205" s="23">
        <f t="shared" si="9"/>
        <v>11114.428571428571</v>
      </c>
      <c r="AF205" s="25">
        <f t="shared" si="13"/>
        <v>7.9557142857142854E-2</v>
      </c>
      <c r="AG205" s="25"/>
      <c r="AH205" s="25"/>
      <c r="AI205" s="25"/>
      <c r="AJ205" s="25"/>
      <c r="AK205" s="25"/>
      <c r="AL205" s="25"/>
      <c r="AM205" s="26">
        <f t="shared" si="21"/>
        <v>70.142857142857139</v>
      </c>
    </row>
    <row r="206" spans="1:39" ht="16">
      <c r="A206" s="15">
        <v>44098</v>
      </c>
      <c r="B206" s="16">
        <v>21200</v>
      </c>
      <c r="C206" s="16">
        <v>750</v>
      </c>
      <c r="D206" s="16">
        <v>709</v>
      </c>
      <c r="E206" s="16">
        <v>4818</v>
      </c>
      <c r="F206" s="16">
        <v>657437</v>
      </c>
      <c r="G206" s="17">
        <f t="shared" si="204"/>
        <v>67085.408163265296</v>
      </c>
      <c r="H206" s="20"/>
      <c r="I206" s="13">
        <v>3.6700000000000003E-2</v>
      </c>
      <c r="J206" s="13">
        <v>3.2199999999999999E-2</v>
      </c>
      <c r="K206" s="22">
        <v>1.7999999999999999E-2</v>
      </c>
      <c r="L206" s="16">
        <v>15673</v>
      </c>
      <c r="M206" s="13">
        <v>3.3399999999999999E-2</v>
      </c>
      <c r="N206" s="13">
        <v>0.2273</v>
      </c>
      <c r="O206" s="16">
        <v>27403</v>
      </c>
      <c r="P206" s="16">
        <v>11945</v>
      </c>
      <c r="Q206" s="13">
        <v>6.2799999999999995E-2</v>
      </c>
      <c r="R206" s="16">
        <v>7</v>
      </c>
      <c r="S206" s="16">
        <v>174</v>
      </c>
      <c r="T206" s="16">
        <v>549</v>
      </c>
      <c r="U206" s="16">
        <v>32</v>
      </c>
      <c r="V206" s="19">
        <f t="shared" si="0"/>
        <v>0.73929245283018863</v>
      </c>
      <c r="W206" s="20">
        <f t="shared" ref="W206:X206" si="219">T206-T205</f>
        <v>-9</v>
      </c>
      <c r="X206" s="20">
        <f t="shared" si="219"/>
        <v>-3</v>
      </c>
      <c r="Y206" s="19">
        <f t="shared" si="96"/>
        <v>3.5028392777387868E-2</v>
      </c>
      <c r="Z206" s="19">
        <f t="shared" si="97"/>
        <v>5.8287795992714025E-2</v>
      </c>
      <c r="AA206" s="21">
        <f t="shared" si="18"/>
        <v>1.2110865635669814</v>
      </c>
      <c r="AB206" s="26">
        <f t="shared" si="27"/>
        <v>1.326317155881527</v>
      </c>
      <c r="AC206" s="23">
        <f t="shared" si="8"/>
        <v>861.42857142857144</v>
      </c>
      <c r="AD206" s="23">
        <f t="shared" si="25"/>
        <v>6.5714285714285712</v>
      </c>
      <c r="AE206" s="23">
        <f t="shared" si="9"/>
        <v>11052.142857142857</v>
      </c>
      <c r="AF206" s="25">
        <f t="shared" si="13"/>
        <v>8.0342857142857146E-2</v>
      </c>
      <c r="AG206" s="25"/>
      <c r="AH206" s="25"/>
      <c r="AI206" s="25"/>
      <c r="AJ206" s="25"/>
      <c r="AK206" s="25"/>
      <c r="AL206" s="25"/>
      <c r="AM206" s="26">
        <f t="shared" si="21"/>
        <v>84.428571428571431</v>
      </c>
    </row>
    <row r="207" spans="1:39" ht="16">
      <c r="A207" s="15">
        <v>44099</v>
      </c>
      <c r="B207" s="16">
        <v>22127</v>
      </c>
      <c r="C207" s="16">
        <v>927</v>
      </c>
      <c r="D207" s="16">
        <v>718</v>
      </c>
      <c r="E207" s="16">
        <v>4945</v>
      </c>
      <c r="F207" s="16">
        <v>668553</v>
      </c>
      <c r="G207" s="17">
        <f t="shared" si="204"/>
        <v>68219.693877551021</v>
      </c>
      <c r="H207" s="20"/>
      <c r="I207" s="13">
        <v>4.3700000000000003E-2</v>
      </c>
      <c r="J207" s="13">
        <v>3.3099999999999997E-2</v>
      </c>
      <c r="K207" s="22">
        <v>1.7000000000000001E-2</v>
      </c>
      <c r="L207" s="16">
        <v>16464</v>
      </c>
      <c r="M207" s="13">
        <v>3.2399999999999998E-2</v>
      </c>
      <c r="N207" s="13">
        <v>0.2235</v>
      </c>
      <c r="O207" s="16">
        <v>25374</v>
      </c>
      <c r="P207" s="16">
        <v>11116</v>
      </c>
      <c r="Q207" s="13">
        <v>8.3400000000000002E-2</v>
      </c>
      <c r="R207" s="16">
        <v>9</v>
      </c>
      <c r="S207" s="16">
        <v>127</v>
      </c>
      <c r="T207" s="16">
        <v>577</v>
      </c>
      <c r="U207" s="16">
        <v>30</v>
      </c>
      <c r="V207" s="19">
        <f t="shared" si="0"/>
        <v>0.74406833280607398</v>
      </c>
      <c r="W207" s="20">
        <f t="shared" ref="W207:X207" si="220">T207-T206</f>
        <v>28</v>
      </c>
      <c r="X207" s="20">
        <f t="shared" si="220"/>
        <v>-2</v>
      </c>
      <c r="Y207" s="19">
        <f t="shared" si="96"/>
        <v>3.5046161321671529E-2</v>
      </c>
      <c r="Z207" s="19">
        <f t="shared" si="97"/>
        <v>5.1993067590987867E-2</v>
      </c>
      <c r="AA207" s="21">
        <f t="shared" si="18"/>
        <v>1.156478277585544</v>
      </c>
      <c r="AB207" s="26">
        <f t="shared" si="27"/>
        <v>1.2808272164366006</v>
      </c>
      <c r="AC207" s="23">
        <f t="shared" si="8"/>
        <v>859.42857142857144</v>
      </c>
      <c r="AD207" s="23">
        <f t="shared" si="25"/>
        <v>7</v>
      </c>
      <c r="AE207" s="23">
        <f t="shared" si="9"/>
        <v>10990.714285714286</v>
      </c>
      <c r="AF207" s="25">
        <f t="shared" si="13"/>
        <v>8.0614285714285722E-2</v>
      </c>
      <c r="AG207" s="25"/>
      <c r="AH207" s="25"/>
      <c r="AI207" s="25"/>
      <c r="AJ207" s="25"/>
      <c r="AK207" s="25"/>
      <c r="AL207" s="25"/>
      <c r="AM207" s="26">
        <f t="shared" si="21"/>
        <v>100.71428571428571</v>
      </c>
    </row>
    <row r="208" spans="1:39" ht="16">
      <c r="A208" s="15">
        <v>44100</v>
      </c>
      <c r="B208" s="16">
        <v>23077</v>
      </c>
      <c r="C208" s="16">
        <v>950</v>
      </c>
      <c r="D208" s="16">
        <v>730</v>
      </c>
      <c r="E208" s="16">
        <v>5099</v>
      </c>
      <c r="F208" s="16">
        <v>680335</v>
      </c>
      <c r="G208" s="17">
        <f t="shared" si="204"/>
        <v>69421.938775510192</v>
      </c>
      <c r="H208" s="20"/>
      <c r="I208" s="13">
        <v>4.2900000000000001E-2</v>
      </c>
      <c r="J208" s="13">
        <v>3.39E-2</v>
      </c>
      <c r="K208" s="22">
        <v>1.7000000000000001E-2</v>
      </c>
      <c r="L208" s="16">
        <v>17248</v>
      </c>
      <c r="M208" s="13">
        <v>3.1600000000000003E-2</v>
      </c>
      <c r="N208" s="13">
        <v>0.221</v>
      </c>
      <c r="O208" s="16">
        <v>25017</v>
      </c>
      <c r="P208" s="16">
        <v>11782</v>
      </c>
      <c r="Q208" s="13">
        <v>8.0600000000000005E-2</v>
      </c>
      <c r="R208" s="16">
        <v>12</v>
      </c>
      <c r="S208" s="16">
        <v>154</v>
      </c>
      <c r="T208" s="16">
        <v>589</v>
      </c>
      <c r="U208" s="16">
        <v>36</v>
      </c>
      <c r="V208" s="19">
        <f t="shared" si="0"/>
        <v>0.7474108419638601</v>
      </c>
      <c r="W208" s="20">
        <f t="shared" ref="W208:X208" si="221">T208-T207</f>
        <v>12</v>
      </c>
      <c r="X208" s="20">
        <f t="shared" si="221"/>
        <v>6</v>
      </c>
      <c r="Y208" s="19">
        <f t="shared" si="96"/>
        <v>3.4148886827458258E-2</v>
      </c>
      <c r="Z208" s="19">
        <f t="shared" si="97"/>
        <v>6.1120543293718167E-2</v>
      </c>
      <c r="AA208" s="21">
        <f t="shared" si="18"/>
        <v>1.2084396467124632</v>
      </c>
      <c r="AB208" s="26">
        <f t="shared" si="27"/>
        <v>1.2683973421320027</v>
      </c>
      <c r="AC208" s="23">
        <f t="shared" si="8"/>
        <v>879.57142857142856</v>
      </c>
      <c r="AD208" s="23">
        <f t="shared" si="25"/>
        <v>7.8571428571428568</v>
      </c>
      <c r="AE208" s="23">
        <f t="shared" si="9"/>
        <v>10887.571428571429</v>
      </c>
      <c r="AF208" s="25">
        <f t="shared" si="13"/>
        <v>8.2885714285714299E-2</v>
      </c>
      <c r="AG208" s="25"/>
      <c r="AH208" s="25"/>
      <c r="AI208" s="25"/>
      <c r="AJ208" s="25"/>
      <c r="AK208" s="25"/>
      <c r="AL208" s="25"/>
      <c r="AM208" s="26">
        <f t="shared" si="21"/>
        <v>102.42857142857143</v>
      </c>
    </row>
    <row r="209" spans="1:39" ht="16">
      <c r="A209" s="15">
        <v>44101</v>
      </c>
      <c r="B209" s="16">
        <v>24014</v>
      </c>
      <c r="C209" s="16">
        <v>937</v>
      </c>
      <c r="D209" s="16">
        <v>736</v>
      </c>
      <c r="E209" s="16">
        <v>5141</v>
      </c>
      <c r="F209" s="16">
        <v>690408</v>
      </c>
      <c r="G209" s="17">
        <f t="shared" si="204"/>
        <v>70449.795918367337</v>
      </c>
      <c r="H209" s="20"/>
      <c r="I209" s="13">
        <v>4.0599999999999997E-2</v>
      </c>
      <c r="J209" s="13">
        <v>3.4799999999999998E-2</v>
      </c>
      <c r="K209" s="22">
        <v>1.4999999999999999E-2</v>
      </c>
      <c r="L209" s="16">
        <v>18137</v>
      </c>
      <c r="M209" s="13">
        <v>3.0599999999999999E-2</v>
      </c>
      <c r="N209" s="13">
        <v>0.21410000000000001</v>
      </c>
      <c r="O209" s="16">
        <v>24538</v>
      </c>
      <c r="P209" s="16">
        <v>10073</v>
      </c>
      <c r="Q209" s="13">
        <v>9.2999999999999999E-2</v>
      </c>
      <c r="R209" s="16">
        <v>6</v>
      </c>
      <c r="S209" s="16">
        <v>42</v>
      </c>
      <c r="T209" s="16">
        <v>620</v>
      </c>
      <c r="U209" s="16">
        <v>38</v>
      </c>
      <c r="V209" s="19">
        <f t="shared" si="0"/>
        <v>0.75526776047305744</v>
      </c>
      <c r="W209" s="20">
        <f t="shared" ref="W209:X209" si="222">T209-T208</f>
        <v>31</v>
      </c>
      <c r="X209" s="20">
        <f t="shared" si="222"/>
        <v>2</v>
      </c>
      <c r="Y209" s="19">
        <f t="shared" si="96"/>
        <v>3.4184264211280804E-2</v>
      </c>
      <c r="Z209" s="19">
        <f t="shared" si="97"/>
        <v>6.1290322580645158E-2</v>
      </c>
      <c r="AA209" s="21">
        <f t="shared" si="18"/>
        <v>1.0603766942439712</v>
      </c>
      <c r="AB209" s="26">
        <f t="shared" si="27"/>
        <v>1.2129517748130276</v>
      </c>
      <c r="AC209" s="23">
        <f t="shared" si="8"/>
        <v>860.57142857142856</v>
      </c>
      <c r="AD209" s="23">
        <f t="shared" si="25"/>
        <v>7.5714285714285712</v>
      </c>
      <c r="AE209" s="23">
        <f t="shared" si="9"/>
        <v>10629.857142857143</v>
      </c>
      <c r="AF209" s="25">
        <f t="shared" si="13"/>
        <v>8.3299999999999999E-2</v>
      </c>
      <c r="AG209" s="25"/>
      <c r="AH209" s="25"/>
      <c r="AI209" s="25"/>
      <c r="AJ209" s="25"/>
      <c r="AK209" s="25"/>
      <c r="AL209" s="25"/>
      <c r="AM209" s="26">
        <f t="shared" si="21"/>
        <v>107.14285714285714</v>
      </c>
    </row>
    <row r="210" spans="1:39" ht="16">
      <c r="A210" s="15">
        <v>44102</v>
      </c>
      <c r="B210" s="16">
        <v>24716</v>
      </c>
      <c r="C210" s="16">
        <v>702</v>
      </c>
      <c r="D210" s="16">
        <v>749</v>
      </c>
      <c r="E210" s="16">
        <v>5152</v>
      </c>
      <c r="F210" s="16">
        <v>697473</v>
      </c>
      <c r="G210" s="17">
        <f t="shared" si="204"/>
        <v>71170.714285714275</v>
      </c>
      <c r="H210" s="20"/>
      <c r="I210" s="13">
        <v>2.92E-2</v>
      </c>
      <c r="J210" s="13">
        <v>3.5400000000000001E-2</v>
      </c>
      <c r="K210" s="22">
        <v>0.01</v>
      </c>
      <c r="L210" s="16">
        <v>18815</v>
      </c>
      <c r="M210" s="13">
        <v>3.0300000000000001E-2</v>
      </c>
      <c r="N210" s="13">
        <v>0.2084</v>
      </c>
      <c r="O210" s="16">
        <v>24017</v>
      </c>
      <c r="P210" s="16">
        <v>7065</v>
      </c>
      <c r="Q210" s="13">
        <v>9.9400000000000002E-2</v>
      </c>
      <c r="R210" s="16">
        <v>13</v>
      </c>
      <c r="S210" s="16">
        <v>11</v>
      </c>
      <c r="T210" s="16">
        <v>693</v>
      </c>
      <c r="U210" s="16">
        <v>44</v>
      </c>
      <c r="V210" s="19">
        <f t="shared" si="0"/>
        <v>0.76124777472082861</v>
      </c>
      <c r="W210" s="20">
        <f t="shared" ref="W210:X210" si="223">T210-T209</f>
        <v>73</v>
      </c>
      <c r="X210" s="20">
        <f t="shared" si="223"/>
        <v>6</v>
      </c>
      <c r="Y210" s="19">
        <f t="shared" si="96"/>
        <v>3.6832314642572417E-2</v>
      </c>
      <c r="Z210" s="19">
        <f t="shared" si="97"/>
        <v>6.3492063492063489E-2</v>
      </c>
      <c r="AA210" s="21">
        <f t="shared" si="18"/>
        <v>1.0239803955890074</v>
      </c>
      <c r="AB210" s="26">
        <f t="shared" si="27"/>
        <v>1.1644511903438131</v>
      </c>
      <c r="AC210" s="23">
        <f t="shared" si="8"/>
        <v>835.71428571428567</v>
      </c>
      <c r="AD210" s="23">
        <f t="shared" si="25"/>
        <v>9</v>
      </c>
      <c r="AE210" s="23">
        <f t="shared" si="9"/>
        <v>10207.428571428571</v>
      </c>
      <c r="AF210" s="25">
        <f t="shared" si="13"/>
        <v>8.5014285714285723E-2</v>
      </c>
      <c r="AG210" s="25"/>
      <c r="AH210" s="25"/>
      <c r="AI210" s="25"/>
      <c r="AJ210" s="25"/>
      <c r="AK210" s="25"/>
      <c r="AL210" s="25"/>
      <c r="AM210" s="26">
        <f t="shared" si="21"/>
        <v>107.28571428571429</v>
      </c>
    </row>
    <row r="211" spans="1:39" ht="16">
      <c r="A211" s="15">
        <v>44103</v>
      </c>
      <c r="B211" s="16">
        <v>25567</v>
      </c>
      <c r="C211" s="16">
        <v>851</v>
      </c>
      <c r="D211" s="16">
        <v>757</v>
      </c>
      <c r="E211" s="16">
        <v>5173</v>
      </c>
      <c r="F211" s="16">
        <v>704510</v>
      </c>
      <c r="G211" s="17">
        <f t="shared" si="204"/>
        <v>71888.775510204083</v>
      </c>
      <c r="H211" s="20"/>
      <c r="I211" s="13">
        <v>3.44E-2</v>
      </c>
      <c r="J211" s="13">
        <v>3.6299999999999999E-2</v>
      </c>
      <c r="K211" s="22">
        <v>0.01</v>
      </c>
      <c r="L211" s="16">
        <v>19637</v>
      </c>
      <c r="M211" s="13">
        <v>2.9600000000000001E-2</v>
      </c>
      <c r="N211" s="13">
        <v>0.20230000000000001</v>
      </c>
      <c r="O211" s="16">
        <v>23740</v>
      </c>
      <c r="P211" s="16">
        <v>7037</v>
      </c>
      <c r="Q211" s="13">
        <v>0.12089999999999999</v>
      </c>
      <c r="R211" s="16">
        <v>8</v>
      </c>
      <c r="S211" s="16">
        <v>21</v>
      </c>
      <c r="T211" s="16">
        <v>755</v>
      </c>
      <c r="U211" s="16">
        <v>51</v>
      </c>
      <c r="V211" s="19">
        <f t="shared" si="0"/>
        <v>0.76806039034693163</v>
      </c>
      <c r="W211" s="20">
        <f t="shared" ref="W211:X211" si="224">T211-T210</f>
        <v>62</v>
      </c>
      <c r="X211" s="20">
        <f t="shared" si="224"/>
        <v>7</v>
      </c>
      <c r="Y211" s="19">
        <f t="shared" si="96"/>
        <v>3.8447828079645564E-2</v>
      </c>
      <c r="Z211" s="19">
        <f t="shared" si="97"/>
        <v>6.7549668874172186E-2</v>
      </c>
      <c r="AA211" s="21">
        <f t="shared" si="18"/>
        <v>1.0797153024911033</v>
      </c>
      <c r="AB211" s="26">
        <f t="shared" si="27"/>
        <v>1.1432083334787639</v>
      </c>
      <c r="AC211" s="23">
        <f t="shared" si="8"/>
        <v>866.85714285714289</v>
      </c>
      <c r="AD211" s="23">
        <f t="shared" si="25"/>
        <v>9</v>
      </c>
      <c r="AE211" s="23">
        <f t="shared" si="9"/>
        <v>10354.142857142857</v>
      </c>
      <c r="AF211" s="25">
        <f t="shared" si="13"/>
        <v>8.7242857142857136E-2</v>
      </c>
      <c r="AG211" s="25"/>
      <c r="AH211" s="25"/>
      <c r="AI211" s="25"/>
      <c r="AJ211" s="25"/>
      <c r="AK211" s="25"/>
      <c r="AL211" s="25"/>
      <c r="AM211" s="26">
        <f t="shared" si="21"/>
        <v>87.714285714285708</v>
      </c>
    </row>
    <row r="212" spans="1:39" ht="16">
      <c r="A212" s="15">
        <v>44104</v>
      </c>
      <c r="B212" s="16">
        <v>26461</v>
      </c>
      <c r="C212" s="16">
        <v>894</v>
      </c>
      <c r="D212" s="16">
        <v>765</v>
      </c>
      <c r="E212" s="16">
        <v>5890</v>
      </c>
      <c r="F212" s="16">
        <v>715677</v>
      </c>
      <c r="G212" s="17">
        <f t="shared" si="204"/>
        <v>73028.265306122441</v>
      </c>
      <c r="H212" s="20"/>
      <c r="I212" s="13">
        <v>3.5000000000000003E-2</v>
      </c>
      <c r="J212" s="13">
        <v>3.6999999999999998E-2</v>
      </c>
      <c r="K212" s="22">
        <v>1.6E-2</v>
      </c>
      <c r="L212" s="16">
        <v>19806</v>
      </c>
      <c r="M212" s="13">
        <v>2.8899999999999999E-2</v>
      </c>
      <c r="N212" s="13">
        <v>0.22259999999999999</v>
      </c>
      <c r="O212" s="16">
        <v>24121</v>
      </c>
      <c r="P212" s="16">
        <v>11167</v>
      </c>
      <c r="Q212" s="13">
        <v>8.0100000000000005E-2</v>
      </c>
      <c r="R212" s="16">
        <v>8</v>
      </c>
      <c r="S212" s="16">
        <v>717</v>
      </c>
      <c r="T212" s="16">
        <v>773</v>
      </c>
      <c r="U212" s="16">
        <v>54</v>
      </c>
      <c r="V212" s="19">
        <f t="shared" si="0"/>
        <v>0.74849778919919885</v>
      </c>
      <c r="W212" s="20">
        <f t="shared" ref="W212:X212" si="225">T212-T211</f>
        <v>18</v>
      </c>
      <c r="X212" s="20">
        <f t="shared" si="225"/>
        <v>3</v>
      </c>
      <c r="Y212" s="19">
        <f t="shared" si="96"/>
        <v>3.9028577198828636E-2</v>
      </c>
      <c r="Z212" s="19">
        <f t="shared" si="97"/>
        <v>6.9857697283311773E-2</v>
      </c>
      <c r="AA212" s="21">
        <f t="shared" si="18"/>
        <v>1.0035058430717863</v>
      </c>
      <c r="AB212" s="26">
        <f t="shared" si="27"/>
        <v>1.1062261033229797</v>
      </c>
      <c r="AC212" s="23">
        <f t="shared" si="8"/>
        <v>858.71428571428567</v>
      </c>
      <c r="AD212" s="23">
        <f t="shared" si="25"/>
        <v>9</v>
      </c>
      <c r="AE212" s="23">
        <f t="shared" si="9"/>
        <v>10026.428571428571</v>
      </c>
      <c r="AF212" s="25">
        <f t="shared" si="13"/>
        <v>8.8599999999999984E-2</v>
      </c>
      <c r="AG212" s="25"/>
      <c r="AH212" s="25"/>
      <c r="AI212" s="25"/>
      <c r="AJ212" s="25"/>
      <c r="AK212" s="25"/>
      <c r="AL212" s="25"/>
      <c r="AM212" s="26">
        <f t="shared" si="21"/>
        <v>178</v>
      </c>
    </row>
    <row r="213" spans="1:39" ht="16">
      <c r="A213" s="15">
        <v>44105</v>
      </c>
      <c r="B213" s="16">
        <v>27309</v>
      </c>
      <c r="C213" s="16">
        <v>848</v>
      </c>
      <c r="D213" s="16">
        <v>781</v>
      </c>
      <c r="E213" s="16">
        <v>6118</v>
      </c>
      <c r="F213" s="16">
        <v>727649</v>
      </c>
      <c r="G213" s="17">
        <f t="shared" si="204"/>
        <v>74249.897959183669</v>
      </c>
      <c r="H213" s="20"/>
      <c r="I213" s="13">
        <v>3.2000000000000001E-2</v>
      </c>
      <c r="J213" s="13">
        <v>3.7499999999999999E-2</v>
      </c>
      <c r="K213" s="22">
        <v>1.6E-2</v>
      </c>
      <c r="L213" s="16">
        <v>20410</v>
      </c>
      <c r="M213" s="13">
        <v>2.86E-2</v>
      </c>
      <c r="N213" s="13">
        <v>0.224</v>
      </c>
      <c r="O213" s="16">
        <v>21930</v>
      </c>
      <c r="P213" s="16">
        <v>11972</v>
      </c>
      <c r="Q213" s="13">
        <v>7.0800000000000002E-2</v>
      </c>
      <c r="R213" s="16">
        <v>16</v>
      </c>
      <c r="S213" s="16">
        <v>228</v>
      </c>
      <c r="T213" s="16">
        <v>757</v>
      </c>
      <c r="U213" s="16">
        <v>52</v>
      </c>
      <c r="V213" s="19">
        <f t="shared" si="0"/>
        <v>0.74737266102750011</v>
      </c>
      <c r="W213" s="20">
        <f t="shared" ref="W213:X213" si="226">T213-T212</f>
        <v>-16</v>
      </c>
      <c r="X213" s="20">
        <f t="shared" si="226"/>
        <v>-2</v>
      </c>
      <c r="Y213" s="19">
        <f t="shared" si="96"/>
        <v>3.708966193042626E-2</v>
      </c>
      <c r="Z213" s="19">
        <f t="shared" si="97"/>
        <v>6.8692206076618231E-2</v>
      </c>
      <c r="AA213" s="21">
        <f t="shared" si="18"/>
        <v>1.0131011608623548</v>
      </c>
      <c r="AB213" s="26">
        <f t="shared" si="27"/>
        <v>1.077942474365176</v>
      </c>
      <c r="AC213" s="23">
        <f t="shared" si="8"/>
        <v>872.71428571428567</v>
      </c>
      <c r="AD213" s="23">
        <f t="shared" si="25"/>
        <v>10.285714285714286</v>
      </c>
      <c r="AE213" s="23">
        <f t="shared" si="9"/>
        <v>10030.285714285714</v>
      </c>
      <c r="AF213" s="25">
        <f t="shared" si="13"/>
        <v>8.9742857142857138E-2</v>
      </c>
      <c r="AG213" s="25"/>
      <c r="AH213" s="25"/>
      <c r="AI213" s="25"/>
      <c r="AJ213" s="25"/>
      <c r="AK213" s="25"/>
      <c r="AL213" s="25"/>
      <c r="AM213" s="26">
        <f t="shared" si="21"/>
        <v>185.71428571428572</v>
      </c>
    </row>
    <row r="214" spans="1:39" ht="16">
      <c r="A214" s="15">
        <v>44106</v>
      </c>
      <c r="B214" s="16">
        <v>28631</v>
      </c>
      <c r="C214" s="16">
        <v>1322</v>
      </c>
      <c r="D214" s="16">
        <v>798</v>
      </c>
      <c r="E214" s="16">
        <v>6349</v>
      </c>
      <c r="F214" s="16">
        <v>740043</v>
      </c>
      <c r="G214" s="17">
        <f t="shared" si="204"/>
        <v>75514.591836734689</v>
      </c>
      <c r="H214" s="20"/>
      <c r="I214" s="13">
        <v>4.8399999999999999E-2</v>
      </c>
      <c r="J214" s="13">
        <v>3.8699999999999998E-2</v>
      </c>
      <c r="K214" s="22">
        <v>1.7000000000000001E-2</v>
      </c>
      <c r="L214" s="16">
        <v>21484</v>
      </c>
      <c r="M214" s="13">
        <v>2.7900000000000001E-2</v>
      </c>
      <c r="N214" s="13">
        <v>0.2218</v>
      </c>
      <c r="O214" s="16">
        <v>22906</v>
      </c>
      <c r="P214" s="16">
        <v>12394</v>
      </c>
      <c r="Q214" s="13">
        <v>0.1067</v>
      </c>
      <c r="R214" s="16">
        <v>17</v>
      </c>
      <c r="S214" s="16">
        <v>231</v>
      </c>
      <c r="T214" s="16">
        <v>740</v>
      </c>
      <c r="U214" s="16">
        <v>47</v>
      </c>
      <c r="V214" s="19">
        <f t="shared" si="0"/>
        <v>0.75037546715099024</v>
      </c>
      <c r="W214" s="20">
        <f t="shared" ref="W214:X214" si="227">T214-T213</f>
        <v>-17</v>
      </c>
      <c r="X214" s="20">
        <f t="shared" si="227"/>
        <v>-5</v>
      </c>
      <c r="Y214" s="19">
        <f t="shared" si="96"/>
        <v>3.4444237572146714E-2</v>
      </c>
      <c r="Z214" s="19">
        <f t="shared" si="97"/>
        <v>6.3513513513513517E-2</v>
      </c>
      <c r="AA214" s="21">
        <f t="shared" si="18"/>
        <v>1.0811170212765957</v>
      </c>
      <c r="AB214" s="26">
        <f t="shared" si="27"/>
        <v>1.0671765806067544</v>
      </c>
      <c r="AC214" s="23">
        <f t="shared" si="8"/>
        <v>929.14285714285711</v>
      </c>
      <c r="AD214" s="23">
        <f t="shared" si="25"/>
        <v>11.428571428571429</v>
      </c>
      <c r="AE214" s="23">
        <f t="shared" si="9"/>
        <v>10212.857142857143</v>
      </c>
      <c r="AF214" s="25">
        <f t="shared" si="13"/>
        <v>9.3071428571428583E-2</v>
      </c>
      <c r="AG214" s="25"/>
      <c r="AH214" s="25"/>
      <c r="AI214" s="25"/>
      <c r="AJ214" s="25"/>
      <c r="AK214" s="25"/>
      <c r="AL214" s="25"/>
      <c r="AM214" s="26">
        <f t="shared" si="21"/>
        <v>200.57142857142858</v>
      </c>
    </row>
    <row r="215" spans="1:39" ht="16">
      <c r="A215" s="15">
        <v>44107</v>
      </c>
      <c r="B215" s="16">
        <v>29717</v>
      </c>
      <c r="C215" s="16">
        <v>1086</v>
      </c>
      <c r="D215" s="16">
        <v>812</v>
      </c>
      <c r="E215" s="16">
        <v>6824</v>
      </c>
      <c r="F215" s="16">
        <v>751217</v>
      </c>
      <c r="G215" s="17">
        <f t="shared" si="204"/>
        <v>76654.795918367337</v>
      </c>
      <c r="H215" s="20"/>
      <c r="I215" s="13">
        <v>3.7900000000000003E-2</v>
      </c>
      <c r="J215" s="13">
        <v>3.9600000000000003E-2</v>
      </c>
      <c r="K215" s="22">
        <v>1.4999999999999999E-2</v>
      </c>
      <c r="L215" s="16">
        <v>22081</v>
      </c>
      <c r="M215" s="13">
        <v>2.7300000000000001E-2</v>
      </c>
      <c r="N215" s="13">
        <v>0.2296</v>
      </c>
      <c r="O215" s="16">
        <v>22749</v>
      </c>
      <c r="P215" s="16">
        <v>11174</v>
      </c>
      <c r="Q215" s="13">
        <v>9.7199999999999995E-2</v>
      </c>
      <c r="R215" s="16">
        <v>14</v>
      </c>
      <c r="S215" s="16">
        <v>475</v>
      </c>
      <c r="T215" s="16">
        <v>704</v>
      </c>
      <c r="U215" s="16">
        <v>43</v>
      </c>
      <c r="V215" s="19">
        <f t="shared" si="0"/>
        <v>0.74304270283002993</v>
      </c>
      <c r="W215" s="20">
        <f t="shared" ref="W215:X215" si="228">T215-T214</f>
        <v>-36</v>
      </c>
      <c r="X215" s="20">
        <f t="shared" si="228"/>
        <v>-4</v>
      </c>
      <c r="Y215" s="19">
        <f t="shared" si="96"/>
        <v>3.1882614012046555E-2</v>
      </c>
      <c r="Z215" s="19">
        <f t="shared" si="97"/>
        <v>6.1079545454545456E-2</v>
      </c>
      <c r="AA215" s="21">
        <f t="shared" si="18"/>
        <v>1.0784472957609226</v>
      </c>
      <c r="AB215" s="26">
        <f t="shared" si="27"/>
        <v>1.0486062447565343</v>
      </c>
      <c r="AC215" s="23">
        <f t="shared" si="8"/>
        <v>948.57142857142856</v>
      </c>
      <c r="AD215" s="23">
        <f t="shared" si="25"/>
        <v>11.714285714285714</v>
      </c>
      <c r="AE215" s="23">
        <f t="shared" si="9"/>
        <v>10126</v>
      </c>
      <c r="AF215" s="25">
        <f t="shared" si="13"/>
        <v>9.5442857142857149E-2</v>
      </c>
      <c r="AG215" s="25"/>
      <c r="AH215" s="25"/>
      <c r="AI215" s="25"/>
      <c r="AJ215" s="25"/>
      <c r="AK215" s="25"/>
      <c r="AL215" s="25"/>
      <c r="AM215" s="26">
        <f t="shared" si="21"/>
        <v>246.42857142857142</v>
      </c>
    </row>
    <row r="216" spans="1:39" ht="16">
      <c r="A216" s="15">
        <v>44108</v>
      </c>
      <c r="B216" s="16">
        <v>30575</v>
      </c>
      <c r="C216" s="16">
        <v>858</v>
      </c>
      <c r="D216" s="16">
        <v>822</v>
      </c>
      <c r="E216" s="16">
        <v>7470</v>
      </c>
      <c r="F216" s="16">
        <v>759174</v>
      </c>
      <c r="G216" s="17">
        <f t="shared" si="204"/>
        <v>77466.734693877544</v>
      </c>
      <c r="H216" s="20"/>
      <c r="I216" s="13">
        <v>2.8899999999999999E-2</v>
      </c>
      <c r="J216" s="13">
        <v>4.0300000000000002E-2</v>
      </c>
      <c r="K216" s="22">
        <v>0.01</v>
      </c>
      <c r="L216" s="16">
        <v>22283</v>
      </c>
      <c r="M216" s="13">
        <v>2.69E-2</v>
      </c>
      <c r="N216" s="13">
        <v>0.24429999999999999</v>
      </c>
      <c r="O216" s="16">
        <v>19923</v>
      </c>
      <c r="P216" s="16">
        <v>7957</v>
      </c>
      <c r="Q216" s="13">
        <v>0.10780000000000001</v>
      </c>
      <c r="R216" s="16">
        <v>10</v>
      </c>
      <c r="S216" s="16">
        <v>646</v>
      </c>
      <c r="T216" s="16">
        <v>685</v>
      </c>
      <c r="U216" s="16">
        <v>42</v>
      </c>
      <c r="V216" s="19">
        <f t="shared" si="0"/>
        <v>0.72879803761242845</v>
      </c>
      <c r="W216" s="20">
        <f t="shared" ref="W216:X216" si="229">T216-T215</f>
        <v>-19</v>
      </c>
      <c r="X216" s="20">
        <f t="shared" si="229"/>
        <v>-1</v>
      </c>
      <c r="Y216" s="19">
        <f t="shared" si="96"/>
        <v>3.0740923574025043E-2</v>
      </c>
      <c r="Z216" s="19">
        <f t="shared" si="97"/>
        <v>6.1313868613138686E-2</v>
      </c>
      <c r="AA216" s="21">
        <f t="shared" si="18"/>
        <v>1.0891434262948207</v>
      </c>
      <c r="AB216" s="26">
        <f t="shared" si="27"/>
        <v>1.0527157779066558</v>
      </c>
      <c r="AC216" s="23">
        <f t="shared" si="8"/>
        <v>937.28571428571433</v>
      </c>
      <c r="AD216" s="23">
        <f t="shared" si="25"/>
        <v>12.285714285714286</v>
      </c>
      <c r="AE216" s="23">
        <f t="shared" si="9"/>
        <v>9823.7142857142862</v>
      </c>
      <c r="AF216" s="25">
        <f t="shared" si="13"/>
        <v>9.7557142857142856E-2</v>
      </c>
      <c r="AG216" s="25"/>
      <c r="AH216" s="25"/>
      <c r="AI216" s="25"/>
      <c r="AJ216" s="25"/>
      <c r="AK216" s="25"/>
      <c r="AL216" s="25"/>
      <c r="AM216" s="26">
        <f t="shared" si="21"/>
        <v>332.71428571428572</v>
      </c>
    </row>
    <row r="217" spans="1:39" ht="16">
      <c r="A217" s="15">
        <v>44109</v>
      </c>
      <c r="B217" s="16">
        <v>31480</v>
      </c>
      <c r="C217" s="16">
        <v>905</v>
      </c>
      <c r="D217" s="16">
        <v>833</v>
      </c>
      <c r="E217" s="16">
        <v>8165</v>
      </c>
      <c r="F217" s="16">
        <v>765598</v>
      </c>
      <c r="G217" s="17">
        <f t="shared" si="204"/>
        <v>78122.244897959172</v>
      </c>
      <c r="H217" s="20"/>
      <c r="I217" s="13">
        <v>2.9600000000000001E-2</v>
      </c>
      <c r="J217" s="13">
        <v>4.1099999999999998E-2</v>
      </c>
      <c r="K217" s="22">
        <v>8.0000000000000002E-3</v>
      </c>
      <c r="L217" s="16">
        <v>22482</v>
      </c>
      <c r="M217" s="13">
        <v>2.6499999999999999E-2</v>
      </c>
      <c r="N217" s="13">
        <v>0.25940000000000002</v>
      </c>
      <c r="O217" s="16">
        <v>20199</v>
      </c>
      <c r="P217" s="16">
        <v>6424</v>
      </c>
      <c r="Q217" s="13">
        <v>0.1409</v>
      </c>
      <c r="R217" s="16">
        <v>11</v>
      </c>
      <c r="S217" s="16">
        <v>695</v>
      </c>
      <c r="T217" s="16">
        <v>649</v>
      </c>
      <c r="U217" s="16">
        <v>40</v>
      </c>
      <c r="V217" s="19">
        <f t="shared" si="0"/>
        <v>0.71416772554002539</v>
      </c>
      <c r="W217" s="20">
        <f t="shared" ref="W217:X217" si="230">T217-T216</f>
        <v>-36</v>
      </c>
      <c r="X217" s="20">
        <f t="shared" si="230"/>
        <v>-2</v>
      </c>
      <c r="Y217" s="19">
        <f t="shared" si="96"/>
        <v>2.8867538475224625E-2</v>
      </c>
      <c r="Z217" s="19">
        <f t="shared" si="97"/>
        <v>6.1633281972265024E-2</v>
      </c>
      <c r="AA217" s="21">
        <f t="shared" si="18"/>
        <v>1.1562393162393163</v>
      </c>
      <c r="AB217" s="26">
        <f t="shared" si="27"/>
        <v>1.0716099094281284</v>
      </c>
      <c r="AC217" s="23">
        <f t="shared" si="8"/>
        <v>966.28571428571433</v>
      </c>
      <c r="AD217" s="23">
        <f t="shared" si="25"/>
        <v>12</v>
      </c>
      <c r="AE217" s="23">
        <f t="shared" si="9"/>
        <v>9732.1428571428569</v>
      </c>
      <c r="AF217" s="25">
        <f t="shared" si="13"/>
        <v>0.10348571428571431</v>
      </c>
      <c r="AG217" s="25"/>
      <c r="AH217" s="25"/>
      <c r="AI217" s="25"/>
      <c r="AJ217" s="25"/>
      <c r="AK217" s="25"/>
      <c r="AL217" s="25"/>
      <c r="AM217" s="26">
        <f t="shared" si="21"/>
        <v>430.42857142857144</v>
      </c>
    </row>
    <row r="218" spans="1:39" ht="16">
      <c r="A218" s="15">
        <v>44110</v>
      </c>
      <c r="B218" s="16">
        <v>32298</v>
      </c>
      <c r="C218" s="16">
        <v>818</v>
      </c>
      <c r="D218" s="16">
        <v>853</v>
      </c>
      <c r="E218" s="16">
        <v>8723</v>
      </c>
      <c r="F218" s="16">
        <v>771297</v>
      </c>
      <c r="G218" s="17">
        <f t="shared" si="204"/>
        <v>78703.775510204083</v>
      </c>
      <c r="H218" s="20"/>
      <c r="I218" s="13">
        <v>2.5999999999999999E-2</v>
      </c>
      <c r="J218" s="13">
        <f t="shared" ref="J218:J466" si="231">B218/F218</f>
        <v>4.1874919777984354E-2</v>
      </c>
      <c r="K218" s="22">
        <f t="shared" ref="K218:K466" si="232">(F218-F217)/F217</f>
        <v>7.4438543465369551E-3</v>
      </c>
      <c r="L218" s="16">
        <v>22722</v>
      </c>
      <c r="M218" s="13">
        <v>2.64E-2</v>
      </c>
      <c r="N218" s="13">
        <v>0.27010000000000001</v>
      </c>
      <c r="O218" s="16">
        <v>20088</v>
      </c>
      <c r="P218" s="16">
        <v>5699</v>
      </c>
      <c r="Q218" s="13">
        <v>0.14349999999999999</v>
      </c>
      <c r="R218" s="16">
        <v>20</v>
      </c>
      <c r="S218" s="16">
        <v>558</v>
      </c>
      <c r="T218" s="16">
        <v>627</v>
      </c>
      <c r="U218" s="16">
        <v>37</v>
      </c>
      <c r="V218" s="19">
        <f t="shared" si="0"/>
        <v>0.70351105331599484</v>
      </c>
      <c r="W218" s="20">
        <f t="shared" ref="W218:X218" si="233">T218-T217</f>
        <v>-22</v>
      </c>
      <c r="X218" s="20">
        <f t="shared" si="233"/>
        <v>-3</v>
      </c>
      <c r="Y218" s="19">
        <f t="shared" si="96"/>
        <v>2.7594401901241086E-2</v>
      </c>
      <c r="Z218" s="19">
        <f t="shared" si="97"/>
        <v>5.9011164274322167E-2</v>
      </c>
      <c r="AA218" s="21">
        <f t="shared" si="18"/>
        <v>1.1092617007251153</v>
      </c>
      <c r="AB218" s="26">
        <f t="shared" si="27"/>
        <v>1.0758308234615588</v>
      </c>
      <c r="AC218" s="23">
        <f t="shared" si="8"/>
        <v>961.57142857142856</v>
      </c>
      <c r="AD218" s="23">
        <f t="shared" si="25"/>
        <v>13.714285714285714</v>
      </c>
      <c r="AE218" s="23">
        <f t="shared" si="9"/>
        <v>9541</v>
      </c>
      <c r="AF218" s="25">
        <f t="shared" si="13"/>
        <v>0.10671428571428572</v>
      </c>
      <c r="AG218" s="25"/>
      <c r="AH218" s="25"/>
      <c r="AI218" s="25"/>
      <c r="AJ218" s="25"/>
      <c r="AK218" s="25"/>
      <c r="AL218" s="25"/>
      <c r="AM218" s="26">
        <f t="shared" si="21"/>
        <v>507.14285714285717</v>
      </c>
    </row>
    <row r="219" spans="1:39" ht="16">
      <c r="A219" s="15">
        <v>44111</v>
      </c>
      <c r="B219" s="20">
        <v>33114</v>
      </c>
      <c r="C219" s="20">
        <v>816</v>
      </c>
      <c r="D219" s="20">
        <v>877</v>
      </c>
      <c r="E219" s="20">
        <v>9149</v>
      </c>
      <c r="F219" s="20">
        <v>781023</v>
      </c>
      <c r="G219" s="17">
        <f t="shared" si="204"/>
        <v>79696.224489795917</v>
      </c>
      <c r="H219" s="20"/>
      <c r="I219" s="19">
        <f t="shared" ref="I219:I466" si="234">(B219-B218)/B218</f>
        <v>2.5264722273825004E-2</v>
      </c>
      <c r="J219" s="19">
        <f t="shared" si="231"/>
        <v>4.239823923239136E-2</v>
      </c>
      <c r="K219" s="19">
        <f t="shared" si="232"/>
        <v>1.2609928471133687E-2</v>
      </c>
      <c r="L219" s="20">
        <v>23088</v>
      </c>
      <c r="M219" s="19">
        <f t="shared" ref="M219:M466" si="235">D219/B219</f>
        <v>2.6484266473394937E-2</v>
      </c>
      <c r="N219" s="19">
        <f t="shared" ref="N219:N466" si="236">E219/B219</f>
        <v>0.27628797487467538</v>
      </c>
      <c r="O219" s="20">
        <v>20319</v>
      </c>
      <c r="P219" s="28">
        <f t="shared" ref="P219:P224" si="237">F219-F218</f>
        <v>9726</v>
      </c>
      <c r="Q219" s="29">
        <f t="shared" ref="Q219:Q258" si="238">C219/P219</f>
        <v>8.3898827884022212E-2</v>
      </c>
      <c r="R219" s="20">
        <f t="shared" ref="R219:S219" si="239">D219-D218</f>
        <v>24</v>
      </c>
      <c r="S219" s="20">
        <f t="shared" si="239"/>
        <v>426</v>
      </c>
      <c r="T219" s="20">
        <v>656</v>
      </c>
      <c r="U219" s="20">
        <v>41</v>
      </c>
      <c r="V219" s="19">
        <f t="shared" si="0"/>
        <v>0.69722775865192965</v>
      </c>
      <c r="W219" s="20">
        <f t="shared" ref="W219:X219" si="240">T219-T218</f>
        <v>29</v>
      </c>
      <c r="X219" s="20">
        <f t="shared" si="240"/>
        <v>4</v>
      </c>
      <c r="Y219" s="19">
        <f t="shared" si="96"/>
        <v>2.8413028413028413E-2</v>
      </c>
      <c r="Z219" s="19">
        <f t="shared" si="97"/>
        <v>6.25E-2</v>
      </c>
      <c r="AA219" s="21">
        <f t="shared" si="18"/>
        <v>1.1068041923140908</v>
      </c>
      <c r="AB219" s="26">
        <f t="shared" si="27"/>
        <v>1.0905877304961737</v>
      </c>
      <c r="AC219" s="23">
        <f t="shared" si="8"/>
        <v>950.42857142857144</v>
      </c>
      <c r="AD219" s="23">
        <f t="shared" si="25"/>
        <v>16</v>
      </c>
      <c r="AE219" s="23">
        <f t="shared" si="9"/>
        <v>9335.1428571428569</v>
      </c>
      <c r="AF219" s="25">
        <f t="shared" si="13"/>
        <v>0.10725697541200317</v>
      </c>
      <c r="AG219" s="25"/>
      <c r="AH219" s="25"/>
      <c r="AI219" s="25"/>
      <c r="AJ219" s="25"/>
      <c r="AK219" s="25"/>
      <c r="AL219" s="25"/>
      <c r="AM219" s="26">
        <f t="shared" si="21"/>
        <v>465.57142857142856</v>
      </c>
    </row>
    <row r="220" spans="1:39" ht="16">
      <c r="A220" s="30">
        <v>44112</v>
      </c>
      <c r="B220" s="20">
        <v>34046</v>
      </c>
      <c r="C220" s="20">
        <v>932</v>
      </c>
      <c r="D220" s="20">
        <v>898</v>
      </c>
      <c r="E220" s="20">
        <v>9187</v>
      </c>
      <c r="F220" s="20">
        <v>792485</v>
      </c>
      <c r="G220" s="17">
        <f t="shared" si="204"/>
        <v>80865.816326530607</v>
      </c>
      <c r="H220" s="20"/>
      <c r="I220" s="19">
        <f t="shared" si="234"/>
        <v>2.8145195385637495E-2</v>
      </c>
      <c r="J220" s="19">
        <f t="shared" si="231"/>
        <v>4.2961065509126359E-2</v>
      </c>
      <c r="K220" s="19">
        <f t="shared" si="232"/>
        <v>1.4675624149352836E-2</v>
      </c>
      <c r="L220" s="20">
        <v>23961</v>
      </c>
      <c r="M220" s="19">
        <f t="shared" si="235"/>
        <v>2.6376079421958527E-2</v>
      </c>
      <c r="N220" s="19">
        <f t="shared" si="236"/>
        <v>0.26984080361863361</v>
      </c>
      <c r="O220" s="20">
        <v>20217</v>
      </c>
      <c r="P220" s="28">
        <f t="shared" si="237"/>
        <v>11462</v>
      </c>
      <c r="Q220" s="29">
        <f t="shared" si="238"/>
        <v>8.1312161926365381E-2</v>
      </c>
      <c r="R220" s="20">
        <f t="shared" ref="R220:S220" si="241">D220-D219</f>
        <v>21</v>
      </c>
      <c r="S220" s="20">
        <f t="shared" si="241"/>
        <v>38</v>
      </c>
      <c r="T220" s="20">
        <v>804</v>
      </c>
      <c r="U220" s="20">
        <v>56</v>
      </c>
      <c r="V220" s="19">
        <f t="shared" si="0"/>
        <v>0.70378311695940787</v>
      </c>
      <c r="W220" s="20">
        <f t="shared" ref="W220:X220" si="242">T220-T219</f>
        <v>148</v>
      </c>
      <c r="X220" s="20">
        <f t="shared" si="242"/>
        <v>15</v>
      </c>
      <c r="Y220" s="19">
        <f t="shared" si="96"/>
        <v>3.3554526104920497E-2</v>
      </c>
      <c r="Z220" s="19">
        <f t="shared" si="97"/>
        <v>6.965174129353234E-2</v>
      </c>
      <c r="AA220" s="21">
        <f t="shared" si="18"/>
        <v>1.1027991487968571</v>
      </c>
      <c r="AB220" s="26">
        <f t="shared" si="27"/>
        <v>1.1034017287725313</v>
      </c>
      <c r="AC220" s="23">
        <f t="shared" si="8"/>
        <v>962.42857142857144</v>
      </c>
      <c r="AD220" s="23">
        <f t="shared" si="25"/>
        <v>16.714285714285715</v>
      </c>
      <c r="AE220" s="23">
        <f t="shared" si="9"/>
        <v>9262.2857142857138</v>
      </c>
      <c r="AF220" s="25">
        <f t="shared" si="13"/>
        <v>0.10875871283005537</v>
      </c>
      <c r="AG220" s="25"/>
      <c r="AH220" s="25"/>
      <c r="AI220" s="25"/>
      <c r="AJ220" s="25"/>
      <c r="AK220" s="25"/>
      <c r="AL220" s="25"/>
      <c r="AM220" s="26">
        <f t="shared" si="21"/>
        <v>438.42857142857144</v>
      </c>
    </row>
    <row r="221" spans="1:39" ht="16">
      <c r="A221" s="30">
        <v>44113</v>
      </c>
      <c r="B221" s="20">
        <v>35222</v>
      </c>
      <c r="C221" s="20">
        <v>1176</v>
      </c>
      <c r="D221" s="20">
        <v>913</v>
      </c>
      <c r="E221" s="20">
        <v>9202</v>
      </c>
      <c r="F221" s="20">
        <v>803648</v>
      </c>
      <c r="G221" s="17">
        <f t="shared" si="204"/>
        <v>82004.897959183669</v>
      </c>
      <c r="H221" s="20"/>
      <c r="I221" s="19">
        <f t="shared" si="234"/>
        <v>3.4541502672854371E-2</v>
      </c>
      <c r="J221" s="19">
        <f t="shared" si="231"/>
        <v>4.3827645934538507E-2</v>
      </c>
      <c r="K221" s="19">
        <f t="shared" si="232"/>
        <v>1.4086071029735579E-2</v>
      </c>
      <c r="L221" s="20">
        <v>25107</v>
      </c>
      <c r="M221" s="19">
        <f t="shared" si="235"/>
        <v>2.5921299188007497E-2</v>
      </c>
      <c r="N221" s="19">
        <f t="shared" si="236"/>
        <v>0.26125716881494521</v>
      </c>
      <c r="O221" s="20">
        <v>22385</v>
      </c>
      <c r="P221" s="28">
        <f t="shared" si="237"/>
        <v>11163</v>
      </c>
      <c r="Q221" s="29">
        <f t="shared" si="238"/>
        <v>0.10534802472453642</v>
      </c>
      <c r="R221" s="20">
        <f t="shared" ref="R221:S221" si="243">D221-D220</f>
        <v>15</v>
      </c>
      <c r="S221" s="20">
        <f t="shared" si="243"/>
        <v>15</v>
      </c>
      <c r="T221" s="20">
        <v>993</v>
      </c>
      <c r="U221" s="20">
        <v>82</v>
      </c>
      <c r="V221" s="19">
        <f t="shared" si="0"/>
        <v>0.71282153199704734</v>
      </c>
      <c r="W221" s="20">
        <f t="shared" ref="W221:X221" si="244">T221-T220</f>
        <v>189</v>
      </c>
      <c r="X221" s="20">
        <f t="shared" si="244"/>
        <v>26</v>
      </c>
      <c r="Y221" s="19">
        <f t="shared" si="96"/>
        <v>3.9550722905962482E-2</v>
      </c>
      <c r="Z221" s="19">
        <f t="shared" si="97"/>
        <v>8.2578046324269891E-2</v>
      </c>
      <c r="AA221" s="21">
        <f t="shared" si="18"/>
        <v>1.0133763837638377</v>
      </c>
      <c r="AB221" s="26">
        <f t="shared" si="27"/>
        <v>1.0937244948421372</v>
      </c>
      <c r="AC221" s="23">
        <f t="shared" si="8"/>
        <v>941.57142857142856</v>
      </c>
      <c r="AD221" s="23">
        <f t="shared" si="25"/>
        <v>16.428571428571427</v>
      </c>
      <c r="AE221" s="23">
        <f t="shared" si="9"/>
        <v>9086.4285714285706</v>
      </c>
      <c r="AF221" s="25">
        <f t="shared" si="13"/>
        <v>0.10856557350498915</v>
      </c>
      <c r="AG221" s="25"/>
      <c r="AH221" s="25"/>
      <c r="AI221" s="25"/>
      <c r="AJ221" s="25"/>
      <c r="AK221" s="25"/>
      <c r="AL221" s="25"/>
      <c r="AM221" s="26">
        <f t="shared" si="21"/>
        <v>407.57142857142856</v>
      </c>
    </row>
    <row r="222" spans="1:39" ht="16">
      <c r="A222" s="30">
        <v>44114</v>
      </c>
      <c r="B222" s="20">
        <v>36596</v>
      </c>
      <c r="C222" s="20">
        <v>1374</v>
      </c>
      <c r="D222" s="20">
        <v>933</v>
      </c>
      <c r="E222" s="20">
        <v>9683</v>
      </c>
      <c r="F222" s="20">
        <v>815367</v>
      </c>
      <c r="G222" s="17">
        <f t="shared" si="204"/>
        <v>83200.714285714275</v>
      </c>
      <c r="H222" s="20"/>
      <c r="I222" s="19">
        <f t="shared" si="234"/>
        <v>3.900970984044063E-2</v>
      </c>
      <c r="J222" s="19">
        <f t="shared" si="231"/>
        <v>4.4882856431521019E-2</v>
      </c>
      <c r="K222" s="19">
        <f t="shared" si="232"/>
        <v>1.4582254917575855E-2</v>
      </c>
      <c r="L222" s="20">
        <v>25980</v>
      </c>
      <c r="M222" s="19">
        <f t="shared" si="235"/>
        <v>2.5494589572630889E-2</v>
      </c>
      <c r="N222" s="19">
        <f t="shared" si="236"/>
        <v>0.26459175866214885</v>
      </c>
      <c r="O222" s="20">
        <v>22780</v>
      </c>
      <c r="P222" s="28">
        <f t="shared" si="237"/>
        <v>11719</v>
      </c>
      <c r="Q222" s="29">
        <f t="shared" si="238"/>
        <v>0.11724549876269307</v>
      </c>
      <c r="R222" s="20">
        <f t="shared" ref="R222:S222" si="245">D222-D221</f>
        <v>20</v>
      </c>
      <c r="S222" s="20">
        <f t="shared" si="245"/>
        <v>481</v>
      </c>
      <c r="T222" s="20">
        <v>1174</v>
      </c>
      <c r="U222" s="20">
        <v>110</v>
      </c>
      <c r="V222" s="19">
        <f t="shared" si="0"/>
        <v>0.70991365176522025</v>
      </c>
      <c r="W222" s="20">
        <f t="shared" ref="W222:X222" si="246">T222-T221</f>
        <v>181</v>
      </c>
      <c r="X222" s="20">
        <f t="shared" si="246"/>
        <v>28</v>
      </c>
      <c r="Y222" s="19">
        <f t="shared" si="96"/>
        <v>4.5188606620477287E-2</v>
      </c>
      <c r="Z222" s="19">
        <f t="shared" si="97"/>
        <v>9.3696763202725727E-2</v>
      </c>
      <c r="AA222" s="21">
        <f t="shared" si="18"/>
        <v>1.0359939759036145</v>
      </c>
      <c r="AB222" s="26">
        <f t="shared" si="27"/>
        <v>1.0876597348625219</v>
      </c>
      <c r="AC222" s="23">
        <f t="shared" si="8"/>
        <v>982.71428571428567</v>
      </c>
      <c r="AD222" s="23">
        <f t="shared" si="25"/>
        <v>17.285714285714285</v>
      </c>
      <c r="AE222" s="23">
        <f t="shared" si="9"/>
        <v>9164.2857142857138</v>
      </c>
      <c r="AF222" s="25">
        <f t="shared" si="13"/>
        <v>0.11142921618537387</v>
      </c>
      <c r="AG222" s="25"/>
      <c r="AH222" s="25"/>
      <c r="AI222" s="25"/>
      <c r="AJ222" s="25"/>
      <c r="AK222" s="25"/>
      <c r="AL222" s="25"/>
      <c r="AM222" s="26">
        <f t="shared" si="21"/>
        <v>408.42857142857144</v>
      </c>
    </row>
    <row r="223" spans="1:39" ht="16">
      <c r="A223" s="30">
        <v>44115</v>
      </c>
      <c r="B223" s="20">
        <v>37664</v>
      </c>
      <c r="C223" s="20">
        <v>1068</v>
      </c>
      <c r="D223" s="20">
        <v>954</v>
      </c>
      <c r="E223" s="20">
        <v>10848</v>
      </c>
      <c r="F223" s="20">
        <v>825570</v>
      </c>
      <c r="G223" s="17">
        <f t="shared" si="204"/>
        <v>84241.836734693876</v>
      </c>
      <c r="H223" s="20"/>
      <c r="I223" s="19">
        <f t="shared" si="234"/>
        <v>2.9183517324297737E-2</v>
      </c>
      <c r="J223" s="19">
        <f t="shared" si="231"/>
        <v>4.562181280812045E-2</v>
      </c>
      <c r="K223" s="19">
        <f t="shared" si="232"/>
        <v>1.2513383543852032E-2</v>
      </c>
      <c r="L223" s="20">
        <v>25862</v>
      </c>
      <c r="M223" s="19">
        <f t="shared" si="235"/>
        <v>2.5329226847918437E-2</v>
      </c>
      <c r="N223" s="19">
        <f t="shared" si="236"/>
        <v>0.28802039082412917</v>
      </c>
      <c r="O223" s="16">
        <v>22215</v>
      </c>
      <c r="P223" s="28">
        <f t="shared" si="237"/>
        <v>10203</v>
      </c>
      <c r="Q223" s="29">
        <f t="shared" si="238"/>
        <v>0.10467509556012937</v>
      </c>
      <c r="R223" s="20">
        <f t="shared" ref="R223:S223" si="247">D223-D222</f>
        <v>21</v>
      </c>
      <c r="S223" s="20">
        <f t="shared" si="247"/>
        <v>1165</v>
      </c>
      <c r="T223" s="20">
        <v>1252</v>
      </c>
      <c r="U223" s="20">
        <v>138</v>
      </c>
      <c r="V223" s="19">
        <f t="shared" si="0"/>
        <v>0.68665038232795239</v>
      </c>
      <c r="W223" s="20">
        <f t="shared" ref="W223:X223" si="248">T223-T222</f>
        <v>78</v>
      </c>
      <c r="X223" s="20">
        <f t="shared" si="248"/>
        <v>28</v>
      </c>
      <c r="Y223" s="19">
        <f t="shared" si="96"/>
        <v>4.8410795762122032E-2</v>
      </c>
      <c r="Z223" s="19">
        <f t="shared" si="97"/>
        <v>0.11022364217252396</v>
      </c>
      <c r="AA223" s="21">
        <f t="shared" si="18"/>
        <v>1.0804755372656607</v>
      </c>
      <c r="AB223" s="26">
        <f t="shared" si="27"/>
        <v>1.0864214650012129</v>
      </c>
      <c r="AC223" s="23">
        <f t="shared" si="8"/>
        <v>1012.7142857142857</v>
      </c>
      <c r="AD223" s="23">
        <f t="shared" si="25"/>
        <v>18.857142857142858</v>
      </c>
      <c r="AE223" s="23">
        <f t="shared" si="9"/>
        <v>9485.1428571428569</v>
      </c>
      <c r="AF223" s="25">
        <f t="shared" si="13"/>
        <v>0.11098280126539233</v>
      </c>
      <c r="AG223" s="25"/>
      <c r="AH223" s="25"/>
      <c r="AI223" s="25"/>
      <c r="AJ223" s="25"/>
      <c r="AK223" s="25"/>
      <c r="AL223" s="25"/>
      <c r="AM223" s="26">
        <f t="shared" si="21"/>
        <v>482.57142857142856</v>
      </c>
    </row>
    <row r="224" spans="1:39" ht="16">
      <c r="A224" s="30">
        <v>44116</v>
      </c>
      <c r="B224" s="20">
        <v>38837</v>
      </c>
      <c r="C224" s="20">
        <v>1173</v>
      </c>
      <c r="D224" s="20">
        <v>968</v>
      </c>
      <c r="E224" s="20">
        <v>11037</v>
      </c>
      <c r="F224" s="20">
        <v>834097</v>
      </c>
      <c r="G224" s="17">
        <f t="shared" si="204"/>
        <v>85111.938775510192</v>
      </c>
      <c r="H224" s="20"/>
      <c r="I224" s="19">
        <f t="shared" si="234"/>
        <v>3.1143797790994052E-2</v>
      </c>
      <c r="J224" s="19">
        <f t="shared" si="231"/>
        <v>4.6561730829867511E-2</v>
      </c>
      <c r="K224" s="19">
        <f t="shared" si="232"/>
        <v>1.032862143730998E-2</v>
      </c>
      <c r="L224" s="20">
        <v>26832</v>
      </c>
      <c r="M224" s="19">
        <f t="shared" si="235"/>
        <v>2.4924685222854494E-2</v>
      </c>
      <c r="N224" s="19">
        <f t="shared" si="236"/>
        <v>0.2841877590957077</v>
      </c>
      <c r="O224" s="20">
        <v>21491</v>
      </c>
      <c r="P224" s="28">
        <f t="shared" si="237"/>
        <v>8527</v>
      </c>
      <c r="Q224" s="29">
        <f t="shared" si="238"/>
        <v>0.13756303506508738</v>
      </c>
      <c r="R224" s="20">
        <f t="shared" ref="R224:S224" si="249">D224-D223</f>
        <v>14</v>
      </c>
      <c r="S224" s="20">
        <f t="shared" si="249"/>
        <v>189</v>
      </c>
      <c r="T224" s="20">
        <v>1418</v>
      </c>
      <c r="U224" s="20">
        <v>154</v>
      </c>
      <c r="V224" s="19">
        <f t="shared" si="0"/>
        <v>0.69088755568143778</v>
      </c>
      <c r="W224" s="20">
        <f t="shared" ref="W224:X224" si="250">T224-T223</f>
        <v>166</v>
      </c>
      <c r="X224" s="20">
        <f t="shared" si="250"/>
        <v>16</v>
      </c>
      <c r="Y224" s="19">
        <f t="shared" si="96"/>
        <v>5.2847346451997616E-2</v>
      </c>
      <c r="Z224" s="19">
        <f t="shared" si="97"/>
        <v>0.10860366713681241</v>
      </c>
      <c r="AA224" s="21">
        <f t="shared" si="18"/>
        <v>1.0876700177409817</v>
      </c>
      <c r="AB224" s="26">
        <f t="shared" si="27"/>
        <v>1.0766258509300226</v>
      </c>
      <c r="AC224" s="23">
        <f t="shared" si="8"/>
        <v>1051</v>
      </c>
      <c r="AD224" s="23">
        <f t="shared" si="25"/>
        <v>19.285714285714285</v>
      </c>
      <c r="AE224" s="23">
        <f t="shared" si="9"/>
        <v>9785.5714285714294</v>
      </c>
      <c r="AF224" s="25">
        <f t="shared" si="13"/>
        <v>0.11050609198897625</v>
      </c>
      <c r="AG224" s="25"/>
      <c r="AH224" s="25"/>
      <c r="AI224" s="25"/>
      <c r="AJ224" s="25"/>
      <c r="AK224" s="25"/>
      <c r="AL224" s="25"/>
      <c r="AM224" s="26">
        <f t="shared" si="21"/>
        <v>410.28571428571428</v>
      </c>
    </row>
    <row r="225" spans="1:39" ht="16">
      <c r="A225" s="30">
        <v>44117</v>
      </c>
      <c r="B225" s="20">
        <v>39862</v>
      </c>
      <c r="C225" s="20">
        <v>1025</v>
      </c>
      <c r="D225" s="20">
        <v>996</v>
      </c>
      <c r="E225" s="20">
        <v>11753</v>
      </c>
      <c r="F225" s="20">
        <v>841220</v>
      </c>
      <c r="G225" s="17">
        <f t="shared" si="204"/>
        <v>85838.775510204068</v>
      </c>
      <c r="H225" s="20"/>
      <c r="I225" s="19">
        <f t="shared" si="234"/>
        <v>2.6392357803125883E-2</v>
      </c>
      <c r="J225" s="19">
        <f t="shared" si="231"/>
        <v>4.7385939468866649E-2</v>
      </c>
      <c r="K225" s="19">
        <f t="shared" si="232"/>
        <v>8.5397741509680523E-3</v>
      </c>
      <c r="L225" s="20">
        <v>27113</v>
      </c>
      <c r="M225" s="19">
        <f t="shared" si="235"/>
        <v>2.4986202398274045E-2</v>
      </c>
      <c r="N225" s="19">
        <f t="shared" si="236"/>
        <v>0.29484220560935226</v>
      </c>
      <c r="O225" s="20">
        <v>21990</v>
      </c>
      <c r="P225" s="28">
        <v>7123</v>
      </c>
      <c r="Q225" s="29">
        <f t="shared" si="238"/>
        <v>0.14390004211708549</v>
      </c>
      <c r="R225" s="20">
        <f t="shared" ref="R225:S225" si="251">D225-D224</f>
        <v>28</v>
      </c>
      <c r="S225" s="20">
        <f t="shared" si="251"/>
        <v>716</v>
      </c>
      <c r="T225" s="20">
        <v>1519</v>
      </c>
      <c r="U225" s="20">
        <v>160</v>
      </c>
      <c r="V225" s="19">
        <f t="shared" si="0"/>
        <v>0.68017159199237365</v>
      </c>
      <c r="W225" s="20">
        <f t="shared" ref="W225:X225" si="252">T225-T224</f>
        <v>101</v>
      </c>
      <c r="X225" s="20">
        <f t="shared" si="252"/>
        <v>6</v>
      </c>
      <c r="Y225" s="19">
        <f t="shared" si="96"/>
        <v>5.6024785158411097E-2</v>
      </c>
      <c r="Z225" s="19">
        <f t="shared" si="97"/>
        <v>0.10533245556287031</v>
      </c>
      <c r="AA225" s="21">
        <f t="shared" si="18"/>
        <v>1.1237557569454761</v>
      </c>
      <c r="AB225" s="26">
        <f t="shared" si="27"/>
        <v>1.0786964303900741</v>
      </c>
      <c r="AC225" s="23">
        <f t="shared" si="8"/>
        <v>1080.5714285714287</v>
      </c>
      <c r="AD225" s="23">
        <f t="shared" si="25"/>
        <v>20.428571428571427</v>
      </c>
      <c r="AE225" s="23">
        <f t="shared" si="9"/>
        <v>9989</v>
      </c>
      <c r="AF225" s="25">
        <f t="shared" si="13"/>
        <v>0.11056324086284564</v>
      </c>
      <c r="AG225" s="25"/>
      <c r="AH225" s="25"/>
      <c r="AI225" s="25"/>
      <c r="AJ225" s="25"/>
      <c r="AK225" s="25"/>
      <c r="AL225" s="25"/>
      <c r="AM225" s="26">
        <f t="shared" si="21"/>
        <v>432.85714285714283</v>
      </c>
    </row>
    <row r="226" spans="1:39" ht="16">
      <c r="A226" s="30">
        <v>44118</v>
      </c>
      <c r="B226" s="20">
        <v>40782</v>
      </c>
      <c r="C226" s="20">
        <v>920</v>
      </c>
      <c r="D226" s="20">
        <v>1023</v>
      </c>
      <c r="E226" s="20">
        <v>12164</v>
      </c>
      <c r="F226" s="20">
        <v>850878</v>
      </c>
      <c r="G226" s="17">
        <f t="shared" si="204"/>
        <v>86824.28571428571</v>
      </c>
      <c r="H226" s="20"/>
      <c r="I226" s="19">
        <f t="shared" si="234"/>
        <v>2.3079624705233052E-2</v>
      </c>
      <c r="J226" s="19">
        <f t="shared" si="231"/>
        <v>4.7929315366010167E-2</v>
      </c>
      <c r="K226" s="19">
        <f t="shared" si="232"/>
        <v>1.1480944342740306E-2</v>
      </c>
      <c r="L226" s="20">
        <v>27595</v>
      </c>
      <c r="M226" s="19">
        <f t="shared" si="235"/>
        <v>2.5084596145358247E-2</v>
      </c>
      <c r="N226" s="19">
        <f t="shared" si="236"/>
        <v>0.29826884409788634</v>
      </c>
      <c r="O226" s="20">
        <v>23815</v>
      </c>
      <c r="P226" s="28">
        <f t="shared" ref="P226:P274" si="253">F226-F225</f>
        <v>9658</v>
      </c>
      <c r="Q226" s="29">
        <f t="shared" si="238"/>
        <v>9.525781735348933E-2</v>
      </c>
      <c r="R226" s="20">
        <f t="shared" ref="R226:S226" si="254">D226-D225</f>
        <v>27</v>
      </c>
      <c r="S226" s="20">
        <f t="shared" si="254"/>
        <v>411</v>
      </c>
      <c r="T226" s="20">
        <v>1538</v>
      </c>
      <c r="U226" s="20">
        <v>156</v>
      </c>
      <c r="V226" s="19">
        <f t="shared" si="0"/>
        <v>0.67664655975675547</v>
      </c>
      <c r="W226" s="20">
        <f t="shared" ref="W226:X226" si="255">T226-T225</f>
        <v>19</v>
      </c>
      <c r="X226" s="20">
        <f t="shared" si="255"/>
        <v>-4</v>
      </c>
      <c r="Y226" s="19">
        <f t="shared" si="96"/>
        <v>5.5734734553361115E-2</v>
      </c>
      <c r="Z226" s="19">
        <f t="shared" si="97"/>
        <v>0.10143042912873862</v>
      </c>
      <c r="AA226" s="21">
        <f t="shared" si="18"/>
        <v>1.1525627536449723</v>
      </c>
      <c r="AB226" s="26">
        <f t="shared" si="27"/>
        <v>1.0852333677230572</v>
      </c>
      <c r="AC226" s="23">
        <f t="shared" si="8"/>
        <v>1095.4285714285713</v>
      </c>
      <c r="AD226" s="23">
        <f t="shared" si="25"/>
        <v>20.857142857142858</v>
      </c>
      <c r="AE226" s="23">
        <f t="shared" si="9"/>
        <v>9979.2857142857138</v>
      </c>
      <c r="AF226" s="25">
        <f t="shared" si="13"/>
        <v>0.11218595364419807</v>
      </c>
      <c r="AG226" s="25"/>
      <c r="AH226" s="25"/>
      <c r="AI226" s="25"/>
      <c r="AJ226" s="25"/>
      <c r="AK226" s="25"/>
      <c r="AL226" s="25"/>
      <c r="AM226" s="26">
        <f t="shared" si="21"/>
        <v>430.71428571428572</v>
      </c>
    </row>
    <row r="227" spans="1:39" ht="16">
      <c r="A227" s="30">
        <v>44119</v>
      </c>
      <c r="B227" s="20">
        <v>41732</v>
      </c>
      <c r="C227" s="20">
        <v>950</v>
      </c>
      <c r="D227" s="20">
        <v>1052</v>
      </c>
      <c r="E227" s="20">
        <v>12628</v>
      </c>
      <c r="F227" s="20">
        <v>861620</v>
      </c>
      <c r="G227" s="17">
        <f t="shared" si="204"/>
        <v>87920.408163265296</v>
      </c>
      <c r="H227" s="20"/>
      <c r="I227" s="19">
        <f t="shared" si="234"/>
        <v>2.329459075082144E-2</v>
      </c>
      <c r="J227" s="19">
        <f t="shared" si="231"/>
        <v>4.8434344606671155E-2</v>
      </c>
      <c r="K227" s="19">
        <f t="shared" si="232"/>
        <v>1.2624606582847364E-2</v>
      </c>
      <c r="L227" s="20">
        <v>28052</v>
      </c>
      <c r="M227" s="19">
        <f t="shared" si="235"/>
        <v>2.5208473114157002E-2</v>
      </c>
      <c r="N227" s="19">
        <f t="shared" si="236"/>
        <v>0.30259752707754239</v>
      </c>
      <c r="O227" s="20">
        <v>24710</v>
      </c>
      <c r="P227" s="28">
        <f t="shared" si="253"/>
        <v>10742</v>
      </c>
      <c r="Q227" s="29">
        <f t="shared" si="238"/>
        <v>8.843790727983615E-2</v>
      </c>
      <c r="R227" s="20">
        <f t="shared" ref="R227:S227" si="256">D227-D226</f>
        <v>29</v>
      </c>
      <c r="S227" s="20">
        <f t="shared" si="256"/>
        <v>464</v>
      </c>
      <c r="T227" s="20">
        <v>1555</v>
      </c>
      <c r="U227" s="20">
        <v>167</v>
      </c>
      <c r="V227" s="19">
        <f t="shared" si="0"/>
        <v>0.67219399980830064</v>
      </c>
      <c r="W227" s="20">
        <f t="shared" ref="W227:X227" si="257">T227-T226</f>
        <v>17</v>
      </c>
      <c r="X227" s="20">
        <f t="shared" si="257"/>
        <v>11</v>
      </c>
      <c r="Y227" s="19">
        <f t="shared" si="96"/>
        <v>5.543276771709682E-2</v>
      </c>
      <c r="Z227" s="19">
        <f t="shared" si="97"/>
        <v>0.10739549839228296</v>
      </c>
      <c r="AA227" s="21">
        <f t="shared" si="18"/>
        <v>1.1408638860026719</v>
      </c>
      <c r="AB227" s="26">
        <f t="shared" si="27"/>
        <v>1.0906711873238879</v>
      </c>
      <c r="AC227" s="23">
        <f t="shared" si="8"/>
        <v>1098</v>
      </c>
      <c r="AD227" s="23">
        <f t="shared" si="25"/>
        <v>22</v>
      </c>
      <c r="AE227" s="23">
        <f t="shared" si="9"/>
        <v>9876.4285714285706</v>
      </c>
      <c r="AF227" s="25">
        <f t="shared" si="13"/>
        <v>0.11320391726612246</v>
      </c>
      <c r="AG227" s="25"/>
      <c r="AH227" s="25"/>
      <c r="AI227" s="25"/>
      <c r="AJ227" s="25"/>
      <c r="AK227" s="25"/>
      <c r="AL227" s="25"/>
      <c r="AM227" s="26">
        <f t="shared" si="21"/>
        <v>491.57142857142856</v>
      </c>
    </row>
    <row r="228" spans="1:39" ht="16">
      <c r="A228" s="30">
        <v>44120</v>
      </c>
      <c r="B228" s="20">
        <v>43025</v>
      </c>
      <c r="C228" s="20">
        <v>1293</v>
      </c>
      <c r="D228" s="20">
        <v>1085</v>
      </c>
      <c r="E228" s="20">
        <v>13134</v>
      </c>
      <c r="F228" s="20">
        <v>871417</v>
      </c>
      <c r="G228" s="17">
        <f t="shared" si="204"/>
        <v>88920.102040816317</v>
      </c>
      <c r="H228" s="20"/>
      <c r="I228" s="19">
        <f t="shared" si="234"/>
        <v>3.0983418000575098E-2</v>
      </c>
      <c r="J228" s="19">
        <f t="shared" si="231"/>
        <v>4.9373606436413336E-2</v>
      </c>
      <c r="K228" s="19">
        <f t="shared" si="232"/>
        <v>1.1370441726050928E-2</v>
      </c>
      <c r="L228" s="20">
        <v>28806</v>
      </c>
      <c r="M228" s="19">
        <f t="shared" si="235"/>
        <v>2.5217896571760604E-2</v>
      </c>
      <c r="N228" s="19">
        <f t="shared" si="236"/>
        <v>0.30526438117373622</v>
      </c>
      <c r="O228" s="20">
        <v>22656</v>
      </c>
      <c r="P228" s="28">
        <f t="shared" si="253"/>
        <v>9797</v>
      </c>
      <c r="Q228" s="29">
        <f t="shared" si="238"/>
        <v>0.13197917729917322</v>
      </c>
      <c r="R228" s="20">
        <f t="shared" ref="R228:S228" si="258">D228-D227</f>
        <v>33</v>
      </c>
      <c r="S228" s="20">
        <f t="shared" si="258"/>
        <v>506</v>
      </c>
      <c r="T228" s="20">
        <v>1642</v>
      </c>
      <c r="U228" s="20">
        <v>171</v>
      </c>
      <c r="V228" s="19">
        <f t="shared" si="0"/>
        <v>0.66951772225450323</v>
      </c>
      <c r="W228" s="20">
        <f t="shared" ref="W228:X228" si="259">T228-T227</f>
        <v>87</v>
      </c>
      <c r="X228" s="20">
        <f t="shared" si="259"/>
        <v>4</v>
      </c>
      <c r="Y228" s="19">
        <f t="shared" si="96"/>
        <v>5.7002013469416093E-2</v>
      </c>
      <c r="Z228" s="19">
        <f t="shared" si="97"/>
        <v>0.10414129110840438</v>
      </c>
      <c r="AA228" s="21">
        <f t="shared" si="18"/>
        <v>1.1838871187983615</v>
      </c>
      <c r="AB228" s="26">
        <f t="shared" si="27"/>
        <v>1.1150298637573912</v>
      </c>
      <c r="AC228" s="23">
        <f t="shared" si="8"/>
        <v>1114.7142857142858</v>
      </c>
      <c r="AD228" s="23">
        <f t="shared" si="25"/>
        <v>24.571428571428573</v>
      </c>
      <c r="AE228" s="23">
        <f t="shared" si="9"/>
        <v>9681.2857142857138</v>
      </c>
      <c r="AF228" s="25">
        <f t="shared" si="13"/>
        <v>0.11700836763392772</v>
      </c>
      <c r="AG228" s="25"/>
      <c r="AH228" s="25"/>
      <c r="AI228" s="25"/>
      <c r="AJ228" s="25"/>
      <c r="AK228" s="25"/>
      <c r="AL228" s="25"/>
      <c r="AM228" s="26">
        <f t="shared" si="21"/>
        <v>561.71428571428567</v>
      </c>
    </row>
    <row r="229" spans="1:39" ht="16">
      <c r="A229" s="30">
        <v>44121</v>
      </c>
      <c r="B229" s="20">
        <v>44816</v>
      </c>
      <c r="C229" s="20">
        <v>1791</v>
      </c>
      <c r="D229" s="20">
        <v>1109</v>
      </c>
      <c r="E229" s="20">
        <v>13580</v>
      </c>
      <c r="F229" s="20">
        <v>884388</v>
      </c>
      <c r="G229" s="17">
        <f t="shared" si="204"/>
        <v>90243.673469387752</v>
      </c>
      <c r="H229" s="20"/>
      <c r="I229" s="19">
        <f t="shared" si="234"/>
        <v>4.1626961069145846E-2</v>
      </c>
      <c r="J229" s="19">
        <f t="shared" si="231"/>
        <v>5.067459079046753E-2</v>
      </c>
      <c r="K229" s="19">
        <f t="shared" si="232"/>
        <v>1.4884951750998661E-2</v>
      </c>
      <c r="L229" s="20">
        <v>30127</v>
      </c>
      <c r="M229" s="19">
        <f t="shared" si="235"/>
        <v>2.4745626561942163E-2</v>
      </c>
      <c r="N229" s="19">
        <f t="shared" si="236"/>
        <v>0.30301677972152802</v>
      </c>
      <c r="O229" s="20">
        <v>25647</v>
      </c>
      <c r="P229" s="28">
        <f t="shared" si="253"/>
        <v>12971</v>
      </c>
      <c r="Q229" s="29">
        <f t="shared" si="238"/>
        <v>0.13807724924832318</v>
      </c>
      <c r="R229" s="20">
        <v>24</v>
      </c>
      <c r="S229" s="20">
        <f t="shared" ref="S229:S230" si="260">E229-E228</f>
        <v>446</v>
      </c>
      <c r="T229" s="20">
        <v>1693</v>
      </c>
      <c r="U229" s="20">
        <v>185</v>
      </c>
      <c r="V229" s="19">
        <f t="shared" si="0"/>
        <v>0.6722375937165298</v>
      </c>
      <c r="W229" s="20">
        <f t="shared" ref="W229:X229" si="261">T229-T228</f>
        <v>51</v>
      </c>
      <c r="X229" s="20">
        <f t="shared" si="261"/>
        <v>14</v>
      </c>
      <c r="Y229" s="19">
        <f t="shared" si="96"/>
        <v>5.6195439306933978E-2</v>
      </c>
      <c r="Z229" s="19">
        <f t="shared" si="97"/>
        <v>0.10927347903130538</v>
      </c>
      <c r="AA229" s="21">
        <f t="shared" si="18"/>
        <v>1.1949411251635411</v>
      </c>
      <c r="AB229" s="26">
        <f t="shared" si="27"/>
        <v>1.1377365993659521</v>
      </c>
      <c r="AC229" s="23">
        <f t="shared" si="8"/>
        <v>1174.2857142857142</v>
      </c>
      <c r="AD229" s="23">
        <f t="shared" si="25"/>
        <v>25.142857142857142</v>
      </c>
      <c r="AE229" s="23">
        <f t="shared" si="9"/>
        <v>9860.1428571428569</v>
      </c>
      <c r="AF229" s="25">
        <f t="shared" si="13"/>
        <v>0.11998433198901773</v>
      </c>
      <c r="AG229" s="25"/>
      <c r="AH229" s="25"/>
      <c r="AI229" s="25"/>
      <c r="AJ229" s="25"/>
      <c r="AK229" s="25"/>
      <c r="AL229" s="25"/>
      <c r="AM229" s="26">
        <f t="shared" si="21"/>
        <v>556.71428571428567</v>
      </c>
    </row>
    <row r="230" spans="1:39" ht="16">
      <c r="A230" s="30">
        <v>44122</v>
      </c>
      <c r="B230" s="20">
        <v>46290</v>
      </c>
      <c r="C230" s="20">
        <v>1474</v>
      </c>
      <c r="D230" s="20">
        <v>1142</v>
      </c>
      <c r="E230" s="20">
        <v>14088</v>
      </c>
      <c r="F230" s="20">
        <v>894385</v>
      </c>
      <c r="G230" s="17">
        <f t="shared" si="204"/>
        <v>91263.775510204068</v>
      </c>
      <c r="H230" s="20"/>
      <c r="I230" s="19">
        <f t="shared" si="234"/>
        <v>3.2890039271688681E-2</v>
      </c>
      <c r="J230" s="19">
        <f t="shared" si="231"/>
        <v>5.1756234731128094E-2</v>
      </c>
      <c r="K230" s="19">
        <f t="shared" si="232"/>
        <v>1.130386210577258E-2</v>
      </c>
      <c r="L230" s="20">
        <v>31060</v>
      </c>
      <c r="M230" s="19">
        <f t="shared" si="235"/>
        <v>2.467055519550659E-2</v>
      </c>
      <c r="N230" s="19">
        <f t="shared" si="236"/>
        <v>0.30434219053791317</v>
      </c>
      <c r="O230" s="20">
        <v>25734</v>
      </c>
      <c r="P230" s="28">
        <f t="shared" si="253"/>
        <v>9997</v>
      </c>
      <c r="Q230" s="29">
        <f t="shared" si="238"/>
        <v>0.14744423326998099</v>
      </c>
      <c r="R230" s="20">
        <v>33</v>
      </c>
      <c r="S230" s="20">
        <f t="shared" si="260"/>
        <v>508</v>
      </c>
      <c r="T230" s="20">
        <v>1712</v>
      </c>
      <c r="U230" s="20">
        <v>179</v>
      </c>
      <c r="V230" s="19">
        <f t="shared" si="0"/>
        <v>0.67098725426658024</v>
      </c>
      <c r="W230" s="20">
        <f t="shared" ref="W230:X230" si="262">T230-T229</f>
        <v>19</v>
      </c>
      <c r="X230" s="20">
        <f t="shared" si="262"/>
        <v>-6</v>
      </c>
      <c r="Y230" s="19">
        <f t="shared" si="96"/>
        <v>5.5119124275595621E-2</v>
      </c>
      <c r="Z230" s="19">
        <f t="shared" si="97"/>
        <v>0.10455607476635514</v>
      </c>
      <c r="AA230" s="21">
        <f t="shared" si="18"/>
        <v>1.2168147834673437</v>
      </c>
      <c r="AB230" s="26">
        <f t="shared" si="27"/>
        <v>1.1572136345376212</v>
      </c>
      <c r="AC230" s="23">
        <f t="shared" si="8"/>
        <v>1232.2857142857142</v>
      </c>
      <c r="AD230" s="23">
        <f t="shared" si="25"/>
        <v>26.857142857142858</v>
      </c>
      <c r="AE230" s="23">
        <f t="shared" si="9"/>
        <v>9830.7142857142862</v>
      </c>
      <c r="AF230" s="25">
        <f t="shared" si="13"/>
        <v>0.12609420880471084</v>
      </c>
      <c r="AG230" s="25"/>
      <c r="AH230" s="25"/>
      <c r="AI230" s="25"/>
      <c r="AJ230" s="25"/>
      <c r="AK230" s="25"/>
      <c r="AL230" s="25"/>
      <c r="AM230" s="26">
        <f t="shared" si="21"/>
        <v>462.85714285714283</v>
      </c>
    </row>
    <row r="231" spans="1:39" ht="16">
      <c r="A231" s="30">
        <v>44123</v>
      </c>
      <c r="B231" s="20">
        <v>47768</v>
      </c>
      <c r="C231" s="20">
        <v>1478</v>
      </c>
      <c r="D231" s="20">
        <v>1173</v>
      </c>
      <c r="E231" s="20">
        <f>4246+10066</f>
        <v>14312</v>
      </c>
      <c r="F231" s="20">
        <v>904036</v>
      </c>
      <c r="G231" s="17">
        <f t="shared" si="204"/>
        <v>92248.57142857142</v>
      </c>
      <c r="H231" s="20"/>
      <c r="I231" s="19">
        <f t="shared" si="234"/>
        <v>3.1929142363361418E-2</v>
      </c>
      <c r="J231" s="19">
        <f t="shared" si="231"/>
        <v>5.2838603772416143E-2</v>
      </c>
      <c r="K231" s="19">
        <f t="shared" si="232"/>
        <v>1.0790655031110763E-2</v>
      </c>
      <c r="L231" s="20">
        <v>32283</v>
      </c>
      <c r="M231" s="19">
        <f t="shared" si="235"/>
        <v>2.4556188243175348E-2</v>
      </c>
      <c r="N231" s="19">
        <f t="shared" si="236"/>
        <v>0.29961480489030312</v>
      </c>
      <c r="O231" s="20">
        <v>24929</v>
      </c>
      <c r="P231" s="28">
        <f t="shared" si="253"/>
        <v>9651</v>
      </c>
      <c r="Q231" s="29">
        <f t="shared" si="238"/>
        <v>0.15314475183918766</v>
      </c>
      <c r="R231" s="20">
        <f t="shared" ref="R231:S231" si="263">D231-D230</f>
        <v>31</v>
      </c>
      <c r="S231" s="20">
        <f t="shared" si="263"/>
        <v>224</v>
      </c>
      <c r="T231" s="20">
        <v>1896</v>
      </c>
      <c r="U231" s="20">
        <v>188</v>
      </c>
      <c r="V231" s="19">
        <f t="shared" si="0"/>
        <v>0.67582900686652148</v>
      </c>
      <c r="W231" s="20">
        <f t="shared" ref="W231:X231" si="264">T231-T230</f>
        <v>184</v>
      </c>
      <c r="X231" s="20">
        <f t="shared" si="264"/>
        <v>9</v>
      </c>
      <c r="Y231" s="19">
        <f t="shared" si="96"/>
        <v>5.8730601245237435E-2</v>
      </c>
      <c r="Z231" s="19">
        <f t="shared" si="97"/>
        <v>9.9156118143459912E-2</v>
      </c>
      <c r="AA231" s="21">
        <f t="shared" si="18"/>
        <v>1.2139459018621721</v>
      </c>
      <c r="AB231" s="26">
        <f t="shared" si="27"/>
        <v>1.175253046554934</v>
      </c>
      <c r="AC231" s="23">
        <f t="shared" si="8"/>
        <v>1275.8571428571429</v>
      </c>
      <c r="AD231" s="23">
        <f t="shared" si="25"/>
        <v>29.285714285714285</v>
      </c>
      <c r="AE231" s="23">
        <f t="shared" si="9"/>
        <v>9991.2857142857138</v>
      </c>
      <c r="AF231" s="25">
        <f t="shared" si="13"/>
        <v>0.128320168343868</v>
      </c>
      <c r="AG231" s="25"/>
      <c r="AH231" s="25"/>
      <c r="AI231" s="25"/>
      <c r="AJ231" s="25"/>
      <c r="AK231" s="25"/>
      <c r="AL231" s="25"/>
      <c r="AM231" s="26">
        <f t="shared" si="21"/>
        <v>467.85714285714283</v>
      </c>
    </row>
    <row r="232" spans="1:39" ht="16">
      <c r="A232" s="30">
        <v>44124</v>
      </c>
      <c r="B232" s="20">
        <v>48757</v>
      </c>
      <c r="C232" s="20">
        <v>989</v>
      </c>
      <c r="D232" s="20">
        <v>1211</v>
      </c>
      <c r="E232" s="20">
        <v>14637</v>
      </c>
      <c r="F232" s="20">
        <v>910368</v>
      </c>
      <c r="G232" s="17">
        <f t="shared" si="204"/>
        <v>92894.693877551021</v>
      </c>
      <c r="H232" s="20"/>
      <c r="I232" s="19">
        <f t="shared" si="234"/>
        <v>2.0704237146206665E-2</v>
      </c>
      <c r="J232" s="19">
        <f t="shared" si="231"/>
        <v>5.3557462476712711E-2</v>
      </c>
      <c r="K232" s="19">
        <f t="shared" si="232"/>
        <v>7.00414585259879E-3</v>
      </c>
      <c r="L232" s="20">
        <v>32909</v>
      </c>
      <c r="M232" s="19">
        <f t="shared" si="235"/>
        <v>2.4837459236622433E-2</v>
      </c>
      <c r="N232" s="19">
        <f t="shared" si="236"/>
        <v>0.30020304776750006</v>
      </c>
      <c r="O232" s="20">
        <v>24780</v>
      </c>
      <c r="P232" s="28">
        <f t="shared" si="253"/>
        <v>6332</v>
      </c>
      <c r="Q232" s="29">
        <f t="shared" si="238"/>
        <v>0.1561907770056854</v>
      </c>
      <c r="R232" s="20">
        <f t="shared" ref="R232:S232" si="265">D232-D231</f>
        <v>38</v>
      </c>
      <c r="S232" s="20">
        <f t="shared" si="265"/>
        <v>325</v>
      </c>
      <c r="T232" s="20">
        <v>1960</v>
      </c>
      <c r="U232" s="20">
        <v>197</v>
      </c>
      <c r="V232" s="19">
        <f t="shared" si="0"/>
        <v>0.67495949299587754</v>
      </c>
      <c r="W232" s="20">
        <f t="shared" ref="W232:X232" si="266">T232-T231</f>
        <v>64</v>
      </c>
      <c r="X232" s="20">
        <f t="shared" si="266"/>
        <v>9</v>
      </c>
      <c r="Y232" s="19">
        <f t="shared" si="96"/>
        <v>5.9558175575070649E-2</v>
      </c>
      <c r="Z232" s="19">
        <f t="shared" si="97"/>
        <v>0.10051020408163265</v>
      </c>
      <c r="AA232" s="21">
        <f t="shared" si="18"/>
        <v>1.175965097831835</v>
      </c>
      <c r="AB232" s="26">
        <f t="shared" si="27"/>
        <v>1.1827115238244141</v>
      </c>
      <c r="AC232" s="23">
        <f t="shared" si="8"/>
        <v>1270.7142857142858</v>
      </c>
      <c r="AD232" s="23">
        <f t="shared" si="25"/>
        <v>30.714285714285715</v>
      </c>
      <c r="AE232" s="23">
        <f t="shared" si="9"/>
        <v>9878.2857142857138</v>
      </c>
      <c r="AF232" s="25">
        <f t="shared" si="13"/>
        <v>0.13007598761366798</v>
      </c>
      <c r="AG232" s="25"/>
      <c r="AH232" s="25"/>
      <c r="AI232" s="25"/>
      <c r="AJ232" s="25"/>
      <c r="AK232" s="25"/>
      <c r="AL232" s="25"/>
      <c r="AM232" s="26">
        <f t="shared" si="21"/>
        <v>412</v>
      </c>
    </row>
    <row r="233" spans="1:39" ht="16">
      <c r="A233" s="30">
        <v>44125</v>
      </c>
      <c r="B233" s="20">
        <v>50180</v>
      </c>
      <c r="C233" s="20">
        <v>1423</v>
      </c>
      <c r="D233" s="20">
        <v>1259</v>
      </c>
      <c r="E233" s="20">
        <v>14905</v>
      </c>
      <c r="F233" s="20">
        <v>919481</v>
      </c>
      <c r="G233" s="17">
        <f t="shared" si="204"/>
        <v>93824.591836734689</v>
      </c>
      <c r="H233" s="20"/>
      <c r="I233" s="19">
        <f t="shared" si="234"/>
        <v>2.9185552843694239E-2</v>
      </c>
      <c r="J233" s="19">
        <f t="shared" si="231"/>
        <v>5.4574265264861373E-2</v>
      </c>
      <c r="K233" s="19">
        <f t="shared" si="232"/>
        <v>1.0010237618193961E-2</v>
      </c>
      <c r="L233" s="20">
        <v>34016</v>
      </c>
      <c r="M233" s="19">
        <f t="shared" si="235"/>
        <v>2.5089677162216023E-2</v>
      </c>
      <c r="N233" s="19">
        <f t="shared" si="236"/>
        <v>0.29703068951773615</v>
      </c>
      <c r="O233" s="20">
        <v>25203</v>
      </c>
      <c r="P233" s="28">
        <f t="shared" si="253"/>
        <v>9113</v>
      </c>
      <c r="Q233" s="29">
        <f t="shared" si="238"/>
        <v>0.15615055415340723</v>
      </c>
      <c r="R233" s="20">
        <f t="shared" ref="R233:S233" si="267">D233-D232</f>
        <v>48</v>
      </c>
      <c r="S233" s="20">
        <f t="shared" si="267"/>
        <v>268</v>
      </c>
      <c r="T233" s="20">
        <v>2023</v>
      </c>
      <c r="U233" s="20">
        <v>201</v>
      </c>
      <c r="V233" s="19">
        <f t="shared" si="0"/>
        <v>0.67787963332004786</v>
      </c>
      <c r="W233" s="20">
        <f t="shared" ref="W233:X233" si="268">T233-T232</f>
        <v>63</v>
      </c>
      <c r="X233" s="20">
        <f t="shared" si="268"/>
        <v>4</v>
      </c>
      <c r="Y233" s="19">
        <f t="shared" si="96"/>
        <v>5.9472013170272814E-2</v>
      </c>
      <c r="Z233" s="19">
        <f t="shared" si="97"/>
        <v>9.9357390014829461E-2</v>
      </c>
      <c r="AA233" s="21">
        <f t="shared" si="18"/>
        <v>1.2256129368805426</v>
      </c>
      <c r="AB233" s="26">
        <f t="shared" si="27"/>
        <v>1.1931472642866383</v>
      </c>
      <c r="AC233" s="23">
        <f t="shared" si="8"/>
        <v>1342.5714285714287</v>
      </c>
      <c r="AD233" s="23">
        <f t="shared" si="25"/>
        <v>33.714285714285715</v>
      </c>
      <c r="AE233" s="23">
        <f t="shared" si="9"/>
        <v>9800.4285714285706</v>
      </c>
      <c r="AF233" s="25">
        <f t="shared" si="13"/>
        <v>0.13877495001365628</v>
      </c>
      <c r="AG233" s="25"/>
      <c r="AH233" s="25"/>
      <c r="AI233" s="25"/>
      <c r="AJ233" s="25"/>
      <c r="AK233" s="25"/>
      <c r="AL233" s="25"/>
      <c r="AM233" s="26">
        <f t="shared" si="21"/>
        <v>391.57142857142856</v>
      </c>
    </row>
    <row r="234" spans="1:39" ht="16">
      <c r="A234" s="30">
        <v>44126</v>
      </c>
      <c r="B234" s="20">
        <v>52212</v>
      </c>
      <c r="C234" s="28">
        <v>2032</v>
      </c>
      <c r="D234" s="20">
        <v>1305</v>
      </c>
      <c r="E234" s="20">
        <v>15254</v>
      </c>
      <c r="F234" s="20">
        <v>935842</v>
      </c>
      <c r="G234" s="17">
        <f t="shared" si="204"/>
        <v>95494.081632653048</v>
      </c>
      <c r="H234" s="20"/>
      <c r="I234" s="19">
        <f t="shared" si="234"/>
        <v>4.0494220805101636E-2</v>
      </c>
      <c r="J234" s="19">
        <f t="shared" si="231"/>
        <v>5.5791469072770834E-2</v>
      </c>
      <c r="K234" s="19">
        <f t="shared" si="232"/>
        <v>1.7793733638868013E-2</v>
      </c>
      <c r="L234" s="20">
        <v>35653</v>
      </c>
      <c r="M234" s="19">
        <f t="shared" si="235"/>
        <v>2.499425419443806E-2</v>
      </c>
      <c r="N234" s="19">
        <f t="shared" si="236"/>
        <v>0.29215506013943154</v>
      </c>
      <c r="O234" s="20">
        <v>24764</v>
      </c>
      <c r="P234" s="28">
        <f t="shared" si="253"/>
        <v>16361</v>
      </c>
      <c r="Q234" s="29">
        <f t="shared" si="238"/>
        <v>0.12419778742130677</v>
      </c>
      <c r="R234" s="20">
        <f t="shared" ref="R234:S234" si="269">D234-D233</f>
        <v>46</v>
      </c>
      <c r="S234" s="20">
        <f t="shared" si="269"/>
        <v>349</v>
      </c>
      <c r="T234" s="20">
        <v>2132</v>
      </c>
      <c r="U234" s="20">
        <v>197</v>
      </c>
      <c r="V234" s="19">
        <f t="shared" si="0"/>
        <v>0.68285068566613039</v>
      </c>
      <c r="W234" s="20">
        <f t="shared" ref="W234:X234" si="270">T234-T233</f>
        <v>109</v>
      </c>
      <c r="X234" s="20">
        <f t="shared" si="270"/>
        <v>-4</v>
      </c>
      <c r="Y234" s="19">
        <f t="shared" si="96"/>
        <v>5.9798614422348753E-2</v>
      </c>
      <c r="Z234" s="19">
        <f t="shared" si="97"/>
        <v>9.2401500938086301E-2</v>
      </c>
      <c r="AA234" s="21">
        <f t="shared" si="18"/>
        <v>1.3635180848295603</v>
      </c>
      <c r="AB234" s="26">
        <f t="shared" si="27"/>
        <v>1.2249550069761936</v>
      </c>
      <c r="AC234" s="23">
        <f t="shared" si="8"/>
        <v>1497.1428571428571</v>
      </c>
      <c r="AD234" s="23">
        <f t="shared" si="25"/>
        <v>36.142857142857146</v>
      </c>
      <c r="AE234" s="23">
        <f t="shared" si="9"/>
        <v>10603.142857142857</v>
      </c>
      <c r="AF234" s="25">
        <f t="shared" si="13"/>
        <v>0.14388350431958061</v>
      </c>
      <c r="AG234" s="25"/>
      <c r="AH234" s="25"/>
      <c r="AI234" s="25"/>
      <c r="AJ234" s="25"/>
      <c r="AK234" s="25"/>
      <c r="AL234" s="25"/>
      <c r="AM234" s="26">
        <f t="shared" si="21"/>
        <v>375.14285714285717</v>
      </c>
    </row>
    <row r="235" spans="1:39" ht="16">
      <c r="A235" s="30">
        <v>44127</v>
      </c>
      <c r="B235" s="20">
        <v>54278</v>
      </c>
      <c r="C235" s="20">
        <v>2066</v>
      </c>
      <c r="D235" s="20">
        <v>1352</v>
      </c>
      <c r="E235" s="20">
        <v>15655</v>
      </c>
      <c r="F235" s="20">
        <v>949470</v>
      </c>
      <c r="G235" s="17">
        <f t="shared" si="204"/>
        <v>96884.693877551006</v>
      </c>
      <c r="H235" s="20"/>
      <c r="I235" s="19">
        <f t="shared" si="234"/>
        <v>3.9569447636558647E-2</v>
      </c>
      <c r="J235" s="19">
        <f t="shared" si="231"/>
        <v>5.7166629803995915E-2</v>
      </c>
      <c r="K235" s="19">
        <f t="shared" si="232"/>
        <v>1.4562287223698017E-2</v>
      </c>
      <c r="L235" s="20">
        <v>37272</v>
      </c>
      <c r="M235" s="19">
        <f t="shared" si="235"/>
        <v>2.4908802829875825E-2</v>
      </c>
      <c r="N235" s="19">
        <f t="shared" si="236"/>
        <v>0.28842256531191274</v>
      </c>
      <c r="O235" s="20">
        <v>28261</v>
      </c>
      <c r="P235" s="28">
        <f t="shared" si="253"/>
        <v>13628</v>
      </c>
      <c r="Q235" s="29">
        <f t="shared" si="238"/>
        <v>0.15159964778397417</v>
      </c>
      <c r="R235" s="20">
        <f t="shared" ref="R235:S235" si="271">D235-D234</f>
        <v>47</v>
      </c>
      <c r="S235" s="20">
        <f t="shared" si="271"/>
        <v>401</v>
      </c>
      <c r="T235" s="20">
        <v>2209</v>
      </c>
      <c r="U235" s="20">
        <v>200</v>
      </c>
      <c r="V235" s="19">
        <f t="shared" si="0"/>
        <v>0.6866870555289436</v>
      </c>
      <c r="W235" s="20">
        <f t="shared" ref="W235:X235" si="272">T235-T234</f>
        <v>77</v>
      </c>
      <c r="X235" s="20">
        <f t="shared" si="272"/>
        <v>3</v>
      </c>
      <c r="Y235" s="19">
        <f t="shared" si="96"/>
        <v>5.9267010088001719E-2</v>
      </c>
      <c r="Z235" s="19">
        <f t="shared" si="97"/>
        <v>9.0538705296514255E-2</v>
      </c>
      <c r="AA235" s="21">
        <f t="shared" si="18"/>
        <v>1.4421376393694734</v>
      </c>
      <c r="AB235" s="26">
        <f t="shared" si="27"/>
        <v>1.2618479384863526</v>
      </c>
      <c r="AC235" s="23">
        <f t="shared" si="8"/>
        <v>1607.5714285714287</v>
      </c>
      <c r="AD235" s="23">
        <f t="shared" si="25"/>
        <v>38.142857142857146</v>
      </c>
      <c r="AE235" s="23">
        <f t="shared" si="9"/>
        <v>11150.428571428571</v>
      </c>
      <c r="AF235" s="25">
        <f t="shared" si="13"/>
        <v>0.14668642867455217</v>
      </c>
      <c r="AG235" s="25"/>
      <c r="AH235" s="25"/>
      <c r="AI235" s="25"/>
      <c r="AJ235" s="25"/>
      <c r="AK235" s="25"/>
      <c r="AL235" s="25"/>
      <c r="AM235" s="26">
        <f t="shared" si="21"/>
        <v>360.14285714285717</v>
      </c>
    </row>
    <row r="236" spans="1:39" ht="16">
      <c r="A236" s="30">
        <v>44128</v>
      </c>
      <c r="B236" s="20">
        <v>56098</v>
      </c>
      <c r="C236" s="20">
        <v>1820</v>
      </c>
      <c r="D236" s="20">
        <v>1390</v>
      </c>
      <c r="E236" s="20">
        <v>16007</v>
      </c>
      <c r="F236" s="20">
        <v>961441</v>
      </c>
      <c r="G236" s="17">
        <f t="shared" si="204"/>
        <v>98106.224489795917</v>
      </c>
      <c r="H236" s="20"/>
      <c r="I236" s="19">
        <f t="shared" si="234"/>
        <v>3.3531080732525149E-2</v>
      </c>
      <c r="J236" s="19">
        <f t="shared" si="231"/>
        <v>5.8347834136468074E-2</v>
      </c>
      <c r="K236" s="19">
        <f t="shared" si="232"/>
        <v>1.2608086616744079E-2</v>
      </c>
      <c r="L236" s="20">
        <v>38701</v>
      </c>
      <c r="M236" s="19">
        <f t="shared" si="235"/>
        <v>2.4778066954258618E-2</v>
      </c>
      <c r="N236" s="19">
        <f t="shared" si="236"/>
        <v>0.28533994081785446</v>
      </c>
      <c r="O236" s="20">
        <v>27859</v>
      </c>
      <c r="P236" s="28">
        <f t="shared" si="253"/>
        <v>11971</v>
      </c>
      <c r="Q236" s="29">
        <f t="shared" si="238"/>
        <v>0.15203408236571714</v>
      </c>
      <c r="R236" s="20">
        <f t="shared" ref="R236:S236" si="273">D236-D235</f>
        <v>38</v>
      </c>
      <c r="S236" s="20">
        <f t="shared" si="273"/>
        <v>352</v>
      </c>
      <c r="T236" s="20">
        <v>2245</v>
      </c>
      <c r="U236" s="20">
        <v>205</v>
      </c>
      <c r="V236" s="19">
        <f t="shared" si="0"/>
        <v>0.68988199222788693</v>
      </c>
      <c r="W236" s="20">
        <f t="shared" ref="W236:X236" si="274">T236-T235</f>
        <v>36</v>
      </c>
      <c r="X236" s="20">
        <f t="shared" si="274"/>
        <v>5</v>
      </c>
      <c r="Y236" s="19">
        <f t="shared" si="96"/>
        <v>5.8008836980956567E-2</v>
      </c>
      <c r="Z236" s="19">
        <f t="shared" si="97"/>
        <v>9.1314031180400893E-2</v>
      </c>
      <c r="AA236" s="21">
        <f t="shared" si="18"/>
        <v>1.3725060827250608</v>
      </c>
      <c r="AB236" s="26">
        <f t="shared" si="27"/>
        <v>1.2872143609951412</v>
      </c>
      <c r="AC236" s="23">
        <f t="shared" si="8"/>
        <v>1611.7142857142858</v>
      </c>
      <c r="AD236" s="23">
        <f t="shared" si="25"/>
        <v>40.142857142857146</v>
      </c>
      <c r="AE236" s="23">
        <f t="shared" si="9"/>
        <v>11007.571428571429</v>
      </c>
      <c r="AF236" s="25">
        <f t="shared" si="13"/>
        <v>0.14868026197703704</v>
      </c>
      <c r="AG236" s="25"/>
      <c r="AH236" s="25"/>
      <c r="AI236" s="25"/>
      <c r="AJ236" s="25"/>
      <c r="AK236" s="25"/>
      <c r="AL236" s="25"/>
      <c r="AM236" s="26">
        <f t="shared" si="21"/>
        <v>346.71428571428572</v>
      </c>
    </row>
    <row r="237" spans="1:39" ht="16">
      <c r="A237" s="30">
        <v>44129</v>
      </c>
      <c r="B237" s="20">
        <v>59247</v>
      </c>
      <c r="C237" s="20">
        <v>3149</v>
      </c>
      <c r="D237" s="20">
        <v>1425</v>
      </c>
      <c r="E237" s="20">
        <v>16242</v>
      </c>
      <c r="F237" s="20">
        <v>980373</v>
      </c>
      <c r="G237" s="17">
        <f t="shared" si="204"/>
        <v>100038.06122448979</v>
      </c>
      <c r="H237" s="20"/>
      <c r="I237" s="19">
        <f t="shared" si="234"/>
        <v>5.6133908517237693E-2</v>
      </c>
      <c r="J237" s="19">
        <f t="shared" si="231"/>
        <v>6.0433120863181665E-2</v>
      </c>
      <c r="K237" s="19">
        <f t="shared" si="232"/>
        <v>1.9691275907726007E-2</v>
      </c>
      <c r="L237" s="20">
        <v>41580</v>
      </c>
      <c r="M237" s="19">
        <f t="shared" si="235"/>
        <v>2.405185072661907E-2</v>
      </c>
      <c r="N237" s="19">
        <f t="shared" si="236"/>
        <v>0.27414046280824345</v>
      </c>
      <c r="O237" s="20">
        <v>27883</v>
      </c>
      <c r="P237" s="28">
        <f t="shared" si="253"/>
        <v>18932</v>
      </c>
      <c r="Q237" s="29">
        <f t="shared" si="238"/>
        <v>0.16633213606592012</v>
      </c>
      <c r="R237" s="20">
        <f t="shared" ref="R237:S237" si="275">D237-D236</f>
        <v>35</v>
      </c>
      <c r="S237" s="20">
        <f t="shared" si="275"/>
        <v>235</v>
      </c>
      <c r="T237" s="20">
        <v>2449</v>
      </c>
      <c r="U237" s="20">
        <v>221</v>
      </c>
      <c r="V237" s="19">
        <f t="shared" si="0"/>
        <v>0.70180768646513747</v>
      </c>
      <c r="W237" s="20">
        <f t="shared" ref="W237:X237" si="276">T237-T236</f>
        <v>204</v>
      </c>
      <c r="X237" s="20">
        <f t="shared" si="276"/>
        <v>16</v>
      </c>
      <c r="Y237" s="19">
        <f t="shared" si="96"/>
        <v>5.8898508898508901E-2</v>
      </c>
      <c r="Z237" s="19">
        <f t="shared" si="97"/>
        <v>9.0240914659044505E-2</v>
      </c>
      <c r="AA237" s="21">
        <f t="shared" si="18"/>
        <v>1.5020867145838164</v>
      </c>
      <c r="AB237" s="26">
        <f t="shared" si="27"/>
        <v>1.32796749401178</v>
      </c>
      <c r="AC237" s="23">
        <f t="shared" si="8"/>
        <v>1851</v>
      </c>
      <c r="AD237" s="23">
        <f t="shared" si="25"/>
        <v>40.428571428571431</v>
      </c>
      <c r="AE237" s="23">
        <f t="shared" si="9"/>
        <v>12284</v>
      </c>
      <c r="AF237" s="25">
        <f t="shared" si="13"/>
        <v>0.15137853380502836</v>
      </c>
      <c r="AG237" s="25"/>
      <c r="AH237" s="25"/>
      <c r="AI237" s="25"/>
      <c r="AJ237" s="25"/>
      <c r="AK237" s="25"/>
      <c r="AL237" s="25"/>
      <c r="AM237" s="26">
        <f t="shared" si="21"/>
        <v>307.71428571428572</v>
      </c>
    </row>
    <row r="238" spans="1:39" ht="16">
      <c r="A238" s="30">
        <v>44130</v>
      </c>
      <c r="B238" s="20">
        <v>61563</v>
      </c>
      <c r="C238" s="20">
        <v>2316</v>
      </c>
      <c r="D238" s="20">
        <v>1472</v>
      </c>
      <c r="E238" s="20">
        <v>16491</v>
      </c>
      <c r="F238" s="20">
        <v>990383</v>
      </c>
      <c r="G238" s="17">
        <f t="shared" si="204"/>
        <v>101059.48979591836</v>
      </c>
      <c r="H238" s="20"/>
      <c r="I238" s="19">
        <f t="shared" si="234"/>
        <v>3.9090586865157727E-2</v>
      </c>
      <c r="J238" s="19">
        <f t="shared" si="231"/>
        <v>6.2160800417616215E-2</v>
      </c>
      <c r="K238" s="19">
        <f t="shared" si="232"/>
        <v>1.0210399511206449E-2</v>
      </c>
      <c r="L238" s="20">
        <v>43600</v>
      </c>
      <c r="M238" s="19">
        <f t="shared" si="235"/>
        <v>2.3910465701801407E-2</v>
      </c>
      <c r="N238" s="19">
        <f t="shared" si="236"/>
        <v>0.26787193606549387</v>
      </c>
      <c r="O238" s="20">
        <v>28070</v>
      </c>
      <c r="P238" s="28">
        <f t="shared" si="253"/>
        <v>10010</v>
      </c>
      <c r="Q238" s="29">
        <f t="shared" si="238"/>
        <v>0.23136863136863137</v>
      </c>
      <c r="R238" s="20">
        <f t="shared" ref="R238:S238" si="277">D238-D237</f>
        <v>47</v>
      </c>
      <c r="S238" s="20">
        <f t="shared" si="277"/>
        <v>249</v>
      </c>
      <c r="T238" s="20">
        <v>2602</v>
      </c>
      <c r="U238" s="20">
        <v>233</v>
      </c>
      <c r="V238" s="19">
        <f t="shared" si="0"/>
        <v>0.70821759823270469</v>
      </c>
      <c r="W238" s="20">
        <f t="shared" ref="W238:X238" si="278">T238-T237</f>
        <v>153</v>
      </c>
      <c r="X238" s="20">
        <f t="shared" si="278"/>
        <v>12</v>
      </c>
      <c r="Y238" s="19">
        <f t="shared" si="96"/>
        <v>5.9678899082568806E-2</v>
      </c>
      <c r="Z238" s="19">
        <f t="shared" si="97"/>
        <v>8.9546502690238283E-2</v>
      </c>
      <c r="AA238" s="21">
        <f t="shared" si="18"/>
        <v>1.544619863397156</v>
      </c>
      <c r="AB238" s="26">
        <f t="shared" si="27"/>
        <v>1.3752066313739206</v>
      </c>
      <c r="AC238" s="23">
        <f t="shared" si="8"/>
        <v>1970.7142857142858</v>
      </c>
      <c r="AD238" s="23">
        <f t="shared" si="25"/>
        <v>42.714285714285715</v>
      </c>
      <c r="AE238" s="23">
        <f t="shared" si="9"/>
        <v>12335.285714285714</v>
      </c>
      <c r="AF238" s="25">
        <f t="shared" si="13"/>
        <v>0.16255337373780601</v>
      </c>
      <c r="AG238" s="25"/>
      <c r="AH238" s="25"/>
      <c r="AI238" s="25"/>
      <c r="AJ238" s="25"/>
      <c r="AK238" s="25"/>
      <c r="AL238" s="25"/>
      <c r="AM238" s="26">
        <f t="shared" si="21"/>
        <v>311.28571428571428</v>
      </c>
    </row>
    <row r="239" spans="1:39" ht="16">
      <c r="A239" s="30">
        <v>44131</v>
      </c>
      <c r="B239" s="20">
        <v>63642</v>
      </c>
      <c r="C239" s="20">
        <v>2079</v>
      </c>
      <c r="D239" s="20">
        <v>1535</v>
      </c>
      <c r="E239" s="20">
        <v>16646</v>
      </c>
      <c r="F239" s="20">
        <v>1002093</v>
      </c>
      <c r="G239" s="17">
        <f t="shared" si="204"/>
        <v>102254.38775510203</v>
      </c>
      <c r="H239" s="20"/>
      <c r="I239" s="19">
        <f t="shared" si="234"/>
        <v>3.3770284099215439E-2</v>
      </c>
      <c r="J239" s="19">
        <f t="shared" si="231"/>
        <v>6.3509075504968107E-2</v>
      </c>
      <c r="K239" s="19">
        <f t="shared" si="232"/>
        <v>1.1823708605660638E-2</v>
      </c>
      <c r="L239" s="20">
        <v>45461</v>
      </c>
      <c r="M239" s="19">
        <f t="shared" si="235"/>
        <v>2.4119292291254202E-2</v>
      </c>
      <c r="N239" s="19">
        <f t="shared" si="236"/>
        <v>0.26155683353760095</v>
      </c>
      <c r="O239" s="20">
        <v>27050</v>
      </c>
      <c r="P239" s="28">
        <f t="shared" si="253"/>
        <v>11710</v>
      </c>
      <c r="Q239" s="29">
        <f t="shared" si="238"/>
        <v>0.17754056362083689</v>
      </c>
      <c r="R239" s="20">
        <f t="shared" ref="R239:S239" si="279">D239-D238</f>
        <v>63</v>
      </c>
      <c r="S239" s="20">
        <f t="shared" si="279"/>
        <v>155</v>
      </c>
      <c r="T239" s="20">
        <v>2891</v>
      </c>
      <c r="U239" s="20">
        <v>243</v>
      </c>
      <c r="V239" s="19">
        <f t="shared" si="0"/>
        <v>0.71432387417114485</v>
      </c>
      <c r="W239" s="20">
        <f t="shared" ref="W239:X239" si="280">T239-T238</f>
        <v>289</v>
      </c>
      <c r="X239" s="20">
        <f t="shared" si="280"/>
        <v>10</v>
      </c>
      <c r="Y239" s="19">
        <f t="shared" si="96"/>
        <v>6.3592969798288643E-2</v>
      </c>
      <c r="Z239" s="19">
        <f t="shared" si="97"/>
        <v>8.4053960567277763E-2</v>
      </c>
      <c r="AA239" s="21">
        <f t="shared" si="18"/>
        <v>1.6734120292299044</v>
      </c>
      <c r="AB239" s="26">
        <f t="shared" si="27"/>
        <v>1.4462704787165019</v>
      </c>
      <c r="AC239" s="23">
        <f t="shared" si="8"/>
        <v>2126.4285714285716</v>
      </c>
      <c r="AD239" s="23">
        <f t="shared" si="25"/>
        <v>46.285714285714285</v>
      </c>
      <c r="AE239" s="23">
        <f t="shared" si="9"/>
        <v>13103.571428571429</v>
      </c>
      <c r="AF239" s="25">
        <f t="shared" si="13"/>
        <v>0.16560334325425624</v>
      </c>
      <c r="AG239" s="25"/>
      <c r="AH239" s="25"/>
      <c r="AI239" s="25"/>
      <c r="AJ239" s="25"/>
      <c r="AK239" s="25"/>
      <c r="AL239" s="25"/>
      <c r="AM239" s="26">
        <f t="shared" si="21"/>
        <v>287</v>
      </c>
    </row>
    <row r="240" spans="1:39" ht="16">
      <c r="A240" s="30">
        <v>44132</v>
      </c>
      <c r="B240" s="20">
        <v>65933</v>
      </c>
      <c r="C240" s="20">
        <v>2291</v>
      </c>
      <c r="D240" s="20">
        <v>1578</v>
      </c>
      <c r="E240" s="20">
        <v>17098</v>
      </c>
      <c r="F240" s="20">
        <v>1017689</v>
      </c>
      <c r="G240" s="17">
        <f t="shared" si="204"/>
        <v>103845.81632653061</v>
      </c>
      <c r="H240" s="20"/>
      <c r="I240" s="19">
        <f t="shared" si="234"/>
        <v>3.5998240155871906E-2</v>
      </c>
      <c r="J240" s="19">
        <f t="shared" si="231"/>
        <v>6.4786983056709865E-2</v>
      </c>
      <c r="K240" s="19">
        <f t="shared" si="232"/>
        <v>1.5563425749905447E-2</v>
      </c>
      <c r="L240" s="20">
        <v>47257</v>
      </c>
      <c r="M240" s="19">
        <f t="shared" si="235"/>
        <v>2.3933386923088589E-2</v>
      </c>
      <c r="N240" s="19">
        <f t="shared" si="236"/>
        <v>0.25932385906905497</v>
      </c>
      <c r="O240" s="20">
        <v>36678</v>
      </c>
      <c r="P240" s="28">
        <f t="shared" si="253"/>
        <v>15596</v>
      </c>
      <c r="Q240" s="29">
        <f t="shared" si="238"/>
        <v>0.14689664016414467</v>
      </c>
      <c r="R240" s="20">
        <f t="shared" ref="R240:S240" si="281">D240-D239</f>
        <v>43</v>
      </c>
      <c r="S240" s="20">
        <f t="shared" si="281"/>
        <v>452</v>
      </c>
      <c r="T240" s="20">
        <v>3166</v>
      </c>
      <c r="U240" s="20">
        <v>263</v>
      </c>
      <c r="V240" s="19">
        <f t="shared" si="0"/>
        <v>0.71674275400785648</v>
      </c>
      <c r="W240" s="20">
        <f t="shared" ref="W240:X240" si="282">T240-T239</f>
        <v>275</v>
      </c>
      <c r="X240" s="20">
        <f t="shared" si="282"/>
        <v>20</v>
      </c>
      <c r="Y240" s="19">
        <f t="shared" si="96"/>
        <v>6.6995365765918274E-2</v>
      </c>
      <c r="Z240" s="19">
        <f t="shared" si="97"/>
        <v>8.3070120025268479E-2</v>
      </c>
      <c r="AA240" s="21">
        <f t="shared" si="18"/>
        <v>1.6762077037667589</v>
      </c>
      <c r="AB240" s="26">
        <f t="shared" si="27"/>
        <v>1.5106411597002471</v>
      </c>
      <c r="AC240" s="23">
        <f t="shared" si="8"/>
        <v>2250.4285714285716</v>
      </c>
      <c r="AD240" s="23">
        <f t="shared" si="25"/>
        <v>45.571428571428569</v>
      </c>
      <c r="AE240" s="23">
        <f t="shared" si="9"/>
        <v>14029.714285714286</v>
      </c>
      <c r="AF240" s="25">
        <f t="shared" si="13"/>
        <v>0.16428135554150444</v>
      </c>
      <c r="AG240" s="25"/>
      <c r="AH240" s="25"/>
      <c r="AI240" s="25"/>
      <c r="AJ240" s="25"/>
      <c r="AK240" s="25"/>
      <c r="AL240" s="25"/>
      <c r="AM240" s="26">
        <f t="shared" si="21"/>
        <v>313.28571428571428</v>
      </c>
    </row>
    <row r="241" spans="1:39" ht="16">
      <c r="A241" s="30">
        <v>44133</v>
      </c>
      <c r="B241" s="20">
        <v>68127</v>
      </c>
      <c r="C241" s="20">
        <v>2194</v>
      </c>
      <c r="D241" s="20">
        <v>1634</v>
      </c>
      <c r="E241" s="20">
        <v>17469</v>
      </c>
      <c r="F241" s="20">
        <v>1032942</v>
      </c>
      <c r="G241" s="17">
        <f t="shared" si="204"/>
        <v>105402.24489795917</v>
      </c>
      <c r="H241" s="20"/>
      <c r="I241" s="19">
        <f t="shared" si="234"/>
        <v>3.3276204631974886E-2</v>
      </c>
      <c r="J241" s="19">
        <f t="shared" si="231"/>
        <v>6.5954332382650721E-2</v>
      </c>
      <c r="K241" s="19">
        <f t="shared" si="232"/>
        <v>1.4987879401270918E-2</v>
      </c>
      <c r="L241" s="20">
        <v>49024</v>
      </c>
      <c r="M241" s="19">
        <f t="shared" si="235"/>
        <v>2.3984616965373493E-2</v>
      </c>
      <c r="N241" s="19">
        <f t="shared" si="236"/>
        <v>0.25641816020080144</v>
      </c>
      <c r="O241" s="20">
        <v>25585</v>
      </c>
      <c r="P241" s="28">
        <f t="shared" si="253"/>
        <v>15253</v>
      </c>
      <c r="Q241" s="29">
        <f t="shared" si="238"/>
        <v>0.14384055595620535</v>
      </c>
      <c r="R241" s="20">
        <f t="shared" ref="R241:S241" si="283">D241-D240</f>
        <v>56</v>
      </c>
      <c r="S241" s="20">
        <f t="shared" si="283"/>
        <v>371</v>
      </c>
      <c r="T241" s="20">
        <v>3197</v>
      </c>
      <c r="U241" s="20">
        <v>255</v>
      </c>
      <c r="V241" s="19">
        <f t="shared" si="0"/>
        <v>0.7195972228338251</v>
      </c>
      <c r="W241" s="20">
        <f t="shared" ref="W241:X241" si="284">T241-T240</f>
        <v>31</v>
      </c>
      <c r="X241" s="20">
        <f t="shared" si="284"/>
        <v>-8</v>
      </c>
      <c r="Y241" s="19">
        <f t="shared" si="96"/>
        <v>6.5212956919060053E-2</v>
      </c>
      <c r="Z241" s="19">
        <f t="shared" si="97"/>
        <v>7.9762277134813889E-2</v>
      </c>
      <c r="AA241" s="21">
        <f t="shared" si="18"/>
        <v>1.5186068702290076</v>
      </c>
      <c r="AB241" s="26">
        <f t="shared" si="27"/>
        <v>1.5327967004715966</v>
      </c>
      <c r="AC241" s="23">
        <f t="shared" si="8"/>
        <v>2273.5714285714284</v>
      </c>
      <c r="AD241" s="23">
        <f t="shared" si="25"/>
        <v>47</v>
      </c>
      <c r="AE241" s="23">
        <f t="shared" si="9"/>
        <v>13871.428571428571</v>
      </c>
      <c r="AF241" s="25">
        <f t="shared" si="13"/>
        <v>0.16708746533220425</v>
      </c>
      <c r="AG241" s="25"/>
      <c r="AH241" s="25"/>
      <c r="AI241" s="25"/>
      <c r="AJ241" s="25"/>
      <c r="AK241" s="25"/>
      <c r="AL241" s="25"/>
      <c r="AM241" s="26">
        <f t="shared" si="21"/>
        <v>316.42857142857144</v>
      </c>
    </row>
    <row r="242" spans="1:39" ht="16">
      <c r="A242" s="30">
        <v>44134</v>
      </c>
      <c r="B242" s="20">
        <v>71413</v>
      </c>
      <c r="C242" s="20">
        <v>3286</v>
      </c>
      <c r="D242" s="20">
        <v>1699</v>
      </c>
      <c r="E242" s="20">
        <v>17953</v>
      </c>
      <c r="F242" s="20">
        <v>1048580</v>
      </c>
      <c r="G242" s="17">
        <f t="shared" si="204"/>
        <v>106997.95918367346</v>
      </c>
      <c r="H242" s="20"/>
      <c r="I242" s="19">
        <f t="shared" si="234"/>
        <v>4.823344635753813E-2</v>
      </c>
      <c r="J242" s="19">
        <f t="shared" si="231"/>
        <v>6.8104484159530035E-2</v>
      </c>
      <c r="K242" s="19">
        <f t="shared" si="232"/>
        <v>1.5139281779615894E-2</v>
      </c>
      <c r="L242" s="20">
        <v>51761</v>
      </c>
      <c r="M242" s="19">
        <f t="shared" si="235"/>
        <v>2.3791186478652346E-2</v>
      </c>
      <c r="N242" s="19">
        <f t="shared" si="236"/>
        <v>0.25139680450338175</v>
      </c>
      <c r="O242" s="20">
        <v>26396</v>
      </c>
      <c r="P242" s="28">
        <f t="shared" si="253"/>
        <v>15638</v>
      </c>
      <c r="Q242" s="29">
        <f t="shared" si="238"/>
        <v>0.21012917252845634</v>
      </c>
      <c r="R242" s="20">
        <f t="shared" ref="R242:S242" si="285">D242-D241</f>
        <v>65</v>
      </c>
      <c r="S242" s="20">
        <f t="shared" si="285"/>
        <v>484</v>
      </c>
      <c r="T242" s="20">
        <v>3753</v>
      </c>
      <c r="U242" s="20">
        <v>267</v>
      </c>
      <c r="V242" s="19">
        <f t="shared" si="0"/>
        <v>0.72481200901796594</v>
      </c>
      <c r="W242" s="20">
        <f t="shared" ref="W242:X242" si="286">T242-T241</f>
        <v>556</v>
      </c>
      <c r="X242" s="20">
        <f t="shared" si="286"/>
        <v>12</v>
      </c>
      <c r="Y242" s="19">
        <f t="shared" si="96"/>
        <v>7.2506327157512415E-2</v>
      </c>
      <c r="Z242" s="19">
        <f t="shared" si="97"/>
        <v>7.1143085531574737E-2</v>
      </c>
      <c r="AA242" s="21">
        <f t="shared" si="18"/>
        <v>1.5227050564293967</v>
      </c>
      <c r="AB242" s="26">
        <f t="shared" si="27"/>
        <v>1.5443063314801573</v>
      </c>
      <c r="AC242" s="23">
        <f t="shared" si="8"/>
        <v>2447.8571428571427</v>
      </c>
      <c r="AD242" s="23">
        <f t="shared" si="25"/>
        <v>49.571428571428569</v>
      </c>
      <c r="AE242" s="23">
        <f t="shared" si="9"/>
        <v>14158.571428571429</v>
      </c>
      <c r="AF242" s="25">
        <f t="shared" si="13"/>
        <v>0.1754488260099874</v>
      </c>
      <c r="AG242" s="25"/>
      <c r="AH242" s="25"/>
      <c r="AI242" s="25"/>
      <c r="AJ242" s="25"/>
      <c r="AK242" s="25"/>
      <c r="AL242" s="25"/>
      <c r="AM242" s="26">
        <f t="shared" si="21"/>
        <v>328.28571428571428</v>
      </c>
    </row>
    <row r="243" spans="1:39" ht="16">
      <c r="A243" s="30">
        <v>44135</v>
      </c>
      <c r="B243" s="20">
        <v>75321</v>
      </c>
      <c r="C243" s="20">
        <v>3908</v>
      </c>
      <c r="D243" s="20">
        <v>1750</v>
      </c>
      <c r="E243" s="20">
        <v>19032</v>
      </c>
      <c r="F243" s="20">
        <v>1065143</v>
      </c>
      <c r="G243" s="17">
        <f t="shared" si="204"/>
        <v>108688.06122448979</v>
      </c>
      <c r="H243" s="20"/>
      <c r="I243" s="19">
        <f t="shared" si="234"/>
        <v>5.4723929816700038E-2</v>
      </c>
      <c r="J243" s="19">
        <f t="shared" si="231"/>
        <v>7.0714448670272448E-2</v>
      </c>
      <c r="K243" s="19">
        <f t="shared" si="232"/>
        <v>1.5795647447023595E-2</v>
      </c>
      <c r="L243" s="20">
        <v>54539</v>
      </c>
      <c r="M243" s="19">
        <f t="shared" si="235"/>
        <v>2.3233892274398905E-2</v>
      </c>
      <c r="N243" s="19">
        <f t="shared" si="236"/>
        <v>0.25267853586649142</v>
      </c>
      <c r="O243" s="20">
        <v>28596</v>
      </c>
      <c r="P243" s="28">
        <f t="shared" si="253"/>
        <v>16563</v>
      </c>
      <c r="Q243" s="29">
        <f t="shared" si="238"/>
        <v>0.23594759403489707</v>
      </c>
      <c r="R243" s="20">
        <f t="shared" ref="R243:S243" si="287">D243-D242</f>
        <v>51</v>
      </c>
      <c r="S243" s="20">
        <f t="shared" si="287"/>
        <v>1079</v>
      </c>
      <c r="T243" s="20">
        <v>4048</v>
      </c>
      <c r="U243" s="20">
        <v>281</v>
      </c>
      <c r="V243" s="19">
        <f t="shared" si="0"/>
        <v>0.72408757185910966</v>
      </c>
      <c r="W243" s="20">
        <f t="shared" ref="W243:X243" si="288">T243-T242</f>
        <v>295</v>
      </c>
      <c r="X243" s="20">
        <f t="shared" si="288"/>
        <v>14</v>
      </c>
      <c r="Y243" s="19">
        <f t="shared" si="96"/>
        <v>7.4222116283760242E-2</v>
      </c>
      <c r="Z243" s="19">
        <f t="shared" si="97"/>
        <v>6.9416996047430832E-2</v>
      </c>
      <c r="AA243" s="21">
        <f t="shared" si="18"/>
        <v>1.703864563020741</v>
      </c>
      <c r="AB243" s="26">
        <f t="shared" si="27"/>
        <v>1.5916432572366828</v>
      </c>
      <c r="AC243" s="23">
        <f t="shared" si="8"/>
        <v>2746.1428571428573</v>
      </c>
      <c r="AD243" s="23">
        <f t="shared" si="25"/>
        <v>51.428571428571431</v>
      </c>
      <c r="AE243" s="23">
        <f t="shared" si="9"/>
        <v>14814.571428571429</v>
      </c>
      <c r="AF243" s="25">
        <f t="shared" si="13"/>
        <v>0.18743647053415596</v>
      </c>
      <c r="AG243" s="25"/>
      <c r="AH243" s="25"/>
      <c r="AI243" s="25"/>
      <c r="AJ243" s="25"/>
      <c r="AK243" s="25"/>
      <c r="AL243" s="25"/>
      <c r="AM243" s="26">
        <f t="shared" si="21"/>
        <v>432.14285714285717</v>
      </c>
    </row>
    <row r="244" spans="1:39" ht="16">
      <c r="A244" s="30">
        <v>44136</v>
      </c>
      <c r="B244" s="20">
        <v>79199</v>
      </c>
      <c r="C244" s="20">
        <v>3878</v>
      </c>
      <c r="D244" s="20">
        <v>1819</v>
      </c>
      <c r="E244" s="20">
        <v>20078</v>
      </c>
      <c r="F244" s="20">
        <v>1083743</v>
      </c>
      <c r="G244" s="17">
        <f t="shared" si="204"/>
        <v>110586.02040816325</v>
      </c>
      <c r="H244" s="20"/>
      <c r="I244" s="19">
        <f t="shared" si="234"/>
        <v>5.1486305280067979E-2</v>
      </c>
      <c r="J244" s="19">
        <f t="shared" si="231"/>
        <v>7.3079134075145116E-2</v>
      </c>
      <c r="K244" s="19">
        <f t="shared" si="232"/>
        <v>1.7462444009865342E-2</v>
      </c>
      <c r="L244" s="20">
        <v>57302</v>
      </c>
      <c r="M244" s="19">
        <f t="shared" si="235"/>
        <v>2.2967461710375132E-2</v>
      </c>
      <c r="N244" s="19">
        <f t="shared" si="236"/>
        <v>0.25351330193563049</v>
      </c>
      <c r="O244" s="20">
        <v>29635</v>
      </c>
      <c r="P244" s="28">
        <f t="shared" si="253"/>
        <v>18600</v>
      </c>
      <c r="Q244" s="29">
        <f t="shared" si="238"/>
        <v>0.20849462365591398</v>
      </c>
      <c r="R244" s="20">
        <f t="shared" ref="R244:S244" si="289">D244-D243</f>
        <v>69</v>
      </c>
      <c r="S244" s="20">
        <f t="shared" si="289"/>
        <v>1046</v>
      </c>
      <c r="T244" s="20">
        <v>4205</v>
      </c>
      <c r="U244" s="20">
        <v>306</v>
      </c>
      <c r="V244" s="19">
        <f t="shared" si="0"/>
        <v>0.7235192363539944</v>
      </c>
      <c r="W244" s="20">
        <f t="shared" ref="W244:X244" si="290">T244-T243</f>
        <v>157</v>
      </c>
      <c r="X244" s="20">
        <f t="shared" si="290"/>
        <v>25</v>
      </c>
      <c r="Y244" s="19">
        <f t="shared" si="96"/>
        <v>7.3383127988551886E-2</v>
      </c>
      <c r="Z244" s="19">
        <f t="shared" si="97"/>
        <v>7.2770511296076104E-2</v>
      </c>
      <c r="AA244" s="21">
        <f t="shared" si="18"/>
        <v>1.5398626225206453</v>
      </c>
      <c r="AB244" s="26">
        <f t="shared" si="27"/>
        <v>1.5970398155133727</v>
      </c>
      <c r="AC244" s="23">
        <f t="shared" si="8"/>
        <v>2850.2857142857142</v>
      </c>
      <c r="AD244" s="23">
        <f t="shared" si="25"/>
        <v>56.285714285714285</v>
      </c>
      <c r="AE244" s="23">
        <f t="shared" si="9"/>
        <v>14767.142857142857</v>
      </c>
      <c r="AF244" s="25">
        <f t="shared" si="13"/>
        <v>0.19345968304701225</v>
      </c>
      <c r="AG244" s="25"/>
      <c r="AH244" s="25"/>
      <c r="AI244" s="25"/>
      <c r="AJ244" s="25"/>
      <c r="AK244" s="25"/>
      <c r="AL244" s="25"/>
      <c r="AM244" s="26">
        <f t="shared" si="21"/>
        <v>548</v>
      </c>
    </row>
    <row r="245" spans="1:39" ht="16">
      <c r="A245" s="30">
        <v>44137</v>
      </c>
      <c r="B245" s="20">
        <v>82780</v>
      </c>
      <c r="C245" s="20">
        <v>3581</v>
      </c>
      <c r="D245" s="20">
        <v>1889</v>
      </c>
      <c r="E245" s="20">
        <v>20476</v>
      </c>
      <c r="F245" s="20">
        <v>1097371</v>
      </c>
      <c r="G245" s="17">
        <f t="shared" si="204"/>
        <v>111976.63265306121</v>
      </c>
      <c r="H245" s="20"/>
      <c r="I245" s="19">
        <f t="shared" si="234"/>
        <v>4.5215217363855607E-2</v>
      </c>
      <c r="J245" s="19">
        <f t="shared" si="231"/>
        <v>7.5434834709501158E-2</v>
      </c>
      <c r="K245" s="19">
        <f t="shared" si="232"/>
        <v>1.2574937046882886E-2</v>
      </c>
      <c r="L245" s="20">
        <v>60415</v>
      </c>
      <c r="M245" s="19">
        <f t="shared" si="235"/>
        <v>2.2819521623580575E-2</v>
      </c>
      <c r="N245" s="19">
        <f t="shared" si="236"/>
        <v>0.24735443343802851</v>
      </c>
      <c r="O245" s="20">
        <v>29750</v>
      </c>
      <c r="P245" s="28">
        <f t="shared" si="253"/>
        <v>13628</v>
      </c>
      <c r="Q245" s="29">
        <f t="shared" si="238"/>
        <v>0.26276783093630762</v>
      </c>
      <c r="R245" s="20">
        <f t="shared" ref="R245:S245" si="291">D245-D244</f>
        <v>70</v>
      </c>
      <c r="S245" s="20">
        <f t="shared" si="291"/>
        <v>398</v>
      </c>
      <c r="T245" s="20">
        <v>4417</v>
      </c>
      <c r="U245" s="20">
        <v>313</v>
      </c>
      <c r="V245" s="19">
        <f t="shared" si="0"/>
        <v>0.72982604493839087</v>
      </c>
      <c r="W245" s="20">
        <f t="shared" ref="W245:X245" si="292">T245-T244</f>
        <v>212</v>
      </c>
      <c r="X245" s="20">
        <f t="shared" si="292"/>
        <v>7</v>
      </c>
      <c r="Y245" s="19">
        <f t="shared" si="96"/>
        <v>7.3110982371927508E-2</v>
      </c>
      <c r="Z245" s="19">
        <f t="shared" si="97"/>
        <v>7.0862576409327596E-2</v>
      </c>
      <c r="AA245" s="21">
        <f t="shared" si="18"/>
        <v>1.5380210221094599</v>
      </c>
      <c r="AB245" s="26">
        <f t="shared" si="27"/>
        <v>1.5960971239008448</v>
      </c>
      <c r="AC245" s="23">
        <f t="shared" si="8"/>
        <v>3031</v>
      </c>
      <c r="AD245" s="23">
        <f t="shared" si="25"/>
        <v>59.571428571428569</v>
      </c>
      <c r="AE245" s="23">
        <f t="shared" si="9"/>
        <v>15284</v>
      </c>
      <c r="AF245" s="25">
        <f t="shared" si="13"/>
        <v>0.19794528298525169</v>
      </c>
      <c r="AG245" s="25"/>
      <c r="AH245" s="25"/>
      <c r="AI245" s="25"/>
      <c r="AJ245" s="25"/>
      <c r="AK245" s="25"/>
      <c r="AL245" s="25"/>
      <c r="AM245" s="26">
        <f t="shared" si="21"/>
        <v>569.28571428571433</v>
      </c>
    </row>
    <row r="246" spans="1:39" ht="16">
      <c r="A246" s="30">
        <v>44138</v>
      </c>
      <c r="B246" s="20">
        <v>86769</v>
      </c>
      <c r="C246" s="20">
        <v>3989</v>
      </c>
      <c r="D246" s="20">
        <v>1973</v>
      </c>
      <c r="E246" s="20">
        <v>20856</v>
      </c>
      <c r="F246" s="20">
        <v>1111991</v>
      </c>
      <c r="G246" s="17">
        <f t="shared" si="204"/>
        <v>113468.46938775509</v>
      </c>
      <c r="H246" s="20"/>
      <c r="I246" s="19">
        <f t="shared" si="234"/>
        <v>4.8187968108238707E-2</v>
      </c>
      <c r="J246" s="19">
        <f t="shared" si="231"/>
        <v>7.8030307799253767E-2</v>
      </c>
      <c r="K246" s="19">
        <f t="shared" si="232"/>
        <v>1.3322750464519292E-2</v>
      </c>
      <c r="L246" s="20">
        <v>63940</v>
      </c>
      <c r="M246" s="19">
        <f t="shared" si="235"/>
        <v>2.2738535652133827E-2</v>
      </c>
      <c r="N246" s="19">
        <f t="shared" si="236"/>
        <v>0.24036234138920581</v>
      </c>
      <c r="O246" s="20">
        <v>30984</v>
      </c>
      <c r="P246" s="28">
        <f t="shared" si="253"/>
        <v>14620</v>
      </c>
      <c r="Q246" s="29">
        <f t="shared" si="238"/>
        <v>0.27284541723666211</v>
      </c>
      <c r="R246" s="20">
        <f t="shared" ref="R246:S246" si="293">D246-D245</f>
        <v>84</v>
      </c>
      <c r="S246" s="20">
        <f t="shared" si="293"/>
        <v>380</v>
      </c>
      <c r="T246" s="20">
        <v>4767</v>
      </c>
      <c r="U246" s="20">
        <v>348</v>
      </c>
      <c r="V246" s="19">
        <f t="shared" si="0"/>
        <v>0.73689912295866034</v>
      </c>
      <c r="W246" s="20">
        <f t="shared" ref="W246:X246" si="294">T246-T245</f>
        <v>350</v>
      </c>
      <c r="X246" s="20">
        <f t="shared" si="294"/>
        <v>35</v>
      </c>
      <c r="Y246" s="19">
        <f t="shared" si="96"/>
        <v>7.4554269627776046E-2</v>
      </c>
      <c r="Z246" s="19">
        <f t="shared" si="97"/>
        <v>7.3001887979861554E-2</v>
      </c>
      <c r="AA246" s="21">
        <f t="shared" si="18"/>
        <v>1.5537117903930131</v>
      </c>
      <c r="AB246" s="26">
        <f t="shared" si="27"/>
        <v>1.5789970897812891</v>
      </c>
      <c r="AC246" s="23">
        <f t="shared" si="8"/>
        <v>3303.8571428571427</v>
      </c>
      <c r="AD246" s="23">
        <f t="shared" si="25"/>
        <v>62.571428571428569</v>
      </c>
      <c r="AE246" s="23">
        <f t="shared" si="9"/>
        <v>15699.714285714286</v>
      </c>
      <c r="AF246" s="25">
        <f t="shared" si="13"/>
        <v>0.21156026207322673</v>
      </c>
      <c r="AG246" s="25"/>
      <c r="AH246" s="25"/>
      <c r="AI246" s="25"/>
      <c r="AJ246" s="25"/>
      <c r="AK246" s="25"/>
      <c r="AL246" s="25"/>
      <c r="AM246" s="26">
        <f t="shared" si="21"/>
        <v>601.42857142857144</v>
      </c>
    </row>
    <row r="247" spans="1:39" ht="16">
      <c r="A247" s="30">
        <v>44139</v>
      </c>
      <c r="B247" s="20">
        <v>90988</v>
      </c>
      <c r="C247" s="20">
        <v>4219</v>
      </c>
      <c r="D247" s="20">
        <v>2063</v>
      </c>
      <c r="E247" s="20">
        <v>21232</v>
      </c>
      <c r="F247" s="20">
        <v>1129648</v>
      </c>
      <c r="G247" s="17">
        <f t="shared" si="204"/>
        <v>115270.20408163265</v>
      </c>
      <c r="H247" s="20"/>
      <c r="I247" s="19">
        <f t="shared" si="234"/>
        <v>4.862335626779149E-2</v>
      </c>
      <c r="J247" s="19">
        <f t="shared" si="231"/>
        <v>8.0545444244578837E-2</v>
      </c>
      <c r="K247" s="19">
        <f t="shared" si="232"/>
        <v>1.5878725637167926E-2</v>
      </c>
      <c r="L247" s="20">
        <v>67693</v>
      </c>
      <c r="M247" s="19">
        <f t="shared" si="235"/>
        <v>2.2673319558623114E-2</v>
      </c>
      <c r="N247" s="19">
        <f t="shared" si="236"/>
        <v>0.23334945267507803</v>
      </c>
      <c r="O247" s="20">
        <v>32743</v>
      </c>
      <c r="P247" s="28">
        <f t="shared" si="253"/>
        <v>17657</v>
      </c>
      <c r="Q247" s="29">
        <f t="shared" si="238"/>
        <v>0.23894206263804724</v>
      </c>
      <c r="R247" s="20">
        <f t="shared" ref="R247:S247" si="295">D247-D246</f>
        <v>90</v>
      </c>
      <c r="S247" s="20">
        <f t="shared" si="295"/>
        <v>376</v>
      </c>
      <c r="T247" s="20">
        <v>4871</v>
      </c>
      <c r="U247" s="20">
        <v>355</v>
      </c>
      <c r="V247" s="19">
        <f t="shared" si="0"/>
        <v>0.74397722776629882</v>
      </c>
      <c r="W247" s="20">
        <f t="shared" ref="W247:X247" si="296">T247-T246</f>
        <v>104</v>
      </c>
      <c r="X247" s="20">
        <f t="shared" si="296"/>
        <v>7</v>
      </c>
      <c r="Y247" s="19">
        <f t="shared" si="96"/>
        <v>7.1957218619355029E-2</v>
      </c>
      <c r="Z247" s="19">
        <f t="shared" si="97"/>
        <v>7.2880312050913568E-2</v>
      </c>
      <c r="AA247" s="21">
        <f t="shared" si="18"/>
        <v>1.590490700184092</v>
      </c>
      <c r="AB247" s="26">
        <f t="shared" si="27"/>
        <v>1.5667518035551937</v>
      </c>
      <c r="AC247" s="23">
        <f t="shared" si="8"/>
        <v>3579.2857142857142</v>
      </c>
      <c r="AD247" s="23">
        <f t="shared" si="25"/>
        <v>69.285714285714292</v>
      </c>
      <c r="AE247" s="23">
        <f t="shared" si="9"/>
        <v>15994.142857142857</v>
      </c>
      <c r="AF247" s="25">
        <f t="shared" si="13"/>
        <v>0.22470960814092708</v>
      </c>
      <c r="AG247" s="25"/>
      <c r="AH247" s="25"/>
      <c r="AI247" s="25"/>
      <c r="AJ247" s="25"/>
      <c r="AK247" s="25"/>
      <c r="AL247" s="25"/>
      <c r="AM247" s="26">
        <f t="shared" si="21"/>
        <v>590.57142857142856</v>
      </c>
    </row>
    <row r="248" spans="1:39" ht="16">
      <c r="A248" s="30">
        <v>44140</v>
      </c>
      <c r="B248" s="20">
        <v>94916</v>
      </c>
      <c r="C248" s="20">
        <v>3928</v>
      </c>
      <c r="D248" s="20">
        <v>2147</v>
      </c>
      <c r="E248" s="20">
        <v>22823</v>
      </c>
      <c r="F248" s="20">
        <v>1147616</v>
      </c>
      <c r="G248" s="17">
        <f t="shared" si="204"/>
        <v>117103.67346938775</v>
      </c>
      <c r="H248" s="20"/>
      <c r="I248" s="19">
        <f t="shared" si="234"/>
        <v>4.3170527981711872E-2</v>
      </c>
      <c r="J248" s="19">
        <f t="shared" si="231"/>
        <v>8.2707107603937208E-2</v>
      </c>
      <c r="K248" s="19">
        <f t="shared" si="232"/>
        <v>1.5905839695197089E-2</v>
      </c>
      <c r="L248" s="20">
        <v>69946</v>
      </c>
      <c r="M248" s="19">
        <f t="shared" si="235"/>
        <v>2.262000084285052E-2</v>
      </c>
      <c r="N248" s="19">
        <f t="shared" si="236"/>
        <v>0.24045471785578829</v>
      </c>
      <c r="O248" s="20">
        <v>34603</v>
      </c>
      <c r="P248" s="28">
        <f t="shared" si="253"/>
        <v>17968</v>
      </c>
      <c r="Q248" s="29">
        <f t="shared" si="238"/>
        <v>0.21861086375779162</v>
      </c>
      <c r="R248" s="20">
        <f t="shared" ref="R248:S248" si="297">D248-D247</f>
        <v>84</v>
      </c>
      <c r="S248" s="20">
        <f t="shared" si="297"/>
        <v>1591</v>
      </c>
      <c r="T248" s="20">
        <v>5183</v>
      </c>
      <c r="U248" s="20">
        <v>378</v>
      </c>
      <c r="V248" s="19">
        <f t="shared" si="0"/>
        <v>0.73692528130136126</v>
      </c>
      <c r="W248" s="20">
        <f t="shared" ref="W248:X248" si="298">T248-T247</f>
        <v>312</v>
      </c>
      <c r="X248" s="20">
        <f t="shared" si="298"/>
        <v>23</v>
      </c>
      <c r="Y248" s="19">
        <f t="shared" si="96"/>
        <v>7.4100020015440485E-2</v>
      </c>
      <c r="Z248" s="19">
        <f t="shared" si="97"/>
        <v>7.2930735095504531E-2</v>
      </c>
      <c r="AA248" s="21">
        <f t="shared" si="18"/>
        <v>1.6832547910775997</v>
      </c>
      <c r="AB248" s="26">
        <f t="shared" si="27"/>
        <v>1.5902729351049927</v>
      </c>
      <c r="AC248" s="23">
        <f t="shared" si="8"/>
        <v>3827</v>
      </c>
      <c r="AD248" s="23">
        <f t="shared" si="25"/>
        <v>73.285714285714292</v>
      </c>
      <c r="AE248" s="23">
        <f t="shared" si="9"/>
        <v>16382</v>
      </c>
      <c r="AF248" s="25">
        <f t="shared" si="13"/>
        <v>0.23539108068401088</v>
      </c>
      <c r="AG248" s="25"/>
      <c r="AH248" s="25"/>
      <c r="AI248" s="25"/>
      <c r="AJ248" s="25"/>
      <c r="AK248" s="25"/>
      <c r="AL248" s="25"/>
      <c r="AM248" s="26">
        <f t="shared" si="21"/>
        <v>764.85714285714289</v>
      </c>
    </row>
    <row r="249" spans="1:39" ht="16">
      <c r="A249" s="30">
        <v>44141</v>
      </c>
      <c r="B249" s="20">
        <v>99625</v>
      </c>
      <c r="C249" s="31">
        <v>4709</v>
      </c>
      <c r="D249" s="20">
        <v>2250</v>
      </c>
      <c r="E249" s="20">
        <v>23213</v>
      </c>
      <c r="F249" s="20">
        <v>1167641</v>
      </c>
      <c r="G249" s="17">
        <f t="shared" si="204"/>
        <v>119147.04081632652</v>
      </c>
      <c r="H249" s="20"/>
      <c r="I249" s="19">
        <f t="shared" si="234"/>
        <v>4.9612288760588312E-2</v>
      </c>
      <c r="J249" s="19">
        <f t="shared" si="231"/>
        <v>8.5321601416873852E-2</v>
      </c>
      <c r="K249" s="19">
        <f t="shared" si="232"/>
        <v>1.7449216462649526E-2</v>
      </c>
      <c r="L249" s="20">
        <v>74162</v>
      </c>
      <c r="M249" s="19">
        <f t="shared" si="235"/>
        <v>2.258469259723965E-2</v>
      </c>
      <c r="N249" s="19">
        <f t="shared" si="236"/>
        <v>0.23300376411543286</v>
      </c>
      <c r="O249" s="20">
        <v>34603</v>
      </c>
      <c r="P249" s="28">
        <f t="shared" si="253"/>
        <v>20025</v>
      </c>
      <c r="Q249" s="29">
        <f t="shared" si="238"/>
        <v>0.23515605493133582</v>
      </c>
      <c r="R249" s="20">
        <f t="shared" ref="R249:S249" si="299">D249-D248</f>
        <v>103</v>
      </c>
      <c r="S249" s="20">
        <f t="shared" si="299"/>
        <v>390</v>
      </c>
      <c r="T249" s="20">
        <v>5489</v>
      </c>
      <c r="U249" s="20">
        <v>391</v>
      </c>
      <c r="V249" s="19">
        <f t="shared" si="0"/>
        <v>0.7444115432873275</v>
      </c>
      <c r="W249" s="20">
        <f t="shared" ref="W249:X249" si="300">T249-T248</f>
        <v>306</v>
      </c>
      <c r="X249" s="20">
        <f t="shared" si="300"/>
        <v>13</v>
      </c>
      <c r="Y249" s="19">
        <f t="shared" si="96"/>
        <v>7.4013645802432512E-2</v>
      </c>
      <c r="Z249" s="19">
        <f t="shared" si="97"/>
        <v>7.1233375842594274E-2</v>
      </c>
      <c r="AA249" s="21">
        <f t="shared" si="18"/>
        <v>1.6464546250364751</v>
      </c>
      <c r="AB249" s="26">
        <f t="shared" si="27"/>
        <v>1.6079514449060037</v>
      </c>
      <c r="AC249" s="23">
        <f t="shared" si="8"/>
        <v>4030.2857142857142</v>
      </c>
      <c r="AD249" s="23">
        <f t="shared" si="25"/>
        <v>78.714285714285708</v>
      </c>
      <c r="AE249" s="23">
        <f t="shared" si="9"/>
        <v>17008.714285714286</v>
      </c>
      <c r="AF249" s="25">
        <f t="shared" si="13"/>
        <v>0.23896634959870794</v>
      </c>
      <c r="AG249" s="25"/>
      <c r="AH249" s="25"/>
      <c r="AI249" s="25"/>
      <c r="AJ249" s="25"/>
      <c r="AK249" s="25"/>
      <c r="AL249" s="25"/>
      <c r="AM249" s="26">
        <f t="shared" si="21"/>
        <v>751.42857142857144</v>
      </c>
    </row>
    <row r="250" spans="1:39" ht="16">
      <c r="A250" s="30">
        <v>44142</v>
      </c>
      <c r="B250" s="20">
        <v>104943</v>
      </c>
      <c r="C250" s="20">
        <v>5318</v>
      </c>
      <c r="D250" s="20">
        <v>2357</v>
      </c>
      <c r="E250" s="20">
        <v>24847</v>
      </c>
      <c r="F250" s="20">
        <v>1189962</v>
      </c>
      <c r="G250" s="17">
        <f t="shared" si="204"/>
        <v>121424.69387755101</v>
      </c>
      <c r="H250" s="20"/>
      <c r="I250" s="19">
        <f t="shared" si="234"/>
        <v>5.3380175658720198E-2</v>
      </c>
      <c r="J250" s="19">
        <f t="shared" si="231"/>
        <v>8.8190211115985212E-2</v>
      </c>
      <c r="K250" s="19">
        <f t="shared" si="232"/>
        <v>1.9116320855468417E-2</v>
      </c>
      <c r="L250" s="20">
        <v>77739</v>
      </c>
      <c r="M250" s="19">
        <f t="shared" si="235"/>
        <v>2.2459811516728129E-2</v>
      </c>
      <c r="N250" s="19">
        <f t="shared" si="236"/>
        <v>0.23676662569204235</v>
      </c>
      <c r="O250" s="20">
        <v>36911</v>
      </c>
      <c r="P250" s="28">
        <f t="shared" si="253"/>
        <v>22321</v>
      </c>
      <c r="Q250" s="29">
        <f t="shared" si="238"/>
        <v>0.23825097441870885</v>
      </c>
      <c r="R250" s="20">
        <f t="shared" ref="R250:S250" si="301">D250-D249</f>
        <v>107</v>
      </c>
      <c r="S250" s="20">
        <f t="shared" si="301"/>
        <v>1634</v>
      </c>
      <c r="T250" s="20">
        <v>5612</v>
      </c>
      <c r="U250" s="20">
        <v>405</v>
      </c>
      <c r="V250" s="19">
        <f t="shared" si="0"/>
        <v>0.74077356279122952</v>
      </c>
      <c r="W250" s="20">
        <f t="shared" ref="W250:X250" si="302">T250-T249</f>
        <v>123</v>
      </c>
      <c r="X250" s="20">
        <f t="shared" si="302"/>
        <v>14</v>
      </c>
      <c r="Y250" s="19">
        <f t="shared" si="96"/>
        <v>7.219027772417963E-2</v>
      </c>
      <c r="Z250" s="19">
        <f t="shared" si="97"/>
        <v>7.2166785459729155E-2</v>
      </c>
      <c r="AA250" s="21">
        <f t="shared" si="18"/>
        <v>1.5409665504863965</v>
      </c>
      <c r="AB250" s="26">
        <f t="shared" si="27"/>
        <v>1.5846803002582404</v>
      </c>
      <c r="AC250" s="23">
        <f t="shared" si="8"/>
        <v>4231.7142857142853</v>
      </c>
      <c r="AD250" s="23">
        <f t="shared" si="25"/>
        <v>86.714285714285708</v>
      </c>
      <c r="AE250" s="23">
        <f t="shared" si="9"/>
        <v>17831.285714285714</v>
      </c>
      <c r="AF250" s="25">
        <f t="shared" si="13"/>
        <v>0.2392954039392525</v>
      </c>
      <c r="AG250" s="25"/>
      <c r="AH250" s="25"/>
      <c r="AI250" s="25"/>
      <c r="AJ250" s="25"/>
      <c r="AK250" s="25"/>
      <c r="AL250" s="25"/>
      <c r="AM250" s="26">
        <f t="shared" si="21"/>
        <v>830.71428571428567</v>
      </c>
    </row>
    <row r="251" spans="1:39" ht="16">
      <c r="A251" s="30">
        <v>44143</v>
      </c>
      <c r="B251" s="20">
        <v>109616</v>
      </c>
      <c r="C251" s="20">
        <v>4673</v>
      </c>
      <c r="D251" s="20">
        <v>2438</v>
      </c>
      <c r="E251" s="20">
        <v>25070</v>
      </c>
      <c r="F251" s="20">
        <v>1209151</v>
      </c>
      <c r="G251" s="17">
        <f t="shared" si="204"/>
        <v>123382.75510204081</v>
      </c>
      <c r="H251" s="20"/>
      <c r="I251" s="19">
        <f t="shared" si="234"/>
        <v>4.4528934755057509E-2</v>
      </c>
      <c r="J251" s="19">
        <f t="shared" si="231"/>
        <v>9.0655344121619214E-2</v>
      </c>
      <c r="K251" s="19">
        <f t="shared" si="232"/>
        <v>1.6125725023151998E-2</v>
      </c>
      <c r="L251" s="20">
        <v>82108</v>
      </c>
      <c r="M251" s="19">
        <f t="shared" si="235"/>
        <v>2.2241278645453218E-2</v>
      </c>
      <c r="N251" s="19">
        <f t="shared" si="236"/>
        <v>0.22870748795796234</v>
      </c>
      <c r="O251" s="20">
        <v>34287</v>
      </c>
      <c r="P251" s="28">
        <f t="shared" si="253"/>
        <v>19189</v>
      </c>
      <c r="Q251" s="29">
        <f t="shared" si="238"/>
        <v>0.24352493616134244</v>
      </c>
      <c r="R251" s="20">
        <f t="shared" ref="R251:S251" si="303">D251-D250</f>
        <v>81</v>
      </c>
      <c r="S251" s="20">
        <f t="shared" si="303"/>
        <v>223</v>
      </c>
      <c r="T251" s="20">
        <v>5803</v>
      </c>
      <c r="U251" s="20">
        <v>417</v>
      </c>
      <c r="V251" s="19">
        <f t="shared" si="0"/>
        <v>0.74905123339658441</v>
      </c>
      <c r="W251" s="20">
        <f t="shared" ref="W251:X251" si="304">T251-T250</f>
        <v>191</v>
      </c>
      <c r="X251" s="20">
        <f t="shared" si="304"/>
        <v>12</v>
      </c>
      <c r="Y251" s="19">
        <f t="shared" si="96"/>
        <v>7.0675208262288694E-2</v>
      </c>
      <c r="Z251" s="19">
        <f t="shared" si="97"/>
        <v>7.1859383077718428E-2</v>
      </c>
      <c r="AA251" s="21">
        <f t="shared" si="18"/>
        <v>1.52450882117081</v>
      </c>
      <c r="AB251" s="26">
        <f t="shared" si="27"/>
        <v>1.5824869000654067</v>
      </c>
      <c r="AC251" s="23">
        <f t="shared" si="8"/>
        <v>4345.2857142857147</v>
      </c>
      <c r="AD251" s="23">
        <f t="shared" si="25"/>
        <v>88.428571428571431</v>
      </c>
      <c r="AE251" s="23">
        <f t="shared" si="9"/>
        <v>17915.428571428572</v>
      </c>
      <c r="AF251" s="25">
        <f t="shared" si="13"/>
        <v>0.24429973429717083</v>
      </c>
      <c r="AG251" s="25"/>
      <c r="AH251" s="25"/>
      <c r="AI251" s="25"/>
      <c r="AJ251" s="25"/>
      <c r="AK251" s="25"/>
      <c r="AL251" s="25"/>
      <c r="AM251" s="26">
        <f t="shared" si="21"/>
        <v>713.14285714285711</v>
      </c>
    </row>
    <row r="252" spans="1:39" ht="16">
      <c r="A252" s="30">
        <v>44144</v>
      </c>
      <c r="B252" s="20">
        <v>114778</v>
      </c>
      <c r="C252" s="20">
        <v>5162</v>
      </c>
      <c r="D252" s="20">
        <v>2493</v>
      </c>
      <c r="E252" s="20">
        <v>26161</v>
      </c>
      <c r="F252" s="20">
        <v>1225399</v>
      </c>
      <c r="G252" s="17">
        <f t="shared" si="204"/>
        <v>125040.71428571428</v>
      </c>
      <c r="H252" s="20"/>
      <c r="I252" s="19">
        <f t="shared" si="234"/>
        <v>4.7091665450299226E-2</v>
      </c>
      <c r="J252" s="19">
        <f t="shared" si="231"/>
        <v>9.3665818235529816E-2</v>
      </c>
      <c r="K252" s="19">
        <f t="shared" si="232"/>
        <v>1.343752765370082E-2</v>
      </c>
      <c r="L252" s="20">
        <v>86134</v>
      </c>
      <c r="M252" s="19">
        <f t="shared" si="235"/>
        <v>2.1720190280367316E-2</v>
      </c>
      <c r="N252" s="19">
        <f t="shared" si="236"/>
        <v>0.22792695464287582</v>
      </c>
      <c r="O252" s="20">
        <v>36356</v>
      </c>
      <c r="P252" s="28">
        <f t="shared" si="253"/>
        <v>16248</v>
      </c>
      <c r="Q252" s="29">
        <f t="shared" si="238"/>
        <v>0.31770064007877891</v>
      </c>
      <c r="R252" s="20">
        <f t="shared" ref="R252:S252" si="305">D252-D251</f>
        <v>55</v>
      </c>
      <c r="S252" s="20">
        <f t="shared" si="305"/>
        <v>1091</v>
      </c>
      <c r="T252" s="20">
        <v>6061</v>
      </c>
      <c r="U252" s="20">
        <v>415</v>
      </c>
      <c r="V252" s="19">
        <f t="shared" si="0"/>
        <v>0.75043997978706722</v>
      </c>
      <c r="W252" s="20">
        <f t="shared" ref="W252:X252" si="306">T252-T251</f>
        <v>258</v>
      </c>
      <c r="X252" s="20">
        <f t="shared" si="306"/>
        <v>-2</v>
      </c>
      <c r="Y252" s="19">
        <f t="shared" si="96"/>
        <v>7.0367102421807881E-2</v>
      </c>
      <c r="Z252" s="19">
        <f t="shared" si="97"/>
        <v>6.8470549414288068E-2</v>
      </c>
      <c r="AA252" s="21">
        <f t="shared" si="18"/>
        <v>1.5081302728943771</v>
      </c>
      <c r="AB252" s="26">
        <f t="shared" si="27"/>
        <v>1.5782167930346807</v>
      </c>
      <c r="AC252" s="23">
        <f t="shared" si="8"/>
        <v>4571.1428571428569</v>
      </c>
      <c r="AD252" s="23">
        <f t="shared" si="25"/>
        <v>86.285714285714292</v>
      </c>
      <c r="AE252" s="23">
        <f t="shared" si="9"/>
        <v>18289.714285714286</v>
      </c>
      <c r="AF252" s="25">
        <f t="shared" si="13"/>
        <v>0.25214727846038099</v>
      </c>
      <c r="AG252" s="25"/>
      <c r="AH252" s="25"/>
      <c r="AI252" s="25"/>
      <c r="AJ252" s="25"/>
      <c r="AK252" s="25"/>
      <c r="AL252" s="25"/>
      <c r="AM252" s="26">
        <f t="shared" si="21"/>
        <v>812.14285714285711</v>
      </c>
    </row>
    <row r="253" spans="1:39" ht="16">
      <c r="A253" s="30">
        <v>44145</v>
      </c>
      <c r="B253" s="20">
        <v>118918</v>
      </c>
      <c r="C253" s="20">
        <v>4140</v>
      </c>
      <c r="D253" s="20">
        <v>2596</v>
      </c>
      <c r="E253" s="20">
        <v>27585</v>
      </c>
      <c r="F253" s="20">
        <v>1238467</v>
      </c>
      <c r="G253" s="17">
        <f t="shared" si="204"/>
        <v>126374.18367346938</v>
      </c>
      <c r="H253" s="20"/>
      <c r="I253" s="19">
        <f t="shared" si="234"/>
        <v>3.6069630068480026E-2</v>
      </c>
      <c r="J253" s="19">
        <f t="shared" si="231"/>
        <v>9.6020321897959338E-2</v>
      </c>
      <c r="K253" s="19">
        <f t="shared" si="232"/>
        <v>1.0664281593179038E-2</v>
      </c>
      <c r="L253" s="20">
        <v>88737</v>
      </c>
      <c r="M253" s="19">
        <f t="shared" si="235"/>
        <v>2.1830168687667132E-2</v>
      </c>
      <c r="N253" s="19">
        <f t="shared" si="236"/>
        <v>0.23196656519618561</v>
      </c>
      <c r="O253" s="20">
        <v>36078</v>
      </c>
      <c r="P253" s="28">
        <f t="shared" si="253"/>
        <v>13068</v>
      </c>
      <c r="Q253" s="29">
        <f t="shared" si="238"/>
        <v>0.3168044077134986</v>
      </c>
      <c r="R253" s="20">
        <f t="shared" ref="R253:S253" si="307">D253-D252</f>
        <v>103</v>
      </c>
      <c r="S253" s="20">
        <f t="shared" si="307"/>
        <v>1424</v>
      </c>
      <c r="T253" s="20">
        <v>6153</v>
      </c>
      <c r="U253" s="20">
        <v>461</v>
      </c>
      <c r="V253" s="19">
        <f t="shared" si="0"/>
        <v>0.74620326611614729</v>
      </c>
      <c r="W253" s="20">
        <f t="shared" ref="W253:X253" si="308">T253-T252</f>
        <v>92</v>
      </c>
      <c r="X253" s="20">
        <f t="shared" si="308"/>
        <v>46</v>
      </c>
      <c r="Y253" s="19">
        <f t="shared" si="96"/>
        <v>6.9339734270935455E-2</v>
      </c>
      <c r="Z253" s="19">
        <f t="shared" si="97"/>
        <v>7.4922801885259224E-2</v>
      </c>
      <c r="AA253" s="21">
        <f t="shared" si="18"/>
        <v>1.390106801573918</v>
      </c>
      <c r="AB253" s="26">
        <f t="shared" si="27"/>
        <v>1.5548446517748098</v>
      </c>
      <c r="AC253" s="23">
        <f t="shared" si="8"/>
        <v>4592.7142857142853</v>
      </c>
      <c r="AD253" s="23">
        <f t="shared" si="25"/>
        <v>89</v>
      </c>
      <c r="AE253" s="23">
        <f t="shared" si="9"/>
        <v>18068</v>
      </c>
      <c r="AF253" s="25">
        <f t="shared" si="13"/>
        <v>0.25842713424278624</v>
      </c>
      <c r="AG253" s="25"/>
      <c r="AH253" s="25"/>
      <c r="AI253" s="25"/>
      <c r="AJ253" s="25"/>
      <c r="AK253" s="25"/>
      <c r="AL253" s="25"/>
      <c r="AM253" s="26">
        <f t="shared" si="21"/>
        <v>961.28571428571433</v>
      </c>
    </row>
    <row r="254" spans="1:39" ht="16">
      <c r="A254" s="30">
        <v>44146</v>
      </c>
      <c r="B254" s="20">
        <v>122863</v>
      </c>
      <c r="C254" s="20">
        <v>3945</v>
      </c>
      <c r="D254" s="20">
        <v>2697</v>
      </c>
      <c r="E254" s="20">
        <v>28808</v>
      </c>
      <c r="F254" s="20">
        <v>1259454</v>
      </c>
      <c r="G254" s="17">
        <f t="shared" si="204"/>
        <v>128515.71428571428</v>
      </c>
      <c r="H254" s="20"/>
      <c r="I254" s="19">
        <f t="shared" si="234"/>
        <v>3.3174119981836225E-2</v>
      </c>
      <c r="J254" s="19">
        <f t="shared" si="231"/>
        <v>9.7552590249425544E-2</v>
      </c>
      <c r="K254" s="19">
        <f t="shared" si="232"/>
        <v>1.6945950114133038E-2</v>
      </c>
      <c r="L254" s="20">
        <v>91358</v>
      </c>
      <c r="M254" s="19">
        <f t="shared" si="235"/>
        <v>2.1951279066928203E-2</v>
      </c>
      <c r="N254" s="19">
        <f t="shared" si="236"/>
        <v>0.23447254258808592</v>
      </c>
      <c r="O254" s="20">
        <v>36492</v>
      </c>
      <c r="P254" s="28">
        <f t="shared" si="253"/>
        <v>20987</v>
      </c>
      <c r="Q254" s="29">
        <f t="shared" si="238"/>
        <v>0.18797350740934865</v>
      </c>
      <c r="R254" s="20">
        <f t="shared" ref="R254:S254" si="309">D254-D253</f>
        <v>101</v>
      </c>
      <c r="S254" s="20">
        <f t="shared" si="309"/>
        <v>1223</v>
      </c>
      <c r="T254" s="20">
        <v>6352</v>
      </c>
      <c r="U254" s="20">
        <v>473</v>
      </c>
      <c r="V254" s="19">
        <f t="shared" si="0"/>
        <v>0.74357617834498591</v>
      </c>
      <c r="W254" s="20">
        <f t="shared" ref="W254:X254" si="310">T254-T253</f>
        <v>199</v>
      </c>
      <c r="X254" s="20">
        <f t="shared" si="310"/>
        <v>12</v>
      </c>
      <c r="Y254" s="19">
        <f t="shared" si="96"/>
        <v>6.9528667440180394E-2</v>
      </c>
      <c r="Z254" s="19">
        <f t="shared" si="97"/>
        <v>7.4464735516372796E-2</v>
      </c>
      <c r="AA254" s="21">
        <f t="shared" si="18"/>
        <v>1.2722011574536021</v>
      </c>
      <c r="AB254" s="26">
        <f t="shared" si="27"/>
        <v>1.5093747170990253</v>
      </c>
      <c r="AC254" s="23">
        <f t="shared" si="8"/>
        <v>4553.5714285714284</v>
      </c>
      <c r="AD254" s="23">
        <f t="shared" si="25"/>
        <v>90.571428571428569</v>
      </c>
      <c r="AE254" s="23">
        <f t="shared" si="9"/>
        <v>18543.714285714286</v>
      </c>
      <c r="AF254" s="25">
        <f t="shared" si="13"/>
        <v>0.25114591206725784</v>
      </c>
      <c r="AG254" s="25"/>
      <c r="AH254" s="25"/>
      <c r="AI254" s="25"/>
      <c r="AJ254" s="25"/>
      <c r="AK254" s="25"/>
      <c r="AL254" s="25"/>
      <c r="AM254" s="26">
        <f t="shared" si="21"/>
        <v>1082.2857142857142</v>
      </c>
    </row>
    <row r="255" spans="1:39" ht="16">
      <c r="A255" s="30">
        <v>44147</v>
      </c>
      <c r="B255" s="20">
        <v>126790</v>
      </c>
      <c r="C255" s="20">
        <v>3927</v>
      </c>
      <c r="D255" s="20">
        <v>2784</v>
      </c>
      <c r="E255" s="20">
        <v>29302</v>
      </c>
      <c r="F255" s="20">
        <v>1282975</v>
      </c>
      <c r="G255" s="17">
        <f t="shared" si="204"/>
        <v>130915.81632653061</v>
      </c>
      <c r="H255" s="20"/>
      <c r="I255" s="19">
        <f t="shared" si="234"/>
        <v>3.1962429698119042E-2</v>
      </c>
      <c r="J255" s="19">
        <f t="shared" si="231"/>
        <v>9.8824996589956943E-2</v>
      </c>
      <c r="K255" s="19">
        <f t="shared" si="232"/>
        <v>1.8675553057118401E-2</v>
      </c>
      <c r="L255" s="20">
        <v>94704</v>
      </c>
      <c r="M255" s="19">
        <f t="shared" si="235"/>
        <v>2.195756763151668E-2</v>
      </c>
      <c r="N255" s="19">
        <f t="shared" si="236"/>
        <v>0.23110655414464862</v>
      </c>
      <c r="O255" s="20">
        <v>34040</v>
      </c>
      <c r="P255" s="28">
        <f t="shared" si="253"/>
        <v>23521</v>
      </c>
      <c r="Q255" s="29">
        <f t="shared" si="238"/>
        <v>0.16695718719442201</v>
      </c>
      <c r="R255" s="20">
        <f t="shared" ref="R255:S255" si="311">D255-D254</f>
        <v>87</v>
      </c>
      <c r="S255" s="20">
        <f t="shared" si="311"/>
        <v>494</v>
      </c>
      <c r="T255" s="20">
        <v>6426</v>
      </c>
      <c r="U255" s="20">
        <v>486</v>
      </c>
      <c r="V255" s="19">
        <f t="shared" si="0"/>
        <v>0.74693587822383467</v>
      </c>
      <c r="W255" s="20">
        <f t="shared" ref="W255:X255" si="312">T255-T254</f>
        <v>74</v>
      </c>
      <c r="X255" s="20">
        <f t="shared" si="312"/>
        <v>13</v>
      </c>
      <c r="Y255" s="19">
        <f t="shared" si="96"/>
        <v>6.7853522554485554E-2</v>
      </c>
      <c r="Z255" s="19">
        <f t="shared" si="97"/>
        <v>7.5630252100840331E-2</v>
      </c>
      <c r="AA255" s="21">
        <f t="shared" si="18"/>
        <v>1.1898167158161932</v>
      </c>
      <c r="AB255" s="26">
        <f t="shared" si="27"/>
        <v>1.438883563490253</v>
      </c>
      <c r="AC255" s="23">
        <f t="shared" si="8"/>
        <v>4553.4285714285716</v>
      </c>
      <c r="AD255" s="23">
        <f t="shared" si="25"/>
        <v>91</v>
      </c>
      <c r="AE255" s="23">
        <f t="shared" si="9"/>
        <v>19337</v>
      </c>
      <c r="AF255" s="25">
        <f t="shared" si="13"/>
        <v>0.24376681541534789</v>
      </c>
      <c r="AG255" s="25"/>
      <c r="AH255" s="25"/>
      <c r="AI255" s="25"/>
      <c r="AJ255" s="25"/>
      <c r="AK255" s="25"/>
      <c r="AL255" s="25"/>
      <c r="AM255" s="26">
        <f t="shared" si="21"/>
        <v>925.57142857142856</v>
      </c>
    </row>
    <row r="256" spans="1:39" ht="16">
      <c r="A256" s="30">
        <v>44148</v>
      </c>
      <c r="B256" s="20">
        <v>131887</v>
      </c>
      <c r="C256" s="20">
        <v>5097</v>
      </c>
      <c r="D256" s="20">
        <v>2883</v>
      </c>
      <c r="E256" s="20">
        <v>29802</v>
      </c>
      <c r="F256" s="20">
        <v>1306887</v>
      </c>
      <c r="G256" s="17">
        <f t="shared" si="204"/>
        <v>133355.81632653059</v>
      </c>
      <c r="H256" s="20"/>
      <c r="I256" s="19">
        <f t="shared" si="234"/>
        <v>4.0200331256408234E-2</v>
      </c>
      <c r="J256" s="19">
        <f t="shared" si="231"/>
        <v>0.1009169117146318</v>
      </c>
      <c r="K256" s="19">
        <f t="shared" si="232"/>
        <v>1.8637931370447593E-2</v>
      </c>
      <c r="L256" s="20">
        <v>99202</v>
      </c>
      <c r="M256" s="19">
        <f t="shared" si="235"/>
        <v>2.1859622252382721E-2</v>
      </c>
      <c r="N256" s="19">
        <f t="shared" si="236"/>
        <v>0.22596616800746094</v>
      </c>
      <c r="O256" s="20">
        <v>36166</v>
      </c>
      <c r="P256" s="28">
        <f t="shared" si="253"/>
        <v>23912</v>
      </c>
      <c r="Q256" s="29">
        <f t="shared" si="238"/>
        <v>0.21315657410505184</v>
      </c>
      <c r="R256" s="20">
        <f t="shared" ref="R256:S256" si="313">D256-D255</f>
        <v>99</v>
      </c>
      <c r="S256" s="20">
        <f t="shared" si="313"/>
        <v>500</v>
      </c>
      <c r="T256" s="20">
        <v>6690</v>
      </c>
      <c r="U256" s="20">
        <v>518</v>
      </c>
      <c r="V256" s="19">
        <f t="shared" si="0"/>
        <v>0.75217420974015636</v>
      </c>
      <c r="W256" s="20">
        <f t="shared" ref="W256:X256" si="314">T256-T255</f>
        <v>264</v>
      </c>
      <c r="X256" s="20">
        <f t="shared" si="314"/>
        <v>32</v>
      </c>
      <c r="Y256" s="19">
        <f t="shared" si="96"/>
        <v>6.7438156488780474E-2</v>
      </c>
      <c r="Z256" s="19">
        <f t="shared" si="97"/>
        <v>7.7428998505231689E-2</v>
      </c>
      <c r="AA256" s="21">
        <f t="shared" si="18"/>
        <v>1.1435559336452574</v>
      </c>
      <c r="AB256" s="26">
        <f t="shared" si="27"/>
        <v>1.3670408932915077</v>
      </c>
      <c r="AC256" s="23">
        <f t="shared" si="8"/>
        <v>4608.8571428571431</v>
      </c>
      <c r="AD256" s="23">
        <f t="shared" si="25"/>
        <v>90.428571428571431</v>
      </c>
      <c r="AE256" s="23">
        <f t="shared" si="9"/>
        <v>19892.285714285714</v>
      </c>
      <c r="AF256" s="25">
        <f t="shared" si="13"/>
        <v>0.24062403244016448</v>
      </c>
      <c r="AG256" s="25"/>
      <c r="AH256" s="25"/>
      <c r="AI256" s="25"/>
      <c r="AJ256" s="25"/>
      <c r="AK256" s="25"/>
      <c r="AL256" s="25"/>
      <c r="AM256" s="26">
        <f t="shared" si="21"/>
        <v>941.28571428571433</v>
      </c>
    </row>
    <row r="257" spans="1:39" ht="16">
      <c r="A257" s="30">
        <v>44149</v>
      </c>
      <c r="B257" s="20">
        <v>136723</v>
      </c>
      <c r="C257" s="20">
        <v>4836</v>
      </c>
      <c r="D257" s="18">
        <v>2990</v>
      </c>
      <c r="E257" s="18">
        <v>31126</v>
      </c>
      <c r="F257" s="20">
        <v>1326027</v>
      </c>
      <c r="G257" s="17">
        <f t="shared" si="204"/>
        <v>135308.87755102038</v>
      </c>
      <c r="H257" s="20"/>
      <c r="I257" s="19">
        <f t="shared" si="234"/>
        <v>3.6667753455609728E-2</v>
      </c>
      <c r="J257" s="19">
        <f t="shared" si="231"/>
        <v>0.10310725196394946</v>
      </c>
      <c r="K257" s="19">
        <f t="shared" si="232"/>
        <v>1.4645489625346338E-2</v>
      </c>
      <c r="L257" s="20">
        <v>102607</v>
      </c>
      <c r="M257" s="19">
        <f t="shared" si="235"/>
        <v>2.1869034471157012E-2</v>
      </c>
      <c r="N257" s="19">
        <f t="shared" si="236"/>
        <v>0.22765738025057963</v>
      </c>
      <c r="O257" s="20">
        <v>36166</v>
      </c>
      <c r="P257" s="28">
        <f t="shared" si="253"/>
        <v>19140</v>
      </c>
      <c r="Q257" s="29">
        <f t="shared" si="238"/>
        <v>0.25266457680250781</v>
      </c>
      <c r="R257" s="20">
        <f t="shared" ref="R257:S257" si="315">D257-D256</f>
        <v>107</v>
      </c>
      <c r="S257" s="20">
        <f t="shared" si="315"/>
        <v>1324</v>
      </c>
      <c r="T257" s="20">
        <v>7029</v>
      </c>
      <c r="U257" s="20">
        <v>531</v>
      </c>
      <c r="V257" s="19">
        <f t="shared" ref="V257:V466" si="316">L257/B257</f>
        <v>0.75047358527826336</v>
      </c>
      <c r="W257" s="20">
        <f t="shared" ref="W257:X257" si="317">T257-T256</f>
        <v>339</v>
      </c>
      <c r="X257" s="20">
        <f t="shared" si="317"/>
        <v>13</v>
      </c>
      <c r="Y257" s="19">
        <f t="shared" si="96"/>
        <v>6.8504098160944188E-2</v>
      </c>
      <c r="Z257" s="19">
        <f t="shared" si="97"/>
        <v>7.5544174135723438E-2</v>
      </c>
      <c r="AA257" s="21">
        <f t="shared" si="18"/>
        <v>1.0728512591992438</v>
      </c>
      <c r="AB257" s="26">
        <f t="shared" si="27"/>
        <v>1.300167280250486</v>
      </c>
      <c r="AC257" s="23">
        <f t="shared" si="8"/>
        <v>4540</v>
      </c>
      <c r="AD257" s="23">
        <f t="shared" si="25"/>
        <v>90.428571428571431</v>
      </c>
      <c r="AE257" s="23">
        <f t="shared" si="9"/>
        <v>19437.857142857141</v>
      </c>
      <c r="AF257" s="25">
        <f t="shared" si="13"/>
        <v>0.24268311849499288</v>
      </c>
      <c r="AG257" s="25"/>
      <c r="AH257" s="25"/>
      <c r="AI257" s="25"/>
      <c r="AJ257" s="25"/>
      <c r="AK257" s="25"/>
      <c r="AL257" s="25"/>
      <c r="AM257" s="26">
        <f t="shared" si="21"/>
        <v>897</v>
      </c>
    </row>
    <row r="258" spans="1:39" ht="16">
      <c r="A258" s="30">
        <v>44150</v>
      </c>
      <c r="B258" s="20">
        <v>140961</v>
      </c>
      <c r="C258" s="20">
        <v>4238</v>
      </c>
      <c r="D258" s="18">
        <v>3097</v>
      </c>
      <c r="E258" s="18">
        <v>31599</v>
      </c>
      <c r="F258" s="20">
        <v>1354742</v>
      </c>
      <c r="G258" s="17">
        <f t="shared" si="204"/>
        <v>138238.97959183672</v>
      </c>
      <c r="H258" s="20"/>
      <c r="I258" s="19">
        <f t="shared" si="234"/>
        <v>3.0996979293900807E-2</v>
      </c>
      <c r="J258" s="19">
        <f t="shared" si="231"/>
        <v>0.10405007005023835</v>
      </c>
      <c r="K258" s="19">
        <f t="shared" si="232"/>
        <v>2.1654913512319129E-2</v>
      </c>
      <c r="L258" s="20">
        <v>106265</v>
      </c>
      <c r="M258" s="19">
        <f t="shared" si="235"/>
        <v>2.1970615985981937E-2</v>
      </c>
      <c r="N258" s="19">
        <f t="shared" si="236"/>
        <v>0.22416838700065975</v>
      </c>
      <c r="O258" s="20">
        <v>36411</v>
      </c>
      <c r="P258" s="28">
        <f t="shared" si="253"/>
        <v>28715</v>
      </c>
      <c r="Q258" s="29">
        <f t="shared" si="238"/>
        <v>0.14758836844854606</v>
      </c>
      <c r="R258" s="20">
        <f t="shared" ref="R258:S258" si="318">D258-D257</f>
        <v>107</v>
      </c>
      <c r="S258" s="20">
        <f t="shared" si="318"/>
        <v>473</v>
      </c>
      <c r="T258" s="20">
        <v>7013</v>
      </c>
      <c r="U258" s="20">
        <v>569</v>
      </c>
      <c r="V258" s="19">
        <f t="shared" si="316"/>
        <v>0.75386099701335829</v>
      </c>
      <c r="W258" s="20">
        <f t="shared" ref="W258:X258" si="319">T258-T257</f>
        <v>-16</v>
      </c>
      <c r="X258" s="20">
        <f t="shared" si="319"/>
        <v>38</v>
      </c>
      <c r="Y258" s="19">
        <f t="shared" si="96"/>
        <v>6.5995388886274875E-2</v>
      </c>
      <c r="Z258" s="19">
        <f t="shared" si="97"/>
        <v>8.113503493512049E-2</v>
      </c>
      <c r="AA258" s="21">
        <f t="shared" si="18"/>
        <v>1.0305092546930992</v>
      </c>
      <c r="AB258" s="26">
        <f t="shared" si="27"/>
        <v>1.229595913610813</v>
      </c>
      <c r="AC258" s="23">
        <f t="shared" si="8"/>
        <v>4477.8571428571431</v>
      </c>
      <c r="AD258" s="23">
        <f t="shared" si="25"/>
        <v>94.142857142857139</v>
      </c>
      <c r="AE258" s="23">
        <f t="shared" si="9"/>
        <v>20798.714285714286</v>
      </c>
      <c r="AF258" s="25">
        <f t="shared" si="13"/>
        <v>0.22897789453602199</v>
      </c>
      <c r="AG258" s="25"/>
      <c r="AH258" s="25"/>
      <c r="AI258" s="25"/>
      <c r="AJ258" s="25"/>
      <c r="AK258" s="25"/>
      <c r="AL258" s="25"/>
      <c r="AM258" s="26">
        <f t="shared" si="21"/>
        <v>932.71428571428567</v>
      </c>
    </row>
    <row r="259" spans="1:39" ht="16">
      <c r="A259" s="30">
        <v>44151</v>
      </c>
      <c r="B259" s="20">
        <v>147456</v>
      </c>
      <c r="C259" s="20">
        <v>6495</v>
      </c>
      <c r="D259" s="20">
        <v>3190</v>
      </c>
      <c r="E259" s="20">
        <v>34010</v>
      </c>
      <c r="F259" s="20">
        <v>1360840</v>
      </c>
      <c r="G259" s="17">
        <f t="shared" si="204"/>
        <v>138861.22448979592</v>
      </c>
      <c r="H259" s="20"/>
      <c r="I259" s="19">
        <f t="shared" si="234"/>
        <v>4.6076574371634704E-2</v>
      </c>
      <c r="J259" s="19">
        <f t="shared" si="231"/>
        <v>0.10835660327444814</v>
      </c>
      <c r="K259" s="19">
        <f t="shared" si="232"/>
        <v>4.5012260637080715E-3</v>
      </c>
      <c r="L259" s="20">
        <v>110256</v>
      </c>
      <c r="M259" s="19">
        <f t="shared" si="235"/>
        <v>2.1633572048611112E-2</v>
      </c>
      <c r="N259" s="19">
        <f t="shared" si="236"/>
        <v>0.23064507378472221</v>
      </c>
      <c r="O259" s="20">
        <v>35090</v>
      </c>
      <c r="P259" s="28">
        <f t="shared" si="253"/>
        <v>6098</v>
      </c>
      <c r="Q259" s="29"/>
      <c r="R259" s="20">
        <f t="shared" ref="R259:S259" si="320">D259-D258</f>
        <v>93</v>
      </c>
      <c r="S259" s="20">
        <f t="shared" si="320"/>
        <v>2411</v>
      </c>
      <c r="T259" s="20">
        <v>7236</v>
      </c>
      <c r="U259" s="20">
        <v>582</v>
      </c>
      <c r="V259" s="19">
        <f t="shared" si="316"/>
        <v>0.74772135416666663</v>
      </c>
      <c r="W259" s="20">
        <f t="shared" ref="W259:X259" si="321">T259-T258</f>
        <v>223</v>
      </c>
      <c r="X259" s="20">
        <f t="shared" si="321"/>
        <v>13</v>
      </c>
      <c r="Y259" s="19">
        <f t="shared" si="96"/>
        <v>6.5629081410535486E-2</v>
      </c>
      <c r="Z259" s="19">
        <f t="shared" si="97"/>
        <v>8.0431177446102814E-2</v>
      </c>
      <c r="AA259" s="21">
        <f t="shared" si="18"/>
        <v>1.0212513282080129</v>
      </c>
      <c r="AB259" s="26">
        <f t="shared" si="27"/>
        <v>1.1600417786556181</v>
      </c>
      <c r="AC259" s="23">
        <f t="shared" si="8"/>
        <v>4668.2857142857147</v>
      </c>
      <c r="AD259" s="23">
        <f t="shared" si="25"/>
        <v>99.571428571428569</v>
      </c>
      <c r="AE259" s="23">
        <f t="shared" si="9"/>
        <v>19348.714285714286</v>
      </c>
      <c r="AF259" s="25">
        <f t="shared" si="13"/>
        <v>0.18359208881048211</v>
      </c>
      <c r="AG259" s="25"/>
      <c r="AH259" s="25"/>
      <c r="AI259" s="25"/>
      <c r="AJ259" s="25"/>
      <c r="AK259" s="25"/>
      <c r="AL259" s="25"/>
      <c r="AM259" s="26">
        <f t="shared" si="21"/>
        <v>1121.2857142857142</v>
      </c>
    </row>
    <row r="260" spans="1:39" ht="16">
      <c r="A260" s="30">
        <v>44152</v>
      </c>
      <c r="B260" s="20">
        <v>152659</v>
      </c>
      <c r="C260" s="20">
        <v>5203</v>
      </c>
      <c r="D260" s="20">
        <v>3281</v>
      </c>
      <c r="E260" s="20">
        <v>34185</v>
      </c>
      <c r="F260" s="20">
        <v>1388132</v>
      </c>
      <c r="G260" s="17">
        <f t="shared" si="204"/>
        <v>141646.12244897959</v>
      </c>
      <c r="H260" s="20"/>
      <c r="I260" s="19">
        <f t="shared" si="234"/>
        <v>3.5285101996527776E-2</v>
      </c>
      <c r="J260" s="19">
        <f t="shared" si="231"/>
        <v>0.10997441165537572</v>
      </c>
      <c r="K260" s="19">
        <f t="shared" si="232"/>
        <v>2.0055259986478939E-2</v>
      </c>
      <c r="L260" s="20">
        <v>115193</v>
      </c>
      <c r="M260" s="19">
        <f t="shared" si="235"/>
        <v>2.1492345685482021E-2</v>
      </c>
      <c r="N260" s="19">
        <f t="shared" si="236"/>
        <v>0.22393045938988201</v>
      </c>
      <c r="O260" s="20">
        <v>35042</v>
      </c>
      <c r="P260" s="28">
        <f t="shared" si="253"/>
        <v>27292</v>
      </c>
      <c r="Q260" s="29">
        <f t="shared" ref="Q260:Q466" si="322">C260/P260</f>
        <v>0.19064194635790707</v>
      </c>
      <c r="R260" s="20">
        <f t="shared" ref="R260:S260" si="323">D260-D259</f>
        <v>91</v>
      </c>
      <c r="S260" s="20">
        <f t="shared" si="323"/>
        <v>175</v>
      </c>
      <c r="T260" s="20">
        <v>7477</v>
      </c>
      <c r="U260" s="20">
        <v>576</v>
      </c>
      <c r="V260" s="19">
        <f t="shared" si="316"/>
        <v>0.75457719492463593</v>
      </c>
      <c r="W260" s="20">
        <f t="shared" ref="W260:X260" si="324">T260-T259</f>
        <v>241</v>
      </c>
      <c r="X260" s="20">
        <f t="shared" si="324"/>
        <v>-6</v>
      </c>
      <c r="Y260" s="19">
        <f t="shared" si="96"/>
        <v>6.4908457979217488E-2</v>
      </c>
      <c r="Z260" s="19">
        <f t="shared" si="97"/>
        <v>7.7036244483081454E-2</v>
      </c>
      <c r="AA260" s="21">
        <f t="shared" si="18"/>
        <v>1.0495194251765219</v>
      </c>
      <c r="AB260" s="26">
        <f t="shared" si="27"/>
        <v>1.1113864391702759</v>
      </c>
      <c r="AC260" s="23">
        <f t="shared" si="8"/>
        <v>4820.1428571428569</v>
      </c>
      <c r="AD260" s="23">
        <f t="shared" si="25"/>
        <v>97.857142857142861</v>
      </c>
      <c r="AE260" s="23">
        <f t="shared" si="9"/>
        <v>21380.714285714286</v>
      </c>
      <c r="AF260" s="25">
        <f t="shared" si="13"/>
        <v>0.16556888004539763</v>
      </c>
      <c r="AG260" s="25"/>
      <c r="AH260" s="25"/>
      <c r="AI260" s="25"/>
      <c r="AJ260" s="25"/>
      <c r="AK260" s="25"/>
      <c r="AL260" s="25"/>
      <c r="AM260" s="26">
        <f t="shared" si="21"/>
        <v>942.85714285714289</v>
      </c>
    </row>
    <row r="261" spans="1:39" ht="16">
      <c r="A261" s="30">
        <v>44153</v>
      </c>
      <c r="B261" s="20">
        <v>156949</v>
      </c>
      <c r="C261" s="20">
        <v>4290</v>
      </c>
      <c r="D261" s="20">
        <v>3380</v>
      </c>
      <c r="E261" s="20">
        <v>34846</v>
      </c>
      <c r="F261" s="20">
        <v>1409651</v>
      </c>
      <c r="G261" s="17">
        <f t="shared" si="204"/>
        <v>143841.93877551021</v>
      </c>
      <c r="H261" s="20"/>
      <c r="I261" s="19">
        <f t="shared" si="234"/>
        <v>2.8101847909392831E-2</v>
      </c>
      <c r="J261" s="19">
        <f t="shared" si="231"/>
        <v>0.11133890587102765</v>
      </c>
      <c r="K261" s="19">
        <f t="shared" si="232"/>
        <v>1.5502128039696514E-2</v>
      </c>
      <c r="L261" s="20">
        <v>118723</v>
      </c>
      <c r="M261" s="19">
        <f t="shared" si="235"/>
        <v>2.1535658080013252E-2</v>
      </c>
      <c r="N261" s="19">
        <f t="shared" si="236"/>
        <v>0.22202116611128456</v>
      </c>
      <c r="O261" s="20">
        <v>35042</v>
      </c>
      <c r="P261" s="28">
        <f t="shared" si="253"/>
        <v>21519</v>
      </c>
      <c r="Q261" s="29">
        <f t="shared" si="322"/>
        <v>0.19935870625958454</v>
      </c>
      <c r="R261" s="20">
        <f t="shared" ref="R261:S261" si="325">D261-D260</f>
        <v>99</v>
      </c>
      <c r="S261" s="20">
        <f t="shared" si="325"/>
        <v>661</v>
      </c>
      <c r="T261" s="20">
        <v>7499</v>
      </c>
      <c r="U261" s="20">
        <v>581</v>
      </c>
      <c r="V261" s="19">
        <f t="shared" si="316"/>
        <v>0.75644317580870224</v>
      </c>
      <c r="W261" s="20">
        <f t="shared" ref="W261:X261" si="326">T261-T260</f>
        <v>22</v>
      </c>
      <c r="X261" s="20">
        <f t="shared" si="326"/>
        <v>5</v>
      </c>
      <c r="Y261" s="19">
        <f t="shared" si="96"/>
        <v>6.3163835145675223E-2</v>
      </c>
      <c r="Z261" s="19">
        <f t="shared" si="97"/>
        <v>7.7476996932924397E-2</v>
      </c>
      <c r="AA261" s="21">
        <f t="shared" si="18"/>
        <v>1.069364705882353</v>
      </c>
      <c r="AB261" s="26">
        <f t="shared" si="27"/>
        <v>1.0824098032315259</v>
      </c>
      <c r="AC261" s="23">
        <f t="shared" si="8"/>
        <v>4869.4285714285716</v>
      </c>
      <c r="AD261" s="23">
        <f t="shared" si="25"/>
        <v>97.571428571428569</v>
      </c>
      <c r="AE261" s="23">
        <f t="shared" si="9"/>
        <v>21456.714285714286</v>
      </c>
      <c r="AF261" s="25">
        <f t="shared" si="13"/>
        <v>0.16719533702400274</v>
      </c>
      <c r="AG261" s="25"/>
      <c r="AH261" s="25"/>
      <c r="AI261" s="25"/>
      <c r="AJ261" s="25"/>
      <c r="AK261" s="25"/>
      <c r="AL261" s="25"/>
      <c r="AM261" s="26">
        <f t="shared" si="21"/>
        <v>862.57142857142856</v>
      </c>
    </row>
    <row r="262" spans="1:39" ht="16">
      <c r="A262" s="30">
        <v>44154</v>
      </c>
      <c r="B262" s="20">
        <v>161461</v>
      </c>
      <c r="C262" s="20">
        <v>4512</v>
      </c>
      <c r="D262" s="20">
        <v>3472</v>
      </c>
      <c r="E262" s="20">
        <v>36345</v>
      </c>
      <c r="F262" s="20">
        <v>1433008</v>
      </c>
      <c r="G262" s="17">
        <f t="shared" si="204"/>
        <v>146225.30612244896</v>
      </c>
      <c r="H262" s="20"/>
      <c r="I262" s="19">
        <f t="shared" si="234"/>
        <v>2.8748192087875678E-2</v>
      </c>
      <c r="J262" s="19">
        <f t="shared" si="231"/>
        <v>0.11267278340386097</v>
      </c>
      <c r="K262" s="19">
        <f t="shared" si="232"/>
        <v>1.6569349434718238E-2</v>
      </c>
      <c r="L262" s="20">
        <v>121644</v>
      </c>
      <c r="M262" s="19">
        <f t="shared" si="235"/>
        <v>2.1503644843027109E-2</v>
      </c>
      <c r="N262" s="19">
        <f t="shared" si="236"/>
        <v>0.22510079833520169</v>
      </c>
      <c r="O262" s="20">
        <v>38610</v>
      </c>
      <c r="P262" s="28">
        <f t="shared" si="253"/>
        <v>23357</v>
      </c>
      <c r="Q262" s="29">
        <f t="shared" si="322"/>
        <v>0.19317549342809437</v>
      </c>
      <c r="R262" s="20">
        <f t="shared" ref="R262:S262" si="327">D262-D261</f>
        <v>92</v>
      </c>
      <c r="S262" s="20">
        <f t="shared" si="327"/>
        <v>1499</v>
      </c>
      <c r="T262" s="20">
        <v>7532</v>
      </c>
      <c r="U262" s="20">
        <v>580</v>
      </c>
      <c r="V262" s="19">
        <f t="shared" si="316"/>
        <v>0.75339555682177117</v>
      </c>
      <c r="W262" s="20">
        <f t="shared" ref="W262:X262" si="328">T262-T261</f>
        <v>33</v>
      </c>
      <c r="X262" s="20">
        <f t="shared" si="328"/>
        <v>-1</v>
      </c>
      <c r="Y262" s="19">
        <f t="shared" si="96"/>
        <v>6.1918384794975502E-2</v>
      </c>
      <c r="Z262" s="19">
        <f t="shared" si="97"/>
        <v>7.700477960701009E-2</v>
      </c>
      <c r="AA262" s="21">
        <f t="shared" si="18"/>
        <v>1.0877517726046306</v>
      </c>
      <c r="AB262" s="26">
        <f t="shared" si="27"/>
        <v>1.0678290970584456</v>
      </c>
      <c r="AC262" s="23">
        <f t="shared" si="8"/>
        <v>4953</v>
      </c>
      <c r="AD262" s="23">
        <f t="shared" si="25"/>
        <v>98.285714285714292</v>
      </c>
      <c r="AE262" s="23">
        <f t="shared" si="9"/>
        <v>21433.285714285714</v>
      </c>
      <c r="AF262" s="25">
        <f t="shared" si="13"/>
        <v>0.17094080934309883</v>
      </c>
      <c r="AG262" s="25"/>
      <c r="AH262" s="25"/>
      <c r="AI262" s="25"/>
      <c r="AJ262" s="25"/>
      <c r="AK262" s="25"/>
      <c r="AL262" s="25"/>
      <c r="AM262" s="26">
        <f t="shared" si="21"/>
        <v>1006.1428571428571</v>
      </c>
    </row>
    <row r="263" spans="1:39" ht="16">
      <c r="A263" s="30">
        <v>44155</v>
      </c>
      <c r="B263" s="20">
        <v>165901</v>
      </c>
      <c r="C263" s="20">
        <v>4440</v>
      </c>
      <c r="D263" s="20">
        <v>3568</v>
      </c>
      <c r="E263" s="20">
        <v>38074</v>
      </c>
      <c r="F263" s="20">
        <v>1455868</v>
      </c>
      <c r="G263" s="17">
        <f t="shared" si="204"/>
        <v>148557.95918367346</v>
      </c>
      <c r="H263" s="20"/>
      <c r="I263" s="19">
        <f t="shared" si="234"/>
        <v>2.7498900663318077E-2</v>
      </c>
      <c r="J263" s="19">
        <f t="shared" si="231"/>
        <v>0.11395332543884473</v>
      </c>
      <c r="K263" s="19">
        <f t="shared" si="232"/>
        <v>1.5952458046291439E-2</v>
      </c>
      <c r="L263" s="20">
        <v>124259</v>
      </c>
      <c r="M263" s="19">
        <f t="shared" si="235"/>
        <v>2.150680224953436E-2</v>
      </c>
      <c r="N263" s="19">
        <f t="shared" si="236"/>
        <v>0.22949831526030584</v>
      </c>
      <c r="O263" s="20">
        <v>42241</v>
      </c>
      <c r="P263" s="28">
        <f t="shared" si="253"/>
        <v>22860</v>
      </c>
      <c r="Q263" s="29">
        <f t="shared" si="322"/>
        <v>0.1942257217847769</v>
      </c>
      <c r="R263" s="20">
        <f t="shared" ref="R263:S263" si="329">D263-D262</f>
        <v>96</v>
      </c>
      <c r="S263" s="20">
        <f t="shared" si="329"/>
        <v>1729</v>
      </c>
      <c r="T263" s="20">
        <v>7512</v>
      </c>
      <c r="U263" s="20">
        <v>604</v>
      </c>
      <c r="V263" s="19">
        <f t="shared" si="316"/>
        <v>0.74899488249015977</v>
      </c>
      <c r="W263" s="20">
        <f t="shared" ref="W263:X263" si="330">T263-T262</f>
        <v>-20</v>
      </c>
      <c r="X263" s="20">
        <f t="shared" si="330"/>
        <v>24</v>
      </c>
      <c r="Y263" s="19">
        <f t="shared" si="96"/>
        <v>6.0454373526263691E-2</v>
      </c>
      <c r="Z263" s="19">
        <f t="shared" si="97"/>
        <v>8.0404685835995734E-2</v>
      </c>
      <c r="AA263" s="21">
        <f t="shared" si="18"/>
        <v>1.0543053747442812</v>
      </c>
      <c r="AB263" s="26">
        <f t="shared" si="27"/>
        <v>1.0550790172154489</v>
      </c>
      <c r="AC263" s="23">
        <f t="shared" ref="AC263:AC466" si="331">SUM(C257:C263)/7</f>
        <v>4859.1428571428569</v>
      </c>
      <c r="AD263" s="23">
        <f t="shared" si="25"/>
        <v>97.857142857142861</v>
      </c>
      <c r="AE263" s="23">
        <f t="shared" ref="AE263:AE466" si="332">SUM(P257:P263)/7</f>
        <v>21283</v>
      </c>
      <c r="AF263" s="25">
        <f t="shared" si="13"/>
        <v>0.16823640186877381</v>
      </c>
      <c r="AG263" s="25"/>
      <c r="AH263" s="25"/>
      <c r="AI263" s="25"/>
      <c r="AJ263" s="25"/>
      <c r="AK263" s="25"/>
      <c r="AL263" s="25"/>
      <c r="AM263" s="26">
        <f t="shared" si="21"/>
        <v>1181.7142857142858</v>
      </c>
    </row>
    <row r="264" spans="1:39" ht="16">
      <c r="A264" s="30">
        <v>44156</v>
      </c>
      <c r="B264" s="20">
        <v>170298</v>
      </c>
      <c r="C264" s="20">
        <v>4397</v>
      </c>
      <c r="D264" s="20">
        <v>3689</v>
      </c>
      <c r="E264" s="20">
        <v>40820</v>
      </c>
      <c r="F264" s="20">
        <v>1480674</v>
      </c>
      <c r="G264" s="17">
        <f t="shared" si="204"/>
        <v>151089.18367346938</v>
      </c>
      <c r="H264" s="20"/>
      <c r="I264" s="19">
        <f t="shared" si="234"/>
        <v>2.6503758265471578E-2</v>
      </c>
      <c r="J264" s="19">
        <f t="shared" si="231"/>
        <v>0.11501383829256136</v>
      </c>
      <c r="K264" s="19">
        <f t="shared" si="232"/>
        <v>1.7038632623287277E-2</v>
      </c>
      <c r="L264" s="20">
        <v>125789</v>
      </c>
      <c r="M264" s="19">
        <f t="shared" si="235"/>
        <v>2.1662027739609391E-2</v>
      </c>
      <c r="N264" s="19">
        <f t="shared" si="236"/>
        <v>0.23969747149115081</v>
      </c>
      <c r="O264" s="20">
        <v>40359</v>
      </c>
      <c r="P264" s="28">
        <f t="shared" si="253"/>
        <v>24806</v>
      </c>
      <c r="Q264" s="29">
        <f t="shared" si="322"/>
        <v>0.17725550270095944</v>
      </c>
      <c r="R264" s="20">
        <f t="shared" ref="R264:S264" si="333">D264-D263</f>
        <v>121</v>
      </c>
      <c r="S264" s="20">
        <f t="shared" si="333"/>
        <v>2746</v>
      </c>
      <c r="T264" s="20">
        <v>7358</v>
      </c>
      <c r="U264" s="20">
        <v>599</v>
      </c>
      <c r="V264" s="19">
        <f t="shared" si="316"/>
        <v>0.73864050076923982</v>
      </c>
      <c r="W264" s="20">
        <f t="shared" ref="W264:X264" si="334">T264-T263</f>
        <v>-154</v>
      </c>
      <c r="X264" s="20">
        <f t="shared" si="334"/>
        <v>-5</v>
      </c>
      <c r="Y264" s="19">
        <f t="shared" si="96"/>
        <v>5.8494780942689742E-2</v>
      </c>
      <c r="Z264" s="19">
        <f t="shared" si="97"/>
        <v>8.1407991301984228E-2</v>
      </c>
      <c r="AA264" s="21">
        <f t="shared" si="18"/>
        <v>1.0564820641913153</v>
      </c>
      <c r="AB264" s="26">
        <f t="shared" si="27"/>
        <v>1.0527405607857447</v>
      </c>
      <c r="AC264" s="23">
        <f t="shared" si="331"/>
        <v>4796.4285714285716</v>
      </c>
      <c r="AD264" s="23">
        <f t="shared" si="25"/>
        <v>99.857142857142861</v>
      </c>
      <c r="AE264" s="23">
        <f t="shared" si="332"/>
        <v>22092.428571428572</v>
      </c>
      <c r="AF264" s="25">
        <f t="shared" si="13"/>
        <v>0.15746367699712405</v>
      </c>
      <c r="AG264" s="25"/>
      <c r="AH264" s="25"/>
      <c r="AI264" s="25"/>
      <c r="AJ264" s="25"/>
      <c r="AK264" s="25"/>
      <c r="AL264" s="25"/>
      <c r="AM264" s="26">
        <f t="shared" si="21"/>
        <v>1384.8571428571429</v>
      </c>
    </row>
    <row r="265" spans="1:39" ht="16">
      <c r="A265" s="30">
        <v>44157</v>
      </c>
      <c r="B265" s="20">
        <v>174618</v>
      </c>
      <c r="C265" s="20">
        <v>4320</v>
      </c>
      <c r="D265" s="20">
        <v>3800</v>
      </c>
      <c r="E265" s="20">
        <v>42915</v>
      </c>
      <c r="F265" s="20">
        <v>1502847</v>
      </c>
      <c r="G265" s="17">
        <f t="shared" si="204"/>
        <v>153351.73469387754</v>
      </c>
      <c r="H265" s="20"/>
      <c r="I265" s="19">
        <f t="shared" si="234"/>
        <v>2.5367297325864072E-2</v>
      </c>
      <c r="J265" s="19">
        <f t="shared" si="231"/>
        <v>0.11619146859261123</v>
      </c>
      <c r="K265" s="19">
        <f t="shared" si="232"/>
        <v>1.497493708946061E-2</v>
      </c>
      <c r="L265" s="20">
        <v>127903</v>
      </c>
      <c r="M265" s="19">
        <f t="shared" si="235"/>
        <v>2.1761788589950634E-2</v>
      </c>
      <c r="N265" s="19">
        <f t="shared" si="236"/>
        <v>0.24576504140466618</v>
      </c>
      <c r="O265" s="20">
        <v>42370</v>
      </c>
      <c r="P265" s="28">
        <f t="shared" si="253"/>
        <v>22173</v>
      </c>
      <c r="Q265" s="29">
        <f t="shared" si="322"/>
        <v>0.19483155188743065</v>
      </c>
      <c r="R265" s="20">
        <f t="shared" ref="R265:S265" si="335">D265-D264</f>
        <v>111</v>
      </c>
      <c r="S265" s="20">
        <f t="shared" si="335"/>
        <v>2095</v>
      </c>
      <c r="T265" s="20">
        <v>7278</v>
      </c>
      <c r="U265" s="20">
        <v>618</v>
      </c>
      <c r="V265" s="19">
        <f t="shared" si="316"/>
        <v>0.73247317000538315</v>
      </c>
      <c r="W265" s="20">
        <f t="shared" ref="W265:X265" si="336">T265-T264</f>
        <v>-80</v>
      </c>
      <c r="X265" s="20">
        <f t="shared" si="336"/>
        <v>19</v>
      </c>
      <c r="Y265" s="19">
        <f t="shared" si="96"/>
        <v>5.690249642307061E-2</v>
      </c>
      <c r="Z265" s="19">
        <f t="shared" si="97"/>
        <v>8.491343775762572E-2</v>
      </c>
      <c r="AA265" s="21">
        <f t="shared" si="18"/>
        <v>1.0737597702982933</v>
      </c>
      <c r="AB265" s="26">
        <f t="shared" si="27"/>
        <v>1.0589192058722012</v>
      </c>
      <c r="AC265" s="23">
        <f t="shared" si="331"/>
        <v>4808.1428571428569</v>
      </c>
      <c r="AD265" s="23">
        <f t="shared" si="25"/>
        <v>100.42857142857143</v>
      </c>
      <c r="AE265" s="23">
        <f t="shared" si="332"/>
        <v>21157.857142857141</v>
      </c>
      <c r="AF265" s="25">
        <f t="shared" si="13"/>
        <v>0.164212703202679</v>
      </c>
      <c r="AG265" s="25"/>
      <c r="AH265" s="25"/>
      <c r="AI265" s="25"/>
      <c r="AJ265" s="25"/>
      <c r="AK265" s="25"/>
      <c r="AL265" s="25"/>
      <c r="AM265" s="26">
        <f t="shared" si="21"/>
        <v>1616.5714285714287</v>
      </c>
    </row>
    <row r="266" spans="1:39" ht="16">
      <c r="A266" s="30">
        <v>44158</v>
      </c>
      <c r="B266" s="20">
        <v>177952</v>
      </c>
      <c r="C266" s="20">
        <v>3334</v>
      </c>
      <c r="D266" s="20">
        <v>3891</v>
      </c>
      <c r="E266" s="20">
        <v>43339</v>
      </c>
      <c r="F266" s="20">
        <v>1518158</v>
      </c>
      <c r="G266" s="17">
        <f t="shared" si="204"/>
        <v>154914.08163265305</v>
      </c>
      <c r="H266" s="20"/>
      <c r="I266" s="19">
        <f t="shared" si="234"/>
        <v>1.9093106094446161E-2</v>
      </c>
      <c r="J266" s="19">
        <f t="shared" si="231"/>
        <v>0.11721573116895606</v>
      </c>
      <c r="K266" s="19">
        <f t="shared" si="232"/>
        <v>1.0187996515946068E-2</v>
      </c>
      <c r="L266" s="20">
        <v>130722</v>
      </c>
      <c r="M266" s="19">
        <f t="shared" si="235"/>
        <v>2.1865446862075165E-2</v>
      </c>
      <c r="N266" s="19">
        <f t="shared" si="236"/>
        <v>0.24354320266139184</v>
      </c>
      <c r="O266" s="20">
        <v>42071</v>
      </c>
      <c r="P266" s="28">
        <f t="shared" si="253"/>
        <v>15311</v>
      </c>
      <c r="Q266" s="29">
        <f t="shared" si="322"/>
        <v>0.21775194304748222</v>
      </c>
      <c r="R266" s="20">
        <f t="shared" ref="R266:S266" si="337">D266-D265</f>
        <v>91</v>
      </c>
      <c r="S266" s="20">
        <f t="shared" si="337"/>
        <v>424</v>
      </c>
      <c r="T266" s="20">
        <v>7461</v>
      </c>
      <c r="U266" s="20">
        <v>627</v>
      </c>
      <c r="V266" s="19">
        <f t="shared" si="316"/>
        <v>0.73459135047653301</v>
      </c>
      <c r="W266" s="20">
        <f t="shared" ref="W266:X266" si="338">T266-T265</f>
        <v>183</v>
      </c>
      <c r="X266" s="20">
        <f t="shared" si="338"/>
        <v>9</v>
      </c>
      <c r="Y266" s="19">
        <f t="shared" si="96"/>
        <v>5.7075320145040617E-2</v>
      </c>
      <c r="Z266" s="19">
        <f t="shared" si="97"/>
        <v>8.4036992360273427E-2</v>
      </c>
      <c r="AA266" s="21">
        <f t="shared" si="18"/>
        <v>0.9332272476895771</v>
      </c>
      <c r="AB266" s="26">
        <f t="shared" si="27"/>
        <v>1.0463443372267103</v>
      </c>
      <c r="AC266" s="23">
        <f t="shared" si="331"/>
        <v>4356.5714285714284</v>
      </c>
      <c r="AD266" s="23">
        <f t="shared" si="25"/>
        <v>100.14285714285714</v>
      </c>
      <c r="AE266" s="23">
        <f t="shared" si="332"/>
        <v>22474</v>
      </c>
      <c r="AF266" s="25">
        <f t="shared" ref="AF266:AF466" si="339">SUM(Q260:Q266)/7</f>
        <v>0.19532012363803358</v>
      </c>
      <c r="AG266" s="25"/>
      <c r="AH266" s="25"/>
      <c r="AI266" s="25"/>
      <c r="AJ266" s="25"/>
      <c r="AK266" s="25"/>
      <c r="AL266" s="25"/>
      <c r="AM266" s="26">
        <f t="shared" si="21"/>
        <v>1332.7142857142858</v>
      </c>
    </row>
    <row r="267" spans="1:39" ht="16">
      <c r="A267" s="30">
        <v>44159</v>
      </c>
      <c r="B267" s="20">
        <v>181881</v>
      </c>
      <c r="C267" s="20">
        <v>3929</v>
      </c>
      <c r="D267" s="20">
        <v>4008</v>
      </c>
      <c r="E267" s="20">
        <v>44020</v>
      </c>
      <c r="F267" s="20">
        <v>1528302</v>
      </c>
      <c r="G267" s="17">
        <f t="shared" si="204"/>
        <v>155949.18367346938</v>
      </c>
      <c r="H267" s="20"/>
      <c r="I267" s="19">
        <f t="shared" si="234"/>
        <v>2.2078987592159684E-2</v>
      </c>
      <c r="J267" s="19">
        <f t="shared" si="231"/>
        <v>0.11900854674010765</v>
      </c>
      <c r="K267" s="19">
        <f t="shared" si="232"/>
        <v>6.6817814746554707E-3</v>
      </c>
      <c r="L267" s="20">
        <v>133853</v>
      </c>
      <c r="M267" s="19">
        <f t="shared" si="235"/>
        <v>2.2036386428488958E-2</v>
      </c>
      <c r="N267" s="19">
        <f t="shared" si="236"/>
        <v>0.24202637988574946</v>
      </c>
      <c r="O267" s="20">
        <v>41557</v>
      </c>
      <c r="P267" s="28">
        <f t="shared" si="253"/>
        <v>10144</v>
      </c>
      <c r="Q267" s="29">
        <f t="shared" si="322"/>
        <v>0.38732255520504733</v>
      </c>
      <c r="R267" s="20">
        <f t="shared" ref="R267:S267" si="340">D267-D266</f>
        <v>117</v>
      </c>
      <c r="S267" s="20">
        <f t="shared" si="340"/>
        <v>681</v>
      </c>
      <c r="T267" s="20">
        <v>7598</v>
      </c>
      <c r="U267" s="20">
        <v>638</v>
      </c>
      <c r="V267" s="19">
        <f t="shared" si="316"/>
        <v>0.73593723368576158</v>
      </c>
      <c r="W267" s="20">
        <f t="shared" ref="W267:X267" si="341">T267-T266</f>
        <v>137</v>
      </c>
      <c r="X267" s="20">
        <f t="shared" si="341"/>
        <v>11</v>
      </c>
      <c r="Y267" s="19">
        <f t="shared" si="96"/>
        <v>5.6763763232800163E-2</v>
      </c>
      <c r="Z267" s="19">
        <f t="shared" si="97"/>
        <v>8.3969465648854963E-2</v>
      </c>
      <c r="AA267" s="21">
        <f t="shared" si="18"/>
        <v>0.86606798850063715</v>
      </c>
      <c r="AB267" s="26">
        <f t="shared" si="27"/>
        <v>1.0201369891301553</v>
      </c>
      <c r="AC267" s="23">
        <f t="shared" si="331"/>
        <v>4174.5714285714284</v>
      </c>
      <c r="AD267" s="23">
        <f t="shared" si="25"/>
        <v>103.85714285714286</v>
      </c>
      <c r="AE267" s="23">
        <f t="shared" si="332"/>
        <v>20024.285714285714</v>
      </c>
      <c r="AF267" s="25">
        <f t="shared" si="339"/>
        <v>0.22341735347333933</v>
      </c>
      <c r="AG267" s="25"/>
      <c r="AH267" s="25"/>
      <c r="AI267" s="25"/>
      <c r="AJ267" s="25"/>
      <c r="AK267" s="25"/>
      <c r="AL267" s="25"/>
      <c r="AM267" s="26">
        <f t="shared" si="21"/>
        <v>1405</v>
      </c>
    </row>
    <row r="268" spans="1:39" ht="16">
      <c r="A268" s="30">
        <v>44160</v>
      </c>
      <c r="B268" s="20">
        <v>185687</v>
      </c>
      <c r="C268" s="20">
        <v>3806</v>
      </c>
      <c r="D268" s="20">
        <v>4114</v>
      </c>
      <c r="E268" s="20">
        <v>46818</v>
      </c>
      <c r="F268" s="20">
        <v>1548318</v>
      </c>
      <c r="G268" s="17">
        <f t="shared" si="204"/>
        <v>157991.63265306121</v>
      </c>
      <c r="H268" s="20"/>
      <c r="I268" s="19">
        <f t="shared" si="234"/>
        <v>2.0925770146414415E-2</v>
      </c>
      <c r="J268" s="19">
        <f t="shared" si="231"/>
        <v>0.11992820596285776</v>
      </c>
      <c r="K268" s="19">
        <f t="shared" si="232"/>
        <v>1.3096887918749044E-2</v>
      </c>
      <c r="L268" s="20">
        <v>137553</v>
      </c>
      <c r="M268" s="19">
        <f t="shared" si="235"/>
        <v>2.2155562855773425E-2</v>
      </c>
      <c r="N268" s="19">
        <f t="shared" si="236"/>
        <v>0.25213396737520666</v>
      </c>
      <c r="O268" s="20">
        <v>41558</v>
      </c>
      <c r="P268" s="28">
        <f t="shared" si="253"/>
        <v>20016</v>
      </c>
      <c r="Q268" s="29">
        <f t="shared" si="322"/>
        <v>0.19014788169464428</v>
      </c>
      <c r="R268" s="20">
        <f t="shared" ref="R268:S268" si="342">D268-D267</f>
        <v>106</v>
      </c>
      <c r="S268" s="20">
        <f t="shared" si="342"/>
        <v>2798</v>
      </c>
      <c r="T268" s="20">
        <v>7718</v>
      </c>
      <c r="U268" s="20">
        <v>656</v>
      </c>
      <c r="V268" s="19">
        <f t="shared" si="316"/>
        <v>0.74077883750612594</v>
      </c>
      <c r="W268" s="20">
        <f t="shared" ref="W268:X268" si="343">T268-T267</f>
        <v>120</v>
      </c>
      <c r="X268" s="20">
        <f t="shared" si="343"/>
        <v>18</v>
      </c>
      <c r="Y268" s="19">
        <f t="shared" si="96"/>
        <v>5.6109281513307595E-2</v>
      </c>
      <c r="Z268" s="19">
        <f t="shared" si="97"/>
        <v>8.4996112982637984E-2</v>
      </c>
      <c r="AA268" s="21">
        <f t="shared" si="18"/>
        <v>0.84310274012791175</v>
      </c>
      <c r="AB268" s="26">
        <f t="shared" si="27"/>
        <v>0.98781385116523523</v>
      </c>
      <c r="AC268" s="23">
        <f t="shared" si="331"/>
        <v>4105.4285714285716</v>
      </c>
      <c r="AD268" s="23">
        <f t="shared" si="25"/>
        <v>104.85714285714286</v>
      </c>
      <c r="AE268" s="23">
        <f t="shared" si="332"/>
        <v>19809.571428571428</v>
      </c>
      <c r="AF268" s="25">
        <f t="shared" si="339"/>
        <v>0.22210152139263362</v>
      </c>
      <c r="AG268" s="25"/>
      <c r="AH268" s="25"/>
      <c r="AI268" s="25"/>
      <c r="AJ268" s="25"/>
      <c r="AK268" s="25"/>
      <c r="AL268" s="25"/>
      <c r="AM268" s="26">
        <f t="shared" si="21"/>
        <v>1710.2857142857142</v>
      </c>
    </row>
    <row r="269" spans="1:39" ht="16">
      <c r="A269" s="30">
        <v>44161</v>
      </c>
      <c r="B269" s="20">
        <v>192047</v>
      </c>
      <c r="C269" s="20">
        <v>6360</v>
      </c>
      <c r="D269" s="20">
        <v>4229</v>
      </c>
      <c r="E269" s="20">
        <v>49616</v>
      </c>
      <c r="F269" s="20">
        <v>1580197</v>
      </c>
      <c r="G269" s="17">
        <f t="shared" si="204"/>
        <v>161244.59183673467</v>
      </c>
      <c r="H269" s="20"/>
      <c r="I269" s="19">
        <f t="shared" si="234"/>
        <v>3.4251186135809186E-2</v>
      </c>
      <c r="J269" s="19">
        <f t="shared" si="231"/>
        <v>0.12153358093959171</v>
      </c>
      <c r="K269" s="19">
        <f t="shared" si="232"/>
        <v>2.0589439637077139E-2</v>
      </c>
      <c r="L269" s="20">
        <v>138202</v>
      </c>
      <c r="M269" s="19">
        <f t="shared" si="235"/>
        <v>2.2020651194759617E-2</v>
      </c>
      <c r="N269" s="19">
        <f t="shared" si="236"/>
        <v>0.25835342390144078</v>
      </c>
      <c r="O269" s="20">
        <v>45750</v>
      </c>
      <c r="P269" s="28">
        <f t="shared" si="253"/>
        <v>31879</v>
      </c>
      <c r="Q269" s="29">
        <f t="shared" si="322"/>
        <v>0.19950437592145298</v>
      </c>
      <c r="R269" s="20">
        <f t="shared" ref="R269:S269" si="344">D269-D268</f>
        <v>115</v>
      </c>
      <c r="S269" s="20">
        <f t="shared" si="344"/>
        <v>2798</v>
      </c>
      <c r="T269" s="20">
        <v>7537</v>
      </c>
      <c r="U269" s="20">
        <v>640</v>
      </c>
      <c r="V269" s="19">
        <f t="shared" si="316"/>
        <v>0.71962592490379962</v>
      </c>
      <c r="W269" s="20">
        <f t="shared" ref="W269:X269" si="345">T269-T268</f>
        <v>-181</v>
      </c>
      <c r="X269" s="20">
        <f t="shared" si="345"/>
        <v>-16</v>
      </c>
      <c r="Y269" s="19">
        <f t="shared" si="96"/>
        <v>5.4536113804431192E-2</v>
      </c>
      <c r="Z269" s="19">
        <f t="shared" si="97"/>
        <v>8.4914422183892793E-2</v>
      </c>
      <c r="AA269" s="21">
        <f t="shared" si="18"/>
        <v>0.8821781892648034</v>
      </c>
      <c r="AB269" s="26">
        <f t="shared" si="27"/>
        <v>0.95844619640240281</v>
      </c>
      <c r="AC269" s="23">
        <f t="shared" si="331"/>
        <v>4369.4285714285716</v>
      </c>
      <c r="AD269" s="23">
        <f t="shared" si="25"/>
        <v>108.14285714285714</v>
      </c>
      <c r="AE269" s="23">
        <f t="shared" si="332"/>
        <v>21027</v>
      </c>
      <c r="AF269" s="25">
        <f t="shared" si="339"/>
        <v>0.22300564746311341</v>
      </c>
      <c r="AG269" s="25"/>
      <c r="AH269" s="25"/>
      <c r="AI269" s="25"/>
      <c r="AJ269" s="25"/>
      <c r="AK269" s="25"/>
      <c r="AL269" s="25"/>
      <c r="AM269" s="26">
        <f t="shared" si="21"/>
        <v>1895.8571428571429</v>
      </c>
    </row>
    <row r="270" spans="1:39" ht="16">
      <c r="A270" s="30">
        <v>44162</v>
      </c>
      <c r="B270" s="20">
        <v>198440</v>
      </c>
      <c r="C270" s="20">
        <v>6393</v>
      </c>
      <c r="D270" s="20">
        <v>4364</v>
      </c>
      <c r="E270" s="20">
        <v>52126</v>
      </c>
      <c r="F270" s="20">
        <v>1601203</v>
      </c>
      <c r="G270" s="17">
        <f t="shared" si="204"/>
        <v>163388.06122448979</v>
      </c>
      <c r="H270" s="20"/>
      <c r="I270" s="19">
        <f t="shared" si="234"/>
        <v>3.3288726197232971E-2</v>
      </c>
      <c r="J270" s="19">
        <f t="shared" si="231"/>
        <v>0.12393181876376699</v>
      </c>
      <c r="K270" s="19">
        <f t="shared" si="232"/>
        <v>1.329327925568774E-2</v>
      </c>
      <c r="L270" s="20">
        <v>141950</v>
      </c>
      <c r="M270" s="19">
        <f t="shared" si="235"/>
        <v>2.1991533964926428E-2</v>
      </c>
      <c r="N270" s="19">
        <f t="shared" si="236"/>
        <v>0.26267889538399514</v>
      </c>
      <c r="O270" s="20">
        <v>49549</v>
      </c>
      <c r="P270" s="28">
        <f t="shared" si="253"/>
        <v>21006</v>
      </c>
      <c r="Q270" s="29">
        <f t="shared" si="322"/>
        <v>0.30434161668094828</v>
      </c>
      <c r="R270" s="20">
        <f t="shared" ref="R270:S270" si="346">D270-D269</f>
        <v>135</v>
      </c>
      <c r="S270" s="20">
        <f t="shared" si="346"/>
        <v>2510</v>
      </c>
      <c r="T270" s="20">
        <v>7591</v>
      </c>
      <c r="U270" s="20">
        <v>647</v>
      </c>
      <c r="V270" s="19">
        <f t="shared" si="316"/>
        <v>0.71532957065107838</v>
      </c>
      <c r="W270" s="20">
        <f t="shared" ref="W270:X270" si="347">T270-T269</f>
        <v>54</v>
      </c>
      <c r="X270" s="20">
        <f t="shared" si="347"/>
        <v>7</v>
      </c>
      <c r="Y270" s="19">
        <f t="shared" si="96"/>
        <v>5.3476576259246213E-2</v>
      </c>
      <c r="Z270" s="19">
        <f t="shared" si="97"/>
        <v>8.5232512185482806E-2</v>
      </c>
      <c r="AA270" s="21">
        <f t="shared" ref="AA270:AA466" si="348">(C264+C265+C266+C267+C268+C269+C270)/(C257+C258+C259+C260+C261+C262+C263)</f>
        <v>0.95663550302816491</v>
      </c>
      <c r="AB270" s="26">
        <f t="shared" si="27"/>
        <v>0.94449335758581476</v>
      </c>
      <c r="AC270" s="23">
        <f t="shared" si="331"/>
        <v>4648.4285714285716</v>
      </c>
      <c r="AD270" s="23">
        <f t="shared" si="25"/>
        <v>113.71428571428571</v>
      </c>
      <c r="AE270" s="23">
        <f t="shared" si="332"/>
        <v>20762.142857142859</v>
      </c>
      <c r="AF270" s="25">
        <f t="shared" si="339"/>
        <v>0.23873648959113788</v>
      </c>
      <c r="AG270" s="25"/>
      <c r="AH270" s="25"/>
      <c r="AI270" s="25"/>
      <c r="AJ270" s="25"/>
      <c r="AK270" s="25"/>
      <c r="AL270" s="25"/>
      <c r="AM270" s="26">
        <f t="shared" si="21"/>
        <v>2007.4285714285713</v>
      </c>
    </row>
    <row r="271" spans="1:39" ht="16">
      <c r="A271" s="30">
        <v>44163</v>
      </c>
      <c r="B271" s="20">
        <v>204708</v>
      </c>
      <c r="C271" s="20">
        <v>6268</v>
      </c>
      <c r="D271" s="20">
        <v>4516</v>
      </c>
      <c r="E271" s="20">
        <v>54021</v>
      </c>
      <c r="F271" s="20">
        <v>1622765</v>
      </c>
      <c r="G271" s="17">
        <f t="shared" si="204"/>
        <v>165588.26530612243</v>
      </c>
      <c r="H271" s="20"/>
      <c r="I271" s="19">
        <f t="shared" si="234"/>
        <v>3.1586373714976822E-2</v>
      </c>
      <c r="J271" s="19">
        <f t="shared" si="231"/>
        <v>0.12614765539064499</v>
      </c>
      <c r="K271" s="19">
        <f t="shared" si="232"/>
        <v>1.3466125157147469E-2</v>
      </c>
      <c r="L271" s="20">
        <v>146171</v>
      </c>
      <c r="M271" s="19">
        <f t="shared" si="235"/>
        <v>2.2060691326181683E-2</v>
      </c>
      <c r="N271" s="19">
        <f t="shared" si="236"/>
        <v>0.26389295972800281</v>
      </c>
      <c r="O271" s="20">
        <v>51142</v>
      </c>
      <c r="P271" s="28">
        <f t="shared" si="253"/>
        <v>21562</v>
      </c>
      <c r="Q271" s="29">
        <f t="shared" si="322"/>
        <v>0.29069659586309249</v>
      </c>
      <c r="R271" s="20">
        <f t="shared" ref="R271:S271" si="349">D271-D270</f>
        <v>152</v>
      </c>
      <c r="S271" s="20">
        <f t="shared" si="349"/>
        <v>1895</v>
      </c>
      <c r="T271" s="20">
        <v>7536</v>
      </c>
      <c r="U271" s="20">
        <v>644</v>
      </c>
      <c r="V271" s="19">
        <f t="shared" si="316"/>
        <v>0.71404634894581553</v>
      </c>
      <c r="W271" s="20">
        <f t="shared" ref="W271:X271" si="350">T271-T270</f>
        <v>-55</v>
      </c>
      <c r="X271" s="20">
        <f t="shared" si="350"/>
        <v>-3</v>
      </c>
      <c r="Y271" s="19">
        <f t="shared" si="96"/>
        <v>5.1556054210479506E-2</v>
      </c>
      <c r="Z271" s="19">
        <f t="shared" si="97"/>
        <v>8.5456475583864114E-2</v>
      </c>
      <c r="AA271" s="21">
        <f t="shared" si="348"/>
        <v>1.0248696947133284</v>
      </c>
      <c r="AB271" s="26">
        <f t="shared" si="27"/>
        <v>0.93997730480324526</v>
      </c>
      <c r="AC271" s="23">
        <f t="shared" si="331"/>
        <v>4915.7142857142853</v>
      </c>
      <c r="AD271" s="23">
        <f t="shared" si="25"/>
        <v>118.14285714285714</v>
      </c>
      <c r="AE271" s="23">
        <f t="shared" si="332"/>
        <v>20298.714285714286</v>
      </c>
      <c r="AF271" s="25">
        <f t="shared" si="339"/>
        <v>0.25494236004287119</v>
      </c>
      <c r="AG271" s="25"/>
      <c r="AH271" s="25"/>
      <c r="AI271" s="25"/>
      <c r="AJ271" s="25"/>
      <c r="AK271" s="25"/>
      <c r="AL271" s="25"/>
      <c r="AM271" s="26">
        <f t="shared" si="21"/>
        <v>1885.8571428571429</v>
      </c>
    </row>
    <row r="272" spans="1:39" ht="16">
      <c r="A272" s="30">
        <v>44164</v>
      </c>
      <c r="B272" s="20">
        <v>211527</v>
      </c>
      <c r="C272" s="20">
        <v>6819</v>
      </c>
      <c r="D272" s="20">
        <v>4672</v>
      </c>
      <c r="E272" s="20">
        <v>55637</v>
      </c>
      <c r="F272" s="20">
        <v>1639076</v>
      </c>
      <c r="G272" s="17">
        <f t="shared" si="204"/>
        <v>167252.65306122447</v>
      </c>
      <c r="H272" s="20"/>
      <c r="I272" s="19">
        <f t="shared" si="234"/>
        <v>3.3310862301424465E-2</v>
      </c>
      <c r="J272" s="19">
        <f t="shared" si="231"/>
        <v>0.12905258816552739</v>
      </c>
      <c r="K272" s="19">
        <f t="shared" si="232"/>
        <v>1.005136295150561E-2</v>
      </c>
      <c r="L272" s="20">
        <v>151218</v>
      </c>
      <c r="M272" s="19">
        <f t="shared" si="235"/>
        <v>2.2087014896443481E-2</v>
      </c>
      <c r="N272" s="19">
        <f t="shared" si="236"/>
        <v>0.26302552392838741</v>
      </c>
      <c r="O272" s="20">
        <v>51142</v>
      </c>
      <c r="P272" s="28">
        <f t="shared" si="253"/>
        <v>16311</v>
      </c>
      <c r="Q272" s="29">
        <f t="shared" si="322"/>
        <v>0.41806143093617804</v>
      </c>
      <c r="R272" s="20">
        <f t="shared" ref="R272:S272" si="351">D272-D271</f>
        <v>156</v>
      </c>
      <c r="S272" s="20">
        <f t="shared" si="351"/>
        <v>1616</v>
      </c>
      <c r="T272" s="20">
        <v>7590</v>
      </c>
      <c r="U272" s="20">
        <v>657</v>
      </c>
      <c r="V272" s="19">
        <f t="shared" si="316"/>
        <v>0.7148874611751691</v>
      </c>
      <c r="W272" s="20">
        <f t="shared" ref="W272:X272" si="352">T272-T271</f>
        <v>54</v>
      </c>
      <c r="X272" s="20">
        <f t="shared" si="352"/>
        <v>13</v>
      </c>
      <c r="Y272" s="19">
        <f t="shared" si="96"/>
        <v>5.0192437408245048E-2</v>
      </c>
      <c r="Z272" s="19">
        <f t="shared" si="97"/>
        <v>8.6561264822134387E-2</v>
      </c>
      <c r="AA272" s="21">
        <f t="shared" si="348"/>
        <v>1.0966218022996701</v>
      </c>
      <c r="AB272" s="26">
        <f t="shared" si="27"/>
        <v>0.94324330937487044</v>
      </c>
      <c r="AC272" s="23">
        <f t="shared" si="331"/>
        <v>5272.7142857142853</v>
      </c>
      <c r="AD272" s="23">
        <f t="shared" si="25"/>
        <v>124.57142857142857</v>
      </c>
      <c r="AE272" s="23">
        <f t="shared" si="332"/>
        <v>19461.285714285714</v>
      </c>
      <c r="AF272" s="25">
        <f t="shared" si="339"/>
        <v>0.28683234276412078</v>
      </c>
      <c r="AG272" s="25"/>
      <c r="AH272" s="25"/>
      <c r="AI272" s="25"/>
      <c r="AJ272" s="25"/>
      <c r="AK272" s="25"/>
      <c r="AL272" s="25"/>
      <c r="AM272" s="26">
        <f t="shared" ref="AM272:AM466" si="353">SUM(S266:S272)/7</f>
        <v>1817.4285714285713</v>
      </c>
    </row>
    <row r="273" spans="1:39" ht="16">
      <c r="A273" s="30">
        <v>44165</v>
      </c>
      <c r="B273" s="20">
        <v>217122</v>
      </c>
      <c r="C273" s="20">
        <v>5595</v>
      </c>
      <c r="D273" s="20">
        <v>4823</v>
      </c>
      <c r="E273" s="20">
        <v>63860</v>
      </c>
      <c r="F273" s="20">
        <v>1648022</v>
      </c>
      <c r="G273" s="17">
        <f t="shared" si="204"/>
        <v>168165.51020408163</v>
      </c>
      <c r="H273" s="20"/>
      <c r="I273" s="19">
        <f t="shared" si="234"/>
        <v>2.6450524046575614E-2</v>
      </c>
      <c r="J273" s="19">
        <f t="shared" si="231"/>
        <v>0.13174702764890275</v>
      </c>
      <c r="K273" s="19">
        <f t="shared" si="232"/>
        <v>5.4579531394517398E-3</v>
      </c>
      <c r="L273" s="20">
        <v>148439</v>
      </c>
      <c r="M273" s="19">
        <f t="shared" si="235"/>
        <v>2.2213317858162693E-2</v>
      </c>
      <c r="N273" s="19">
        <f t="shared" si="236"/>
        <v>0.2941203562973812</v>
      </c>
      <c r="O273" s="20">
        <v>48796</v>
      </c>
      <c r="P273" s="28">
        <f t="shared" si="253"/>
        <v>8946</v>
      </c>
      <c r="Q273" s="29">
        <f t="shared" si="322"/>
        <v>0.6254191817572099</v>
      </c>
      <c r="R273" s="20">
        <f t="shared" ref="R273:S273" si="354">D273-D272</f>
        <v>151</v>
      </c>
      <c r="S273" s="20">
        <f t="shared" si="354"/>
        <v>8223</v>
      </c>
      <c r="T273" s="20">
        <v>7734</v>
      </c>
      <c r="U273" s="20">
        <v>666</v>
      </c>
      <c r="V273" s="19">
        <f t="shared" si="316"/>
        <v>0.68366632584445608</v>
      </c>
      <c r="W273" s="20">
        <f t="shared" ref="W273:X273" si="355">T273-T272</f>
        <v>144</v>
      </c>
      <c r="X273" s="20">
        <f t="shared" si="355"/>
        <v>9</v>
      </c>
      <c r="Y273" s="19">
        <f t="shared" si="96"/>
        <v>5.2102210335558716E-2</v>
      </c>
      <c r="Z273" s="19">
        <f t="shared" si="97"/>
        <v>8.6113266097750191E-2</v>
      </c>
      <c r="AA273" s="21">
        <f t="shared" si="348"/>
        <v>1.2844307450157397</v>
      </c>
      <c r="AB273" s="26">
        <f t="shared" si="27"/>
        <v>0.99341523756432204</v>
      </c>
      <c r="AC273" s="23">
        <f t="shared" si="331"/>
        <v>5595.7142857142853</v>
      </c>
      <c r="AD273" s="23">
        <f t="shared" si="25"/>
        <v>133.14285714285714</v>
      </c>
      <c r="AE273" s="23">
        <f t="shared" si="332"/>
        <v>18552</v>
      </c>
      <c r="AF273" s="25">
        <f t="shared" si="339"/>
        <v>0.34507051972265329</v>
      </c>
      <c r="AG273" s="25"/>
      <c r="AH273" s="25"/>
      <c r="AI273" s="25"/>
      <c r="AJ273" s="25"/>
      <c r="AK273" s="25"/>
      <c r="AL273" s="25"/>
      <c r="AM273" s="26">
        <f t="shared" si="353"/>
        <v>2931.5714285714284</v>
      </c>
    </row>
    <row r="274" spans="1:39" ht="16">
      <c r="A274" s="30">
        <v>44166</v>
      </c>
      <c r="B274" s="20">
        <v>221073</v>
      </c>
      <c r="C274" s="20">
        <v>3951</v>
      </c>
      <c r="D274" s="20">
        <v>4977</v>
      </c>
      <c r="E274" s="20">
        <v>64802</v>
      </c>
      <c r="F274" s="20">
        <v>1653780</v>
      </c>
      <c r="G274" s="17">
        <f t="shared" si="204"/>
        <v>168753.06122448979</v>
      </c>
      <c r="H274" s="20"/>
      <c r="I274" s="19">
        <f t="shared" si="234"/>
        <v>1.8197142620278002E-2</v>
      </c>
      <c r="J274" s="19">
        <f t="shared" si="231"/>
        <v>0.13367739360737221</v>
      </c>
      <c r="K274" s="19">
        <f t="shared" si="232"/>
        <v>3.4938853971609603E-3</v>
      </c>
      <c r="L274" s="20">
        <v>151294</v>
      </c>
      <c r="M274" s="19">
        <f t="shared" si="235"/>
        <v>2.251292559471306E-2</v>
      </c>
      <c r="N274" s="19">
        <f t="shared" si="236"/>
        <v>0.29312489539654324</v>
      </c>
      <c r="O274" s="20">
        <v>48171</v>
      </c>
      <c r="P274" s="28">
        <f t="shared" si="253"/>
        <v>5758</v>
      </c>
      <c r="Q274" s="29">
        <f t="shared" si="322"/>
        <v>0.68617575547064957</v>
      </c>
      <c r="R274" s="20">
        <f t="shared" ref="R274:S274" si="356">D274-D273</f>
        <v>154</v>
      </c>
      <c r="S274" s="20">
        <f t="shared" si="356"/>
        <v>942</v>
      </c>
      <c r="T274" s="20">
        <v>7884</v>
      </c>
      <c r="U274" s="20">
        <v>662</v>
      </c>
      <c r="V274" s="19">
        <f t="shared" si="316"/>
        <v>0.68436217900874374</v>
      </c>
      <c r="W274" s="20">
        <f t="shared" ref="W274:X274" si="357">T274-T273</f>
        <v>150</v>
      </c>
      <c r="X274" s="20">
        <f t="shared" si="357"/>
        <v>-4</v>
      </c>
      <c r="Y274" s="19">
        <f t="shared" si="96"/>
        <v>5.2110460428040767E-2</v>
      </c>
      <c r="Z274" s="19">
        <f t="shared" si="97"/>
        <v>8.396752917300862E-2</v>
      </c>
      <c r="AA274" s="21">
        <f t="shared" si="348"/>
        <v>1.3411813017589487</v>
      </c>
      <c r="AB274" s="26">
        <f t="shared" si="27"/>
        <v>1.0612885680297954</v>
      </c>
      <c r="AC274" s="23">
        <f t="shared" si="331"/>
        <v>5598.8571428571431</v>
      </c>
      <c r="AD274" s="23">
        <f t="shared" si="25"/>
        <v>138.42857142857142</v>
      </c>
      <c r="AE274" s="23">
        <f t="shared" si="332"/>
        <v>17925.428571428572</v>
      </c>
      <c r="AF274" s="25">
        <f t="shared" si="339"/>
        <v>0.38776383404631082</v>
      </c>
      <c r="AG274" s="25"/>
      <c r="AH274" s="25"/>
      <c r="AI274" s="25"/>
      <c r="AJ274" s="25"/>
      <c r="AK274" s="25"/>
      <c r="AL274" s="25"/>
      <c r="AM274" s="26">
        <f t="shared" si="353"/>
        <v>2968.8571428571427</v>
      </c>
    </row>
    <row r="275" spans="1:39" ht="16">
      <c r="A275" s="30">
        <v>44167</v>
      </c>
      <c r="B275" s="20">
        <v>225209</v>
      </c>
      <c r="C275" s="20">
        <v>4136</v>
      </c>
      <c r="D275" s="20">
        <v>5142</v>
      </c>
      <c r="E275" s="20">
        <v>65888</v>
      </c>
      <c r="F275" s="20">
        <v>1850230</v>
      </c>
      <c r="G275" s="17">
        <f t="shared" si="204"/>
        <v>188798.97959183672</v>
      </c>
      <c r="H275" s="20"/>
      <c r="I275" s="19">
        <f t="shared" si="234"/>
        <v>1.870875231258453E-2</v>
      </c>
      <c r="J275" s="19">
        <f t="shared" si="231"/>
        <v>0.12171946190473616</v>
      </c>
      <c r="K275" s="19">
        <f t="shared" si="232"/>
        <v>0.11878847246913132</v>
      </c>
      <c r="L275" s="20">
        <v>154179</v>
      </c>
      <c r="M275" s="19">
        <f t="shared" si="235"/>
        <v>2.2832124826272483E-2</v>
      </c>
      <c r="N275" s="19">
        <f t="shared" si="236"/>
        <v>0.29256379629588514</v>
      </c>
      <c r="O275" s="20">
        <v>44318</v>
      </c>
      <c r="P275" s="28">
        <v>14944</v>
      </c>
      <c r="Q275" s="29">
        <f t="shared" si="322"/>
        <v>0.27676659528907921</v>
      </c>
      <c r="R275" s="20">
        <f t="shared" ref="R275:S275" si="358">D275-D274</f>
        <v>165</v>
      </c>
      <c r="S275" s="20">
        <f t="shared" si="358"/>
        <v>1086</v>
      </c>
      <c r="T275" s="20">
        <v>7732</v>
      </c>
      <c r="U275" s="20">
        <v>649</v>
      </c>
      <c r="V275" s="19">
        <f t="shared" si="316"/>
        <v>0.68460407887784236</v>
      </c>
      <c r="W275" s="20">
        <f t="shared" ref="W275:X275" si="359">T275-T274</f>
        <v>-152</v>
      </c>
      <c r="X275" s="20">
        <f t="shared" si="359"/>
        <v>-13</v>
      </c>
      <c r="Y275" s="19">
        <f t="shared" si="96"/>
        <v>5.0149501553389243E-2</v>
      </c>
      <c r="Z275" s="19">
        <f t="shared" si="97"/>
        <v>8.393688566994309E-2</v>
      </c>
      <c r="AA275" s="21">
        <f t="shared" si="348"/>
        <v>1.3752522792121928</v>
      </c>
      <c r="AB275" s="26">
        <f t="shared" si="27"/>
        <v>1.1373099307561212</v>
      </c>
      <c r="AC275" s="23">
        <f t="shared" si="331"/>
        <v>5646</v>
      </c>
      <c r="AD275" s="23">
        <f t="shared" ref="AD275:AD466" si="360">SUM(R269:R275)/7</f>
        <v>146.85714285714286</v>
      </c>
      <c r="AE275" s="23">
        <f t="shared" si="332"/>
        <v>17200.857142857141</v>
      </c>
      <c r="AF275" s="25">
        <f t="shared" si="339"/>
        <v>0.40013793598837294</v>
      </c>
      <c r="AG275" s="25"/>
      <c r="AH275" s="25"/>
      <c r="AI275" s="25"/>
      <c r="AJ275" s="25"/>
      <c r="AK275" s="25"/>
      <c r="AL275" s="25"/>
      <c r="AM275" s="26">
        <f t="shared" si="353"/>
        <v>2724.2857142857142</v>
      </c>
    </row>
    <row r="276" spans="1:39" ht="16">
      <c r="A276" s="30">
        <v>44168</v>
      </c>
      <c r="B276" s="20">
        <v>231884</v>
      </c>
      <c r="C276" s="20">
        <v>6635</v>
      </c>
      <c r="D276" s="20">
        <v>5324</v>
      </c>
      <c r="E276" s="20">
        <v>67033</v>
      </c>
      <c r="F276" s="20">
        <v>1876274</v>
      </c>
      <c r="G276" s="17">
        <f t="shared" si="204"/>
        <v>191456.53061224488</v>
      </c>
      <c r="H276" s="20"/>
      <c r="I276" s="19">
        <f t="shared" si="234"/>
        <v>2.9639135203300047E-2</v>
      </c>
      <c r="J276" s="19">
        <f t="shared" si="231"/>
        <v>0.12358749308469871</v>
      </c>
      <c r="K276" s="19">
        <f t="shared" si="232"/>
        <v>1.4076087837728282E-2</v>
      </c>
      <c r="L276" s="20">
        <v>159487</v>
      </c>
      <c r="M276" s="19">
        <f t="shared" si="235"/>
        <v>2.2959755739938935E-2</v>
      </c>
      <c r="N276" s="19">
        <f t="shared" si="236"/>
        <v>0.28907988476997121</v>
      </c>
      <c r="O276" s="20">
        <v>50430</v>
      </c>
      <c r="P276" s="28">
        <f t="shared" ref="P276:P280" si="361">F276-F275</f>
        <v>26044</v>
      </c>
      <c r="Q276" s="29">
        <f t="shared" si="322"/>
        <v>0.25476117339886345</v>
      </c>
      <c r="R276" s="20">
        <f t="shared" ref="R276:S276" si="362">D276-D275</f>
        <v>182</v>
      </c>
      <c r="S276" s="20">
        <f t="shared" si="362"/>
        <v>1145</v>
      </c>
      <c r="T276" s="20">
        <v>7693</v>
      </c>
      <c r="U276" s="20">
        <v>663</v>
      </c>
      <c r="V276" s="19">
        <f t="shared" si="316"/>
        <v>0.68778785944696486</v>
      </c>
      <c r="W276" s="20">
        <f t="shared" ref="W276:X276" si="363">T276-T275</f>
        <v>-39</v>
      </c>
      <c r="X276" s="20">
        <f t="shared" si="363"/>
        <v>14</v>
      </c>
      <c r="Y276" s="19">
        <f t="shared" si="96"/>
        <v>4.8235906374814251E-2</v>
      </c>
      <c r="Z276" s="19">
        <f t="shared" si="97"/>
        <v>8.6182243598076178E-2</v>
      </c>
      <c r="AA276" s="21">
        <f t="shared" si="348"/>
        <v>1.3011508533315896</v>
      </c>
      <c r="AB276" s="26">
        <f t="shared" ref="AB276:AB466" si="364">SUM(AA270:AA276)/7</f>
        <v>1.1971631684799477</v>
      </c>
      <c r="AC276" s="23">
        <f t="shared" si="331"/>
        <v>5685.2857142857147</v>
      </c>
      <c r="AD276" s="23">
        <f t="shared" si="360"/>
        <v>156.42857142857142</v>
      </c>
      <c r="AE276" s="23">
        <f t="shared" si="332"/>
        <v>16367.285714285714</v>
      </c>
      <c r="AF276" s="25">
        <f t="shared" si="339"/>
        <v>0.40803176419943155</v>
      </c>
      <c r="AG276" s="25"/>
      <c r="AH276" s="25"/>
      <c r="AI276" s="25"/>
      <c r="AJ276" s="25"/>
      <c r="AK276" s="25"/>
      <c r="AL276" s="25"/>
      <c r="AM276" s="26">
        <f t="shared" si="353"/>
        <v>2488.1428571428573</v>
      </c>
    </row>
    <row r="277" spans="1:39" ht="16">
      <c r="A277" s="30">
        <v>44169</v>
      </c>
      <c r="B277" s="20">
        <v>238056</v>
      </c>
      <c r="C277" s="20">
        <v>6212</v>
      </c>
      <c r="D277" s="20">
        <v>5513</v>
      </c>
      <c r="E277" s="20">
        <v>68525</v>
      </c>
      <c r="F277" s="20">
        <v>1894753</v>
      </c>
      <c r="G277" s="17">
        <f t="shared" si="204"/>
        <v>193342.14285714284</v>
      </c>
      <c r="H277" s="20"/>
      <c r="I277" s="19">
        <f t="shared" si="234"/>
        <v>2.6616756654189163E-2</v>
      </c>
      <c r="J277" s="19">
        <f t="shared" si="231"/>
        <v>0.12563959524011836</v>
      </c>
      <c r="K277" s="19">
        <f t="shared" si="232"/>
        <v>9.8487747525148241E-3</v>
      </c>
      <c r="L277" s="20">
        <v>164018</v>
      </c>
      <c r="M277" s="19">
        <f t="shared" si="235"/>
        <v>2.3158416507040359E-2</v>
      </c>
      <c r="N277" s="19">
        <f t="shared" si="236"/>
        <v>0.28785243808179589</v>
      </c>
      <c r="O277" s="20">
        <v>53238</v>
      </c>
      <c r="P277" s="28">
        <f t="shared" si="361"/>
        <v>18479</v>
      </c>
      <c r="Q277" s="29">
        <f t="shared" si="322"/>
        <v>0.33616537691433518</v>
      </c>
      <c r="R277" s="20">
        <f t="shared" ref="R277:S277" si="365">D277-D276</f>
        <v>189</v>
      </c>
      <c r="S277" s="20">
        <f t="shared" si="365"/>
        <v>1492</v>
      </c>
      <c r="T277" s="20">
        <v>7812</v>
      </c>
      <c r="U277" s="20">
        <v>639</v>
      </c>
      <c r="V277" s="19">
        <f t="shared" si="316"/>
        <v>0.68898914541116374</v>
      </c>
      <c r="W277" s="20">
        <f t="shared" ref="W277:X277" si="366">T277-T276</f>
        <v>119</v>
      </c>
      <c r="X277" s="20">
        <f t="shared" si="366"/>
        <v>-24</v>
      </c>
      <c r="Y277" s="19">
        <f t="shared" si="96"/>
        <v>4.7628918777207381E-2</v>
      </c>
      <c r="Z277" s="19">
        <f t="shared" si="97"/>
        <v>8.1797235023041481E-2</v>
      </c>
      <c r="AA277" s="21">
        <f t="shared" si="348"/>
        <v>1.2174928547281723</v>
      </c>
      <c r="AB277" s="26">
        <f t="shared" si="364"/>
        <v>1.2344285044370917</v>
      </c>
      <c r="AC277" s="23">
        <f t="shared" si="331"/>
        <v>5659.4285714285716</v>
      </c>
      <c r="AD277" s="23">
        <f t="shared" si="360"/>
        <v>164.14285714285714</v>
      </c>
      <c r="AE277" s="23">
        <f t="shared" si="332"/>
        <v>16006.285714285714</v>
      </c>
      <c r="AF277" s="25">
        <f t="shared" si="339"/>
        <v>0.412578015661344</v>
      </c>
      <c r="AG277" s="25"/>
      <c r="AH277" s="25"/>
      <c r="AI277" s="25"/>
      <c r="AJ277" s="25"/>
      <c r="AK277" s="25"/>
      <c r="AL277" s="25"/>
      <c r="AM277" s="26">
        <f t="shared" si="353"/>
        <v>2342.7142857142858</v>
      </c>
    </row>
    <row r="278" spans="1:39" ht="16">
      <c r="A278" s="30">
        <v>44170</v>
      </c>
      <c r="B278" s="20">
        <v>243581</v>
      </c>
      <c r="C278" s="20">
        <v>5525</v>
      </c>
      <c r="D278" s="20">
        <v>5706</v>
      </c>
      <c r="E278" s="20">
        <v>70396</v>
      </c>
      <c r="F278" s="20">
        <v>1918043</v>
      </c>
      <c r="G278" s="17">
        <f t="shared" si="204"/>
        <v>195718.67346938775</v>
      </c>
      <c r="H278" s="20"/>
      <c r="I278" s="19">
        <f t="shared" si="234"/>
        <v>2.3208824814329402E-2</v>
      </c>
      <c r="J278" s="19">
        <f t="shared" si="231"/>
        <v>0.12699454600340035</v>
      </c>
      <c r="K278" s="19">
        <f t="shared" si="232"/>
        <v>1.2291839622367665E-2</v>
      </c>
      <c r="L278" s="20">
        <v>167749</v>
      </c>
      <c r="M278" s="19">
        <f t="shared" si="235"/>
        <v>2.3425472430115651E-2</v>
      </c>
      <c r="N278" s="19">
        <f t="shared" si="236"/>
        <v>0.2890044790028779</v>
      </c>
      <c r="O278" s="20">
        <v>53315</v>
      </c>
      <c r="P278" s="28">
        <f t="shared" si="361"/>
        <v>23290</v>
      </c>
      <c r="Q278" s="29">
        <f t="shared" si="322"/>
        <v>0.23722627737226276</v>
      </c>
      <c r="R278" s="20">
        <f t="shared" ref="R278:S278" si="367">D278-D277</f>
        <v>193</v>
      </c>
      <c r="S278" s="20">
        <f t="shared" si="367"/>
        <v>1871</v>
      </c>
      <c r="T278" s="20">
        <v>7695</v>
      </c>
      <c r="U278" s="20">
        <v>637</v>
      </c>
      <c r="V278" s="19">
        <f t="shared" si="316"/>
        <v>0.68867850940754816</v>
      </c>
      <c r="W278" s="20">
        <f t="shared" ref="W278:X278" si="368">T278-T277</f>
        <v>-117</v>
      </c>
      <c r="X278" s="20">
        <f t="shared" si="368"/>
        <v>-2</v>
      </c>
      <c r="Y278" s="19">
        <f t="shared" si="96"/>
        <v>4.5872106540128403E-2</v>
      </c>
      <c r="Z278" s="19">
        <f t="shared" si="97"/>
        <v>8.278102664067577E-2</v>
      </c>
      <c r="AA278" s="21">
        <f t="shared" si="348"/>
        <v>1.1297006684103459</v>
      </c>
      <c r="AB278" s="26">
        <f t="shared" si="364"/>
        <v>1.2494043578223799</v>
      </c>
      <c r="AC278" s="23">
        <f t="shared" si="331"/>
        <v>5553.2857142857147</v>
      </c>
      <c r="AD278" s="23">
        <f t="shared" si="360"/>
        <v>170</v>
      </c>
      <c r="AE278" s="23">
        <f t="shared" si="332"/>
        <v>16253.142857142857</v>
      </c>
      <c r="AF278" s="25">
        <f t="shared" si="339"/>
        <v>0.40493939873408263</v>
      </c>
      <c r="AG278" s="25"/>
      <c r="AH278" s="25"/>
      <c r="AI278" s="25"/>
      <c r="AJ278" s="25"/>
      <c r="AK278" s="25"/>
      <c r="AL278" s="25"/>
      <c r="AM278" s="26">
        <f t="shared" si="353"/>
        <v>2339.2857142857142</v>
      </c>
    </row>
    <row r="279" spans="1:39" ht="16">
      <c r="A279" s="30">
        <v>44171</v>
      </c>
      <c r="B279" s="20">
        <v>250278</v>
      </c>
      <c r="C279" s="20">
        <v>6697</v>
      </c>
      <c r="D279" s="20">
        <v>5868</v>
      </c>
      <c r="E279" s="20">
        <v>71682</v>
      </c>
      <c r="F279" s="20">
        <v>1941724</v>
      </c>
      <c r="G279" s="17">
        <f t="shared" si="204"/>
        <v>198135.1020408163</v>
      </c>
      <c r="H279" s="20"/>
      <c r="I279" s="19">
        <f t="shared" si="234"/>
        <v>2.7493934255955924E-2</v>
      </c>
      <c r="J279" s="19">
        <f t="shared" si="231"/>
        <v>0.12889473478208024</v>
      </c>
      <c r="K279" s="19">
        <f t="shared" si="232"/>
        <v>1.2346438531357222E-2</v>
      </c>
      <c r="L279" s="20">
        <v>172728</v>
      </c>
      <c r="M279" s="19">
        <f t="shared" si="235"/>
        <v>2.3445928127921751E-2</v>
      </c>
      <c r="N279" s="19">
        <f t="shared" si="236"/>
        <v>0.2864095126219644</v>
      </c>
      <c r="O279" s="20">
        <v>50283</v>
      </c>
      <c r="P279" s="28">
        <f t="shared" si="361"/>
        <v>23681</v>
      </c>
      <c r="Q279" s="29">
        <f t="shared" si="322"/>
        <v>0.28280055740889321</v>
      </c>
      <c r="R279" s="20">
        <f t="shared" ref="R279:S279" si="369">D279-D278</f>
        <v>162</v>
      </c>
      <c r="S279" s="20">
        <f t="shared" si="369"/>
        <v>1286</v>
      </c>
      <c r="T279" s="20">
        <v>7709</v>
      </c>
      <c r="U279" s="20">
        <v>656</v>
      </c>
      <c r="V279" s="19">
        <f t="shared" si="316"/>
        <v>0.69014455925011386</v>
      </c>
      <c r="W279" s="20">
        <f t="shared" ref="W279:X279" si="370">T279-T278</f>
        <v>14</v>
      </c>
      <c r="X279" s="20">
        <f t="shared" si="370"/>
        <v>19</v>
      </c>
      <c r="Y279" s="19">
        <f t="shared" si="96"/>
        <v>4.4630864712148582E-2</v>
      </c>
      <c r="Z279" s="19">
        <f t="shared" si="97"/>
        <v>8.5095343105461144E-2</v>
      </c>
      <c r="AA279" s="21">
        <f t="shared" si="348"/>
        <v>1.0499065268633667</v>
      </c>
      <c r="AB279" s="26">
        <f t="shared" si="364"/>
        <v>1.2427307470457651</v>
      </c>
      <c r="AC279" s="23">
        <f t="shared" si="331"/>
        <v>5535.8571428571431</v>
      </c>
      <c r="AD279" s="23">
        <f t="shared" si="360"/>
        <v>170.85714285714286</v>
      </c>
      <c r="AE279" s="23">
        <f t="shared" si="332"/>
        <v>17306</v>
      </c>
      <c r="AF279" s="25">
        <f t="shared" si="339"/>
        <v>0.38561641680161335</v>
      </c>
      <c r="AG279" s="25"/>
      <c r="AH279" s="25"/>
      <c r="AI279" s="25"/>
      <c r="AJ279" s="25"/>
      <c r="AK279" s="25"/>
      <c r="AL279" s="25"/>
      <c r="AM279" s="26">
        <f t="shared" si="353"/>
        <v>2292.1428571428573</v>
      </c>
    </row>
    <row r="280" spans="1:39" ht="16">
      <c r="A280" s="30">
        <v>44172</v>
      </c>
      <c r="B280" s="20">
        <v>254148</v>
      </c>
      <c r="C280" s="20">
        <v>3870</v>
      </c>
      <c r="D280" s="20">
        <v>5984</v>
      </c>
      <c r="E280" s="20">
        <v>74283</v>
      </c>
      <c r="F280" s="20">
        <v>1963148</v>
      </c>
      <c r="G280" s="17">
        <f t="shared" si="204"/>
        <v>200321.22448979592</v>
      </c>
      <c r="H280" s="20"/>
      <c r="I280" s="19">
        <f t="shared" si="234"/>
        <v>1.5462805360439192E-2</v>
      </c>
      <c r="J280" s="19">
        <f t="shared" si="231"/>
        <v>0.12945941925927135</v>
      </c>
      <c r="K280" s="19">
        <f t="shared" si="232"/>
        <v>1.1033493946616513E-2</v>
      </c>
      <c r="L280" s="20">
        <v>173881</v>
      </c>
      <c r="M280" s="19">
        <f t="shared" si="235"/>
        <v>2.354533578859562E-2</v>
      </c>
      <c r="N280" s="19">
        <f t="shared" si="236"/>
        <v>0.29228244959629823</v>
      </c>
      <c r="O280" s="20">
        <v>51485</v>
      </c>
      <c r="P280" s="28">
        <f t="shared" si="361"/>
        <v>21424</v>
      </c>
      <c r="Q280" s="29">
        <f t="shared" si="322"/>
        <v>0.18063853622106049</v>
      </c>
      <c r="R280" s="20">
        <f t="shared" ref="R280:S280" si="371">D280-D279</f>
        <v>116</v>
      </c>
      <c r="S280" s="20">
        <f t="shared" si="371"/>
        <v>2601</v>
      </c>
      <c r="T280" s="20">
        <v>7932</v>
      </c>
      <c r="U280" s="20">
        <v>674</v>
      </c>
      <c r="V280" s="19">
        <f t="shared" si="316"/>
        <v>0.68417221461510613</v>
      </c>
      <c r="W280" s="20">
        <f t="shared" ref="W280:X280" si="372">T280-T279</f>
        <v>223</v>
      </c>
      <c r="X280" s="20">
        <f t="shared" si="372"/>
        <v>18</v>
      </c>
      <c r="Y280" s="19">
        <f t="shared" si="96"/>
        <v>4.5617405006872516E-2</v>
      </c>
      <c r="Z280" s="19">
        <f t="shared" si="97"/>
        <v>8.4972264246091778E-2</v>
      </c>
      <c r="AA280" s="21">
        <f t="shared" si="348"/>
        <v>0.94526423283124839</v>
      </c>
      <c r="AB280" s="26">
        <f t="shared" si="364"/>
        <v>1.1942783881622663</v>
      </c>
      <c r="AC280" s="23">
        <f t="shared" si="331"/>
        <v>5289.4285714285716</v>
      </c>
      <c r="AD280" s="23">
        <f t="shared" si="360"/>
        <v>165.85714285714286</v>
      </c>
      <c r="AE280" s="23">
        <f t="shared" si="332"/>
        <v>19088.571428571428</v>
      </c>
      <c r="AF280" s="25">
        <f t="shared" si="339"/>
        <v>0.3220763245821634</v>
      </c>
      <c r="AG280" s="25"/>
      <c r="AH280" s="25"/>
      <c r="AI280" s="25"/>
      <c r="AJ280" s="25"/>
      <c r="AK280" s="25"/>
      <c r="AL280" s="25"/>
      <c r="AM280" s="26">
        <f t="shared" si="353"/>
        <v>1489</v>
      </c>
    </row>
    <row r="281" spans="1:39" ht="16">
      <c r="A281" s="30">
        <v>44173</v>
      </c>
      <c r="B281" s="20">
        <v>256367</v>
      </c>
      <c r="C281" s="20">
        <v>2219</v>
      </c>
      <c r="D281" s="20">
        <v>6120</v>
      </c>
      <c r="E281" s="20">
        <v>75281</v>
      </c>
      <c r="F281" s="20">
        <v>2158818</v>
      </c>
      <c r="G281" s="17">
        <f t="shared" si="204"/>
        <v>220287.55102040814</v>
      </c>
      <c r="H281" s="20"/>
      <c r="I281" s="19">
        <f t="shared" si="234"/>
        <v>8.7311330405905226E-3</v>
      </c>
      <c r="J281" s="19">
        <f t="shared" si="231"/>
        <v>0.11875341043107848</v>
      </c>
      <c r="K281" s="19">
        <f t="shared" si="232"/>
        <v>9.9671547942386418E-2</v>
      </c>
      <c r="L281" s="20">
        <v>174966</v>
      </c>
      <c r="M281" s="19">
        <f t="shared" si="235"/>
        <v>2.3872027210990493E-2</v>
      </c>
      <c r="N281" s="19">
        <f t="shared" si="236"/>
        <v>0.29364543798538811</v>
      </c>
      <c r="O281" s="20">
        <v>45542</v>
      </c>
      <c r="P281" s="28">
        <v>9527</v>
      </c>
      <c r="Q281" s="29">
        <f t="shared" si="322"/>
        <v>0.23291697281410728</v>
      </c>
      <c r="R281" s="20">
        <f t="shared" ref="R281:S281" si="373">D281-D280</f>
        <v>136</v>
      </c>
      <c r="S281" s="20">
        <f t="shared" si="373"/>
        <v>998</v>
      </c>
      <c r="T281" s="20">
        <v>8045</v>
      </c>
      <c r="U281" s="20">
        <v>656</v>
      </c>
      <c r="V281" s="19">
        <f t="shared" si="316"/>
        <v>0.68248253480362142</v>
      </c>
      <c r="W281" s="20">
        <f t="shared" ref="W281:X281" si="374">T281-T280</f>
        <v>113</v>
      </c>
      <c r="X281" s="20">
        <f t="shared" si="374"/>
        <v>-18</v>
      </c>
      <c r="Y281" s="19">
        <f t="shared" si="96"/>
        <v>4.5980361898883208E-2</v>
      </c>
      <c r="Z281" s="19">
        <f t="shared" si="97"/>
        <v>8.1541330018645122E-2</v>
      </c>
      <c r="AA281" s="21">
        <f t="shared" si="348"/>
        <v>0.90054092671973873</v>
      </c>
      <c r="AB281" s="26">
        <f t="shared" si="364"/>
        <v>1.131329763156665</v>
      </c>
      <c r="AC281" s="23">
        <f t="shared" si="331"/>
        <v>5042</v>
      </c>
      <c r="AD281" s="23">
        <f t="shared" si="360"/>
        <v>163.28571428571428</v>
      </c>
      <c r="AE281" s="23">
        <f t="shared" si="332"/>
        <v>19627</v>
      </c>
      <c r="AF281" s="25">
        <f t="shared" si="339"/>
        <v>0.25732506991694309</v>
      </c>
      <c r="AG281" s="25"/>
      <c r="AH281" s="25"/>
      <c r="AI281" s="25"/>
      <c r="AJ281" s="25"/>
      <c r="AK281" s="25"/>
      <c r="AL281" s="25"/>
      <c r="AM281" s="26">
        <f t="shared" si="353"/>
        <v>1497</v>
      </c>
    </row>
    <row r="282" spans="1:39" ht="16">
      <c r="A282" s="30">
        <v>44174</v>
      </c>
      <c r="B282" s="20">
        <v>259588</v>
      </c>
      <c r="C282" s="20">
        <v>3221</v>
      </c>
      <c r="D282" s="20">
        <v>6280</v>
      </c>
      <c r="E282" s="20">
        <v>76270</v>
      </c>
      <c r="F282" s="20">
        <v>2187555</v>
      </c>
      <c r="G282" s="17">
        <f t="shared" si="204"/>
        <v>223219.89795918367</v>
      </c>
      <c r="H282" s="20"/>
      <c r="I282" s="19">
        <f t="shared" si="234"/>
        <v>1.2564019550098102E-2</v>
      </c>
      <c r="J282" s="19">
        <f t="shared" si="231"/>
        <v>0.11866581640233045</v>
      </c>
      <c r="K282" s="19">
        <f t="shared" si="232"/>
        <v>1.3311450988457573E-2</v>
      </c>
      <c r="L282" s="20">
        <v>177038</v>
      </c>
      <c r="M282" s="19">
        <f t="shared" si="235"/>
        <v>2.4192181456769959E-2</v>
      </c>
      <c r="N282" s="19">
        <f t="shared" si="236"/>
        <v>0.29381173243755487</v>
      </c>
      <c r="O282" s="20">
        <v>45957</v>
      </c>
      <c r="P282" s="28">
        <f t="shared" ref="P282:P287" si="375">F282-F281</f>
        <v>28737</v>
      </c>
      <c r="Q282" s="29">
        <f t="shared" si="322"/>
        <v>0.11208546473187876</v>
      </c>
      <c r="R282" s="20">
        <f t="shared" ref="R282:S282" si="376">D282-D281</f>
        <v>160</v>
      </c>
      <c r="S282" s="20">
        <f t="shared" si="376"/>
        <v>989</v>
      </c>
      <c r="T282" s="20">
        <v>7945</v>
      </c>
      <c r="U282" s="20">
        <v>661</v>
      </c>
      <c r="V282" s="19">
        <f t="shared" si="316"/>
        <v>0.68199608610567519</v>
      </c>
      <c r="W282" s="20">
        <f t="shared" ref="W282:X282" si="377">T282-T281</f>
        <v>-100</v>
      </c>
      <c r="X282" s="20">
        <f t="shared" si="377"/>
        <v>5</v>
      </c>
      <c r="Y282" s="19">
        <f t="shared" si="96"/>
        <v>4.4877370959906911E-2</v>
      </c>
      <c r="Z282" s="19">
        <f t="shared" si="97"/>
        <v>8.3196979232221524E-2</v>
      </c>
      <c r="AA282" s="21">
        <f t="shared" si="348"/>
        <v>0.86986994585294264</v>
      </c>
      <c r="AB282" s="26">
        <f t="shared" si="364"/>
        <v>1.0591322869624862</v>
      </c>
      <c r="AC282" s="23">
        <f t="shared" si="331"/>
        <v>4911.2857142857147</v>
      </c>
      <c r="AD282" s="23">
        <f t="shared" si="360"/>
        <v>162.57142857142858</v>
      </c>
      <c r="AE282" s="23">
        <f t="shared" si="332"/>
        <v>21597.428571428572</v>
      </c>
      <c r="AF282" s="25">
        <f t="shared" si="339"/>
        <v>0.2337991941230573</v>
      </c>
      <c r="AG282" s="25"/>
      <c r="AH282" s="25"/>
      <c r="AI282" s="25"/>
      <c r="AJ282" s="25"/>
      <c r="AK282" s="25"/>
      <c r="AL282" s="25"/>
      <c r="AM282" s="26">
        <f t="shared" si="353"/>
        <v>1483.1428571428571</v>
      </c>
    </row>
    <row r="283" spans="1:39" ht="16">
      <c r="A283" s="30">
        <v>44175</v>
      </c>
      <c r="B283" s="20">
        <v>265003</v>
      </c>
      <c r="C283" s="20">
        <v>5415</v>
      </c>
      <c r="D283" s="20">
        <v>6451</v>
      </c>
      <c r="E283" s="20">
        <v>77362</v>
      </c>
      <c r="F283" s="20">
        <v>2216880</v>
      </c>
      <c r="G283" s="17">
        <f t="shared" si="204"/>
        <v>226212.24489795917</v>
      </c>
      <c r="H283" s="20"/>
      <c r="I283" s="19">
        <f t="shared" si="234"/>
        <v>2.0859978119173461E-2</v>
      </c>
      <c r="J283" s="19">
        <f t="shared" si="231"/>
        <v>0.11953872108548952</v>
      </c>
      <c r="K283" s="19">
        <f t="shared" si="232"/>
        <v>1.3405377236229489E-2</v>
      </c>
      <c r="L283" s="20">
        <v>181190</v>
      </c>
      <c r="M283" s="19">
        <f t="shared" si="235"/>
        <v>2.4343120643917238E-2</v>
      </c>
      <c r="N283" s="19">
        <f t="shared" si="236"/>
        <v>0.29192877061769112</v>
      </c>
      <c r="O283" s="20">
        <v>43923</v>
      </c>
      <c r="P283" s="28">
        <f t="shared" si="375"/>
        <v>29325</v>
      </c>
      <c r="Q283" s="29">
        <f t="shared" si="322"/>
        <v>0.18465473145780051</v>
      </c>
      <c r="R283" s="20">
        <f t="shared" ref="R283:S283" si="378">D283-D282</f>
        <v>171</v>
      </c>
      <c r="S283" s="20">
        <f t="shared" si="378"/>
        <v>1092</v>
      </c>
      <c r="T283" s="20">
        <v>7869</v>
      </c>
      <c r="U283" s="20">
        <v>645</v>
      </c>
      <c r="V283" s="19">
        <f t="shared" si="316"/>
        <v>0.68372810873839163</v>
      </c>
      <c r="W283" s="20">
        <f t="shared" ref="W283:X283" si="379">T283-T282</f>
        <v>-76</v>
      </c>
      <c r="X283" s="20">
        <f t="shared" si="379"/>
        <v>-16</v>
      </c>
      <c r="Y283" s="19">
        <f t="shared" si="96"/>
        <v>4.3429549092113252E-2</v>
      </c>
      <c r="Z283" s="19">
        <f t="shared" si="97"/>
        <v>8.1967213114754092E-2</v>
      </c>
      <c r="AA283" s="21">
        <f t="shared" si="348"/>
        <v>0.83320350780209562</v>
      </c>
      <c r="AB283" s="26">
        <f t="shared" si="364"/>
        <v>0.99228266617255845</v>
      </c>
      <c r="AC283" s="23">
        <f t="shared" si="331"/>
        <v>4737</v>
      </c>
      <c r="AD283" s="23">
        <f t="shared" si="360"/>
        <v>161</v>
      </c>
      <c r="AE283" s="23">
        <f t="shared" si="332"/>
        <v>22066.142857142859</v>
      </c>
      <c r="AF283" s="25">
        <f t="shared" si="339"/>
        <v>0.22378398813147687</v>
      </c>
      <c r="AG283" s="25"/>
      <c r="AH283" s="25"/>
      <c r="AI283" s="25"/>
      <c r="AJ283" s="25"/>
      <c r="AK283" s="25"/>
      <c r="AL283" s="25"/>
      <c r="AM283" s="26">
        <f t="shared" si="353"/>
        <v>1475.5714285714287</v>
      </c>
    </row>
    <row r="284" spans="1:39" ht="16">
      <c r="A284" s="30">
        <v>44176</v>
      </c>
      <c r="B284" s="20">
        <v>271200</v>
      </c>
      <c r="C284" s="20">
        <v>6197</v>
      </c>
      <c r="D284" s="20">
        <v>6622</v>
      </c>
      <c r="E284" s="20">
        <v>78700</v>
      </c>
      <c r="F284" s="20">
        <v>2245483</v>
      </c>
      <c r="G284" s="17">
        <f t="shared" si="204"/>
        <v>229130.91836734692</v>
      </c>
      <c r="H284" s="20"/>
      <c r="I284" s="19">
        <f t="shared" si="234"/>
        <v>2.338464092859326E-2</v>
      </c>
      <c r="J284" s="19">
        <f t="shared" si="231"/>
        <v>0.12077579745649376</v>
      </c>
      <c r="K284" s="19">
        <f t="shared" si="232"/>
        <v>1.2902367290967486E-2</v>
      </c>
      <c r="L284" s="20">
        <v>185878</v>
      </c>
      <c r="M284" s="19">
        <f t="shared" si="235"/>
        <v>2.4417404129793509E-2</v>
      </c>
      <c r="N284" s="19">
        <f t="shared" si="236"/>
        <v>0.29019174041297935</v>
      </c>
      <c r="O284" s="20">
        <v>49524</v>
      </c>
      <c r="P284" s="28">
        <f t="shared" si="375"/>
        <v>28603</v>
      </c>
      <c r="Q284" s="29">
        <f t="shared" si="322"/>
        <v>0.21665559556689859</v>
      </c>
      <c r="R284" s="20">
        <f t="shared" ref="R284:S284" si="380">D284-D283</f>
        <v>171</v>
      </c>
      <c r="S284" s="20">
        <f t="shared" si="380"/>
        <v>1338</v>
      </c>
      <c r="T284" s="20">
        <v>7871</v>
      </c>
      <c r="U284" s="20">
        <v>610</v>
      </c>
      <c r="V284" s="19">
        <f t="shared" si="316"/>
        <v>0.68539085545722711</v>
      </c>
      <c r="W284" s="20">
        <f t="shared" ref="W284:X284" si="381">T284-T283</f>
        <v>2</v>
      </c>
      <c r="X284" s="20">
        <f t="shared" si="381"/>
        <v>-35</v>
      </c>
      <c r="Y284" s="19">
        <f t="shared" si="96"/>
        <v>4.2344978964697272E-2</v>
      </c>
      <c r="Z284" s="19">
        <f t="shared" si="97"/>
        <v>7.7499682378350906E-2</v>
      </c>
      <c r="AA284" s="21">
        <f t="shared" si="348"/>
        <v>0.8366316639741519</v>
      </c>
      <c r="AB284" s="26">
        <f t="shared" si="364"/>
        <v>0.93787392463627006</v>
      </c>
      <c r="AC284" s="23">
        <f t="shared" si="331"/>
        <v>4734.8571428571431</v>
      </c>
      <c r="AD284" s="23">
        <f t="shared" si="360"/>
        <v>158.42857142857142</v>
      </c>
      <c r="AE284" s="23">
        <f t="shared" si="332"/>
        <v>23512.428571428572</v>
      </c>
      <c r="AF284" s="25">
        <f t="shared" si="339"/>
        <v>0.20671116222470021</v>
      </c>
      <c r="AG284" s="25"/>
      <c r="AH284" s="25"/>
      <c r="AI284" s="25"/>
      <c r="AJ284" s="25"/>
      <c r="AK284" s="25"/>
      <c r="AL284" s="25"/>
      <c r="AM284" s="26">
        <f t="shared" si="353"/>
        <v>1453.5714285714287</v>
      </c>
    </row>
    <row r="285" spans="1:39" ht="16">
      <c r="A285" s="30">
        <v>44177</v>
      </c>
      <c r="B285" s="20">
        <v>276247</v>
      </c>
      <c r="C285" s="20">
        <v>5047</v>
      </c>
      <c r="D285" s="20">
        <v>6784</v>
      </c>
      <c r="E285" s="20">
        <v>79769</v>
      </c>
      <c r="F285" s="20">
        <v>2275935</v>
      </c>
      <c r="G285" s="17">
        <f t="shared" si="204"/>
        <v>232238.26530612243</v>
      </c>
      <c r="H285" s="20"/>
      <c r="I285" s="19">
        <f t="shared" si="234"/>
        <v>1.8609882005899706E-2</v>
      </c>
      <c r="J285" s="19">
        <f t="shared" si="231"/>
        <v>0.12137736798282904</v>
      </c>
      <c r="K285" s="19">
        <f t="shared" si="232"/>
        <v>1.3561447581656151E-2</v>
      </c>
      <c r="L285" s="20">
        <v>189694</v>
      </c>
      <c r="M285" s="19">
        <f t="shared" si="235"/>
        <v>2.4557732753658863E-2</v>
      </c>
      <c r="N285" s="19">
        <f t="shared" si="236"/>
        <v>0.28875969693788528</v>
      </c>
      <c r="O285" s="20">
        <v>49365</v>
      </c>
      <c r="P285" s="28">
        <f t="shared" si="375"/>
        <v>30452</v>
      </c>
      <c r="Q285" s="29">
        <f t="shared" si="322"/>
        <v>0.16573624064100881</v>
      </c>
      <c r="R285" s="20">
        <f t="shared" ref="R285:S285" si="382">D285-D284</f>
        <v>162</v>
      </c>
      <c r="S285" s="20">
        <f t="shared" si="382"/>
        <v>1069</v>
      </c>
      <c r="T285" s="20">
        <v>7807</v>
      </c>
      <c r="U285" s="20">
        <v>610</v>
      </c>
      <c r="V285" s="19">
        <f t="shared" si="316"/>
        <v>0.68668257030845581</v>
      </c>
      <c r="W285" s="20">
        <f t="shared" ref="W285:X285" si="383">T285-T284</f>
        <v>-64</v>
      </c>
      <c r="X285" s="20">
        <f t="shared" si="383"/>
        <v>0</v>
      </c>
      <c r="Y285" s="19">
        <f t="shared" si="96"/>
        <v>4.1155756112475884E-2</v>
      </c>
      <c r="Z285" s="19">
        <f t="shared" si="97"/>
        <v>7.8135007044959653E-2</v>
      </c>
      <c r="AA285" s="21">
        <f t="shared" si="348"/>
        <v>0.84032619041494094</v>
      </c>
      <c r="AB285" s="26">
        <f t="shared" si="364"/>
        <v>0.89653471349406921</v>
      </c>
      <c r="AC285" s="23">
        <f t="shared" si="331"/>
        <v>4666.5714285714284</v>
      </c>
      <c r="AD285" s="23">
        <f t="shared" si="360"/>
        <v>154</v>
      </c>
      <c r="AE285" s="23">
        <f t="shared" si="332"/>
        <v>24535.571428571428</v>
      </c>
      <c r="AF285" s="25">
        <f t="shared" si="339"/>
        <v>0.19649829983452108</v>
      </c>
      <c r="AG285" s="25"/>
      <c r="AH285" s="25"/>
      <c r="AI285" s="25"/>
      <c r="AJ285" s="25"/>
      <c r="AK285" s="25"/>
      <c r="AL285" s="25"/>
      <c r="AM285" s="26">
        <f t="shared" si="353"/>
        <v>1339</v>
      </c>
    </row>
    <row r="286" spans="1:39" ht="16">
      <c r="A286" s="30">
        <v>44178</v>
      </c>
      <c r="B286" s="20">
        <v>280400</v>
      </c>
      <c r="C286" s="20">
        <v>4153</v>
      </c>
      <c r="D286" s="20">
        <v>6965</v>
      </c>
      <c r="E286" s="20">
        <v>80752</v>
      </c>
      <c r="F286" s="20">
        <v>2301174</v>
      </c>
      <c r="G286" s="17">
        <f t="shared" si="204"/>
        <v>234813.67346938775</v>
      </c>
      <c r="H286" s="20"/>
      <c r="I286" s="19">
        <f t="shared" si="234"/>
        <v>1.5033647424225421E-2</v>
      </c>
      <c r="J286" s="19">
        <f t="shared" si="231"/>
        <v>0.12185084656788231</v>
      </c>
      <c r="K286" s="19">
        <f t="shared" si="232"/>
        <v>1.1089508268030502E-2</v>
      </c>
      <c r="L286" s="20">
        <v>192683</v>
      </c>
      <c r="M286" s="19">
        <f t="shared" si="235"/>
        <v>2.4839514978601998E-2</v>
      </c>
      <c r="N286" s="19">
        <f t="shared" si="236"/>
        <v>0.28798858773181168</v>
      </c>
      <c r="O286" s="20">
        <v>47486</v>
      </c>
      <c r="P286" s="28">
        <f t="shared" si="375"/>
        <v>25239</v>
      </c>
      <c r="Q286" s="29">
        <f t="shared" si="322"/>
        <v>0.16454693133642379</v>
      </c>
      <c r="R286" s="20">
        <f t="shared" ref="R286:S286" si="384">D286-D285</f>
        <v>181</v>
      </c>
      <c r="S286" s="20">
        <f t="shared" si="384"/>
        <v>983</v>
      </c>
      <c r="T286" s="20">
        <v>7646</v>
      </c>
      <c r="U286" s="20">
        <v>606</v>
      </c>
      <c r="V286" s="19">
        <f t="shared" si="316"/>
        <v>0.68717189728958628</v>
      </c>
      <c r="W286" s="20">
        <f t="shared" ref="W286:X286" si="385">T286-T285</f>
        <v>-161</v>
      </c>
      <c r="X286" s="20">
        <f t="shared" si="385"/>
        <v>-4</v>
      </c>
      <c r="Y286" s="19">
        <f t="shared" si="96"/>
        <v>3.9681757082877057E-2</v>
      </c>
      <c r="Z286" s="19">
        <f t="shared" si="97"/>
        <v>7.9257127910018307E-2</v>
      </c>
      <c r="AA286" s="21">
        <f t="shared" si="348"/>
        <v>0.77732187556450161</v>
      </c>
      <c r="AB286" s="26">
        <f t="shared" si="364"/>
        <v>0.85759404902280278</v>
      </c>
      <c r="AC286" s="23">
        <f t="shared" si="331"/>
        <v>4303.1428571428569</v>
      </c>
      <c r="AD286" s="23">
        <f t="shared" si="360"/>
        <v>156.71428571428572</v>
      </c>
      <c r="AE286" s="23">
        <f t="shared" si="332"/>
        <v>24758.142857142859</v>
      </c>
      <c r="AF286" s="25">
        <f t="shared" si="339"/>
        <v>0.1796049246813112</v>
      </c>
      <c r="AG286" s="25"/>
      <c r="AH286" s="25"/>
      <c r="AI286" s="25"/>
      <c r="AJ286" s="25"/>
      <c r="AK286" s="25"/>
      <c r="AL286" s="25"/>
      <c r="AM286" s="26">
        <f t="shared" si="353"/>
        <v>1295.7142857142858</v>
      </c>
    </row>
    <row r="287" spans="1:39" ht="16">
      <c r="A287" s="30">
        <v>44179</v>
      </c>
      <c r="B287" s="20">
        <v>283870</v>
      </c>
      <c r="C287" s="20">
        <v>3470</v>
      </c>
      <c r="D287" s="20">
        <v>7130</v>
      </c>
      <c r="E287" s="20">
        <v>82546</v>
      </c>
      <c r="F287" s="20">
        <v>2320419</v>
      </c>
      <c r="G287" s="17">
        <f t="shared" si="204"/>
        <v>236777.44897959181</v>
      </c>
      <c r="H287" s="20"/>
      <c r="I287" s="19">
        <f t="shared" si="234"/>
        <v>1.2375178316690442E-2</v>
      </c>
      <c r="J287" s="19">
        <f t="shared" si="231"/>
        <v>0.1223356643778559</v>
      </c>
      <c r="K287" s="19">
        <f t="shared" si="232"/>
        <v>8.3631224757449892E-3</v>
      </c>
      <c r="L287" s="20">
        <v>194194</v>
      </c>
      <c r="M287" s="19">
        <f t="shared" si="235"/>
        <v>2.5117131081128685E-2</v>
      </c>
      <c r="N287" s="19">
        <f t="shared" si="236"/>
        <v>0.29078803677739812</v>
      </c>
      <c r="O287" s="20">
        <v>43966</v>
      </c>
      <c r="P287" s="28">
        <f t="shared" si="375"/>
        <v>19245</v>
      </c>
      <c r="Q287" s="29">
        <f t="shared" si="322"/>
        <v>0.18030657313587944</v>
      </c>
      <c r="R287" s="20">
        <f t="shared" ref="R287:S287" si="386">D287-D286</f>
        <v>165</v>
      </c>
      <c r="S287" s="20">
        <f t="shared" si="386"/>
        <v>1794</v>
      </c>
      <c r="T287" s="20">
        <v>7667</v>
      </c>
      <c r="U287" s="20">
        <v>605</v>
      </c>
      <c r="V287" s="19">
        <f t="shared" si="316"/>
        <v>0.68409483214147326</v>
      </c>
      <c r="W287" s="20">
        <f t="shared" ref="W287:X287" si="387">T287-T286</f>
        <v>21</v>
      </c>
      <c r="X287" s="20">
        <f t="shared" si="387"/>
        <v>-1</v>
      </c>
      <c r="Y287" s="19">
        <f t="shared" si="96"/>
        <v>3.9481137419281748E-2</v>
      </c>
      <c r="Z287" s="19">
        <f t="shared" si="97"/>
        <v>7.8909612625538014E-2</v>
      </c>
      <c r="AA287" s="21">
        <f t="shared" si="348"/>
        <v>0.80273321449792034</v>
      </c>
      <c r="AB287" s="26">
        <f t="shared" si="364"/>
        <v>0.8372324749751846</v>
      </c>
      <c r="AC287" s="23">
        <f t="shared" si="331"/>
        <v>4246</v>
      </c>
      <c r="AD287" s="23">
        <f t="shared" si="360"/>
        <v>163.71428571428572</v>
      </c>
      <c r="AE287" s="23">
        <f t="shared" si="332"/>
        <v>24446.857142857141</v>
      </c>
      <c r="AF287" s="25">
        <f t="shared" si="339"/>
        <v>0.17955750138342816</v>
      </c>
      <c r="AG287" s="25"/>
      <c r="AH287" s="25"/>
      <c r="AI287" s="25"/>
      <c r="AJ287" s="25"/>
      <c r="AK287" s="25"/>
      <c r="AL287" s="25"/>
      <c r="AM287" s="26">
        <f t="shared" si="353"/>
        <v>1180.4285714285713</v>
      </c>
    </row>
    <row r="288" spans="1:39" ht="16">
      <c r="A288" s="30">
        <v>44180</v>
      </c>
      <c r="B288" s="20">
        <v>285763</v>
      </c>
      <c r="C288" s="20">
        <v>1893</v>
      </c>
      <c r="D288" s="20">
        <v>7237</v>
      </c>
      <c r="E288" s="20">
        <v>83115</v>
      </c>
      <c r="F288" s="20">
        <v>2393535</v>
      </c>
      <c r="G288" s="17">
        <f t="shared" si="204"/>
        <v>244238.26530612243</v>
      </c>
      <c r="H288" s="20"/>
      <c r="I288" s="19">
        <f t="shared" si="234"/>
        <v>6.6685454609504355E-3</v>
      </c>
      <c r="J288" s="19">
        <f t="shared" si="231"/>
        <v>0.11938952219207156</v>
      </c>
      <c r="K288" s="19">
        <f t="shared" si="232"/>
        <v>3.1509826458066409E-2</v>
      </c>
      <c r="L288" s="20">
        <v>195411</v>
      </c>
      <c r="M288" s="19">
        <f t="shared" si="235"/>
        <v>2.5325182056459374E-2</v>
      </c>
      <c r="N288" s="19">
        <f t="shared" si="236"/>
        <v>0.2908529095789168</v>
      </c>
      <c r="O288" s="20">
        <v>42752</v>
      </c>
      <c r="P288" s="28">
        <v>10903</v>
      </c>
      <c r="Q288" s="29">
        <f t="shared" si="322"/>
        <v>0.1736219389158947</v>
      </c>
      <c r="R288" s="20">
        <f t="shared" ref="R288:S288" si="388">D288-D287</f>
        <v>107</v>
      </c>
      <c r="S288" s="20">
        <f t="shared" si="388"/>
        <v>569</v>
      </c>
      <c r="T288" s="20">
        <v>7845</v>
      </c>
      <c r="U288" s="20">
        <v>597</v>
      </c>
      <c r="V288" s="19">
        <f t="shared" si="316"/>
        <v>0.68382190836462386</v>
      </c>
      <c r="W288" s="20">
        <f t="shared" ref="W288:X288" si="389">T288-T287</f>
        <v>178</v>
      </c>
      <c r="X288" s="20">
        <f t="shared" si="389"/>
        <v>-8</v>
      </c>
      <c r="Y288" s="19">
        <f t="shared" si="96"/>
        <v>4.0146153491870978E-2</v>
      </c>
      <c r="Z288" s="19">
        <f t="shared" si="97"/>
        <v>7.6099426386233265E-2</v>
      </c>
      <c r="AA288" s="21">
        <f t="shared" si="348"/>
        <v>0.83288944296480993</v>
      </c>
      <c r="AB288" s="26">
        <f t="shared" si="364"/>
        <v>0.82756797729590914</v>
      </c>
      <c r="AC288" s="23">
        <f t="shared" si="331"/>
        <v>4199.4285714285716</v>
      </c>
      <c r="AD288" s="23">
        <f t="shared" si="360"/>
        <v>159.57142857142858</v>
      </c>
      <c r="AE288" s="23">
        <f t="shared" si="332"/>
        <v>24643.428571428572</v>
      </c>
      <c r="AF288" s="25">
        <f t="shared" si="339"/>
        <v>0.17108678225511209</v>
      </c>
      <c r="AG288" s="25"/>
      <c r="AH288" s="25"/>
      <c r="AI288" s="25"/>
      <c r="AJ288" s="25"/>
      <c r="AK288" s="25"/>
      <c r="AL288" s="25"/>
      <c r="AM288" s="26">
        <f t="shared" si="353"/>
        <v>1119.1428571428571</v>
      </c>
    </row>
    <row r="289" spans="1:39" ht="16">
      <c r="A289" s="30">
        <v>44181</v>
      </c>
      <c r="B289" s="20">
        <v>288567</v>
      </c>
      <c r="C289" s="16">
        <v>2804</v>
      </c>
      <c r="D289" s="20">
        <v>7381</v>
      </c>
      <c r="E289" s="20">
        <v>83940</v>
      </c>
      <c r="F289" s="20">
        <v>2406171</v>
      </c>
      <c r="G289" s="17">
        <f t="shared" si="204"/>
        <v>245527.65306122447</v>
      </c>
      <c r="H289" s="20"/>
      <c r="I289" s="19">
        <f t="shared" si="234"/>
        <v>9.8123269982467991E-3</v>
      </c>
      <c r="J289" s="19">
        <f t="shared" si="231"/>
        <v>0.11992788542460199</v>
      </c>
      <c r="K289" s="19">
        <f t="shared" si="232"/>
        <v>5.279220901302885E-3</v>
      </c>
      <c r="L289" s="20">
        <v>197246</v>
      </c>
      <c r="M289" s="19">
        <f t="shared" si="235"/>
        <v>2.5578115307710168E-2</v>
      </c>
      <c r="N289" s="19">
        <f t="shared" si="236"/>
        <v>0.29088565220555362</v>
      </c>
      <c r="O289" s="20">
        <v>42467</v>
      </c>
      <c r="P289" s="28">
        <f t="shared" ref="P289:P308" si="390">F289-F288</f>
        <v>12636</v>
      </c>
      <c r="Q289" s="29">
        <f t="shared" si="322"/>
        <v>0.2219056663501108</v>
      </c>
      <c r="R289" s="20">
        <f t="shared" ref="R289:S289" si="391">D289-D288</f>
        <v>144</v>
      </c>
      <c r="S289" s="20">
        <f t="shared" si="391"/>
        <v>825</v>
      </c>
      <c r="T289" s="20">
        <v>7639</v>
      </c>
      <c r="U289" s="20">
        <v>574</v>
      </c>
      <c r="V289" s="19">
        <f t="shared" si="316"/>
        <v>0.68353623248673623</v>
      </c>
      <c r="W289" s="20">
        <f t="shared" ref="W289:X289" si="392">T289-T288</f>
        <v>-206</v>
      </c>
      <c r="X289" s="20">
        <f t="shared" si="392"/>
        <v>-23</v>
      </c>
      <c r="Y289" s="19">
        <f t="shared" si="96"/>
        <v>3.8728288533100799E-2</v>
      </c>
      <c r="Z289" s="19">
        <f t="shared" si="97"/>
        <v>7.51407252258149E-2</v>
      </c>
      <c r="AA289" s="21">
        <f t="shared" si="348"/>
        <v>0.84292736845167104</v>
      </c>
      <c r="AB289" s="26">
        <f t="shared" si="364"/>
        <v>0.82371903766715593</v>
      </c>
      <c r="AC289" s="23">
        <f t="shared" si="331"/>
        <v>4139.8571428571431</v>
      </c>
      <c r="AD289" s="23">
        <f t="shared" si="360"/>
        <v>157.28571428571428</v>
      </c>
      <c r="AE289" s="23">
        <f t="shared" si="332"/>
        <v>22343.285714285714</v>
      </c>
      <c r="AF289" s="25">
        <f t="shared" si="339"/>
        <v>0.18677538248628811</v>
      </c>
      <c r="AG289" s="25"/>
      <c r="AH289" s="25"/>
      <c r="AI289" s="25"/>
      <c r="AJ289" s="25"/>
      <c r="AK289" s="25"/>
      <c r="AL289" s="25"/>
      <c r="AM289" s="26">
        <f t="shared" si="353"/>
        <v>1095.7142857142858</v>
      </c>
    </row>
    <row r="290" spans="1:39" ht="16">
      <c r="A290" s="30">
        <v>44182</v>
      </c>
      <c r="B290" s="20">
        <v>291549</v>
      </c>
      <c r="C290" s="20">
        <v>2982</v>
      </c>
      <c r="D290" s="20">
        <v>7538</v>
      </c>
      <c r="E290" s="20">
        <v>86954</v>
      </c>
      <c r="F290" s="20">
        <v>2424533</v>
      </c>
      <c r="G290" s="17">
        <f t="shared" si="204"/>
        <v>247401.32653061222</v>
      </c>
      <c r="H290" s="20"/>
      <c r="I290" s="19">
        <f t="shared" si="234"/>
        <v>1.0333821954693364E-2</v>
      </c>
      <c r="J290" s="19">
        <f t="shared" si="231"/>
        <v>0.12024954908842239</v>
      </c>
      <c r="K290" s="19">
        <f t="shared" si="232"/>
        <v>7.6312115805568263E-3</v>
      </c>
      <c r="L290" s="20">
        <v>197057</v>
      </c>
      <c r="M290" s="19">
        <f t="shared" si="235"/>
        <v>2.5855002075122879E-2</v>
      </c>
      <c r="N290" s="19">
        <f t="shared" si="236"/>
        <v>0.29824832189443284</v>
      </c>
      <c r="O290" s="20">
        <v>44248</v>
      </c>
      <c r="P290" s="28">
        <f t="shared" si="390"/>
        <v>18362</v>
      </c>
      <c r="Q290" s="29">
        <f t="shared" si="322"/>
        <v>0.16240060995534256</v>
      </c>
      <c r="R290" s="20">
        <f t="shared" ref="R290:S290" si="393">D290-D289</f>
        <v>157</v>
      </c>
      <c r="S290" s="20">
        <f t="shared" si="393"/>
        <v>3014</v>
      </c>
      <c r="T290" s="20">
        <v>7522</v>
      </c>
      <c r="U290" s="20">
        <v>573</v>
      </c>
      <c r="V290" s="19">
        <f t="shared" si="316"/>
        <v>0.67589667603044423</v>
      </c>
      <c r="W290" s="20">
        <f t="shared" ref="W290:X290" si="394">T290-T289</f>
        <v>-117</v>
      </c>
      <c r="X290" s="20">
        <f t="shared" si="394"/>
        <v>-1</v>
      </c>
      <c r="Y290" s="19">
        <f t="shared" si="96"/>
        <v>3.817169651420655E-2</v>
      </c>
      <c r="Z290" s="19">
        <f t="shared" si="97"/>
        <v>7.6176548790215362E-2</v>
      </c>
      <c r="AA290" s="21">
        <f t="shared" si="348"/>
        <v>0.80056696522814319</v>
      </c>
      <c r="AB290" s="26">
        <f t="shared" si="364"/>
        <v>0.81905667444230568</v>
      </c>
      <c r="AC290" s="23">
        <f t="shared" si="331"/>
        <v>3792.2857142857142</v>
      </c>
      <c r="AD290" s="23">
        <f t="shared" si="360"/>
        <v>155.28571428571428</v>
      </c>
      <c r="AE290" s="23">
        <f t="shared" si="332"/>
        <v>20777.142857142859</v>
      </c>
      <c r="AF290" s="25">
        <f t="shared" si="339"/>
        <v>0.18359622227165123</v>
      </c>
      <c r="AG290" s="25"/>
      <c r="AH290" s="25"/>
      <c r="AI290" s="25"/>
      <c r="AJ290" s="25"/>
      <c r="AK290" s="25"/>
      <c r="AL290" s="25"/>
      <c r="AM290" s="26">
        <f t="shared" si="353"/>
        <v>1370.2857142857142</v>
      </c>
    </row>
    <row r="291" spans="1:39" ht="16">
      <c r="A291" s="30">
        <v>44183</v>
      </c>
      <c r="B291" s="20">
        <v>295977</v>
      </c>
      <c r="C291" s="20">
        <v>4428</v>
      </c>
      <c r="D291" s="20">
        <v>7725</v>
      </c>
      <c r="E291" s="20">
        <v>89814</v>
      </c>
      <c r="F291" s="20">
        <v>2456600</v>
      </c>
      <c r="G291" s="17">
        <f t="shared" si="204"/>
        <v>250673.46938775509</v>
      </c>
      <c r="H291" s="20"/>
      <c r="I291" s="19">
        <f t="shared" si="234"/>
        <v>1.5187841494911661E-2</v>
      </c>
      <c r="J291" s="19">
        <f t="shared" si="231"/>
        <v>0.12048237401286331</v>
      </c>
      <c r="K291" s="19">
        <f t="shared" si="232"/>
        <v>1.3226052192319098E-2</v>
      </c>
      <c r="L291" s="20">
        <v>198438</v>
      </c>
      <c r="M291" s="19">
        <f t="shared" si="235"/>
        <v>2.6100001013592271E-2</v>
      </c>
      <c r="N291" s="19">
        <f t="shared" si="236"/>
        <v>0.30344925450288368</v>
      </c>
      <c r="O291" s="20">
        <v>45075</v>
      </c>
      <c r="P291" s="28">
        <f t="shared" si="390"/>
        <v>32067</v>
      </c>
      <c r="Q291" s="29">
        <f t="shared" si="322"/>
        <v>0.13808588268313218</v>
      </c>
      <c r="R291" s="20">
        <f t="shared" ref="R291:S291" si="395">D291-D290</f>
        <v>187</v>
      </c>
      <c r="S291" s="20">
        <f t="shared" si="395"/>
        <v>2860</v>
      </c>
      <c r="T291" s="20">
        <v>7335</v>
      </c>
      <c r="U291" s="20">
        <v>564</v>
      </c>
      <c r="V291" s="19">
        <f t="shared" si="316"/>
        <v>0.67045074448352404</v>
      </c>
      <c r="W291" s="20">
        <f t="shared" ref="W291:X291" si="396">T291-T290</f>
        <v>-187</v>
      </c>
      <c r="X291" s="20">
        <f t="shared" si="396"/>
        <v>-9</v>
      </c>
      <c r="Y291" s="19">
        <f t="shared" si="96"/>
        <v>3.6963686390711459E-2</v>
      </c>
      <c r="Z291" s="19">
        <f t="shared" si="97"/>
        <v>7.6891615541922295E-2</v>
      </c>
      <c r="AA291" s="21">
        <f t="shared" si="348"/>
        <v>0.74755611875452566</v>
      </c>
      <c r="AB291" s="26">
        <f t="shared" si="364"/>
        <v>0.80633159655378761</v>
      </c>
      <c r="AC291" s="23">
        <f t="shared" si="331"/>
        <v>3539.5714285714284</v>
      </c>
      <c r="AD291" s="23">
        <f t="shared" si="360"/>
        <v>157.57142857142858</v>
      </c>
      <c r="AE291" s="23">
        <f t="shared" si="332"/>
        <v>21272</v>
      </c>
      <c r="AF291" s="25">
        <f t="shared" si="339"/>
        <v>0.17237197757397033</v>
      </c>
      <c r="AG291" s="25"/>
      <c r="AH291" s="25"/>
      <c r="AI291" s="25"/>
      <c r="AJ291" s="25"/>
      <c r="AK291" s="25"/>
      <c r="AL291" s="25"/>
      <c r="AM291" s="26">
        <f t="shared" si="353"/>
        <v>1587.7142857142858</v>
      </c>
    </row>
    <row r="292" spans="1:39" ht="16">
      <c r="A292" s="30">
        <v>44184</v>
      </c>
      <c r="B292" s="20">
        <v>300022</v>
      </c>
      <c r="C292" s="20">
        <v>4045</v>
      </c>
      <c r="D292" s="20">
        <v>7914</v>
      </c>
      <c r="E292" s="20">
        <v>93323</v>
      </c>
      <c r="F292" s="20">
        <v>2480804</v>
      </c>
      <c r="G292" s="17">
        <f t="shared" si="204"/>
        <v>253143.26530612243</v>
      </c>
      <c r="H292" s="20"/>
      <c r="I292" s="19">
        <f t="shared" si="234"/>
        <v>1.3666602472489416E-2</v>
      </c>
      <c r="J292" s="19">
        <f t="shared" si="231"/>
        <v>0.12093740577651439</v>
      </c>
      <c r="K292" s="19">
        <f t="shared" si="232"/>
        <v>9.8526418627371166E-3</v>
      </c>
      <c r="L292" s="20">
        <v>198785</v>
      </c>
      <c r="M292" s="19">
        <f t="shared" si="235"/>
        <v>2.6378065608522041E-2</v>
      </c>
      <c r="N292" s="19">
        <f t="shared" si="236"/>
        <v>0.3110538560505563</v>
      </c>
      <c r="O292" s="20">
        <v>44010</v>
      </c>
      <c r="P292" s="28">
        <f t="shared" si="390"/>
        <v>24204</v>
      </c>
      <c r="Q292" s="29">
        <f t="shared" si="322"/>
        <v>0.1671211370021484</v>
      </c>
      <c r="R292" s="20">
        <f t="shared" ref="R292:S292" si="397">D292-D291</f>
        <v>189</v>
      </c>
      <c r="S292" s="20">
        <f t="shared" si="397"/>
        <v>3509</v>
      </c>
      <c r="T292" s="20">
        <v>7295</v>
      </c>
      <c r="U292" s="20">
        <v>538</v>
      </c>
      <c r="V292" s="19">
        <f t="shared" si="316"/>
        <v>0.66256807834092168</v>
      </c>
      <c r="W292" s="20">
        <f t="shared" ref="W292:X292" si="398">T292-T291</f>
        <v>-40</v>
      </c>
      <c r="X292" s="20">
        <f t="shared" si="398"/>
        <v>-26</v>
      </c>
      <c r="Y292" s="19">
        <f t="shared" si="96"/>
        <v>3.6697939985411376E-2</v>
      </c>
      <c r="Z292" s="19">
        <f t="shared" si="97"/>
        <v>7.3749143248800553E-2</v>
      </c>
      <c r="AA292" s="21">
        <f t="shared" si="348"/>
        <v>0.72782097593828443</v>
      </c>
      <c r="AB292" s="26">
        <f t="shared" si="364"/>
        <v>0.79025942305712227</v>
      </c>
      <c r="AC292" s="23">
        <f t="shared" si="331"/>
        <v>3396.4285714285716</v>
      </c>
      <c r="AD292" s="23">
        <f t="shared" si="360"/>
        <v>161.42857142857142</v>
      </c>
      <c r="AE292" s="23">
        <f t="shared" si="332"/>
        <v>20379.428571428572</v>
      </c>
      <c r="AF292" s="25">
        <f t="shared" si="339"/>
        <v>0.17256981991127598</v>
      </c>
      <c r="AG292" s="25"/>
      <c r="AH292" s="25"/>
      <c r="AI292" s="25"/>
      <c r="AJ292" s="25"/>
      <c r="AK292" s="25"/>
      <c r="AL292" s="25"/>
      <c r="AM292" s="26">
        <f t="shared" si="353"/>
        <v>1936.2857142857142</v>
      </c>
    </row>
    <row r="293" spans="1:39" ht="16">
      <c r="A293" s="30">
        <v>44185</v>
      </c>
      <c r="B293" s="20">
        <v>302989</v>
      </c>
      <c r="C293" s="20">
        <v>2967</v>
      </c>
      <c r="D293" s="20">
        <v>8099</v>
      </c>
      <c r="E293" s="20">
        <v>97443</v>
      </c>
      <c r="F293" s="20">
        <v>2504837</v>
      </c>
      <c r="G293" s="17">
        <f t="shared" si="204"/>
        <v>255595.61224489793</v>
      </c>
      <c r="H293" s="20"/>
      <c r="I293" s="19">
        <f t="shared" si="234"/>
        <v>9.8892747865156547E-3</v>
      </c>
      <c r="J293" s="19">
        <f t="shared" si="231"/>
        <v>0.12096156356681094</v>
      </c>
      <c r="K293" s="19">
        <f t="shared" si="232"/>
        <v>9.6875851538452858E-3</v>
      </c>
      <c r="L293" s="20">
        <v>197447</v>
      </c>
      <c r="M293" s="19">
        <f t="shared" si="235"/>
        <v>2.6730343345798033E-2</v>
      </c>
      <c r="N293" s="19">
        <f t="shared" si="236"/>
        <v>0.32160573486166166</v>
      </c>
      <c r="O293" s="20">
        <v>41445</v>
      </c>
      <c r="P293" s="28">
        <f t="shared" si="390"/>
        <v>24033</v>
      </c>
      <c r="Q293" s="29">
        <f t="shared" si="322"/>
        <v>0.12345524903258021</v>
      </c>
      <c r="R293" s="20">
        <f t="shared" ref="R293:S293" si="399">D293-D292</f>
        <v>185</v>
      </c>
      <c r="S293" s="20">
        <f t="shared" si="399"/>
        <v>4120</v>
      </c>
      <c r="T293" s="20">
        <v>7022</v>
      </c>
      <c r="U293" s="20">
        <v>520</v>
      </c>
      <c r="V293" s="19">
        <f t="shared" si="316"/>
        <v>0.65166392179254029</v>
      </c>
      <c r="W293" s="20">
        <f t="shared" ref="W293:X293" si="400">T293-T292</f>
        <v>-273</v>
      </c>
      <c r="X293" s="20">
        <f t="shared" si="400"/>
        <v>-18</v>
      </c>
      <c r="Y293" s="19">
        <f t="shared" si="96"/>
        <v>3.5563974129766467E-2</v>
      </c>
      <c r="Z293" s="19">
        <f t="shared" si="97"/>
        <v>7.4052976360011388E-2</v>
      </c>
      <c r="AA293" s="21">
        <f t="shared" si="348"/>
        <v>0.74991700418298912</v>
      </c>
      <c r="AB293" s="26">
        <f t="shared" si="364"/>
        <v>0.78634444143119187</v>
      </c>
      <c r="AC293" s="23">
        <f t="shared" si="331"/>
        <v>3227</v>
      </c>
      <c r="AD293" s="23">
        <f t="shared" si="360"/>
        <v>162</v>
      </c>
      <c r="AE293" s="23">
        <f t="shared" si="332"/>
        <v>20207.142857142859</v>
      </c>
      <c r="AF293" s="25">
        <f t="shared" si="339"/>
        <v>0.16669957958215548</v>
      </c>
      <c r="AG293" s="25"/>
      <c r="AH293" s="25"/>
      <c r="AI293" s="25"/>
      <c r="AJ293" s="25"/>
      <c r="AK293" s="25"/>
      <c r="AL293" s="25"/>
      <c r="AM293" s="26">
        <f t="shared" si="353"/>
        <v>2384.4285714285716</v>
      </c>
    </row>
    <row r="294" spans="1:39" ht="16">
      <c r="A294" s="30">
        <v>44186</v>
      </c>
      <c r="B294" s="20">
        <v>305130</v>
      </c>
      <c r="C294" s="20">
        <v>2141</v>
      </c>
      <c r="D294" s="20">
        <v>8282</v>
      </c>
      <c r="E294" s="20">
        <v>102962</v>
      </c>
      <c r="F294" s="20">
        <v>2520288</v>
      </c>
      <c r="G294" s="17">
        <f t="shared" si="204"/>
        <v>257172.24489795917</v>
      </c>
      <c r="H294" s="20"/>
      <c r="I294" s="19">
        <f t="shared" si="234"/>
        <v>7.0662631316648463E-3</v>
      </c>
      <c r="J294" s="19">
        <f t="shared" si="231"/>
        <v>0.12106949681941112</v>
      </c>
      <c r="K294" s="19">
        <f t="shared" si="232"/>
        <v>6.1684652534276683E-3</v>
      </c>
      <c r="L294" s="20">
        <v>193886</v>
      </c>
      <c r="M294" s="19">
        <f t="shared" si="235"/>
        <v>2.7142529413692523E-2</v>
      </c>
      <c r="N294" s="19">
        <f t="shared" si="236"/>
        <v>0.33743650247435519</v>
      </c>
      <c r="O294" s="20">
        <v>32486</v>
      </c>
      <c r="P294" s="28">
        <f t="shared" si="390"/>
        <v>15451</v>
      </c>
      <c r="Q294" s="29">
        <f t="shared" si="322"/>
        <v>0.13856708303669665</v>
      </c>
      <c r="R294" s="20">
        <f t="shared" ref="R294:S294" si="401">D294-D293</f>
        <v>183</v>
      </c>
      <c r="S294" s="20">
        <f t="shared" si="401"/>
        <v>5519</v>
      </c>
      <c r="T294" s="20">
        <v>7097</v>
      </c>
      <c r="U294" s="20">
        <v>517</v>
      </c>
      <c r="V294" s="19">
        <f t="shared" si="316"/>
        <v>0.63542096811195226</v>
      </c>
      <c r="W294" s="20">
        <f t="shared" ref="W294:X294" si="402">T294-T293</f>
        <v>75</v>
      </c>
      <c r="X294" s="20">
        <f t="shared" si="402"/>
        <v>-3</v>
      </c>
      <c r="Y294" s="19">
        <f t="shared" si="96"/>
        <v>3.6603983784285608E-2</v>
      </c>
      <c r="Z294" s="19">
        <f t="shared" si="97"/>
        <v>7.2847682119205295E-2</v>
      </c>
      <c r="AA294" s="21">
        <f t="shared" si="348"/>
        <v>0.71529506762667383</v>
      </c>
      <c r="AB294" s="26">
        <f t="shared" si="364"/>
        <v>0.77385327759244249</v>
      </c>
      <c r="AC294" s="23">
        <f t="shared" si="331"/>
        <v>3037.1428571428573</v>
      </c>
      <c r="AD294" s="23">
        <f t="shared" si="360"/>
        <v>164.57142857142858</v>
      </c>
      <c r="AE294" s="23">
        <f t="shared" si="332"/>
        <v>19665.142857142859</v>
      </c>
      <c r="AF294" s="25">
        <f t="shared" si="339"/>
        <v>0.16073679528227222</v>
      </c>
      <c r="AG294" s="25"/>
      <c r="AH294" s="25"/>
      <c r="AI294" s="25"/>
      <c r="AJ294" s="25"/>
      <c r="AK294" s="25"/>
      <c r="AL294" s="25"/>
      <c r="AM294" s="26">
        <f t="shared" si="353"/>
        <v>2916.5714285714284</v>
      </c>
    </row>
    <row r="295" spans="1:39" ht="16">
      <c r="A295" s="30">
        <v>44187</v>
      </c>
      <c r="B295" s="20">
        <v>306368</v>
      </c>
      <c r="C295" s="20">
        <v>1238</v>
      </c>
      <c r="D295" s="20">
        <v>8462</v>
      </c>
      <c r="E295" s="20">
        <v>108676</v>
      </c>
      <c r="F295" s="20">
        <v>2528225</v>
      </c>
      <c r="G295" s="17">
        <f t="shared" si="204"/>
        <v>257982.14285714284</v>
      </c>
      <c r="H295" s="20"/>
      <c r="I295" s="19">
        <f t="shared" si="234"/>
        <v>4.0572870579752892E-3</v>
      </c>
      <c r="J295" s="19">
        <f t="shared" si="231"/>
        <v>0.1211790880954029</v>
      </c>
      <c r="K295" s="19">
        <f t="shared" si="232"/>
        <v>3.1492432610876219E-3</v>
      </c>
      <c r="L295" s="20">
        <v>189230</v>
      </c>
      <c r="M295" s="19">
        <f t="shared" si="235"/>
        <v>2.7620378107374138E-2</v>
      </c>
      <c r="N295" s="19">
        <f t="shared" si="236"/>
        <v>0.35472373093795695</v>
      </c>
      <c r="O295" s="20">
        <v>35624</v>
      </c>
      <c r="P295" s="28">
        <f t="shared" si="390"/>
        <v>7937</v>
      </c>
      <c r="Q295" s="29">
        <f t="shared" si="322"/>
        <v>0.15597832934358069</v>
      </c>
      <c r="R295" s="20">
        <f t="shared" ref="R295:S295" si="403">D295-D294</f>
        <v>180</v>
      </c>
      <c r="S295" s="20">
        <f t="shared" si="403"/>
        <v>5714</v>
      </c>
      <c r="T295" s="20">
        <v>7124</v>
      </c>
      <c r="U295" s="20">
        <v>522</v>
      </c>
      <c r="V295" s="19">
        <f t="shared" si="316"/>
        <v>0.61765589095466888</v>
      </c>
      <c r="W295" s="20">
        <f t="shared" ref="W295:X295" si="404">T295-T294</f>
        <v>27</v>
      </c>
      <c r="X295" s="20">
        <f t="shared" si="404"/>
        <v>5</v>
      </c>
      <c r="Y295" s="19">
        <f t="shared" si="96"/>
        <v>3.7647307509380119E-2</v>
      </c>
      <c r="Z295" s="19">
        <f t="shared" si="97"/>
        <v>7.3273441886580568E-2</v>
      </c>
      <c r="AA295" s="21">
        <f t="shared" si="348"/>
        <v>0.70094570689889779</v>
      </c>
      <c r="AB295" s="26">
        <f t="shared" si="364"/>
        <v>0.75500417244016915</v>
      </c>
      <c r="AC295" s="23">
        <f t="shared" si="331"/>
        <v>2943.5714285714284</v>
      </c>
      <c r="AD295" s="23">
        <f t="shared" si="360"/>
        <v>175</v>
      </c>
      <c r="AE295" s="23">
        <f t="shared" si="332"/>
        <v>19241.428571428572</v>
      </c>
      <c r="AF295" s="25">
        <f t="shared" si="339"/>
        <v>0.15821627962908449</v>
      </c>
      <c r="AG295" s="25"/>
      <c r="AH295" s="25"/>
      <c r="AI295" s="25"/>
      <c r="AJ295" s="25"/>
      <c r="AK295" s="25"/>
      <c r="AL295" s="25"/>
      <c r="AM295" s="26">
        <f t="shared" si="353"/>
        <v>3651.5714285714284</v>
      </c>
    </row>
    <row r="296" spans="1:39" ht="16">
      <c r="A296" s="30">
        <v>44188</v>
      </c>
      <c r="B296" s="20">
        <v>308262</v>
      </c>
      <c r="C296" s="20">
        <v>1894</v>
      </c>
      <c r="D296" s="20">
        <v>8616</v>
      </c>
      <c r="E296" s="20">
        <v>114631</v>
      </c>
      <c r="F296" s="20">
        <v>2549464</v>
      </c>
      <c r="G296" s="17">
        <f t="shared" si="204"/>
        <v>260149.38775510201</v>
      </c>
      <c r="H296" s="20"/>
      <c r="I296" s="19">
        <f t="shared" si="234"/>
        <v>6.1821077919364947E-3</v>
      </c>
      <c r="J296" s="19">
        <f t="shared" si="231"/>
        <v>0.12091247415142947</v>
      </c>
      <c r="K296" s="19">
        <f t="shared" si="232"/>
        <v>8.4007554707353979E-3</v>
      </c>
      <c r="L296" s="20">
        <v>185015</v>
      </c>
      <c r="M296" s="19">
        <f t="shared" si="235"/>
        <v>2.7950250111917783E-2</v>
      </c>
      <c r="N296" s="19">
        <f t="shared" si="236"/>
        <v>0.3718622470495877</v>
      </c>
      <c r="O296" s="20">
        <v>29316</v>
      </c>
      <c r="P296" s="28">
        <f t="shared" si="390"/>
        <v>21239</v>
      </c>
      <c r="Q296" s="29">
        <f t="shared" si="322"/>
        <v>8.9175573237911393E-2</v>
      </c>
      <c r="R296" s="20">
        <f t="shared" ref="R296:S296" si="405">D296-D295</f>
        <v>154</v>
      </c>
      <c r="S296" s="20">
        <f t="shared" si="405"/>
        <v>5955</v>
      </c>
      <c r="T296" s="20">
        <v>6727</v>
      </c>
      <c r="U296" s="20">
        <v>495</v>
      </c>
      <c r="V296" s="19">
        <f t="shared" si="316"/>
        <v>0.60018750283849454</v>
      </c>
      <c r="W296" s="20">
        <f t="shared" ref="W296:X296" si="406">T296-T295</f>
        <v>-397</v>
      </c>
      <c r="X296" s="20">
        <f t="shared" si="406"/>
        <v>-27</v>
      </c>
      <c r="Y296" s="19">
        <f t="shared" si="96"/>
        <v>3.6359214117774236E-2</v>
      </c>
      <c r="Z296" s="19">
        <f t="shared" si="97"/>
        <v>7.3584064218819675E-2</v>
      </c>
      <c r="AA296" s="21">
        <f t="shared" si="348"/>
        <v>0.67963007695227584</v>
      </c>
      <c r="AB296" s="26">
        <f t="shared" si="364"/>
        <v>0.73167598794025568</v>
      </c>
      <c r="AC296" s="23">
        <f t="shared" si="331"/>
        <v>2813.5714285714284</v>
      </c>
      <c r="AD296" s="23">
        <f t="shared" si="360"/>
        <v>176.42857142857142</v>
      </c>
      <c r="AE296" s="23">
        <f t="shared" si="332"/>
        <v>20470.428571428572</v>
      </c>
      <c r="AF296" s="25">
        <f t="shared" si="339"/>
        <v>0.13925483775591313</v>
      </c>
      <c r="AG296" s="25"/>
      <c r="AH296" s="25"/>
      <c r="AI296" s="25"/>
      <c r="AJ296" s="25"/>
      <c r="AK296" s="25"/>
      <c r="AL296" s="25"/>
      <c r="AM296" s="26">
        <f t="shared" si="353"/>
        <v>4384.4285714285716</v>
      </c>
    </row>
    <row r="297" spans="1:39" ht="16">
      <c r="A297" s="30">
        <v>44189</v>
      </c>
      <c r="B297" s="20">
        <v>311554</v>
      </c>
      <c r="C297" s="20">
        <v>3292</v>
      </c>
      <c r="D297" s="20">
        <v>8729</v>
      </c>
      <c r="E297" s="20">
        <v>120529</v>
      </c>
      <c r="F297" s="20">
        <v>2575650</v>
      </c>
      <c r="G297" s="17">
        <f t="shared" si="204"/>
        <v>262821.42857142858</v>
      </c>
      <c r="H297" s="20"/>
      <c r="I297" s="19">
        <f t="shared" si="234"/>
        <v>1.0679227410449552E-2</v>
      </c>
      <c r="J297" s="19">
        <f t="shared" si="231"/>
        <v>0.12096131073709548</v>
      </c>
      <c r="K297" s="19">
        <f t="shared" si="232"/>
        <v>1.0271178569299272E-2</v>
      </c>
      <c r="L297" s="20">
        <v>182296</v>
      </c>
      <c r="M297" s="19">
        <f t="shared" si="235"/>
        <v>2.8017614923897621E-2</v>
      </c>
      <c r="N297" s="19">
        <f t="shared" si="236"/>
        <v>0.38686391444179818</v>
      </c>
      <c r="O297" s="20">
        <v>29019</v>
      </c>
      <c r="P297" s="28">
        <f t="shared" si="390"/>
        <v>26186</v>
      </c>
      <c r="Q297" s="29">
        <f t="shared" si="322"/>
        <v>0.1257160314671962</v>
      </c>
      <c r="R297" s="20">
        <f t="shared" ref="R297:S297" si="407">D297-D296</f>
        <v>113</v>
      </c>
      <c r="S297" s="20">
        <f t="shared" si="407"/>
        <v>5898</v>
      </c>
      <c r="T297" s="20">
        <v>6382</v>
      </c>
      <c r="U297" s="20">
        <v>491</v>
      </c>
      <c r="V297" s="19">
        <f t="shared" si="316"/>
        <v>0.58511847063430411</v>
      </c>
      <c r="W297" s="20">
        <f t="shared" ref="W297:X297" si="408">T297-T296</f>
        <v>-345</v>
      </c>
      <c r="X297" s="20">
        <f t="shared" si="408"/>
        <v>-4</v>
      </c>
      <c r="Y297" s="19">
        <f t="shared" si="96"/>
        <v>3.5008996357572299E-2</v>
      </c>
      <c r="Z297" s="19">
        <f t="shared" si="97"/>
        <v>7.6935130053274833E-2</v>
      </c>
      <c r="AA297" s="21">
        <f t="shared" si="348"/>
        <v>0.75359752881790099</v>
      </c>
      <c r="AB297" s="26">
        <f t="shared" si="364"/>
        <v>0.72496606845307821</v>
      </c>
      <c r="AC297" s="23">
        <f t="shared" si="331"/>
        <v>2857.8571428571427</v>
      </c>
      <c r="AD297" s="23">
        <f t="shared" si="360"/>
        <v>170.14285714285714</v>
      </c>
      <c r="AE297" s="23">
        <f t="shared" si="332"/>
        <v>21588.142857142859</v>
      </c>
      <c r="AF297" s="25">
        <f t="shared" si="339"/>
        <v>0.13401418368617796</v>
      </c>
      <c r="AG297" s="25"/>
      <c r="AH297" s="25"/>
      <c r="AI297" s="25"/>
      <c r="AJ297" s="25"/>
      <c r="AK297" s="25"/>
      <c r="AL297" s="25"/>
      <c r="AM297" s="26">
        <f t="shared" si="353"/>
        <v>4796.4285714285716</v>
      </c>
    </row>
    <row r="298" spans="1:39" ht="16">
      <c r="A298" s="30">
        <v>44190</v>
      </c>
      <c r="B298" s="20">
        <v>314164</v>
      </c>
      <c r="C298" s="20">
        <v>2610</v>
      </c>
      <c r="D298" s="20">
        <v>8833</v>
      </c>
      <c r="E298" s="20">
        <v>123989</v>
      </c>
      <c r="F298" s="20">
        <v>2597804</v>
      </c>
      <c r="G298" s="17">
        <f t="shared" si="204"/>
        <v>265082.04081632651</v>
      </c>
      <c r="H298" s="20"/>
      <c r="I298" s="19">
        <f t="shared" si="234"/>
        <v>8.3773599440225451E-3</v>
      </c>
      <c r="J298" s="19">
        <f t="shared" si="231"/>
        <v>0.12093445078997492</v>
      </c>
      <c r="K298" s="19">
        <f t="shared" si="232"/>
        <v>8.6013239376468084E-3</v>
      </c>
      <c r="L298" s="20">
        <v>181342</v>
      </c>
      <c r="M298" s="19">
        <f t="shared" si="235"/>
        <v>2.8115888516825609E-2</v>
      </c>
      <c r="N298" s="19">
        <f t="shared" si="236"/>
        <v>0.39466329687679047</v>
      </c>
      <c r="O298" s="20">
        <v>29961</v>
      </c>
      <c r="P298" s="28">
        <f t="shared" si="390"/>
        <v>22154</v>
      </c>
      <c r="Q298" s="29">
        <f t="shared" si="322"/>
        <v>0.11781168186332039</v>
      </c>
      <c r="R298" s="20">
        <f t="shared" ref="R298:S298" si="409">D298-D297</f>
        <v>104</v>
      </c>
      <c r="S298" s="20">
        <f t="shared" si="409"/>
        <v>3460</v>
      </c>
      <c r="T298" s="20">
        <v>6006</v>
      </c>
      <c r="U298" s="20">
        <v>489</v>
      </c>
      <c r="V298" s="19">
        <f t="shared" si="316"/>
        <v>0.57722081460638397</v>
      </c>
      <c r="W298" s="20">
        <f t="shared" ref="W298:X298" si="410">T298-T297</f>
        <v>-376</v>
      </c>
      <c r="X298" s="20">
        <f t="shared" si="410"/>
        <v>-2</v>
      </c>
      <c r="Y298" s="19">
        <f t="shared" si="96"/>
        <v>3.3119740600633059E-2</v>
      </c>
      <c r="Z298" s="19">
        <f t="shared" si="97"/>
        <v>8.1418581418581423E-2</v>
      </c>
      <c r="AA298" s="21">
        <f t="shared" si="348"/>
        <v>0.73402752552770711</v>
      </c>
      <c r="AB298" s="26">
        <f t="shared" si="364"/>
        <v>0.72303341227781837</v>
      </c>
      <c r="AC298" s="23">
        <f t="shared" si="331"/>
        <v>2598.1428571428573</v>
      </c>
      <c r="AD298" s="23">
        <f t="shared" si="360"/>
        <v>158.28571428571428</v>
      </c>
      <c r="AE298" s="23">
        <f t="shared" si="332"/>
        <v>20172</v>
      </c>
      <c r="AF298" s="25">
        <f t="shared" si="339"/>
        <v>0.1311178692833477</v>
      </c>
      <c r="AG298" s="25"/>
      <c r="AH298" s="25"/>
      <c r="AI298" s="25"/>
      <c r="AJ298" s="25"/>
      <c r="AK298" s="25"/>
      <c r="AL298" s="25"/>
      <c r="AM298" s="26">
        <f t="shared" si="353"/>
        <v>4882.1428571428569</v>
      </c>
    </row>
    <row r="299" spans="1:39" ht="16">
      <c r="A299" s="30">
        <v>44191</v>
      </c>
      <c r="B299" s="20">
        <v>315362</v>
      </c>
      <c r="C299" s="20">
        <v>1198</v>
      </c>
      <c r="D299" s="20">
        <v>8951</v>
      </c>
      <c r="E299" s="20">
        <v>126482</v>
      </c>
      <c r="F299" s="20">
        <v>2607298</v>
      </c>
      <c r="G299" s="17">
        <f t="shared" si="204"/>
        <v>266050.81632653059</v>
      </c>
      <c r="H299" s="20"/>
      <c r="I299" s="19">
        <f t="shared" si="234"/>
        <v>3.8132949669599319E-3</v>
      </c>
      <c r="J299" s="19">
        <f t="shared" si="231"/>
        <v>0.1209535695574499</v>
      </c>
      <c r="K299" s="19">
        <f t="shared" si="232"/>
        <v>3.6546252142193947E-3</v>
      </c>
      <c r="L299" s="20">
        <v>179929</v>
      </c>
      <c r="M299" s="19">
        <f t="shared" si="235"/>
        <v>2.8383254799246579E-2</v>
      </c>
      <c r="N299" s="19">
        <f t="shared" si="236"/>
        <v>0.40106924740457001</v>
      </c>
      <c r="O299" s="20">
        <v>24878</v>
      </c>
      <c r="P299" s="28">
        <f t="shared" si="390"/>
        <v>9494</v>
      </c>
      <c r="Q299" s="29">
        <f t="shared" si="322"/>
        <v>0.12618495892142406</v>
      </c>
      <c r="R299" s="20">
        <f t="shared" ref="R299:S299" si="411">D299-D298</f>
        <v>118</v>
      </c>
      <c r="S299" s="20">
        <f t="shared" si="411"/>
        <v>2493</v>
      </c>
      <c r="T299" s="20">
        <v>6003</v>
      </c>
      <c r="U299" s="20">
        <v>468</v>
      </c>
      <c r="V299" s="19">
        <f t="shared" si="316"/>
        <v>0.57054749779618341</v>
      </c>
      <c r="W299" s="20">
        <f t="shared" ref="W299:X299" si="412">T299-T298</f>
        <v>-3</v>
      </c>
      <c r="X299" s="20">
        <f t="shared" si="412"/>
        <v>-21</v>
      </c>
      <c r="Y299" s="19">
        <f t="shared" si="96"/>
        <v>3.3363159913076826E-2</v>
      </c>
      <c r="Z299" s="19">
        <f t="shared" si="97"/>
        <v>7.7961019490254871E-2</v>
      </c>
      <c r="AA299" s="21">
        <f t="shared" si="348"/>
        <v>0.64521556256572032</v>
      </c>
      <c r="AB299" s="26">
        <f t="shared" si="364"/>
        <v>0.71123263893888089</v>
      </c>
      <c r="AC299" s="23">
        <f t="shared" si="331"/>
        <v>2191.4285714285716</v>
      </c>
      <c r="AD299" s="23">
        <f t="shared" si="360"/>
        <v>148.14285714285714</v>
      </c>
      <c r="AE299" s="23">
        <f t="shared" si="332"/>
        <v>18070.571428571428</v>
      </c>
      <c r="AF299" s="25">
        <f t="shared" si="339"/>
        <v>0.12526984384324422</v>
      </c>
      <c r="AG299" s="25"/>
      <c r="AH299" s="25"/>
      <c r="AI299" s="25"/>
      <c r="AJ299" s="25"/>
      <c r="AK299" s="25"/>
      <c r="AL299" s="25"/>
      <c r="AM299" s="26">
        <f t="shared" si="353"/>
        <v>4737</v>
      </c>
    </row>
    <row r="300" spans="1:39" ht="16">
      <c r="A300" s="30">
        <v>44192</v>
      </c>
      <c r="B300" s="20">
        <v>316060</v>
      </c>
      <c r="C300" s="20">
        <v>698</v>
      </c>
      <c r="D300" s="20">
        <v>9047</v>
      </c>
      <c r="E300" s="20">
        <v>130420</v>
      </c>
      <c r="F300" s="20">
        <v>2610590</v>
      </c>
      <c r="G300" s="17">
        <f t="shared" si="204"/>
        <v>266386.73469387752</v>
      </c>
      <c r="H300" s="20"/>
      <c r="I300" s="19">
        <f t="shared" si="234"/>
        <v>2.2133294436235186E-3</v>
      </c>
      <c r="J300" s="19">
        <f t="shared" si="231"/>
        <v>0.12106841748417024</v>
      </c>
      <c r="K300" s="19">
        <f t="shared" si="232"/>
        <v>1.2626097975758812E-3</v>
      </c>
      <c r="L300" s="20">
        <v>176593</v>
      </c>
      <c r="M300" s="19">
        <f t="shared" si="235"/>
        <v>2.8624311839524141E-2</v>
      </c>
      <c r="N300" s="19">
        <f t="shared" si="236"/>
        <v>0.41264316901854076</v>
      </c>
      <c r="O300" s="20">
        <v>24327</v>
      </c>
      <c r="P300" s="28">
        <f t="shared" si="390"/>
        <v>3292</v>
      </c>
      <c r="Q300" s="29">
        <f t="shared" si="322"/>
        <v>0.21202916160388821</v>
      </c>
      <c r="R300" s="20">
        <f t="shared" ref="R300:S300" si="413">D300-D299</f>
        <v>96</v>
      </c>
      <c r="S300" s="20">
        <f t="shared" si="413"/>
        <v>3938</v>
      </c>
      <c r="T300" s="20">
        <v>6072</v>
      </c>
      <c r="U300" s="20">
        <v>467</v>
      </c>
      <c r="V300" s="19">
        <f t="shared" si="316"/>
        <v>0.55873251914193511</v>
      </c>
      <c r="W300" s="20">
        <f t="shared" ref="W300:X300" si="414">T300-T299</f>
        <v>69</v>
      </c>
      <c r="X300" s="20">
        <f t="shared" si="414"/>
        <v>-1</v>
      </c>
      <c r="Y300" s="19">
        <f t="shared" si="96"/>
        <v>3.4384148862072673E-2</v>
      </c>
      <c r="Z300" s="19">
        <f t="shared" si="97"/>
        <v>7.6910408432147567E-2</v>
      </c>
      <c r="AA300" s="21">
        <f t="shared" si="348"/>
        <v>0.57864447297357124</v>
      </c>
      <c r="AB300" s="26">
        <f t="shared" si="364"/>
        <v>0.68676513448039245</v>
      </c>
      <c r="AC300" s="23">
        <f t="shared" si="331"/>
        <v>1867.2857142857142</v>
      </c>
      <c r="AD300" s="23">
        <f t="shared" si="360"/>
        <v>135.42857142857142</v>
      </c>
      <c r="AE300" s="23">
        <f t="shared" si="332"/>
        <v>15107.571428571429</v>
      </c>
      <c r="AF300" s="25">
        <f t="shared" si="339"/>
        <v>0.13792325992485963</v>
      </c>
      <c r="AG300" s="25"/>
      <c r="AH300" s="25"/>
      <c r="AI300" s="25"/>
      <c r="AJ300" s="25"/>
      <c r="AK300" s="25"/>
      <c r="AL300" s="25"/>
      <c r="AM300" s="26">
        <f t="shared" si="353"/>
        <v>4711</v>
      </c>
    </row>
    <row r="301" spans="1:39" ht="16">
      <c r="A301" s="30">
        <v>44193</v>
      </c>
      <c r="B301" s="20">
        <v>316669</v>
      </c>
      <c r="C301" s="20">
        <v>609</v>
      </c>
      <c r="D301" s="20">
        <v>9161</v>
      </c>
      <c r="E301" s="20">
        <v>134344</v>
      </c>
      <c r="F301" s="20">
        <v>2615237</v>
      </c>
      <c r="G301" s="17">
        <f t="shared" si="204"/>
        <v>266860.91836734692</v>
      </c>
      <c r="H301" s="20"/>
      <c r="I301" s="19">
        <f t="shared" si="234"/>
        <v>1.9268493324052394E-3</v>
      </c>
      <c r="J301" s="19">
        <f t="shared" si="231"/>
        <v>0.12108615777461086</v>
      </c>
      <c r="K301" s="19">
        <f t="shared" si="232"/>
        <v>1.7800573816646812E-3</v>
      </c>
      <c r="L301" s="20">
        <v>173164</v>
      </c>
      <c r="M301" s="19">
        <f t="shared" si="235"/>
        <v>2.8929260521238266E-2</v>
      </c>
      <c r="N301" s="19">
        <f t="shared" si="236"/>
        <v>0.42424108453937709</v>
      </c>
      <c r="O301" s="20">
        <v>24327</v>
      </c>
      <c r="P301" s="28">
        <f t="shared" si="390"/>
        <v>4647</v>
      </c>
      <c r="Q301" s="29">
        <f t="shared" si="322"/>
        <v>0.13105229180116204</v>
      </c>
      <c r="R301" s="20">
        <f t="shared" ref="R301:S301" si="415">D301-D300</f>
        <v>114</v>
      </c>
      <c r="S301" s="20">
        <f t="shared" si="415"/>
        <v>3924</v>
      </c>
      <c r="T301" s="20">
        <v>6261</v>
      </c>
      <c r="U301" s="20">
        <v>448</v>
      </c>
      <c r="V301" s="19">
        <f t="shared" si="316"/>
        <v>0.54682965493938462</v>
      </c>
      <c r="W301" s="20">
        <f t="shared" ref="W301:X301" si="416">T301-T300</f>
        <v>189</v>
      </c>
      <c r="X301" s="20">
        <f t="shared" si="416"/>
        <v>-19</v>
      </c>
      <c r="Y301" s="19">
        <f t="shared" si="96"/>
        <v>3.6156475941881684E-2</v>
      </c>
      <c r="Z301" s="19">
        <f t="shared" si="97"/>
        <v>7.1554064845871262E-2</v>
      </c>
      <c r="AA301" s="21">
        <f t="shared" si="348"/>
        <v>0.54275634995296329</v>
      </c>
      <c r="AB301" s="26">
        <f t="shared" si="364"/>
        <v>0.66211674624129102</v>
      </c>
      <c r="AC301" s="23">
        <f t="shared" si="331"/>
        <v>1648.4285714285713</v>
      </c>
      <c r="AD301" s="23">
        <f t="shared" si="360"/>
        <v>125.57142857142857</v>
      </c>
      <c r="AE301" s="23">
        <f t="shared" si="332"/>
        <v>13564.142857142857</v>
      </c>
      <c r="AF301" s="25">
        <f t="shared" si="339"/>
        <v>0.13684971831978329</v>
      </c>
      <c r="AG301" s="20">
        <v>1094</v>
      </c>
      <c r="AH301" s="21">
        <v>1094</v>
      </c>
      <c r="AI301" s="21"/>
      <c r="AJ301" s="21"/>
      <c r="AK301" s="21"/>
      <c r="AL301" s="21"/>
      <c r="AM301" s="26">
        <f t="shared" si="353"/>
        <v>4483.1428571428569</v>
      </c>
    </row>
    <row r="302" spans="1:39" ht="16">
      <c r="A302" s="30">
        <v>44194</v>
      </c>
      <c r="B302" s="20">
        <v>317571</v>
      </c>
      <c r="C302" s="20">
        <v>902</v>
      </c>
      <c r="D302" s="20">
        <v>9292</v>
      </c>
      <c r="E302" s="20">
        <v>138365</v>
      </c>
      <c r="F302" s="20">
        <v>2621427</v>
      </c>
      <c r="G302" s="17">
        <f t="shared" si="204"/>
        <v>267492.55102040817</v>
      </c>
      <c r="H302" s="20"/>
      <c r="I302" s="19">
        <f t="shared" si="234"/>
        <v>2.8484000644205779E-3</v>
      </c>
      <c r="J302" s="19">
        <f t="shared" si="231"/>
        <v>0.12114432330177419</v>
      </c>
      <c r="K302" s="19">
        <f t="shared" si="232"/>
        <v>2.3668982964067885E-3</v>
      </c>
      <c r="L302" s="20">
        <v>169914</v>
      </c>
      <c r="M302" s="19">
        <f t="shared" si="235"/>
        <v>2.9259598640933838E-2</v>
      </c>
      <c r="N302" s="19">
        <f t="shared" si="236"/>
        <v>0.43569784394670796</v>
      </c>
      <c r="O302" s="20">
        <v>21667</v>
      </c>
      <c r="P302" s="28">
        <f t="shared" si="390"/>
        <v>6190</v>
      </c>
      <c r="Q302" s="29">
        <f t="shared" si="322"/>
        <v>0.14571890145395799</v>
      </c>
      <c r="R302" s="20">
        <f t="shared" ref="R302:S302" si="417">D302-D301</f>
        <v>131</v>
      </c>
      <c r="S302" s="20">
        <f t="shared" si="417"/>
        <v>4021</v>
      </c>
      <c r="T302" s="20">
        <v>6298</v>
      </c>
      <c r="U302" s="20">
        <v>444</v>
      </c>
      <c r="V302" s="19">
        <f t="shared" si="316"/>
        <v>0.53504255741235818</v>
      </c>
      <c r="W302" s="20">
        <f t="shared" ref="W302:X302" si="418">T302-T301</f>
        <v>37</v>
      </c>
      <c r="X302" s="20">
        <f t="shared" si="418"/>
        <v>-4</v>
      </c>
      <c r="Y302" s="19">
        <f t="shared" si="96"/>
        <v>3.7065809762585777E-2</v>
      </c>
      <c r="Z302" s="19">
        <f t="shared" si="97"/>
        <v>7.0498570974912675E-2</v>
      </c>
      <c r="AA302" s="21">
        <f t="shared" si="348"/>
        <v>0.54370298471244849</v>
      </c>
      <c r="AB302" s="26">
        <f t="shared" si="364"/>
        <v>0.63965350021465528</v>
      </c>
      <c r="AC302" s="23">
        <f t="shared" si="331"/>
        <v>1600.4285714285713</v>
      </c>
      <c r="AD302" s="23">
        <f t="shared" si="360"/>
        <v>118.57142857142857</v>
      </c>
      <c r="AE302" s="23">
        <f t="shared" si="332"/>
        <v>13314.571428571429</v>
      </c>
      <c r="AF302" s="25">
        <f t="shared" si="339"/>
        <v>0.13538408576412289</v>
      </c>
      <c r="AG302" s="20">
        <v>2461</v>
      </c>
      <c r="AH302" s="21">
        <f t="shared" ref="AH302:AH304" si="419">AG302-AG301</f>
        <v>1367</v>
      </c>
      <c r="AI302" s="21"/>
      <c r="AJ302" s="21"/>
      <c r="AK302" s="21"/>
      <c r="AL302" s="21"/>
      <c r="AM302" s="26">
        <f t="shared" si="353"/>
        <v>4241.2857142857147</v>
      </c>
    </row>
    <row r="303" spans="1:39" ht="16">
      <c r="A303" s="30">
        <v>44195</v>
      </c>
      <c r="B303" s="20">
        <v>319543</v>
      </c>
      <c r="C303" s="20">
        <v>1972</v>
      </c>
      <c r="D303" s="20">
        <v>9429</v>
      </c>
      <c r="E303" s="20">
        <v>144234</v>
      </c>
      <c r="F303" s="20">
        <v>2639729</v>
      </c>
      <c r="G303" s="17">
        <f t="shared" si="204"/>
        <v>269360.10204081633</v>
      </c>
      <c r="H303" s="20"/>
      <c r="I303" s="19">
        <f t="shared" si="234"/>
        <v>6.2096350107535012E-3</v>
      </c>
      <c r="J303" s="19">
        <f t="shared" si="231"/>
        <v>0.12105144126537232</v>
      </c>
      <c r="K303" s="19">
        <f t="shared" si="232"/>
        <v>6.9816935585083999E-3</v>
      </c>
      <c r="L303" s="20">
        <v>165880</v>
      </c>
      <c r="M303" s="19">
        <f t="shared" si="235"/>
        <v>2.950776577800171E-2</v>
      </c>
      <c r="N303" s="19">
        <f t="shared" si="236"/>
        <v>0.45137587116600897</v>
      </c>
      <c r="O303" s="20">
        <v>19496</v>
      </c>
      <c r="P303" s="28">
        <f t="shared" si="390"/>
        <v>18302</v>
      </c>
      <c r="Q303" s="29">
        <f t="shared" si="322"/>
        <v>0.10774778712708993</v>
      </c>
      <c r="R303" s="20">
        <f t="shared" ref="R303:S303" si="420">D303-D302</f>
        <v>137</v>
      </c>
      <c r="S303" s="20">
        <f t="shared" si="420"/>
        <v>5869</v>
      </c>
      <c r="T303" s="20">
        <v>6155</v>
      </c>
      <c r="U303" s="20">
        <v>425</v>
      </c>
      <c r="V303" s="19">
        <f t="shared" si="316"/>
        <v>0.51911636305598929</v>
      </c>
      <c r="W303" s="20">
        <f t="shared" ref="W303:X303" si="421">T303-T302</f>
        <v>-143</v>
      </c>
      <c r="X303" s="20">
        <f t="shared" si="421"/>
        <v>-19</v>
      </c>
      <c r="Y303" s="19">
        <f t="shared" si="96"/>
        <v>3.7105136243067278E-2</v>
      </c>
      <c r="Z303" s="19">
        <f t="shared" si="97"/>
        <v>6.9049553208773359E-2</v>
      </c>
      <c r="AA303" s="21">
        <f t="shared" si="348"/>
        <v>0.57278497080477275</v>
      </c>
      <c r="AB303" s="26">
        <f t="shared" si="364"/>
        <v>0.62438991362215479</v>
      </c>
      <c r="AC303" s="23">
        <f t="shared" si="331"/>
        <v>1611.5714285714287</v>
      </c>
      <c r="AD303" s="23">
        <f t="shared" si="360"/>
        <v>116.14285714285714</v>
      </c>
      <c r="AE303" s="23">
        <f t="shared" si="332"/>
        <v>12895</v>
      </c>
      <c r="AF303" s="25">
        <f t="shared" si="339"/>
        <v>0.13803725917686269</v>
      </c>
      <c r="AG303" s="20">
        <v>3789</v>
      </c>
      <c r="AH303" s="21">
        <f t="shared" si="419"/>
        <v>1328</v>
      </c>
      <c r="AI303" s="21"/>
      <c r="AJ303" s="21"/>
      <c r="AK303" s="21"/>
      <c r="AL303" s="21"/>
      <c r="AM303" s="26">
        <f t="shared" si="353"/>
        <v>4229</v>
      </c>
    </row>
    <row r="304" spans="1:39" ht="16">
      <c r="A304" s="30">
        <v>44196</v>
      </c>
      <c r="B304" s="20">
        <v>322514</v>
      </c>
      <c r="C304" s="20">
        <v>2971</v>
      </c>
      <c r="D304" s="20">
        <v>9537</v>
      </c>
      <c r="E304" s="20">
        <v>150102</v>
      </c>
      <c r="F304" s="20">
        <v>2657119</v>
      </c>
      <c r="G304" s="17">
        <f t="shared" si="204"/>
        <v>271134.59183673467</v>
      </c>
      <c r="H304" s="20"/>
      <c r="I304" s="19">
        <f t="shared" si="234"/>
        <v>9.2976532109919473E-3</v>
      </c>
      <c r="J304" s="19">
        <f t="shared" si="231"/>
        <v>0.12137732634481181</v>
      </c>
      <c r="K304" s="19">
        <f t="shared" si="232"/>
        <v>6.5877974595119427E-3</v>
      </c>
      <c r="L304" s="20">
        <v>162875</v>
      </c>
      <c r="M304" s="19">
        <f t="shared" si="235"/>
        <v>2.9570809329207415E-2</v>
      </c>
      <c r="N304" s="19">
        <f t="shared" si="236"/>
        <v>0.46541235419237614</v>
      </c>
      <c r="O304" s="20">
        <v>17704</v>
      </c>
      <c r="P304" s="28">
        <f t="shared" si="390"/>
        <v>17390</v>
      </c>
      <c r="Q304" s="29">
        <f t="shared" si="322"/>
        <v>0.17084531339850489</v>
      </c>
      <c r="R304" s="20">
        <f t="shared" ref="R304:S304" si="422">D304-D303</f>
        <v>108</v>
      </c>
      <c r="S304" s="20">
        <f t="shared" si="422"/>
        <v>5868</v>
      </c>
      <c r="T304" s="20">
        <v>5856</v>
      </c>
      <c r="U304" s="20">
        <v>402</v>
      </c>
      <c r="V304" s="19">
        <f t="shared" si="316"/>
        <v>0.50501683647841644</v>
      </c>
      <c r="W304" s="20">
        <f t="shared" ref="W304:X304" si="423">T304-T303</f>
        <v>-299</v>
      </c>
      <c r="X304" s="20">
        <f t="shared" si="423"/>
        <v>-23</v>
      </c>
      <c r="Y304" s="19">
        <f t="shared" si="96"/>
        <v>3.5953952417498082E-2</v>
      </c>
      <c r="Z304" s="19">
        <f t="shared" si="97"/>
        <v>6.8647540983606564E-2</v>
      </c>
      <c r="AA304" s="21">
        <f t="shared" si="348"/>
        <v>0.54786303424143967</v>
      </c>
      <c r="AB304" s="26">
        <f t="shared" si="364"/>
        <v>0.59499927153980325</v>
      </c>
      <c r="AC304" s="23">
        <f t="shared" si="331"/>
        <v>1565.7142857142858</v>
      </c>
      <c r="AD304" s="23">
        <f t="shared" si="360"/>
        <v>115.42857142857143</v>
      </c>
      <c r="AE304" s="23">
        <f t="shared" si="332"/>
        <v>11638.428571428571</v>
      </c>
      <c r="AF304" s="25">
        <f t="shared" si="339"/>
        <v>0.14448429945276395</v>
      </c>
      <c r="AG304" s="20">
        <v>5110</v>
      </c>
      <c r="AH304" s="21">
        <f t="shared" si="419"/>
        <v>1321</v>
      </c>
      <c r="AI304" s="21"/>
      <c r="AJ304" s="21"/>
      <c r="AK304" s="21"/>
      <c r="AL304" s="21"/>
      <c r="AM304" s="26">
        <f t="shared" si="353"/>
        <v>4224.7142857142853</v>
      </c>
    </row>
    <row r="305" spans="1:39" ht="16">
      <c r="A305" s="30">
        <v>44197</v>
      </c>
      <c r="B305" s="20">
        <v>325278</v>
      </c>
      <c r="C305" s="20">
        <v>2764</v>
      </c>
      <c r="D305" s="20">
        <v>9667</v>
      </c>
      <c r="E305" s="20">
        <v>157063</v>
      </c>
      <c r="F305" s="20">
        <v>2675247</v>
      </c>
      <c r="G305" s="17">
        <f t="shared" si="204"/>
        <v>272984.38775510201</v>
      </c>
      <c r="H305" s="20"/>
      <c r="I305" s="19">
        <f t="shared" si="234"/>
        <v>8.5701705972453905E-3</v>
      </c>
      <c r="J305" s="19">
        <f t="shared" si="231"/>
        <v>0.12158802532999757</v>
      </c>
      <c r="K305" s="19">
        <f t="shared" si="232"/>
        <v>6.8224268465206109E-3</v>
      </c>
      <c r="L305" s="20">
        <v>158548</v>
      </c>
      <c r="M305" s="19">
        <f t="shared" si="235"/>
        <v>2.9719194043249159E-2</v>
      </c>
      <c r="N305" s="19">
        <f t="shared" si="236"/>
        <v>0.48285774014842686</v>
      </c>
      <c r="O305" s="20">
        <v>16421</v>
      </c>
      <c r="P305" s="28">
        <f t="shared" si="390"/>
        <v>18128</v>
      </c>
      <c r="Q305" s="29">
        <f t="shared" si="322"/>
        <v>0.15247131509267431</v>
      </c>
      <c r="R305" s="20">
        <f t="shared" ref="R305:S305" si="424">D305-D304</f>
        <v>130</v>
      </c>
      <c r="S305" s="20">
        <f t="shared" si="424"/>
        <v>6961</v>
      </c>
      <c r="T305" s="20">
        <v>5648</v>
      </c>
      <c r="U305" s="20">
        <v>401</v>
      </c>
      <c r="V305" s="19">
        <f t="shared" si="316"/>
        <v>0.48742306580832395</v>
      </c>
      <c r="W305" s="20">
        <f t="shared" ref="W305:X305" si="425">T305-T304</f>
        <v>-208</v>
      </c>
      <c r="X305" s="20">
        <f t="shared" si="425"/>
        <v>-1</v>
      </c>
      <c r="Y305" s="19">
        <f t="shared" si="96"/>
        <v>3.562328127759417E-2</v>
      </c>
      <c r="Z305" s="19">
        <f t="shared" si="97"/>
        <v>7.0998583569405097E-2</v>
      </c>
      <c r="AA305" s="21">
        <f t="shared" si="348"/>
        <v>0.61109583768625941</v>
      </c>
      <c r="AB305" s="26">
        <f t="shared" si="364"/>
        <v>0.57743760184816784</v>
      </c>
      <c r="AC305" s="23">
        <f t="shared" si="331"/>
        <v>1587.7142857142858</v>
      </c>
      <c r="AD305" s="23">
        <f t="shared" si="360"/>
        <v>119.14285714285714</v>
      </c>
      <c r="AE305" s="23">
        <f t="shared" si="332"/>
        <v>11063.285714285714</v>
      </c>
      <c r="AF305" s="25">
        <f t="shared" si="339"/>
        <v>0.14943567562838592</v>
      </c>
      <c r="AG305" s="20">
        <f t="shared" ref="AG305:AG307" si="426">AG304+AH305</f>
        <v>6832</v>
      </c>
      <c r="AH305" s="21">
        <v>1722</v>
      </c>
      <c r="AI305" s="21"/>
      <c r="AJ305" s="21"/>
      <c r="AK305" s="21"/>
      <c r="AL305" s="21"/>
      <c r="AM305" s="26">
        <f t="shared" si="353"/>
        <v>4724.8571428571431</v>
      </c>
    </row>
    <row r="306" spans="1:39" ht="16">
      <c r="A306" s="30">
        <v>44198</v>
      </c>
      <c r="B306" s="20">
        <v>326688</v>
      </c>
      <c r="C306" s="20">
        <v>1410</v>
      </c>
      <c r="D306" s="20">
        <v>9781</v>
      </c>
      <c r="E306" s="20">
        <v>163403</v>
      </c>
      <c r="F306" s="20">
        <v>2685944</v>
      </c>
      <c r="G306" s="17">
        <f t="shared" si="204"/>
        <v>274075.91836734692</v>
      </c>
      <c r="H306" s="20"/>
      <c r="I306" s="19">
        <f t="shared" si="234"/>
        <v>4.3347536568719676E-3</v>
      </c>
      <c r="J306" s="19">
        <f t="shared" si="231"/>
        <v>0.12162874579663611</v>
      </c>
      <c r="K306" s="19">
        <f t="shared" si="232"/>
        <v>3.9985092965247691E-3</v>
      </c>
      <c r="L306" s="20">
        <v>153504</v>
      </c>
      <c r="M306" s="19">
        <f t="shared" si="235"/>
        <v>2.9939881477128023E-2</v>
      </c>
      <c r="N306" s="19">
        <f t="shared" si="236"/>
        <v>0.50018060045058277</v>
      </c>
      <c r="O306" s="20">
        <v>18239</v>
      </c>
      <c r="P306" s="28">
        <f t="shared" si="390"/>
        <v>10697</v>
      </c>
      <c r="Q306" s="29">
        <f t="shared" si="322"/>
        <v>0.13181265775451062</v>
      </c>
      <c r="R306" s="20">
        <f t="shared" ref="R306:S306" si="427">D306-D305</f>
        <v>114</v>
      </c>
      <c r="S306" s="20">
        <f t="shared" si="427"/>
        <v>6340</v>
      </c>
      <c r="T306" s="20">
        <v>5529</v>
      </c>
      <c r="U306" s="20">
        <v>402</v>
      </c>
      <c r="V306" s="19">
        <f t="shared" si="316"/>
        <v>0.46987951807228917</v>
      </c>
      <c r="W306" s="20">
        <f t="shared" ref="W306:X306" si="428">T306-T305</f>
        <v>-119</v>
      </c>
      <c r="X306" s="20">
        <f t="shared" si="428"/>
        <v>1</v>
      </c>
      <c r="Y306" s="19">
        <f t="shared" si="96"/>
        <v>3.6018605378361476E-2</v>
      </c>
      <c r="Z306" s="19">
        <f t="shared" si="97"/>
        <v>7.2707542051003798E-2</v>
      </c>
      <c r="AA306" s="21">
        <f t="shared" si="348"/>
        <v>0.73833116036505864</v>
      </c>
      <c r="AB306" s="26">
        <f t="shared" si="364"/>
        <v>0.59073983010521613</v>
      </c>
      <c r="AC306" s="23">
        <f t="shared" si="331"/>
        <v>1618</v>
      </c>
      <c r="AD306" s="23">
        <f t="shared" si="360"/>
        <v>118.57142857142857</v>
      </c>
      <c r="AE306" s="23">
        <f t="shared" si="332"/>
        <v>11235.142857142857</v>
      </c>
      <c r="AF306" s="25">
        <f t="shared" si="339"/>
        <v>0.15023963260454115</v>
      </c>
      <c r="AG306" s="20">
        <f t="shared" si="426"/>
        <v>8554</v>
      </c>
      <c r="AH306" s="21">
        <v>1722</v>
      </c>
      <c r="AI306" s="21"/>
      <c r="AJ306" s="21"/>
      <c r="AK306" s="21"/>
      <c r="AL306" s="21"/>
      <c r="AM306" s="26">
        <f t="shared" si="353"/>
        <v>5274.4285714285716</v>
      </c>
    </row>
    <row r="307" spans="1:39" ht="16">
      <c r="A307" s="30">
        <v>44199</v>
      </c>
      <c r="B307" s="20">
        <v>327995</v>
      </c>
      <c r="C307" s="20">
        <v>1307</v>
      </c>
      <c r="D307" s="20">
        <v>9884</v>
      </c>
      <c r="E307" s="20">
        <v>168381</v>
      </c>
      <c r="F307" s="20">
        <v>2691904</v>
      </c>
      <c r="G307" s="17">
        <f t="shared" si="204"/>
        <v>274684.08163265302</v>
      </c>
      <c r="H307" s="20"/>
      <c r="I307" s="19">
        <f t="shared" si="234"/>
        <v>4.0007591340973647E-3</v>
      </c>
      <c r="J307" s="19">
        <f t="shared" si="231"/>
        <v>0.12184498407075438</v>
      </c>
      <c r="K307" s="19">
        <f t="shared" si="232"/>
        <v>2.2189591443455264E-3</v>
      </c>
      <c r="L307" s="20">
        <v>149730</v>
      </c>
      <c r="M307" s="19">
        <f t="shared" si="235"/>
        <v>3.0134605710452903E-2</v>
      </c>
      <c r="N307" s="19">
        <f t="shared" si="236"/>
        <v>0.51336453299592977</v>
      </c>
      <c r="O307" s="20">
        <v>16537</v>
      </c>
      <c r="P307" s="28">
        <f t="shared" si="390"/>
        <v>5960</v>
      </c>
      <c r="Q307" s="29">
        <f t="shared" si="322"/>
        <v>0.21929530201342282</v>
      </c>
      <c r="R307" s="20">
        <f t="shared" ref="R307:S307" si="429">D307-D306</f>
        <v>103</v>
      </c>
      <c r="S307" s="20">
        <f t="shared" si="429"/>
        <v>4978</v>
      </c>
      <c r="T307" s="20">
        <v>5619</v>
      </c>
      <c r="U307" s="20">
        <v>403</v>
      </c>
      <c r="V307" s="19">
        <f t="shared" si="316"/>
        <v>0.45650086129361728</v>
      </c>
      <c r="W307" s="20">
        <f t="shared" ref="W307:X307" si="430">T307-T306</f>
        <v>90</v>
      </c>
      <c r="X307" s="20">
        <f t="shared" si="430"/>
        <v>1</v>
      </c>
      <c r="Y307" s="19">
        <f t="shared" si="96"/>
        <v>3.7527549589260668E-2</v>
      </c>
      <c r="Z307" s="19">
        <f t="shared" si="97"/>
        <v>7.1720946787684647E-2</v>
      </c>
      <c r="AA307" s="21">
        <f t="shared" si="348"/>
        <v>0.91309004666819682</v>
      </c>
      <c r="AB307" s="26">
        <f t="shared" si="364"/>
        <v>0.63851776920444847</v>
      </c>
      <c r="AC307" s="23">
        <f t="shared" si="331"/>
        <v>1705</v>
      </c>
      <c r="AD307" s="23">
        <f t="shared" si="360"/>
        <v>119.57142857142857</v>
      </c>
      <c r="AE307" s="23">
        <f t="shared" si="332"/>
        <v>11616.285714285714</v>
      </c>
      <c r="AF307" s="25">
        <f t="shared" si="339"/>
        <v>0.15127765266304607</v>
      </c>
      <c r="AG307" s="20">
        <f t="shared" si="426"/>
        <v>10277</v>
      </c>
      <c r="AH307" s="21">
        <v>1723</v>
      </c>
      <c r="AI307" s="21">
        <f t="shared" ref="AI307:AI466" si="431">(SUM(AH301:AH307))/7</f>
        <v>1468.1428571428571</v>
      </c>
      <c r="AJ307" s="21"/>
      <c r="AK307" s="21"/>
      <c r="AL307" s="21"/>
      <c r="AM307" s="26">
        <f t="shared" si="353"/>
        <v>5423</v>
      </c>
    </row>
    <row r="308" spans="1:39" ht="16">
      <c r="A308" s="30">
        <v>44200</v>
      </c>
      <c r="B308" s="20">
        <v>328851</v>
      </c>
      <c r="C308" s="20">
        <v>856</v>
      </c>
      <c r="D308" s="20">
        <v>9977</v>
      </c>
      <c r="E308" s="20">
        <v>174070</v>
      </c>
      <c r="F308" s="20">
        <v>2700631</v>
      </c>
      <c r="G308" s="17">
        <f t="shared" si="204"/>
        <v>275574.59183673467</v>
      </c>
      <c r="H308" s="20"/>
      <c r="I308" s="19">
        <f t="shared" si="234"/>
        <v>2.6097958810347719E-3</v>
      </c>
      <c r="J308" s="19">
        <f t="shared" si="231"/>
        <v>0.12176820898523345</v>
      </c>
      <c r="K308" s="19">
        <f t="shared" si="232"/>
        <v>3.2419432490906064E-3</v>
      </c>
      <c r="L308" s="20">
        <v>144804</v>
      </c>
      <c r="M308" s="19">
        <f t="shared" si="235"/>
        <v>3.0338968104095775E-2</v>
      </c>
      <c r="N308" s="19">
        <f t="shared" si="236"/>
        <v>0.52932787189334984</v>
      </c>
      <c r="O308" s="20">
        <v>18794</v>
      </c>
      <c r="P308" s="28">
        <f t="shared" si="390"/>
        <v>8727</v>
      </c>
      <c r="Q308" s="29">
        <f t="shared" si="322"/>
        <v>9.8086398533287503E-2</v>
      </c>
      <c r="R308" s="20">
        <f t="shared" ref="R308:S308" si="432">D308-D307</f>
        <v>93</v>
      </c>
      <c r="S308" s="20">
        <f t="shared" si="432"/>
        <v>5689</v>
      </c>
      <c r="T308" s="20">
        <v>5667</v>
      </c>
      <c r="U308" s="20">
        <v>400</v>
      </c>
      <c r="V308" s="19">
        <f t="shared" si="316"/>
        <v>0.44033316000255435</v>
      </c>
      <c r="W308" s="20">
        <f t="shared" ref="W308:X308" si="433">T308-T307</f>
        <v>48</v>
      </c>
      <c r="X308" s="20">
        <f t="shared" si="433"/>
        <v>-3</v>
      </c>
      <c r="Y308" s="19">
        <f t="shared" si="96"/>
        <v>3.9135659235932707E-2</v>
      </c>
      <c r="Z308" s="19">
        <f t="shared" si="97"/>
        <v>7.058408328921828E-2</v>
      </c>
      <c r="AA308" s="21">
        <f t="shared" si="348"/>
        <v>1.0557240662102436</v>
      </c>
      <c r="AB308" s="26">
        <f t="shared" si="364"/>
        <v>0.71179887152691712</v>
      </c>
      <c r="AC308" s="23">
        <f t="shared" si="331"/>
        <v>1740.2857142857142</v>
      </c>
      <c r="AD308" s="23">
        <f t="shared" si="360"/>
        <v>116.57142857142857</v>
      </c>
      <c r="AE308" s="23">
        <f t="shared" si="332"/>
        <v>12199.142857142857</v>
      </c>
      <c r="AF308" s="25">
        <f t="shared" si="339"/>
        <v>0.14656823933906402</v>
      </c>
      <c r="AG308" s="20">
        <v>12000</v>
      </c>
      <c r="AH308" s="21">
        <v>1723</v>
      </c>
      <c r="AI308" s="21">
        <f t="shared" si="431"/>
        <v>1558</v>
      </c>
      <c r="AJ308" s="21"/>
      <c r="AK308" s="21"/>
      <c r="AL308" s="21"/>
      <c r="AM308" s="26">
        <f t="shared" si="353"/>
        <v>5675.1428571428569</v>
      </c>
    </row>
    <row r="309" spans="1:39" ht="16">
      <c r="A309" s="30">
        <v>44201</v>
      </c>
      <c r="B309" s="20">
        <v>329721</v>
      </c>
      <c r="C309" s="20">
        <v>870</v>
      </c>
      <c r="D309" s="20">
        <v>10080</v>
      </c>
      <c r="E309" s="20">
        <v>176576</v>
      </c>
      <c r="F309" s="20">
        <v>2727896</v>
      </c>
      <c r="G309" s="17">
        <f t="shared" si="204"/>
        <v>278356.73469387752</v>
      </c>
      <c r="H309" s="20"/>
      <c r="I309" s="19">
        <f t="shared" si="234"/>
        <v>2.6455750476659643E-3</v>
      </c>
      <c r="J309" s="19">
        <f t="shared" si="231"/>
        <v>0.12087007715836674</v>
      </c>
      <c r="K309" s="19">
        <f t="shared" si="232"/>
        <v>1.0095788724931321E-2</v>
      </c>
      <c r="L309" s="20">
        <v>143065</v>
      </c>
      <c r="M309" s="19">
        <f t="shared" si="235"/>
        <v>3.0571301191006942E-2</v>
      </c>
      <c r="N309" s="19">
        <f t="shared" si="236"/>
        <v>0.53553155546659148</v>
      </c>
      <c r="O309" s="20">
        <v>20272</v>
      </c>
      <c r="P309" s="28">
        <v>6521</v>
      </c>
      <c r="Q309" s="29">
        <f t="shared" si="322"/>
        <v>0.13341512038030978</v>
      </c>
      <c r="R309" s="20">
        <f t="shared" ref="R309:S309" si="434">D309-D308</f>
        <v>103</v>
      </c>
      <c r="S309" s="20">
        <f t="shared" si="434"/>
        <v>2506</v>
      </c>
      <c r="T309" s="20">
        <v>5760</v>
      </c>
      <c r="U309" s="20">
        <v>394</v>
      </c>
      <c r="V309" s="19">
        <f t="shared" si="316"/>
        <v>0.43389714334240159</v>
      </c>
      <c r="W309" s="20">
        <f t="shared" ref="W309:X309" si="435">T309-T308</f>
        <v>93</v>
      </c>
      <c r="X309" s="20">
        <f t="shared" si="435"/>
        <v>-6</v>
      </c>
      <c r="Y309" s="19">
        <f t="shared" si="96"/>
        <v>4.0261419634431903E-2</v>
      </c>
      <c r="Z309" s="19">
        <f t="shared" si="97"/>
        <v>6.8402777777777785E-2</v>
      </c>
      <c r="AA309" s="21">
        <f t="shared" si="348"/>
        <v>1.0845309292153886</v>
      </c>
      <c r="AB309" s="26">
        <f t="shared" si="364"/>
        <v>0.78906000645590857</v>
      </c>
      <c r="AC309" s="23">
        <f t="shared" si="331"/>
        <v>1735.7142857142858</v>
      </c>
      <c r="AD309" s="23">
        <f t="shared" si="360"/>
        <v>112.57142857142857</v>
      </c>
      <c r="AE309" s="23">
        <f t="shared" si="332"/>
        <v>12246.428571428571</v>
      </c>
      <c r="AF309" s="25">
        <f t="shared" si="339"/>
        <v>0.14481055632854284</v>
      </c>
      <c r="AG309" s="20">
        <v>15000</v>
      </c>
      <c r="AH309" s="21">
        <f t="shared" ref="AH309:AH312" si="436">AG309-AG308</f>
        <v>3000</v>
      </c>
      <c r="AI309" s="21">
        <f t="shared" si="431"/>
        <v>1791.2857142857142</v>
      </c>
      <c r="AJ309" s="21"/>
      <c r="AK309" s="21"/>
      <c r="AL309" s="21"/>
      <c r="AM309" s="26">
        <f t="shared" si="353"/>
        <v>5458.7142857142853</v>
      </c>
    </row>
    <row r="310" spans="1:39" ht="16">
      <c r="A310" s="30">
        <v>44202</v>
      </c>
      <c r="B310" s="20">
        <v>331768</v>
      </c>
      <c r="C310" s="20">
        <v>2047</v>
      </c>
      <c r="D310" s="20">
        <v>10198</v>
      </c>
      <c r="E310" s="20">
        <v>179541</v>
      </c>
      <c r="F310" s="20">
        <v>2750625</v>
      </c>
      <c r="G310" s="17">
        <f t="shared" si="204"/>
        <v>280676.02040816325</v>
      </c>
      <c r="H310" s="20"/>
      <c r="I310" s="19">
        <f t="shared" si="234"/>
        <v>6.2082791208324618E-3</v>
      </c>
      <c r="J310" s="19">
        <f t="shared" si="231"/>
        <v>0.12061549647807317</v>
      </c>
      <c r="K310" s="19">
        <f t="shared" si="232"/>
        <v>8.33206251264711E-3</v>
      </c>
      <c r="L310" s="20">
        <v>142029</v>
      </c>
      <c r="M310" s="19">
        <f t="shared" si="235"/>
        <v>3.0738347278821344E-2</v>
      </c>
      <c r="N310" s="19">
        <f t="shared" si="236"/>
        <v>0.54116430758843526</v>
      </c>
      <c r="O310" s="20">
        <v>20657</v>
      </c>
      <c r="P310" s="28">
        <f t="shared" ref="P310:P466" si="437">F310-F309</f>
        <v>22729</v>
      </c>
      <c r="Q310" s="29">
        <f t="shared" si="322"/>
        <v>9.0061155352193237E-2</v>
      </c>
      <c r="R310" s="20">
        <f t="shared" ref="R310:S310" si="438">D310-D309</f>
        <v>118</v>
      </c>
      <c r="S310" s="20">
        <f t="shared" si="438"/>
        <v>2965</v>
      </c>
      <c r="T310" s="20">
        <v>5646</v>
      </c>
      <c r="U310" s="20">
        <v>396</v>
      </c>
      <c r="V310" s="19">
        <f t="shared" si="316"/>
        <v>0.42809734513274339</v>
      </c>
      <c r="W310" s="20">
        <f t="shared" ref="W310:X310" si="439">T310-T309</f>
        <v>-114</v>
      </c>
      <c r="X310" s="20">
        <f t="shared" si="439"/>
        <v>2</v>
      </c>
      <c r="Y310" s="19">
        <f t="shared" si="96"/>
        <v>3.9752444923219908E-2</v>
      </c>
      <c r="Z310" s="19">
        <f t="shared" si="97"/>
        <v>7.0138150903294366E-2</v>
      </c>
      <c r="AA310" s="21">
        <f t="shared" si="348"/>
        <v>1.0836805247761723</v>
      </c>
      <c r="AB310" s="26">
        <f t="shared" si="364"/>
        <v>0.86204508559467985</v>
      </c>
      <c r="AC310" s="23">
        <f t="shared" si="331"/>
        <v>1746.4285714285713</v>
      </c>
      <c r="AD310" s="23">
        <f t="shared" si="360"/>
        <v>109.85714285714286</v>
      </c>
      <c r="AE310" s="23">
        <f t="shared" si="332"/>
        <v>12878.857142857143</v>
      </c>
      <c r="AF310" s="25">
        <f t="shared" si="339"/>
        <v>0.14228389464641475</v>
      </c>
      <c r="AG310" s="20">
        <v>21000</v>
      </c>
      <c r="AH310" s="21">
        <f t="shared" si="436"/>
        <v>6000</v>
      </c>
      <c r="AI310" s="21">
        <f t="shared" si="431"/>
        <v>2458.7142857142858</v>
      </c>
      <c r="AJ310" s="21"/>
      <c r="AK310" s="21"/>
      <c r="AL310" s="21"/>
      <c r="AM310" s="26">
        <f t="shared" si="353"/>
        <v>5043.8571428571431</v>
      </c>
    </row>
    <row r="311" spans="1:39" ht="16">
      <c r="A311" s="30">
        <v>44203</v>
      </c>
      <c r="B311" s="20">
        <v>334836</v>
      </c>
      <c r="C311" s="20">
        <v>3068</v>
      </c>
      <c r="D311" s="20">
        <v>10325</v>
      </c>
      <c r="E311" s="20">
        <v>179541</v>
      </c>
      <c r="F311" s="20">
        <v>2774915</v>
      </c>
      <c r="G311" s="17">
        <f t="shared" si="204"/>
        <v>283154.59183673467</v>
      </c>
      <c r="H311" s="20"/>
      <c r="I311" s="19">
        <f t="shared" si="234"/>
        <v>9.2474259120831417E-3</v>
      </c>
      <c r="J311" s="19">
        <f t="shared" si="231"/>
        <v>0.12066531767639729</v>
      </c>
      <c r="K311" s="19">
        <f t="shared" si="232"/>
        <v>8.8307202908429906E-3</v>
      </c>
      <c r="L311" s="20">
        <v>144970</v>
      </c>
      <c r="M311" s="19">
        <f t="shared" si="235"/>
        <v>3.0835991350989737E-2</v>
      </c>
      <c r="N311" s="19">
        <f t="shared" si="236"/>
        <v>0.53620578432426624</v>
      </c>
      <c r="O311" s="20">
        <v>21627</v>
      </c>
      <c r="P311" s="28">
        <f t="shared" si="437"/>
        <v>24290</v>
      </c>
      <c r="Q311" s="29">
        <f t="shared" si="322"/>
        <v>0.12630712227254015</v>
      </c>
      <c r="R311" s="20">
        <f t="shared" ref="R311:R466" si="440">D311-D310</f>
        <v>127</v>
      </c>
      <c r="S311" s="20">
        <v>3454</v>
      </c>
      <c r="T311" s="20">
        <v>5387</v>
      </c>
      <c r="U311" s="20">
        <v>367</v>
      </c>
      <c r="V311" s="19">
        <f t="shared" si="316"/>
        <v>0.43295822432474407</v>
      </c>
      <c r="W311" s="20">
        <f t="shared" ref="W311:X311" si="441">T311-T310</f>
        <v>-259</v>
      </c>
      <c r="X311" s="20">
        <f t="shared" si="441"/>
        <v>-29</v>
      </c>
      <c r="Y311" s="19">
        <f t="shared" si="96"/>
        <v>3.7159412292198386E-2</v>
      </c>
      <c r="Z311" s="19">
        <f t="shared" si="97"/>
        <v>6.8126972340820491E-2</v>
      </c>
      <c r="AA311" s="21">
        <f t="shared" si="348"/>
        <v>1.1242700729927007</v>
      </c>
      <c r="AB311" s="26">
        <f t="shared" si="364"/>
        <v>0.94438894827343145</v>
      </c>
      <c r="AC311" s="23">
        <f t="shared" si="331"/>
        <v>1760.2857142857142</v>
      </c>
      <c r="AD311" s="23">
        <f t="shared" si="360"/>
        <v>112.57142857142857</v>
      </c>
      <c r="AE311" s="23">
        <f t="shared" si="332"/>
        <v>13864.571428571429</v>
      </c>
      <c r="AF311" s="25">
        <f t="shared" si="339"/>
        <v>0.13592129591413407</v>
      </c>
      <c r="AG311" s="20">
        <v>31500</v>
      </c>
      <c r="AH311" s="21">
        <f t="shared" si="436"/>
        <v>10500</v>
      </c>
      <c r="AI311" s="21">
        <f t="shared" si="431"/>
        <v>3770</v>
      </c>
      <c r="AJ311" s="21"/>
      <c r="AK311" s="21"/>
      <c r="AL311" s="21"/>
      <c r="AM311" s="26">
        <f t="shared" si="353"/>
        <v>4699</v>
      </c>
    </row>
    <row r="312" spans="1:39" ht="16">
      <c r="A312" s="30">
        <v>44204</v>
      </c>
      <c r="B312" s="20">
        <v>337743</v>
      </c>
      <c r="C312" s="20">
        <v>2907</v>
      </c>
      <c r="D312" s="20">
        <v>10440</v>
      </c>
      <c r="E312" s="20">
        <v>186449</v>
      </c>
      <c r="F312" s="20">
        <v>2798939</v>
      </c>
      <c r="G312" s="17">
        <f t="shared" si="204"/>
        <v>285606.02040816325</v>
      </c>
      <c r="H312" s="20"/>
      <c r="I312" s="19">
        <f t="shared" si="234"/>
        <v>8.6818621653585639E-3</v>
      </c>
      <c r="J312" s="19">
        <f t="shared" si="231"/>
        <v>0.1206682246379789</v>
      </c>
      <c r="K312" s="19">
        <f t="shared" si="232"/>
        <v>8.6575624838959031E-3</v>
      </c>
      <c r="L312" s="20">
        <v>140854</v>
      </c>
      <c r="M312" s="19">
        <f t="shared" si="235"/>
        <v>3.0911077357635836E-2</v>
      </c>
      <c r="N312" s="19">
        <f t="shared" si="236"/>
        <v>0.55204400979442947</v>
      </c>
      <c r="O312" s="28">
        <v>20865</v>
      </c>
      <c r="P312" s="28">
        <f t="shared" si="437"/>
        <v>24024</v>
      </c>
      <c r="Q312" s="29">
        <f t="shared" si="322"/>
        <v>0.121003996003996</v>
      </c>
      <c r="R312" s="20">
        <f t="shared" si="440"/>
        <v>115</v>
      </c>
      <c r="S312" s="20">
        <v>3454</v>
      </c>
      <c r="T312" s="20">
        <v>5297</v>
      </c>
      <c r="U312" s="20">
        <v>372</v>
      </c>
      <c r="V312" s="19">
        <f t="shared" si="316"/>
        <v>0.41704491284793466</v>
      </c>
      <c r="W312" s="20">
        <f t="shared" ref="W312:X312" si="442">T312-T311</f>
        <v>-90</v>
      </c>
      <c r="X312" s="20">
        <f t="shared" si="442"/>
        <v>5</v>
      </c>
      <c r="Y312" s="19">
        <f t="shared" si="96"/>
        <v>3.7606315759580844E-2</v>
      </c>
      <c r="Z312" s="19">
        <f t="shared" si="97"/>
        <v>7.0228431187464607E-2</v>
      </c>
      <c r="AA312" s="21">
        <f t="shared" si="348"/>
        <v>1.1215583948173475</v>
      </c>
      <c r="AB312" s="26">
        <f t="shared" si="364"/>
        <v>1.0173121707207298</v>
      </c>
      <c r="AC312" s="23">
        <f t="shared" si="331"/>
        <v>1780.7142857142858</v>
      </c>
      <c r="AD312" s="23">
        <f t="shared" si="360"/>
        <v>110.42857142857143</v>
      </c>
      <c r="AE312" s="23">
        <f t="shared" si="332"/>
        <v>14706.857142857143</v>
      </c>
      <c r="AF312" s="25">
        <f t="shared" si="339"/>
        <v>0.13142596461575146</v>
      </c>
      <c r="AG312" s="20">
        <v>42549</v>
      </c>
      <c r="AH312" s="21">
        <f t="shared" si="436"/>
        <v>11049</v>
      </c>
      <c r="AI312" s="21">
        <f t="shared" si="431"/>
        <v>5102.4285714285716</v>
      </c>
      <c r="AJ312" s="21"/>
      <c r="AK312" s="21"/>
      <c r="AL312" s="21"/>
      <c r="AM312" s="26">
        <f t="shared" si="353"/>
        <v>4198</v>
      </c>
    </row>
    <row r="313" spans="1:39" ht="16">
      <c r="A313" s="30">
        <v>44205</v>
      </c>
      <c r="B313" s="20">
        <v>340459</v>
      </c>
      <c r="C313" s="20">
        <v>2716</v>
      </c>
      <c r="D313" s="20">
        <v>10554</v>
      </c>
      <c r="E313" s="20">
        <v>193172</v>
      </c>
      <c r="F313" s="20">
        <v>2820762</v>
      </c>
      <c r="G313" s="17">
        <f t="shared" si="204"/>
        <v>287832.8571428571</v>
      </c>
      <c r="H313" s="20"/>
      <c r="I313" s="19">
        <f t="shared" si="234"/>
        <v>8.0416174428485556E-3</v>
      </c>
      <c r="J313" s="19">
        <f t="shared" si="231"/>
        <v>0.12069752783113216</v>
      </c>
      <c r="K313" s="19">
        <f t="shared" si="232"/>
        <v>7.7968830331779293E-3</v>
      </c>
      <c r="L313" s="20">
        <v>136733</v>
      </c>
      <c r="M313" s="19">
        <f t="shared" si="235"/>
        <v>3.0999327378627088E-2</v>
      </c>
      <c r="N313" s="19">
        <f t="shared" si="236"/>
        <v>0.56738696876863293</v>
      </c>
      <c r="O313" s="20">
        <v>23281</v>
      </c>
      <c r="P313" s="28">
        <f t="shared" si="437"/>
        <v>21823</v>
      </c>
      <c r="Q313" s="29">
        <f t="shared" si="322"/>
        <v>0.12445584933327224</v>
      </c>
      <c r="R313" s="20">
        <f t="shared" si="440"/>
        <v>114</v>
      </c>
      <c r="S313" s="20">
        <f t="shared" ref="S313:S466" si="443">E313-E312</f>
        <v>6723</v>
      </c>
      <c r="T313" s="20">
        <v>5126</v>
      </c>
      <c r="U313" s="20">
        <v>365</v>
      </c>
      <c r="V313" s="19">
        <f t="shared" si="316"/>
        <v>0.40161370385273998</v>
      </c>
      <c r="W313" s="20">
        <f t="shared" ref="W313:X313" si="444">T313-T312</f>
        <v>-171</v>
      </c>
      <c r="X313" s="20">
        <f t="shared" si="444"/>
        <v>-7</v>
      </c>
      <c r="Y313" s="19">
        <f t="shared" si="96"/>
        <v>3.7489121133888671E-2</v>
      </c>
      <c r="Z313" s="19">
        <f t="shared" si="97"/>
        <v>7.1205618415918839E-2</v>
      </c>
      <c r="AA313" s="21">
        <f t="shared" si="348"/>
        <v>1.2158749779268938</v>
      </c>
      <c r="AB313" s="26">
        <f t="shared" si="364"/>
        <v>1.0855327160867061</v>
      </c>
      <c r="AC313" s="23">
        <f t="shared" si="331"/>
        <v>1967.2857142857142</v>
      </c>
      <c r="AD313" s="23">
        <f t="shared" si="360"/>
        <v>110.42857142857143</v>
      </c>
      <c r="AE313" s="23">
        <f t="shared" si="332"/>
        <v>16296.285714285714</v>
      </c>
      <c r="AF313" s="25">
        <f t="shared" si="339"/>
        <v>0.13037499198414598</v>
      </c>
      <c r="AG313" s="20">
        <f t="shared" ref="AG313:AG314" si="445">AG312+AH313</f>
        <v>52032</v>
      </c>
      <c r="AH313" s="20">
        <v>9483</v>
      </c>
      <c r="AI313" s="21">
        <f t="shared" si="431"/>
        <v>6211.1428571428569</v>
      </c>
      <c r="AJ313" s="21"/>
      <c r="AK313" s="21"/>
      <c r="AL313" s="21"/>
      <c r="AM313" s="26">
        <f t="shared" si="353"/>
        <v>4252.7142857142853</v>
      </c>
    </row>
    <row r="314" spans="1:39" ht="16">
      <c r="A314" s="30">
        <v>44206</v>
      </c>
      <c r="B314" s="20">
        <v>342237</v>
      </c>
      <c r="C314" s="20">
        <v>1778</v>
      </c>
      <c r="D314" s="20">
        <v>10648</v>
      </c>
      <c r="E314" s="20">
        <v>197936</v>
      </c>
      <c r="F314" s="20">
        <v>2840024</v>
      </c>
      <c r="G314" s="17">
        <f t="shared" si="204"/>
        <v>289798.36734693876</v>
      </c>
      <c r="H314" s="20"/>
      <c r="I314" s="19">
        <f t="shared" si="234"/>
        <v>5.2223615765775028E-3</v>
      </c>
      <c r="J314" s="19">
        <f t="shared" si="231"/>
        <v>0.12050496756365439</v>
      </c>
      <c r="K314" s="19">
        <f t="shared" si="232"/>
        <v>6.8286512651545934E-3</v>
      </c>
      <c r="L314" s="20">
        <v>133653</v>
      </c>
      <c r="M314" s="19">
        <f t="shared" si="235"/>
        <v>3.1112942200872493E-2</v>
      </c>
      <c r="N314" s="19">
        <f t="shared" si="236"/>
        <v>0.57835944097219183</v>
      </c>
      <c r="O314" s="20">
        <v>22962</v>
      </c>
      <c r="P314" s="28">
        <f t="shared" si="437"/>
        <v>19262</v>
      </c>
      <c r="Q314" s="29">
        <f t="shared" si="322"/>
        <v>9.2306094901879354E-2</v>
      </c>
      <c r="R314" s="20">
        <f t="shared" si="440"/>
        <v>94</v>
      </c>
      <c r="S314" s="20">
        <f t="shared" si="443"/>
        <v>4764</v>
      </c>
      <c r="T314" s="20">
        <v>4980</v>
      </c>
      <c r="U314" s="20">
        <v>357</v>
      </c>
      <c r="V314" s="19">
        <f t="shared" si="316"/>
        <v>0.39052761682693571</v>
      </c>
      <c r="W314" s="20">
        <f t="shared" ref="W314:X314" si="446">T314-T313</f>
        <v>-146</v>
      </c>
      <c r="X314" s="20">
        <f t="shared" si="446"/>
        <v>-8</v>
      </c>
      <c r="Y314" s="19">
        <f t="shared" si="96"/>
        <v>3.7260667549549951E-2</v>
      </c>
      <c r="Z314" s="19">
        <f t="shared" si="97"/>
        <v>7.1686746987951813E-2</v>
      </c>
      <c r="AA314" s="21">
        <f t="shared" si="348"/>
        <v>1.1932970255550901</v>
      </c>
      <c r="AB314" s="26">
        <f t="shared" si="364"/>
        <v>1.1255622844991193</v>
      </c>
      <c r="AC314" s="23">
        <f t="shared" si="331"/>
        <v>2034.5714285714287</v>
      </c>
      <c r="AD314" s="23">
        <f t="shared" si="360"/>
        <v>109.14285714285714</v>
      </c>
      <c r="AE314" s="23">
        <f t="shared" si="332"/>
        <v>18196.571428571428</v>
      </c>
      <c r="AF314" s="25">
        <f t="shared" si="339"/>
        <v>0.11223367668249688</v>
      </c>
      <c r="AG314" s="20">
        <f t="shared" si="445"/>
        <v>61516</v>
      </c>
      <c r="AH314" s="20">
        <v>9484</v>
      </c>
      <c r="AI314" s="21">
        <f t="shared" si="431"/>
        <v>7319.8571428571431</v>
      </c>
      <c r="AJ314" s="21"/>
      <c r="AK314" s="21"/>
      <c r="AL314" s="21"/>
      <c r="AM314" s="26">
        <f t="shared" si="353"/>
        <v>4222.1428571428569</v>
      </c>
    </row>
    <row r="315" spans="1:39" ht="16">
      <c r="A315" s="30">
        <v>44207</v>
      </c>
      <c r="B315" s="20">
        <v>343656</v>
      </c>
      <c r="C315" s="20">
        <v>1419</v>
      </c>
      <c r="D315" s="20">
        <v>10725</v>
      </c>
      <c r="E315" s="20">
        <v>203972</v>
      </c>
      <c r="F315" s="20">
        <v>2852591</v>
      </c>
      <c r="G315" s="17">
        <f t="shared" si="204"/>
        <v>291080.71428571426</v>
      </c>
      <c r="H315" s="20"/>
      <c r="I315" s="19">
        <f t="shared" si="234"/>
        <v>4.1462495288352805E-3</v>
      </c>
      <c r="J315" s="19">
        <f t="shared" si="231"/>
        <v>0.12047152921677171</v>
      </c>
      <c r="K315" s="19">
        <f t="shared" si="232"/>
        <v>4.4249626059498087E-3</v>
      </c>
      <c r="L315" s="20">
        <v>128959</v>
      </c>
      <c r="M315" s="19">
        <f t="shared" si="235"/>
        <v>3.1208534115510861E-2</v>
      </c>
      <c r="N315" s="19">
        <f t="shared" si="236"/>
        <v>0.59353539586097726</v>
      </c>
      <c r="O315" s="20">
        <v>21979</v>
      </c>
      <c r="P315" s="28">
        <f t="shared" si="437"/>
        <v>12567</v>
      </c>
      <c r="Q315" s="29">
        <f t="shared" si="322"/>
        <v>0.11291477679637145</v>
      </c>
      <c r="R315" s="20">
        <f t="shared" si="440"/>
        <v>77</v>
      </c>
      <c r="S315" s="20">
        <f t="shared" si="443"/>
        <v>6036</v>
      </c>
      <c r="T315" s="20">
        <v>5065</v>
      </c>
      <c r="U315" s="20">
        <v>367</v>
      </c>
      <c r="V315" s="19">
        <f t="shared" si="316"/>
        <v>0.37525607002351186</v>
      </c>
      <c r="W315" s="20">
        <f t="shared" ref="W315:X315" si="447">T315-T314</f>
        <v>85</v>
      </c>
      <c r="X315" s="20">
        <f t="shared" si="447"/>
        <v>10</v>
      </c>
      <c r="Y315" s="19">
        <f t="shared" si="96"/>
        <v>3.9276048976806581E-2</v>
      </c>
      <c r="Z315" s="19">
        <f t="shared" si="97"/>
        <v>7.2458045409674238E-2</v>
      </c>
      <c r="AA315" s="21">
        <f t="shared" si="348"/>
        <v>1.2153176818256444</v>
      </c>
      <c r="AB315" s="26">
        <f t="shared" si="364"/>
        <v>1.1483613724441768</v>
      </c>
      <c r="AC315" s="23">
        <f t="shared" si="331"/>
        <v>2115</v>
      </c>
      <c r="AD315" s="23">
        <f t="shared" si="360"/>
        <v>106.85714285714286</v>
      </c>
      <c r="AE315" s="23">
        <f t="shared" si="332"/>
        <v>18745.142857142859</v>
      </c>
      <c r="AF315" s="25">
        <f t="shared" si="339"/>
        <v>0.11435201643436602</v>
      </c>
      <c r="AG315" s="20">
        <v>71000</v>
      </c>
      <c r="AH315" s="20">
        <v>9484</v>
      </c>
      <c r="AI315" s="21">
        <f t="shared" si="431"/>
        <v>8428.5714285714294</v>
      </c>
      <c r="AJ315" s="21"/>
      <c r="AK315" s="21"/>
      <c r="AL315" s="21"/>
      <c r="AM315" s="26">
        <f t="shared" si="353"/>
        <v>4271.7142857142853</v>
      </c>
    </row>
    <row r="316" spans="1:39" ht="16">
      <c r="A316" s="30">
        <v>44208</v>
      </c>
      <c r="B316" s="20">
        <v>344352</v>
      </c>
      <c r="C316" s="20">
        <v>696</v>
      </c>
      <c r="D316" s="20">
        <v>10853</v>
      </c>
      <c r="E316" s="20">
        <v>209852</v>
      </c>
      <c r="F316" s="20">
        <v>2860814</v>
      </c>
      <c r="G316" s="17">
        <f t="shared" si="204"/>
        <v>291919.79591836734</v>
      </c>
      <c r="H316" s="20"/>
      <c r="I316" s="19">
        <f t="shared" si="234"/>
        <v>2.0252810950485371E-3</v>
      </c>
      <c r="J316" s="19">
        <f t="shared" si="231"/>
        <v>0.12036853846492641</v>
      </c>
      <c r="K316" s="19">
        <f t="shared" si="232"/>
        <v>2.8826424818699913E-3</v>
      </c>
      <c r="L316" s="20">
        <v>123647</v>
      </c>
      <c r="M316" s="19">
        <f t="shared" si="235"/>
        <v>3.1517168478765914E-2</v>
      </c>
      <c r="N316" s="19">
        <f t="shared" si="236"/>
        <v>0.60941130006504973</v>
      </c>
      <c r="O316" s="20">
        <v>25532</v>
      </c>
      <c r="P316" s="28">
        <f t="shared" si="437"/>
        <v>8223</v>
      </c>
      <c r="Q316" s="29">
        <f t="shared" si="322"/>
        <v>8.4640642101422844E-2</v>
      </c>
      <c r="R316" s="20">
        <f t="shared" si="440"/>
        <v>128</v>
      </c>
      <c r="S316" s="20">
        <f t="shared" si="443"/>
        <v>5880</v>
      </c>
      <c r="T316" s="20">
        <v>5005</v>
      </c>
      <c r="U316" s="20">
        <v>356</v>
      </c>
      <c r="V316" s="19">
        <f t="shared" si="316"/>
        <v>0.35907153145618437</v>
      </c>
      <c r="W316" s="20">
        <f t="shared" ref="W316:X316" si="448">T316-T315</f>
        <v>-60</v>
      </c>
      <c r="X316" s="20">
        <f t="shared" si="448"/>
        <v>-11</v>
      </c>
      <c r="Y316" s="19">
        <f t="shared" si="96"/>
        <v>4.0478135336886462E-2</v>
      </c>
      <c r="Z316" s="19">
        <f t="shared" si="97"/>
        <v>7.1128871128871132E-2</v>
      </c>
      <c r="AA316" s="21">
        <f t="shared" si="348"/>
        <v>1.2041975308641975</v>
      </c>
      <c r="AB316" s="26">
        <f t="shared" si="364"/>
        <v>1.1654566012511494</v>
      </c>
      <c r="AC316" s="23">
        <f t="shared" si="331"/>
        <v>2090.1428571428573</v>
      </c>
      <c r="AD316" s="23">
        <f t="shared" si="360"/>
        <v>110.42857142857143</v>
      </c>
      <c r="AE316" s="23">
        <f t="shared" si="332"/>
        <v>18988.285714285714</v>
      </c>
      <c r="AF316" s="25">
        <f t="shared" si="339"/>
        <v>0.10738423382309646</v>
      </c>
      <c r="AG316" s="20">
        <v>78579</v>
      </c>
      <c r="AH316" s="21">
        <f t="shared" ref="AH316:AH466" si="449">AG316-AG315</f>
        <v>7579</v>
      </c>
      <c r="AI316" s="21">
        <f t="shared" si="431"/>
        <v>9082.7142857142862</v>
      </c>
      <c r="AJ316" s="21"/>
      <c r="AK316" s="21"/>
      <c r="AL316" s="21"/>
      <c r="AM316" s="26">
        <f t="shared" si="353"/>
        <v>4753.7142857142853</v>
      </c>
    </row>
    <row r="317" spans="1:39" ht="16">
      <c r="A317" s="30">
        <v>44209</v>
      </c>
      <c r="B317" s="20">
        <v>345710</v>
      </c>
      <c r="C317" s="20">
        <v>1358</v>
      </c>
      <c r="D317" s="20">
        <v>10948</v>
      </c>
      <c r="E317" s="20">
        <v>215453</v>
      </c>
      <c r="F317" s="20">
        <v>2879364</v>
      </c>
      <c r="G317" s="17">
        <f t="shared" si="204"/>
        <v>293812.6530612245</v>
      </c>
      <c r="H317" s="20"/>
      <c r="I317" s="19">
        <f t="shared" si="234"/>
        <v>3.9436390670012081E-3</v>
      </c>
      <c r="J317" s="19">
        <f t="shared" si="231"/>
        <v>0.12006470873428993</v>
      </c>
      <c r="K317" s="19">
        <f t="shared" si="232"/>
        <v>6.4841684919047515E-3</v>
      </c>
      <c r="L317" s="20">
        <v>119309</v>
      </c>
      <c r="M317" s="19">
        <f t="shared" si="235"/>
        <v>3.1668161175551761E-2</v>
      </c>
      <c r="N317" s="19">
        <f t="shared" si="236"/>
        <v>0.62321888287871341</v>
      </c>
      <c r="O317" s="20">
        <v>25856</v>
      </c>
      <c r="P317" s="28">
        <f t="shared" si="437"/>
        <v>18550</v>
      </c>
      <c r="Q317" s="29">
        <f t="shared" si="322"/>
        <v>7.3207547169811316E-2</v>
      </c>
      <c r="R317" s="20">
        <f t="shared" si="440"/>
        <v>95</v>
      </c>
      <c r="S317" s="20">
        <f t="shared" si="443"/>
        <v>5601</v>
      </c>
      <c r="T317" s="20">
        <v>4870</v>
      </c>
      <c r="U317" s="20">
        <v>339</v>
      </c>
      <c r="V317" s="19">
        <f t="shared" si="316"/>
        <v>0.34511295594573488</v>
      </c>
      <c r="W317" s="20">
        <f t="shared" ref="W317:X317" si="450">T317-T316</f>
        <v>-135</v>
      </c>
      <c r="X317" s="20">
        <f t="shared" si="450"/>
        <v>-17</v>
      </c>
      <c r="Y317" s="19">
        <f t="shared" si="96"/>
        <v>4.0818379166701592E-2</v>
      </c>
      <c r="Z317" s="19">
        <f t="shared" si="97"/>
        <v>6.9609856262833669E-2</v>
      </c>
      <c r="AA317" s="21">
        <f t="shared" si="348"/>
        <v>1.1404498977505113</v>
      </c>
      <c r="AB317" s="26">
        <f t="shared" si="364"/>
        <v>1.173566511676055</v>
      </c>
      <c r="AC317" s="23">
        <f t="shared" si="331"/>
        <v>1991.7142857142858</v>
      </c>
      <c r="AD317" s="23">
        <f t="shared" si="360"/>
        <v>107.14285714285714</v>
      </c>
      <c r="AE317" s="23">
        <f t="shared" si="332"/>
        <v>18391.285714285714</v>
      </c>
      <c r="AF317" s="25">
        <f t="shared" si="339"/>
        <v>0.10497657551132764</v>
      </c>
      <c r="AG317" s="20">
        <v>86929</v>
      </c>
      <c r="AH317" s="21">
        <f t="shared" si="449"/>
        <v>8350</v>
      </c>
      <c r="AI317" s="21">
        <f t="shared" si="431"/>
        <v>9418.4285714285706</v>
      </c>
      <c r="AJ317" s="21"/>
      <c r="AK317" s="21"/>
      <c r="AL317" s="21"/>
      <c r="AM317" s="26">
        <f t="shared" si="353"/>
        <v>5130.2857142857147</v>
      </c>
    </row>
    <row r="318" spans="1:39" ht="16">
      <c r="A318" s="30">
        <v>44210</v>
      </c>
      <c r="B318" s="20">
        <v>347636</v>
      </c>
      <c r="C318" s="20">
        <v>1926</v>
      </c>
      <c r="D318" s="20">
        <v>11066</v>
      </c>
      <c r="E318" s="20">
        <v>220304</v>
      </c>
      <c r="F318" s="20">
        <v>2898998</v>
      </c>
      <c r="G318" s="17">
        <f t="shared" si="204"/>
        <v>295816.12244897959</v>
      </c>
      <c r="H318" s="20"/>
      <c r="I318" s="19">
        <f t="shared" si="234"/>
        <v>5.5711434439269904E-3</v>
      </c>
      <c r="J318" s="19">
        <f t="shared" si="231"/>
        <v>0.11991591577503675</v>
      </c>
      <c r="K318" s="19">
        <f t="shared" si="232"/>
        <v>6.8188669442279613E-3</v>
      </c>
      <c r="L318" s="20">
        <v>116266</v>
      </c>
      <c r="M318" s="19">
        <f t="shared" si="235"/>
        <v>3.1832146267935429E-2</v>
      </c>
      <c r="N318" s="19">
        <f t="shared" si="236"/>
        <v>0.6337203281593391</v>
      </c>
      <c r="O318" s="20">
        <v>25646</v>
      </c>
      <c r="P318" s="28">
        <f t="shared" si="437"/>
        <v>19634</v>
      </c>
      <c r="Q318" s="29">
        <f t="shared" si="322"/>
        <v>9.8095141081796886E-2</v>
      </c>
      <c r="R318" s="20">
        <f t="shared" si="440"/>
        <v>118</v>
      </c>
      <c r="S318" s="20">
        <f t="shared" si="443"/>
        <v>4851</v>
      </c>
      <c r="T318" s="20">
        <v>4689</v>
      </c>
      <c r="U318" s="20">
        <v>344</v>
      </c>
      <c r="V318" s="19">
        <f t="shared" si="316"/>
        <v>0.3344475255727255</v>
      </c>
      <c r="W318" s="20">
        <f t="shared" ref="W318:X318" si="451">T318-T317</f>
        <v>-181</v>
      </c>
      <c r="X318" s="20">
        <f t="shared" si="451"/>
        <v>5</v>
      </c>
      <c r="Y318" s="19">
        <f t="shared" si="96"/>
        <v>4.0329933084478693E-2</v>
      </c>
      <c r="Z318" s="19">
        <f t="shared" si="97"/>
        <v>7.3363190445724036E-2</v>
      </c>
      <c r="AA318" s="21">
        <f t="shared" si="348"/>
        <v>1.0387924038305469</v>
      </c>
      <c r="AB318" s="26">
        <f t="shared" si="364"/>
        <v>1.1613554160814616</v>
      </c>
      <c r="AC318" s="23">
        <f t="shared" si="331"/>
        <v>1828.5714285714287</v>
      </c>
      <c r="AD318" s="23">
        <f t="shared" si="360"/>
        <v>105.85714285714286</v>
      </c>
      <c r="AE318" s="23">
        <f t="shared" si="332"/>
        <v>17726.142857142859</v>
      </c>
      <c r="AF318" s="25">
        <f t="shared" si="339"/>
        <v>0.10094629248407858</v>
      </c>
      <c r="AG318" s="20">
        <v>96101</v>
      </c>
      <c r="AH318" s="21">
        <f t="shared" si="449"/>
        <v>9172</v>
      </c>
      <c r="AI318" s="21">
        <f t="shared" si="431"/>
        <v>9228.7142857142862</v>
      </c>
      <c r="AJ318" s="21"/>
      <c r="AK318" s="21"/>
      <c r="AL318" s="21"/>
      <c r="AM318" s="26">
        <f t="shared" si="353"/>
        <v>5329.8571428571431</v>
      </c>
    </row>
    <row r="319" spans="1:39" ht="16">
      <c r="A319" s="30">
        <v>44211</v>
      </c>
      <c r="B319" s="20">
        <v>349149</v>
      </c>
      <c r="C319" s="20">
        <v>1513</v>
      </c>
      <c r="D319" s="20">
        <v>11177</v>
      </c>
      <c r="E319" s="20">
        <v>225021</v>
      </c>
      <c r="F319" s="20">
        <v>2918096</v>
      </c>
      <c r="G319" s="17">
        <f t="shared" si="204"/>
        <v>297764.89795918367</v>
      </c>
      <c r="H319" s="20"/>
      <c r="I319" s="19">
        <f t="shared" si="234"/>
        <v>4.3522535065413249E-3</v>
      </c>
      <c r="J319" s="19">
        <f t="shared" si="231"/>
        <v>0.11964959343352652</v>
      </c>
      <c r="K319" s="19">
        <f t="shared" si="232"/>
        <v>6.5877934375946452E-3</v>
      </c>
      <c r="L319" s="20">
        <v>112951</v>
      </c>
      <c r="M319" s="19">
        <f t="shared" si="235"/>
        <v>3.2012120899673202E-2</v>
      </c>
      <c r="N319" s="19">
        <f t="shared" si="236"/>
        <v>0.64448416005774034</v>
      </c>
      <c r="O319" s="20">
        <v>25678</v>
      </c>
      <c r="P319" s="28">
        <f t="shared" si="437"/>
        <v>19098</v>
      </c>
      <c r="Q319" s="29">
        <f t="shared" si="322"/>
        <v>7.9222955283275734E-2</v>
      </c>
      <c r="R319" s="20">
        <f t="shared" si="440"/>
        <v>111</v>
      </c>
      <c r="S319" s="20">
        <f t="shared" si="443"/>
        <v>4717</v>
      </c>
      <c r="T319" s="20">
        <v>4600</v>
      </c>
      <c r="U319" s="20">
        <v>337</v>
      </c>
      <c r="V319" s="19">
        <f t="shared" si="316"/>
        <v>0.3235037190425864</v>
      </c>
      <c r="W319" s="20">
        <f t="shared" ref="W319:X319" si="452">T319-T318</f>
        <v>-89</v>
      </c>
      <c r="X319" s="20">
        <f t="shared" si="452"/>
        <v>-7</v>
      </c>
      <c r="Y319" s="19">
        <f t="shared" si="96"/>
        <v>4.0725624385795613E-2</v>
      </c>
      <c r="Z319" s="19">
        <f t="shared" si="97"/>
        <v>7.3260869565217393E-2</v>
      </c>
      <c r="AA319" s="21">
        <f t="shared" si="348"/>
        <v>0.91504211793020462</v>
      </c>
      <c r="AB319" s="26">
        <f t="shared" si="364"/>
        <v>1.1318530908118698</v>
      </c>
      <c r="AC319" s="23">
        <f t="shared" si="331"/>
        <v>1629.4285714285713</v>
      </c>
      <c r="AD319" s="23">
        <f t="shared" si="360"/>
        <v>105.28571428571429</v>
      </c>
      <c r="AE319" s="23">
        <f t="shared" si="332"/>
        <v>17022.428571428572</v>
      </c>
      <c r="AF319" s="25">
        <f t="shared" si="339"/>
        <v>9.497757238111855E-2</v>
      </c>
      <c r="AG319" s="20">
        <v>105728</v>
      </c>
      <c r="AH319" s="21">
        <f t="shared" si="449"/>
        <v>9627</v>
      </c>
      <c r="AI319" s="21">
        <f t="shared" si="431"/>
        <v>9025.5714285714294</v>
      </c>
      <c r="AJ319" s="21"/>
      <c r="AK319" s="21"/>
      <c r="AL319" s="21"/>
      <c r="AM319" s="26">
        <f t="shared" si="353"/>
        <v>5510.2857142857147</v>
      </c>
    </row>
    <row r="320" spans="1:39" ht="16">
      <c r="A320" s="30">
        <v>44212</v>
      </c>
      <c r="B320" s="20">
        <v>350587</v>
      </c>
      <c r="C320" s="20">
        <v>1438</v>
      </c>
      <c r="D320" s="20">
        <v>11264</v>
      </c>
      <c r="E320" s="20">
        <v>227325</v>
      </c>
      <c r="F320" s="20">
        <v>2936435</v>
      </c>
      <c r="G320" s="17">
        <f t="shared" si="204"/>
        <v>299636.22448979592</v>
      </c>
      <c r="H320" s="20"/>
      <c r="I320" s="19">
        <f t="shared" si="234"/>
        <v>4.1185854749691397E-3</v>
      </c>
      <c r="J320" s="19">
        <f t="shared" si="231"/>
        <v>0.11939205192691138</v>
      </c>
      <c r="K320" s="19">
        <f t="shared" si="232"/>
        <v>6.2845773408414258E-3</v>
      </c>
      <c r="L320" s="20">
        <v>111998</v>
      </c>
      <c r="M320" s="19">
        <f t="shared" si="235"/>
        <v>3.2128972266513019E-2</v>
      </c>
      <c r="N320" s="19">
        <f t="shared" si="236"/>
        <v>0.64841251957431389</v>
      </c>
      <c r="O320" s="20">
        <v>24874</v>
      </c>
      <c r="P320" s="28">
        <f t="shared" si="437"/>
        <v>18339</v>
      </c>
      <c r="Q320" s="29">
        <f t="shared" si="322"/>
        <v>7.8412127160695788E-2</v>
      </c>
      <c r="R320" s="20">
        <f t="shared" si="440"/>
        <v>87</v>
      </c>
      <c r="S320" s="20">
        <f t="shared" si="443"/>
        <v>2304</v>
      </c>
      <c r="T320" s="20">
        <v>4408</v>
      </c>
      <c r="U320" s="20">
        <v>328</v>
      </c>
      <c r="V320" s="19">
        <f t="shared" si="316"/>
        <v>0.31945850815917304</v>
      </c>
      <c r="W320" s="20">
        <f t="shared" ref="W320:X320" si="453">T320-T319</f>
        <v>-192</v>
      </c>
      <c r="X320" s="20">
        <f t="shared" si="453"/>
        <v>-9</v>
      </c>
      <c r="Y320" s="19">
        <f t="shared" si="96"/>
        <v>3.9357845675815642E-2</v>
      </c>
      <c r="Z320" s="19">
        <f t="shared" si="97"/>
        <v>7.441016333938294E-2</v>
      </c>
      <c r="AA320" s="21">
        <f t="shared" si="348"/>
        <v>0.73545857236221046</v>
      </c>
      <c r="AB320" s="26">
        <f t="shared" si="364"/>
        <v>1.0632221757312008</v>
      </c>
      <c r="AC320" s="23">
        <f t="shared" si="331"/>
        <v>1446.8571428571429</v>
      </c>
      <c r="AD320" s="23">
        <f t="shared" si="360"/>
        <v>101.42857142857143</v>
      </c>
      <c r="AE320" s="23">
        <f t="shared" si="332"/>
        <v>16524.714285714286</v>
      </c>
      <c r="AF320" s="25">
        <f t="shared" si="339"/>
        <v>8.8399897785036208E-2</v>
      </c>
      <c r="AG320" s="20">
        <v>112827</v>
      </c>
      <c r="AH320" s="21">
        <f t="shared" si="449"/>
        <v>7099</v>
      </c>
      <c r="AI320" s="21">
        <f t="shared" si="431"/>
        <v>8685</v>
      </c>
      <c r="AJ320" s="21"/>
      <c r="AK320" s="21"/>
      <c r="AL320" s="21"/>
      <c r="AM320" s="26">
        <f t="shared" si="353"/>
        <v>4879</v>
      </c>
    </row>
    <row r="321" spans="1:39" ht="16">
      <c r="A321" s="30">
        <v>44213</v>
      </c>
      <c r="B321" s="20">
        <v>351828</v>
      </c>
      <c r="C321" s="20">
        <v>1241</v>
      </c>
      <c r="D321" s="20">
        <v>11341</v>
      </c>
      <c r="E321" s="20">
        <v>228615</v>
      </c>
      <c r="F321" s="20">
        <v>2953710</v>
      </c>
      <c r="G321" s="17">
        <f t="shared" si="204"/>
        <v>301398.97959183669</v>
      </c>
      <c r="H321" s="20"/>
      <c r="I321" s="19">
        <f t="shared" si="234"/>
        <v>3.5397775730417842E-3</v>
      </c>
      <c r="J321" s="19">
        <f t="shared" si="231"/>
        <v>0.11911392790761449</v>
      </c>
      <c r="K321" s="19">
        <f t="shared" si="232"/>
        <v>5.8829839584394004E-3</v>
      </c>
      <c r="L321" s="20">
        <v>111872</v>
      </c>
      <c r="M321" s="19">
        <f t="shared" si="235"/>
        <v>3.2234500949327512E-2</v>
      </c>
      <c r="N321" s="19">
        <f t="shared" si="236"/>
        <v>0.64979194379071592</v>
      </c>
      <c r="O321" s="20">
        <v>23083</v>
      </c>
      <c r="P321" s="28">
        <f t="shared" si="437"/>
        <v>17275</v>
      </c>
      <c r="Q321" s="29">
        <f t="shared" si="322"/>
        <v>7.183791606367583E-2</v>
      </c>
      <c r="R321" s="20">
        <f t="shared" si="440"/>
        <v>77</v>
      </c>
      <c r="S321" s="20">
        <f t="shared" si="443"/>
        <v>1290</v>
      </c>
      <c r="T321" s="20">
        <v>4345</v>
      </c>
      <c r="U321" s="20">
        <v>329</v>
      </c>
      <c r="V321" s="19">
        <f t="shared" si="316"/>
        <v>0.31797355525995658</v>
      </c>
      <c r="W321" s="20">
        <f t="shared" ref="W321:X321" si="454">T321-T320</f>
        <v>-63</v>
      </c>
      <c r="X321" s="20">
        <f t="shared" si="454"/>
        <v>1</v>
      </c>
      <c r="Y321" s="19">
        <f t="shared" si="96"/>
        <v>3.8839030320366133E-2</v>
      </c>
      <c r="Z321" s="19">
        <f t="shared" si="97"/>
        <v>7.5719217491369395E-2</v>
      </c>
      <c r="AA321" s="21">
        <f t="shared" si="348"/>
        <v>0.67343069793568322</v>
      </c>
      <c r="AB321" s="26">
        <f t="shared" si="364"/>
        <v>0.98895555749985686</v>
      </c>
      <c r="AC321" s="23">
        <f t="shared" si="331"/>
        <v>1370.1428571428571</v>
      </c>
      <c r="AD321" s="23">
        <f t="shared" si="360"/>
        <v>99</v>
      </c>
      <c r="AE321" s="23">
        <f t="shared" si="332"/>
        <v>16240.857142857143</v>
      </c>
      <c r="AF321" s="25">
        <f t="shared" si="339"/>
        <v>8.5475872236721401E-2</v>
      </c>
      <c r="AG321" s="20">
        <v>119944</v>
      </c>
      <c r="AH321" s="21">
        <f t="shared" si="449"/>
        <v>7117</v>
      </c>
      <c r="AI321" s="21">
        <f t="shared" si="431"/>
        <v>8346.8571428571431</v>
      </c>
      <c r="AJ321" s="21"/>
      <c r="AK321" s="21"/>
      <c r="AL321" s="21"/>
      <c r="AM321" s="26">
        <f t="shared" si="353"/>
        <v>4382.7142857142853</v>
      </c>
    </row>
    <row r="322" spans="1:39" ht="16">
      <c r="A322" s="30">
        <v>44214</v>
      </c>
      <c r="B322" s="20">
        <v>352703</v>
      </c>
      <c r="C322" s="20">
        <v>875</v>
      </c>
      <c r="D322" s="20">
        <v>11409</v>
      </c>
      <c r="E322" s="20">
        <v>230441</v>
      </c>
      <c r="F322" s="20">
        <v>2963613</v>
      </c>
      <c r="G322" s="17">
        <f t="shared" si="204"/>
        <v>302409.48979591834</v>
      </c>
      <c r="H322" s="20"/>
      <c r="I322" s="19">
        <f t="shared" si="234"/>
        <v>2.4870106984094501E-3</v>
      </c>
      <c r="J322" s="19">
        <f t="shared" si="231"/>
        <v>0.11901115294068422</v>
      </c>
      <c r="K322" s="19">
        <f t="shared" si="232"/>
        <v>3.3527326650212783E-3</v>
      </c>
      <c r="L322" s="20">
        <v>110853</v>
      </c>
      <c r="M322" s="19">
        <f t="shared" si="235"/>
        <v>3.2347329055891216E-2</v>
      </c>
      <c r="N322" s="19">
        <f t="shared" si="236"/>
        <v>0.65335707379863506</v>
      </c>
      <c r="O322" s="20">
        <v>21648</v>
      </c>
      <c r="P322" s="28">
        <f t="shared" si="437"/>
        <v>9903</v>
      </c>
      <c r="Q322" s="29">
        <f t="shared" si="322"/>
        <v>8.8357063516106227E-2</v>
      </c>
      <c r="R322" s="20">
        <f t="shared" si="440"/>
        <v>68</v>
      </c>
      <c r="S322" s="20">
        <f t="shared" si="443"/>
        <v>1826</v>
      </c>
      <c r="T322" s="20">
        <v>4445</v>
      </c>
      <c r="U322" s="20">
        <v>330</v>
      </c>
      <c r="V322" s="19">
        <f t="shared" si="316"/>
        <v>0.31429559714547367</v>
      </c>
      <c r="W322" s="20">
        <f t="shared" ref="W322:X322" si="455">T322-T321</f>
        <v>100</v>
      </c>
      <c r="X322" s="20">
        <f t="shared" si="455"/>
        <v>1</v>
      </c>
      <c r="Y322" s="19">
        <f t="shared" si="96"/>
        <v>4.0098147997798886E-2</v>
      </c>
      <c r="Z322" s="19">
        <f t="shared" si="97"/>
        <v>7.4240719910011244E-2</v>
      </c>
      <c r="AA322" s="21">
        <f t="shared" si="348"/>
        <v>0.61107733873691317</v>
      </c>
      <c r="AB322" s="26">
        <f t="shared" si="364"/>
        <v>0.9026355084871811</v>
      </c>
      <c r="AC322" s="23">
        <f t="shared" si="331"/>
        <v>1292.4285714285713</v>
      </c>
      <c r="AD322" s="23">
        <f t="shared" si="360"/>
        <v>97.714285714285708</v>
      </c>
      <c r="AE322" s="23">
        <f t="shared" si="332"/>
        <v>15860.285714285714</v>
      </c>
      <c r="AF322" s="25">
        <f t="shared" si="339"/>
        <v>8.1967627482397817E-2</v>
      </c>
      <c r="AG322" s="20">
        <v>123188</v>
      </c>
      <c r="AH322" s="21">
        <f t="shared" si="449"/>
        <v>3244</v>
      </c>
      <c r="AI322" s="21">
        <f t="shared" si="431"/>
        <v>7455.4285714285716</v>
      </c>
      <c r="AJ322" s="21"/>
      <c r="AK322" s="21"/>
      <c r="AL322" s="21"/>
      <c r="AM322" s="26">
        <f t="shared" si="353"/>
        <v>3781.2857142857142</v>
      </c>
    </row>
    <row r="323" spans="1:39" ht="16">
      <c r="A323" s="30">
        <v>44215</v>
      </c>
      <c r="B323" s="20">
        <v>353276</v>
      </c>
      <c r="C323" s="20">
        <v>573</v>
      </c>
      <c r="D323" s="20">
        <v>11520</v>
      </c>
      <c r="E323" s="20">
        <v>231915</v>
      </c>
      <c r="F323" s="20">
        <v>2968743</v>
      </c>
      <c r="G323" s="17">
        <f t="shared" si="204"/>
        <v>302932.95918367343</v>
      </c>
      <c r="H323" s="20"/>
      <c r="I323" s="19">
        <f t="shared" si="234"/>
        <v>1.6245963317578812E-3</v>
      </c>
      <c r="J323" s="19">
        <f t="shared" si="231"/>
        <v>0.11899851216491289</v>
      </c>
      <c r="K323" s="19">
        <f t="shared" si="232"/>
        <v>1.7309952412815034E-3</v>
      </c>
      <c r="L323" s="20">
        <v>109841</v>
      </c>
      <c r="M323" s="19">
        <f t="shared" si="235"/>
        <v>3.2609064867129382E-2</v>
      </c>
      <c r="N323" s="19">
        <f t="shared" si="236"/>
        <v>0.65646972905037426</v>
      </c>
      <c r="O323" s="20">
        <v>18523</v>
      </c>
      <c r="P323" s="28">
        <f t="shared" si="437"/>
        <v>5130</v>
      </c>
      <c r="Q323" s="29">
        <f t="shared" si="322"/>
        <v>0.11169590643274854</v>
      </c>
      <c r="R323" s="20">
        <f t="shared" si="440"/>
        <v>111</v>
      </c>
      <c r="S323" s="20">
        <f t="shared" si="443"/>
        <v>1474</v>
      </c>
      <c r="T323" s="20">
        <v>4445</v>
      </c>
      <c r="U323" s="20">
        <v>309</v>
      </c>
      <c r="V323" s="19">
        <f t="shared" si="316"/>
        <v>0.3109212060824964</v>
      </c>
      <c r="W323" s="20">
        <f t="shared" ref="W323:X323" si="456">T323-T322</f>
        <v>0</v>
      </c>
      <c r="X323" s="20">
        <f t="shared" si="456"/>
        <v>-21</v>
      </c>
      <c r="Y323" s="19">
        <f t="shared" si="96"/>
        <v>4.0467584963720285E-2</v>
      </c>
      <c r="Z323" s="19">
        <f t="shared" si="97"/>
        <v>6.9516310461192346E-2</v>
      </c>
      <c r="AA323" s="21">
        <f t="shared" si="348"/>
        <v>0.60993780329437497</v>
      </c>
      <c r="AB323" s="26">
        <f t="shared" si="364"/>
        <v>0.81774126169149219</v>
      </c>
      <c r="AC323" s="23">
        <f t="shared" si="331"/>
        <v>1274.8571428571429</v>
      </c>
      <c r="AD323" s="23">
        <f t="shared" si="360"/>
        <v>95.285714285714292</v>
      </c>
      <c r="AE323" s="23">
        <f t="shared" si="332"/>
        <v>15418.428571428571</v>
      </c>
      <c r="AF323" s="25">
        <f t="shared" si="339"/>
        <v>8.5832665244015768E-2</v>
      </c>
      <c r="AG323" s="20">
        <v>129689</v>
      </c>
      <c r="AH323" s="21">
        <f t="shared" si="449"/>
        <v>6501</v>
      </c>
      <c r="AI323" s="21">
        <f t="shared" si="431"/>
        <v>7301.4285714285716</v>
      </c>
      <c r="AJ323" s="21">
        <v>1643</v>
      </c>
      <c r="AK323" s="21">
        <v>1643</v>
      </c>
      <c r="AL323" s="21"/>
      <c r="AM323" s="26">
        <f t="shared" si="353"/>
        <v>3151.8571428571427</v>
      </c>
    </row>
    <row r="324" spans="1:39" ht="16">
      <c r="A324" s="30">
        <v>44216</v>
      </c>
      <c r="B324" s="20">
        <v>354252</v>
      </c>
      <c r="C324" s="20">
        <v>976</v>
      </c>
      <c r="D324" s="20">
        <v>11615</v>
      </c>
      <c r="E324" s="20">
        <v>233232</v>
      </c>
      <c r="F324" s="20">
        <v>2984748</v>
      </c>
      <c r="G324" s="17">
        <f t="shared" si="204"/>
        <v>304566.12244897959</v>
      </c>
      <c r="H324" s="20"/>
      <c r="I324" s="19">
        <f t="shared" si="234"/>
        <v>2.7627124401317948E-3</v>
      </c>
      <c r="J324" s="19">
        <f t="shared" si="231"/>
        <v>0.11868740677604944</v>
      </c>
      <c r="K324" s="19">
        <f t="shared" si="232"/>
        <v>5.3911706065496411E-3</v>
      </c>
      <c r="L324" s="20">
        <v>109405</v>
      </c>
      <c r="M324" s="19">
        <f t="shared" si="235"/>
        <v>3.2787394284294794E-2</v>
      </c>
      <c r="N324" s="19">
        <f t="shared" si="236"/>
        <v>0.65837878120659865</v>
      </c>
      <c r="O324" s="20">
        <v>20170</v>
      </c>
      <c r="P324" s="28">
        <f t="shared" si="437"/>
        <v>16005</v>
      </c>
      <c r="Q324" s="29">
        <f t="shared" si="322"/>
        <v>6.0980943455170258E-2</v>
      </c>
      <c r="R324" s="20">
        <f t="shared" si="440"/>
        <v>95</v>
      </c>
      <c r="S324" s="20">
        <f t="shared" si="443"/>
        <v>1317</v>
      </c>
      <c r="T324" s="20">
        <v>4218</v>
      </c>
      <c r="U324" s="20">
        <v>294</v>
      </c>
      <c r="V324" s="19">
        <f t="shared" si="316"/>
        <v>0.30883382450910651</v>
      </c>
      <c r="W324" s="20">
        <f t="shared" ref="W324:X324" si="457">T324-T323</f>
        <v>-227</v>
      </c>
      <c r="X324" s="20">
        <f t="shared" si="457"/>
        <v>-15</v>
      </c>
      <c r="Y324" s="19">
        <f t="shared" si="96"/>
        <v>3.855399661807047E-2</v>
      </c>
      <c r="Z324" s="19">
        <f t="shared" si="97"/>
        <v>6.9701280227596016E-2</v>
      </c>
      <c r="AA324" s="21">
        <f t="shared" si="348"/>
        <v>0.61268110744512982</v>
      </c>
      <c r="AB324" s="26">
        <f t="shared" si="364"/>
        <v>0.74234572021929457</v>
      </c>
      <c r="AC324" s="23">
        <f t="shared" si="331"/>
        <v>1220.2857142857142</v>
      </c>
      <c r="AD324" s="23">
        <f t="shared" si="360"/>
        <v>95.285714285714292</v>
      </c>
      <c r="AE324" s="23">
        <f t="shared" si="332"/>
        <v>15054.857142857143</v>
      </c>
      <c r="AF324" s="25">
        <f t="shared" si="339"/>
        <v>8.4086007570495599E-2</v>
      </c>
      <c r="AG324" s="20">
        <v>130318</v>
      </c>
      <c r="AH324" s="21">
        <f t="shared" si="449"/>
        <v>629</v>
      </c>
      <c r="AI324" s="21">
        <f t="shared" si="431"/>
        <v>6198.4285714285716</v>
      </c>
      <c r="AJ324" s="20">
        <v>2939</v>
      </c>
      <c r="AK324" s="20">
        <f t="shared" ref="AK324:AK392" si="458">AJ324-AJ323</f>
        <v>1296</v>
      </c>
      <c r="AL324" s="20"/>
      <c r="AM324" s="26">
        <f t="shared" si="353"/>
        <v>2539.8571428571427</v>
      </c>
    </row>
    <row r="325" spans="1:39" ht="16">
      <c r="A325" s="30">
        <v>44217</v>
      </c>
      <c r="B325" s="20">
        <v>355662</v>
      </c>
      <c r="C325" s="20">
        <v>1410</v>
      </c>
      <c r="D325" s="20">
        <v>11713</v>
      </c>
      <c r="E325" s="20">
        <v>235276</v>
      </c>
      <c r="F325" s="20">
        <v>3000325</v>
      </c>
      <c r="G325" s="17">
        <f t="shared" si="204"/>
        <v>306155.61224489793</v>
      </c>
      <c r="H325" s="20"/>
      <c r="I325" s="19">
        <f t="shared" si="234"/>
        <v>3.9802174723078485E-3</v>
      </c>
      <c r="J325" s="19">
        <f t="shared" si="231"/>
        <v>0.11854115804121221</v>
      </c>
      <c r="K325" s="19">
        <f t="shared" si="232"/>
        <v>5.2188660483230079E-3</v>
      </c>
      <c r="L325" s="20">
        <v>108673</v>
      </c>
      <c r="M325" s="19">
        <f t="shared" si="235"/>
        <v>3.2932953197136607E-2</v>
      </c>
      <c r="N325" s="19">
        <f t="shared" si="236"/>
        <v>0.66151570873469756</v>
      </c>
      <c r="O325" s="20">
        <v>19932</v>
      </c>
      <c r="P325" s="28">
        <f t="shared" si="437"/>
        <v>15577</v>
      </c>
      <c r="Q325" s="29">
        <f t="shared" si="322"/>
        <v>9.0518071515696213E-2</v>
      </c>
      <c r="R325" s="20">
        <f t="shared" si="440"/>
        <v>98</v>
      </c>
      <c r="S325" s="20">
        <f t="shared" si="443"/>
        <v>2044</v>
      </c>
      <c r="T325" s="20">
        <v>4049</v>
      </c>
      <c r="U325" s="20">
        <v>286</v>
      </c>
      <c r="V325" s="19">
        <f t="shared" si="316"/>
        <v>0.30555133806816587</v>
      </c>
      <c r="W325" s="20">
        <f t="shared" ref="W325:X325" si="459">T325-T324</f>
        <v>-169</v>
      </c>
      <c r="X325" s="20">
        <f t="shared" si="459"/>
        <v>-8</v>
      </c>
      <c r="Y325" s="19">
        <f t="shared" si="96"/>
        <v>3.7258564684880327E-2</v>
      </c>
      <c r="Z325" s="19">
        <f t="shared" si="97"/>
        <v>7.0634724623363787E-2</v>
      </c>
      <c r="AA325" s="21">
        <f t="shared" si="348"/>
        <v>0.62703125000000004</v>
      </c>
      <c r="AB325" s="26">
        <f t="shared" si="364"/>
        <v>0.68352269824350231</v>
      </c>
      <c r="AC325" s="23">
        <f t="shared" si="331"/>
        <v>1146.5714285714287</v>
      </c>
      <c r="AD325" s="23">
        <f t="shared" si="360"/>
        <v>92.428571428571431</v>
      </c>
      <c r="AE325" s="23">
        <f t="shared" si="332"/>
        <v>14475.285714285714</v>
      </c>
      <c r="AF325" s="25">
        <f t="shared" si="339"/>
        <v>8.3003569061052662E-2</v>
      </c>
      <c r="AG325" s="20">
        <v>134554</v>
      </c>
      <c r="AH325" s="21">
        <f t="shared" si="449"/>
        <v>4236</v>
      </c>
      <c r="AI325" s="21">
        <f t="shared" si="431"/>
        <v>5493.2857142857147</v>
      </c>
      <c r="AJ325" s="20">
        <v>4030</v>
      </c>
      <c r="AK325" s="20">
        <f t="shared" si="458"/>
        <v>1091</v>
      </c>
      <c r="AL325" s="20"/>
      <c r="AM325" s="26">
        <f t="shared" si="353"/>
        <v>2138.8571428571427</v>
      </c>
    </row>
    <row r="326" spans="1:39" ht="16">
      <c r="A326" s="30">
        <v>44218</v>
      </c>
      <c r="B326" s="20">
        <v>356973</v>
      </c>
      <c r="C326" s="20">
        <v>1311</v>
      </c>
      <c r="D326" s="20">
        <v>11811</v>
      </c>
      <c r="E326" s="20">
        <v>237362</v>
      </c>
      <c r="F326" s="20">
        <v>3018389</v>
      </c>
      <c r="G326" s="17">
        <f t="shared" si="204"/>
        <v>307998.87755102041</v>
      </c>
      <c r="H326" s="20"/>
      <c r="I326" s="19">
        <f t="shared" si="234"/>
        <v>3.6860839786089041E-3</v>
      </c>
      <c r="J326" s="19">
        <f t="shared" si="231"/>
        <v>0.11826606842259231</v>
      </c>
      <c r="K326" s="19">
        <f t="shared" si="232"/>
        <v>6.0206810928816043E-3</v>
      </c>
      <c r="L326" s="20">
        <v>107800</v>
      </c>
      <c r="M326" s="19">
        <f t="shared" si="235"/>
        <v>3.3086535956500913E-2</v>
      </c>
      <c r="N326" s="19">
        <f t="shared" si="236"/>
        <v>0.66492984063220473</v>
      </c>
      <c r="O326" s="20">
        <v>19908</v>
      </c>
      <c r="P326" s="28">
        <f t="shared" si="437"/>
        <v>18064</v>
      </c>
      <c r="Q326" s="29">
        <f t="shared" si="322"/>
        <v>7.2575287865367585E-2</v>
      </c>
      <c r="R326" s="20">
        <f t="shared" si="440"/>
        <v>98</v>
      </c>
      <c r="S326" s="20">
        <f t="shared" si="443"/>
        <v>2086</v>
      </c>
      <c r="T326" s="20">
        <v>3959</v>
      </c>
      <c r="U326" s="20">
        <v>274</v>
      </c>
      <c r="V326" s="19">
        <f t="shared" si="316"/>
        <v>0.30198362341129442</v>
      </c>
      <c r="W326" s="20">
        <f t="shared" ref="W326:X326" si="460">T326-T325</f>
        <v>-90</v>
      </c>
      <c r="X326" s="20">
        <f t="shared" si="460"/>
        <v>-12</v>
      </c>
      <c r="Y326" s="19">
        <f t="shared" si="96"/>
        <v>3.6725417439703152E-2</v>
      </c>
      <c r="Z326" s="19">
        <f t="shared" si="97"/>
        <v>6.920939631220005E-2</v>
      </c>
      <c r="AA326" s="21">
        <f t="shared" si="348"/>
        <v>0.68595476065228822</v>
      </c>
      <c r="AB326" s="26">
        <f t="shared" si="364"/>
        <v>0.65079593291808568</v>
      </c>
      <c r="AC326" s="23">
        <f t="shared" si="331"/>
        <v>1117.7142857142858</v>
      </c>
      <c r="AD326" s="23">
        <f t="shared" si="360"/>
        <v>90.571428571428569</v>
      </c>
      <c r="AE326" s="23">
        <f t="shared" si="332"/>
        <v>14327.571428571429</v>
      </c>
      <c r="AF326" s="25">
        <f t="shared" si="339"/>
        <v>8.2053902287065786E-2</v>
      </c>
      <c r="AG326" s="20">
        <v>138983</v>
      </c>
      <c r="AH326" s="21">
        <f t="shared" si="449"/>
        <v>4429</v>
      </c>
      <c r="AI326" s="21">
        <f t="shared" si="431"/>
        <v>4750.7142857142853</v>
      </c>
      <c r="AJ326" s="20">
        <v>5815</v>
      </c>
      <c r="AK326" s="20">
        <f t="shared" si="458"/>
        <v>1785</v>
      </c>
      <c r="AL326" s="20"/>
      <c r="AM326" s="26">
        <f t="shared" si="353"/>
        <v>1763</v>
      </c>
    </row>
    <row r="327" spans="1:39" ht="16">
      <c r="A327" s="30">
        <v>44219</v>
      </c>
      <c r="B327" s="20">
        <v>358317</v>
      </c>
      <c r="C327" s="20">
        <v>1344</v>
      </c>
      <c r="D327" s="20">
        <v>11904</v>
      </c>
      <c r="E327" s="20">
        <v>239880</v>
      </c>
      <c r="F327" s="20">
        <v>3035627</v>
      </c>
      <c r="G327" s="17">
        <f t="shared" si="204"/>
        <v>309757.8571428571</v>
      </c>
      <c r="H327" s="20"/>
      <c r="I327" s="19">
        <f t="shared" si="234"/>
        <v>3.7649906295434106E-3</v>
      </c>
      <c r="J327" s="19">
        <f t="shared" si="231"/>
        <v>0.11803722921162581</v>
      </c>
      <c r="K327" s="19">
        <f t="shared" si="232"/>
        <v>5.7109935134271959E-3</v>
      </c>
      <c r="L327" s="20">
        <v>106533</v>
      </c>
      <c r="M327" s="19">
        <f t="shared" si="235"/>
        <v>3.3221979420457307E-2</v>
      </c>
      <c r="N327" s="19">
        <f t="shared" si="236"/>
        <v>0.66946307320054588</v>
      </c>
      <c r="O327" s="20">
        <v>20095</v>
      </c>
      <c r="P327" s="28">
        <f t="shared" si="437"/>
        <v>17238</v>
      </c>
      <c r="Q327" s="29">
        <f t="shared" si="322"/>
        <v>7.7967281587191087E-2</v>
      </c>
      <c r="R327" s="20">
        <f t="shared" si="440"/>
        <v>93</v>
      </c>
      <c r="S327" s="20">
        <f t="shared" si="443"/>
        <v>2518</v>
      </c>
      <c r="T327" s="20">
        <v>3854</v>
      </c>
      <c r="U327" s="20">
        <v>259</v>
      </c>
      <c r="V327" s="19">
        <f t="shared" si="316"/>
        <v>0.29731494737899683</v>
      </c>
      <c r="W327" s="20">
        <f t="shared" ref="W327:X327" si="461">T327-T326</f>
        <v>-105</v>
      </c>
      <c r="X327" s="20">
        <f t="shared" si="461"/>
        <v>-15</v>
      </c>
      <c r="Y327" s="19">
        <f t="shared" si="96"/>
        <v>3.6176583781551259E-2</v>
      </c>
      <c r="Z327" s="19">
        <f t="shared" si="97"/>
        <v>6.7202906071613902E-2</v>
      </c>
      <c r="AA327" s="21">
        <f t="shared" si="348"/>
        <v>0.7632306477093207</v>
      </c>
      <c r="AB327" s="26">
        <f t="shared" si="364"/>
        <v>0.65476337225338721</v>
      </c>
      <c r="AC327" s="23">
        <f t="shared" si="331"/>
        <v>1104.2857142857142</v>
      </c>
      <c r="AD327" s="23">
        <f t="shared" si="360"/>
        <v>91.428571428571431</v>
      </c>
      <c r="AE327" s="23">
        <f t="shared" si="332"/>
        <v>14170.285714285714</v>
      </c>
      <c r="AF327" s="25">
        <f t="shared" si="339"/>
        <v>8.1990352919422263E-2</v>
      </c>
      <c r="AG327" s="20">
        <v>143184</v>
      </c>
      <c r="AH327" s="21">
        <f t="shared" si="449"/>
        <v>4201</v>
      </c>
      <c r="AI327" s="21">
        <f t="shared" si="431"/>
        <v>4336.7142857142853</v>
      </c>
      <c r="AJ327" s="20">
        <v>6944</v>
      </c>
      <c r="AK327" s="20">
        <f t="shared" si="458"/>
        <v>1129</v>
      </c>
      <c r="AL327" s="20"/>
      <c r="AM327" s="26">
        <f t="shared" si="353"/>
        <v>1793.5714285714287</v>
      </c>
    </row>
    <row r="328" spans="1:39" ht="16">
      <c r="A328" s="30">
        <v>44220</v>
      </c>
      <c r="B328" s="20">
        <v>359574</v>
      </c>
      <c r="C328" s="20">
        <v>1257</v>
      </c>
      <c r="D328" s="20">
        <v>11968</v>
      </c>
      <c r="E328" s="20">
        <v>241472</v>
      </c>
      <c r="F328" s="20">
        <v>3052068</v>
      </c>
      <c r="G328" s="17">
        <f t="shared" si="204"/>
        <v>311435.5102040816</v>
      </c>
      <c r="H328" s="20"/>
      <c r="I328" s="19">
        <f t="shared" si="234"/>
        <v>3.5080668793275229E-3</v>
      </c>
      <c r="J328" s="19">
        <f t="shared" si="231"/>
        <v>0.11781323351904348</v>
      </c>
      <c r="K328" s="19">
        <f t="shared" si="232"/>
        <v>5.4160145498771753E-3</v>
      </c>
      <c r="L328" s="20">
        <v>106134</v>
      </c>
      <c r="M328" s="19">
        <f t="shared" si="235"/>
        <v>3.3283830310311645E-2</v>
      </c>
      <c r="N328" s="19">
        <f t="shared" si="236"/>
        <v>0.67155022331981729</v>
      </c>
      <c r="O328" s="20">
        <v>18929</v>
      </c>
      <c r="P328" s="28">
        <f t="shared" si="437"/>
        <v>16441</v>
      </c>
      <c r="Q328" s="29">
        <f t="shared" si="322"/>
        <v>7.6455203454777687E-2</v>
      </c>
      <c r="R328" s="20">
        <f t="shared" si="440"/>
        <v>64</v>
      </c>
      <c r="S328" s="20">
        <f t="shared" si="443"/>
        <v>1592</v>
      </c>
      <c r="T328" s="20">
        <v>3793</v>
      </c>
      <c r="U328" s="20">
        <v>254</v>
      </c>
      <c r="V328" s="19">
        <f t="shared" si="316"/>
        <v>0.29516594636987104</v>
      </c>
      <c r="W328" s="20">
        <f t="shared" ref="W328:X328" si="462">T328-T327</f>
        <v>-61</v>
      </c>
      <c r="X328" s="20">
        <f t="shared" si="462"/>
        <v>-5</v>
      </c>
      <c r="Y328" s="19">
        <f t="shared" si="96"/>
        <v>3.5737840842708271E-2</v>
      </c>
      <c r="Z328" s="19">
        <f t="shared" si="97"/>
        <v>6.6965462694437122E-2</v>
      </c>
      <c r="AA328" s="21">
        <f t="shared" si="348"/>
        <v>0.80763215514544884</v>
      </c>
      <c r="AB328" s="26">
        <f t="shared" si="364"/>
        <v>0.67393500899763936</v>
      </c>
      <c r="AC328" s="23">
        <f t="shared" si="331"/>
        <v>1106.5714285714287</v>
      </c>
      <c r="AD328" s="23">
        <f t="shared" si="360"/>
        <v>89.571428571428569</v>
      </c>
      <c r="AE328" s="23">
        <f t="shared" si="332"/>
        <v>14051.142857142857</v>
      </c>
      <c r="AF328" s="25">
        <f t="shared" si="339"/>
        <v>8.2649965403865391E-2</v>
      </c>
      <c r="AG328" s="20">
        <v>145257</v>
      </c>
      <c r="AH328" s="21">
        <f t="shared" si="449"/>
        <v>2073</v>
      </c>
      <c r="AI328" s="21">
        <f t="shared" si="431"/>
        <v>3616.1428571428573</v>
      </c>
      <c r="AJ328" s="20">
        <v>8135</v>
      </c>
      <c r="AK328" s="20">
        <f t="shared" si="458"/>
        <v>1191</v>
      </c>
      <c r="AL328" s="20"/>
      <c r="AM328" s="26">
        <f t="shared" si="353"/>
        <v>1836.7142857142858</v>
      </c>
    </row>
    <row r="329" spans="1:39" ht="16">
      <c r="A329" s="30">
        <v>44221</v>
      </c>
      <c r="B329" s="20">
        <v>360418</v>
      </c>
      <c r="C329" s="20">
        <v>844</v>
      </c>
      <c r="D329" s="20">
        <v>12024</v>
      </c>
      <c r="E329" s="20">
        <v>243092</v>
      </c>
      <c r="F329" s="20">
        <v>3062132</v>
      </c>
      <c r="G329" s="17">
        <f t="shared" si="204"/>
        <v>312462.44897959183</v>
      </c>
      <c r="H329" s="20"/>
      <c r="I329" s="19">
        <f t="shared" si="234"/>
        <v>2.3472219904664966E-3</v>
      </c>
      <c r="J329" s="19">
        <f t="shared" si="231"/>
        <v>0.11770165361911243</v>
      </c>
      <c r="K329" s="19">
        <f t="shared" si="232"/>
        <v>3.2974363611819918E-3</v>
      </c>
      <c r="L329" s="20">
        <v>105302</v>
      </c>
      <c r="M329" s="19">
        <f t="shared" si="235"/>
        <v>3.3361263865844655E-2</v>
      </c>
      <c r="N329" s="19">
        <f t="shared" si="236"/>
        <v>0.67447241813671899</v>
      </c>
      <c r="O329" s="20">
        <v>18141</v>
      </c>
      <c r="P329" s="28">
        <f t="shared" si="437"/>
        <v>10064</v>
      </c>
      <c r="Q329" s="29">
        <f t="shared" si="322"/>
        <v>8.3863275039745624E-2</v>
      </c>
      <c r="R329" s="20">
        <f t="shared" si="440"/>
        <v>56</v>
      </c>
      <c r="S329" s="20">
        <f t="shared" si="443"/>
        <v>1620</v>
      </c>
      <c r="T329" s="20">
        <v>3814</v>
      </c>
      <c r="U329" s="20">
        <v>247</v>
      </c>
      <c r="V329" s="19">
        <f t="shared" si="316"/>
        <v>0.29216631799743631</v>
      </c>
      <c r="W329" s="20">
        <f t="shared" ref="W329:X329" si="463">T329-T328</f>
        <v>21</v>
      </c>
      <c r="X329" s="20">
        <f t="shared" si="463"/>
        <v>-7</v>
      </c>
      <c r="Y329" s="19">
        <f t="shared" si="96"/>
        <v>3.6219634954701714E-2</v>
      </c>
      <c r="Z329" s="19">
        <f t="shared" si="97"/>
        <v>6.4761405348715259E-2</v>
      </c>
      <c r="AA329" s="21">
        <f t="shared" si="348"/>
        <v>0.85276887365977672</v>
      </c>
      <c r="AB329" s="26">
        <f t="shared" si="364"/>
        <v>0.70846237112947719</v>
      </c>
      <c r="AC329" s="23">
        <f t="shared" si="331"/>
        <v>1102.1428571428571</v>
      </c>
      <c r="AD329" s="23">
        <f t="shared" si="360"/>
        <v>87.857142857142861</v>
      </c>
      <c r="AE329" s="23">
        <f t="shared" si="332"/>
        <v>14074.142857142857</v>
      </c>
      <c r="AF329" s="25">
        <f t="shared" si="339"/>
        <v>8.2007995621528149E-2</v>
      </c>
      <c r="AG329" s="20">
        <v>146695</v>
      </c>
      <c r="AH329" s="21">
        <f t="shared" si="449"/>
        <v>1438</v>
      </c>
      <c r="AI329" s="21">
        <f t="shared" si="431"/>
        <v>3358.1428571428573</v>
      </c>
      <c r="AJ329" s="20">
        <v>9403</v>
      </c>
      <c r="AK329" s="20">
        <f t="shared" si="458"/>
        <v>1268</v>
      </c>
      <c r="AL329" s="21">
        <f t="shared" ref="AL329:AL466" si="464">(SUM(AK323:AK329))/7</f>
        <v>1343.2857142857142</v>
      </c>
      <c r="AM329" s="26">
        <f t="shared" si="353"/>
        <v>1807.2857142857142</v>
      </c>
    </row>
    <row r="330" spans="1:39" ht="16">
      <c r="A330" s="30">
        <v>44222</v>
      </c>
      <c r="B330" s="20">
        <v>360877</v>
      </c>
      <c r="C330" s="20">
        <v>459</v>
      </c>
      <c r="D330" s="20">
        <v>12113</v>
      </c>
      <c r="E330" s="20">
        <v>244681</v>
      </c>
      <c r="F330" s="20">
        <v>3067663</v>
      </c>
      <c r="G330" s="17">
        <f t="shared" si="204"/>
        <v>313026.83673469385</v>
      </c>
      <c r="H330" s="20"/>
      <c r="I330" s="19">
        <f t="shared" si="234"/>
        <v>1.2735213002680221E-3</v>
      </c>
      <c r="J330" s="19">
        <f t="shared" si="231"/>
        <v>0.11763906270017274</v>
      </c>
      <c r="K330" s="19">
        <f t="shared" si="232"/>
        <v>1.8062578621692337E-3</v>
      </c>
      <c r="L330" s="20">
        <v>104083</v>
      </c>
      <c r="M330" s="19">
        <f t="shared" si="235"/>
        <v>3.356545304909983E-2</v>
      </c>
      <c r="N330" s="19">
        <f t="shared" si="236"/>
        <v>0.67801771794822063</v>
      </c>
      <c r="O330" s="20">
        <v>18075</v>
      </c>
      <c r="P330" s="28">
        <f t="shared" si="437"/>
        <v>5531</v>
      </c>
      <c r="Q330" s="29">
        <f t="shared" si="322"/>
        <v>8.2986801663352011E-2</v>
      </c>
      <c r="R330" s="20">
        <f t="shared" si="440"/>
        <v>89</v>
      </c>
      <c r="S330" s="20">
        <f t="shared" si="443"/>
        <v>1589</v>
      </c>
      <c r="T330" s="20">
        <v>3815</v>
      </c>
      <c r="U330" s="20">
        <v>263</v>
      </c>
      <c r="V330" s="19">
        <f t="shared" si="316"/>
        <v>0.28841682900267956</v>
      </c>
      <c r="W330" s="20">
        <f t="shared" ref="W330:X330" si="465">T330-T329</f>
        <v>1</v>
      </c>
      <c r="X330" s="20">
        <f t="shared" si="465"/>
        <v>16</v>
      </c>
      <c r="Y330" s="19">
        <f t="shared" si="96"/>
        <v>3.6653440043042572E-2</v>
      </c>
      <c r="Z330" s="19">
        <f t="shared" si="97"/>
        <v>6.8938401048492789E-2</v>
      </c>
      <c r="AA330" s="21">
        <f t="shared" si="348"/>
        <v>0.85174809502465265</v>
      </c>
      <c r="AB330" s="26">
        <f t="shared" si="364"/>
        <v>0.74300669851951684</v>
      </c>
      <c r="AC330" s="23">
        <f t="shared" si="331"/>
        <v>1085.8571428571429</v>
      </c>
      <c r="AD330" s="23">
        <f t="shared" si="360"/>
        <v>84.714285714285708</v>
      </c>
      <c r="AE330" s="23">
        <f t="shared" si="332"/>
        <v>14131.428571428571</v>
      </c>
      <c r="AF330" s="25">
        <f t="shared" si="339"/>
        <v>7.7906694940185775E-2</v>
      </c>
      <c r="AG330" s="20">
        <v>149676</v>
      </c>
      <c r="AH330" s="21">
        <f t="shared" si="449"/>
        <v>2981</v>
      </c>
      <c r="AI330" s="21">
        <f t="shared" si="431"/>
        <v>2855.2857142857142</v>
      </c>
      <c r="AJ330" s="20">
        <v>12639</v>
      </c>
      <c r="AK330" s="20">
        <f t="shared" si="458"/>
        <v>3236</v>
      </c>
      <c r="AL330" s="21">
        <f t="shared" si="464"/>
        <v>1570.8571428571429</v>
      </c>
      <c r="AM330" s="26">
        <f t="shared" si="353"/>
        <v>1823.7142857142858</v>
      </c>
    </row>
    <row r="331" spans="1:39" ht="16">
      <c r="A331" s="30">
        <v>44223</v>
      </c>
      <c r="B331" s="20">
        <v>361881</v>
      </c>
      <c r="C331" s="20">
        <v>1004</v>
      </c>
      <c r="D331" s="20">
        <v>12198</v>
      </c>
      <c r="E331" s="20">
        <v>246596</v>
      </c>
      <c r="F331" s="20">
        <v>3084716</v>
      </c>
      <c r="G331" s="17">
        <f t="shared" si="204"/>
        <v>314766.93877551018</v>
      </c>
      <c r="H331" s="20"/>
      <c r="I331" s="19">
        <f t="shared" si="234"/>
        <v>2.7821113565009684E-3</v>
      </c>
      <c r="J331" s="19">
        <f t="shared" si="231"/>
        <v>0.11731420331725838</v>
      </c>
      <c r="K331" s="19">
        <f t="shared" si="232"/>
        <v>5.5589548134850533E-3</v>
      </c>
      <c r="L331" s="20">
        <v>103087</v>
      </c>
      <c r="M331" s="19">
        <f t="shared" si="235"/>
        <v>3.3707213144652526E-2</v>
      </c>
      <c r="N331" s="19">
        <f t="shared" si="236"/>
        <v>0.68142842536634973</v>
      </c>
      <c r="O331" s="20">
        <v>17834</v>
      </c>
      <c r="P331" s="28">
        <f t="shared" si="437"/>
        <v>17053</v>
      </c>
      <c r="Q331" s="29">
        <f t="shared" si="322"/>
        <v>5.8875271213276258E-2</v>
      </c>
      <c r="R331" s="20">
        <f t="shared" si="440"/>
        <v>85</v>
      </c>
      <c r="S331" s="20">
        <f t="shared" si="443"/>
        <v>1915</v>
      </c>
      <c r="T331" s="20">
        <v>3809</v>
      </c>
      <c r="U331" s="20">
        <v>255</v>
      </c>
      <c r="V331" s="19">
        <f t="shared" si="316"/>
        <v>0.28486436148899774</v>
      </c>
      <c r="W331" s="20">
        <f t="shared" ref="W331:X331" si="466">T331-T330</f>
        <v>-6</v>
      </c>
      <c r="X331" s="20">
        <f t="shared" si="466"/>
        <v>-8</v>
      </c>
      <c r="Y331" s="19">
        <f t="shared" si="96"/>
        <v>3.6949372859817434E-2</v>
      </c>
      <c r="Z331" s="19">
        <f t="shared" si="97"/>
        <v>6.6946705171961149E-2</v>
      </c>
      <c r="AA331" s="21">
        <f t="shared" si="348"/>
        <v>0.89311636619058765</v>
      </c>
      <c r="AB331" s="26">
        <f t="shared" si="364"/>
        <v>0.78306887834029637</v>
      </c>
      <c r="AC331" s="23">
        <f t="shared" si="331"/>
        <v>1089.8571428571429</v>
      </c>
      <c r="AD331" s="23">
        <f t="shared" si="360"/>
        <v>83.285714285714292</v>
      </c>
      <c r="AE331" s="23">
        <f t="shared" si="332"/>
        <v>14281.142857142857</v>
      </c>
      <c r="AF331" s="25">
        <f t="shared" si="339"/>
        <v>7.7605884619915216E-2</v>
      </c>
      <c r="AG331" s="20">
        <v>152704</v>
      </c>
      <c r="AH331" s="21">
        <f t="shared" si="449"/>
        <v>3028</v>
      </c>
      <c r="AI331" s="21">
        <f t="shared" si="431"/>
        <v>3198</v>
      </c>
      <c r="AJ331" s="20">
        <v>17772</v>
      </c>
      <c r="AK331" s="20">
        <f t="shared" si="458"/>
        <v>5133</v>
      </c>
      <c r="AL331" s="21">
        <f t="shared" si="464"/>
        <v>2119</v>
      </c>
      <c r="AM331" s="26">
        <f t="shared" si="353"/>
        <v>1909.1428571428571</v>
      </c>
    </row>
    <row r="332" spans="1:39" ht="16">
      <c r="A332" s="30">
        <v>44224</v>
      </c>
      <c r="B332" s="20">
        <v>363450</v>
      </c>
      <c r="C332" s="20">
        <v>1569</v>
      </c>
      <c r="D332" s="20">
        <v>12291</v>
      </c>
      <c r="E332" s="20">
        <v>249003</v>
      </c>
      <c r="F332" s="20">
        <v>3097809</v>
      </c>
      <c r="G332" s="17">
        <f t="shared" si="204"/>
        <v>316102.95918367343</v>
      </c>
      <c r="H332" s="20"/>
      <c r="I332" s="19">
        <f t="shared" si="234"/>
        <v>4.3356794084243163E-3</v>
      </c>
      <c r="J332" s="19">
        <f t="shared" si="231"/>
        <v>0.1173248576655307</v>
      </c>
      <c r="K332" s="19">
        <f t="shared" si="232"/>
        <v>4.2444750181216033E-3</v>
      </c>
      <c r="L332" s="20">
        <v>102156</v>
      </c>
      <c r="M332" s="19">
        <f t="shared" si="235"/>
        <v>3.3817581510524143E-2</v>
      </c>
      <c r="N332" s="19">
        <f t="shared" si="236"/>
        <v>0.6851093685513826</v>
      </c>
      <c r="O332" s="20">
        <v>19131</v>
      </c>
      <c r="P332" s="28">
        <f t="shared" si="437"/>
        <v>13093</v>
      </c>
      <c r="Q332" s="29">
        <f t="shared" si="322"/>
        <v>0.11983502634995799</v>
      </c>
      <c r="R332" s="20">
        <f t="shared" si="440"/>
        <v>93</v>
      </c>
      <c r="S332" s="20">
        <f t="shared" si="443"/>
        <v>2407</v>
      </c>
      <c r="T332" s="20">
        <v>3669</v>
      </c>
      <c r="U332" s="20">
        <v>255</v>
      </c>
      <c r="V332" s="19">
        <f t="shared" si="316"/>
        <v>0.28107304993809329</v>
      </c>
      <c r="W332" s="20">
        <f t="shared" ref="W332:X332" si="467">T332-T331</f>
        <v>-140</v>
      </c>
      <c r="X332" s="20">
        <f t="shared" si="467"/>
        <v>0</v>
      </c>
      <c r="Y332" s="19">
        <f t="shared" si="96"/>
        <v>3.5915658404792668E-2</v>
      </c>
      <c r="Z332" s="19">
        <f t="shared" si="97"/>
        <v>6.9501226492232213E-2</v>
      </c>
      <c r="AA332" s="21">
        <f t="shared" si="348"/>
        <v>0.97034637428357839</v>
      </c>
      <c r="AB332" s="26">
        <f t="shared" si="364"/>
        <v>0.83211389609509323</v>
      </c>
      <c r="AC332" s="23">
        <f t="shared" si="331"/>
        <v>1112.5714285714287</v>
      </c>
      <c r="AD332" s="23">
        <f t="shared" si="360"/>
        <v>82.571428571428569</v>
      </c>
      <c r="AE332" s="23">
        <f t="shared" si="332"/>
        <v>13926.285714285714</v>
      </c>
      <c r="AF332" s="25">
        <f t="shared" si="339"/>
        <v>8.1794021024809732E-2</v>
      </c>
      <c r="AG332" s="20">
        <v>161215</v>
      </c>
      <c r="AH332" s="21">
        <f t="shared" si="449"/>
        <v>8511</v>
      </c>
      <c r="AI332" s="21">
        <f t="shared" si="431"/>
        <v>3808.7142857142858</v>
      </c>
      <c r="AJ332" s="20">
        <v>26293</v>
      </c>
      <c r="AK332" s="20">
        <f t="shared" si="458"/>
        <v>8521</v>
      </c>
      <c r="AL332" s="21">
        <f t="shared" si="464"/>
        <v>3180.4285714285716</v>
      </c>
      <c r="AM332" s="26">
        <f t="shared" si="353"/>
        <v>1961</v>
      </c>
    </row>
    <row r="333" spans="1:39" ht="16">
      <c r="A333" s="30">
        <v>44225</v>
      </c>
      <c r="B333" s="20">
        <v>364909</v>
      </c>
      <c r="C333" s="20">
        <v>1459</v>
      </c>
      <c r="D333" s="20">
        <v>12374</v>
      </c>
      <c r="E333" s="20">
        <v>254783</v>
      </c>
      <c r="F333" s="20">
        <v>3116784</v>
      </c>
      <c r="G333" s="17">
        <f t="shared" si="204"/>
        <v>318039.18367346935</v>
      </c>
      <c r="H333" s="20"/>
      <c r="I333" s="19">
        <f t="shared" si="234"/>
        <v>4.01430733250791E-3</v>
      </c>
      <c r="J333" s="19">
        <f t="shared" si="231"/>
        <v>0.11707869393580049</v>
      </c>
      <c r="K333" s="19">
        <f t="shared" si="232"/>
        <v>6.1252969437431424E-3</v>
      </c>
      <c r="L333" s="20">
        <v>97752</v>
      </c>
      <c r="M333" s="19">
        <f t="shared" si="235"/>
        <v>3.3909824093130071E-2</v>
      </c>
      <c r="N333" s="19">
        <f t="shared" si="236"/>
        <v>0.69820969063519944</v>
      </c>
      <c r="O333" s="20">
        <v>17540</v>
      </c>
      <c r="P333" s="28">
        <f t="shared" si="437"/>
        <v>18975</v>
      </c>
      <c r="Q333" s="29">
        <f t="shared" si="322"/>
        <v>7.6890645586297754E-2</v>
      </c>
      <c r="R333" s="20">
        <f t="shared" si="440"/>
        <v>83</v>
      </c>
      <c r="S333" s="20">
        <f t="shared" si="443"/>
        <v>5780</v>
      </c>
      <c r="T333" s="20">
        <v>3649</v>
      </c>
      <c r="U333" s="20">
        <v>258</v>
      </c>
      <c r="V333" s="19">
        <f t="shared" si="316"/>
        <v>0.26788048527167047</v>
      </c>
      <c r="W333" s="20">
        <f t="shared" ref="W333:X333" si="468">T333-T332</f>
        <v>-20</v>
      </c>
      <c r="X333" s="20">
        <f t="shared" si="468"/>
        <v>3</v>
      </c>
      <c r="Y333" s="19">
        <f t="shared" si="96"/>
        <v>3.732915950568786E-2</v>
      </c>
      <c r="Z333" s="19">
        <f t="shared" si="97"/>
        <v>7.0704302548643461E-2</v>
      </c>
      <c r="AA333" s="21">
        <f t="shared" si="348"/>
        <v>1.0143149284253579</v>
      </c>
      <c r="AB333" s="26">
        <f t="shared" si="364"/>
        <v>0.87902249149124601</v>
      </c>
      <c r="AC333" s="23">
        <f t="shared" si="331"/>
        <v>1133.7142857142858</v>
      </c>
      <c r="AD333" s="23">
        <f t="shared" si="360"/>
        <v>80.428571428571431</v>
      </c>
      <c r="AE333" s="23">
        <f t="shared" si="332"/>
        <v>14056.428571428571</v>
      </c>
      <c r="AF333" s="25">
        <f t="shared" si="339"/>
        <v>8.2410500699228326E-2</v>
      </c>
      <c r="AG333" s="20">
        <v>175283</v>
      </c>
      <c r="AH333" s="21">
        <f t="shared" si="449"/>
        <v>14068</v>
      </c>
      <c r="AI333" s="21">
        <f t="shared" si="431"/>
        <v>5185.7142857142853</v>
      </c>
      <c r="AJ333" s="20">
        <v>37727</v>
      </c>
      <c r="AK333" s="20">
        <f t="shared" si="458"/>
        <v>11434</v>
      </c>
      <c r="AL333" s="21">
        <f t="shared" si="464"/>
        <v>4558.8571428571431</v>
      </c>
      <c r="AM333" s="26">
        <f t="shared" si="353"/>
        <v>2488.7142857142858</v>
      </c>
    </row>
    <row r="334" spans="1:39" ht="16">
      <c r="A334" s="30">
        <v>44226</v>
      </c>
      <c r="B334" s="20">
        <v>366279</v>
      </c>
      <c r="C334" s="20">
        <v>1370</v>
      </c>
      <c r="D334" s="20">
        <v>12463</v>
      </c>
      <c r="E334" s="20">
        <v>259555</v>
      </c>
      <c r="F334" s="20">
        <v>3138146</v>
      </c>
      <c r="G334" s="17">
        <f t="shared" si="204"/>
        <v>320218.97959183669</v>
      </c>
      <c r="H334" s="20"/>
      <c r="I334" s="19">
        <f t="shared" si="234"/>
        <v>3.7543606762233872E-3</v>
      </c>
      <c r="J334" s="19">
        <f t="shared" si="231"/>
        <v>0.11671827888186209</v>
      </c>
      <c r="K334" s="19">
        <f t="shared" si="232"/>
        <v>6.8538596194025634E-3</v>
      </c>
      <c r="L334" s="20">
        <v>94261</v>
      </c>
      <c r="M334" s="19">
        <f t="shared" si="235"/>
        <v>3.4025974735106296E-2</v>
      </c>
      <c r="N334" s="19">
        <f t="shared" si="236"/>
        <v>0.70862648418282237</v>
      </c>
      <c r="O334" s="20">
        <v>20147</v>
      </c>
      <c r="P334" s="28">
        <f t="shared" si="437"/>
        <v>21362</v>
      </c>
      <c r="Q334" s="29">
        <f t="shared" si="322"/>
        <v>6.4132571856567733E-2</v>
      </c>
      <c r="R334" s="20">
        <f t="shared" si="440"/>
        <v>89</v>
      </c>
      <c r="S334" s="20">
        <f t="shared" si="443"/>
        <v>4772</v>
      </c>
      <c r="T334" s="20">
        <v>3582</v>
      </c>
      <c r="U334" s="20">
        <v>264</v>
      </c>
      <c r="V334" s="19">
        <f t="shared" si="316"/>
        <v>0.25734754108207131</v>
      </c>
      <c r="W334" s="20">
        <f t="shared" ref="W334:X334" si="469">T334-T333</f>
        <v>-67</v>
      </c>
      <c r="X334" s="20">
        <f t="shared" si="469"/>
        <v>6</v>
      </c>
      <c r="Y334" s="19">
        <f t="shared" si="96"/>
        <v>3.800086992499549E-2</v>
      </c>
      <c r="Z334" s="19">
        <f t="shared" si="97"/>
        <v>7.3701842546063656E-2</v>
      </c>
      <c r="AA334" s="21">
        <f t="shared" si="348"/>
        <v>1.0300129366106081</v>
      </c>
      <c r="AB334" s="26">
        <f t="shared" si="364"/>
        <v>0.91713424704857283</v>
      </c>
      <c r="AC334" s="23">
        <f t="shared" si="331"/>
        <v>1137.4285714285713</v>
      </c>
      <c r="AD334" s="23">
        <f t="shared" si="360"/>
        <v>79.857142857142861</v>
      </c>
      <c r="AE334" s="23">
        <f t="shared" si="332"/>
        <v>14645.571428571429</v>
      </c>
      <c r="AF334" s="25">
        <f t="shared" si="339"/>
        <v>8.0434113594853571E-2</v>
      </c>
      <c r="AG334" s="20">
        <v>198283</v>
      </c>
      <c r="AH334" s="21">
        <f t="shared" si="449"/>
        <v>23000</v>
      </c>
      <c r="AI334" s="21">
        <f t="shared" si="431"/>
        <v>7871.2857142857147</v>
      </c>
      <c r="AJ334" s="20">
        <v>49606</v>
      </c>
      <c r="AK334" s="20">
        <f t="shared" si="458"/>
        <v>11879</v>
      </c>
      <c r="AL334" s="21">
        <f t="shared" si="464"/>
        <v>6094.5714285714284</v>
      </c>
      <c r="AM334" s="26">
        <f t="shared" si="353"/>
        <v>2810.7142857142858</v>
      </c>
    </row>
    <row r="335" spans="1:39" ht="16">
      <c r="A335" s="30">
        <v>44227</v>
      </c>
      <c r="B335" s="20">
        <v>367586</v>
      </c>
      <c r="C335" s="20">
        <v>1307</v>
      </c>
      <c r="D335" s="20">
        <v>12524</v>
      </c>
      <c r="E335" s="20">
        <v>262968</v>
      </c>
      <c r="F335" s="20">
        <v>3158288</v>
      </c>
      <c r="G335" s="17">
        <f t="shared" si="204"/>
        <v>322274.28571428568</v>
      </c>
      <c r="H335" s="20"/>
      <c r="I335" s="19">
        <f t="shared" si="234"/>
        <v>3.5683181399971059E-3</v>
      </c>
      <c r="J335" s="19">
        <f t="shared" si="231"/>
        <v>0.1163877391802141</v>
      </c>
      <c r="K335" s="19">
        <f t="shared" si="232"/>
        <v>6.4184394225125282E-3</v>
      </c>
      <c r="L335" s="20">
        <v>92094</v>
      </c>
      <c r="M335" s="19">
        <f t="shared" si="235"/>
        <v>3.4070938501466322E-2</v>
      </c>
      <c r="N335" s="19">
        <f t="shared" si="236"/>
        <v>0.71539177226553785</v>
      </c>
      <c r="O335" s="20">
        <v>19075</v>
      </c>
      <c r="P335" s="28">
        <f t="shared" si="437"/>
        <v>20142</v>
      </c>
      <c r="Q335" s="29">
        <f t="shared" si="322"/>
        <v>6.4889286068910729E-2</v>
      </c>
      <c r="R335" s="20">
        <f t="shared" si="440"/>
        <v>61</v>
      </c>
      <c r="S335" s="20">
        <f t="shared" si="443"/>
        <v>3413</v>
      </c>
      <c r="T335" s="20">
        <v>3562</v>
      </c>
      <c r="U335" s="20">
        <v>268</v>
      </c>
      <c r="V335" s="19">
        <f t="shared" si="316"/>
        <v>0.25053728923299584</v>
      </c>
      <c r="W335" s="20">
        <f t="shared" ref="W335:X335" si="470">T335-T334</f>
        <v>-20</v>
      </c>
      <c r="X335" s="20">
        <f t="shared" si="470"/>
        <v>4</v>
      </c>
      <c r="Y335" s="19">
        <f t="shared" si="96"/>
        <v>3.8677872608421829E-2</v>
      </c>
      <c r="Z335" s="19">
        <f t="shared" si="97"/>
        <v>7.5238629983155531E-2</v>
      </c>
      <c r="AA335" s="21">
        <f t="shared" si="348"/>
        <v>1.0343403046733799</v>
      </c>
      <c r="AB335" s="26">
        <f t="shared" si="364"/>
        <v>0.94952112555256307</v>
      </c>
      <c r="AC335" s="23">
        <f t="shared" si="331"/>
        <v>1144.5714285714287</v>
      </c>
      <c r="AD335" s="23">
        <f t="shared" si="360"/>
        <v>79.428571428571431</v>
      </c>
      <c r="AE335" s="23">
        <f t="shared" si="332"/>
        <v>15174.285714285714</v>
      </c>
      <c r="AF335" s="25">
        <f t="shared" si="339"/>
        <v>7.8781839682586882E-2</v>
      </c>
      <c r="AG335" s="20">
        <v>222005</v>
      </c>
      <c r="AH335" s="21">
        <f t="shared" si="449"/>
        <v>23722</v>
      </c>
      <c r="AI335" s="21">
        <f t="shared" si="431"/>
        <v>10964</v>
      </c>
      <c r="AJ335" s="20">
        <v>56825</v>
      </c>
      <c r="AK335" s="20">
        <f t="shared" si="458"/>
        <v>7219</v>
      </c>
      <c r="AL335" s="21">
        <f t="shared" si="464"/>
        <v>6955.7142857142853</v>
      </c>
      <c r="AM335" s="26">
        <f t="shared" si="353"/>
        <v>3070.8571428571427</v>
      </c>
    </row>
    <row r="336" spans="1:39" ht="16">
      <c r="A336" s="30">
        <v>44228</v>
      </c>
      <c r="B336" s="20">
        <v>368710</v>
      </c>
      <c r="C336" s="20">
        <v>1124</v>
      </c>
      <c r="D336" s="20">
        <v>12578</v>
      </c>
      <c r="E336" s="20">
        <v>264260</v>
      </c>
      <c r="F336" s="20">
        <v>3169150</v>
      </c>
      <c r="G336" s="17">
        <f t="shared" si="204"/>
        <v>323382.65306122444</v>
      </c>
      <c r="H336" s="20"/>
      <c r="I336" s="19">
        <f t="shared" si="234"/>
        <v>3.057787837404036E-3</v>
      </c>
      <c r="J336" s="19">
        <f t="shared" si="231"/>
        <v>0.11634349904548538</v>
      </c>
      <c r="K336" s="19">
        <f t="shared" si="232"/>
        <v>3.4392050376659761E-3</v>
      </c>
      <c r="L336" s="20">
        <v>91872</v>
      </c>
      <c r="M336" s="19">
        <f t="shared" si="235"/>
        <v>3.4113530959290497E-2</v>
      </c>
      <c r="N336" s="19">
        <f t="shared" si="236"/>
        <v>0.71671503349515875</v>
      </c>
      <c r="O336" s="20">
        <v>13810</v>
      </c>
      <c r="P336" s="28">
        <f t="shared" si="437"/>
        <v>10862</v>
      </c>
      <c r="Q336" s="29">
        <f t="shared" si="322"/>
        <v>0.10348002209537838</v>
      </c>
      <c r="R336" s="20">
        <f t="shared" si="440"/>
        <v>54</v>
      </c>
      <c r="S336" s="20">
        <f t="shared" si="443"/>
        <v>1292</v>
      </c>
      <c r="T336" s="20">
        <v>3682</v>
      </c>
      <c r="U336" s="20">
        <v>273</v>
      </c>
      <c r="V336" s="19">
        <f t="shared" si="316"/>
        <v>0.24917143554555071</v>
      </c>
      <c r="W336" s="20">
        <f t="shared" ref="W336:X336" si="471">T336-T335</f>
        <v>120</v>
      </c>
      <c r="X336" s="20">
        <f t="shared" si="471"/>
        <v>5</v>
      </c>
      <c r="Y336" s="19">
        <f t="shared" si="96"/>
        <v>4.0077499129223267E-2</v>
      </c>
      <c r="Z336" s="19">
        <f t="shared" si="97"/>
        <v>7.4144486692015205E-2</v>
      </c>
      <c r="AA336" s="21">
        <f t="shared" si="348"/>
        <v>1.0747893713545043</v>
      </c>
      <c r="AB336" s="26">
        <f t="shared" si="364"/>
        <v>0.98123833950895278</v>
      </c>
      <c r="AC336" s="23">
        <f t="shared" si="331"/>
        <v>1184.5714285714287</v>
      </c>
      <c r="AD336" s="23">
        <f t="shared" si="360"/>
        <v>79.142857142857139</v>
      </c>
      <c r="AE336" s="23">
        <f t="shared" si="332"/>
        <v>15288.285714285714</v>
      </c>
      <c r="AF336" s="25">
        <f t="shared" si="339"/>
        <v>8.1584232119105843E-2</v>
      </c>
      <c r="AG336" s="20">
        <v>237872</v>
      </c>
      <c r="AH336" s="21">
        <f t="shared" si="449"/>
        <v>15867</v>
      </c>
      <c r="AI336" s="21">
        <f t="shared" si="431"/>
        <v>13025.285714285714</v>
      </c>
      <c r="AJ336" s="20">
        <v>61266</v>
      </c>
      <c r="AK336" s="20">
        <f t="shared" si="458"/>
        <v>4441</v>
      </c>
      <c r="AL336" s="21">
        <f t="shared" si="464"/>
        <v>7409</v>
      </c>
      <c r="AM336" s="26">
        <f t="shared" si="353"/>
        <v>3024</v>
      </c>
    </row>
    <row r="337" spans="1:39" ht="16">
      <c r="A337" s="30">
        <v>44229</v>
      </c>
      <c r="B337" s="20">
        <v>369288</v>
      </c>
      <c r="C337" s="20">
        <v>578</v>
      </c>
      <c r="D337" s="20">
        <v>12656</v>
      </c>
      <c r="E337" s="20">
        <v>268803</v>
      </c>
      <c r="F337" s="20">
        <v>3176944</v>
      </c>
      <c r="G337" s="17">
        <f t="shared" si="204"/>
        <v>324177.95918367343</v>
      </c>
      <c r="H337" s="20"/>
      <c r="I337" s="19">
        <f t="shared" si="234"/>
        <v>1.5676276748664262E-3</v>
      </c>
      <c r="J337" s="19">
        <f t="shared" si="231"/>
        <v>0.11624000926676706</v>
      </c>
      <c r="K337" s="19">
        <f t="shared" si="232"/>
        <v>2.4593345218749509E-3</v>
      </c>
      <c r="L337" s="20">
        <v>87829</v>
      </c>
      <c r="M337" s="19">
        <f t="shared" si="235"/>
        <v>3.427135460670263E-2</v>
      </c>
      <c r="N337" s="19">
        <f t="shared" si="236"/>
        <v>0.72789530122830959</v>
      </c>
      <c r="O337" s="20">
        <v>18030</v>
      </c>
      <c r="P337" s="28">
        <f t="shared" si="437"/>
        <v>7794</v>
      </c>
      <c r="Q337" s="29">
        <f t="shared" si="322"/>
        <v>7.4159609956376701E-2</v>
      </c>
      <c r="R337" s="20">
        <f t="shared" si="440"/>
        <v>78</v>
      </c>
      <c r="S337" s="20">
        <f t="shared" si="443"/>
        <v>4543</v>
      </c>
      <c r="T337" s="20">
        <v>3729</v>
      </c>
      <c r="U337" s="20">
        <v>272</v>
      </c>
      <c r="V337" s="19">
        <f t="shared" si="316"/>
        <v>0.23783334416498775</v>
      </c>
      <c r="W337" s="20">
        <f t="shared" ref="W337:X337" si="472">T337-T336</f>
        <v>47</v>
      </c>
      <c r="X337" s="20">
        <f t="shared" si="472"/>
        <v>-1</v>
      </c>
      <c r="Y337" s="19">
        <f t="shared" si="96"/>
        <v>4.2457502647189428E-2</v>
      </c>
      <c r="Z337" s="19">
        <f t="shared" si="97"/>
        <v>7.2941807455081789E-2</v>
      </c>
      <c r="AA337" s="21">
        <f t="shared" si="348"/>
        <v>1.1065649256676753</v>
      </c>
      <c r="AB337" s="26">
        <f t="shared" si="364"/>
        <v>1.0176407438865274</v>
      </c>
      <c r="AC337" s="23">
        <f t="shared" si="331"/>
        <v>1201.5714285714287</v>
      </c>
      <c r="AD337" s="23">
        <f t="shared" si="360"/>
        <v>77.571428571428569</v>
      </c>
      <c r="AE337" s="23">
        <f t="shared" si="332"/>
        <v>15611.571428571429</v>
      </c>
      <c r="AF337" s="25">
        <f t="shared" si="339"/>
        <v>8.032320473239507E-2</v>
      </c>
      <c r="AG337" s="20">
        <v>243036</v>
      </c>
      <c r="AH337" s="21">
        <f t="shared" si="449"/>
        <v>5164</v>
      </c>
      <c r="AI337" s="21">
        <f t="shared" si="431"/>
        <v>13337.142857142857</v>
      </c>
      <c r="AJ337" s="20">
        <v>68526</v>
      </c>
      <c r="AK337" s="20">
        <f t="shared" si="458"/>
        <v>7260</v>
      </c>
      <c r="AL337" s="21">
        <f t="shared" si="464"/>
        <v>7983.8571428571431</v>
      </c>
      <c r="AM337" s="26">
        <f t="shared" si="353"/>
        <v>3446</v>
      </c>
    </row>
    <row r="338" spans="1:39" ht="16">
      <c r="A338" s="30">
        <v>44230</v>
      </c>
      <c r="B338" s="20">
        <v>370336</v>
      </c>
      <c r="C338" s="20">
        <v>1048</v>
      </c>
      <c r="D338" s="20">
        <v>12739</v>
      </c>
      <c r="E338" s="20">
        <v>272284</v>
      </c>
      <c r="F338" s="20">
        <v>3192378</v>
      </c>
      <c r="G338" s="17">
        <f t="shared" si="204"/>
        <v>325752.8571428571</v>
      </c>
      <c r="H338" s="20"/>
      <c r="I338" s="19">
        <f t="shared" si="234"/>
        <v>2.8378934598470569E-3</v>
      </c>
      <c r="J338" s="19">
        <f t="shared" si="231"/>
        <v>0.1160063125356709</v>
      </c>
      <c r="K338" s="19">
        <f t="shared" si="232"/>
        <v>4.8581278108773716E-3</v>
      </c>
      <c r="L338" s="20">
        <v>85313</v>
      </c>
      <c r="M338" s="19">
        <f t="shared" si="235"/>
        <v>3.4398492180074312E-2</v>
      </c>
      <c r="N338" s="19">
        <f t="shared" si="236"/>
        <v>0.73523502981076649</v>
      </c>
      <c r="O338" s="20">
        <v>18337</v>
      </c>
      <c r="P338" s="28">
        <f t="shared" si="437"/>
        <v>15434</v>
      </c>
      <c r="Q338" s="29">
        <f t="shared" si="322"/>
        <v>6.7902034469353376E-2</v>
      </c>
      <c r="R338" s="20">
        <f t="shared" si="440"/>
        <v>83</v>
      </c>
      <c r="S338" s="20">
        <f t="shared" si="443"/>
        <v>3481</v>
      </c>
      <c r="T338" s="20">
        <v>3697</v>
      </c>
      <c r="U338" s="20">
        <v>269</v>
      </c>
      <c r="V338" s="19">
        <f t="shared" si="316"/>
        <v>0.23036647800915924</v>
      </c>
      <c r="W338" s="20">
        <f t="shared" ref="W338:X338" si="473">T338-T337</f>
        <v>-32</v>
      </c>
      <c r="X338" s="20">
        <f t="shared" si="473"/>
        <v>-3</v>
      </c>
      <c r="Y338" s="19">
        <f t="shared" si="96"/>
        <v>4.3334544559445805E-2</v>
      </c>
      <c r="Z338" s="19">
        <f t="shared" si="97"/>
        <v>7.2761698674601027E-2</v>
      </c>
      <c r="AA338" s="21">
        <f t="shared" si="348"/>
        <v>1.108271070913619</v>
      </c>
      <c r="AB338" s="26">
        <f t="shared" si="364"/>
        <v>1.0483771302755318</v>
      </c>
      <c r="AC338" s="23">
        <f t="shared" si="331"/>
        <v>1207.8571428571429</v>
      </c>
      <c r="AD338" s="23">
        <f t="shared" si="360"/>
        <v>77.285714285714292</v>
      </c>
      <c r="AE338" s="23">
        <f t="shared" si="332"/>
        <v>15380.285714285714</v>
      </c>
      <c r="AF338" s="25">
        <f t="shared" si="339"/>
        <v>8.161274234040608E-2</v>
      </c>
      <c r="AG338" s="20">
        <v>247270</v>
      </c>
      <c r="AH338" s="21">
        <f t="shared" si="449"/>
        <v>4234</v>
      </c>
      <c r="AI338" s="21">
        <f t="shared" si="431"/>
        <v>13509.428571428571</v>
      </c>
      <c r="AJ338" s="20">
        <v>75036</v>
      </c>
      <c r="AK338" s="20">
        <f t="shared" si="458"/>
        <v>6510</v>
      </c>
      <c r="AL338" s="21">
        <f t="shared" si="464"/>
        <v>8180.5714285714284</v>
      </c>
      <c r="AM338" s="26">
        <f t="shared" si="353"/>
        <v>3669.7142857142858</v>
      </c>
    </row>
    <row r="339" spans="1:39" ht="16">
      <c r="A339" s="30">
        <v>44231</v>
      </c>
      <c r="B339" s="20">
        <v>371988</v>
      </c>
      <c r="C339" s="20">
        <v>1652</v>
      </c>
      <c r="D339" s="20">
        <v>12832</v>
      </c>
      <c r="E339" s="20">
        <v>274308</v>
      </c>
      <c r="F339" s="20">
        <v>3210549</v>
      </c>
      <c r="G339" s="17">
        <f t="shared" si="204"/>
        <v>327607.04081632651</v>
      </c>
      <c r="H339" s="20"/>
      <c r="I339" s="19">
        <f t="shared" si="234"/>
        <v>4.4608139635358163E-3</v>
      </c>
      <c r="J339" s="19">
        <f t="shared" si="231"/>
        <v>0.11586429610636685</v>
      </c>
      <c r="K339" s="19">
        <f t="shared" si="232"/>
        <v>5.6919951208785425E-3</v>
      </c>
      <c r="L339" s="20">
        <v>84848</v>
      </c>
      <c r="M339" s="19">
        <f t="shared" si="235"/>
        <v>3.4495736421605E-2</v>
      </c>
      <c r="N339" s="19">
        <f t="shared" si="236"/>
        <v>0.73741088422207168</v>
      </c>
      <c r="O339" s="20">
        <v>19633</v>
      </c>
      <c r="P339" s="28">
        <f t="shared" si="437"/>
        <v>18171</v>
      </c>
      <c r="Q339" s="29">
        <f t="shared" si="322"/>
        <v>9.0914093885862093E-2</v>
      </c>
      <c r="R339" s="20">
        <f t="shared" si="440"/>
        <v>93</v>
      </c>
      <c r="S339" s="20">
        <f t="shared" si="443"/>
        <v>2024</v>
      </c>
      <c r="T339" s="20">
        <v>3648</v>
      </c>
      <c r="U339" s="20">
        <v>289</v>
      </c>
      <c r="V339" s="19">
        <f t="shared" si="316"/>
        <v>0.22809337935632332</v>
      </c>
      <c r="W339" s="20">
        <f t="shared" ref="W339:X339" si="474">T339-T338</f>
        <v>-49</v>
      </c>
      <c r="X339" s="20">
        <f t="shared" si="474"/>
        <v>20</v>
      </c>
      <c r="Y339" s="19">
        <f t="shared" si="96"/>
        <v>4.2994531397322268E-2</v>
      </c>
      <c r="Z339" s="19">
        <f t="shared" si="97"/>
        <v>7.9221491228070179E-2</v>
      </c>
      <c r="AA339" s="21">
        <f t="shared" si="348"/>
        <v>1.0963020030816641</v>
      </c>
      <c r="AB339" s="26">
        <f t="shared" si="364"/>
        <v>1.0663707915324012</v>
      </c>
      <c r="AC339" s="23">
        <f t="shared" si="331"/>
        <v>1219.7142857142858</v>
      </c>
      <c r="AD339" s="23">
        <f t="shared" si="360"/>
        <v>77.285714285714292</v>
      </c>
      <c r="AE339" s="23">
        <f t="shared" si="332"/>
        <v>16105.714285714286</v>
      </c>
      <c r="AF339" s="25">
        <f t="shared" si="339"/>
        <v>7.7481180559820978E-2</v>
      </c>
      <c r="AG339" s="20">
        <v>249687</v>
      </c>
      <c r="AH339" s="21">
        <f t="shared" si="449"/>
        <v>2417</v>
      </c>
      <c r="AI339" s="21">
        <f t="shared" si="431"/>
        <v>12638.857142857143</v>
      </c>
      <c r="AJ339" s="20">
        <v>84452</v>
      </c>
      <c r="AK339" s="20">
        <f t="shared" si="458"/>
        <v>9416</v>
      </c>
      <c r="AL339" s="21">
        <f t="shared" si="464"/>
        <v>8308.4285714285706</v>
      </c>
      <c r="AM339" s="26">
        <f t="shared" si="353"/>
        <v>3615</v>
      </c>
    </row>
    <row r="340" spans="1:39" ht="16">
      <c r="A340" s="30">
        <v>44232</v>
      </c>
      <c r="B340" s="20">
        <v>373564</v>
      </c>
      <c r="C340" s="20">
        <v>1576</v>
      </c>
      <c r="D340" s="20">
        <v>12930</v>
      </c>
      <c r="E340" s="20">
        <v>275764</v>
      </c>
      <c r="F340" s="20">
        <v>3229242</v>
      </c>
      <c r="G340" s="17">
        <f t="shared" si="204"/>
        <v>329514.48979591834</v>
      </c>
      <c r="H340" s="20"/>
      <c r="I340" s="19">
        <f t="shared" si="234"/>
        <v>4.2366958073916366E-3</v>
      </c>
      <c r="J340" s="19">
        <f t="shared" si="231"/>
        <v>0.11568163674323571</v>
      </c>
      <c r="K340" s="19">
        <f t="shared" si="232"/>
        <v>5.8223686976900208E-3</v>
      </c>
      <c r="L340" s="20">
        <v>84870</v>
      </c>
      <c r="M340" s="19">
        <f t="shared" si="235"/>
        <v>3.461254296452549E-2</v>
      </c>
      <c r="N340" s="19">
        <f t="shared" si="236"/>
        <v>0.73819747084836873</v>
      </c>
      <c r="O340" s="20">
        <v>20254</v>
      </c>
      <c r="P340" s="28">
        <f t="shared" si="437"/>
        <v>18693</v>
      </c>
      <c r="Q340" s="29">
        <f t="shared" si="322"/>
        <v>8.4309634622585991E-2</v>
      </c>
      <c r="R340" s="20">
        <f t="shared" si="440"/>
        <v>98</v>
      </c>
      <c r="S340" s="20">
        <f t="shared" si="443"/>
        <v>1456</v>
      </c>
      <c r="T340" s="20">
        <v>3638</v>
      </c>
      <c r="U340" s="20">
        <v>302</v>
      </c>
      <c r="V340" s="19">
        <f t="shared" si="316"/>
        <v>0.22718998618710581</v>
      </c>
      <c r="W340" s="20">
        <f t="shared" ref="W340:X340" si="475">T340-T339</f>
        <v>-10</v>
      </c>
      <c r="X340" s="20">
        <f t="shared" si="475"/>
        <v>13</v>
      </c>
      <c r="Y340" s="19">
        <f t="shared" ref="Y340:Y466" si="476">T340/L340</f>
        <v>4.2865559090373512E-2</v>
      </c>
      <c r="Z340" s="19">
        <f t="shared" ref="Z340:Z466" si="477">U340/T340</f>
        <v>8.3012644310060474E-2</v>
      </c>
      <c r="AA340" s="21">
        <f t="shared" si="348"/>
        <v>1.0905997983870968</v>
      </c>
      <c r="AB340" s="26">
        <f t="shared" si="364"/>
        <v>1.077268630098364</v>
      </c>
      <c r="AC340" s="23">
        <f t="shared" si="331"/>
        <v>1236.4285714285713</v>
      </c>
      <c r="AD340" s="23">
        <f t="shared" si="360"/>
        <v>79.428571428571431</v>
      </c>
      <c r="AE340" s="23">
        <f t="shared" si="332"/>
        <v>16065.428571428571</v>
      </c>
      <c r="AF340" s="25">
        <f t="shared" si="339"/>
        <v>7.8541036136433567E-2</v>
      </c>
      <c r="AG340" s="20">
        <v>264530</v>
      </c>
      <c r="AH340" s="21">
        <f t="shared" si="449"/>
        <v>14843</v>
      </c>
      <c r="AI340" s="21">
        <f t="shared" si="431"/>
        <v>12749.571428571429</v>
      </c>
      <c r="AJ340" s="20">
        <v>92773</v>
      </c>
      <c r="AK340" s="20">
        <f t="shared" si="458"/>
        <v>8321</v>
      </c>
      <c r="AL340" s="21">
        <f t="shared" si="464"/>
        <v>7863.7142857142853</v>
      </c>
      <c r="AM340" s="26">
        <f t="shared" si="353"/>
        <v>2997.2857142857142</v>
      </c>
    </row>
    <row r="341" spans="1:39" ht="16">
      <c r="A341" s="30">
        <v>44233</v>
      </c>
      <c r="B341" s="20">
        <v>375125</v>
      </c>
      <c r="C341" s="20">
        <v>1561</v>
      </c>
      <c r="D341" s="20">
        <v>13026</v>
      </c>
      <c r="E341" s="20">
        <v>277949</v>
      </c>
      <c r="F341" s="20">
        <v>3246838</v>
      </c>
      <c r="G341" s="17">
        <f t="shared" si="204"/>
        <v>331310</v>
      </c>
      <c r="H341" s="20"/>
      <c r="I341" s="19">
        <f t="shared" si="234"/>
        <v>4.1786681800173465E-3</v>
      </c>
      <c r="J341" s="19">
        <f t="shared" si="231"/>
        <v>0.11553548406172405</v>
      </c>
      <c r="K341" s="19">
        <f t="shared" si="232"/>
        <v>5.4489567520798997E-3</v>
      </c>
      <c r="L341" s="20">
        <v>84150</v>
      </c>
      <c r="M341" s="19">
        <f t="shared" si="235"/>
        <v>3.4724425191602799E-2</v>
      </c>
      <c r="N341" s="19">
        <f t="shared" si="236"/>
        <v>0.74095034988337216</v>
      </c>
      <c r="O341" s="20">
        <v>18124</v>
      </c>
      <c r="P341" s="28">
        <f t="shared" si="437"/>
        <v>17596</v>
      </c>
      <c r="Q341" s="29">
        <f t="shared" si="322"/>
        <v>8.8713343941804954E-2</v>
      </c>
      <c r="R341" s="20">
        <f t="shared" si="440"/>
        <v>96</v>
      </c>
      <c r="S341" s="20">
        <f t="shared" si="443"/>
        <v>2185</v>
      </c>
      <c r="T341" s="20">
        <v>3601</v>
      </c>
      <c r="U341" s="20">
        <v>298</v>
      </c>
      <c r="V341" s="19">
        <f t="shared" si="316"/>
        <v>0.22432522492502499</v>
      </c>
      <c r="W341" s="20">
        <f t="shared" ref="W341:X341" si="478">T341-T340</f>
        <v>-37</v>
      </c>
      <c r="X341" s="20">
        <f t="shared" si="478"/>
        <v>-4</v>
      </c>
      <c r="Y341" s="19">
        <f t="shared" si="476"/>
        <v>4.2792632204396913E-2</v>
      </c>
      <c r="Z341" s="19">
        <f t="shared" si="477"/>
        <v>8.2754790336017778E-2</v>
      </c>
      <c r="AA341" s="21">
        <f t="shared" si="348"/>
        <v>1.1110273800552626</v>
      </c>
      <c r="AB341" s="26">
        <f t="shared" si="364"/>
        <v>1.088842122019029</v>
      </c>
      <c r="AC341" s="23">
        <f t="shared" si="331"/>
        <v>1263.7142857142858</v>
      </c>
      <c r="AD341" s="23">
        <f t="shared" si="360"/>
        <v>80.428571428571431</v>
      </c>
      <c r="AE341" s="23">
        <f t="shared" si="332"/>
        <v>15527.428571428571</v>
      </c>
      <c r="AF341" s="25">
        <f t="shared" si="339"/>
        <v>8.2052575005753164E-2</v>
      </c>
      <c r="AG341" s="20">
        <v>279410</v>
      </c>
      <c r="AH341" s="21">
        <f t="shared" si="449"/>
        <v>14880</v>
      </c>
      <c r="AI341" s="21">
        <f t="shared" si="431"/>
        <v>11589.571428571429</v>
      </c>
      <c r="AJ341" s="20">
        <v>101652</v>
      </c>
      <c r="AK341" s="20">
        <f t="shared" si="458"/>
        <v>8879</v>
      </c>
      <c r="AL341" s="21">
        <f t="shared" si="464"/>
        <v>7435.1428571428569</v>
      </c>
      <c r="AM341" s="26">
        <f t="shared" si="353"/>
        <v>2627.7142857142858</v>
      </c>
    </row>
    <row r="342" spans="1:39" ht="16">
      <c r="A342" s="30">
        <v>44234</v>
      </c>
      <c r="B342" s="20">
        <v>376495</v>
      </c>
      <c r="C342" s="20">
        <v>1370</v>
      </c>
      <c r="D342" s="20">
        <v>13090</v>
      </c>
      <c r="E342" s="20">
        <v>279763</v>
      </c>
      <c r="F342" s="20">
        <v>3265862</v>
      </c>
      <c r="G342" s="17">
        <f t="shared" si="204"/>
        <v>333251.22448979592</v>
      </c>
      <c r="H342" s="20"/>
      <c r="I342" s="19">
        <f t="shared" si="234"/>
        <v>3.652115961346218E-3</v>
      </c>
      <c r="J342" s="19">
        <f t="shared" si="231"/>
        <v>0.1152819684358984</v>
      </c>
      <c r="K342" s="19">
        <f t="shared" si="232"/>
        <v>5.8592390504238279E-3</v>
      </c>
      <c r="L342" s="20">
        <v>83642</v>
      </c>
      <c r="M342" s="19">
        <f t="shared" si="235"/>
        <v>3.4768058008738494E-2</v>
      </c>
      <c r="N342" s="19">
        <f t="shared" si="236"/>
        <v>0.74307228515650936</v>
      </c>
      <c r="O342" s="20">
        <v>19510</v>
      </c>
      <c r="P342" s="28">
        <f t="shared" si="437"/>
        <v>19024</v>
      </c>
      <c r="Q342" s="29">
        <f t="shared" si="322"/>
        <v>7.201429772918419E-2</v>
      </c>
      <c r="R342" s="20">
        <f t="shared" si="440"/>
        <v>64</v>
      </c>
      <c r="S342" s="20">
        <f t="shared" si="443"/>
        <v>1814</v>
      </c>
      <c r="T342" s="20">
        <v>3578</v>
      </c>
      <c r="U342" s="20">
        <v>291</v>
      </c>
      <c r="V342" s="19">
        <f t="shared" si="316"/>
        <v>0.22215965683475211</v>
      </c>
      <c r="W342" s="20">
        <f t="shared" ref="W342:X342" si="479">T342-T341</f>
        <v>-23</v>
      </c>
      <c r="X342" s="20">
        <f t="shared" si="479"/>
        <v>-7</v>
      </c>
      <c r="Y342" s="19">
        <f t="shared" si="476"/>
        <v>4.2777551947586138E-2</v>
      </c>
      <c r="Z342" s="19">
        <f t="shared" si="477"/>
        <v>8.133035215204025E-2</v>
      </c>
      <c r="AA342" s="21">
        <f t="shared" si="348"/>
        <v>1.1119570644033949</v>
      </c>
      <c r="AB342" s="26">
        <f t="shared" si="364"/>
        <v>1.0999302305518881</v>
      </c>
      <c r="AC342" s="23">
        <f t="shared" si="331"/>
        <v>1272.7142857142858</v>
      </c>
      <c r="AD342" s="23">
        <f t="shared" si="360"/>
        <v>80.857142857142861</v>
      </c>
      <c r="AE342" s="23">
        <f t="shared" si="332"/>
        <v>15367.714285714286</v>
      </c>
      <c r="AF342" s="25">
        <f t="shared" si="339"/>
        <v>8.3070433814363673E-2</v>
      </c>
      <c r="AG342" s="20">
        <v>286379</v>
      </c>
      <c r="AH342" s="21">
        <f t="shared" si="449"/>
        <v>6969</v>
      </c>
      <c r="AI342" s="21">
        <f t="shared" si="431"/>
        <v>9196.2857142857138</v>
      </c>
      <c r="AJ342" s="20">
        <v>105242</v>
      </c>
      <c r="AK342" s="20">
        <f t="shared" si="458"/>
        <v>3590</v>
      </c>
      <c r="AL342" s="21">
        <f t="shared" si="464"/>
        <v>6916.7142857142853</v>
      </c>
      <c r="AM342" s="26">
        <f t="shared" si="353"/>
        <v>2399.2857142857142</v>
      </c>
    </row>
    <row r="343" spans="1:39" ht="16">
      <c r="A343" s="30">
        <v>44235</v>
      </c>
      <c r="B343" s="20">
        <v>377655</v>
      </c>
      <c r="C343" s="20">
        <v>1160</v>
      </c>
      <c r="D343" s="20">
        <v>13155</v>
      </c>
      <c r="E343" s="20">
        <v>281839</v>
      </c>
      <c r="F343" s="20">
        <v>3275582</v>
      </c>
      <c r="G343" s="17">
        <f t="shared" si="204"/>
        <v>334243.06122448976</v>
      </c>
      <c r="H343" s="20"/>
      <c r="I343" s="19">
        <f t="shared" si="234"/>
        <v>3.0810502131502411E-3</v>
      </c>
      <c r="J343" s="19">
        <f t="shared" si="231"/>
        <v>0.11529401492620243</v>
      </c>
      <c r="K343" s="19">
        <f t="shared" si="232"/>
        <v>2.9762433317758069E-3</v>
      </c>
      <c r="L343" s="20">
        <v>82661</v>
      </c>
      <c r="M343" s="19">
        <f t="shared" si="235"/>
        <v>3.4833379671922786E-2</v>
      </c>
      <c r="N343" s="19">
        <f t="shared" si="236"/>
        <v>0.74628695502508902</v>
      </c>
      <c r="O343" s="20">
        <v>15847</v>
      </c>
      <c r="P343" s="28">
        <f t="shared" si="437"/>
        <v>9720</v>
      </c>
      <c r="Q343" s="29">
        <f t="shared" si="322"/>
        <v>0.11934156378600823</v>
      </c>
      <c r="R343" s="20">
        <f t="shared" si="440"/>
        <v>65</v>
      </c>
      <c r="S343" s="20">
        <f t="shared" si="443"/>
        <v>2076</v>
      </c>
      <c r="T343" s="20">
        <v>3717</v>
      </c>
      <c r="U343" s="20">
        <v>295</v>
      </c>
      <c r="V343" s="19">
        <f t="shared" si="316"/>
        <v>0.21887966530298816</v>
      </c>
      <c r="W343" s="20">
        <f t="shared" ref="W343:X343" si="480">T343-T342</f>
        <v>139</v>
      </c>
      <c r="X343" s="20">
        <f t="shared" si="480"/>
        <v>4</v>
      </c>
      <c r="Y343" s="19">
        <f t="shared" si="476"/>
        <v>4.4966792078489248E-2</v>
      </c>
      <c r="Z343" s="19">
        <f t="shared" si="477"/>
        <v>7.9365079365079361E-2</v>
      </c>
      <c r="AA343" s="21">
        <f t="shared" si="348"/>
        <v>1.0787506029908345</v>
      </c>
      <c r="AB343" s="26">
        <f t="shared" si="364"/>
        <v>1.1004961207856496</v>
      </c>
      <c r="AC343" s="23">
        <f t="shared" si="331"/>
        <v>1277.8571428571429</v>
      </c>
      <c r="AD343" s="23">
        <f t="shared" si="360"/>
        <v>82.428571428571431</v>
      </c>
      <c r="AE343" s="23">
        <f t="shared" si="332"/>
        <v>15204.571428571429</v>
      </c>
      <c r="AF343" s="25">
        <f t="shared" si="339"/>
        <v>8.5336368341596511E-2</v>
      </c>
      <c r="AG343" s="20">
        <v>289042</v>
      </c>
      <c r="AH343" s="21">
        <f t="shared" si="449"/>
        <v>2663</v>
      </c>
      <c r="AI343" s="21">
        <f t="shared" si="431"/>
        <v>7310</v>
      </c>
      <c r="AJ343" s="20">
        <v>107592</v>
      </c>
      <c r="AK343" s="20">
        <f t="shared" si="458"/>
        <v>2350</v>
      </c>
      <c r="AL343" s="21">
        <f t="shared" si="464"/>
        <v>6618</v>
      </c>
      <c r="AM343" s="26">
        <f t="shared" si="353"/>
        <v>2511.2857142857142</v>
      </c>
    </row>
    <row r="344" spans="1:39" ht="16">
      <c r="A344" s="30">
        <v>44236</v>
      </c>
      <c r="B344" s="20">
        <v>378734</v>
      </c>
      <c r="C344" s="20">
        <v>1079</v>
      </c>
      <c r="D344" s="20">
        <v>13249</v>
      </c>
      <c r="E344" s="20">
        <v>283282</v>
      </c>
      <c r="F344" s="20">
        <v>3281992</v>
      </c>
      <c r="G344" s="17">
        <f t="shared" si="204"/>
        <v>334897.14285714284</v>
      </c>
      <c r="H344" s="20"/>
      <c r="I344" s="19">
        <f t="shared" si="234"/>
        <v>2.8571050297228951E-3</v>
      </c>
      <c r="J344" s="19">
        <f t="shared" si="231"/>
        <v>0.11539759999414989</v>
      </c>
      <c r="K344" s="19">
        <f t="shared" si="232"/>
        <v>1.9569041471103454E-3</v>
      </c>
      <c r="L344" s="20">
        <v>82203</v>
      </c>
      <c r="M344" s="19">
        <f t="shared" si="235"/>
        <v>3.4982335887456632E-2</v>
      </c>
      <c r="N344" s="19">
        <f t="shared" si="236"/>
        <v>0.74797087137674467</v>
      </c>
      <c r="O344" s="20">
        <v>16850</v>
      </c>
      <c r="P344" s="28">
        <f t="shared" si="437"/>
        <v>6410</v>
      </c>
      <c r="Q344" s="29">
        <f t="shared" si="322"/>
        <v>0.16833073322932918</v>
      </c>
      <c r="R344" s="20">
        <f t="shared" si="440"/>
        <v>94</v>
      </c>
      <c r="S344" s="20">
        <f t="shared" si="443"/>
        <v>1443</v>
      </c>
      <c r="T344" s="20">
        <v>3792</v>
      </c>
      <c r="U344" s="20">
        <v>304</v>
      </c>
      <c r="V344" s="19">
        <f t="shared" si="316"/>
        <v>0.21704679273579874</v>
      </c>
      <c r="W344" s="20">
        <f t="shared" ref="W344:X344" si="481">T344-T343</f>
        <v>75</v>
      </c>
      <c r="X344" s="20">
        <f t="shared" si="481"/>
        <v>9</v>
      </c>
      <c r="Y344" s="19">
        <f t="shared" si="476"/>
        <v>4.6129703295500167E-2</v>
      </c>
      <c r="Z344" s="19">
        <f t="shared" si="477"/>
        <v>8.0168776371308023E-2</v>
      </c>
      <c r="AA344" s="21">
        <f t="shared" si="348"/>
        <v>1.1230531446914755</v>
      </c>
      <c r="AB344" s="26">
        <f t="shared" si="364"/>
        <v>1.1028515806461925</v>
      </c>
      <c r="AC344" s="23">
        <f t="shared" si="331"/>
        <v>1349.4285714285713</v>
      </c>
      <c r="AD344" s="23">
        <f t="shared" si="360"/>
        <v>84.714285714285708</v>
      </c>
      <c r="AE344" s="23">
        <f t="shared" si="332"/>
        <v>15006.857142857143</v>
      </c>
      <c r="AF344" s="25">
        <f t="shared" si="339"/>
        <v>9.8789385952018291E-2</v>
      </c>
      <c r="AG344" s="20">
        <v>291396</v>
      </c>
      <c r="AH344" s="21">
        <f t="shared" si="449"/>
        <v>2354</v>
      </c>
      <c r="AI344" s="21">
        <f t="shared" si="431"/>
        <v>6908.5714285714284</v>
      </c>
      <c r="AJ344" s="20">
        <v>110395</v>
      </c>
      <c r="AK344" s="20">
        <f t="shared" si="458"/>
        <v>2803</v>
      </c>
      <c r="AL344" s="21">
        <f t="shared" si="464"/>
        <v>5981.2857142857147</v>
      </c>
      <c r="AM344" s="26">
        <f t="shared" si="353"/>
        <v>2068.4285714285716</v>
      </c>
    </row>
    <row r="345" spans="1:39" ht="16">
      <c r="A345" s="30">
        <v>44237</v>
      </c>
      <c r="B345" s="20">
        <v>380013</v>
      </c>
      <c r="C345" s="20">
        <v>1279</v>
      </c>
      <c r="D345" s="20">
        <v>13347</v>
      </c>
      <c r="E345" s="20">
        <v>285022</v>
      </c>
      <c r="F345" s="20">
        <v>3298814</v>
      </c>
      <c r="G345" s="17">
        <f t="shared" si="204"/>
        <v>336613.67346938775</v>
      </c>
      <c r="H345" s="20"/>
      <c r="I345" s="19">
        <f t="shared" si="234"/>
        <v>3.3770403502194151E-3</v>
      </c>
      <c r="J345" s="19">
        <f t="shared" si="231"/>
        <v>0.11519685559719342</v>
      </c>
      <c r="K345" s="19">
        <f t="shared" si="232"/>
        <v>5.1255457051692993E-3</v>
      </c>
      <c r="L345" s="20">
        <v>81644</v>
      </c>
      <c r="M345" s="19">
        <f t="shared" si="235"/>
        <v>3.512248265190928E-2</v>
      </c>
      <c r="N345" s="19">
        <f t="shared" si="236"/>
        <v>0.75003223573930367</v>
      </c>
      <c r="O345" s="20">
        <v>19414</v>
      </c>
      <c r="P345" s="28">
        <f t="shared" si="437"/>
        <v>16822</v>
      </c>
      <c r="Q345" s="29">
        <f t="shared" si="322"/>
        <v>7.6031387468790873E-2</v>
      </c>
      <c r="R345" s="20">
        <f t="shared" si="440"/>
        <v>98</v>
      </c>
      <c r="S345" s="20">
        <f t="shared" si="443"/>
        <v>1740</v>
      </c>
      <c r="T345" s="20">
        <v>3747</v>
      </c>
      <c r="U345" s="20">
        <v>296</v>
      </c>
      <c r="V345" s="19">
        <f t="shared" si="316"/>
        <v>0.21484528160878708</v>
      </c>
      <c r="W345" s="20">
        <f t="shared" ref="W345:X345" si="482">T345-T344</f>
        <v>-45</v>
      </c>
      <c r="X345" s="20">
        <f t="shared" si="482"/>
        <v>-8</v>
      </c>
      <c r="Y345" s="19">
        <f t="shared" si="476"/>
        <v>4.5894370682475136E-2</v>
      </c>
      <c r="Z345" s="19">
        <f t="shared" si="477"/>
        <v>7.8996530557779554E-2</v>
      </c>
      <c r="AA345" s="21">
        <f t="shared" si="348"/>
        <v>1.1445298639858072</v>
      </c>
      <c r="AB345" s="26">
        <f t="shared" si="364"/>
        <v>1.1080314082279337</v>
      </c>
      <c r="AC345" s="23">
        <f t="shared" si="331"/>
        <v>1382.4285714285713</v>
      </c>
      <c r="AD345" s="23">
        <f t="shared" si="360"/>
        <v>86.857142857142861</v>
      </c>
      <c r="AE345" s="23">
        <f t="shared" si="332"/>
        <v>15205.142857142857</v>
      </c>
      <c r="AF345" s="25">
        <f t="shared" si="339"/>
        <v>9.9950722094795066E-2</v>
      </c>
      <c r="AG345" s="20">
        <v>292627</v>
      </c>
      <c r="AH345" s="21">
        <f t="shared" si="449"/>
        <v>1231</v>
      </c>
      <c r="AI345" s="21">
        <f t="shared" si="431"/>
        <v>6479.5714285714284</v>
      </c>
      <c r="AJ345" s="20">
        <v>113570</v>
      </c>
      <c r="AK345" s="20">
        <f t="shared" si="458"/>
        <v>3175</v>
      </c>
      <c r="AL345" s="21">
        <f t="shared" si="464"/>
        <v>5504.8571428571431</v>
      </c>
      <c r="AM345" s="26">
        <f t="shared" si="353"/>
        <v>1819.7142857142858</v>
      </c>
    </row>
    <row r="346" spans="1:39" ht="16">
      <c r="A346" s="30">
        <v>44238</v>
      </c>
      <c r="B346" s="20">
        <v>381875</v>
      </c>
      <c r="C346" s="20">
        <v>1862</v>
      </c>
      <c r="D346" s="20">
        <v>13444</v>
      </c>
      <c r="E346" s="20">
        <v>287134</v>
      </c>
      <c r="F346" s="20">
        <v>3318850</v>
      </c>
      <c r="G346" s="17">
        <f t="shared" si="204"/>
        <v>338658.1632653061</v>
      </c>
      <c r="H346" s="20"/>
      <c r="I346" s="19">
        <f t="shared" si="234"/>
        <v>4.8998323741556212E-3</v>
      </c>
      <c r="J346" s="19">
        <f t="shared" si="231"/>
        <v>0.11506244632930081</v>
      </c>
      <c r="K346" s="19">
        <f t="shared" si="232"/>
        <v>6.0736980017666959E-3</v>
      </c>
      <c r="L346" s="20">
        <v>81297</v>
      </c>
      <c r="M346" s="19">
        <f t="shared" si="235"/>
        <v>3.5205237315875611E-2</v>
      </c>
      <c r="N346" s="19">
        <f t="shared" si="236"/>
        <v>0.75190572831423896</v>
      </c>
      <c r="O346" s="20">
        <v>21456</v>
      </c>
      <c r="P346" s="28">
        <f t="shared" si="437"/>
        <v>20036</v>
      </c>
      <c r="Q346" s="29">
        <f t="shared" si="322"/>
        <v>9.2932721102016377E-2</v>
      </c>
      <c r="R346" s="20">
        <f t="shared" si="440"/>
        <v>97</v>
      </c>
      <c r="S346" s="20">
        <f t="shared" si="443"/>
        <v>2112</v>
      </c>
      <c r="T346" s="20">
        <v>3799</v>
      </c>
      <c r="U346" s="20">
        <v>299</v>
      </c>
      <c r="V346" s="19">
        <f t="shared" si="316"/>
        <v>0.21288903436988543</v>
      </c>
      <c r="W346" s="20">
        <f t="shared" ref="W346:X346" si="483">T346-T345</f>
        <v>52</v>
      </c>
      <c r="X346" s="20">
        <f t="shared" si="483"/>
        <v>3</v>
      </c>
      <c r="Y346" s="19">
        <f t="shared" si="476"/>
        <v>4.6729891631917535E-2</v>
      </c>
      <c r="Z346" s="19">
        <f t="shared" si="477"/>
        <v>7.8704922347986317E-2</v>
      </c>
      <c r="AA346" s="21">
        <f t="shared" si="348"/>
        <v>1.1579995315062075</v>
      </c>
      <c r="AB346" s="26">
        <f t="shared" si="364"/>
        <v>1.1168453408600112</v>
      </c>
      <c r="AC346" s="23">
        <f t="shared" si="331"/>
        <v>1412.4285714285713</v>
      </c>
      <c r="AD346" s="23">
        <f t="shared" si="360"/>
        <v>87.428571428571431</v>
      </c>
      <c r="AE346" s="23">
        <f t="shared" si="332"/>
        <v>15471.571428571429</v>
      </c>
      <c r="AF346" s="25">
        <f t="shared" si="339"/>
        <v>0.10023909741138855</v>
      </c>
      <c r="AG346" s="20">
        <v>294624</v>
      </c>
      <c r="AH346" s="21">
        <f t="shared" si="449"/>
        <v>1997</v>
      </c>
      <c r="AI346" s="21">
        <f t="shared" si="431"/>
        <v>6419.5714285714284</v>
      </c>
      <c r="AJ346" s="20">
        <v>117368</v>
      </c>
      <c r="AK346" s="20">
        <f t="shared" si="458"/>
        <v>3798</v>
      </c>
      <c r="AL346" s="21">
        <f t="shared" si="464"/>
        <v>4702.2857142857147</v>
      </c>
      <c r="AM346" s="26">
        <f t="shared" si="353"/>
        <v>1832.2857142857142</v>
      </c>
    </row>
    <row r="347" spans="1:39" ht="16">
      <c r="A347" s="30">
        <v>44239</v>
      </c>
      <c r="B347" s="20">
        <v>383735</v>
      </c>
      <c r="C347" s="20">
        <v>1860</v>
      </c>
      <c r="D347" s="20">
        <v>13543</v>
      </c>
      <c r="E347" s="20">
        <v>289520</v>
      </c>
      <c r="F347" s="20">
        <v>3338289</v>
      </c>
      <c r="G347" s="17">
        <f t="shared" si="204"/>
        <v>340641.73469387752</v>
      </c>
      <c r="H347" s="20"/>
      <c r="I347" s="19">
        <f t="shared" si="234"/>
        <v>4.870703764320786E-3</v>
      </c>
      <c r="J347" s="19">
        <f t="shared" si="231"/>
        <v>0.11494960442310417</v>
      </c>
      <c r="K347" s="19">
        <f t="shared" si="232"/>
        <v>5.8571493137683237E-3</v>
      </c>
      <c r="L347" s="20">
        <v>80672</v>
      </c>
      <c r="M347" s="19">
        <f t="shared" si="235"/>
        <v>3.5292584726438821E-2</v>
      </c>
      <c r="N347" s="19">
        <f t="shared" si="236"/>
        <v>0.75447900243657728</v>
      </c>
      <c r="O347" s="20">
        <v>22525</v>
      </c>
      <c r="P347" s="28">
        <f t="shared" si="437"/>
        <v>19439</v>
      </c>
      <c r="Q347" s="29">
        <f t="shared" si="322"/>
        <v>9.5683934358763309E-2</v>
      </c>
      <c r="R347" s="20">
        <f t="shared" si="440"/>
        <v>99</v>
      </c>
      <c r="S347" s="20">
        <f t="shared" si="443"/>
        <v>2386</v>
      </c>
      <c r="T347" s="20">
        <v>3828</v>
      </c>
      <c r="U347" s="20">
        <v>299</v>
      </c>
      <c r="V347" s="19">
        <f t="shared" si="316"/>
        <v>0.21022841283698385</v>
      </c>
      <c r="W347" s="20">
        <f t="shared" ref="W347:X347" si="484">T347-T346</f>
        <v>29</v>
      </c>
      <c r="X347" s="20">
        <f t="shared" si="484"/>
        <v>0</v>
      </c>
      <c r="Y347" s="19">
        <f t="shared" si="476"/>
        <v>4.7451408171360572E-2</v>
      </c>
      <c r="Z347" s="19">
        <f t="shared" si="477"/>
        <v>7.8108672936259144E-2</v>
      </c>
      <c r="AA347" s="21">
        <f t="shared" si="348"/>
        <v>1.1751588677065281</v>
      </c>
      <c r="AB347" s="26">
        <f t="shared" si="364"/>
        <v>1.1289252079056442</v>
      </c>
      <c r="AC347" s="23">
        <f t="shared" si="331"/>
        <v>1453</v>
      </c>
      <c r="AD347" s="23">
        <f t="shared" si="360"/>
        <v>87.571428571428569</v>
      </c>
      <c r="AE347" s="23">
        <f t="shared" si="332"/>
        <v>15578.142857142857</v>
      </c>
      <c r="AF347" s="25">
        <f t="shared" si="339"/>
        <v>0.10186399737369958</v>
      </c>
      <c r="AG347" s="20">
        <v>310448</v>
      </c>
      <c r="AH347" s="21">
        <f t="shared" si="449"/>
        <v>15824</v>
      </c>
      <c r="AI347" s="21">
        <f t="shared" si="431"/>
        <v>6559.7142857142853</v>
      </c>
      <c r="AJ347" s="20">
        <v>120649</v>
      </c>
      <c r="AK347" s="20">
        <f t="shared" si="458"/>
        <v>3281</v>
      </c>
      <c r="AL347" s="21">
        <f t="shared" si="464"/>
        <v>3982.2857142857142</v>
      </c>
      <c r="AM347" s="26">
        <f t="shared" si="353"/>
        <v>1965.1428571428571</v>
      </c>
    </row>
    <row r="348" spans="1:39" ht="16">
      <c r="A348" s="30">
        <v>44240</v>
      </c>
      <c r="B348" s="20">
        <v>385755</v>
      </c>
      <c r="C348" s="20">
        <v>2020</v>
      </c>
      <c r="D348" s="20">
        <v>13636</v>
      </c>
      <c r="E348" s="20">
        <v>293542</v>
      </c>
      <c r="F348" s="20">
        <v>3357672</v>
      </c>
      <c r="G348" s="17">
        <f t="shared" si="204"/>
        <v>342619.59183673467</v>
      </c>
      <c r="H348" s="20"/>
      <c r="I348" s="19">
        <f t="shared" si="234"/>
        <v>5.2640494090974242E-3</v>
      </c>
      <c r="J348" s="19">
        <f t="shared" si="231"/>
        <v>0.11488763643381486</v>
      </c>
      <c r="K348" s="19">
        <f t="shared" si="232"/>
        <v>5.8062678216295833E-3</v>
      </c>
      <c r="L348" s="20">
        <v>78577</v>
      </c>
      <c r="M348" s="19">
        <f t="shared" si="235"/>
        <v>3.5348861323897293E-2</v>
      </c>
      <c r="N348" s="19">
        <f t="shared" si="236"/>
        <v>0.76095449184067609</v>
      </c>
      <c r="O348" s="20">
        <v>20794</v>
      </c>
      <c r="P348" s="28">
        <f t="shared" si="437"/>
        <v>19383</v>
      </c>
      <c r="Q348" s="29">
        <f t="shared" si="322"/>
        <v>0.10421503379249858</v>
      </c>
      <c r="R348" s="20">
        <f t="shared" si="440"/>
        <v>93</v>
      </c>
      <c r="S348" s="20">
        <f t="shared" si="443"/>
        <v>4022</v>
      </c>
      <c r="T348" s="20">
        <v>3771</v>
      </c>
      <c r="U348" s="20">
        <v>299</v>
      </c>
      <c r="V348" s="19">
        <f t="shared" si="316"/>
        <v>0.20369664683542663</v>
      </c>
      <c r="W348" s="20">
        <f t="shared" ref="W348:X348" si="485">T348-T347</f>
        <v>-57</v>
      </c>
      <c r="X348" s="20">
        <f t="shared" si="485"/>
        <v>0</v>
      </c>
      <c r="Y348" s="19">
        <f t="shared" si="476"/>
        <v>4.7991142446262902E-2</v>
      </c>
      <c r="Z348" s="19">
        <f t="shared" si="477"/>
        <v>7.9289313179527976E-2</v>
      </c>
      <c r="AA348" s="21">
        <f t="shared" si="348"/>
        <v>1.2016730725751752</v>
      </c>
      <c r="AB348" s="26">
        <f t="shared" si="364"/>
        <v>1.141874592551346</v>
      </c>
      <c r="AC348" s="23">
        <f t="shared" si="331"/>
        <v>1518.5714285714287</v>
      </c>
      <c r="AD348" s="23">
        <f t="shared" si="360"/>
        <v>87.142857142857139</v>
      </c>
      <c r="AE348" s="23">
        <f t="shared" si="332"/>
        <v>15833.428571428571</v>
      </c>
      <c r="AF348" s="25">
        <f t="shared" si="339"/>
        <v>0.10407852449522724</v>
      </c>
      <c r="AG348" s="20">
        <v>330745</v>
      </c>
      <c r="AH348" s="21">
        <f t="shared" si="449"/>
        <v>20297</v>
      </c>
      <c r="AI348" s="21">
        <f t="shared" si="431"/>
        <v>7333.5714285714284</v>
      </c>
      <c r="AJ348" s="20">
        <v>124423</v>
      </c>
      <c r="AK348" s="20">
        <f t="shared" si="458"/>
        <v>3774</v>
      </c>
      <c r="AL348" s="21">
        <f t="shared" si="464"/>
        <v>3253</v>
      </c>
      <c r="AM348" s="26">
        <f t="shared" si="353"/>
        <v>2227.5714285714284</v>
      </c>
    </row>
    <row r="349" spans="1:39" ht="16">
      <c r="A349" s="30">
        <v>44241</v>
      </c>
      <c r="B349" s="20">
        <v>387462</v>
      </c>
      <c r="C349" s="20">
        <v>1707</v>
      </c>
      <c r="D349" s="20">
        <v>13706</v>
      </c>
      <c r="E349" s="20">
        <v>296173</v>
      </c>
      <c r="F349" s="20">
        <v>3377187</v>
      </c>
      <c r="G349" s="17">
        <f t="shared" si="204"/>
        <v>344610.91836734692</v>
      </c>
      <c r="H349" s="20"/>
      <c r="I349" s="19">
        <f t="shared" si="234"/>
        <v>4.4250884628844736E-3</v>
      </c>
      <c r="J349" s="19">
        <f t="shared" si="231"/>
        <v>0.11472921102681018</v>
      </c>
      <c r="K349" s="19">
        <f t="shared" si="232"/>
        <v>5.8120626434029288E-3</v>
      </c>
      <c r="L349" s="20">
        <v>77583</v>
      </c>
      <c r="M349" s="19">
        <f t="shared" si="235"/>
        <v>3.537379149439171E-2</v>
      </c>
      <c r="N349" s="19">
        <f t="shared" si="236"/>
        <v>0.76439237912363023</v>
      </c>
      <c r="O349" s="20">
        <v>19927</v>
      </c>
      <c r="P349" s="28">
        <f t="shared" si="437"/>
        <v>19515</v>
      </c>
      <c r="Q349" s="29">
        <f t="shared" si="322"/>
        <v>8.7471176018447352E-2</v>
      </c>
      <c r="R349" s="20">
        <f t="shared" si="440"/>
        <v>70</v>
      </c>
      <c r="S349" s="20">
        <f t="shared" si="443"/>
        <v>2631</v>
      </c>
      <c r="T349" s="20">
        <v>3755</v>
      </c>
      <c r="U349" s="20">
        <v>312</v>
      </c>
      <c r="V349" s="19">
        <f t="shared" si="316"/>
        <v>0.20023382938197809</v>
      </c>
      <c r="W349" s="20">
        <f t="shared" ref="W349:X349" si="486">T349-T348</f>
        <v>-16</v>
      </c>
      <c r="X349" s="20">
        <f t="shared" si="486"/>
        <v>13</v>
      </c>
      <c r="Y349" s="19">
        <f t="shared" si="476"/>
        <v>4.8399778301947589E-2</v>
      </c>
      <c r="Z349" s="19">
        <f t="shared" si="477"/>
        <v>8.308921438082556E-2</v>
      </c>
      <c r="AA349" s="21">
        <f t="shared" si="348"/>
        <v>1.23100235716691</v>
      </c>
      <c r="AB349" s="26">
        <f t="shared" si="364"/>
        <v>1.1588810629461341</v>
      </c>
      <c r="AC349" s="23">
        <f t="shared" si="331"/>
        <v>1566.7142857142858</v>
      </c>
      <c r="AD349" s="23">
        <f t="shared" si="360"/>
        <v>88</v>
      </c>
      <c r="AE349" s="23">
        <f t="shared" si="332"/>
        <v>15903.571428571429</v>
      </c>
      <c r="AF349" s="25">
        <f t="shared" si="339"/>
        <v>0.10628664996512197</v>
      </c>
      <c r="AG349" s="20">
        <v>335188</v>
      </c>
      <c r="AH349" s="21">
        <f t="shared" si="449"/>
        <v>4443</v>
      </c>
      <c r="AI349" s="21">
        <f t="shared" si="431"/>
        <v>6972.7142857142853</v>
      </c>
      <c r="AJ349" s="20">
        <v>128195</v>
      </c>
      <c r="AK349" s="20">
        <f t="shared" si="458"/>
        <v>3772</v>
      </c>
      <c r="AL349" s="21">
        <f t="shared" si="464"/>
        <v>3279</v>
      </c>
      <c r="AM349" s="26">
        <f t="shared" si="353"/>
        <v>2344.2857142857142</v>
      </c>
    </row>
    <row r="350" spans="1:39" ht="16">
      <c r="A350" s="30">
        <v>44242</v>
      </c>
      <c r="B350" s="20">
        <v>388799</v>
      </c>
      <c r="C350" s="20">
        <v>1337</v>
      </c>
      <c r="D350" s="20">
        <v>13752</v>
      </c>
      <c r="E350" s="20">
        <v>298008</v>
      </c>
      <c r="F350" s="20">
        <v>3388457</v>
      </c>
      <c r="G350" s="17">
        <f t="shared" si="204"/>
        <v>345760.91836734692</v>
      </c>
      <c r="H350" s="20"/>
      <c r="I350" s="19">
        <f t="shared" si="234"/>
        <v>3.4506609680433177E-3</v>
      </c>
      <c r="J350" s="19">
        <f t="shared" si="231"/>
        <v>0.11474219681701731</v>
      </c>
      <c r="K350" s="19">
        <f t="shared" si="232"/>
        <v>3.3370968205195628E-3</v>
      </c>
      <c r="L350" s="20">
        <v>77039</v>
      </c>
      <c r="M350" s="19">
        <f t="shared" si="235"/>
        <v>3.5370461343779178E-2</v>
      </c>
      <c r="N350" s="19">
        <f t="shared" si="236"/>
        <v>0.76648345288953934</v>
      </c>
      <c r="O350" s="20">
        <v>20718</v>
      </c>
      <c r="P350" s="28">
        <f t="shared" si="437"/>
        <v>11270</v>
      </c>
      <c r="Q350" s="29">
        <f t="shared" si="322"/>
        <v>0.11863354037267081</v>
      </c>
      <c r="R350" s="20">
        <f t="shared" si="440"/>
        <v>46</v>
      </c>
      <c r="S350" s="20">
        <f t="shared" si="443"/>
        <v>1835</v>
      </c>
      <c r="T350" s="20">
        <v>3883</v>
      </c>
      <c r="U350" s="20">
        <v>314</v>
      </c>
      <c r="V350" s="19">
        <f t="shared" si="316"/>
        <v>0.1981460857666815</v>
      </c>
      <c r="W350" s="20">
        <f t="shared" ref="W350:X350" si="487">T350-T349</f>
        <v>128</v>
      </c>
      <c r="X350" s="20">
        <f t="shared" si="487"/>
        <v>2</v>
      </c>
      <c r="Y350" s="19">
        <f t="shared" si="476"/>
        <v>5.0403042614779528E-2</v>
      </c>
      <c r="Z350" s="19">
        <f t="shared" si="477"/>
        <v>8.0865310327066703E-2</v>
      </c>
      <c r="AA350" s="21">
        <f t="shared" si="348"/>
        <v>1.2458356623812186</v>
      </c>
      <c r="AB350" s="26">
        <f t="shared" si="364"/>
        <v>1.1827503571447602</v>
      </c>
      <c r="AC350" s="23">
        <f t="shared" si="331"/>
        <v>1592</v>
      </c>
      <c r="AD350" s="23">
        <f t="shared" si="360"/>
        <v>85.285714285714292</v>
      </c>
      <c r="AE350" s="23">
        <f t="shared" si="332"/>
        <v>16125</v>
      </c>
      <c r="AF350" s="25">
        <f t="shared" si="339"/>
        <v>0.10618550376321664</v>
      </c>
      <c r="AG350" s="20">
        <v>336297</v>
      </c>
      <c r="AH350" s="21">
        <f t="shared" si="449"/>
        <v>1109</v>
      </c>
      <c r="AI350" s="21">
        <f t="shared" si="431"/>
        <v>6750.7142857142853</v>
      </c>
      <c r="AJ350" s="20">
        <v>129339</v>
      </c>
      <c r="AK350" s="20">
        <f t="shared" si="458"/>
        <v>1144</v>
      </c>
      <c r="AL350" s="21">
        <f t="shared" si="464"/>
        <v>3106.7142857142858</v>
      </c>
      <c r="AM350" s="26">
        <f t="shared" si="353"/>
        <v>2309.8571428571427</v>
      </c>
    </row>
    <row r="351" spans="1:39" ht="16">
      <c r="A351" s="30">
        <v>44243</v>
      </c>
      <c r="B351" s="20">
        <v>389622</v>
      </c>
      <c r="C351" s="20">
        <v>823</v>
      </c>
      <c r="D351" s="20">
        <v>13837</v>
      </c>
      <c r="E351" s="20">
        <v>298773</v>
      </c>
      <c r="F351" s="20">
        <v>3394684</v>
      </c>
      <c r="G351" s="17">
        <f t="shared" si="204"/>
        <v>346396.32653061225</v>
      </c>
      <c r="H351" s="20"/>
      <c r="I351" s="19">
        <f t="shared" si="234"/>
        <v>2.1167749917052254E-3</v>
      </c>
      <c r="J351" s="19">
        <f t="shared" si="231"/>
        <v>0.11477415865512076</v>
      </c>
      <c r="K351" s="19">
        <f t="shared" si="232"/>
        <v>1.8377096123692877E-3</v>
      </c>
      <c r="L351" s="20">
        <v>77012</v>
      </c>
      <c r="M351" s="19">
        <f t="shared" si="235"/>
        <v>3.5513908352197768E-2</v>
      </c>
      <c r="N351" s="19">
        <f t="shared" si="236"/>
        <v>0.76682784853011376</v>
      </c>
      <c r="O351" s="20">
        <v>20224</v>
      </c>
      <c r="P351" s="28">
        <f t="shared" si="437"/>
        <v>6227</v>
      </c>
      <c r="Q351" s="29">
        <f t="shared" si="322"/>
        <v>0.13216637224987957</v>
      </c>
      <c r="R351" s="20">
        <f t="shared" si="440"/>
        <v>85</v>
      </c>
      <c r="S351" s="20">
        <f t="shared" si="443"/>
        <v>765</v>
      </c>
      <c r="T351" s="20">
        <v>3979</v>
      </c>
      <c r="U351" s="20">
        <v>318</v>
      </c>
      <c r="V351" s="19">
        <f t="shared" si="316"/>
        <v>0.19765824311768843</v>
      </c>
      <c r="W351" s="20">
        <f t="shared" ref="W351:X351" si="488">T351-T350</f>
        <v>96</v>
      </c>
      <c r="X351" s="20">
        <f t="shared" si="488"/>
        <v>4</v>
      </c>
      <c r="Y351" s="19">
        <f t="shared" si="476"/>
        <v>5.1667272632836443E-2</v>
      </c>
      <c r="Z351" s="19">
        <f t="shared" si="477"/>
        <v>7.9919577783362658E-2</v>
      </c>
      <c r="AA351" s="21">
        <f t="shared" si="348"/>
        <v>1.1526572094008045</v>
      </c>
      <c r="AB351" s="26">
        <f t="shared" si="364"/>
        <v>1.1869795092460931</v>
      </c>
      <c r="AC351" s="23">
        <f t="shared" si="331"/>
        <v>1555.4285714285713</v>
      </c>
      <c r="AD351" s="23">
        <f t="shared" si="360"/>
        <v>84</v>
      </c>
      <c r="AE351" s="23">
        <f t="shared" si="332"/>
        <v>16098.857142857143</v>
      </c>
      <c r="AF351" s="25">
        <f t="shared" si="339"/>
        <v>0.10101916648043811</v>
      </c>
      <c r="AG351" s="20">
        <v>341958</v>
      </c>
      <c r="AH351" s="21">
        <f t="shared" si="449"/>
        <v>5661</v>
      </c>
      <c r="AI351" s="21">
        <f t="shared" si="431"/>
        <v>7223.1428571428569</v>
      </c>
      <c r="AJ351" s="20">
        <v>131593</v>
      </c>
      <c r="AK351" s="20">
        <f t="shared" si="458"/>
        <v>2254</v>
      </c>
      <c r="AL351" s="21">
        <f t="shared" si="464"/>
        <v>3028.2857142857142</v>
      </c>
      <c r="AM351" s="26">
        <f t="shared" si="353"/>
        <v>2213</v>
      </c>
    </row>
    <row r="352" spans="1:39" ht="16">
      <c r="A352" s="30">
        <v>44244</v>
      </c>
      <c r="B352" s="20">
        <v>391170</v>
      </c>
      <c r="C352" s="20">
        <v>1548</v>
      </c>
      <c r="D352" s="20">
        <v>13931</v>
      </c>
      <c r="E352" s="20">
        <v>299989</v>
      </c>
      <c r="F352" s="20">
        <v>3414023</v>
      </c>
      <c r="G352" s="17">
        <f t="shared" si="204"/>
        <v>348369.69387755101</v>
      </c>
      <c r="H352" s="20"/>
      <c r="I352" s="19">
        <f t="shared" si="234"/>
        <v>3.9730816021682552E-3</v>
      </c>
      <c r="J352" s="19">
        <f t="shared" si="231"/>
        <v>0.11457743547714822</v>
      </c>
      <c r="K352" s="19">
        <f t="shared" si="232"/>
        <v>5.6968483664458901E-3</v>
      </c>
      <c r="L352" s="20">
        <v>77250</v>
      </c>
      <c r="M352" s="19">
        <f t="shared" si="235"/>
        <v>3.561367180509753E-2</v>
      </c>
      <c r="N352" s="19">
        <f t="shared" si="236"/>
        <v>0.76690185852698312</v>
      </c>
      <c r="O352" s="20">
        <v>18205</v>
      </c>
      <c r="P352" s="28">
        <f t="shared" si="437"/>
        <v>19339</v>
      </c>
      <c r="Q352" s="29">
        <f t="shared" si="322"/>
        <v>8.0045503904028134E-2</v>
      </c>
      <c r="R352" s="20">
        <f t="shared" si="440"/>
        <v>94</v>
      </c>
      <c r="S352" s="20">
        <f t="shared" si="443"/>
        <v>1216</v>
      </c>
      <c r="T352" s="20">
        <v>4014</v>
      </c>
      <c r="U352" s="20">
        <v>321</v>
      </c>
      <c r="V352" s="19">
        <f t="shared" si="316"/>
        <v>0.19748446966791933</v>
      </c>
      <c r="W352" s="20">
        <f t="shared" ref="W352:X352" si="489">T352-T351</f>
        <v>35</v>
      </c>
      <c r="X352" s="20">
        <f t="shared" si="489"/>
        <v>3</v>
      </c>
      <c r="Y352" s="19">
        <f t="shared" si="476"/>
        <v>5.1961165048543687E-2</v>
      </c>
      <c r="Z352" s="19">
        <f t="shared" si="477"/>
        <v>7.9970104633781763E-2</v>
      </c>
      <c r="AA352" s="21">
        <f t="shared" si="348"/>
        <v>1.1529399607316317</v>
      </c>
      <c r="AB352" s="26">
        <f t="shared" si="364"/>
        <v>1.1881809516383537</v>
      </c>
      <c r="AC352" s="23">
        <f t="shared" si="331"/>
        <v>1593.8571428571429</v>
      </c>
      <c r="AD352" s="23">
        <f t="shared" si="360"/>
        <v>83.428571428571431</v>
      </c>
      <c r="AE352" s="23">
        <f t="shared" si="332"/>
        <v>16458.428571428572</v>
      </c>
      <c r="AF352" s="25">
        <f t="shared" si="339"/>
        <v>0.10159261168547203</v>
      </c>
      <c r="AG352" s="20">
        <v>348927</v>
      </c>
      <c r="AH352" s="21">
        <f t="shared" si="449"/>
        <v>6969</v>
      </c>
      <c r="AI352" s="21">
        <f t="shared" si="431"/>
        <v>8042.8571428571431</v>
      </c>
      <c r="AJ352" s="20">
        <v>134824</v>
      </c>
      <c r="AK352" s="20">
        <f t="shared" si="458"/>
        <v>3231</v>
      </c>
      <c r="AL352" s="21">
        <f t="shared" si="464"/>
        <v>3036.2857142857142</v>
      </c>
      <c r="AM352" s="26">
        <f t="shared" si="353"/>
        <v>2138.1428571428573</v>
      </c>
    </row>
    <row r="353" spans="1:39" ht="16">
      <c r="A353" s="30">
        <v>44245</v>
      </c>
      <c r="B353" s="20">
        <v>394023</v>
      </c>
      <c r="C353" s="20">
        <v>2853</v>
      </c>
      <c r="D353" s="20">
        <v>14035</v>
      </c>
      <c r="E353" s="20">
        <v>301363</v>
      </c>
      <c r="F353" s="20">
        <v>3434878</v>
      </c>
      <c r="G353" s="17">
        <f t="shared" si="204"/>
        <v>350497.75510204077</v>
      </c>
      <c r="H353" s="20"/>
      <c r="I353" s="19">
        <f t="shared" si="234"/>
        <v>7.2935041030753895E-3</v>
      </c>
      <c r="J353" s="19">
        <f t="shared" si="231"/>
        <v>0.114712371152629</v>
      </c>
      <c r="K353" s="19">
        <f t="shared" si="232"/>
        <v>6.1086290279825295E-3</v>
      </c>
      <c r="L353" s="20">
        <v>78625</v>
      </c>
      <c r="M353" s="19">
        <f t="shared" si="235"/>
        <v>3.5619748085771639E-2</v>
      </c>
      <c r="N353" s="19">
        <f t="shared" si="236"/>
        <v>0.7648360628694264</v>
      </c>
      <c r="O353" s="20">
        <v>22893</v>
      </c>
      <c r="P353" s="28">
        <f t="shared" si="437"/>
        <v>20855</v>
      </c>
      <c r="Q353" s="29">
        <f t="shared" si="322"/>
        <v>0.13680172620474707</v>
      </c>
      <c r="R353" s="20">
        <f t="shared" si="440"/>
        <v>104</v>
      </c>
      <c r="S353" s="20">
        <f t="shared" si="443"/>
        <v>1374</v>
      </c>
      <c r="T353" s="20">
        <v>4021</v>
      </c>
      <c r="U353" s="20">
        <v>332</v>
      </c>
      <c r="V353" s="19">
        <f t="shared" si="316"/>
        <v>0.19954418904480195</v>
      </c>
      <c r="W353" s="20">
        <f t="shared" ref="W353:X353" si="490">T353-T352</f>
        <v>7</v>
      </c>
      <c r="X353" s="20">
        <f t="shared" si="490"/>
        <v>11</v>
      </c>
      <c r="Y353" s="19">
        <f t="shared" si="476"/>
        <v>5.1141494435612084E-2</v>
      </c>
      <c r="Z353" s="19">
        <f t="shared" si="477"/>
        <v>8.2566525739865698E-2</v>
      </c>
      <c r="AA353" s="21">
        <f t="shared" si="348"/>
        <v>1.2286841306766461</v>
      </c>
      <c r="AB353" s="26">
        <f t="shared" si="364"/>
        <v>1.198278751519845</v>
      </c>
      <c r="AC353" s="23">
        <f t="shared" si="331"/>
        <v>1735.4285714285713</v>
      </c>
      <c r="AD353" s="23">
        <f t="shared" si="360"/>
        <v>84.428571428571431</v>
      </c>
      <c r="AE353" s="23">
        <f t="shared" si="332"/>
        <v>16575.428571428572</v>
      </c>
      <c r="AF353" s="25">
        <f t="shared" si="339"/>
        <v>0.10785961241443354</v>
      </c>
      <c r="AG353" s="20">
        <v>365021</v>
      </c>
      <c r="AH353" s="21">
        <f t="shared" si="449"/>
        <v>16094</v>
      </c>
      <c r="AI353" s="21">
        <f t="shared" si="431"/>
        <v>10056.714285714286</v>
      </c>
      <c r="AJ353" s="20">
        <v>141023</v>
      </c>
      <c r="AK353" s="20">
        <f t="shared" si="458"/>
        <v>6199</v>
      </c>
      <c r="AL353" s="21">
        <f t="shared" si="464"/>
        <v>3379.2857142857142</v>
      </c>
      <c r="AM353" s="26">
        <f t="shared" si="353"/>
        <v>2032.7142857142858</v>
      </c>
    </row>
    <row r="354" spans="1:39" ht="16">
      <c r="A354" s="30">
        <v>44246</v>
      </c>
      <c r="B354" s="20">
        <f t="shared" ref="B354:B466" si="491">B353+C354</f>
        <v>397116</v>
      </c>
      <c r="C354" s="20">
        <v>3093</v>
      </c>
      <c r="D354" s="20">
        <v>14145</v>
      </c>
      <c r="E354" s="20">
        <v>302689</v>
      </c>
      <c r="F354" s="20">
        <v>3457538</v>
      </c>
      <c r="G354" s="17">
        <f t="shared" si="204"/>
        <v>352810</v>
      </c>
      <c r="H354" s="20"/>
      <c r="I354" s="19">
        <f t="shared" si="234"/>
        <v>7.849795570309348E-3</v>
      </c>
      <c r="J354" s="19">
        <f t="shared" si="231"/>
        <v>0.11485513680543785</v>
      </c>
      <c r="K354" s="19">
        <f t="shared" si="232"/>
        <v>6.5970319760992966E-3</v>
      </c>
      <c r="L354" s="20">
        <v>80282</v>
      </c>
      <c r="M354" s="19">
        <f t="shared" si="235"/>
        <v>3.5619315263046562E-2</v>
      </c>
      <c r="N354" s="19">
        <f t="shared" si="236"/>
        <v>0.7622180924465396</v>
      </c>
      <c r="O354" s="20">
        <v>25536</v>
      </c>
      <c r="P354" s="28">
        <f t="shared" si="437"/>
        <v>22660</v>
      </c>
      <c r="Q354" s="29">
        <f t="shared" si="322"/>
        <v>0.13649602824360105</v>
      </c>
      <c r="R354" s="20">
        <f t="shared" si="440"/>
        <v>110</v>
      </c>
      <c r="S354" s="20">
        <f t="shared" si="443"/>
        <v>1326</v>
      </c>
      <c r="T354" s="20">
        <v>4024</v>
      </c>
      <c r="U354" s="20">
        <v>352</v>
      </c>
      <c r="V354" s="19">
        <f t="shared" si="316"/>
        <v>0.20216259229041389</v>
      </c>
      <c r="W354" s="20">
        <f t="shared" ref="W354:X354" si="492">T354-T353</f>
        <v>3</v>
      </c>
      <c r="X354" s="20">
        <f t="shared" si="492"/>
        <v>20</v>
      </c>
      <c r="Y354" s="19">
        <f t="shared" si="476"/>
        <v>5.0123315313519844E-2</v>
      </c>
      <c r="Z354" s="19">
        <f t="shared" si="477"/>
        <v>8.74751491053678E-2</v>
      </c>
      <c r="AA354" s="21">
        <f t="shared" si="348"/>
        <v>1.3156031855274801</v>
      </c>
      <c r="AB354" s="26">
        <f t="shared" si="364"/>
        <v>1.2183422254942666</v>
      </c>
      <c r="AC354" s="23">
        <f t="shared" si="331"/>
        <v>1911.5714285714287</v>
      </c>
      <c r="AD354" s="23">
        <f t="shared" si="360"/>
        <v>86</v>
      </c>
      <c r="AE354" s="23">
        <f t="shared" si="332"/>
        <v>17035.571428571428</v>
      </c>
      <c r="AF354" s="25">
        <f t="shared" si="339"/>
        <v>0.11368991154083893</v>
      </c>
      <c r="AG354" s="20">
        <v>391821</v>
      </c>
      <c r="AH354" s="21">
        <f t="shared" si="449"/>
        <v>26800</v>
      </c>
      <c r="AI354" s="21">
        <f t="shared" si="431"/>
        <v>11624.714285714286</v>
      </c>
      <c r="AJ354" s="20">
        <v>152432</v>
      </c>
      <c r="AK354" s="20">
        <f t="shared" si="458"/>
        <v>11409</v>
      </c>
      <c r="AL354" s="21">
        <f t="shared" si="464"/>
        <v>4540.4285714285716</v>
      </c>
      <c r="AM354" s="26">
        <f t="shared" si="353"/>
        <v>1881.2857142857142</v>
      </c>
    </row>
    <row r="355" spans="1:39" ht="16">
      <c r="A355" s="30">
        <v>44247</v>
      </c>
      <c r="B355" s="20">
        <f t="shared" si="491"/>
        <v>400111</v>
      </c>
      <c r="C355" s="20">
        <v>2995</v>
      </c>
      <c r="D355" s="20">
        <v>14252</v>
      </c>
      <c r="E355" s="20">
        <v>304680</v>
      </c>
      <c r="F355" s="20">
        <v>3480444</v>
      </c>
      <c r="G355" s="17">
        <f t="shared" si="204"/>
        <v>355147.3469387755</v>
      </c>
      <c r="H355" s="20"/>
      <c r="I355" s="19">
        <f t="shared" si="234"/>
        <v>7.5418769326846564E-3</v>
      </c>
      <c r="J355" s="19">
        <f t="shared" si="231"/>
        <v>0.11495975800788635</v>
      </c>
      <c r="K355" s="19">
        <f t="shared" si="232"/>
        <v>6.6249452645205922E-3</v>
      </c>
      <c r="L355" s="20">
        <v>81179</v>
      </c>
      <c r="M355" s="19">
        <f t="shared" si="235"/>
        <v>3.5620115417971512E-2</v>
      </c>
      <c r="N355" s="19">
        <f t="shared" si="236"/>
        <v>0.7614886868893882</v>
      </c>
      <c r="O355" s="20">
        <v>26068</v>
      </c>
      <c r="P355" s="28">
        <f t="shared" si="437"/>
        <v>22906</v>
      </c>
      <c r="Q355" s="29">
        <f t="shared" si="322"/>
        <v>0.13075176809569544</v>
      </c>
      <c r="R355" s="20">
        <f t="shared" si="440"/>
        <v>107</v>
      </c>
      <c r="S355" s="20">
        <f t="shared" si="443"/>
        <v>1991</v>
      </c>
      <c r="T355" s="20">
        <v>4147</v>
      </c>
      <c r="U355" s="20">
        <v>351</v>
      </c>
      <c r="V355" s="19">
        <f t="shared" si="316"/>
        <v>0.2028911976926403</v>
      </c>
      <c r="W355" s="20">
        <f t="shared" ref="W355:X355" si="493">T355-T354</f>
        <v>123</v>
      </c>
      <c r="X355" s="20">
        <f t="shared" si="493"/>
        <v>-1</v>
      </c>
      <c r="Y355" s="19">
        <f t="shared" si="476"/>
        <v>5.1084640116286231E-2</v>
      </c>
      <c r="Z355" s="19">
        <f t="shared" si="477"/>
        <v>8.4639498432601878E-2</v>
      </c>
      <c r="AA355" s="21">
        <f t="shared" si="348"/>
        <v>1.3505174035747884</v>
      </c>
      <c r="AB355" s="26">
        <f t="shared" si="364"/>
        <v>1.2396057013513542</v>
      </c>
      <c r="AC355" s="23">
        <f t="shared" si="331"/>
        <v>2050.8571428571427</v>
      </c>
      <c r="AD355" s="23">
        <f t="shared" si="360"/>
        <v>88</v>
      </c>
      <c r="AE355" s="23">
        <f t="shared" si="332"/>
        <v>17538.857142857141</v>
      </c>
      <c r="AF355" s="25">
        <f t="shared" si="339"/>
        <v>0.1174808735841528</v>
      </c>
      <c r="AG355" s="20">
        <v>427309</v>
      </c>
      <c r="AH355" s="21">
        <f t="shared" si="449"/>
        <v>35488</v>
      </c>
      <c r="AI355" s="21">
        <f t="shared" si="431"/>
        <v>13794.857142857143</v>
      </c>
      <c r="AJ355" s="20">
        <v>172739</v>
      </c>
      <c r="AK355" s="20">
        <f t="shared" si="458"/>
        <v>20307</v>
      </c>
      <c r="AL355" s="21">
        <f t="shared" si="464"/>
        <v>6902.2857142857147</v>
      </c>
      <c r="AM355" s="26">
        <f t="shared" si="353"/>
        <v>1591.1428571428571</v>
      </c>
    </row>
    <row r="356" spans="1:39" ht="16">
      <c r="A356" s="30">
        <v>44248</v>
      </c>
      <c r="B356" s="20">
        <f t="shared" si="491"/>
        <v>403023</v>
      </c>
      <c r="C356" s="20">
        <v>2912</v>
      </c>
      <c r="D356" s="20">
        <v>14299</v>
      </c>
      <c r="E356" s="20">
        <v>306621</v>
      </c>
      <c r="F356" s="20">
        <v>3503611</v>
      </c>
      <c r="G356" s="17">
        <f t="shared" si="204"/>
        <v>357511.32653061219</v>
      </c>
      <c r="H356" s="20"/>
      <c r="I356" s="19">
        <f t="shared" si="234"/>
        <v>7.2779803604499753E-3</v>
      </c>
      <c r="J356" s="19">
        <f t="shared" si="231"/>
        <v>0.11503074970366288</v>
      </c>
      <c r="K356" s="19">
        <f t="shared" si="232"/>
        <v>6.6563346515559505E-3</v>
      </c>
      <c r="L356" s="20">
        <v>82103</v>
      </c>
      <c r="M356" s="19">
        <f t="shared" si="235"/>
        <v>3.5479364701270152E-2</v>
      </c>
      <c r="N356" s="19">
        <f t="shared" si="236"/>
        <v>0.76080273334276205</v>
      </c>
      <c r="O356" s="20">
        <v>27179</v>
      </c>
      <c r="P356" s="28">
        <f t="shared" si="437"/>
        <v>23167</v>
      </c>
      <c r="Q356" s="29">
        <f t="shared" si="322"/>
        <v>0.12569603315060215</v>
      </c>
      <c r="R356" s="20">
        <f t="shared" si="440"/>
        <v>47</v>
      </c>
      <c r="S356" s="20">
        <f t="shared" si="443"/>
        <v>1941</v>
      </c>
      <c r="T356" s="20">
        <v>4233</v>
      </c>
      <c r="U356" s="20">
        <v>366</v>
      </c>
      <c r="V356" s="19">
        <f t="shared" si="316"/>
        <v>0.20371790195596778</v>
      </c>
      <c r="W356" s="20">
        <f t="shared" ref="W356:X356" si="494">T356-T355</f>
        <v>86</v>
      </c>
      <c r="X356" s="20">
        <f t="shared" si="494"/>
        <v>15</v>
      </c>
      <c r="Y356" s="19">
        <f t="shared" si="476"/>
        <v>5.1557190358452187E-2</v>
      </c>
      <c r="Z356" s="19">
        <f t="shared" si="477"/>
        <v>8.6463501063075834E-2</v>
      </c>
      <c r="AA356" s="21">
        <f t="shared" si="348"/>
        <v>1.4188930427646576</v>
      </c>
      <c r="AB356" s="26">
        <f t="shared" si="364"/>
        <v>1.2664472278653183</v>
      </c>
      <c r="AC356" s="23">
        <f t="shared" si="331"/>
        <v>2223</v>
      </c>
      <c r="AD356" s="23">
        <f t="shared" si="360"/>
        <v>84.714285714285708</v>
      </c>
      <c r="AE356" s="23">
        <f t="shared" si="332"/>
        <v>18060.571428571428</v>
      </c>
      <c r="AF356" s="25">
        <f t="shared" si="339"/>
        <v>0.1229415674601749</v>
      </c>
      <c r="AG356" s="20">
        <v>445535</v>
      </c>
      <c r="AH356" s="21">
        <f t="shared" si="449"/>
        <v>18226</v>
      </c>
      <c r="AI356" s="21">
        <f t="shared" si="431"/>
        <v>15763.857142857143</v>
      </c>
      <c r="AJ356" s="20">
        <v>190705</v>
      </c>
      <c r="AK356" s="20">
        <f t="shared" si="458"/>
        <v>17966</v>
      </c>
      <c r="AL356" s="21">
        <f t="shared" si="464"/>
        <v>8930</v>
      </c>
      <c r="AM356" s="26">
        <f t="shared" si="353"/>
        <v>1492.5714285714287</v>
      </c>
    </row>
    <row r="357" spans="1:39" ht="16">
      <c r="A357" s="30">
        <v>44249</v>
      </c>
      <c r="B357" s="20">
        <f t="shared" si="491"/>
        <v>405646</v>
      </c>
      <c r="C357" s="20">
        <v>2623</v>
      </c>
      <c r="D357" s="20">
        <v>14347</v>
      </c>
      <c r="E357" s="20">
        <v>308650</v>
      </c>
      <c r="F357" s="20">
        <v>3519536</v>
      </c>
      <c r="G357" s="17">
        <f t="shared" si="204"/>
        <v>359136.32653061219</v>
      </c>
      <c r="H357" s="20"/>
      <c r="I357" s="19">
        <f t="shared" si="234"/>
        <v>6.5083134213183864E-3</v>
      </c>
      <c r="J357" s="19">
        <f t="shared" si="231"/>
        <v>0.11525553368398561</v>
      </c>
      <c r="K357" s="19">
        <f t="shared" si="232"/>
        <v>4.5453105381847471E-3</v>
      </c>
      <c r="L357" s="20">
        <v>82649</v>
      </c>
      <c r="M357" s="19">
        <f t="shared" si="235"/>
        <v>3.5368276773344247E-2</v>
      </c>
      <c r="N357" s="19">
        <f t="shared" si="236"/>
        <v>0.76088510671866605</v>
      </c>
      <c r="O357" s="20">
        <v>25589</v>
      </c>
      <c r="P357" s="28">
        <f t="shared" si="437"/>
        <v>15925</v>
      </c>
      <c r="Q357" s="29">
        <f t="shared" si="322"/>
        <v>0.16470957613814757</v>
      </c>
      <c r="R357" s="20">
        <f t="shared" si="440"/>
        <v>48</v>
      </c>
      <c r="S357" s="20">
        <f t="shared" si="443"/>
        <v>2029</v>
      </c>
      <c r="T357" s="20">
        <v>4489</v>
      </c>
      <c r="U357" s="20">
        <v>394</v>
      </c>
      <c r="V357" s="19">
        <f t="shared" si="316"/>
        <v>0.20374661650798973</v>
      </c>
      <c r="W357" s="20">
        <f t="shared" ref="W357:X357" si="495">T357-T356</f>
        <v>256</v>
      </c>
      <c r="X357" s="20">
        <f t="shared" si="495"/>
        <v>28</v>
      </c>
      <c r="Y357" s="19">
        <f t="shared" si="476"/>
        <v>5.4314026787982916E-2</v>
      </c>
      <c r="Z357" s="19">
        <f t="shared" si="477"/>
        <v>8.7770104700378701E-2</v>
      </c>
      <c r="AA357" s="21">
        <f t="shared" si="348"/>
        <v>1.5117552045944005</v>
      </c>
      <c r="AB357" s="26">
        <f t="shared" si="364"/>
        <v>1.3044357338957726</v>
      </c>
      <c r="AC357" s="23">
        <f t="shared" si="331"/>
        <v>2406.7142857142858</v>
      </c>
      <c r="AD357" s="23">
        <f t="shared" si="360"/>
        <v>85</v>
      </c>
      <c r="AE357" s="23">
        <f t="shared" si="332"/>
        <v>18725.571428571428</v>
      </c>
      <c r="AF357" s="25">
        <f t="shared" si="339"/>
        <v>0.12952385828381444</v>
      </c>
      <c r="AG357" s="20">
        <v>453457</v>
      </c>
      <c r="AH357" s="21">
        <f t="shared" si="449"/>
        <v>7922</v>
      </c>
      <c r="AI357" s="21">
        <f t="shared" si="431"/>
        <v>16737.142857142859</v>
      </c>
      <c r="AJ357" s="20">
        <v>201005</v>
      </c>
      <c r="AK357" s="20">
        <f t="shared" si="458"/>
        <v>10300</v>
      </c>
      <c r="AL357" s="21">
        <f t="shared" si="464"/>
        <v>10238</v>
      </c>
      <c r="AM357" s="26">
        <f t="shared" si="353"/>
        <v>1520.2857142857142</v>
      </c>
    </row>
    <row r="358" spans="1:39" ht="16">
      <c r="A358" s="30">
        <v>44250</v>
      </c>
      <c r="B358" s="20">
        <f t="shared" si="491"/>
        <v>407274</v>
      </c>
      <c r="C358" s="20">
        <v>1628</v>
      </c>
      <c r="D358" s="20">
        <v>14450</v>
      </c>
      <c r="E358" s="20">
        <v>310848</v>
      </c>
      <c r="F358" s="20">
        <v>3528862</v>
      </c>
      <c r="G358" s="17">
        <f t="shared" si="204"/>
        <v>360087.95918367343</v>
      </c>
      <c r="H358" s="20"/>
      <c r="I358" s="19">
        <f t="shared" si="234"/>
        <v>4.0133515429709651E-3</v>
      </c>
      <c r="J358" s="19">
        <f t="shared" si="231"/>
        <v>0.11541227738574078</v>
      </c>
      <c r="K358" s="19">
        <f t="shared" si="232"/>
        <v>2.6497811075096261E-3</v>
      </c>
      <c r="L358" s="20">
        <v>81976</v>
      </c>
      <c r="M358" s="19">
        <f t="shared" si="235"/>
        <v>3.5479799839911216E-2</v>
      </c>
      <c r="N358" s="19">
        <f t="shared" si="236"/>
        <v>0.76324047201638212</v>
      </c>
      <c r="O358" s="20">
        <v>26549</v>
      </c>
      <c r="P358" s="28">
        <f t="shared" si="437"/>
        <v>9326</v>
      </c>
      <c r="Q358" s="29">
        <f t="shared" si="322"/>
        <v>0.17456573021659877</v>
      </c>
      <c r="R358" s="20">
        <f t="shared" si="440"/>
        <v>103</v>
      </c>
      <c r="S358" s="20">
        <f t="shared" si="443"/>
        <v>2198</v>
      </c>
      <c r="T358" s="20">
        <v>4582</v>
      </c>
      <c r="U358" s="20">
        <v>396</v>
      </c>
      <c r="V358" s="19">
        <f t="shared" si="316"/>
        <v>0.2012797281437067</v>
      </c>
      <c r="W358" s="20">
        <f t="shared" ref="W358:X358" si="496">T358-T357</f>
        <v>93</v>
      </c>
      <c r="X358" s="20">
        <f t="shared" si="496"/>
        <v>2</v>
      </c>
      <c r="Y358" s="19">
        <f t="shared" si="476"/>
        <v>5.5894408119449596E-2</v>
      </c>
      <c r="Z358" s="19">
        <f t="shared" si="477"/>
        <v>8.6425141859450022E-2</v>
      </c>
      <c r="AA358" s="21">
        <f t="shared" si="348"/>
        <v>1.621234386480529</v>
      </c>
      <c r="AB358" s="26">
        <f t="shared" si="364"/>
        <v>1.3713753306214476</v>
      </c>
      <c r="AC358" s="23">
        <f t="shared" si="331"/>
        <v>2521.7142857142858</v>
      </c>
      <c r="AD358" s="23">
        <f t="shared" si="360"/>
        <v>87.571428571428569</v>
      </c>
      <c r="AE358" s="23">
        <f t="shared" si="332"/>
        <v>19168.285714285714</v>
      </c>
      <c r="AF358" s="25">
        <f t="shared" si="339"/>
        <v>0.13558090942191717</v>
      </c>
      <c r="AG358" s="20">
        <v>457096</v>
      </c>
      <c r="AH358" s="21">
        <f t="shared" si="449"/>
        <v>3639</v>
      </c>
      <c r="AI358" s="21">
        <f t="shared" si="431"/>
        <v>16448.285714285714</v>
      </c>
      <c r="AJ358" s="20">
        <v>205720</v>
      </c>
      <c r="AK358" s="20">
        <f t="shared" si="458"/>
        <v>4715</v>
      </c>
      <c r="AL358" s="21">
        <f t="shared" si="464"/>
        <v>10589.571428571429</v>
      </c>
      <c r="AM358" s="26">
        <f t="shared" si="353"/>
        <v>1725</v>
      </c>
    </row>
    <row r="359" spans="1:39" ht="16">
      <c r="A359" s="30">
        <v>44251</v>
      </c>
      <c r="B359" s="20">
        <f t="shared" si="491"/>
        <v>410129</v>
      </c>
      <c r="C359" s="20">
        <v>2855</v>
      </c>
      <c r="D359" s="20">
        <v>14552</v>
      </c>
      <c r="E359" s="20">
        <v>313450</v>
      </c>
      <c r="F359" s="20">
        <v>3552261</v>
      </c>
      <c r="G359" s="17">
        <f t="shared" si="204"/>
        <v>362475.61224489793</v>
      </c>
      <c r="H359" s="20"/>
      <c r="I359" s="19">
        <f t="shared" si="234"/>
        <v>7.0100227365360911E-3</v>
      </c>
      <c r="J359" s="19">
        <f t="shared" si="231"/>
        <v>0.11545576183731995</v>
      </c>
      <c r="K359" s="19">
        <f t="shared" si="232"/>
        <v>6.6307495164163403E-3</v>
      </c>
      <c r="L359" s="20">
        <v>82127</v>
      </c>
      <c r="M359" s="19">
        <f t="shared" si="235"/>
        <v>3.5481519229315653E-2</v>
      </c>
      <c r="N359" s="19">
        <f t="shared" si="236"/>
        <v>0.76427172913888064</v>
      </c>
      <c r="O359" s="20">
        <v>27737</v>
      </c>
      <c r="P359" s="28">
        <f t="shared" si="437"/>
        <v>23399</v>
      </c>
      <c r="Q359" s="29">
        <f t="shared" si="322"/>
        <v>0.12201376127184922</v>
      </c>
      <c r="R359" s="20">
        <f t="shared" si="440"/>
        <v>102</v>
      </c>
      <c r="S359" s="20">
        <f t="shared" si="443"/>
        <v>2602</v>
      </c>
      <c r="T359" s="20">
        <v>4353</v>
      </c>
      <c r="U359" s="20">
        <v>407</v>
      </c>
      <c r="V359" s="19">
        <f t="shared" si="316"/>
        <v>0.20024675163180367</v>
      </c>
      <c r="W359" s="20">
        <f t="shared" ref="W359:X359" si="497">T359-T358</f>
        <v>-229</v>
      </c>
      <c r="X359" s="20">
        <f t="shared" si="497"/>
        <v>11</v>
      </c>
      <c r="Y359" s="19">
        <f t="shared" si="476"/>
        <v>5.3003275414906181E-2</v>
      </c>
      <c r="Z359" s="19">
        <f t="shared" si="477"/>
        <v>9.3498736503560761E-2</v>
      </c>
      <c r="AA359" s="21">
        <f t="shared" si="348"/>
        <v>1.6992919243524245</v>
      </c>
      <c r="AB359" s="26">
        <f t="shared" si="364"/>
        <v>1.4494256111387036</v>
      </c>
      <c r="AC359" s="23">
        <f t="shared" si="331"/>
        <v>2708.4285714285716</v>
      </c>
      <c r="AD359" s="23">
        <f t="shared" si="360"/>
        <v>88.714285714285708</v>
      </c>
      <c r="AE359" s="23">
        <f t="shared" si="332"/>
        <v>19748.285714285714</v>
      </c>
      <c r="AF359" s="25">
        <f t="shared" si="339"/>
        <v>0.14157637476017734</v>
      </c>
      <c r="AG359" s="20">
        <v>471004</v>
      </c>
      <c r="AH359" s="21">
        <f t="shared" si="449"/>
        <v>13908</v>
      </c>
      <c r="AI359" s="21">
        <f t="shared" si="431"/>
        <v>17439.571428571428</v>
      </c>
      <c r="AJ359" s="20">
        <v>208846</v>
      </c>
      <c r="AK359" s="20">
        <f t="shared" si="458"/>
        <v>3126</v>
      </c>
      <c r="AL359" s="21">
        <f t="shared" si="464"/>
        <v>10574.571428571429</v>
      </c>
      <c r="AM359" s="26">
        <f t="shared" si="353"/>
        <v>1923</v>
      </c>
    </row>
    <row r="360" spans="1:39" ht="16">
      <c r="A360" s="30">
        <v>44252</v>
      </c>
      <c r="B360" s="20">
        <f t="shared" si="491"/>
        <v>414514</v>
      </c>
      <c r="C360" s="20">
        <v>4385</v>
      </c>
      <c r="D360" s="20">
        <v>14672</v>
      </c>
      <c r="E360" s="20">
        <v>315781</v>
      </c>
      <c r="F360" s="20">
        <v>3577770</v>
      </c>
      <c r="G360" s="17">
        <f t="shared" si="204"/>
        <v>365078.57142857142</v>
      </c>
      <c r="H360" s="20"/>
      <c r="I360" s="19">
        <f t="shared" si="234"/>
        <v>1.0691757959081167E-2</v>
      </c>
      <c r="J360" s="19">
        <f t="shared" si="231"/>
        <v>0.11585820217621591</v>
      </c>
      <c r="K360" s="19">
        <f t="shared" si="232"/>
        <v>7.181060175476971E-3</v>
      </c>
      <c r="L360" s="20">
        <v>84061</v>
      </c>
      <c r="M360" s="19">
        <f t="shared" si="235"/>
        <v>3.5395668180085597E-2</v>
      </c>
      <c r="N360" s="19">
        <f t="shared" si="236"/>
        <v>0.76181021630150003</v>
      </c>
      <c r="O360" s="20">
        <v>29389</v>
      </c>
      <c r="P360" s="28">
        <f t="shared" si="437"/>
        <v>25509</v>
      </c>
      <c r="Q360" s="29">
        <f t="shared" si="322"/>
        <v>0.17190011368536595</v>
      </c>
      <c r="R360" s="20">
        <f t="shared" si="440"/>
        <v>120</v>
      </c>
      <c r="S360" s="20">
        <f t="shared" si="443"/>
        <v>2331</v>
      </c>
      <c r="T360" s="20">
        <v>4836</v>
      </c>
      <c r="U360" s="20">
        <v>411</v>
      </c>
      <c r="V360" s="19">
        <f t="shared" si="316"/>
        <v>0.20279411551841434</v>
      </c>
      <c r="W360" s="20">
        <f t="shared" ref="W360:X360" si="498">T360-T359</f>
        <v>483</v>
      </c>
      <c r="X360" s="20">
        <f t="shared" si="498"/>
        <v>4</v>
      </c>
      <c r="Y360" s="19">
        <f t="shared" si="476"/>
        <v>5.7529651086710841E-2</v>
      </c>
      <c r="Z360" s="19">
        <f t="shared" si="477"/>
        <v>8.4987593052109178E-2</v>
      </c>
      <c r="AA360" s="21">
        <f t="shared" si="348"/>
        <v>1.686779716825815</v>
      </c>
      <c r="AB360" s="26">
        <f t="shared" si="364"/>
        <v>1.514867837731442</v>
      </c>
      <c r="AC360" s="23">
        <f t="shared" si="331"/>
        <v>2927.2857142857142</v>
      </c>
      <c r="AD360" s="23">
        <f t="shared" si="360"/>
        <v>91</v>
      </c>
      <c r="AE360" s="23">
        <f t="shared" si="332"/>
        <v>20413.142857142859</v>
      </c>
      <c r="AF360" s="25">
        <f t="shared" si="339"/>
        <v>0.14659043011455147</v>
      </c>
      <c r="AG360" s="20">
        <v>508073</v>
      </c>
      <c r="AH360" s="21">
        <f t="shared" si="449"/>
        <v>37069</v>
      </c>
      <c r="AI360" s="21">
        <f t="shared" si="431"/>
        <v>20436</v>
      </c>
      <c r="AJ360" s="20">
        <v>211073</v>
      </c>
      <c r="AK360" s="20">
        <f t="shared" si="458"/>
        <v>2227</v>
      </c>
      <c r="AL360" s="21">
        <f t="shared" si="464"/>
        <v>10007.142857142857</v>
      </c>
      <c r="AM360" s="26">
        <f t="shared" si="353"/>
        <v>2059.7142857142858</v>
      </c>
    </row>
    <row r="361" spans="1:39" ht="16">
      <c r="A361" s="30">
        <v>44253</v>
      </c>
      <c r="B361" s="20">
        <f t="shared" si="491"/>
        <v>419182</v>
      </c>
      <c r="C361" s="20">
        <v>4668</v>
      </c>
      <c r="D361" s="20">
        <v>14795</v>
      </c>
      <c r="E361" s="20">
        <v>317899</v>
      </c>
      <c r="F361" s="20">
        <v>3604898</v>
      </c>
      <c r="G361" s="17">
        <f t="shared" si="204"/>
        <v>367846.73469387752</v>
      </c>
      <c r="H361" s="20"/>
      <c r="I361" s="19">
        <f t="shared" si="234"/>
        <v>1.1261380797753514E-2</v>
      </c>
      <c r="J361" s="19">
        <f t="shared" si="231"/>
        <v>0.11628123736094613</v>
      </c>
      <c r="K361" s="19">
        <f t="shared" si="232"/>
        <v>7.5823767318748828E-3</v>
      </c>
      <c r="L361" s="20">
        <v>86488</v>
      </c>
      <c r="M361" s="19">
        <f t="shared" si="235"/>
        <v>3.5294931557175641E-2</v>
      </c>
      <c r="N361" s="19">
        <f t="shared" si="236"/>
        <v>0.75837941514664275</v>
      </c>
      <c r="O361" s="20">
        <v>35303</v>
      </c>
      <c r="P361" s="28">
        <f t="shared" si="437"/>
        <v>27128</v>
      </c>
      <c r="Q361" s="29">
        <f t="shared" si="322"/>
        <v>0.17207313476850486</v>
      </c>
      <c r="R361" s="20">
        <f t="shared" si="440"/>
        <v>123</v>
      </c>
      <c r="S361" s="20">
        <f t="shared" si="443"/>
        <v>2118</v>
      </c>
      <c r="T361" s="20">
        <v>5027</v>
      </c>
      <c r="U361" s="20">
        <v>451</v>
      </c>
      <c r="V361" s="19">
        <f t="shared" si="316"/>
        <v>0.2063256532961816</v>
      </c>
      <c r="W361" s="20">
        <f t="shared" ref="W361:X361" si="499">T361-T360</f>
        <v>191</v>
      </c>
      <c r="X361" s="20">
        <f t="shared" si="499"/>
        <v>40</v>
      </c>
      <c r="Y361" s="19">
        <f t="shared" si="476"/>
        <v>5.8123670335769123E-2</v>
      </c>
      <c r="Z361" s="19">
        <f t="shared" si="477"/>
        <v>8.9715536105032828E-2</v>
      </c>
      <c r="AA361" s="21">
        <f t="shared" si="348"/>
        <v>1.6490546296988267</v>
      </c>
      <c r="AB361" s="26">
        <f t="shared" si="364"/>
        <v>1.5625037583273487</v>
      </c>
      <c r="AC361" s="23">
        <f t="shared" si="331"/>
        <v>3152.2857142857142</v>
      </c>
      <c r="AD361" s="23">
        <f t="shared" si="360"/>
        <v>92.857142857142861</v>
      </c>
      <c r="AE361" s="23">
        <f t="shared" si="332"/>
        <v>21051.428571428572</v>
      </c>
      <c r="AF361" s="25">
        <f t="shared" si="339"/>
        <v>0.15167287390382342</v>
      </c>
      <c r="AG361" s="20">
        <v>521283</v>
      </c>
      <c r="AH361" s="21">
        <f t="shared" si="449"/>
        <v>13210</v>
      </c>
      <c r="AI361" s="21">
        <f t="shared" si="431"/>
        <v>18494.571428571428</v>
      </c>
      <c r="AJ361" s="20">
        <v>240622</v>
      </c>
      <c r="AK361" s="20">
        <f t="shared" si="458"/>
        <v>29549</v>
      </c>
      <c r="AL361" s="21">
        <f t="shared" si="464"/>
        <v>12598.571428571429</v>
      </c>
      <c r="AM361" s="26">
        <f t="shared" si="353"/>
        <v>2172.8571428571427</v>
      </c>
    </row>
    <row r="362" spans="1:39" ht="16">
      <c r="A362" s="30">
        <v>44254</v>
      </c>
      <c r="B362" s="20">
        <f t="shared" si="491"/>
        <v>424130</v>
      </c>
      <c r="C362" s="20">
        <v>4948</v>
      </c>
      <c r="D362" s="20">
        <v>14902</v>
      </c>
      <c r="E362" s="20">
        <v>319691</v>
      </c>
      <c r="F362" s="20">
        <v>3632712</v>
      </c>
      <c r="G362" s="17">
        <f t="shared" si="204"/>
        <v>370684.89795918367</v>
      </c>
      <c r="H362" s="20"/>
      <c r="I362" s="19">
        <f t="shared" si="234"/>
        <v>1.1803941963156815E-2</v>
      </c>
      <c r="J362" s="19">
        <f t="shared" si="231"/>
        <v>0.11675299335592802</v>
      </c>
      <c r="K362" s="19">
        <f t="shared" si="232"/>
        <v>7.7156135901764768E-3</v>
      </c>
      <c r="L362" s="20">
        <v>89537</v>
      </c>
      <c r="M362" s="19">
        <f t="shared" si="235"/>
        <v>3.513545375238724E-2</v>
      </c>
      <c r="N362" s="19">
        <f t="shared" si="236"/>
        <v>0.75375710277509256</v>
      </c>
      <c r="O362" s="20">
        <v>37658</v>
      </c>
      <c r="P362" s="28">
        <f t="shared" si="437"/>
        <v>27814</v>
      </c>
      <c r="Q362" s="29">
        <f t="shared" si="322"/>
        <v>0.17789602358524484</v>
      </c>
      <c r="R362" s="20">
        <f t="shared" si="440"/>
        <v>107</v>
      </c>
      <c r="S362" s="20">
        <f t="shared" si="443"/>
        <v>1792</v>
      </c>
      <c r="T362" s="20">
        <v>5282</v>
      </c>
      <c r="U362" s="20">
        <v>482</v>
      </c>
      <c r="V362" s="19">
        <f t="shared" si="316"/>
        <v>0.21110744347252022</v>
      </c>
      <c r="W362" s="20">
        <f t="shared" ref="W362:X362" si="500">T362-T361</f>
        <v>255</v>
      </c>
      <c r="X362" s="20">
        <f t="shared" si="500"/>
        <v>31</v>
      </c>
      <c r="Y362" s="19">
        <f t="shared" si="476"/>
        <v>5.8992371868612975E-2</v>
      </c>
      <c r="Z362" s="19">
        <f t="shared" si="477"/>
        <v>9.1253313138962511E-2</v>
      </c>
      <c r="AA362" s="21">
        <f t="shared" si="348"/>
        <v>1.6730983560880468</v>
      </c>
      <c r="AB362" s="26">
        <f t="shared" si="364"/>
        <v>1.6085867515435286</v>
      </c>
      <c r="AC362" s="23">
        <f t="shared" si="331"/>
        <v>3431.2857142857142</v>
      </c>
      <c r="AD362" s="23">
        <f t="shared" si="360"/>
        <v>92.857142857142861</v>
      </c>
      <c r="AE362" s="23">
        <f t="shared" si="332"/>
        <v>21752.571428571428</v>
      </c>
      <c r="AF362" s="25">
        <f t="shared" si="339"/>
        <v>0.15840776754518762</v>
      </c>
      <c r="AG362" s="20">
        <v>563601</v>
      </c>
      <c r="AH362" s="21">
        <f t="shared" si="449"/>
        <v>42318</v>
      </c>
      <c r="AI362" s="21">
        <f t="shared" si="431"/>
        <v>19470.285714285714</v>
      </c>
      <c r="AJ362" s="20">
        <v>244407</v>
      </c>
      <c r="AK362" s="20">
        <f t="shared" si="458"/>
        <v>3785</v>
      </c>
      <c r="AL362" s="21">
        <f t="shared" si="464"/>
        <v>10238.285714285714</v>
      </c>
      <c r="AM362" s="26">
        <f t="shared" si="353"/>
        <v>2144.4285714285716</v>
      </c>
    </row>
    <row r="363" spans="1:39" ht="16">
      <c r="A363" s="30">
        <v>44255</v>
      </c>
      <c r="B363" s="20">
        <f t="shared" si="491"/>
        <v>428599</v>
      </c>
      <c r="C363" s="20">
        <v>4469</v>
      </c>
      <c r="D363" s="20">
        <v>14974</v>
      </c>
      <c r="E363" s="20">
        <v>321128</v>
      </c>
      <c r="F363" s="20">
        <v>3660342</v>
      </c>
      <c r="G363" s="17">
        <f t="shared" si="204"/>
        <v>373504.28571428568</v>
      </c>
      <c r="H363" s="20"/>
      <c r="I363" s="19">
        <f t="shared" si="234"/>
        <v>1.0536863697451253E-2</v>
      </c>
      <c r="J363" s="19">
        <f t="shared" si="231"/>
        <v>0.11709261047191766</v>
      </c>
      <c r="K363" s="19">
        <f t="shared" si="232"/>
        <v>7.6058878325614586E-3</v>
      </c>
      <c r="L363" s="20">
        <v>92497</v>
      </c>
      <c r="M363" s="19">
        <f t="shared" si="235"/>
        <v>3.493708571415239E-2</v>
      </c>
      <c r="N363" s="19">
        <f t="shared" si="236"/>
        <v>0.74925046488675895</v>
      </c>
      <c r="O363" s="20">
        <v>33353</v>
      </c>
      <c r="P363" s="28">
        <f t="shared" si="437"/>
        <v>27630</v>
      </c>
      <c r="Q363" s="29">
        <f t="shared" si="322"/>
        <v>0.16174448063698879</v>
      </c>
      <c r="R363" s="20">
        <f t="shared" si="440"/>
        <v>72</v>
      </c>
      <c r="S363" s="20">
        <f t="shared" si="443"/>
        <v>1437</v>
      </c>
      <c r="T363" s="20">
        <v>5482</v>
      </c>
      <c r="U363" s="20">
        <v>524</v>
      </c>
      <c r="V363" s="19">
        <f t="shared" si="316"/>
        <v>0.21581244939908867</v>
      </c>
      <c r="W363" s="20">
        <f t="shared" ref="W363:X363" si="501">T363-T362</f>
        <v>200</v>
      </c>
      <c r="X363" s="20">
        <f t="shared" si="501"/>
        <v>42</v>
      </c>
      <c r="Y363" s="19">
        <f t="shared" si="476"/>
        <v>5.9266787030930732E-2</v>
      </c>
      <c r="Z363" s="19">
        <f t="shared" si="477"/>
        <v>9.5585552717986133E-2</v>
      </c>
      <c r="AA363" s="21">
        <f t="shared" si="348"/>
        <v>1.6435961699119594</v>
      </c>
      <c r="AB363" s="26">
        <f t="shared" si="364"/>
        <v>1.6406871982788576</v>
      </c>
      <c r="AC363" s="23">
        <f t="shared" si="331"/>
        <v>3653.7142857142858</v>
      </c>
      <c r="AD363" s="23">
        <f t="shared" si="360"/>
        <v>96.428571428571431</v>
      </c>
      <c r="AE363" s="23">
        <f t="shared" si="332"/>
        <v>22390.142857142859</v>
      </c>
      <c r="AF363" s="25">
        <f t="shared" si="339"/>
        <v>0.16355754575752854</v>
      </c>
      <c r="AG363" s="20">
        <v>677682</v>
      </c>
      <c r="AH363" s="21">
        <f t="shared" si="449"/>
        <v>114081</v>
      </c>
      <c r="AI363" s="21">
        <f t="shared" si="431"/>
        <v>33163.857142857145</v>
      </c>
      <c r="AJ363" s="20">
        <v>249499</v>
      </c>
      <c r="AK363" s="20">
        <f t="shared" si="458"/>
        <v>5092</v>
      </c>
      <c r="AL363" s="21">
        <f t="shared" si="464"/>
        <v>8399.1428571428569</v>
      </c>
      <c r="AM363" s="26">
        <f t="shared" si="353"/>
        <v>2072.4285714285716</v>
      </c>
    </row>
    <row r="364" spans="1:39" ht="16">
      <c r="A364" s="30">
        <v>44256</v>
      </c>
      <c r="B364" s="20">
        <f t="shared" si="491"/>
        <v>432925</v>
      </c>
      <c r="C364" s="20">
        <v>4326</v>
      </c>
      <c r="D364" s="20">
        <v>15058</v>
      </c>
      <c r="E364" s="20">
        <v>322956</v>
      </c>
      <c r="F364" s="20">
        <v>3680572</v>
      </c>
      <c r="G364" s="17">
        <f t="shared" si="204"/>
        <v>375568.57142857142</v>
      </c>
      <c r="H364" s="20"/>
      <c r="I364" s="19">
        <f t="shared" si="234"/>
        <v>1.0093350661107468E-2</v>
      </c>
      <c r="J364" s="19">
        <f t="shared" si="231"/>
        <v>0.11762438012352427</v>
      </c>
      <c r="K364" s="19">
        <f t="shared" si="232"/>
        <v>5.5268059651256635E-3</v>
      </c>
      <c r="L364" s="20">
        <v>94911</v>
      </c>
      <c r="M364" s="19">
        <f t="shared" si="235"/>
        <v>3.4782006121152627E-2</v>
      </c>
      <c r="N364" s="19">
        <f t="shared" si="236"/>
        <v>0.74598602529306457</v>
      </c>
      <c r="O364" s="20">
        <v>34716</v>
      </c>
      <c r="P364" s="28">
        <f t="shared" si="437"/>
        <v>20230</v>
      </c>
      <c r="Q364" s="29">
        <f t="shared" si="322"/>
        <v>0.21384083044982699</v>
      </c>
      <c r="R364" s="20">
        <f t="shared" si="440"/>
        <v>84</v>
      </c>
      <c r="S364" s="20">
        <f t="shared" si="443"/>
        <v>1828</v>
      </c>
      <c r="T364" s="20">
        <v>5679</v>
      </c>
      <c r="U364" s="20">
        <v>537</v>
      </c>
      <c r="V364" s="19">
        <f t="shared" si="316"/>
        <v>0.21923196858578275</v>
      </c>
      <c r="W364" s="20">
        <f t="shared" ref="W364:X364" si="502">T364-T363</f>
        <v>197</v>
      </c>
      <c r="X364" s="20">
        <f t="shared" si="502"/>
        <v>13</v>
      </c>
      <c r="Y364" s="19">
        <f t="shared" si="476"/>
        <v>5.9835003318898759E-2</v>
      </c>
      <c r="Z364" s="19">
        <f t="shared" si="477"/>
        <v>9.4558901215002641E-2</v>
      </c>
      <c r="AA364" s="21">
        <f t="shared" si="348"/>
        <v>1.6192200391761145</v>
      </c>
      <c r="AB364" s="26">
        <f t="shared" si="364"/>
        <v>1.6560393175048167</v>
      </c>
      <c r="AC364" s="23">
        <f t="shared" si="331"/>
        <v>3897</v>
      </c>
      <c r="AD364" s="23">
        <f t="shared" si="360"/>
        <v>101.57142857142857</v>
      </c>
      <c r="AE364" s="23">
        <f t="shared" si="332"/>
        <v>23005.142857142859</v>
      </c>
      <c r="AF364" s="25">
        <f t="shared" si="339"/>
        <v>0.17057629637348276</v>
      </c>
      <c r="AG364" s="20">
        <v>685247</v>
      </c>
      <c r="AH364" s="21">
        <f t="shared" si="449"/>
        <v>7565</v>
      </c>
      <c r="AI364" s="21">
        <f t="shared" si="431"/>
        <v>33112.857142857145</v>
      </c>
      <c r="AJ364" s="20">
        <v>251691</v>
      </c>
      <c r="AK364" s="20">
        <f t="shared" si="458"/>
        <v>2192</v>
      </c>
      <c r="AL364" s="21">
        <f t="shared" si="464"/>
        <v>7240.8571428571431</v>
      </c>
      <c r="AM364" s="26">
        <f t="shared" si="353"/>
        <v>2043.7142857142858</v>
      </c>
    </row>
    <row r="365" spans="1:39" ht="16">
      <c r="A365" s="30">
        <v>44257</v>
      </c>
      <c r="B365" s="20">
        <f t="shared" si="491"/>
        <v>435689</v>
      </c>
      <c r="C365" s="20">
        <v>2764</v>
      </c>
      <c r="D365" s="20">
        <v>15188</v>
      </c>
      <c r="E365" s="20">
        <v>324202</v>
      </c>
      <c r="F365" s="20">
        <v>3693390</v>
      </c>
      <c r="G365" s="17">
        <f t="shared" si="204"/>
        <v>376876.53061224485</v>
      </c>
      <c r="H365" s="20"/>
      <c r="I365" s="19">
        <f t="shared" si="234"/>
        <v>6.3844776808916091E-3</v>
      </c>
      <c r="J365" s="19">
        <f t="shared" si="231"/>
        <v>0.11796452581503714</v>
      </c>
      <c r="K365" s="19">
        <f t="shared" si="232"/>
        <v>3.482610855051878E-3</v>
      </c>
      <c r="L365" s="20">
        <v>96299</v>
      </c>
      <c r="M365" s="19">
        <f t="shared" si="235"/>
        <v>3.4859727925194345E-2</v>
      </c>
      <c r="N365" s="19">
        <f t="shared" si="236"/>
        <v>0.74411334690570563</v>
      </c>
      <c r="O365" s="20">
        <v>35023</v>
      </c>
      <c r="P365" s="28">
        <f t="shared" si="437"/>
        <v>12818</v>
      </c>
      <c r="Q365" s="29">
        <f t="shared" si="322"/>
        <v>0.2156342643158059</v>
      </c>
      <c r="R365" s="20">
        <f t="shared" si="440"/>
        <v>130</v>
      </c>
      <c r="S365" s="20">
        <f t="shared" si="443"/>
        <v>1246</v>
      </c>
      <c r="T365" s="20">
        <v>6071</v>
      </c>
      <c r="U365" s="20">
        <v>581</v>
      </c>
      <c r="V365" s="19">
        <f t="shared" si="316"/>
        <v>0.22102692516909997</v>
      </c>
      <c r="W365" s="20">
        <f t="shared" ref="W365:X365" si="503">T365-T364</f>
        <v>392</v>
      </c>
      <c r="X365" s="20">
        <f t="shared" si="503"/>
        <v>44</v>
      </c>
      <c r="Y365" s="19">
        <f t="shared" si="476"/>
        <v>6.3043229940082449E-2</v>
      </c>
      <c r="Z365" s="19">
        <f t="shared" si="477"/>
        <v>9.5700873002800196E-2</v>
      </c>
      <c r="AA365" s="21">
        <f t="shared" si="348"/>
        <v>1.6097326082030365</v>
      </c>
      <c r="AB365" s="26">
        <f t="shared" si="364"/>
        <v>1.6543962063223177</v>
      </c>
      <c r="AC365" s="23">
        <f t="shared" si="331"/>
        <v>4059.2857142857142</v>
      </c>
      <c r="AD365" s="23">
        <f t="shared" si="360"/>
        <v>105.42857142857143</v>
      </c>
      <c r="AE365" s="23">
        <f t="shared" si="332"/>
        <v>23504</v>
      </c>
      <c r="AF365" s="25">
        <f t="shared" si="339"/>
        <v>0.17644322981622665</v>
      </c>
      <c r="AG365" s="20">
        <v>721677</v>
      </c>
      <c r="AH365" s="21">
        <f t="shared" si="449"/>
        <v>36430</v>
      </c>
      <c r="AI365" s="21">
        <f t="shared" si="431"/>
        <v>37797.285714285717</v>
      </c>
      <c r="AJ365" s="20">
        <v>252847</v>
      </c>
      <c r="AK365" s="20">
        <f t="shared" si="458"/>
        <v>1156</v>
      </c>
      <c r="AL365" s="21">
        <f t="shared" si="464"/>
        <v>6732.4285714285716</v>
      </c>
      <c r="AM365" s="26">
        <f t="shared" si="353"/>
        <v>1907.7142857142858</v>
      </c>
    </row>
    <row r="366" spans="1:39" ht="16">
      <c r="A366" s="30">
        <v>44258</v>
      </c>
      <c r="B366" s="20">
        <f t="shared" si="491"/>
        <v>439900</v>
      </c>
      <c r="C366" s="20">
        <v>4211</v>
      </c>
      <c r="D366" s="20">
        <v>15324</v>
      </c>
      <c r="E366" s="20">
        <v>326215</v>
      </c>
      <c r="F366" s="20">
        <v>3719113</v>
      </c>
      <c r="G366" s="17">
        <f t="shared" si="204"/>
        <v>379501.32653061219</v>
      </c>
      <c r="H366" s="20"/>
      <c r="I366" s="19">
        <f t="shared" si="234"/>
        <v>9.6651510595860812E-3</v>
      </c>
      <c r="J366" s="19">
        <f t="shared" si="231"/>
        <v>0.11828089116948047</v>
      </c>
      <c r="K366" s="19">
        <f t="shared" si="232"/>
        <v>6.9646043336880209E-3</v>
      </c>
      <c r="L366" s="20">
        <v>98361</v>
      </c>
      <c r="M366" s="19">
        <f t="shared" si="235"/>
        <v>3.4835189815867244E-2</v>
      </c>
      <c r="N366" s="19">
        <f t="shared" si="236"/>
        <v>0.74156626506024093</v>
      </c>
      <c r="O366" s="20">
        <v>37005</v>
      </c>
      <c r="P366" s="28">
        <f t="shared" si="437"/>
        <v>25723</v>
      </c>
      <c r="Q366" s="29">
        <f t="shared" si="322"/>
        <v>0.16370563309100805</v>
      </c>
      <c r="R366" s="20">
        <f t="shared" si="440"/>
        <v>136</v>
      </c>
      <c r="S366" s="20">
        <f t="shared" si="443"/>
        <v>2013</v>
      </c>
      <c r="T366" s="20">
        <v>6367</v>
      </c>
      <c r="U366" s="20">
        <v>622</v>
      </c>
      <c r="V366" s="19">
        <f t="shared" si="316"/>
        <v>0.2235985451238918</v>
      </c>
      <c r="W366" s="20">
        <f t="shared" ref="W366:X366" si="504">T366-T365</f>
        <v>296</v>
      </c>
      <c r="X366" s="20">
        <f t="shared" si="504"/>
        <v>41</v>
      </c>
      <c r="Y366" s="19">
        <f t="shared" si="476"/>
        <v>6.4730940108376281E-2</v>
      </c>
      <c r="Z366" s="19">
        <f t="shared" si="477"/>
        <v>9.7691220354955241E-2</v>
      </c>
      <c r="AA366" s="21">
        <f t="shared" si="348"/>
        <v>1.5702832427870668</v>
      </c>
      <c r="AB366" s="26">
        <f t="shared" si="364"/>
        <v>1.6359663946701239</v>
      </c>
      <c r="AC366" s="23">
        <f t="shared" si="331"/>
        <v>4253</v>
      </c>
      <c r="AD366" s="23">
        <f t="shared" si="360"/>
        <v>110.28571428571429</v>
      </c>
      <c r="AE366" s="23">
        <f t="shared" si="332"/>
        <v>23836</v>
      </c>
      <c r="AF366" s="25">
        <f t="shared" si="339"/>
        <v>0.18239921150467789</v>
      </c>
      <c r="AG366" s="20">
        <v>758037</v>
      </c>
      <c r="AH366" s="21">
        <f t="shared" si="449"/>
        <v>36360</v>
      </c>
      <c r="AI366" s="21">
        <f t="shared" si="431"/>
        <v>41004.714285714283</v>
      </c>
      <c r="AJ366" s="20">
        <v>253368</v>
      </c>
      <c r="AK366" s="20">
        <f t="shared" si="458"/>
        <v>521</v>
      </c>
      <c r="AL366" s="21">
        <f t="shared" si="464"/>
        <v>6360.2857142857147</v>
      </c>
      <c r="AM366" s="26">
        <f t="shared" si="353"/>
        <v>1823.5714285714287</v>
      </c>
    </row>
    <row r="367" spans="1:39" ht="16">
      <c r="A367" s="30">
        <v>44259</v>
      </c>
      <c r="B367" s="20">
        <f t="shared" si="491"/>
        <v>446178</v>
      </c>
      <c r="C367" s="20">
        <v>6278</v>
      </c>
      <c r="D367" s="20">
        <v>15476</v>
      </c>
      <c r="E367" s="20">
        <v>328136</v>
      </c>
      <c r="F367" s="20">
        <v>3749907</v>
      </c>
      <c r="G367" s="17">
        <f t="shared" si="204"/>
        <v>382643.57142857142</v>
      </c>
      <c r="H367" s="20"/>
      <c r="I367" s="19">
        <f t="shared" si="234"/>
        <v>1.4271425323937258E-2</v>
      </c>
      <c r="J367" s="19">
        <f t="shared" si="231"/>
        <v>0.11898375079701977</v>
      </c>
      <c r="K367" s="19">
        <f t="shared" si="232"/>
        <v>8.2799312631802267E-3</v>
      </c>
      <c r="L367" s="20">
        <v>102566</v>
      </c>
      <c r="M367" s="19">
        <f t="shared" si="235"/>
        <v>3.4685708394407613E-2</v>
      </c>
      <c r="N367" s="19">
        <f t="shared" si="236"/>
        <v>0.73543742631864417</v>
      </c>
      <c r="O367" s="20">
        <v>41440</v>
      </c>
      <c r="P367" s="28">
        <f t="shared" si="437"/>
        <v>30794</v>
      </c>
      <c r="Q367" s="29">
        <f t="shared" si="322"/>
        <v>0.20387088393842956</v>
      </c>
      <c r="R367" s="20">
        <f t="shared" si="440"/>
        <v>152</v>
      </c>
      <c r="S367" s="20">
        <f t="shared" si="443"/>
        <v>1921</v>
      </c>
      <c r="T367" s="20">
        <v>6554</v>
      </c>
      <c r="U367" s="20">
        <v>639</v>
      </c>
      <c r="V367" s="19">
        <f t="shared" si="316"/>
        <v>0.22987686528694826</v>
      </c>
      <c r="W367" s="20">
        <f t="shared" ref="W367:X367" si="505">T367-T366</f>
        <v>187</v>
      </c>
      <c r="X367" s="20">
        <f t="shared" si="505"/>
        <v>17</v>
      </c>
      <c r="Y367" s="19">
        <f t="shared" si="476"/>
        <v>6.3900317844119883E-2</v>
      </c>
      <c r="Z367" s="19">
        <f t="shared" si="477"/>
        <v>9.7497711321330491E-2</v>
      </c>
      <c r="AA367" s="21">
        <f t="shared" si="348"/>
        <v>1.5452637743399542</v>
      </c>
      <c r="AB367" s="26">
        <f t="shared" si="364"/>
        <v>1.6157498314578578</v>
      </c>
      <c r="AC367" s="23">
        <f t="shared" si="331"/>
        <v>4523.4285714285716</v>
      </c>
      <c r="AD367" s="23">
        <f t="shared" si="360"/>
        <v>114.85714285714286</v>
      </c>
      <c r="AE367" s="23">
        <f t="shared" si="332"/>
        <v>24591</v>
      </c>
      <c r="AF367" s="25">
        <f t="shared" si="339"/>
        <v>0.18696646439797271</v>
      </c>
      <c r="AG367" s="20">
        <v>785440</v>
      </c>
      <c r="AH367" s="21">
        <f t="shared" si="449"/>
        <v>27403</v>
      </c>
      <c r="AI367" s="21">
        <f t="shared" si="431"/>
        <v>39623.857142857145</v>
      </c>
      <c r="AJ367" s="20">
        <v>267153</v>
      </c>
      <c r="AK367" s="20">
        <f t="shared" si="458"/>
        <v>13785</v>
      </c>
      <c r="AL367" s="21">
        <f t="shared" si="464"/>
        <v>8011.4285714285716</v>
      </c>
      <c r="AM367" s="26">
        <f t="shared" si="353"/>
        <v>1765</v>
      </c>
    </row>
    <row r="368" spans="1:39" ht="16">
      <c r="A368" s="30">
        <v>44260</v>
      </c>
      <c r="B368" s="20">
        <f t="shared" si="491"/>
        <v>452547</v>
      </c>
      <c r="C368" s="20">
        <v>6369</v>
      </c>
      <c r="D368" s="20">
        <v>15619</v>
      </c>
      <c r="E368" s="20">
        <v>331557</v>
      </c>
      <c r="F368" s="20">
        <v>3781181</v>
      </c>
      <c r="G368" s="17">
        <f t="shared" si="204"/>
        <v>385834.79591836734</v>
      </c>
      <c r="H368" s="20"/>
      <c r="I368" s="19">
        <f t="shared" si="234"/>
        <v>1.4274572031790004E-2</v>
      </c>
      <c r="J368" s="19">
        <f t="shared" si="231"/>
        <v>0.11968403522603123</v>
      </c>
      <c r="K368" s="19">
        <f t="shared" si="232"/>
        <v>8.3399401638493964E-3</v>
      </c>
      <c r="L368" s="20">
        <v>105371</v>
      </c>
      <c r="M368" s="19">
        <f t="shared" si="235"/>
        <v>3.4513542239811554E-2</v>
      </c>
      <c r="N368" s="19">
        <f t="shared" si="236"/>
        <v>0.73264655383860677</v>
      </c>
      <c r="O368" s="20">
        <v>45164</v>
      </c>
      <c r="P368" s="28">
        <f t="shared" si="437"/>
        <v>31274</v>
      </c>
      <c r="Q368" s="29">
        <f t="shared" si="322"/>
        <v>0.20365159557459872</v>
      </c>
      <c r="R368" s="20">
        <f t="shared" si="440"/>
        <v>143</v>
      </c>
      <c r="S368" s="20">
        <f t="shared" si="443"/>
        <v>3421</v>
      </c>
      <c r="T368" s="20">
        <v>6867</v>
      </c>
      <c r="U368" s="20">
        <v>677</v>
      </c>
      <c r="V368" s="19">
        <f t="shared" si="316"/>
        <v>0.23283990392158163</v>
      </c>
      <c r="W368" s="20">
        <f t="shared" ref="W368:X368" si="506">T368-T367</f>
        <v>313</v>
      </c>
      <c r="X368" s="20">
        <f t="shared" si="506"/>
        <v>38</v>
      </c>
      <c r="Y368" s="19">
        <f t="shared" si="476"/>
        <v>6.5169733607918681E-2</v>
      </c>
      <c r="Z368" s="19">
        <f t="shared" si="477"/>
        <v>9.8587447211300416E-2</v>
      </c>
      <c r="AA368" s="21">
        <f t="shared" si="348"/>
        <v>1.5120547448563402</v>
      </c>
      <c r="AB368" s="26">
        <f t="shared" si="364"/>
        <v>1.5961784193375028</v>
      </c>
      <c r="AC368" s="23">
        <f t="shared" si="331"/>
        <v>4766.4285714285716</v>
      </c>
      <c r="AD368" s="23">
        <f t="shared" si="360"/>
        <v>117.71428571428571</v>
      </c>
      <c r="AE368" s="23">
        <f t="shared" si="332"/>
        <v>25183.285714285714</v>
      </c>
      <c r="AF368" s="25">
        <f t="shared" si="339"/>
        <v>0.19147767308455757</v>
      </c>
      <c r="AG368" s="20">
        <v>862953</v>
      </c>
      <c r="AH368" s="21">
        <f t="shared" si="449"/>
        <v>77513</v>
      </c>
      <c r="AI368" s="21">
        <f t="shared" si="431"/>
        <v>48810</v>
      </c>
      <c r="AJ368" s="20">
        <v>279727</v>
      </c>
      <c r="AK368" s="20">
        <f t="shared" si="458"/>
        <v>12574</v>
      </c>
      <c r="AL368" s="21">
        <f t="shared" si="464"/>
        <v>5586.4285714285716</v>
      </c>
      <c r="AM368" s="26">
        <f t="shared" si="353"/>
        <v>1951.1428571428571</v>
      </c>
    </row>
    <row r="369" spans="1:39" ht="16">
      <c r="A369" s="30">
        <v>44261</v>
      </c>
      <c r="B369" s="20">
        <f t="shared" si="491"/>
        <v>459816</v>
      </c>
      <c r="C369" s="20">
        <v>7269</v>
      </c>
      <c r="D369" s="20">
        <v>15765</v>
      </c>
      <c r="E369" s="20">
        <v>333045</v>
      </c>
      <c r="F369" s="20">
        <v>3816852</v>
      </c>
      <c r="G369" s="17">
        <f t="shared" si="204"/>
        <v>389474.69387755101</v>
      </c>
      <c r="H369" s="20"/>
      <c r="I369" s="19">
        <f t="shared" si="234"/>
        <v>1.6062420035929968E-2</v>
      </c>
      <c r="J369" s="19">
        <f t="shared" si="231"/>
        <v>0.12046995796535993</v>
      </c>
      <c r="K369" s="19">
        <f t="shared" si="232"/>
        <v>9.4338250403775969E-3</v>
      </c>
      <c r="L369" s="20">
        <v>111006</v>
      </c>
      <c r="M369" s="19">
        <f t="shared" si="235"/>
        <v>3.4285453311759487E-2</v>
      </c>
      <c r="N369" s="19">
        <f t="shared" si="236"/>
        <v>0.72430058980113787</v>
      </c>
      <c r="O369" s="20">
        <v>46620</v>
      </c>
      <c r="P369" s="28">
        <f t="shared" si="437"/>
        <v>35671</v>
      </c>
      <c r="Q369" s="29">
        <f t="shared" si="322"/>
        <v>0.20377898012391019</v>
      </c>
      <c r="R369" s="20">
        <f t="shared" si="440"/>
        <v>146</v>
      </c>
      <c r="S369" s="20">
        <f t="shared" si="443"/>
        <v>1488</v>
      </c>
      <c r="T369" s="20">
        <v>7243</v>
      </c>
      <c r="U369" s="20">
        <v>751</v>
      </c>
      <c r="V369" s="19">
        <f t="shared" si="316"/>
        <v>0.24141395688710265</v>
      </c>
      <c r="W369" s="20">
        <f t="shared" ref="W369:X369" si="507">T369-T368</f>
        <v>376</v>
      </c>
      <c r="X369" s="20">
        <f t="shared" si="507"/>
        <v>74</v>
      </c>
      <c r="Y369" s="19">
        <f t="shared" si="476"/>
        <v>6.5248725294128243E-2</v>
      </c>
      <c r="Z369" s="19">
        <f t="shared" si="477"/>
        <v>0.10368631782410603</v>
      </c>
      <c r="AA369" s="21">
        <f t="shared" si="348"/>
        <v>1.4857404554727507</v>
      </c>
      <c r="AB369" s="26">
        <f t="shared" si="364"/>
        <v>1.569413004963889</v>
      </c>
      <c r="AC369" s="23">
        <f t="shared" si="331"/>
        <v>5098</v>
      </c>
      <c r="AD369" s="23">
        <f t="shared" si="360"/>
        <v>123.28571428571429</v>
      </c>
      <c r="AE369" s="23">
        <f t="shared" si="332"/>
        <v>26305.714285714286</v>
      </c>
      <c r="AF369" s="25">
        <f t="shared" si="339"/>
        <v>0.19517523830436692</v>
      </c>
      <c r="AG369" s="20">
        <v>949497</v>
      </c>
      <c r="AH369" s="21">
        <f t="shared" si="449"/>
        <v>86544</v>
      </c>
      <c r="AI369" s="21">
        <f t="shared" si="431"/>
        <v>55128</v>
      </c>
      <c r="AJ369" s="20">
        <v>304880</v>
      </c>
      <c r="AK369" s="20">
        <f t="shared" si="458"/>
        <v>25153</v>
      </c>
      <c r="AL369" s="21">
        <f t="shared" si="464"/>
        <v>8639</v>
      </c>
      <c r="AM369" s="26">
        <f t="shared" si="353"/>
        <v>1907.7142857142858</v>
      </c>
    </row>
    <row r="370" spans="1:39" ht="16">
      <c r="A370" s="30">
        <v>44262</v>
      </c>
      <c r="B370" s="20">
        <f t="shared" si="491"/>
        <v>466017</v>
      </c>
      <c r="C370" s="20">
        <v>6201</v>
      </c>
      <c r="D370" s="20">
        <v>15873</v>
      </c>
      <c r="E370" s="20">
        <v>335512</v>
      </c>
      <c r="F370" s="20">
        <v>3850623</v>
      </c>
      <c r="G370" s="17">
        <f t="shared" si="204"/>
        <v>392920.71428571426</v>
      </c>
      <c r="H370" s="20"/>
      <c r="I370" s="19">
        <f t="shared" si="234"/>
        <v>1.3485829114254397E-2</v>
      </c>
      <c r="J370" s="19">
        <f t="shared" si="231"/>
        <v>0.12102379277327331</v>
      </c>
      <c r="K370" s="19">
        <f t="shared" si="232"/>
        <v>8.8478673000682243E-3</v>
      </c>
      <c r="L370" s="20">
        <v>114632</v>
      </c>
      <c r="M370" s="19">
        <f t="shared" si="235"/>
        <v>3.4060989191381431E-2</v>
      </c>
      <c r="N370" s="19">
        <f t="shared" si="236"/>
        <v>0.71995656810803044</v>
      </c>
      <c r="O370" s="20">
        <v>44217</v>
      </c>
      <c r="P370" s="28">
        <f t="shared" si="437"/>
        <v>33771</v>
      </c>
      <c r="Q370" s="29">
        <f t="shared" si="322"/>
        <v>0.18361908146042463</v>
      </c>
      <c r="R370" s="20">
        <f t="shared" si="440"/>
        <v>108</v>
      </c>
      <c r="S370" s="20">
        <f t="shared" si="443"/>
        <v>2467</v>
      </c>
      <c r="T370" s="20">
        <v>7445</v>
      </c>
      <c r="U370" s="20">
        <v>778</v>
      </c>
      <c r="V370" s="19">
        <f t="shared" si="316"/>
        <v>0.24598244270058817</v>
      </c>
      <c r="W370" s="20">
        <f t="shared" ref="W370:X370" si="508">T370-T369</f>
        <v>202</v>
      </c>
      <c r="X370" s="20">
        <f t="shared" si="508"/>
        <v>27</v>
      </c>
      <c r="Y370" s="19">
        <f t="shared" si="476"/>
        <v>6.4946960709051579E-2</v>
      </c>
      <c r="Z370" s="19">
        <f t="shared" si="477"/>
        <v>0.10449966420416387</v>
      </c>
      <c r="AA370" s="21">
        <f t="shared" si="348"/>
        <v>1.463012198936503</v>
      </c>
      <c r="AB370" s="26">
        <f t="shared" si="364"/>
        <v>1.5436152948245379</v>
      </c>
      <c r="AC370" s="23">
        <f t="shared" si="331"/>
        <v>5345.4285714285716</v>
      </c>
      <c r="AD370" s="23">
        <f t="shared" si="360"/>
        <v>128.42857142857142</v>
      </c>
      <c r="AE370" s="23">
        <f t="shared" si="332"/>
        <v>27183</v>
      </c>
      <c r="AF370" s="25">
        <f t="shared" si="339"/>
        <v>0.19830018127914345</v>
      </c>
      <c r="AG370" s="20">
        <v>981401</v>
      </c>
      <c r="AH370" s="21">
        <f t="shared" si="449"/>
        <v>31904</v>
      </c>
      <c r="AI370" s="21">
        <f t="shared" si="431"/>
        <v>43388.428571428572</v>
      </c>
      <c r="AJ370" s="20">
        <v>307573</v>
      </c>
      <c r="AK370" s="20">
        <f t="shared" si="458"/>
        <v>2693</v>
      </c>
      <c r="AL370" s="21">
        <f t="shared" si="464"/>
        <v>8296.2857142857138</v>
      </c>
      <c r="AM370" s="26">
        <f t="shared" si="353"/>
        <v>2054.8571428571427</v>
      </c>
    </row>
    <row r="371" spans="1:39" ht="16">
      <c r="A371" s="30">
        <v>44263</v>
      </c>
      <c r="B371" s="20">
        <f t="shared" si="491"/>
        <v>468713</v>
      </c>
      <c r="C371" s="20">
        <v>2696</v>
      </c>
      <c r="D371" s="20">
        <v>15988</v>
      </c>
      <c r="E371" s="20">
        <v>336744</v>
      </c>
      <c r="F371" s="20">
        <v>3874513</v>
      </c>
      <c r="G371" s="17">
        <f t="shared" si="204"/>
        <v>395358.46938775509</v>
      </c>
      <c r="H371" s="20"/>
      <c r="I371" s="19">
        <f t="shared" si="234"/>
        <v>5.7851966773744302E-3</v>
      </c>
      <c r="J371" s="19">
        <f t="shared" si="231"/>
        <v>0.12097339717275436</v>
      </c>
      <c r="K371" s="19">
        <f t="shared" si="232"/>
        <v>6.2041908543111072E-3</v>
      </c>
      <c r="L371" s="20">
        <v>115981</v>
      </c>
      <c r="M371" s="19">
        <f t="shared" si="235"/>
        <v>3.4110425782941801E-2</v>
      </c>
      <c r="N371" s="19">
        <f t="shared" si="236"/>
        <v>0.71844390917256407</v>
      </c>
      <c r="O371" s="20">
        <v>37343</v>
      </c>
      <c r="P371" s="28">
        <f t="shared" si="437"/>
        <v>23890</v>
      </c>
      <c r="Q371" s="29">
        <f t="shared" si="322"/>
        <v>0.11285056508999582</v>
      </c>
      <c r="R371" s="20">
        <f t="shared" si="440"/>
        <v>115</v>
      </c>
      <c r="S371" s="20">
        <f t="shared" si="443"/>
        <v>1232</v>
      </c>
      <c r="T371" s="20">
        <v>7924</v>
      </c>
      <c r="U371" s="20">
        <v>806</v>
      </c>
      <c r="V371" s="19">
        <f t="shared" si="316"/>
        <v>0.24744566504449417</v>
      </c>
      <c r="W371" s="20">
        <f t="shared" ref="W371:X371" si="509">T371-T370</f>
        <v>479</v>
      </c>
      <c r="X371" s="20">
        <f t="shared" si="509"/>
        <v>28</v>
      </c>
      <c r="Y371" s="19">
        <f t="shared" si="476"/>
        <v>6.8321535423905635E-2</v>
      </c>
      <c r="Z371" s="19">
        <f t="shared" si="477"/>
        <v>0.10171630489651691</v>
      </c>
      <c r="AA371" s="21">
        <f t="shared" si="348"/>
        <v>1.3119249239341617</v>
      </c>
      <c r="AB371" s="26">
        <f t="shared" si="364"/>
        <v>1.4997159926471164</v>
      </c>
      <c r="AC371" s="23">
        <f t="shared" si="331"/>
        <v>5112.5714285714284</v>
      </c>
      <c r="AD371" s="23">
        <f t="shared" si="360"/>
        <v>132.85714285714286</v>
      </c>
      <c r="AE371" s="23">
        <f t="shared" si="332"/>
        <v>27705.857142857141</v>
      </c>
      <c r="AF371" s="25">
        <f t="shared" si="339"/>
        <v>0.18387300051345326</v>
      </c>
      <c r="AG371" s="20">
        <v>1002714</v>
      </c>
      <c r="AH371" s="21">
        <f t="shared" si="449"/>
        <v>21313</v>
      </c>
      <c r="AI371" s="21">
        <f t="shared" si="431"/>
        <v>45352.428571428572</v>
      </c>
      <c r="AJ371" s="20">
        <v>307929</v>
      </c>
      <c r="AK371" s="20">
        <f t="shared" si="458"/>
        <v>356</v>
      </c>
      <c r="AL371" s="21">
        <f t="shared" si="464"/>
        <v>8034</v>
      </c>
      <c r="AM371" s="26">
        <f t="shared" si="353"/>
        <v>1969.7142857142858</v>
      </c>
    </row>
    <row r="372" spans="1:39" ht="16">
      <c r="A372" s="30">
        <v>44264</v>
      </c>
      <c r="B372" s="20">
        <f t="shared" si="491"/>
        <v>475207</v>
      </c>
      <c r="C372" s="20">
        <v>6494</v>
      </c>
      <c r="D372" s="20">
        <v>16146</v>
      </c>
      <c r="E372" s="20">
        <v>338946</v>
      </c>
      <c r="F372" s="20">
        <v>3891778</v>
      </c>
      <c r="G372" s="17">
        <f t="shared" si="204"/>
        <v>397120.2040816326</v>
      </c>
      <c r="H372" s="20"/>
      <c r="I372" s="19">
        <f t="shared" si="234"/>
        <v>1.3854960284865152E-2</v>
      </c>
      <c r="J372" s="19">
        <f t="shared" si="231"/>
        <v>0.12210537188914682</v>
      </c>
      <c r="K372" s="19">
        <f t="shared" si="232"/>
        <v>4.4560438950650054E-3</v>
      </c>
      <c r="L372" s="20">
        <v>120115</v>
      </c>
      <c r="M372" s="19">
        <f t="shared" si="235"/>
        <v>3.3976772227681834E-2</v>
      </c>
      <c r="N372" s="19">
        <f t="shared" si="236"/>
        <v>0.71325969524859689</v>
      </c>
      <c r="O372" s="20">
        <v>40869</v>
      </c>
      <c r="P372" s="28">
        <f t="shared" si="437"/>
        <v>17265</v>
      </c>
      <c r="Q372" s="29">
        <f t="shared" si="322"/>
        <v>0.37613669273095857</v>
      </c>
      <c r="R372" s="20">
        <f t="shared" si="440"/>
        <v>158</v>
      </c>
      <c r="S372" s="20">
        <f t="shared" si="443"/>
        <v>2202</v>
      </c>
      <c r="T372" s="20">
        <v>8270</v>
      </c>
      <c r="U372" s="20">
        <v>833</v>
      </c>
      <c r="V372" s="19">
        <f t="shared" si="316"/>
        <v>0.25276353252372125</v>
      </c>
      <c r="W372" s="20">
        <f t="shared" ref="W372:X372" si="510">T372-T371</f>
        <v>346</v>
      </c>
      <c r="X372" s="20">
        <f t="shared" si="510"/>
        <v>27</v>
      </c>
      <c r="Y372" s="19">
        <f t="shared" si="476"/>
        <v>6.8850684760437916E-2</v>
      </c>
      <c r="Z372" s="19">
        <f t="shared" si="477"/>
        <v>0.1007255139056832</v>
      </c>
      <c r="AA372" s="21">
        <f t="shared" si="348"/>
        <v>1.3907443251803624</v>
      </c>
      <c r="AB372" s="26">
        <f t="shared" si="364"/>
        <v>1.4684319522153058</v>
      </c>
      <c r="AC372" s="23">
        <f t="shared" si="331"/>
        <v>5645.4285714285716</v>
      </c>
      <c r="AD372" s="23">
        <f t="shared" si="360"/>
        <v>136.85714285714286</v>
      </c>
      <c r="AE372" s="23">
        <f t="shared" si="332"/>
        <v>28341.142857142859</v>
      </c>
      <c r="AF372" s="25">
        <f t="shared" si="339"/>
        <v>0.2068019188584751</v>
      </c>
      <c r="AG372" s="20">
        <v>1047045</v>
      </c>
      <c r="AH372" s="21">
        <f t="shared" si="449"/>
        <v>44331</v>
      </c>
      <c r="AI372" s="21">
        <f t="shared" si="431"/>
        <v>46481.142857142855</v>
      </c>
      <c r="AJ372" s="20">
        <v>314485</v>
      </c>
      <c r="AK372" s="20">
        <f t="shared" si="458"/>
        <v>6556</v>
      </c>
      <c r="AL372" s="21">
        <f t="shared" si="464"/>
        <v>8805.4285714285706</v>
      </c>
      <c r="AM372" s="26">
        <f t="shared" si="353"/>
        <v>2106.2857142857142</v>
      </c>
    </row>
    <row r="373" spans="1:39" ht="16">
      <c r="A373" s="30">
        <v>44265</v>
      </c>
      <c r="B373" s="20">
        <f t="shared" si="491"/>
        <v>480860</v>
      </c>
      <c r="C373" s="20">
        <v>5653</v>
      </c>
      <c r="D373" s="20">
        <v>16325</v>
      </c>
      <c r="E373" s="20">
        <v>340844</v>
      </c>
      <c r="F373" s="20">
        <v>3922530</v>
      </c>
      <c r="G373" s="17">
        <f t="shared" si="204"/>
        <v>400258.1632653061</v>
      </c>
      <c r="H373" s="20"/>
      <c r="I373" s="19">
        <f t="shared" si="234"/>
        <v>1.1895868537290065E-2</v>
      </c>
      <c r="J373" s="19">
        <f t="shared" si="231"/>
        <v>0.12258924724603763</v>
      </c>
      <c r="K373" s="19">
        <f t="shared" si="232"/>
        <v>7.9017867925662774E-3</v>
      </c>
      <c r="L373" s="20">
        <v>123691</v>
      </c>
      <c r="M373" s="19">
        <f t="shared" si="235"/>
        <v>3.3949590317348087E-2</v>
      </c>
      <c r="N373" s="19">
        <f t="shared" si="236"/>
        <v>0.70882169446408516</v>
      </c>
      <c r="O373" s="20">
        <v>42362</v>
      </c>
      <c r="P373" s="28">
        <f t="shared" si="437"/>
        <v>30752</v>
      </c>
      <c r="Q373" s="29">
        <f t="shared" si="322"/>
        <v>0.18382544224765868</v>
      </c>
      <c r="R373" s="20">
        <f t="shared" si="440"/>
        <v>179</v>
      </c>
      <c r="S373" s="20">
        <f t="shared" si="443"/>
        <v>1898</v>
      </c>
      <c r="T373" s="20">
        <v>8348</v>
      </c>
      <c r="U373" s="20">
        <v>844</v>
      </c>
      <c r="V373" s="19">
        <f t="shared" si="316"/>
        <v>0.25722871521856672</v>
      </c>
      <c r="W373" s="20">
        <f t="shared" ref="W373:X373" si="511">T373-T372</f>
        <v>78</v>
      </c>
      <c r="X373" s="20">
        <f t="shared" si="511"/>
        <v>11</v>
      </c>
      <c r="Y373" s="19">
        <f t="shared" si="476"/>
        <v>6.7490763272994803E-2</v>
      </c>
      <c r="Z373" s="19">
        <f t="shared" si="477"/>
        <v>0.10110206037374221</v>
      </c>
      <c r="AA373" s="21">
        <f t="shared" si="348"/>
        <v>1.3758355446575528</v>
      </c>
      <c r="AB373" s="26">
        <f t="shared" si="364"/>
        <v>1.4406537096253751</v>
      </c>
      <c r="AC373" s="23">
        <f t="shared" si="331"/>
        <v>5851.4285714285716</v>
      </c>
      <c r="AD373" s="23">
        <f t="shared" si="360"/>
        <v>143</v>
      </c>
      <c r="AE373" s="23">
        <f t="shared" si="332"/>
        <v>29059.571428571428</v>
      </c>
      <c r="AF373" s="25">
        <f t="shared" si="339"/>
        <v>0.20967617730942514</v>
      </c>
      <c r="AG373" s="20">
        <v>1107791</v>
      </c>
      <c r="AH373" s="21">
        <f t="shared" si="449"/>
        <v>60746</v>
      </c>
      <c r="AI373" s="21">
        <f t="shared" si="431"/>
        <v>49964.857142857145</v>
      </c>
      <c r="AJ373" s="20">
        <v>317906</v>
      </c>
      <c r="AK373" s="20">
        <f t="shared" si="458"/>
        <v>3421</v>
      </c>
      <c r="AL373" s="21">
        <f t="shared" si="464"/>
        <v>9219.7142857142862</v>
      </c>
      <c r="AM373" s="26">
        <f t="shared" si="353"/>
        <v>2089.8571428571427</v>
      </c>
    </row>
    <row r="374" spans="1:39" ht="16">
      <c r="A374" s="30">
        <v>44266</v>
      </c>
      <c r="B374" s="20">
        <f t="shared" si="491"/>
        <v>489172</v>
      </c>
      <c r="C374" s="20">
        <v>8312</v>
      </c>
      <c r="D374" s="20">
        <v>16497</v>
      </c>
      <c r="E374" s="20">
        <v>344267</v>
      </c>
      <c r="F374" s="20">
        <v>3955994</v>
      </c>
      <c r="G374" s="17">
        <f t="shared" si="204"/>
        <v>403672.8571428571</v>
      </c>
      <c r="H374" s="20"/>
      <c r="I374" s="19">
        <f t="shared" si="234"/>
        <v>1.7285696460508256E-2</v>
      </c>
      <c r="J374" s="19">
        <f t="shared" si="231"/>
        <v>0.1236533725784215</v>
      </c>
      <c r="K374" s="19">
        <f t="shared" si="232"/>
        <v>8.5312285693162314E-3</v>
      </c>
      <c r="L374" s="20">
        <v>128408</v>
      </c>
      <c r="M374" s="19">
        <f t="shared" si="235"/>
        <v>3.372433418102426E-2</v>
      </c>
      <c r="N374" s="19">
        <f t="shared" si="236"/>
        <v>0.70377495032422133</v>
      </c>
      <c r="O374" s="20">
        <v>46302</v>
      </c>
      <c r="P374" s="28">
        <f t="shared" si="437"/>
        <v>33464</v>
      </c>
      <c r="Q374" s="29">
        <f t="shared" si="322"/>
        <v>0.24838632560363375</v>
      </c>
      <c r="R374" s="20">
        <f t="shared" si="440"/>
        <v>172</v>
      </c>
      <c r="S374" s="20">
        <f t="shared" si="443"/>
        <v>3423</v>
      </c>
      <c r="T374" s="20">
        <v>8329</v>
      </c>
      <c r="U374" s="20">
        <v>911</v>
      </c>
      <c r="V374" s="19">
        <f t="shared" si="316"/>
        <v>0.2625007154947544</v>
      </c>
      <c r="W374" s="20">
        <f t="shared" ref="W374:X374" si="512">T374-T373</f>
        <v>-19</v>
      </c>
      <c r="X374" s="20">
        <f t="shared" si="512"/>
        <v>67</v>
      </c>
      <c r="Y374" s="19">
        <f t="shared" si="476"/>
        <v>6.48635599028098E-2</v>
      </c>
      <c r="Z374" s="19">
        <f t="shared" si="477"/>
        <v>0.10937687597550727</v>
      </c>
      <c r="AA374" s="21">
        <f t="shared" si="348"/>
        <v>1.3578196058615462</v>
      </c>
      <c r="AB374" s="26">
        <f t="shared" si="364"/>
        <v>1.4138759712713167</v>
      </c>
      <c r="AC374" s="23">
        <f t="shared" si="331"/>
        <v>6142</v>
      </c>
      <c r="AD374" s="23">
        <f t="shared" si="360"/>
        <v>145.85714285714286</v>
      </c>
      <c r="AE374" s="23">
        <f t="shared" si="332"/>
        <v>29441</v>
      </c>
      <c r="AF374" s="25">
        <f t="shared" si="339"/>
        <v>0.21603552611874005</v>
      </c>
      <c r="AG374" s="20">
        <v>1149557</v>
      </c>
      <c r="AH374" s="21">
        <f t="shared" si="449"/>
        <v>41766</v>
      </c>
      <c r="AI374" s="21">
        <f t="shared" si="431"/>
        <v>52016.714285714283</v>
      </c>
      <c r="AJ374" s="20">
        <v>327428</v>
      </c>
      <c r="AK374" s="20">
        <f t="shared" si="458"/>
        <v>9522</v>
      </c>
      <c r="AL374" s="21">
        <f t="shared" si="464"/>
        <v>8610.7142857142862</v>
      </c>
      <c r="AM374" s="26">
        <f t="shared" si="353"/>
        <v>2304.4285714285716</v>
      </c>
    </row>
    <row r="375" spans="1:39" ht="16">
      <c r="A375" s="30">
        <v>44267</v>
      </c>
      <c r="B375" s="20">
        <f t="shared" si="491"/>
        <v>498183</v>
      </c>
      <c r="C375" s="20">
        <v>9011</v>
      </c>
      <c r="D375" s="20">
        <v>16627</v>
      </c>
      <c r="E375" s="20">
        <v>346904</v>
      </c>
      <c r="F375" s="20">
        <v>3992790</v>
      </c>
      <c r="G375" s="17">
        <f t="shared" si="204"/>
        <v>407427.55102040811</v>
      </c>
      <c r="H375" s="20"/>
      <c r="I375" s="19">
        <f t="shared" si="234"/>
        <v>1.8420923519743566E-2</v>
      </c>
      <c r="J375" s="19">
        <f t="shared" si="231"/>
        <v>0.12477064909499373</v>
      </c>
      <c r="K375" s="19">
        <f t="shared" si="232"/>
        <v>9.3013285662212827E-3</v>
      </c>
      <c r="L375" s="20">
        <v>134652</v>
      </c>
      <c r="M375" s="19">
        <f t="shared" si="235"/>
        <v>3.3375285788555614E-2</v>
      </c>
      <c r="N375" s="19">
        <f t="shared" si="236"/>
        <v>0.69633849408751403</v>
      </c>
      <c r="O375" s="20">
        <v>48677</v>
      </c>
      <c r="P375" s="28">
        <f t="shared" si="437"/>
        <v>36796</v>
      </c>
      <c r="Q375" s="29">
        <f t="shared" si="322"/>
        <v>0.24489074899445593</v>
      </c>
      <c r="R375" s="20">
        <f t="shared" si="440"/>
        <v>130</v>
      </c>
      <c r="S375" s="20">
        <f t="shared" si="443"/>
        <v>2637</v>
      </c>
      <c r="T375" s="20">
        <v>8718</v>
      </c>
      <c r="U375" s="20">
        <v>949</v>
      </c>
      <c r="V375" s="19">
        <f t="shared" si="316"/>
        <v>0.27028622012393039</v>
      </c>
      <c r="W375" s="20">
        <f t="shared" ref="W375:X375" si="513">T375-T374</f>
        <v>389</v>
      </c>
      <c r="X375" s="20">
        <f t="shared" si="513"/>
        <v>38</v>
      </c>
      <c r="Y375" s="19">
        <f t="shared" si="476"/>
        <v>6.4744675162641471E-2</v>
      </c>
      <c r="Z375" s="19">
        <f t="shared" si="477"/>
        <v>0.10885524202798808</v>
      </c>
      <c r="AA375" s="21">
        <f t="shared" si="348"/>
        <v>1.367780608421999</v>
      </c>
      <c r="AB375" s="26">
        <f t="shared" si="364"/>
        <v>1.3932653803521251</v>
      </c>
      <c r="AC375" s="23">
        <f t="shared" si="331"/>
        <v>6519.4285714285716</v>
      </c>
      <c r="AD375" s="23">
        <f t="shared" si="360"/>
        <v>144</v>
      </c>
      <c r="AE375" s="23">
        <f t="shared" si="332"/>
        <v>30229.857142857141</v>
      </c>
      <c r="AF375" s="25">
        <f t="shared" si="339"/>
        <v>0.22192683375014824</v>
      </c>
      <c r="AG375" s="20">
        <v>1229827</v>
      </c>
      <c r="AH375" s="21">
        <f t="shared" si="449"/>
        <v>80270</v>
      </c>
      <c r="AI375" s="21">
        <f t="shared" si="431"/>
        <v>52410.571428571428</v>
      </c>
      <c r="AJ375" s="20">
        <v>351694</v>
      </c>
      <c r="AK375" s="20">
        <f t="shared" si="458"/>
        <v>24266</v>
      </c>
      <c r="AL375" s="21">
        <f t="shared" si="464"/>
        <v>10281</v>
      </c>
      <c r="AM375" s="26">
        <f t="shared" si="353"/>
        <v>2192.4285714285716</v>
      </c>
    </row>
    <row r="376" spans="1:39" ht="16">
      <c r="A376" s="30">
        <v>44268</v>
      </c>
      <c r="B376" s="20">
        <f t="shared" si="491"/>
        <v>507627</v>
      </c>
      <c r="C376" s="20">
        <v>9444</v>
      </c>
      <c r="D376" s="20">
        <v>16790</v>
      </c>
      <c r="E376" s="20">
        <v>349530</v>
      </c>
      <c r="F376" s="20">
        <v>4034635</v>
      </c>
      <c r="G376" s="17">
        <f t="shared" si="204"/>
        <v>411697.44897959183</v>
      </c>
      <c r="H376" s="20"/>
      <c r="I376" s="19">
        <f t="shared" si="234"/>
        <v>1.8956889335846466E-2</v>
      </c>
      <c r="J376" s="19">
        <f t="shared" si="231"/>
        <v>0.12581732920078273</v>
      </c>
      <c r="K376" s="19">
        <f t="shared" si="232"/>
        <v>1.0480140453166833E-2</v>
      </c>
      <c r="L376" s="20">
        <v>141307</v>
      </c>
      <c r="M376" s="19">
        <f t="shared" si="235"/>
        <v>3.3075466828990575E-2</v>
      </c>
      <c r="N376" s="19">
        <f t="shared" si="236"/>
        <v>0.68855675525533511</v>
      </c>
      <c r="O376" s="20">
        <v>46249</v>
      </c>
      <c r="P376" s="28">
        <f t="shared" si="437"/>
        <v>41845</v>
      </c>
      <c r="Q376" s="29">
        <f t="shared" si="322"/>
        <v>0.22569004660054964</v>
      </c>
      <c r="R376" s="20">
        <f t="shared" si="440"/>
        <v>163</v>
      </c>
      <c r="S376" s="20">
        <f t="shared" si="443"/>
        <v>2626</v>
      </c>
      <c r="T376" s="20">
        <v>8897</v>
      </c>
      <c r="U376" s="20">
        <v>989</v>
      </c>
      <c r="V376" s="19">
        <f t="shared" si="316"/>
        <v>0.2783677779156743</v>
      </c>
      <c r="W376" s="20">
        <f t="shared" ref="W376:X376" si="514">T376-T375</f>
        <v>179</v>
      </c>
      <c r="X376" s="20">
        <f t="shared" si="514"/>
        <v>40</v>
      </c>
      <c r="Y376" s="19">
        <f t="shared" si="476"/>
        <v>6.296220286326934E-2</v>
      </c>
      <c r="Z376" s="19">
        <f t="shared" si="477"/>
        <v>0.11116106552770597</v>
      </c>
      <c r="AA376" s="21">
        <f t="shared" si="348"/>
        <v>1.339769097124923</v>
      </c>
      <c r="AB376" s="26">
        <f t="shared" si="364"/>
        <v>1.3724123291595784</v>
      </c>
      <c r="AC376" s="23">
        <f t="shared" si="331"/>
        <v>6830.1428571428569</v>
      </c>
      <c r="AD376" s="23">
        <f t="shared" si="360"/>
        <v>146.42857142857142</v>
      </c>
      <c r="AE376" s="23">
        <f t="shared" si="332"/>
        <v>31111.857142857141</v>
      </c>
      <c r="AF376" s="25">
        <f t="shared" si="339"/>
        <v>0.22505698610395383</v>
      </c>
      <c r="AG376" s="20">
        <v>1293414</v>
      </c>
      <c r="AH376" s="21">
        <f t="shared" si="449"/>
        <v>63587</v>
      </c>
      <c r="AI376" s="21">
        <f t="shared" si="431"/>
        <v>49131</v>
      </c>
      <c r="AJ376" s="20">
        <v>377343</v>
      </c>
      <c r="AK376" s="20">
        <f t="shared" si="458"/>
        <v>25649</v>
      </c>
      <c r="AL376" s="21">
        <f t="shared" si="464"/>
        <v>10351.857142857143</v>
      </c>
      <c r="AM376" s="26">
        <f t="shared" si="353"/>
        <v>2355</v>
      </c>
    </row>
    <row r="377" spans="1:39" ht="16">
      <c r="A377" s="30">
        <v>44269</v>
      </c>
      <c r="B377" s="20">
        <f t="shared" si="491"/>
        <v>516490</v>
      </c>
      <c r="C377" s="20">
        <v>8863</v>
      </c>
      <c r="D377" s="20">
        <v>16952</v>
      </c>
      <c r="E377" s="20">
        <v>351891</v>
      </c>
      <c r="F377" s="20">
        <v>4076943</v>
      </c>
      <c r="G377" s="17">
        <f t="shared" si="204"/>
        <v>416014.59183673467</v>
      </c>
      <c r="H377" s="20"/>
      <c r="I377" s="19">
        <f t="shared" si="234"/>
        <v>1.745967019090789E-2</v>
      </c>
      <c r="J377" s="19">
        <f t="shared" si="231"/>
        <v>0.12668560732882456</v>
      </c>
      <c r="K377" s="19">
        <f t="shared" si="232"/>
        <v>1.0486202593295304E-2</v>
      </c>
      <c r="L377" s="20">
        <v>147647</v>
      </c>
      <c r="M377" s="19">
        <f t="shared" si="235"/>
        <v>3.2821545431663733E-2</v>
      </c>
      <c r="N377" s="19">
        <f t="shared" si="236"/>
        <v>0.68131231969641237</v>
      </c>
      <c r="O377" s="20">
        <v>48329</v>
      </c>
      <c r="P377" s="28">
        <f t="shared" si="437"/>
        <v>42308</v>
      </c>
      <c r="Q377" s="29">
        <f t="shared" si="322"/>
        <v>0.20948756736314644</v>
      </c>
      <c r="R377" s="20">
        <f t="shared" si="440"/>
        <v>162</v>
      </c>
      <c r="S377" s="20">
        <f t="shared" si="443"/>
        <v>2361</v>
      </c>
      <c r="T377" s="20">
        <v>8764</v>
      </c>
      <c r="U377" s="20">
        <v>1005</v>
      </c>
      <c r="V377" s="19">
        <f t="shared" si="316"/>
        <v>0.28586613487192397</v>
      </c>
      <c r="W377" s="20">
        <f t="shared" ref="W377:X377" si="515">T377-T376</f>
        <v>-133</v>
      </c>
      <c r="X377" s="20">
        <f t="shared" si="515"/>
        <v>16</v>
      </c>
      <c r="Y377" s="19">
        <f t="shared" si="476"/>
        <v>5.9357792572825724E-2</v>
      </c>
      <c r="Z377" s="19">
        <f t="shared" si="477"/>
        <v>0.11467366499315382</v>
      </c>
      <c r="AA377" s="21">
        <f t="shared" si="348"/>
        <v>1.3488962531402</v>
      </c>
      <c r="AB377" s="26">
        <f t="shared" si="364"/>
        <v>1.3561100511886777</v>
      </c>
      <c r="AC377" s="23">
        <f t="shared" si="331"/>
        <v>7210.4285714285716</v>
      </c>
      <c r="AD377" s="23">
        <f t="shared" si="360"/>
        <v>154.14285714285714</v>
      </c>
      <c r="AE377" s="23">
        <f t="shared" si="332"/>
        <v>32331.428571428572</v>
      </c>
      <c r="AF377" s="25">
        <f t="shared" si="339"/>
        <v>0.22875248409005697</v>
      </c>
      <c r="AG377" s="20">
        <v>1319266</v>
      </c>
      <c r="AH377" s="21">
        <f t="shared" si="449"/>
        <v>25852</v>
      </c>
      <c r="AI377" s="21">
        <f t="shared" si="431"/>
        <v>48266.428571428572</v>
      </c>
      <c r="AJ377" s="20">
        <v>392703</v>
      </c>
      <c r="AK377" s="20">
        <f t="shared" si="458"/>
        <v>15360</v>
      </c>
      <c r="AL377" s="21">
        <f t="shared" si="464"/>
        <v>12161.428571428571</v>
      </c>
      <c r="AM377" s="26">
        <f t="shared" si="353"/>
        <v>2339.8571428571427</v>
      </c>
    </row>
    <row r="378" spans="1:39" ht="16">
      <c r="A378" s="30">
        <v>44270</v>
      </c>
      <c r="B378" s="20">
        <f t="shared" si="491"/>
        <v>524196</v>
      </c>
      <c r="C378" s="20">
        <v>7706</v>
      </c>
      <c r="D378" s="20">
        <v>17083</v>
      </c>
      <c r="E378" s="20">
        <v>354817</v>
      </c>
      <c r="F378" s="20">
        <v>4104415</v>
      </c>
      <c r="G378" s="17">
        <f t="shared" si="204"/>
        <v>418817.8571428571</v>
      </c>
      <c r="H378" s="20"/>
      <c r="I378" s="19">
        <f t="shared" si="234"/>
        <v>1.4919940366706035E-2</v>
      </c>
      <c r="J378" s="19">
        <f t="shared" si="231"/>
        <v>0.12771515550937224</v>
      </c>
      <c r="K378" s="19">
        <f t="shared" si="232"/>
        <v>6.7383821652645132E-3</v>
      </c>
      <c r="L378" s="20">
        <v>152296</v>
      </c>
      <c r="M378" s="19">
        <f t="shared" si="235"/>
        <v>3.258895527627071E-2</v>
      </c>
      <c r="N378" s="19">
        <f t="shared" si="236"/>
        <v>0.67687849582980408</v>
      </c>
      <c r="O378" s="20">
        <v>45605</v>
      </c>
      <c r="P378" s="28">
        <f t="shared" si="437"/>
        <v>27472</v>
      </c>
      <c r="Q378" s="29">
        <f t="shared" si="322"/>
        <v>0.28050378567268491</v>
      </c>
      <c r="R378" s="20">
        <f t="shared" si="440"/>
        <v>131</v>
      </c>
      <c r="S378" s="20">
        <f t="shared" si="443"/>
        <v>2926</v>
      </c>
      <c r="T378" s="20">
        <v>9300</v>
      </c>
      <c r="U378" s="20">
        <v>1008</v>
      </c>
      <c r="V378" s="19">
        <f t="shared" si="316"/>
        <v>0.29053254889392516</v>
      </c>
      <c r="W378" s="20">
        <f t="shared" ref="W378:X378" si="516">T378-T377</f>
        <v>536</v>
      </c>
      <c r="X378" s="20">
        <f t="shared" si="516"/>
        <v>3</v>
      </c>
      <c r="Y378" s="19">
        <f t="shared" si="476"/>
        <v>6.1065293901350001E-2</v>
      </c>
      <c r="Z378" s="19">
        <f t="shared" si="477"/>
        <v>0.10838709677419354</v>
      </c>
      <c r="AA378" s="21">
        <f t="shared" si="348"/>
        <v>1.5503241309936291</v>
      </c>
      <c r="AB378" s="26">
        <f t="shared" si="364"/>
        <v>1.390167080768602</v>
      </c>
      <c r="AC378" s="23">
        <f t="shared" si="331"/>
        <v>7926.1428571428569</v>
      </c>
      <c r="AD378" s="23">
        <f t="shared" si="360"/>
        <v>156.42857142857142</v>
      </c>
      <c r="AE378" s="23">
        <f t="shared" si="332"/>
        <v>32843.142857142855</v>
      </c>
      <c r="AF378" s="25">
        <f t="shared" si="339"/>
        <v>0.25270294417329825</v>
      </c>
      <c r="AG378" s="20">
        <v>1334595</v>
      </c>
      <c r="AH378" s="21">
        <f t="shared" si="449"/>
        <v>15329</v>
      </c>
      <c r="AI378" s="21">
        <f t="shared" si="431"/>
        <v>47411.571428571428</v>
      </c>
      <c r="AJ378" s="20">
        <v>398962</v>
      </c>
      <c r="AK378" s="20">
        <f t="shared" si="458"/>
        <v>6259</v>
      </c>
      <c r="AL378" s="21">
        <f t="shared" si="464"/>
        <v>13004.714285714286</v>
      </c>
      <c r="AM378" s="26">
        <f t="shared" si="353"/>
        <v>2581.8571428571427</v>
      </c>
    </row>
    <row r="379" spans="1:39" ht="16">
      <c r="A379" s="30">
        <v>44271</v>
      </c>
      <c r="B379" s="20">
        <f t="shared" si="491"/>
        <v>529122</v>
      </c>
      <c r="C379" s="20">
        <v>4926</v>
      </c>
      <c r="D379" s="20">
        <v>17226</v>
      </c>
      <c r="E379" s="20">
        <v>356679</v>
      </c>
      <c r="F379" s="20">
        <v>4122541</v>
      </c>
      <c r="G379" s="17">
        <f t="shared" si="204"/>
        <v>420667.44897959183</v>
      </c>
      <c r="H379" s="20"/>
      <c r="I379" s="19">
        <f t="shared" si="234"/>
        <v>9.3972483574846048E-3</v>
      </c>
      <c r="J379" s="19">
        <f t="shared" si="231"/>
        <v>0.12834851127011229</v>
      </c>
      <c r="K379" s="19">
        <f t="shared" si="232"/>
        <v>4.4162200947028994E-3</v>
      </c>
      <c r="L379" s="20">
        <v>155217</v>
      </c>
      <c r="M379" s="19">
        <f t="shared" si="235"/>
        <v>3.255581888486965E-2</v>
      </c>
      <c r="N379" s="19">
        <f t="shared" si="236"/>
        <v>0.67409595518613852</v>
      </c>
      <c r="O379" s="20">
        <v>43553</v>
      </c>
      <c r="P379" s="28">
        <f t="shared" si="437"/>
        <v>18126</v>
      </c>
      <c r="Q379" s="29">
        <f t="shared" si="322"/>
        <v>0.27176431645150612</v>
      </c>
      <c r="R379" s="20">
        <f t="shared" si="440"/>
        <v>143</v>
      </c>
      <c r="S379" s="20">
        <f t="shared" si="443"/>
        <v>1862</v>
      </c>
      <c r="T379" s="20">
        <v>9844</v>
      </c>
      <c r="U379" s="20">
        <v>1067</v>
      </c>
      <c r="V379" s="19">
        <f t="shared" si="316"/>
        <v>0.29334822592899179</v>
      </c>
      <c r="W379" s="20">
        <f t="shared" ref="W379:X379" si="517">T379-T378</f>
        <v>544</v>
      </c>
      <c r="X379" s="20">
        <f t="shared" si="517"/>
        <v>59</v>
      </c>
      <c r="Y379" s="19">
        <f t="shared" si="476"/>
        <v>6.342088817590856E-2</v>
      </c>
      <c r="Z379" s="19">
        <f t="shared" si="477"/>
        <v>0.10839089800893946</v>
      </c>
      <c r="AA379" s="21">
        <f t="shared" si="348"/>
        <v>1.3643149956981628</v>
      </c>
      <c r="AB379" s="26">
        <f t="shared" si="364"/>
        <v>1.3863914622711444</v>
      </c>
      <c r="AC379" s="23">
        <f t="shared" si="331"/>
        <v>7702.1428571428569</v>
      </c>
      <c r="AD379" s="23">
        <f t="shared" si="360"/>
        <v>154.28571428571428</v>
      </c>
      <c r="AE379" s="23">
        <f t="shared" si="332"/>
        <v>32966.142857142855</v>
      </c>
      <c r="AF379" s="25">
        <f t="shared" si="339"/>
        <v>0.23779260470480507</v>
      </c>
      <c r="AG379" s="20">
        <v>1347073</v>
      </c>
      <c r="AH379" s="21">
        <f t="shared" si="449"/>
        <v>12478</v>
      </c>
      <c r="AI379" s="21">
        <f t="shared" si="431"/>
        <v>42861.142857142855</v>
      </c>
      <c r="AJ379" s="20">
        <v>399505</v>
      </c>
      <c r="AK379" s="20">
        <f t="shared" si="458"/>
        <v>543</v>
      </c>
      <c r="AL379" s="21">
        <f t="shared" si="464"/>
        <v>12145.714285714286</v>
      </c>
      <c r="AM379" s="26">
        <f t="shared" si="353"/>
        <v>2533.2857142857142</v>
      </c>
    </row>
    <row r="380" spans="1:39" ht="16">
      <c r="A380" s="30">
        <v>44272</v>
      </c>
      <c r="B380" s="20">
        <f t="shared" si="491"/>
        <v>532578</v>
      </c>
      <c r="C380" s="20">
        <v>3456</v>
      </c>
      <c r="D380" s="20">
        <v>17421</v>
      </c>
      <c r="E380" s="20">
        <v>359061</v>
      </c>
      <c r="F380" s="20">
        <v>4136190</v>
      </c>
      <c r="G380" s="17">
        <f t="shared" si="204"/>
        <v>422060.2040816326</v>
      </c>
      <c r="H380" s="20"/>
      <c r="I380" s="19">
        <f t="shared" si="234"/>
        <v>6.5315749486885826E-3</v>
      </c>
      <c r="J380" s="19">
        <f t="shared" si="231"/>
        <v>0.12876052599131085</v>
      </c>
      <c r="K380" s="19">
        <f t="shared" si="232"/>
        <v>3.3108221361534064E-3</v>
      </c>
      <c r="L380" s="20">
        <v>156096</v>
      </c>
      <c r="M380" s="19">
        <f t="shared" si="235"/>
        <v>3.2710701531043343E-2</v>
      </c>
      <c r="N380" s="19">
        <f t="shared" si="236"/>
        <v>0.67419420253934637</v>
      </c>
      <c r="O380" s="20">
        <v>44648</v>
      </c>
      <c r="P380" s="28">
        <f t="shared" si="437"/>
        <v>13649</v>
      </c>
      <c r="Q380" s="29">
        <f t="shared" si="322"/>
        <v>0.25320536303025865</v>
      </c>
      <c r="R380" s="20">
        <f t="shared" si="440"/>
        <v>195</v>
      </c>
      <c r="S380" s="20">
        <f t="shared" si="443"/>
        <v>2382</v>
      </c>
      <c r="T380" s="20">
        <v>10284</v>
      </c>
      <c r="U380" s="20">
        <v>1167</v>
      </c>
      <c r="V380" s="19">
        <f t="shared" si="316"/>
        <v>0.29309509592961031</v>
      </c>
      <c r="W380" s="20">
        <f t="shared" ref="W380:X380" si="518">T380-T379</f>
        <v>440</v>
      </c>
      <c r="X380" s="20">
        <f t="shared" si="518"/>
        <v>100</v>
      </c>
      <c r="Y380" s="19">
        <f t="shared" si="476"/>
        <v>6.5882533825338249E-2</v>
      </c>
      <c r="Z380" s="19">
        <f t="shared" si="477"/>
        <v>0.11347724620770128</v>
      </c>
      <c r="AA380" s="21">
        <f t="shared" si="348"/>
        <v>1.262646484375</v>
      </c>
      <c r="AB380" s="26">
        <f t="shared" si="364"/>
        <v>1.3702215965164943</v>
      </c>
      <c r="AC380" s="23">
        <f t="shared" si="331"/>
        <v>7388.2857142857147</v>
      </c>
      <c r="AD380" s="23">
        <f t="shared" si="360"/>
        <v>156.57142857142858</v>
      </c>
      <c r="AE380" s="23">
        <f t="shared" si="332"/>
        <v>30522.857142857141</v>
      </c>
      <c r="AF380" s="25">
        <f t="shared" si="339"/>
        <v>0.2477040219594622</v>
      </c>
      <c r="AG380" s="20">
        <v>1397342</v>
      </c>
      <c r="AH380" s="21">
        <f t="shared" si="449"/>
        <v>50269</v>
      </c>
      <c r="AI380" s="21">
        <f t="shared" si="431"/>
        <v>41364.428571428572</v>
      </c>
      <c r="AJ380" s="20">
        <v>406746</v>
      </c>
      <c r="AK380" s="20">
        <f t="shared" si="458"/>
        <v>7241</v>
      </c>
      <c r="AL380" s="21">
        <f t="shared" si="464"/>
        <v>12691.428571428571</v>
      </c>
      <c r="AM380" s="26">
        <f t="shared" si="353"/>
        <v>2602.4285714285716</v>
      </c>
    </row>
    <row r="381" spans="1:39" ht="16">
      <c r="A381" s="30">
        <v>44273</v>
      </c>
      <c r="B381" s="20">
        <f t="shared" si="491"/>
        <v>539080</v>
      </c>
      <c r="C381" s="20">
        <v>6502</v>
      </c>
      <c r="D381" s="20">
        <v>17628</v>
      </c>
      <c r="E381" s="20">
        <v>360895</v>
      </c>
      <c r="F381" s="20">
        <v>4162688</v>
      </c>
      <c r="G381" s="17">
        <f t="shared" si="204"/>
        <v>424764.08163265302</v>
      </c>
      <c r="H381" s="20"/>
      <c r="I381" s="19">
        <f t="shared" si="234"/>
        <v>1.2208540345263981E-2</v>
      </c>
      <c r="J381" s="19">
        <f t="shared" si="231"/>
        <v>0.12950285969066141</v>
      </c>
      <c r="K381" s="19">
        <f t="shared" si="232"/>
        <v>6.406378817220679E-3</v>
      </c>
      <c r="L381" s="20">
        <v>160557</v>
      </c>
      <c r="M381" s="19">
        <f t="shared" si="235"/>
        <v>3.270015582102842E-2</v>
      </c>
      <c r="N381" s="19">
        <f t="shared" si="236"/>
        <v>0.66946464346664691</v>
      </c>
      <c r="O381" s="20">
        <v>47116</v>
      </c>
      <c r="P381" s="28">
        <f t="shared" si="437"/>
        <v>26498</v>
      </c>
      <c r="Q381" s="29">
        <f t="shared" si="322"/>
        <v>0.24537700958562911</v>
      </c>
      <c r="R381" s="20">
        <f t="shared" si="440"/>
        <v>207</v>
      </c>
      <c r="S381" s="20">
        <f t="shared" si="443"/>
        <v>1834</v>
      </c>
      <c r="T381" s="20">
        <v>10386</v>
      </c>
      <c r="U381" s="20">
        <v>1170</v>
      </c>
      <c r="V381" s="19">
        <f t="shared" si="316"/>
        <v>0.29783520071232472</v>
      </c>
      <c r="W381" s="20">
        <f t="shared" ref="W381:X381" si="519">T381-T380</f>
        <v>102</v>
      </c>
      <c r="X381" s="20">
        <f t="shared" si="519"/>
        <v>3</v>
      </c>
      <c r="Y381" s="19">
        <f t="shared" si="476"/>
        <v>6.468730731142211E-2</v>
      </c>
      <c r="Z381" s="19">
        <f t="shared" si="477"/>
        <v>0.11265164644714037</v>
      </c>
      <c r="AA381" s="21">
        <f t="shared" si="348"/>
        <v>1.1608131367167511</v>
      </c>
      <c r="AB381" s="26">
        <f t="shared" si="364"/>
        <v>1.3420778152100949</v>
      </c>
      <c r="AC381" s="23">
        <f t="shared" si="331"/>
        <v>7129.7142857142853</v>
      </c>
      <c r="AD381" s="23">
        <f t="shared" si="360"/>
        <v>161.57142857142858</v>
      </c>
      <c r="AE381" s="23">
        <f t="shared" si="332"/>
        <v>29527.714285714286</v>
      </c>
      <c r="AF381" s="25">
        <f t="shared" si="339"/>
        <v>0.24727411967117582</v>
      </c>
      <c r="AG381" s="20">
        <v>1441706</v>
      </c>
      <c r="AH381" s="21">
        <f t="shared" si="449"/>
        <v>44364</v>
      </c>
      <c r="AI381" s="21">
        <f t="shared" si="431"/>
        <v>41735.571428571428</v>
      </c>
      <c r="AJ381" s="20">
        <v>421915</v>
      </c>
      <c r="AK381" s="20">
        <f t="shared" si="458"/>
        <v>15169</v>
      </c>
      <c r="AL381" s="21">
        <f t="shared" si="464"/>
        <v>13498.142857142857</v>
      </c>
      <c r="AM381" s="26">
        <f t="shared" si="353"/>
        <v>2375.4285714285716</v>
      </c>
    </row>
    <row r="382" spans="1:39" ht="16">
      <c r="A382" s="30">
        <v>44274</v>
      </c>
      <c r="B382" s="20">
        <f t="shared" si="491"/>
        <v>549839</v>
      </c>
      <c r="C382" s="20">
        <v>10759</v>
      </c>
      <c r="D382" s="20">
        <v>17841</v>
      </c>
      <c r="E382" s="20">
        <v>364808</v>
      </c>
      <c r="F382" s="20">
        <v>4202286</v>
      </c>
      <c r="G382" s="17">
        <f t="shared" si="204"/>
        <v>428804.69387755101</v>
      </c>
      <c r="H382" s="20"/>
      <c r="I382" s="19">
        <f t="shared" si="234"/>
        <v>1.9958076723306375E-2</v>
      </c>
      <c r="J382" s="19">
        <f t="shared" si="231"/>
        <v>0.13084283173491762</v>
      </c>
      <c r="K382" s="19">
        <f t="shared" si="232"/>
        <v>9.5126033947295595E-3</v>
      </c>
      <c r="L382" s="20">
        <v>167190</v>
      </c>
      <c r="M382" s="19">
        <f t="shared" si="235"/>
        <v>3.2447680139095263E-2</v>
      </c>
      <c r="N382" s="19">
        <f t="shared" si="236"/>
        <v>0.66348149185488847</v>
      </c>
      <c r="O382" s="20">
        <v>50701</v>
      </c>
      <c r="P382" s="28">
        <f t="shared" si="437"/>
        <v>39598</v>
      </c>
      <c r="Q382" s="29">
        <f t="shared" si="322"/>
        <v>0.27170564169907568</v>
      </c>
      <c r="R382" s="20">
        <f t="shared" si="440"/>
        <v>213</v>
      </c>
      <c r="S382" s="20">
        <f t="shared" si="443"/>
        <v>3913</v>
      </c>
      <c r="T382" s="20">
        <v>10264</v>
      </c>
      <c r="U382" s="20">
        <v>1174</v>
      </c>
      <c r="V382" s="19">
        <f t="shared" si="316"/>
        <v>0.30407082800601631</v>
      </c>
      <c r="W382" s="20">
        <f t="shared" ref="W382:X382" si="520">T382-T381</f>
        <v>-122</v>
      </c>
      <c r="X382" s="20">
        <f t="shared" si="520"/>
        <v>4</v>
      </c>
      <c r="Y382" s="19">
        <f t="shared" si="476"/>
        <v>6.1391231532986423E-2</v>
      </c>
      <c r="Z382" s="19">
        <f t="shared" si="477"/>
        <v>0.11438035853468434</v>
      </c>
      <c r="AA382" s="21">
        <f t="shared" si="348"/>
        <v>1.131913401700412</v>
      </c>
      <c r="AB382" s="26">
        <f t="shared" si="364"/>
        <v>1.308382499964154</v>
      </c>
      <c r="AC382" s="23">
        <f t="shared" si="331"/>
        <v>7379.4285714285716</v>
      </c>
      <c r="AD382" s="23">
        <f t="shared" si="360"/>
        <v>173.42857142857142</v>
      </c>
      <c r="AE382" s="23">
        <f t="shared" si="332"/>
        <v>29928</v>
      </c>
      <c r="AF382" s="25">
        <f t="shared" si="339"/>
        <v>0.25110481862897865</v>
      </c>
      <c r="AG382" s="20">
        <v>1477554</v>
      </c>
      <c r="AH382" s="21">
        <f t="shared" si="449"/>
        <v>35848</v>
      </c>
      <c r="AI382" s="21">
        <f t="shared" si="431"/>
        <v>35389.571428571428</v>
      </c>
      <c r="AJ382" s="20">
        <v>444451</v>
      </c>
      <c r="AK382" s="20">
        <f t="shared" si="458"/>
        <v>22536</v>
      </c>
      <c r="AL382" s="21">
        <f t="shared" si="464"/>
        <v>13251</v>
      </c>
      <c r="AM382" s="26">
        <f t="shared" si="353"/>
        <v>2557.7142857142858</v>
      </c>
    </row>
    <row r="383" spans="1:39" ht="16">
      <c r="A383" s="30">
        <v>44275</v>
      </c>
      <c r="B383" s="20">
        <f t="shared" si="491"/>
        <v>560971</v>
      </c>
      <c r="C383" s="20">
        <v>11132</v>
      </c>
      <c r="D383" s="20">
        <v>18068</v>
      </c>
      <c r="E383" s="20">
        <v>366774</v>
      </c>
      <c r="F383" s="20">
        <v>4242762</v>
      </c>
      <c r="G383" s="17">
        <f t="shared" si="204"/>
        <v>432934.89795918367</v>
      </c>
      <c r="H383" s="20"/>
      <c r="I383" s="19">
        <f t="shared" si="234"/>
        <v>2.0245926534858384E-2</v>
      </c>
      <c r="J383" s="19">
        <f t="shared" si="231"/>
        <v>0.13221835210176766</v>
      </c>
      <c r="K383" s="19">
        <f t="shared" si="232"/>
        <v>9.6319003513801772E-3</v>
      </c>
      <c r="L383" s="20">
        <v>176129</v>
      </c>
      <c r="M383" s="19">
        <f t="shared" si="235"/>
        <v>3.220843858238661E-2</v>
      </c>
      <c r="N383" s="19">
        <f t="shared" si="236"/>
        <v>0.65381989443304556</v>
      </c>
      <c r="O383" s="20">
        <v>52885</v>
      </c>
      <c r="P383" s="28">
        <f t="shared" si="437"/>
        <v>40476</v>
      </c>
      <c r="Q383" s="29">
        <f t="shared" si="322"/>
        <v>0.27502717659847808</v>
      </c>
      <c r="R383" s="20">
        <f t="shared" si="440"/>
        <v>227</v>
      </c>
      <c r="S383" s="20">
        <f t="shared" si="443"/>
        <v>1966</v>
      </c>
      <c r="T383" s="20">
        <v>10583</v>
      </c>
      <c r="U383" s="20">
        <v>1237</v>
      </c>
      <c r="V383" s="19">
        <f t="shared" si="316"/>
        <v>0.31397166698456785</v>
      </c>
      <c r="W383" s="20">
        <f t="shared" ref="W383:X383" si="521">T383-T382</f>
        <v>319</v>
      </c>
      <c r="X383" s="20">
        <f t="shared" si="521"/>
        <v>63</v>
      </c>
      <c r="Y383" s="19">
        <f t="shared" si="476"/>
        <v>6.0086641041509348E-2</v>
      </c>
      <c r="Z383" s="19">
        <f t="shared" si="477"/>
        <v>0.11688557119909289</v>
      </c>
      <c r="AA383" s="21">
        <f t="shared" si="348"/>
        <v>1.1157265064524899</v>
      </c>
      <c r="AB383" s="26">
        <f t="shared" si="364"/>
        <v>1.2763764155823778</v>
      </c>
      <c r="AC383" s="23">
        <f t="shared" si="331"/>
        <v>7620.5714285714284</v>
      </c>
      <c r="AD383" s="23">
        <f t="shared" si="360"/>
        <v>182.57142857142858</v>
      </c>
      <c r="AE383" s="23">
        <f t="shared" si="332"/>
        <v>29732.428571428572</v>
      </c>
      <c r="AF383" s="25">
        <f t="shared" si="339"/>
        <v>0.25815298005725412</v>
      </c>
      <c r="AG383" s="20">
        <v>1520350</v>
      </c>
      <c r="AH383" s="21">
        <f t="shared" si="449"/>
        <v>42796</v>
      </c>
      <c r="AI383" s="21">
        <f t="shared" si="431"/>
        <v>32419.428571428572</v>
      </c>
      <c r="AJ383" s="20">
        <v>465643</v>
      </c>
      <c r="AK383" s="20">
        <f t="shared" si="458"/>
        <v>21192</v>
      </c>
      <c r="AL383" s="21">
        <f t="shared" si="464"/>
        <v>12614.285714285714</v>
      </c>
      <c r="AM383" s="26">
        <f t="shared" si="353"/>
        <v>2463.4285714285716</v>
      </c>
    </row>
    <row r="384" spans="1:39" ht="16">
      <c r="A384" s="30">
        <v>44276</v>
      </c>
      <c r="B384" s="20">
        <f t="shared" si="491"/>
        <v>571596</v>
      </c>
      <c r="C384" s="20">
        <v>10625</v>
      </c>
      <c r="D384" s="20">
        <v>18262</v>
      </c>
      <c r="E384" s="20">
        <v>369998</v>
      </c>
      <c r="F384" s="20">
        <v>4283741</v>
      </c>
      <c r="G384" s="17">
        <f t="shared" si="204"/>
        <v>437116.42857142852</v>
      </c>
      <c r="H384" s="20"/>
      <c r="I384" s="19">
        <f t="shared" si="234"/>
        <v>1.8940373031761E-2</v>
      </c>
      <c r="J384" s="19">
        <f t="shared" si="231"/>
        <v>0.13343383738652734</v>
      </c>
      <c r="K384" s="19">
        <f t="shared" si="232"/>
        <v>9.6585667543925401E-3</v>
      </c>
      <c r="L384" s="20">
        <v>183336</v>
      </c>
      <c r="M384" s="19">
        <f t="shared" si="235"/>
        <v>3.1949138902301624E-2</v>
      </c>
      <c r="N384" s="19">
        <f t="shared" si="236"/>
        <v>0.64730683909614484</v>
      </c>
      <c r="O384" s="20">
        <v>50512</v>
      </c>
      <c r="P384" s="28">
        <f t="shared" si="437"/>
        <v>40979</v>
      </c>
      <c r="Q384" s="29">
        <f t="shared" si="322"/>
        <v>0.25927914297567045</v>
      </c>
      <c r="R384" s="20">
        <f t="shared" si="440"/>
        <v>194</v>
      </c>
      <c r="S384" s="20">
        <f t="shared" si="443"/>
        <v>3224</v>
      </c>
      <c r="T384" s="20">
        <v>10652</v>
      </c>
      <c r="U384" s="20">
        <v>1273</v>
      </c>
      <c r="V384" s="19">
        <f t="shared" si="316"/>
        <v>0.32074402200155355</v>
      </c>
      <c r="W384" s="20">
        <f t="shared" ref="W384:X384" si="522">T384-T383</f>
        <v>69</v>
      </c>
      <c r="X384" s="20">
        <f t="shared" si="522"/>
        <v>36</v>
      </c>
      <c r="Y384" s="19">
        <f t="shared" si="476"/>
        <v>5.8100973076755248E-2</v>
      </c>
      <c r="Z384" s="19">
        <f t="shared" si="477"/>
        <v>0.11950807360120165</v>
      </c>
      <c r="AA384" s="21">
        <f t="shared" si="348"/>
        <v>1.0917916509817129</v>
      </c>
      <c r="AB384" s="26">
        <f t="shared" si="364"/>
        <v>1.239647186702594</v>
      </c>
      <c r="AC384" s="23">
        <f t="shared" si="331"/>
        <v>7872.2857142857147</v>
      </c>
      <c r="AD384" s="23">
        <f t="shared" si="360"/>
        <v>187.14285714285714</v>
      </c>
      <c r="AE384" s="23">
        <f t="shared" si="332"/>
        <v>29542.571428571428</v>
      </c>
      <c r="AF384" s="25">
        <f t="shared" si="339"/>
        <v>0.26526606228761473</v>
      </c>
      <c r="AG384" s="20">
        <v>1563242</v>
      </c>
      <c r="AH384" s="21">
        <f t="shared" si="449"/>
        <v>42892</v>
      </c>
      <c r="AI384" s="21">
        <f t="shared" si="431"/>
        <v>34853.714285714283</v>
      </c>
      <c r="AJ384" s="20">
        <v>474891</v>
      </c>
      <c r="AK384" s="20">
        <f t="shared" si="458"/>
        <v>9248</v>
      </c>
      <c r="AL384" s="21">
        <f t="shared" si="464"/>
        <v>11741.142857142857</v>
      </c>
      <c r="AM384" s="26">
        <f t="shared" si="353"/>
        <v>2586.7142857142858</v>
      </c>
    </row>
    <row r="385" spans="1:39" ht="16">
      <c r="A385" s="30">
        <v>44277</v>
      </c>
      <c r="B385" s="20">
        <f t="shared" si="491"/>
        <v>580642</v>
      </c>
      <c r="C385" s="20">
        <v>9046</v>
      </c>
      <c r="D385" s="20">
        <v>18451</v>
      </c>
      <c r="E385" s="20">
        <v>373666</v>
      </c>
      <c r="F385" s="20">
        <v>4315305</v>
      </c>
      <c r="G385" s="17">
        <f t="shared" si="204"/>
        <v>440337.24489795917</v>
      </c>
      <c r="H385" s="20"/>
      <c r="I385" s="19">
        <f t="shared" si="234"/>
        <v>1.5825863022134515E-2</v>
      </c>
      <c r="J385" s="19">
        <f t="shared" si="231"/>
        <v>0.13455410451868408</v>
      </c>
      <c r="K385" s="19">
        <f t="shared" si="232"/>
        <v>7.3683259562144394E-3</v>
      </c>
      <c r="L385" s="20">
        <v>188525</v>
      </c>
      <c r="M385" s="19">
        <f t="shared" si="235"/>
        <v>3.1776895229762916E-2</v>
      </c>
      <c r="N385" s="19">
        <f t="shared" si="236"/>
        <v>0.64353939260335968</v>
      </c>
      <c r="O385" s="20">
        <v>43961</v>
      </c>
      <c r="P385" s="28">
        <f t="shared" si="437"/>
        <v>31564</v>
      </c>
      <c r="Q385" s="29">
        <f t="shared" si="322"/>
        <v>0.28659232036497273</v>
      </c>
      <c r="R385" s="20">
        <f t="shared" si="440"/>
        <v>189</v>
      </c>
      <c r="S385" s="20">
        <f t="shared" si="443"/>
        <v>3668</v>
      </c>
      <c r="T385" s="20">
        <v>11276</v>
      </c>
      <c r="U385" s="20">
        <v>1340</v>
      </c>
      <c r="V385" s="19">
        <f t="shared" si="316"/>
        <v>0.32468371216687736</v>
      </c>
      <c r="W385" s="20">
        <f t="shared" ref="W385:X385" si="523">T385-T384</f>
        <v>624</v>
      </c>
      <c r="X385" s="20">
        <f t="shared" si="523"/>
        <v>67</v>
      </c>
      <c r="Y385" s="19">
        <f t="shared" si="476"/>
        <v>5.9811696061530299E-2</v>
      </c>
      <c r="Z385" s="19">
        <f t="shared" si="477"/>
        <v>0.11883646683221</v>
      </c>
      <c r="AA385" s="21">
        <f t="shared" si="348"/>
        <v>1.0173566678081574</v>
      </c>
      <c r="AB385" s="26">
        <f t="shared" si="364"/>
        <v>1.1635089776760981</v>
      </c>
      <c r="AC385" s="23">
        <f t="shared" si="331"/>
        <v>8063.7142857142853</v>
      </c>
      <c r="AD385" s="23">
        <f t="shared" si="360"/>
        <v>195.42857142857142</v>
      </c>
      <c r="AE385" s="23">
        <f t="shared" si="332"/>
        <v>30127.142857142859</v>
      </c>
      <c r="AF385" s="25">
        <f t="shared" si="339"/>
        <v>0.26613585295794151</v>
      </c>
      <c r="AG385" s="20">
        <v>1589612</v>
      </c>
      <c r="AH385" s="21">
        <f t="shared" si="449"/>
        <v>26370</v>
      </c>
      <c r="AI385" s="21">
        <f t="shared" si="431"/>
        <v>36431</v>
      </c>
      <c r="AJ385" s="20">
        <v>479389</v>
      </c>
      <c r="AK385" s="20">
        <f t="shared" si="458"/>
        <v>4498</v>
      </c>
      <c r="AL385" s="21">
        <f t="shared" si="464"/>
        <v>11489.571428571429</v>
      </c>
      <c r="AM385" s="26">
        <f t="shared" si="353"/>
        <v>2692.7142857142858</v>
      </c>
    </row>
    <row r="386" spans="1:39" ht="16">
      <c r="A386" s="30">
        <v>44278</v>
      </c>
      <c r="B386" s="20">
        <f t="shared" si="491"/>
        <v>586123</v>
      </c>
      <c r="C386" s="20">
        <v>5481</v>
      </c>
      <c r="D386" s="20">
        <v>18703</v>
      </c>
      <c r="E386" s="20">
        <v>378176</v>
      </c>
      <c r="F386" s="20">
        <v>4334584</v>
      </c>
      <c r="G386" s="17">
        <f t="shared" si="204"/>
        <v>442304.48979591834</v>
      </c>
      <c r="H386" s="20"/>
      <c r="I386" s="19">
        <f t="shared" si="234"/>
        <v>9.4395513931131401E-3</v>
      </c>
      <c r="J386" s="19">
        <f t="shared" si="231"/>
        <v>0.13522012723712357</v>
      </c>
      <c r="K386" s="19">
        <f t="shared" si="232"/>
        <v>4.4675868797222906E-3</v>
      </c>
      <c r="L386" s="20">
        <v>189244</v>
      </c>
      <c r="M386" s="19">
        <f t="shared" si="235"/>
        <v>3.1909684486020849E-2</v>
      </c>
      <c r="N386" s="19">
        <f t="shared" si="236"/>
        <v>0.64521610651689154</v>
      </c>
      <c r="O386" s="20">
        <v>50096</v>
      </c>
      <c r="P386" s="28">
        <f t="shared" si="437"/>
        <v>19279</v>
      </c>
      <c r="Q386" s="29">
        <f t="shared" si="322"/>
        <v>0.28429897816276778</v>
      </c>
      <c r="R386" s="20">
        <f t="shared" si="440"/>
        <v>252</v>
      </c>
      <c r="S386" s="20">
        <f t="shared" si="443"/>
        <v>4510</v>
      </c>
      <c r="T386" s="20">
        <v>11873</v>
      </c>
      <c r="U386" s="20">
        <v>1389</v>
      </c>
      <c r="V386" s="19">
        <f t="shared" si="316"/>
        <v>0.32287420899708763</v>
      </c>
      <c r="W386" s="20">
        <f t="shared" ref="W386:X386" si="524">T386-T385</f>
        <v>597</v>
      </c>
      <c r="X386" s="20">
        <f t="shared" si="524"/>
        <v>49</v>
      </c>
      <c r="Y386" s="19">
        <f t="shared" si="476"/>
        <v>6.2739109298049073E-2</v>
      </c>
      <c r="Z386" s="19">
        <f t="shared" si="477"/>
        <v>0.11698812431567422</v>
      </c>
      <c r="AA386" s="21">
        <f t="shared" si="348"/>
        <v>1.0572382453862561</v>
      </c>
      <c r="AB386" s="26">
        <f t="shared" si="364"/>
        <v>1.1196408704886829</v>
      </c>
      <c r="AC386" s="23">
        <f t="shared" si="331"/>
        <v>8143</v>
      </c>
      <c r="AD386" s="23">
        <f t="shared" si="360"/>
        <v>211</v>
      </c>
      <c r="AE386" s="23">
        <f t="shared" si="332"/>
        <v>30291.857142857141</v>
      </c>
      <c r="AF386" s="25">
        <f t="shared" si="339"/>
        <v>0.26792651891669322</v>
      </c>
      <c r="AG386" s="20">
        <v>1636436</v>
      </c>
      <c r="AH386" s="21">
        <f t="shared" si="449"/>
        <v>46824</v>
      </c>
      <c r="AI386" s="21">
        <f t="shared" si="431"/>
        <v>41337.571428571428</v>
      </c>
      <c r="AJ386" s="20">
        <v>481820</v>
      </c>
      <c r="AK386" s="20">
        <f t="shared" si="458"/>
        <v>2431</v>
      </c>
      <c r="AL386" s="21">
        <f t="shared" si="464"/>
        <v>11759.285714285714</v>
      </c>
      <c r="AM386" s="26">
        <f t="shared" si="353"/>
        <v>3071</v>
      </c>
    </row>
    <row r="387" spans="1:39" ht="16">
      <c r="A387" s="30">
        <v>44279</v>
      </c>
      <c r="B387" s="20">
        <f t="shared" si="491"/>
        <v>593710</v>
      </c>
      <c r="C387" s="20">
        <v>7587</v>
      </c>
      <c r="D387" s="20">
        <v>18952</v>
      </c>
      <c r="E387" s="20">
        <v>381807</v>
      </c>
      <c r="F387" s="20">
        <v>4367900</v>
      </c>
      <c r="G387" s="17">
        <f t="shared" si="204"/>
        <v>445704.08163265302</v>
      </c>
      <c r="H387" s="20"/>
      <c r="I387" s="19">
        <f t="shared" si="234"/>
        <v>1.2944381981256494E-2</v>
      </c>
      <c r="J387" s="19">
        <f t="shared" si="231"/>
        <v>0.1359257309004327</v>
      </c>
      <c r="K387" s="19">
        <f t="shared" si="232"/>
        <v>7.6860893686683659E-3</v>
      </c>
      <c r="L387" s="20">
        <v>192951</v>
      </c>
      <c r="M387" s="19">
        <f t="shared" si="235"/>
        <v>3.1921308382880528E-2</v>
      </c>
      <c r="N387" s="19">
        <f t="shared" si="236"/>
        <v>0.64308669215610315</v>
      </c>
      <c r="O387" s="20">
        <v>51230</v>
      </c>
      <c r="P387" s="28">
        <f t="shared" si="437"/>
        <v>33316</v>
      </c>
      <c r="Q387" s="29">
        <f t="shared" si="322"/>
        <v>0.22772841877776442</v>
      </c>
      <c r="R387" s="20">
        <f t="shared" si="440"/>
        <v>249</v>
      </c>
      <c r="S387" s="20">
        <f t="shared" si="443"/>
        <v>3631</v>
      </c>
      <c r="T387" s="20">
        <v>11805</v>
      </c>
      <c r="U387" s="20">
        <v>1423</v>
      </c>
      <c r="V387" s="19">
        <f t="shared" si="316"/>
        <v>0.32499199946101631</v>
      </c>
      <c r="W387" s="20">
        <f t="shared" ref="W387:X387" si="525">T387-T386</f>
        <v>-68</v>
      </c>
      <c r="X387" s="20">
        <f t="shared" si="525"/>
        <v>34</v>
      </c>
      <c r="Y387" s="19">
        <f t="shared" si="476"/>
        <v>6.1181336194163286E-2</v>
      </c>
      <c r="Z387" s="19">
        <f t="shared" si="477"/>
        <v>0.12054214315967811</v>
      </c>
      <c r="AA387" s="21">
        <f t="shared" si="348"/>
        <v>1.1820256003712442</v>
      </c>
      <c r="AB387" s="26">
        <f t="shared" si="364"/>
        <v>1.1081236013452891</v>
      </c>
      <c r="AC387" s="23">
        <f t="shared" si="331"/>
        <v>8733.1428571428569</v>
      </c>
      <c r="AD387" s="23">
        <f t="shared" si="360"/>
        <v>218.71428571428572</v>
      </c>
      <c r="AE387" s="23">
        <f t="shared" si="332"/>
        <v>33101.428571428572</v>
      </c>
      <c r="AF387" s="25">
        <f t="shared" si="339"/>
        <v>0.26428695545205116</v>
      </c>
      <c r="AG387" s="20">
        <v>1696110</v>
      </c>
      <c r="AH387" s="21">
        <f t="shared" si="449"/>
        <v>59674</v>
      </c>
      <c r="AI387" s="21">
        <f t="shared" si="431"/>
        <v>42681.142857142855</v>
      </c>
      <c r="AJ387" s="20">
        <v>494520</v>
      </c>
      <c r="AK387" s="20">
        <f t="shared" si="458"/>
        <v>12700</v>
      </c>
      <c r="AL387" s="21">
        <f t="shared" si="464"/>
        <v>12539.142857142857</v>
      </c>
      <c r="AM387" s="26">
        <f t="shared" si="353"/>
        <v>3249.4285714285716</v>
      </c>
    </row>
    <row r="388" spans="1:39" ht="16">
      <c r="A388" s="30">
        <v>44280</v>
      </c>
      <c r="B388" s="20">
        <f t="shared" si="491"/>
        <v>603347</v>
      </c>
      <c r="C388" s="20">
        <v>9637</v>
      </c>
      <c r="D388" s="20">
        <v>19224</v>
      </c>
      <c r="E388" s="20">
        <v>387570</v>
      </c>
      <c r="F388" s="20">
        <v>4403317</v>
      </c>
      <c r="G388" s="17">
        <f t="shared" si="204"/>
        <v>449318.06122448976</v>
      </c>
      <c r="H388" s="20"/>
      <c r="I388" s="19">
        <f t="shared" si="234"/>
        <v>1.6231830354887067E-2</v>
      </c>
      <c r="J388" s="19">
        <f t="shared" si="231"/>
        <v>0.13702102301514971</v>
      </c>
      <c r="K388" s="19">
        <f t="shared" si="232"/>
        <v>8.1084731793310289E-3</v>
      </c>
      <c r="L388" s="20">
        <v>196553</v>
      </c>
      <c r="M388" s="19">
        <f t="shared" si="235"/>
        <v>3.1862261683575123E-2</v>
      </c>
      <c r="N388" s="19">
        <f t="shared" si="236"/>
        <v>0.64236666462251413</v>
      </c>
      <c r="O388" s="20">
        <v>54422</v>
      </c>
      <c r="P388" s="28">
        <f t="shared" si="437"/>
        <v>35417</v>
      </c>
      <c r="Q388" s="29">
        <f t="shared" si="322"/>
        <v>0.2721009684614733</v>
      </c>
      <c r="R388" s="20">
        <f t="shared" si="440"/>
        <v>272</v>
      </c>
      <c r="S388" s="20">
        <f t="shared" si="443"/>
        <v>5763</v>
      </c>
      <c r="T388" s="20">
        <v>11760</v>
      </c>
      <c r="U388" s="20">
        <v>1467</v>
      </c>
      <c r="V388" s="19">
        <f t="shared" si="316"/>
        <v>0.32577107369391078</v>
      </c>
      <c r="W388" s="20">
        <f t="shared" ref="W388:X388" si="526">T388-T387</f>
        <v>-45</v>
      </c>
      <c r="X388" s="20">
        <f t="shared" si="526"/>
        <v>44</v>
      </c>
      <c r="Y388" s="19">
        <f t="shared" si="476"/>
        <v>5.9831190569464725E-2</v>
      </c>
      <c r="Z388" s="19">
        <f t="shared" si="477"/>
        <v>0.12474489795918367</v>
      </c>
      <c r="AA388" s="21">
        <f t="shared" si="348"/>
        <v>1.2877093852688948</v>
      </c>
      <c r="AB388" s="26">
        <f t="shared" si="364"/>
        <v>1.1262516368527382</v>
      </c>
      <c r="AC388" s="23">
        <f t="shared" si="331"/>
        <v>9181</v>
      </c>
      <c r="AD388" s="23">
        <f t="shared" si="360"/>
        <v>228</v>
      </c>
      <c r="AE388" s="23">
        <f t="shared" si="332"/>
        <v>34375.571428571428</v>
      </c>
      <c r="AF388" s="25">
        <f t="shared" si="339"/>
        <v>0.26810466386288606</v>
      </c>
      <c r="AG388" s="20">
        <v>1747519</v>
      </c>
      <c r="AH388" s="21">
        <f t="shared" si="449"/>
        <v>51409</v>
      </c>
      <c r="AI388" s="21">
        <f t="shared" si="431"/>
        <v>43687.571428571428</v>
      </c>
      <c r="AJ388" s="20">
        <v>524604</v>
      </c>
      <c r="AK388" s="20">
        <f t="shared" si="458"/>
        <v>30084</v>
      </c>
      <c r="AL388" s="21">
        <f t="shared" si="464"/>
        <v>14669.857142857143</v>
      </c>
      <c r="AM388" s="26">
        <f t="shared" si="353"/>
        <v>3810.7142857142858</v>
      </c>
    </row>
    <row r="389" spans="1:39" ht="16">
      <c r="A389" s="30">
        <v>44281</v>
      </c>
      <c r="B389" s="20">
        <f t="shared" si="491"/>
        <v>614612</v>
      </c>
      <c r="C389" s="20">
        <v>11265</v>
      </c>
      <c r="D389" s="20">
        <v>19499</v>
      </c>
      <c r="E389" s="20">
        <v>392314</v>
      </c>
      <c r="F389" s="20">
        <v>4443610</v>
      </c>
      <c r="G389" s="17">
        <f t="shared" si="204"/>
        <v>453429.59183673467</v>
      </c>
      <c r="H389" s="20"/>
      <c r="I389" s="19">
        <f t="shared" si="234"/>
        <v>1.8670847787425809E-2</v>
      </c>
      <c r="J389" s="19">
        <f t="shared" si="231"/>
        <v>0.13831366839124046</v>
      </c>
      <c r="K389" s="19">
        <f t="shared" si="232"/>
        <v>9.1506016941319459E-3</v>
      </c>
      <c r="L389" s="20">
        <v>202799</v>
      </c>
      <c r="M389" s="19">
        <f t="shared" si="235"/>
        <v>3.1725706624667269E-2</v>
      </c>
      <c r="N389" s="19">
        <f t="shared" si="236"/>
        <v>0.63831165027692272</v>
      </c>
      <c r="O389" s="20">
        <v>58667</v>
      </c>
      <c r="P389" s="28">
        <f t="shared" si="437"/>
        <v>40293</v>
      </c>
      <c r="Q389" s="29">
        <f t="shared" si="322"/>
        <v>0.27957709775891593</v>
      </c>
      <c r="R389" s="20">
        <f t="shared" si="440"/>
        <v>275</v>
      </c>
      <c r="S389" s="20">
        <f t="shared" si="443"/>
        <v>4744</v>
      </c>
      <c r="T389" s="20">
        <v>11823</v>
      </c>
      <c r="U389" s="20">
        <v>1480</v>
      </c>
      <c r="V389" s="19">
        <f t="shared" si="316"/>
        <v>0.32996264309841006</v>
      </c>
      <c r="W389" s="20">
        <f t="shared" ref="W389:X389" si="527">T389-T388</f>
        <v>63</v>
      </c>
      <c r="X389" s="20">
        <f t="shared" si="527"/>
        <v>13</v>
      </c>
      <c r="Y389" s="19">
        <f t="shared" si="476"/>
        <v>5.829910403897455E-2</v>
      </c>
      <c r="Z389" s="19">
        <f t="shared" si="477"/>
        <v>0.12517973441596889</v>
      </c>
      <c r="AA389" s="21">
        <f t="shared" si="348"/>
        <v>1.2539298435806101</v>
      </c>
      <c r="AB389" s="26">
        <f t="shared" si="364"/>
        <v>1.1436825571213378</v>
      </c>
      <c r="AC389" s="23">
        <f t="shared" si="331"/>
        <v>9253.2857142857138</v>
      </c>
      <c r="AD389" s="23">
        <f t="shared" si="360"/>
        <v>236.85714285714286</v>
      </c>
      <c r="AE389" s="23">
        <f t="shared" si="332"/>
        <v>34474.857142857145</v>
      </c>
      <c r="AF389" s="25">
        <f t="shared" si="339"/>
        <v>0.26922915758572036</v>
      </c>
      <c r="AG389" s="20">
        <v>1803533</v>
      </c>
      <c r="AH389" s="21">
        <f t="shared" si="449"/>
        <v>56014</v>
      </c>
      <c r="AI389" s="21">
        <f t="shared" si="431"/>
        <v>46568.428571428572</v>
      </c>
      <c r="AJ389" s="20">
        <v>594662</v>
      </c>
      <c r="AK389" s="20">
        <f t="shared" si="458"/>
        <v>70058</v>
      </c>
      <c r="AL389" s="21">
        <f t="shared" si="464"/>
        <v>21458.714285714286</v>
      </c>
      <c r="AM389" s="26">
        <f t="shared" si="353"/>
        <v>3929.4285714285716</v>
      </c>
    </row>
    <row r="390" spans="1:39" ht="16">
      <c r="A390" s="30">
        <v>44282</v>
      </c>
      <c r="B390" s="20">
        <f t="shared" si="491"/>
        <v>624779</v>
      </c>
      <c r="C390" s="20">
        <v>10167</v>
      </c>
      <c r="D390" s="20">
        <v>19752</v>
      </c>
      <c r="E390" s="20">
        <v>393999</v>
      </c>
      <c r="F390" s="20">
        <v>4486163</v>
      </c>
      <c r="G390" s="17">
        <f t="shared" si="204"/>
        <v>457771.73469387752</v>
      </c>
      <c r="H390" s="20"/>
      <c r="I390" s="19">
        <f t="shared" si="234"/>
        <v>1.6542143661366845E-2</v>
      </c>
      <c r="J390" s="19">
        <f t="shared" si="231"/>
        <v>0.13926801143872838</v>
      </c>
      <c r="K390" s="19">
        <f t="shared" si="232"/>
        <v>9.5762229358562073E-3</v>
      </c>
      <c r="L390" s="20">
        <v>211028</v>
      </c>
      <c r="M390" s="19">
        <f t="shared" si="235"/>
        <v>3.1614378844359366E-2</v>
      </c>
      <c r="N390" s="19">
        <f t="shared" si="236"/>
        <v>0.63062138772269871</v>
      </c>
      <c r="O390" s="20">
        <v>61430</v>
      </c>
      <c r="P390" s="28">
        <f t="shared" si="437"/>
        <v>42553</v>
      </c>
      <c r="Q390" s="29">
        <f t="shared" si="322"/>
        <v>0.23892557516508825</v>
      </c>
      <c r="R390" s="20">
        <f t="shared" si="440"/>
        <v>253</v>
      </c>
      <c r="S390" s="20">
        <f t="shared" si="443"/>
        <v>1685</v>
      </c>
      <c r="T390" s="20">
        <v>11779</v>
      </c>
      <c r="U390" s="20">
        <v>1512</v>
      </c>
      <c r="V390" s="19">
        <f t="shared" si="316"/>
        <v>0.33776423343294187</v>
      </c>
      <c r="W390" s="20">
        <f t="shared" ref="W390:X390" si="528">T390-T389</f>
        <v>-44</v>
      </c>
      <c r="X390" s="20">
        <f t="shared" si="528"/>
        <v>32</v>
      </c>
      <c r="Y390" s="19">
        <f t="shared" si="476"/>
        <v>5.5817237522982732E-2</v>
      </c>
      <c r="Z390" s="19">
        <f t="shared" si="477"/>
        <v>0.12836403769420154</v>
      </c>
      <c r="AA390" s="21">
        <f t="shared" si="348"/>
        <v>1.1961607678464308</v>
      </c>
      <c r="AB390" s="26">
        <f t="shared" si="364"/>
        <v>1.1551731658919009</v>
      </c>
      <c r="AC390" s="23">
        <f t="shared" si="331"/>
        <v>9115.4285714285706</v>
      </c>
      <c r="AD390" s="23">
        <f t="shared" si="360"/>
        <v>240.57142857142858</v>
      </c>
      <c r="AE390" s="23">
        <f t="shared" si="332"/>
        <v>34771.571428571428</v>
      </c>
      <c r="AF390" s="25">
        <f t="shared" si="339"/>
        <v>0.26407178595237896</v>
      </c>
      <c r="AG390" s="20">
        <v>1870631</v>
      </c>
      <c r="AH390" s="21">
        <f t="shared" si="449"/>
        <v>67098</v>
      </c>
      <c r="AI390" s="21">
        <f t="shared" si="431"/>
        <v>50040.142857142855</v>
      </c>
      <c r="AJ390" s="20">
        <v>667303</v>
      </c>
      <c r="AK390" s="20">
        <f t="shared" si="458"/>
        <v>72641</v>
      </c>
      <c r="AL390" s="21">
        <f t="shared" si="464"/>
        <v>28808.571428571428</v>
      </c>
      <c r="AM390" s="26">
        <f t="shared" si="353"/>
        <v>3889.2857142857142</v>
      </c>
    </row>
    <row r="391" spans="1:39" ht="16">
      <c r="A391" s="30">
        <v>44283</v>
      </c>
      <c r="B391" s="20">
        <f t="shared" si="491"/>
        <v>633861</v>
      </c>
      <c r="C391" s="20">
        <v>9082</v>
      </c>
      <c r="D391" s="20">
        <v>19972</v>
      </c>
      <c r="E391" s="20">
        <v>395790</v>
      </c>
      <c r="F391" s="20">
        <v>4515464</v>
      </c>
      <c r="G391" s="17">
        <f t="shared" si="204"/>
        <v>460761.63265306118</v>
      </c>
      <c r="H391" s="20"/>
      <c r="I391" s="19">
        <f t="shared" si="234"/>
        <v>1.4536340049841624E-2</v>
      </c>
      <c r="J391" s="19">
        <f t="shared" si="231"/>
        <v>0.14037560702510307</v>
      </c>
      <c r="K391" s="19">
        <f t="shared" si="232"/>
        <v>6.5314167140159644E-3</v>
      </c>
      <c r="L391" s="20">
        <v>218099</v>
      </c>
      <c r="M391" s="19">
        <f t="shared" si="235"/>
        <v>3.1508485298827348E-2</v>
      </c>
      <c r="N391" s="19">
        <f t="shared" si="236"/>
        <v>0.6244113457051309</v>
      </c>
      <c r="O391" s="20">
        <v>59018</v>
      </c>
      <c r="P391" s="28">
        <f t="shared" si="437"/>
        <v>29301</v>
      </c>
      <c r="Q391" s="29">
        <f t="shared" si="322"/>
        <v>0.30995529162827207</v>
      </c>
      <c r="R391" s="20">
        <f t="shared" si="440"/>
        <v>220</v>
      </c>
      <c r="S391" s="20">
        <f t="shared" si="443"/>
        <v>1791</v>
      </c>
      <c r="T391" s="20">
        <v>11805</v>
      </c>
      <c r="U391" s="20">
        <v>1527</v>
      </c>
      <c r="V391" s="19">
        <f t="shared" si="316"/>
        <v>0.34408016899604171</v>
      </c>
      <c r="W391" s="20">
        <f t="shared" ref="W391:X391" si="529">T391-T390</f>
        <v>26</v>
      </c>
      <c r="X391" s="20">
        <f t="shared" si="529"/>
        <v>15</v>
      </c>
      <c r="Y391" s="19">
        <f t="shared" si="476"/>
        <v>5.4126795629507701E-2</v>
      </c>
      <c r="Z391" s="19">
        <f t="shared" si="477"/>
        <v>0.12935196950444727</v>
      </c>
      <c r="AA391" s="21">
        <f t="shared" si="348"/>
        <v>1.1299132580844191</v>
      </c>
      <c r="AB391" s="26">
        <f t="shared" si="364"/>
        <v>1.1606191097637162</v>
      </c>
      <c r="AC391" s="23">
        <f t="shared" si="331"/>
        <v>8895</v>
      </c>
      <c r="AD391" s="23">
        <f t="shared" si="360"/>
        <v>244.28571428571428</v>
      </c>
      <c r="AE391" s="23">
        <f t="shared" si="332"/>
        <v>33103.285714285717</v>
      </c>
      <c r="AF391" s="25">
        <f t="shared" si="339"/>
        <v>0.27131123575989352</v>
      </c>
      <c r="AG391" s="20">
        <v>1903498</v>
      </c>
      <c r="AH391" s="21">
        <f t="shared" si="449"/>
        <v>32867</v>
      </c>
      <c r="AI391" s="21">
        <f t="shared" si="431"/>
        <v>48608</v>
      </c>
      <c r="AJ391" s="20">
        <v>685971</v>
      </c>
      <c r="AK391" s="20">
        <f t="shared" si="458"/>
        <v>18668</v>
      </c>
      <c r="AL391" s="21">
        <f t="shared" si="464"/>
        <v>30154.285714285714</v>
      </c>
      <c r="AM391" s="26">
        <f t="shared" si="353"/>
        <v>3684.5714285714284</v>
      </c>
    </row>
    <row r="392" spans="1:39" ht="16">
      <c r="A392" s="30">
        <v>44284</v>
      </c>
      <c r="B392" s="20">
        <f t="shared" si="491"/>
        <v>641124</v>
      </c>
      <c r="C392" s="20">
        <v>7263</v>
      </c>
      <c r="D392" s="20">
        <v>20161</v>
      </c>
      <c r="E392" s="20">
        <v>399961</v>
      </c>
      <c r="F392" s="20">
        <v>4557943</v>
      </c>
      <c r="G392" s="17">
        <f t="shared" si="204"/>
        <v>465096.22448979586</v>
      </c>
      <c r="H392" s="20"/>
      <c r="I392" s="19">
        <f t="shared" si="234"/>
        <v>1.1458348123642249E-2</v>
      </c>
      <c r="J392" s="19">
        <f t="shared" si="231"/>
        <v>0.14066082002341845</v>
      </c>
      <c r="K392" s="19">
        <f t="shared" si="232"/>
        <v>9.4074495998639346E-3</v>
      </c>
      <c r="L392" s="20">
        <v>221002</v>
      </c>
      <c r="M392" s="19">
        <f t="shared" si="235"/>
        <v>3.1446334874376876E-2</v>
      </c>
      <c r="N392" s="19">
        <f t="shared" si="236"/>
        <v>0.62384343746295567</v>
      </c>
      <c r="O392" s="20">
        <v>55511</v>
      </c>
      <c r="P392" s="28">
        <f t="shared" si="437"/>
        <v>42479</v>
      </c>
      <c r="Q392" s="29">
        <f t="shared" si="322"/>
        <v>0.1709786011911768</v>
      </c>
      <c r="R392" s="20">
        <f t="shared" si="440"/>
        <v>189</v>
      </c>
      <c r="S392" s="20">
        <f t="shared" si="443"/>
        <v>4171</v>
      </c>
      <c r="T392" s="20">
        <v>12291</v>
      </c>
      <c r="U392" s="20">
        <v>1497</v>
      </c>
      <c r="V392" s="19">
        <f t="shared" si="316"/>
        <v>0.34471022766266746</v>
      </c>
      <c r="W392" s="20">
        <f t="shared" ref="W392:X392" si="530">T392-T391</f>
        <v>486</v>
      </c>
      <c r="X392" s="20">
        <f t="shared" si="530"/>
        <v>-30</v>
      </c>
      <c r="Y392" s="19">
        <f t="shared" si="476"/>
        <v>5.561488131329128E-2</v>
      </c>
      <c r="Z392" s="19">
        <f t="shared" si="477"/>
        <v>0.12179643641689041</v>
      </c>
      <c r="AA392" s="21">
        <f t="shared" si="348"/>
        <v>1.0715019664812386</v>
      </c>
      <c r="AB392" s="26">
        <f t="shared" si="364"/>
        <v>1.168354152431299</v>
      </c>
      <c r="AC392" s="23">
        <f t="shared" si="331"/>
        <v>8640.2857142857138</v>
      </c>
      <c r="AD392" s="23">
        <f t="shared" si="360"/>
        <v>244.28571428571428</v>
      </c>
      <c r="AE392" s="23">
        <f t="shared" si="332"/>
        <v>34662.571428571428</v>
      </c>
      <c r="AF392" s="25">
        <f t="shared" si="339"/>
        <v>0.25479499016363688</v>
      </c>
      <c r="AG392" s="20">
        <v>1920347</v>
      </c>
      <c r="AH392" s="21">
        <f t="shared" si="449"/>
        <v>16849</v>
      </c>
      <c r="AI392" s="21">
        <f t="shared" si="431"/>
        <v>47247.857142857145</v>
      </c>
      <c r="AJ392" s="20">
        <v>689392</v>
      </c>
      <c r="AK392" s="20">
        <f t="shared" si="458"/>
        <v>3421</v>
      </c>
      <c r="AL392" s="21">
        <f t="shared" si="464"/>
        <v>30000.428571428572</v>
      </c>
      <c r="AM392" s="26">
        <f t="shared" si="353"/>
        <v>3756.4285714285716</v>
      </c>
    </row>
    <row r="393" spans="1:39" ht="16">
      <c r="A393" s="30">
        <v>44285</v>
      </c>
      <c r="B393" s="20">
        <f t="shared" si="491"/>
        <v>645733</v>
      </c>
      <c r="C393" s="20">
        <v>4609</v>
      </c>
      <c r="D393" s="20">
        <v>20435</v>
      </c>
      <c r="E393" s="20">
        <v>402964</v>
      </c>
      <c r="F393" s="20">
        <v>4576398</v>
      </c>
      <c r="G393" s="17">
        <f t="shared" si="204"/>
        <v>466979.38775510201</v>
      </c>
      <c r="H393" s="20"/>
      <c r="I393" s="19">
        <f t="shared" si="234"/>
        <v>7.1889369295175349E-3</v>
      </c>
      <c r="J393" s="19">
        <f t="shared" si="231"/>
        <v>0.1411007084611085</v>
      </c>
      <c r="K393" s="19">
        <f t="shared" si="232"/>
        <v>4.0489756014939196E-3</v>
      </c>
      <c r="L393" s="20">
        <v>222234</v>
      </c>
      <c r="M393" s="19">
        <f t="shared" si="235"/>
        <v>3.1646206713920461E-2</v>
      </c>
      <c r="N393" s="19">
        <f t="shared" si="236"/>
        <v>0.62404120588540468</v>
      </c>
      <c r="O393" s="20">
        <v>55280</v>
      </c>
      <c r="P393" s="28">
        <f t="shared" si="437"/>
        <v>18455</v>
      </c>
      <c r="Q393" s="29">
        <f t="shared" si="322"/>
        <v>0.24974261717691681</v>
      </c>
      <c r="R393" s="20">
        <f t="shared" si="440"/>
        <v>274</v>
      </c>
      <c r="S393" s="20">
        <f t="shared" si="443"/>
        <v>3003</v>
      </c>
      <c r="T393" s="20">
        <v>12553</v>
      </c>
      <c r="U393" s="20">
        <v>1529</v>
      </c>
      <c r="V393" s="19">
        <f t="shared" si="316"/>
        <v>0.34415772463231709</v>
      </c>
      <c r="W393" s="20">
        <f t="shared" ref="W393:X393" si="531">T393-T392</f>
        <v>262</v>
      </c>
      <c r="X393" s="20">
        <f t="shared" si="531"/>
        <v>32</v>
      </c>
      <c r="Y393" s="19">
        <f t="shared" si="476"/>
        <v>5.6485506268167784E-2</v>
      </c>
      <c r="Z393" s="19">
        <f t="shared" si="477"/>
        <v>0.12180355293555326</v>
      </c>
      <c r="AA393" s="21">
        <f t="shared" si="348"/>
        <v>1.0457711268223364</v>
      </c>
      <c r="AB393" s="26">
        <f t="shared" si="364"/>
        <v>1.1667159926364534</v>
      </c>
      <c r="AC393" s="23">
        <f t="shared" si="331"/>
        <v>8515.7142857142862</v>
      </c>
      <c r="AD393" s="23">
        <f t="shared" si="360"/>
        <v>247.42857142857142</v>
      </c>
      <c r="AE393" s="23">
        <f t="shared" si="332"/>
        <v>34544.857142857145</v>
      </c>
      <c r="AF393" s="25">
        <f t="shared" si="339"/>
        <v>0.24985836716565824</v>
      </c>
      <c r="AG393" s="20">
        <v>2000998</v>
      </c>
      <c r="AH393" s="21">
        <f t="shared" si="449"/>
        <v>80651</v>
      </c>
      <c r="AI393" s="21">
        <f t="shared" si="431"/>
        <v>52080.285714285717</v>
      </c>
      <c r="AJ393" s="32">
        <v>721289</v>
      </c>
      <c r="AK393" s="20">
        <v>31897</v>
      </c>
      <c r="AL393" s="21">
        <f t="shared" si="464"/>
        <v>34209.857142857145</v>
      </c>
      <c r="AM393" s="26">
        <f t="shared" si="353"/>
        <v>3541.1428571428573</v>
      </c>
    </row>
    <row r="394" spans="1:39" ht="16">
      <c r="A394" s="30">
        <v>44286</v>
      </c>
      <c r="B394" s="20">
        <f t="shared" si="491"/>
        <v>652433</v>
      </c>
      <c r="C394" s="20">
        <v>6700</v>
      </c>
      <c r="D394" s="20">
        <v>20737</v>
      </c>
      <c r="E394" s="20">
        <v>406935</v>
      </c>
      <c r="F394" s="20">
        <v>4609152</v>
      </c>
      <c r="G394" s="17">
        <f t="shared" si="204"/>
        <v>470321.63265306118</v>
      </c>
      <c r="H394" s="20"/>
      <c r="I394" s="19">
        <f t="shared" si="234"/>
        <v>1.0375805479973922E-2</v>
      </c>
      <c r="J394" s="19">
        <f t="shared" si="231"/>
        <v>0.14155163466077925</v>
      </c>
      <c r="K394" s="19">
        <f t="shared" si="232"/>
        <v>7.1571572227765159E-3</v>
      </c>
      <c r="L394" s="20">
        <v>224761</v>
      </c>
      <c r="M394" s="19">
        <f t="shared" si="235"/>
        <v>3.1784106567264381E-2</v>
      </c>
      <c r="N394" s="19">
        <f t="shared" si="236"/>
        <v>0.62371921714566858</v>
      </c>
      <c r="O394" s="20">
        <v>55287</v>
      </c>
      <c r="P394" s="28">
        <f t="shared" si="437"/>
        <v>32754</v>
      </c>
      <c r="Q394" s="29">
        <f t="shared" si="322"/>
        <v>0.20455516883434086</v>
      </c>
      <c r="R394" s="20">
        <f t="shared" si="440"/>
        <v>302</v>
      </c>
      <c r="S394" s="20">
        <f t="shared" si="443"/>
        <v>3971</v>
      </c>
      <c r="T394" s="20">
        <v>12346</v>
      </c>
      <c r="U394" s="20">
        <v>1492</v>
      </c>
      <c r="V394" s="19">
        <f t="shared" si="316"/>
        <v>0.34449667628706704</v>
      </c>
      <c r="W394" s="20">
        <f t="shared" ref="W394:X394" si="532">T394-T393</f>
        <v>-207</v>
      </c>
      <c r="X394" s="20">
        <f t="shared" si="532"/>
        <v>-37</v>
      </c>
      <c r="Y394" s="19">
        <f t="shared" si="476"/>
        <v>5.4929458402480855E-2</v>
      </c>
      <c r="Z394" s="19">
        <f t="shared" si="477"/>
        <v>0.12084885792969383</v>
      </c>
      <c r="AA394" s="21">
        <f t="shared" si="348"/>
        <v>0.96059346986848126</v>
      </c>
      <c r="AB394" s="26">
        <f t="shared" si="364"/>
        <v>1.1350828311360586</v>
      </c>
      <c r="AC394" s="23">
        <f t="shared" si="331"/>
        <v>8389</v>
      </c>
      <c r="AD394" s="23">
        <f t="shared" si="360"/>
        <v>255</v>
      </c>
      <c r="AE394" s="23">
        <f t="shared" si="332"/>
        <v>34464.571428571428</v>
      </c>
      <c r="AF394" s="25">
        <f t="shared" si="339"/>
        <v>0.24654790288802628</v>
      </c>
      <c r="AG394" s="20">
        <v>2011029</v>
      </c>
      <c r="AH394" s="21">
        <f t="shared" si="449"/>
        <v>10031</v>
      </c>
      <c r="AI394" s="21">
        <f t="shared" si="431"/>
        <v>44988.428571428572</v>
      </c>
      <c r="AJ394" s="20">
        <v>753187</v>
      </c>
      <c r="AK394" s="32">
        <f t="shared" ref="AK394:AK466" si="533">AJ394-AJ393</f>
        <v>31898</v>
      </c>
      <c r="AL394" s="21">
        <f t="shared" si="464"/>
        <v>36952.428571428572</v>
      </c>
      <c r="AM394" s="26">
        <f t="shared" si="353"/>
        <v>3589.7142857142858</v>
      </c>
    </row>
    <row r="395" spans="1:39" ht="16">
      <c r="A395" s="30">
        <v>44287</v>
      </c>
      <c r="B395" s="20">
        <f t="shared" si="491"/>
        <v>661721</v>
      </c>
      <c r="C395" s="20">
        <v>9288</v>
      </c>
      <c r="D395" s="20">
        <v>20995</v>
      </c>
      <c r="E395" s="20">
        <v>410565</v>
      </c>
      <c r="F395" s="20">
        <v>4649596</v>
      </c>
      <c r="G395" s="17">
        <f t="shared" si="204"/>
        <v>474448.57142857142</v>
      </c>
      <c r="H395" s="20"/>
      <c r="I395" s="19">
        <f t="shared" si="234"/>
        <v>1.4235944533768218E-2</v>
      </c>
      <c r="J395" s="19">
        <f t="shared" si="231"/>
        <v>0.14231795622673454</v>
      </c>
      <c r="K395" s="19">
        <f t="shared" si="232"/>
        <v>8.7747160432114189E-3</v>
      </c>
      <c r="L395" s="20">
        <v>230161</v>
      </c>
      <c r="M395" s="19">
        <f t="shared" si="235"/>
        <v>3.1727873227538492E-2</v>
      </c>
      <c r="N395" s="19">
        <f t="shared" si="236"/>
        <v>0.62045031062940426</v>
      </c>
      <c r="O395" s="20">
        <v>55915</v>
      </c>
      <c r="P395" s="28">
        <f t="shared" si="437"/>
        <v>40444</v>
      </c>
      <c r="Q395" s="29">
        <f t="shared" si="322"/>
        <v>0.22965087528434378</v>
      </c>
      <c r="R395" s="20">
        <f t="shared" si="440"/>
        <v>258</v>
      </c>
      <c r="S395" s="20">
        <f t="shared" si="443"/>
        <v>3630</v>
      </c>
      <c r="T395" s="20">
        <v>12062</v>
      </c>
      <c r="U395" s="20">
        <v>1512</v>
      </c>
      <c r="V395" s="19">
        <f t="shared" si="316"/>
        <v>0.34782181614305729</v>
      </c>
      <c r="W395" s="20">
        <f t="shared" ref="W395:X395" si="534">T395-T394</f>
        <v>-284</v>
      </c>
      <c r="X395" s="20">
        <f t="shared" si="534"/>
        <v>20</v>
      </c>
      <c r="Y395" s="19">
        <f t="shared" si="476"/>
        <v>5.2406793505415772E-2</v>
      </c>
      <c r="Z395" s="19">
        <f t="shared" si="477"/>
        <v>0.12535234621124192</v>
      </c>
      <c r="AA395" s="21">
        <f t="shared" si="348"/>
        <v>0.9083044175082079</v>
      </c>
      <c r="AB395" s="26">
        <f t="shared" si="364"/>
        <v>1.0808821214559605</v>
      </c>
      <c r="AC395" s="23">
        <f t="shared" si="331"/>
        <v>8339.1428571428569</v>
      </c>
      <c r="AD395" s="23">
        <f t="shared" si="360"/>
        <v>253</v>
      </c>
      <c r="AE395" s="23">
        <f t="shared" si="332"/>
        <v>35182.714285714283</v>
      </c>
      <c r="AF395" s="25">
        <f t="shared" si="339"/>
        <v>0.24048360386272205</v>
      </c>
      <c r="AG395" s="20">
        <v>2065948</v>
      </c>
      <c r="AH395" s="21">
        <f t="shared" si="449"/>
        <v>54919</v>
      </c>
      <c r="AI395" s="21">
        <f t="shared" si="431"/>
        <v>45489.857142857145</v>
      </c>
      <c r="AJ395" s="20">
        <v>787207</v>
      </c>
      <c r="AK395" s="20">
        <f t="shared" si="533"/>
        <v>34020</v>
      </c>
      <c r="AL395" s="21">
        <f t="shared" si="464"/>
        <v>37514.714285714283</v>
      </c>
      <c r="AM395" s="26">
        <f t="shared" si="353"/>
        <v>3285</v>
      </c>
    </row>
    <row r="396" spans="1:39" ht="16">
      <c r="A396" s="30">
        <v>44288</v>
      </c>
      <c r="B396" s="20">
        <f t="shared" si="491"/>
        <v>670776</v>
      </c>
      <c r="C396" s="20">
        <v>9055</v>
      </c>
      <c r="D396" s="20">
        <v>21262</v>
      </c>
      <c r="E396" s="20">
        <v>413370</v>
      </c>
      <c r="F396" s="20">
        <v>4689589</v>
      </c>
      <c r="G396" s="17">
        <f t="shared" si="204"/>
        <v>478529.48979591834</v>
      </c>
      <c r="H396" s="20"/>
      <c r="I396" s="19">
        <f t="shared" si="234"/>
        <v>1.3684014864270592E-2</v>
      </c>
      <c r="J396" s="19">
        <f t="shared" si="231"/>
        <v>0.14303513591489575</v>
      </c>
      <c r="K396" s="19">
        <f t="shared" si="232"/>
        <v>8.6013924650657821E-3</v>
      </c>
      <c r="L396" s="20">
        <v>236144</v>
      </c>
      <c r="M396" s="19">
        <f t="shared" si="235"/>
        <v>3.1697615895619403E-2</v>
      </c>
      <c r="N396" s="19">
        <f t="shared" si="236"/>
        <v>0.61625639557765932</v>
      </c>
      <c r="O396" s="20">
        <v>57800</v>
      </c>
      <c r="P396" s="28">
        <f t="shared" si="437"/>
        <v>39993</v>
      </c>
      <c r="Q396" s="29">
        <f t="shared" si="322"/>
        <v>0.22641462255894781</v>
      </c>
      <c r="R396" s="20">
        <f t="shared" si="440"/>
        <v>267</v>
      </c>
      <c r="S396" s="20">
        <f t="shared" si="443"/>
        <v>2805</v>
      </c>
      <c r="T396" s="20">
        <v>11747</v>
      </c>
      <c r="U396" s="20">
        <v>1467</v>
      </c>
      <c r="V396" s="19">
        <f t="shared" si="316"/>
        <v>0.35204598852672131</v>
      </c>
      <c r="W396" s="20">
        <f t="shared" ref="W396:X396" si="535">T396-T395</f>
        <v>-315</v>
      </c>
      <c r="X396" s="20">
        <f t="shared" si="535"/>
        <v>-45</v>
      </c>
      <c r="Y396" s="19">
        <f t="shared" si="476"/>
        <v>4.9745070804255033E-2</v>
      </c>
      <c r="Z396" s="19">
        <f t="shared" si="477"/>
        <v>0.12488294883800119</v>
      </c>
      <c r="AA396" s="21">
        <f t="shared" si="348"/>
        <v>0.86708968242940732</v>
      </c>
      <c r="AB396" s="26">
        <f t="shared" si="364"/>
        <v>1.0256192412915028</v>
      </c>
      <c r="AC396" s="23">
        <f t="shared" si="331"/>
        <v>8023.4285714285716</v>
      </c>
      <c r="AD396" s="23">
        <f t="shared" si="360"/>
        <v>251.85714285714286</v>
      </c>
      <c r="AE396" s="23">
        <f t="shared" si="332"/>
        <v>35139.857142857145</v>
      </c>
      <c r="AF396" s="25">
        <f t="shared" si="339"/>
        <v>0.23288896454844091</v>
      </c>
      <c r="AG396" s="20">
        <v>2156680</v>
      </c>
      <c r="AH396" s="21">
        <f t="shared" si="449"/>
        <v>90732</v>
      </c>
      <c r="AI396" s="21">
        <f t="shared" si="431"/>
        <v>50449.571428571428</v>
      </c>
      <c r="AJ396" s="20">
        <v>863195</v>
      </c>
      <c r="AK396" s="20">
        <f t="shared" si="533"/>
        <v>75988</v>
      </c>
      <c r="AL396" s="21">
        <f t="shared" si="464"/>
        <v>38361.857142857145</v>
      </c>
      <c r="AM396" s="26">
        <f t="shared" si="353"/>
        <v>3008</v>
      </c>
    </row>
    <row r="397" spans="1:39" ht="16">
      <c r="A397" s="30">
        <v>44289</v>
      </c>
      <c r="B397" s="20">
        <f t="shared" si="491"/>
        <v>679413</v>
      </c>
      <c r="C397" s="20">
        <v>8637</v>
      </c>
      <c r="D397" s="20">
        <v>21504</v>
      </c>
      <c r="E397" s="20">
        <v>415601</v>
      </c>
      <c r="F397" s="20">
        <v>4726187</v>
      </c>
      <c r="G397" s="17">
        <f t="shared" si="204"/>
        <v>482263.97959183669</v>
      </c>
      <c r="H397" s="20"/>
      <c r="I397" s="19">
        <f t="shared" si="234"/>
        <v>1.2876131525278185E-2</v>
      </c>
      <c r="J397" s="19">
        <f t="shared" si="231"/>
        <v>0.14375499742181169</v>
      </c>
      <c r="K397" s="19">
        <f t="shared" si="232"/>
        <v>7.8040954121992353E-3</v>
      </c>
      <c r="L397" s="20">
        <v>242308</v>
      </c>
      <c r="M397" s="19">
        <f t="shared" si="235"/>
        <v>3.1650851543906282E-2</v>
      </c>
      <c r="N397" s="19">
        <f t="shared" si="236"/>
        <v>0.6117059873743953</v>
      </c>
      <c r="O397" s="20">
        <v>55056</v>
      </c>
      <c r="P397" s="28">
        <f t="shared" si="437"/>
        <v>36598</v>
      </c>
      <c r="Q397" s="29">
        <f t="shared" si="322"/>
        <v>0.23599650254112248</v>
      </c>
      <c r="R397" s="20">
        <f t="shared" si="440"/>
        <v>242</v>
      </c>
      <c r="S397" s="20">
        <f t="shared" si="443"/>
        <v>2231</v>
      </c>
      <c r="T397" s="20">
        <v>11383</v>
      </c>
      <c r="U397" s="20">
        <v>1437</v>
      </c>
      <c r="V397" s="19">
        <f t="shared" si="316"/>
        <v>0.35664316108169847</v>
      </c>
      <c r="W397" s="20">
        <f t="shared" ref="W397:X397" si="536">T397-T396</f>
        <v>-364</v>
      </c>
      <c r="X397" s="20">
        <f t="shared" si="536"/>
        <v>-30</v>
      </c>
      <c r="Y397" s="19">
        <f t="shared" si="476"/>
        <v>4.6977400663618205E-2</v>
      </c>
      <c r="Z397" s="19">
        <f t="shared" si="477"/>
        <v>0.12624088553105509</v>
      </c>
      <c r="AA397" s="21">
        <f t="shared" si="348"/>
        <v>0.85622492477432299</v>
      </c>
      <c r="AB397" s="26">
        <f t="shared" si="364"/>
        <v>0.97705697799548752</v>
      </c>
      <c r="AC397" s="23">
        <f t="shared" si="331"/>
        <v>7804.8571428571431</v>
      </c>
      <c r="AD397" s="23">
        <f t="shared" si="360"/>
        <v>250.28571428571428</v>
      </c>
      <c r="AE397" s="23">
        <f t="shared" si="332"/>
        <v>34289.142857142855</v>
      </c>
      <c r="AF397" s="25">
        <f t="shared" si="339"/>
        <v>0.23247052560216006</v>
      </c>
      <c r="AG397" s="20">
        <v>2235731</v>
      </c>
      <c r="AH397" s="21">
        <f t="shared" si="449"/>
        <v>79051</v>
      </c>
      <c r="AI397" s="21">
        <f t="shared" si="431"/>
        <v>52157.142857142855</v>
      </c>
      <c r="AJ397" s="20">
        <v>891002</v>
      </c>
      <c r="AK397" s="20">
        <f t="shared" si="533"/>
        <v>27807</v>
      </c>
      <c r="AL397" s="21">
        <f t="shared" si="464"/>
        <v>31957</v>
      </c>
      <c r="AM397" s="26">
        <f t="shared" si="353"/>
        <v>3086</v>
      </c>
    </row>
    <row r="398" spans="1:39" ht="16">
      <c r="A398" s="30">
        <v>44290</v>
      </c>
      <c r="B398" s="20">
        <f t="shared" si="491"/>
        <v>685979</v>
      </c>
      <c r="C398" s="20">
        <v>6566</v>
      </c>
      <c r="D398" s="20">
        <v>21715</v>
      </c>
      <c r="E398" s="20">
        <v>416972</v>
      </c>
      <c r="F398" s="20">
        <v>4753281</v>
      </c>
      <c r="G398" s="17">
        <f t="shared" si="204"/>
        <v>485028.67346938769</v>
      </c>
      <c r="H398" s="20"/>
      <c r="I398" s="19">
        <f t="shared" si="234"/>
        <v>9.6642248529245096E-3</v>
      </c>
      <c r="J398" s="19">
        <f t="shared" si="231"/>
        <v>0.1443169465470272</v>
      </c>
      <c r="K398" s="19">
        <f t="shared" si="232"/>
        <v>5.7327397328967309E-3</v>
      </c>
      <c r="L398" s="20">
        <v>247292</v>
      </c>
      <c r="M398" s="19">
        <f t="shared" si="235"/>
        <v>3.1655487995988218E-2</v>
      </c>
      <c r="N398" s="19">
        <f t="shared" si="236"/>
        <v>0.60784951142819243</v>
      </c>
      <c r="O398" s="20">
        <v>52528</v>
      </c>
      <c r="P398" s="28">
        <f t="shared" si="437"/>
        <v>27094</v>
      </c>
      <c r="Q398" s="29">
        <f t="shared" si="322"/>
        <v>0.24234147781796708</v>
      </c>
      <c r="R398" s="20">
        <f t="shared" si="440"/>
        <v>211</v>
      </c>
      <c r="S398" s="20">
        <f t="shared" si="443"/>
        <v>1371</v>
      </c>
      <c r="T398" s="20">
        <v>11571</v>
      </c>
      <c r="U398" s="20">
        <v>1440</v>
      </c>
      <c r="V398" s="19">
        <f t="shared" si="316"/>
        <v>0.3604950005758194</v>
      </c>
      <c r="W398" s="20">
        <f t="shared" ref="W398:X398" si="537">T398-T397</f>
        <v>188</v>
      </c>
      <c r="X398" s="20">
        <f t="shared" si="537"/>
        <v>3</v>
      </c>
      <c r="Y398" s="19">
        <f t="shared" si="476"/>
        <v>4.6790838361127733E-2</v>
      </c>
      <c r="Z398" s="19">
        <f t="shared" si="477"/>
        <v>0.1244490536686544</v>
      </c>
      <c r="AA398" s="21">
        <f t="shared" si="348"/>
        <v>0.83703525254958644</v>
      </c>
      <c r="AB398" s="26">
        <f t="shared" si="364"/>
        <v>0.93521726291908303</v>
      </c>
      <c r="AC398" s="23">
        <f t="shared" si="331"/>
        <v>7445.4285714285716</v>
      </c>
      <c r="AD398" s="23">
        <f t="shared" si="360"/>
        <v>249</v>
      </c>
      <c r="AE398" s="23">
        <f t="shared" si="332"/>
        <v>33973.857142857145</v>
      </c>
      <c r="AF398" s="25">
        <f t="shared" si="339"/>
        <v>0.22281140934354512</v>
      </c>
      <c r="AG398" s="20">
        <v>2312501</v>
      </c>
      <c r="AH398" s="21">
        <f t="shared" si="449"/>
        <v>76770</v>
      </c>
      <c r="AI398" s="21">
        <f t="shared" si="431"/>
        <v>58429</v>
      </c>
      <c r="AJ398" s="20">
        <v>905117</v>
      </c>
      <c r="AK398" s="20">
        <f t="shared" si="533"/>
        <v>14115</v>
      </c>
      <c r="AL398" s="21">
        <f t="shared" si="464"/>
        <v>31306.571428571428</v>
      </c>
      <c r="AM398" s="26">
        <f t="shared" si="353"/>
        <v>3026</v>
      </c>
    </row>
    <row r="399" spans="1:39" ht="16">
      <c r="A399" s="30">
        <v>44291</v>
      </c>
      <c r="B399" s="20">
        <f t="shared" si="491"/>
        <v>689853</v>
      </c>
      <c r="C399" s="20">
        <v>3874</v>
      </c>
      <c r="D399" s="20">
        <v>21928</v>
      </c>
      <c r="E399" s="20">
        <v>418084</v>
      </c>
      <c r="F399" s="20">
        <v>4772189</v>
      </c>
      <c r="G399" s="17">
        <f t="shared" si="204"/>
        <v>486958.06122448976</v>
      </c>
      <c r="H399" s="20"/>
      <c r="I399" s="19">
        <f t="shared" si="234"/>
        <v>5.6474032003895162E-3</v>
      </c>
      <c r="J399" s="19">
        <f t="shared" si="231"/>
        <v>0.14455693183987475</v>
      </c>
      <c r="K399" s="19">
        <f t="shared" si="232"/>
        <v>3.9778839079785099E-3</v>
      </c>
      <c r="L399" s="20">
        <v>249841</v>
      </c>
      <c r="M399" s="19">
        <f t="shared" si="235"/>
        <v>3.1786482047624638E-2</v>
      </c>
      <c r="N399" s="19">
        <f t="shared" si="236"/>
        <v>0.60604795514406695</v>
      </c>
      <c r="O399" s="20">
        <v>50052</v>
      </c>
      <c r="P399" s="28">
        <f t="shared" si="437"/>
        <v>18908</v>
      </c>
      <c r="Q399" s="29">
        <f t="shared" si="322"/>
        <v>0.20488682039348424</v>
      </c>
      <c r="R399" s="20">
        <f t="shared" si="440"/>
        <v>213</v>
      </c>
      <c r="S399" s="20">
        <f t="shared" si="443"/>
        <v>1112</v>
      </c>
      <c r="T399" s="20">
        <v>11806</v>
      </c>
      <c r="U399" s="20">
        <v>1451</v>
      </c>
      <c r="V399" s="19">
        <f t="shared" si="316"/>
        <v>0.36216556280830842</v>
      </c>
      <c r="W399" s="20">
        <f t="shared" ref="W399:X399" si="538">T399-T398</f>
        <v>235</v>
      </c>
      <c r="X399" s="20">
        <f t="shared" si="538"/>
        <v>11</v>
      </c>
      <c r="Y399" s="19">
        <f t="shared" si="476"/>
        <v>4.7254053578075654E-2</v>
      </c>
      <c r="Z399" s="19">
        <f t="shared" si="477"/>
        <v>0.12290360833474505</v>
      </c>
      <c r="AA399" s="21">
        <f t="shared" si="348"/>
        <v>0.80567772229754309</v>
      </c>
      <c r="AB399" s="26">
        <f t="shared" si="364"/>
        <v>0.89724237089284065</v>
      </c>
      <c r="AC399" s="23">
        <f t="shared" si="331"/>
        <v>6961.2857142857147</v>
      </c>
      <c r="AD399" s="23">
        <f t="shared" si="360"/>
        <v>252.42857142857142</v>
      </c>
      <c r="AE399" s="23">
        <f t="shared" si="332"/>
        <v>30606.571428571428</v>
      </c>
      <c r="AF399" s="25">
        <f t="shared" si="339"/>
        <v>0.22765544065816043</v>
      </c>
      <c r="AG399" s="20">
        <v>2362839</v>
      </c>
      <c r="AH399" s="21">
        <f t="shared" si="449"/>
        <v>50338</v>
      </c>
      <c r="AI399" s="21">
        <f t="shared" si="431"/>
        <v>63213.142857142855</v>
      </c>
      <c r="AJ399" s="20">
        <v>913012</v>
      </c>
      <c r="AK399" s="20">
        <f t="shared" si="533"/>
        <v>7895</v>
      </c>
      <c r="AL399" s="21">
        <f t="shared" si="464"/>
        <v>31945.714285714286</v>
      </c>
      <c r="AM399" s="26">
        <f t="shared" si="353"/>
        <v>2589</v>
      </c>
    </row>
    <row r="400" spans="1:39" ht="16">
      <c r="A400" s="30">
        <v>44292</v>
      </c>
      <c r="B400" s="20">
        <f t="shared" si="491"/>
        <v>691743</v>
      </c>
      <c r="C400" s="20">
        <v>1890</v>
      </c>
      <c r="D400" s="20">
        <v>22098</v>
      </c>
      <c r="E400" s="20">
        <v>418568</v>
      </c>
      <c r="F400" s="20">
        <v>4783383</v>
      </c>
      <c r="G400" s="17">
        <f t="shared" si="204"/>
        <v>488100.30612244894</v>
      </c>
      <c r="H400" s="20"/>
      <c r="I400" s="19">
        <f t="shared" si="234"/>
        <v>2.7397141130066842E-3</v>
      </c>
      <c r="J400" s="19">
        <f t="shared" si="231"/>
        <v>0.14461375975956764</v>
      </c>
      <c r="K400" s="19">
        <f t="shared" si="232"/>
        <v>2.345674071165245E-3</v>
      </c>
      <c r="L400" s="20">
        <v>251077</v>
      </c>
      <c r="M400" s="19">
        <f t="shared" si="235"/>
        <v>3.1945390123210501E-2</v>
      </c>
      <c r="N400" s="19">
        <f t="shared" si="236"/>
        <v>0.60509177541370129</v>
      </c>
      <c r="O400" s="20">
        <v>44172</v>
      </c>
      <c r="P400" s="28">
        <f t="shared" si="437"/>
        <v>11194</v>
      </c>
      <c r="Q400" s="29">
        <f t="shared" si="322"/>
        <v>0.16884045024120065</v>
      </c>
      <c r="R400" s="20">
        <f t="shared" si="440"/>
        <v>170</v>
      </c>
      <c r="S400" s="20">
        <f t="shared" si="443"/>
        <v>484</v>
      </c>
      <c r="T400" s="20">
        <v>12007</v>
      </c>
      <c r="U400" s="20">
        <v>1440</v>
      </c>
      <c r="V400" s="19">
        <f t="shared" si="316"/>
        <v>0.36296283446308819</v>
      </c>
      <c r="W400" s="20">
        <f t="shared" ref="W400:X400" si="539">T400-T399</f>
        <v>201</v>
      </c>
      <c r="X400" s="20">
        <f t="shared" si="539"/>
        <v>-11</v>
      </c>
      <c r="Y400" s="19">
        <f t="shared" si="476"/>
        <v>4.7821982897676807E-2</v>
      </c>
      <c r="Z400" s="19">
        <f t="shared" si="477"/>
        <v>0.11993004080952778</v>
      </c>
      <c r="AA400" s="21">
        <f t="shared" si="348"/>
        <v>0.7718503606777386</v>
      </c>
      <c r="AB400" s="26">
        <f t="shared" si="364"/>
        <v>0.85811083287218393</v>
      </c>
      <c r="AC400" s="23">
        <f t="shared" si="331"/>
        <v>6572.8571428571431</v>
      </c>
      <c r="AD400" s="23">
        <f t="shared" si="360"/>
        <v>237.57142857142858</v>
      </c>
      <c r="AE400" s="23">
        <f t="shared" si="332"/>
        <v>29569.285714285714</v>
      </c>
      <c r="AF400" s="25">
        <f t="shared" si="339"/>
        <v>0.21609798823877238</v>
      </c>
      <c r="AG400" s="20">
        <v>2432313</v>
      </c>
      <c r="AH400" s="21">
        <f t="shared" si="449"/>
        <v>69474</v>
      </c>
      <c r="AI400" s="21">
        <f t="shared" si="431"/>
        <v>61616.428571428572</v>
      </c>
      <c r="AJ400" s="20">
        <v>922886</v>
      </c>
      <c r="AK400" s="20">
        <f t="shared" si="533"/>
        <v>9874</v>
      </c>
      <c r="AL400" s="21">
        <f t="shared" si="464"/>
        <v>28799.571428571428</v>
      </c>
      <c r="AM400" s="26">
        <f t="shared" si="353"/>
        <v>2229.1428571428573</v>
      </c>
    </row>
    <row r="401" spans="1:39" ht="16">
      <c r="A401" s="30">
        <v>44293</v>
      </c>
      <c r="B401" s="20">
        <f t="shared" si="491"/>
        <v>693676</v>
      </c>
      <c r="C401" s="20">
        <v>1933</v>
      </c>
      <c r="D401" s="20">
        <v>22409</v>
      </c>
      <c r="E401" s="20">
        <v>419152</v>
      </c>
      <c r="F401" s="20">
        <v>4795584</v>
      </c>
      <c r="G401" s="17">
        <f t="shared" si="204"/>
        <v>489345.30612244894</v>
      </c>
      <c r="H401" s="20"/>
      <c r="I401" s="19">
        <f t="shared" si="234"/>
        <v>2.7943904022158517E-3</v>
      </c>
      <c r="J401" s="19">
        <f t="shared" si="231"/>
        <v>0.14464891033083771</v>
      </c>
      <c r="K401" s="19">
        <f t="shared" si="232"/>
        <v>2.550705222642636E-3</v>
      </c>
      <c r="L401" s="20">
        <v>252115</v>
      </c>
      <c r="M401" s="19">
        <f t="shared" si="235"/>
        <v>3.2304707096684905E-2</v>
      </c>
      <c r="N401" s="19">
        <f t="shared" si="236"/>
        <v>0.60424751613145045</v>
      </c>
      <c r="O401" s="20">
        <v>47578</v>
      </c>
      <c r="P401" s="28">
        <f t="shared" si="437"/>
        <v>12201</v>
      </c>
      <c r="Q401" s="29">
        <f t="shared" si="322"/>
        <v>0.15842963691500697</v>
      </c>
      <c r="R401" s="20">
        <f t="shared" si="440"/>
        <v>311</v>
      </c>
      <c r="S401" s="20">
        <f t="shared" si="443"/>
        <v>584</v>
      </c>
      <c r="T401" s="20">
        <v>12202</v>
      </c>
      <c r="U401" s="20">
        <v>1407</v>
      </c>
      <c r="V401" s="19">
        <f t="shared" si="316"/>
        <v>0.36344777677186468</v>
      </c>
      <c r="W401" s="20">
        <f t="shared" ref="W401:X401" si="540">T401-T400</f>
        <v>195</v>
      </c>
      <c r="X401" s="20">
        <f t="shared" si="540"/>
        <v>-33</v>
      </c>
      <c r="Y401" s="19">
        <f t="shared" si="476"/>
        <v>4.8398548281538188E-2</v>
      </c>
      <c r="Z401" s="19">
        <f t="shared" si="477"/>
        <v>0.11530896574332077</v>
      </c>
      <c r="AA401" s="21">
        <f t="shared" si="348"/>
        <v>0.70233128416463741</v>
      </c>
      <c r="AB401" s="26">
        <f t="shared" si="364"/>
        <v>0.82121623491449203</v>
      </c>
      <c r="AC401" s="23">
        <f t="shared" si="331"/>
        <v>5891.8571428571431</v>
      </c>
      <c r="AD401" s="23">
        <f t="shared" si="360"/>
        <v>238.85714285714286</v>
      </c>
      <c r="AE401" s="23">
        <f t="shared" si="332"/>
        <v>26633.142857142859</v>
      </c>
      <c r="AF401" s="25">
        <f t="shared" si="339"/>
        <v>0.20950862653601041</v>
      </c>
      <c r="AG401" s="20">
        <v>2536751</v>
      </c>
      <c r="AH401" s="21">
        <f t="shared" si="449"/>
        <v>104438</v>
      </c>
      <c r="AI401" s="21">
        <f t="shared" si="431"/>
        <v>75103.142857142855</v>
      </c>
      <c r="AJ401" s="20">
        <v>1005936</v>
      </c>
      <c r="AK401" s="20">
        <f t="shared" si="533"/>
        <v>83050</v>
      </c>
      <c r="AL401" s="21">
        <f t="shared" si="464"/>
        <v>36107</v>
      </c>
      <c r="AM401" s="26">
        <f t="shared" si="353"/>
        <v>1745.2857142857142</v>
      </c>
    </row>
    <row r="402" spans="1:39" ht="16">
      <c r="A402" s="30">
        <v>44294</v>
      </c>
      <c r="B402" s="20">
        <f t="shared" si="491"/>
        <v>698490</v>
      </c>
      <c r="C402" s="20">
        <v>4814</v>
      </c>
      <c r="D402" s="20">
        <v>22681</v>
      </c>
      <c r="E402" s="20">
        <v>419765</v>
      </c>
      <c r="F402" s="20">
        <v>4825607</v>
      </c>
      <c r="G402" s="17">
        <f t="shared" si="204"/>
        <v>492408.87755102036</v>
      </c>
      <c r="H402" s="20"/>
      <c r="I402" s="19">
        <f t="shared" si="234"/>
        <v>6.9398393486296197E-3</v>
      </c>
      <c r="J402" s="19">
        <f t="shared" si="231"/>
        <v>0.14474655727248406</v>
      </c>
      <c r="K402" s="19">
        <f t="shared" si="232"/>
        <v>6.2605513739306829E-3</v>
      </c>
      <c r="L402" s="20">
        <v>256044</v>
      </c>
      <c r="M402" s="19">
        <f t="shared" si="235"/>
        <v>3.247147418001689E-2</v>
      </c>
      <c r="N402" s="19">
        <f t="shared" si="236"/>
        <v>0.60096064367421154</v>
      </c>
      <c r="O402" s="20">
        <v>46612</v>
      </c>
      <c r="P402" s="28">
        <f t="shared" si="437"/>
        <v>30023</v>
      </c>
      <c r="Q402" s="29">
        <f t="shared" si="322"/>
        <v>0.16034373646870734</v>
      </c>
      <c r="R402" s="20">
        <f t="shared" si="440"/>
        <v>272</v>
      </c>
      <c r="S402" s="20">
        <f t="shared" si="443"/>
        <v>613</v>
      </c>
      <c r="T402" s="20">
        <v>11663</v>
      </c>
      <c r="U402" s="20">
        <v>1337</v>
      </c>
      <c r="V402" s="19">
        <f t="shared" si="316"/>
        <v>0.36656788214577157</v>
      </c>
      <c r="W402" s="20">
        <f t="shared" ref="W402:X402" si="541">T402-T401</f>
        <v>-539</v>
      </c>
      <c r="X402" s="20">
        <f t="shared" si="541"/>
        <v>-70</v>
      </c>
      <c r="Y402" s="19">
        <f t="shared" si="476"/>
        <v>4.5550764712315069E-2</v>
      </c>
      <c r="Z402" s="19">
        <f t="shared" si="477"/>
        <v>0.11463602846608935</v>
      </c>
      <c r="AA402" s="21">
        <f t="shared" si="348"/>
        <v>0.62988659334635277</v>
      </c>
      <c r="AB402" s="26">
        <f t="shared" si="364"/>
        <v>0.78144226003422701</v>
      </c>
      <c r="AC402" s="23">
        <f t="shared" si="331"/>
        <v>5252.7142857142853</v>
      </c>
      <c r="AD402" s="23">
        <f t="shared" si="360"/>
        <v>240.85714285714286</v>
      </c>
      <c r="AE402" s="23">
        <f t="shared" si="332"/>
        <v>25144.428571428572</v>
      </c>
      <c r="AF402" s="25">
        <f t="shared" si="339"/>
        <v>0.19960760670520522</v>
      </c>
      <c r="AG402" s="20">
        <v>2608084</v>
      </c>
      <c r="AH402" s="21">
        <f t="shared" si="449"/>
        <v>71333</v>
      </c>
      <c r="AI402" s="21">
        <f t="shared" si="431"/>
        <v>77448</v>
      </c>
      <c r="AJ402" s="20">
        <v>1077947</v>
      </c>
      <c r="AK402" s="20">
        <f t="shared" si="533"/>
        <v>72011</v>
      </c>
      <c r="AL402" s="21">
        <f t="shared" si="464"/>
        <v>41534.285714285717</v>
      </c>
      <c r="AM402" s="26">
        <f t="shared" si="353"/>
        <v>1314.2857142857142</v>
      </c>
    </row>
    <row r="403" spans="1:39" ht="16">
      <c r="A403" s="30">
        <v>44295</v>
      </c>
      <c r="B403" s="20">
        <f t="shared" si="491"/>
        <v>705815</v>
      </c>
      <c r="C403" s="20">
        <v>7325</v>
      </c>
      <c r="D403" s="20">
        <v>22966</v>
      </c>
      <c r="E403" s="20">
        <v>420275</v>
      </c>
      <c r="F403" s="20">
        <v>4861310</v>
      </c>
      <c r="G403" s="17">
        <f t="shared" si="204"/>
        <v>496052.04081632651</v>
      </c>
      <c r="H403" s="20"/>
      <c r="I403" s="19">
        <f t="shared" si="234"/>
        <v>1.0486907471832094E-2</v>
      </c>
      <c r="J403" s="19">
        <f t="shared" si="231"/>
        <v>0.14519028821449362</v>
      </c>
      <c r="K403" s="19">
        <f t="shared" si="232"/>
        <v>7.3986547184633975E-3</v>
      </c>
      <c r="L403" s="20">
        <v>262574</v>
      </c>
      <c r="M403" s="19">
        <f t="shared" si="235"/>
        <v>3.2538271360058942E-2</v>
      </c>
      <c r="N403" s="19">
        <f t="shared" si="236"/>
        <v>0.59544639884388972</v>
      </c>
      <c r="O403" s="20">
        <v>46775</v>
      </c>
      <c r="P403" s="28">
        <f t="shared" si="437"/>
        <v>35703</v>
      </c>
      <c r="Q403" s="29">
        <f t="shared" si="322"/>
        <v>0.20516483208693947</v>
      </c>
      <c r="R403" s="20">
        <f t="shared" si="440"/>
        <v>285</v>
      </c>
      <c r="S403" s="20">
        <f t="shared" si="443"/>
        <v>510</v>
      </c>
      <c r="T403" s="20">
        <v>11363</v>
      </c>
      <c r="U403" s="20">
        <v>1364</v>
      </c>
      <c r="V403" s="19">
        <f t="shared" si="316"/>
        <v>0.3720153297960514</v>
      </c>
      <c r="W403" s="20">
        <f t="shared" ref="W403:X403" si="542">T403-T402</f>
        <v>-300</v>
      </c>
      <c r="X403" s="20">
        <f t="shared" si="542"/>
        <v>27</v>
      </c>
      <c r="Y403" s="19">
        <f t="shared" si="476"/>
        <v>4.3275419500788351E-2</v>
      </c>
      <c r="Z403" s="19">
        <f t="shared" si="477"/>
        <v>0.12003872216844143</v>
      </c>
      <c r="AA403" s="21">
        <f t="shared" si="348"/>
        <v>0.62386938252261237</v>
      </c>
      <c r="AB403" s="26">
        <f t="shared" si="364"/>
        <v>0.74669650290468481</v>
      </c>
      <c r="AC403" s="23">
        <f t="shared" si="331"/>
        <v>5005.5714285714284</v>
      </c>
      <c r="AD403" s="23">
        <f t="shared" si="360"/>
        <v>243.42857142857142</v>
      </c>
      <c r="AE403" s="23">
        <f t="shared" si="332"/>
        <v>24531.571428571428</v>
      </c>
      <c r="AF403" s="25">
        <f t="shared" si="339"/>
        <v>0.19657192235206117</v>
      </c>
      <c r="AG403" s="20">
        <v>2689102</v>
      </c>
      <c r="AH403" s="21">
        <f t="shared" si="449"/>
        <v>81018</v>
      </c>
      <c r="AI403" s="21">
        <f t="shared" si="431"/>
        <v>76060.28571428571</v>
      </c>
      <c r="AJ403" s="20">
        <v>1126139</v>
      </c>
      <c r="AK403" s="20">
        <f t="shared" si="533"/>
        <v>48192</v>
      </c>
      <c r="AL403" s="21">
        <f t="shared" si="464"/>
        <v>37563.428571428572</v>
      </c>
      <c r="AM403" s="26">
        <f t="shared" si="353"/>
        <v>986.42857142857144</v>
      </c>
    </row>
    <row r="404" spans="1:39" ht="16">
      <c r="A404" s="30">
        <v>44296</v>
      </c>
      <c r="B404" s="20">
        <f t="shared" si="491"/>
        <v>713868</v>
      </c>
      <c r="C404" s="20">
        <v>8053</v>
      </c>
      <c r="D404" s="20">
        <v>23211</v>
      </c>
      <c r="E404" s="20">
        <v>423366</v>
      </c>
      <c r="F404" s="20">
        <v>4897922</v>
      </c>
      <c r="G404" s="17">
        <f t="shared" si="204"/>
        <v>499787.95918367343</v>
      </c>
      <c r="H404" s="20"/>
      <c r="I404" s="19">
        <f t="shared" si="234"/>
        <v>1.1409505323632963E-2</v>
      </c>
      <c r="J404" s="19">
        <f t="shared" si="231"/>
        <v>0.14574915647901293</v>
      </c>
      <c r="K404" s="19">
        <f t="shared" si="232"/>
        <v>7.531303290676793E-3</v>
      </c>
      <c r="L404" s="20">
        <v>267291</v>
      </c>
      <c r="M404" s="19">
        <f t="shared" si="235"/>
        <v>3.2514414429558408E-2</v>
      </c>
      <c r="N404" s="19">
        <f t="shared" si="236"/>
        <v>0.59305922103245978</v>
      </c>
      <c r="O404" s="20">
        <v>47041</v>
      </c>
      <c r="P404" s="28">
        <f t="shared" si="437"/>
        <v>36612</v>
      </c>
      <c r="Q404" s="29">
        <f t="shared" si="322"/>
        <v>0.21995520594340653</v>
      </c>
      <c r="R404" s="20">
        <f t="shared" si="440"/>
        <v>245</v>
      </c>
      <c r="S404" s="20">
        <f t="shared" si="443"/>
        <v>3091</v>
      </c>
      <c r="T404" s="20">
        <v>10921</v>
      </c>
      <c r="U404" s="20">
        <v>1344</v>
      </c>
      <c r="V404" s="19">
        <f t="shared" si="316"/>
        <v>0.37442636453798184</v>
      </c>
      <c r="W404" s="20">
        <f t="shared" ref="W404:X404" si="543">T404-T403</f>
        <v>-442</v>
      </c>
      <c r="X404" s="20">
        <f t="shared" si="543"/>
        <v>-20</v>
      </c>
      <c r="Y404" s="19">
        <f t="shared" si="476"/>
        <v>4.0858090994459223E-2</v>
      </c>
      <c r="Z404" s="19">
        <f t="shared" si="477"/>
        <v>0.12306565332844978</v>
      </c>
      <c r="AA404" s="21">
        <f t="shared" si="348"/>
        <v>0.63065124281582896</v>
      </c>
      <c r="AB404" s="26">
        <f t="shared" si="364"/>
        <v>0.71447169119632847</v>
      </c>
      <c r="AC404" s="23">
        <f t="shared" si="331"/>
        <v>4922.1428571428569</v>
      </c>
      <c r="AD404" s="23">
        <f t="shared" si="360"/>
        <v>243.85714285714286</v>
      </c>
      <c r="AE404" s="23">
        <f t="shared" si="332"/>
        <v>24533.571428571428</v>
      </c>
      <c r="AF404" s="25">
        <f t="shared" si="339"/>
        <v>0.19428030855238745</v>
      </c>
      <c r="AG404" s="20">
        <v>2760938</v>
      </c>
      <c r="AH404" s="21">
        <f t="shared" si="449"/>
        <v>71836</v>
      </c>
      <c r="AI404" s="21">
        <f t="shared" si="431"/>
        <v>75029.571428571435</v>
      </c>
      <c r="AJ404" s="20">
        <v>1171475</v>
      </c>
      <c r="AK404" s="20">
        <f t="shared" si="533"/>
        <v>45336</v>
      </c>
      <c r="AL404" s="21">
        <f t="shared" si="464"/>
        <v>40067.571428571428</v>
      </c>
      <c r="AM404" s="26">
        <f t="shared" si="353"/>
        <v>1109.2857142857142</v>
      </c>
    </row>
    <row r="405" spans="1:39" ht="16">
      <c r="A405" s="30">
        <v>44297</v>
      </c>
      <c r="B405" s="20">
        <f t="shared" si="491"/>
        <v>720164</v>
      </c>
      <c r="C405" s="20">
        <v>6296</v>
      </c>
      <c r="D405" s="20">
        <v>23417</v>
      </c>
      <c r="E405" s="20">
        <v>426394</v>
      </c>
      <c r="F405" s="20">
        <v>4934786</v>
      </c>
      <c r="G405" s="17">
        <f t="shared" si="204"/>
        <v>503549.59183673467</v>
      </c>
      <c r="H405" s="20"/>
      <c r="I405" s="19">
        <f t="shared" si="234"/>
        <v>8.8195576773297032E-3</v>
      </c>
      <c r="J405" s="19">
        <f t="shared" si="231"/>
        <v>0.14593621688964831</v>
      </c>
      <c r="K405" s="19">
        <f t="shared" si="232"/>
        <v>7.5264571383537749E-3</v>
      </c>
      <c r="L405" s="20">
        <v>270353</v>
      </c>
      <c r="M405" s="19">
        <f t="shared" si="235"/>
        <v>3.2516204642275927E-2</v>
      </c>
      <c r="N405" s="19">
        <f t="shared" si="236"/>
        <v>0.5920790264439767</v>
      </c>
      <c r="O405" s="20">
        <v>44370</v>
      </c>
      <c r="P405" s="28">
        <f t="shared" si="437"/>
        <v>36864</v>
      </c>
      <c r="Q405" s="29">
        <f t="shared" si="322"/>
        <v>0.17078993055555555</v>
      </c>
      <c r="R405" s="20">
        <f t="shared" si="440"/>
        <v>206</v>
      </c>
      <c r="S405" s="20">
        <f t="shared" si="443"/>
        <v>3028</v>
      </c>
      <c r="T405" s="20">
        <v>10484</v>
      </c>
      <c r="U405" s="20">
        <v>1290</v>
      </c>
      <c r="V405" s="19">
        <f t="shared" si="316"/>
        <v>0.37540476891374741</v>
      </c>
      <c r="W405" s="20">
        <f t="shared" ref="W405:X405" si="544">T405-T404</f>
        <v>-437</v>
      </c>
      <c r="X405" s="20">
        <f t="shared" si="544"/>
        <v>-54</v>
      </c>
      <c r="Y405" s="19">
        <f t="shared" si="476"/>
        <v>3.8778929769597528E-2</v>
      </c>
      <c r="Z405" s="19">
        <f t="shared" si="477"/>
        <v>0.12304463945059138</v>
      </c>
      <c r="AA405" s="21">
        <f t="shared" si="348"/>
        <v>0.65591542269465442</v>
      </c>
      <c r="AB405" s="26">
        <f t="shared" si="364"/>
        <v>0.68859742978848115</v>
      </c>
      <c r="AC405" s="23">
        <f t="shared" si="331"/>
        <v>4883.5714285714284</v>
      </c>
      <c r="AD405" s="23">
        <f t="shared" si="360"/>
        <v>243.14285714285714</v>
      </c>
      <c r="AE405" s="23">
        <f t="shared" si="332"/>
        <v>25929.285714285714</v>
      </c>
      <c r="AF405" s="25">
        <f t="shared" si="339"/>
        <v>0.18405865894347156</v>
      </c>
      <c r="AG405" s="20">
        <v>2835894</v>
      </c>
      <c r="AH405" s="21">
        <f t="shared" si="449"/>
        <v>74956</v>
      </c>
      <c r="AI405" s="21">
        <f t="shared" si="431"/>
        <v>74770.428571428565</v>
      </c>
      <c r="AJ405" s="20">
        <v>1197685</v>
      </c>
      <c r="AK405" s="20">
        <f t="shared" si="533"/>
        <v>26210</v>
      </c>
      <c r="AL405" s="21">
        <f t="shared" si="464"/>
        <v>41795.428571428572</v>
      </c>
      <c r="AM405" s="26">
        <f t="shared" si="353"/>
        <v>1346</v>
      </c>
    </row>
    <row r="406" spans="1:39" ht="16">
      <c r="A406" s="30">
        <v>44298</v>
      </c>
      <c r="B406" s="20">
        <f t="shared" si="491"/>
        <v>725241</v>
      </c>
      <c r="C406" s="20">
        <v>5077</v>
      </c>
      <c r="D406" s="20">
        <v>23708</v>
      </c>
      <c r="E406" s="20">
        <v>429074</v>
      </c>
      <c r="F406" s="20">
        <v>4961146</v>
      </c>
      <c r="G406" s="17">
        <f t="shared" si="204"/>
        <v>506239.38775510201</v>
      </c>
      <c r="H406" s="20"/>
      <c r="I406" s="19">
        <f t="shared" si="234"/>
        <v>7.0497831049594261E-3</v>
      </c>
      <c r="J406" s="19">
        <f t="shared" si="231"/>
        <v>0.14618416793216729</v>
      </c>
      <c r="K406" s="19">
        <f t="shared" si="232"/>
        <v>5.3416703378829393E-3</v>
      </c>
      <c r="L406" s="20">
        <v>272459</v>
      </c>
      <c r="M406" s="19">
        <f t="shared" si="235"/>
        <v>3.2689823107077506E-2</v>
      </c>
      <c r="N406" s="19">
        <f t="shared" si="236"/>
        <v>0.59162954107669041</v>
      </c>
      <c r="O406" s="20">
        <v>43002</v>
      </c>
      <c r="P406" s="28">
        <f t="shared" si="437"/>
        <v>26360</v>
      </c>
      <c r="Q406" s="29">
        <f t="shared" si="322"/>
        <v>0.19260242792109256</v>
      </c>
      <c r="R406" s="20">
        <f t="shared" si="440"/>
        <v>291</v>
      </c>
      <c r="S406" s="20">
        <f t="shared" si="443"/>
        <v>2680</v>
      </c>
      <c r="T406" s="20">
        <v>10740</v>
      </c>
      <c r="U406" s="20">
        <v>1249</v>
      </c>
      <c r="V406" s="19">
        <f t="shared" si="316"/>
        <v>0.37568063581623212</v>
      </c>
      <c r="W406" s="20">
        <f t="shared" ref="W406:X406" si="545">T406-T405</f>
        <v>256</v>
      </c>
      <c r="X406" s="20">
        <f t="shared" si="545"/>
        <v>-41</v>
      </c>
      <c r="Y406" s="19">
        <f t="shared" si="476"/>
        <v>3.9418774934944341E-2</v>
      </c>
      <c r="Z406" s="19">
        <f t="shared" si="477"/>
        <v>0.11629422718808194</v>
      </c>
      <c r="AA406" s="21">
        <f t="shared" si="348"/>
        <v>0.72622052576494489</v>
      </c>
      <c r="AB406" s="26">
        <f t="shared" si="364"/>
        <v>0.6772464017123957</v>
      </c>
      <c r="AC406" s="23">
        <f t="shared" si="331"/>
        <v>5055.4285714285716</v>
      </c>
      <c r="AD406" s="23">
        <f t="shared" si="360"/>
        <v>254.28571428571428</v>
      </c>
      <c r="AE406" s="23">
        <f t="shared" si="332"/>
        <v>26993.857142857141</v>
      </c>
      <c r="AF406" s="25">
        <f t="shared" si="339"/>
        <v>0.18230374573312985</v>
      </c>
      <c r="AG406" s="20">
        <v>2900383</v>
      </c>
      <c r="AH406" s="21">
        <f t="shared" si="449"/>
        <v>64489</v>
      </c>
      <c r="AI406" s="21">
        <f t="shared" si="431"/>
        <v>76792</v>
      </c>
      <c r="AJ406" s="20">
        <v>1217258</v>
      </c>
      <c r="AK406" s="20">
        <f t="shared" si="533"/>
        <v>19573</v>
      </c>
      <c r="AL406" s="21">
        <f t="shared" si="464"/>
        <v>43463.714285714283</v>
      </c>
      <c r="AM406" s="26">
        <f t="shared" si="353"/>
        <v>1570</v>
      </c>
    </row>
    <row r="407" spans="1:39" ht="16">
      <c r="A407" s="30">
        <v>44299</v>
      </c>
      <c r="B407" s="20">
        <f t="shared" si="491"/>
        <v>728078</v>
      </c>
      <c r="C407" s="20">
        <v>2837</v>
      </c>
      <c r="D407" s="20">
        <v>23980</v>
      </c>
      <c r="E407" s="20">
        <v>431124</v>
      </c>
      <c r="F407" s="20">
        <v>4976613</v>
      </c>
      <c r="G407" s="17">
        <f t="shared" si="204"/>
        <v>507817.65306122444</v>
      </c>
      <c r="H407" s="20"/>
      <c r="I407" s="19">
        <f t="shared" si="234"/>
        <v>3.9118031109658721E-3</v>
      </c>
      <c r="J407" s="19">
        <f t="shared" si="231"/>
        <v>0.14629990316707367</v>
      </c>
      <c r="K407" s="19">
        <f t="shared" si="232"/>
        <v>3.1176264516303291E-3</v>
      </c>
      <c r="L407" s="20">
        <v>272974</v>
      </c>
      <c r="M407" s="19">
        <f t="shared" si="235"/>
        <v>3.2936031579034117E-2</v>
      </c>
      <c r="N407" s="19">
        <f t="shared" si="236"/>
        <v>0.59213985314760231</v>
      </c>
      <c r="O407" s="20">
        <v>43532</v>
      </c>
      <c r="P407" s="28">
        <f t="shared" si="437"/>
        <v>15467</v>
      </c>
      <c r="Q407" s="29">
        <f t="shared" si="322"/>
        <v>0.18342277106096852</v>
      </c>
      <c r="R407" s="20">
        <f t="shared" si="440"/>
        <v>272</v>
      </c>
      <c r="S407" s="20">
        <f t="shared" si="443"/>
        <v>2050</v>
      </c>
      <c r="T407" s="20">
        <v>10818</v>
      </c>
      <c r="U407" s="20">
        <v>1209</v>
      </c>
      <c r="V407" s="19">
        <f t="shared" si="316"/>
        <v>0.37492411527336356</v>
      </c>
      <c r="W407" s="20">
        <f t="shared" ref="W407:X407" si="546">T407-T406</f>
        <v>78</v>
      </c>
      <c r="X407" s="20">
        <f t="shared" si="546"/>
        <v>-40</v>
      </c>
      <c r="Y407" s="19">
        <f t="shared" si="476"/>
        <v>3.9630147926176119E-2</v>
      </c>
      <c r="Z407" s="19">
        <f t="shared" si="477"/>
        <v>0.11175818080976151</v>
      </c>
      <c r="AA407" s="21">
        <f t="shared" si="348"/>
        <v>0.78971962616822433</v>
      </c>
      <c r="AB407" s="26">
        <f t="shared" si="364"/>
        <v>0.6797991539253222</v>
      </c>
      <c r="AC407" s="23">
        <f t="shared" si="331"/>
        <v>5190.7142857142853</v>
      </c>
      <c r="AD407" s="23">
        <f t="shared" si="360"/>
        <v>268.85714285714283</v>
      </c>
      <c r="AE407" s="23">
        <f t="shared" si="332"/>
        <v>27604.285714285714</v>
      </c>
      <c r="AF407" s="25">
        <f t="shared" si="339"/>
        <v>0.18438693442166817</v>
      </c>
      <c r="AG407" s="20">
        <v>2969647</v>
      </c>
      <c r="AH407" s="21">
        <f t="shared" si="449"/>
        <v>69264</v>
      </c>
      <c r="AI407" s="21">
        <f t="shared" si="431"/>
        <v>76762</v>
      </c>
      <c r="AJ407" s="20">
        <v>1250582</v>
      </c>
      <c r="AK407" s="20">
        <f t="shared" si="533"/>
        <v>33324</v>
      </c>
      <c r="AL407" s="21">
        <f t="shared" si="464"/>
        <v>46813.714285714283</v>
      </c>
      <c r="AM407" s="26">
        <f t="shared" si="353"/>
        <v>1793.7142857142858</v>
      </c>
    </row>
    <row r="408" spans="1:39" ht="16">
      <c r="A408" s="30">
        <v>44300</v>
      </c>
      <c r="B408" s="20">
        <f t="shared" si="491"/>
        <v>731675</v>
      </c>
      <c r="C408" s="20">
        <v>3597</v>
      </c>
      <c r="D408" s="20">
        <v>24265</v>
      </c>
      <c r="E408" s="20">
        <v>435344</v>
      </c>
      <c r="F408" s="20">
        <v>5011794</v>
      </c>
      <c r="G408" s="17">
        <f t="shared" si="204"/>
        <v>511407.55102040811</v>
      </c>
      <c r="H408" s="20"/>
      <c r="I408" s="19">
        <f t="shared" si="234"/>
        <v>4.9404047368551175E-3</v>
      </c>
      <c r="J408" s="19">
        <f t="shared" si="231"/>
        <v>0.14599063728477268</v>
      </c>
      <c r="K408" s="19">
        <f t="shared" si="232"/>
        <v>7.0692657837770389E-3</v>
      </c>
      <c r="L408" s="20">
        <v>272066</v>
      </c>
      <c r="M408" s="19">
        <f t="shared" si="235"/>
        <v>3.3163631393719889E-2</v>
      </c>
      <c r="N408" s="19">
        <f t="shared" si="236"/>
        <v>0.5949964123415451</v>
      </c>
      <c r="O408" s="20">
        <v>43992</v>
      </c>
      <c r="P408" s="28">
        <f t="shared" si="437"/>
        <v>35181</v>
      </c>
      <c r="Q408" s="29">
        <f t="shared" si="322"/>
        <v>0.1022426878144453</v>
      </c>
      <c r="R408" s="20">
        <f t="shared" si="440"/>
        <v>285</v>
      </c>
      <c r="S408" s="20">
        <f t="shared" si="443"/>
        <v>4220</v>
      </c>
      <c r="T408" s="20">
        <v>10364</v>
      </c>
      <c r="U408" s="20">
        <v>1204</v>
      </c>
      <c r="V408" s="19">
        <f t="shared" si="316"/>
        <v>0.37183995626473504</v>
      </c>
      <c r="W408" s="20">
        <f t="shared" ref="W408:X408" si="547">T408-T407</f>
        <v>-454</v>
      </c>
      <c r="X408" s="20">
        <f t="shared" si="547"/>
        <v>-5</v>
      </c>
      <c r="Y408" s="19">
        <f t="shared" si="476"/>
        <v>3.8093697852726913E-2</v>
      </c>
      <c r="Z408" s="19">
        <f t="shared" si="477"/>
        <v>0.11617136240833655</v>
      </c>
      <c r="AA408" s="21">
        <f t="shared" si="348"/>
        <v>0.92134422811143712</v>
      </c>
      <c r="AB408" s="26">
        <f t="shared" si="364"/>
        <v>0.71108671734629358</v>
      </c>
      <c r="AC408" s="23">
        <f t="shared" si="331"/>
        <v>5428.4285714285716</v>
      </c>
      <c r="AD408" s="23">
        <f t="shared" si="360"/>
        <v>265.14285714285717</v>
      </c>
      <c r="AE408" s="23">
        <f t="shared" si="332"/>
        <v>30887.142857142859</v>
      </c>
      <c r="AF408" s="25">
        <f t="shared" si="339"/>
        <v>0.1763602274073022</v>
      </c>
      <c r="AG408" s="20">
        <v>3037023</v>
      </c>
      <c r="AH408" s="21">
        <f t="shared" si="449"/>
        <v>67376</v>
      </c>
      <c r="AI408" s="21">
        <f t="shared" si="431"/>
        <v>71467.428571428565</v>
      </c>
      <c r="AJ408" s="20">
        <v>1290709</v>
      </c>
      <c r="AK408" s="20">
        <f t="shared" si="533"/>
        <v>40127</v>
      </c>
      <c r="AL408" s="21">
        <f t="shared" si="464"/>
        <v>40681.857142857145</v>
      </c>
      <c r="AM408" s="26">
        <f t="shared" si="353"/>
        <v>2313.1428571428573</v>
      </c>
    </row>
    <row r="409" spans="1:39" ht="16">
      <c r="A409" s="30">
        <v>44301</v>
      </c>
      <c r="B409" s="20">
        <f t="shared" si="491"/>
        <v>736982</v>
      </c>
      <c r="C409" s="20">
        <v>5307</v>
      </c>
      <c r="D409" s="20">
        <v>24521</v>
      </c>
      <c r="E409" s="20">
        <v>440498</v>
      </c>
      <c r="F409" s="20">
        <v>5033736</v>
      </c>
      <c r="G409" s="17">
        <f t="shared" si="204"/>
        <v>513646.53061224485</v>
      </c>
      <c r="H409" s="20"/>
      <c r="I409" s="19">
        <f t="shared" si="234"/>
        <v>7.2532203505654832E-3</v>
      </c>
      <c r="J409" s="19">
        <f t="shared" si="231"/>
        <v>0.14640855221648494</v>
      </c>
      <c r="K409" s="19">
        <f t="shared" si="232"/>
        <v>4.3780730014042878E-3</v>
      </c>
      <c r="L409" s="20">
        <v>271963</v>
      </c>
      <c r="M409" s="19">
        <f t="shared" si="235"/>
        <v>3.327218303839171E-2</v>
      </c>
      <c r="N409" s="19">
        <f t="shared" si="236"/>
        <v>0.59770523567739786</v>
      </c>
      <c r="O409" s="20">
        <v>47671</v>
      </c>
      <c r="P409" s="28">
        <f t="shared" si="437"/>
        <v>21942</v>
      </c>
      <c r="Q409" s="29">
        <f t="shared" si="322"/>
        <v>0.24186491659830461</v>
      </c>
      <c r="R409" s="20">
        <f t="shared" si="440"/>
        <v>256</v>
      </c>
      <c r="S409" s="20">
        <f t="shared" si="443"/>
        <v>5154</v>
      </c>
      <c r="T409" s="20">
        <v>9848</v>
      </c>
      <c r="U409" s="20">
        <v>1156</v>
      </c>
      <c r="V409" s="19">
        <f t="shared" si="316"/>
        <v>0.36902258128421045</v>
      </c>
      <c r="W409" s="20">
        <f t="shared" ref="W409:X409" si="548">T409-T408</f>
        <v>-516</v>
      </c>
      <c r="X409" s="20">
        <f t="shared" si="548"/>
        <v>-48</v>
      </c>
      <c r="Y409" s="19">
        <f t="shared" si="476"/>
        <v>3.6210808087864893E-2</v>
      </c>
      <c r="Z409" s="19">
        <f t="shared" si="477"/>
        <v>0.1173842404549147</v>
      </c>
      <c r="AA409" s="21">
        <f t="shared" si="348"/>
        <v>1.0468601267371971</v>
      </c>
      <c r="AB409" s="26">
        <f t="shared" si="364"/>
        <v>0.77065436497355699</v>
      </c>
      <c r="AC409" s="23">
        <f t="shared" si="331"/>
        <v>5498.8571428571431</v>
      </c>
      <c r="AD409" s="23">
        <f t="shared" si="360"/>
        <v>262.85714285714283</v>
      </c>
      <c r="AE409" s="23">
        <f t="shared" si="332"/>
        <v>29732.714285714286</v>
      </c>
      <c r="AF409" s="25">
        <f t="shared" si="339"/>
        <v>0.18800611028295894</v>
      </c>
      <c r="AG409" s="20">
        <v>3090994</v>
      </c>
      <c r="AH409" s="21">
        <f t="shared" si="449"/>
        <v>53971</v>
      </c>
      <c r="AI409" s="21">
        <f t="shared" si="431"/>
        <v>68987.142857142855</v>
      </c>
      <c r="AJ409" s="20">
        <v>1325587</v>
      </c>
      <c r="AK409" s="20">
        <f t="shared" si="533"/>
        <v>34878</v>
      </c>
      <c r="AL409" s="21">
        <f t="shared" si="464"/>
        <v>35377.142857142855</v>
      </c>
      <c r="AM409" s="26">
        <f t="shared" si="353"/>
        <v>2961.8571428571427</v>
      </c>
    </row>
    <row r="410" spans="1:39" ht="16">
      <c r="A410" s="30">
        <v>44302</v>
      </c>
      <c r="B410" s="20">
        <f t="shared" si="491"/>
        <v>742198</v>
      </c>
      <c r="C410" s="20">
        <v>5216</v>
      </c>
      <c r="D410" s="20">
        <v>24762</v>
      </c>
      <c r="E410" s="20">
        <v>445920</v>
      </c>
      <c r="F410" s="20">
        <v>5065759</v>
      </c>
      <c r="G410" s="17">
        <f t="shared" si="204"/>
        <v>516914.18367346935</v>
      </c>
      <c r="H410" s="20"/>
      <c r="I410" s="19">
        <f t="shared" si="234"/>
        <v>7.0775134263794774E-3</v>
      </c>
      <c r="J410" s="19">
        <f t="shared" si="231"/>
        <v>0.14651269434649378</v>
      </c>
      <c r="K410" s="19">
        <f t="shared" si="232"/>
        <v>6.3616764963438689E-3</v>
      </c>
      <c r="L410" s="20">
        <v>271516</v>
      </c>
      <c r="M410" s="19">
        <f t="shared" si="235"/>
        <v>3.3363064842535282E-2</v>
      </c>
      <c r="N410" s="19">
        <f t="shared" si="236"/>
        <v>0.60081002643499448</v>
      </c>
      <c r="O410" s="20">
        <v>50446</v>
      </c>
      <c r="P410" s="28">
        <f t="shared" si="437"/>
        <v>32023</v>
      </c>
      <c r="Q410" s="29">
        <f t="shared" si="322"/>
        <v>0.16288292789557507</v>
      </c>
      <c r="R410" s="20">
        <f t="shared" si="440"/>
        <v>241</v>
      </c>
      <c r="S410" s="20">
        <f t="shared" si="443"/>
        <v>5422</v>
      </c>
      <c r="T410" s="20">
        <v>9459</v>
      </c>
      <c r="U410" s="20">
        <v>1117</v>
      </c>
      <c r="V410" s="19">
        <f t="shared" si="316"/>
        <v>0.36582690872247026</v>
      </c>
      <c r="W410" s="20">
        <f t="shared" ref="W410:X410" si="549">T410-T409</f>
        <v>-389</v>
      </c>
      <c r="X410" s="20">
        <f t="shared" si="549"/>
        <v>-39</v>
      </c>
      <c r="Y410" s="19">
        <f t="shared" si="476"/>
        <v>3.4837725953534966E-2</v>
      </c>
      <c r="Z410" s="19">
        <f t="shared" si="477"/>
        <v>0.11808859287451105</v>
      </c>
      <c r="AA410" s="21">
        <f t="shared" si="348"/>
        <v>1.0383572590541967</v>
      </c>
      <c r="AB410" s="26">
        <f t="shared" si="364"/>
        <v>0.82986691876378338</v>
      </c>
      <c r="AC410" s="23">
        <f t="shared" si="331"/>
        <v>5197.5714285714284</v>
      </c>
      <c r="AD410" s="23">
        <f t="shared" si="360"/>
        <v>256.57142857142856</v>
      </c>
      <c r="AE410" s="23">
        <f t="shared" si="332"/>
        <v>29207</v>
      </c>
      <c r="AF410" s="25">
        <f t="shared" si="339"/>
        <v>0.18196583825562115</v>
      </c>
      <c r="AG410" s="20">
        <v>3145592</v>
      </c>
      <c r="AH410" s="21">
        <f t="shared" si="449"/>
        <v>54598</v>
      </c>
      <c r="AI410" s="21">
        <f t="shared" si="431"/>
        <v>65212.857142857145</v>
      </c>
      <c r="AJ410" s="20">
        <v>1349314</v>
      </c>
      <c r="AK410" s="20">
        <f t="shared" si="533"/>
        <v>23727</v>
      </c>
      <c r="AL410" s="21">
        <f t="shared" si="464"/>
        <v>31882.142857142859</v>
      </c>
      <c r="AM410" s="26">
        <f t="shared" si="353"/>
        <v>3663.5714285714284</v>
      </c>
    </row>
    <row r="411" spans="1:39" ht="16">
      <c r="A411" s="30">
        <v>44303</v>
      </c>
      <c r="B411" s="20">
        <f t="shared" si="491"/>
        <v>746802</v>
      </c>
      <c r="C411" s="20">
        <v>4604</v>
      </c>
      <c r="D411" s="20">
        <v>24979</v>
      </c>
      <c r="E411" s="20">
        <v>450791</v>
      </c>
      <c r="F411" s="20">
        <v>5096421</v>
      </c>
      <c r="G411" s="17">
        <f t="shared" si="204"/>
        <v>520042.95918367343</v>
      </c>
      <c r="H411" s="20"/>
      <c r="I411" s="19">
        <f t="shared" si="234"/>
        <v>6.2031964516207263E-3</v>
      </c>
      <c r="J411" s="19">
        <f t="shared" si="231"/>
        <v>0.14653459751460879</v>
      </c>
      <c r="K411" s="19">
        <f t="shared" si="232"/>
        <v>6.0527948526568282E-3</v>
      </c>
      <c r="L411" s="20">
        <v>271032</v>
      </c>
      <c r="M411" s="19">
        <f t="shared" si="235"/>
        <v>3.344795541522385E-2</v>
      </c>
      <c r="N411" s="19">
        <f t="shared" si="236"/>
        <v>0.60362853875592193</v>
      </c>
      <c r="O411" s="20">
        <v>51049</v>
      </c>
      <c r="P411" s="28">
        <f t="shared" si="437"/>
        <v>30662</v>
      </c>
      <c r="Q411" s="29">
        <f t="shared" si="322"/>
        <v>0.15015328419542104</v>
      </c>
      <c r="R411" s="20">
        <f t="shared" si="440"/>
        <v>217</v>
      </c>
      <c r="S411" s="20">
        <f t="shared" si="443"/>
        <v>4871</v>
      </c>
      <c r="T411" s="20">
        <v>8947</v>
      </c>
      <c r="U411" s="20">
        <v>1093</v>
      </c>
      <c r="V411" s="19">
        <f t="shared" si="316"/>
        <v>0.36292350582885424</v>
      </c>
      <c r="W411" s="20">
        <f t="shared" ref="W411:X411" si="550">T411-T410</f>
        <v>-512</v>
      </c>
      <c r="X411" s="20">
        <f t="shared" si="550"/>
        <v>-24</v>
      </c>
      <c r="Y411" s="19">
        <f t="shared" si="476"/>
        <v>3.3010862186014935E-2</v>
      </c>
      <c r="Z411" s="19">
        <f t="shared" si="477"/>
        <v>0.12216385380574495</v>
      </c>
      <c r="AA411" s="21">
        <f t="shared" si="348"/>
        <v>0.95585546364823681</v>
      </c>
      <c r="AB411" s="26">
        <f t="shared" si="364"/>
        <v>0.87632466459698433</v>
      </c>
      <c r="AC411" s="23">
        <f t="shared" si="331"/>
        <v>4704.8571428571431</v>
      </c>
      <c r="AD411" s="23">
        <f t="shared" si="360"/>
        <v>252.57142857142858</v>
      </c>
      <c r="AE411" s="23">
        <f t="shared" si="332"/>
        <v>28357</v>
      </c>
      <c r="AF411" s="25">
        <f t="shared" si="339"/>
        <v>0.17199413514876608</v>
      </c>
      <c r="AG411" s="20">
        <v>3213837</v>
      </c>
      <c r="AH411" s="21">
        <f t="shared" si="449"/>
        <v>68245</v>
      </c>
      <c r="AI411" s="21">
        <f t="shared" si="431"/>
        <v>64699.857142857145</v>
      </c>
      <c r="AJ411" s="20">
        <v>1371702</v>
      </c>
      <c r="AK411" s="20">
        <f t="shared" si="533"/>
        <v>22388</v>
      </c>
      <c r="AL411" s="21">
        <f t="shared" si="464"/>
        <v>28603.857142857141</v>
      </c>
      <c r="AM411" s="26">
        <f t="shared" si="353"/>
        <v>3917.8571428571427</v>
      </c>
    </row>
    <row r="412" spans="1:39" ht="16">
      <c r="A412" s="30">
        <v>44304</v>
      </c>
      <c r="B412" s="20">
        <f t="shared" si="491"/>
        <v>750508</v>
      </c>
      <c r="C412" s="20">
        <v>3706</v>
      </c>
      <c r="D412" s="20">
        <v>25184</v>
      </c>
      <c r="E412" s="20">
        <v>455029</v>
      </c>
      <c r="F412" s="20">
        <v>5124731</v>
      </c>
      <c r="G412" s="17">
        <f t="shared" si="204"/>
        <v>522931.73469387752</v>
      </c>
      <c r="H412" s="20"/>
      <c r="I412" s="19">
        <f t="shared" si="234"/>
        <v>4.9624934052131626E-3</v>
      </c>
      <c r="J412" s="19">
        <f t="shared" si="231"/>
        <v>0.14644827211418512</v>
      </c>
      <c r="K412" s="19">
        <f t="shared" si="232"/>
        <v>5.5548786099107591E-3</v>
      </c>
      <c r="L412" s="20">
        <v>270295</v>
      </c>
      <c r="M412" s="19">
        <f t="shared" si="235"/>
        <v>3.3555938111252646E-2</v>
      </c>
      <c r="N412" s="19">
        <f t="shared" si="236"/>
        <v>0.60629466974369361</v>
      </c>
      <c r="O412" s="20">
        <v>47751</v>
      </c>
      <c r="P412" s="28">
        <f t="shared" si="437"/>
        <v>28310</v>
      </c>
      <c r="Q412" s="29">
        <f t="shared" si="322"/>
        <v>0.13090780642882374</v>
      </c>
      <c r="R412" s="20">
        <f t="shared" si="440"/>
        <v>205</v>
      </c>
      <c r="S412" s="20">
        <f t="shared" si="443"/>
        <v>4238</v>
      </c>
      <c r="T412" s="20">
        <v>8445</v>
      </c>
      <c r="U412" s="20">
        <v>1051</v>
      </c>
      <c r="V412" s="19">
        <f t="shared" si="316"/>
        <v>0.36014939214505376</v>
      </c>
      <c r="W412" s="20">
        <f t="shared" ref="W412:X412" si="551">T412-T411</f>
        <v>-502</v>
      </c>
      <c r="X412" s="20">
        <f t="shared" si="551"/>
        <v>-42</v>
      </c>
      <c r="Y412" s="19">
        <f t="shared" si="476"/>
        <v>3.1243641206829573E-2</v>
      </c>
      <c r="Z412" s="19">
        <f t="shared" si="477"/>
        <v>0.12445233866193013</v>
      </c>
      <c r="AA412" s="21">
        <f t="shared" si="348"/>
        <v>0.88764077811905806</v>
      </c>
      <c r="AB412" s="26">
        <f t="shared" si="364"/>
        <v>0.90942828680047083</v>
      </c>
      <c r="AC412" s="23">
        <f t="shared" si="331"/>
        <v>4334.8571428571431</v>
      </c>
      <c r="AD412" s="23">
        <f t="shared" si="360"/>
        <v>252.42857142857142</v>
      </c>
      <c r="AE412" s="23">
        <f t="shared" si="332"/>
        <v>27135</v>
      </c>
      <c r="AF412" s="25">
        <f t="shared" si="339"/>
        <v>0.16629668884494728</v>
      </c>
      <c r="AG412" s="20">
        <v>3252579</v>
      </c>
      <c r="AH412" s="21">
        <f t="shared" si="449"/>
        <v>38742</v>
      </c>
      <c r="AI412" s="21">
        <f t="shared" si="431"/>
        <v>59526.428571428572</v>
      </c>
      <c r="AJ412" s="20">
        <v>1385898</v>
      </c>
      <c r="AK412" s="20">
        <f t="shared" si="533"/>
        <v>14196</v>
      </c>
      <c r="AL412" s="21">
        <f t="shared" si="464"/>
        <v>26887.571428571428</v>
      </c>
      <c r="AM412" s="26">
        <f t="shared" si="353"/>
        <v>4090.7142857142858</v>
      </c>
    </row>
    <row r="413" spans="1:39" ht="16">
      <c r="A413" s="30">
        <v>44305</v>
      </c>
      <c r="B413" s="20">
        <f t="shared" si="491"/>
        <v>753188</v>
      </c>
      <c r="C413" s="20">
        <v>2680</v>
      </c>
      <c r="D413" s="20">
        <v>25381</v>
      </c>
      <c r="E413" s="20">
        <v>458212</v>
      </c>
      <c r="F413" s="20">
        <v>5144130</v>
      </c>
      <c r="G413" s="17">
        <f t="shared" si="204"/>
        <v>524911.22448979586</v>
      </c>
      <c r="H413" s="20"/>
      <c r="I413" s="19">
        <f t="shared" si="234"/>
        <v>3.5709146338213584E-3</v>
      </c>
      <c r="J413" s="19">
        <f t="shared" si="231"/>
        <v>0.14641698401867759</v>
      </c>
      <c r="K413" s="19">
        <f t="shared" si="232"/>
        <v>3.7853694174386911E-3</v>
      </c>
      <c r="L413" s="20">
        <v>269595</v>
      </c>
      <c r="M413" s="19">
        <f t="shared" si="235"/>
        <v>3.369809396857093E-2</v>
      </c>
      <c r="N413" s="19">
        <f t="shared" si="236"/>
        <v>0.60836338337838625</v>
      </c>
      <c r="O413" s="20">
        <v>45132</v>
      </c>
      <c r="P413" s="28">
        <f t="shared" si="437"/>
        <v>19399</v>
      </c>
      <c r="Q413" s="29">
        <f t="shared" si="322"/>
        <v>0.1381514511057271</v>
      </c>
      <c r="R413" s="20">
        <f t="shared" si="440"/>
        <v>197</v>
      </c>
      <c r="S413" s="20">
        <f t="shared" si="443"/>
        <v>3183</v>
      </c>
      <c r="T413" s="20">
        <v>8650</v>
      </c>
      <c r="U413" s="20">
        <v>1052</v>
      </c>
      <c r="V413" s="19">
        <f t="shared" si="316"/>
        <v>0.35793852265304282</v>
      </c>
      <c r="W413" s="20">
        <f t="shared" ref="W413:X413" si="552">T413-T412</f>
        <v>205</v>
      </c>
      <c r="X413" s="20">
        <f t="shared" si="552"/>
        <v>1</v>
      </c>
      <c r="Y413" s="19">
        <f t="shared" si="476"/>
        <v>3.208516478421336E-2</v>
      </c>
      <c r="Z413" s="19">
        <f t="shared" si="477"/>
        <v>0.12161849710982658</v>
      </c>
      <c r="AA413" s="21">
        <f t="shared" si="348"/>
        <v>0.78973098225387139</v>
      </c>
      <c r="AB413" s="26">
        <f t="shared" si="364"/>
        <v>0.91850120915603184</v>
      </c>
      <c r="AC413" s="23">
        <f t="shared" si="331"/>
        <v>3992.4285714285716</v>
      </c>
      <c r="AD413" s="23">
        <f t="shared" si="360"/>
        <v>239</v>
      </c>
      <c r="AE413" s="23">
        <f t="shared" si="332"/>
        <v>26140.571428571428</v>
      </c>
      <c r="AF413" s="25">
        <f t="shared" si="339"/>
        <v>0.15851797787132363</v>
      </c>
      <c r="AG413" s="20">
        <v>3266425</v>
      </c>
      <c r="AH413" s="21">
        <f t="shared" si="449"/>
        <v>13846</v>
      </c>
      <c r="AI413" s="21">
        <f t="shared" si="431"/>
        <v>52291.714285714283</v>
      </c>
      <c r="AJ413" s="20">
        <v>1391381</v>
      </c>
      <c r="AK413" s="20">
        <f t="shared" si="533"/>
        <v>5483</v>
      </c>
      <c r="AL413" s="21">
        <f t="shared" si="464"/>
        <v>24874.714285714286</v>
      </c>
      <c r="AM413" s="26">
        <f t="shared" si="353"/>
        <v>4162.5714285714284</v>
      </c>
    </row>
    <row r="414" spans="1:39" ht="16">
      <c r="A414" s="30">
        <v>44306</v>
      </c>
      <c r="B414" s="20">
        <f t="shared" si="491"/>
        <v>754833</v>
      </c>
      <c r="C414" s="20">
        <v>1645</v>
      </c>
      <c r="D414" s="20">
        <v>25580</v>
      </c>
      <c r="E414" s="20">
        <v>461181</v>
      </c>
      <c r="F414" s="20">
        <v>5157082</v>
      </c>
      <c r="G414" s="17">
        <f t="shared" si="204"/>
        <v>526232.85714285716</v>
      </c>
      <c r="H414" s="20"/>
      <c r="I414" s="19">
        <f t="shared" si="234"/>
        <v>2.1840496662187928E-3</v>
      </c>
      <c r="J414" s="19">
        <f t="shared" si="231"/>
        <v>0.14636823692157697</v>
      </c>
      <c r="K414" s="19">
        <f t="shared" si="232"/>
        <v>2.5178212836767344E-3</v>
      </c>
      <c r="L414" s="20">
        <v>268072</v>
      </c>
      <c r="M414" s="19">
        <f t="shared" si="235"/>
        <v>3.3888290522539423E-2</v>
      </c>
      <c r="N414" s="19">
        <f t="shared" si="236"/>
        <v>0.61097090349785976</v>
      </c>
      <c r="O414" s="20">
        <v>45132</v>
      </c>
      <c r="P414" s="28">
        <f t="shared" si="437"/>
        <v>12952</v>
      </c>
      <c r="Q414" s="29">
        <f t="shared" si="322"/>
        <v>0.12700741198270538</v>
      </c>
      <c r="R414" s="20">
        <f t="shared" si="440"/>
        <v>199</v>
      </c>
      <c r="S414" s="20">
        <f t="shared" si="443"/>
        <v>2969</v>
      </c>
      <c r="T414" s="20">
        <v>8602</v>
      </c>
      <c r="U414" s="20">
        <v>980</v>
      </c>
      <c r="V414" s="19">
        <f t="shared" si="316"/>
        <v>0.35514080597960079</v>
      </c>
      <c r="W414" s="20">
        <f t="shared" ref="W414:X414" si="553">T414-T413</f>
        <v>-48</v>
      </c>
      <c r="X414" s="20">
        <f t="shared" si="553"/>
        <v>-72</v>
      </c>
      <c r="Y414" s="19">
        <f t="shared" si="476"/>
        <v>3.208839416276224E-2</v>
      </c>
      <c r="Z414" s="19">
        <f t="shared" si="477"/>
        <v>0.11392699372239014</v>
      </c>
      <c r="AA414" s="21">
        <f t="shared" si="348"/>
        <v>0.73634236961607269</v>
      </c>
      <c r="AB414" s="26">
        <f t="shared" si="364"/>
        <v>0.91087588679143849</v>
      </c>
      <c r="AC414" s="23">
        <f t="shared" si="331"/>
        <v>3822.1428571428573</v>
      </c>
      <c r="AD414" s="23">
        <f t="shared" si="360"/>
        <v>228.57142857142858</v>
      </c>
      <c r="AE414" s="23">
        <f t="shared" si="332"/>
        <v>25781.285714285714</v>
      </c>
      <c r="AF414" s="25">
        <f t="shared" si="339"/>
        <v>0.15045864086014318</v>
      </c>
      <c r="AG414" s="20">
        <v>3317052</v>
      </c>
      <c r="AH414" s="21">
        <f t="shared" si="449"/>
        <v>50627</v>
      </c>
      <c r="AI414" s="21">
        <f t="shared" si="431"/>
        <v>49629.285714285717</v>
      </c>
      <c r="AJ414" s="20">
        <v>1400703</v>
      </c>
      <c r="AK414" s="20">
        <f t="shared" si="533"/>
        <v>9322</v>
      </c>
      <c r="AL414" s="21">
        <f t="shared" si="464"/>
        <v>21445.857142857141</v>
      </c>
      <c r="AM414" s="26">
        <f t="shared" si="353"/>
        <v>4293.8571428571431</v>
      </c>
    </row>
    <row r="415" spans="1:39" ht="16">
      <c r="A415" s="30">
        <v>44307</v>
      </c>
      <c r="B415" s="20">
        <f t="shared" si="491"/>
        <v>757360</v>
      </c>
      <c r="C415" s="20">
        <v>2527</v>
      </c>
      <c r="D415" s="20">
        <v>25787</v>
      </c>
      <c r="E415" s="20">
        <v>464750</v>
      </c>
      <c r="F415" s="20">
        <v>5179517</v>
      </c>
      <c r="G415" s="17">
        <f t="shared" si="204"/>
        <v>528522.14285714284</v>
      </c>
      <c r="H415" s="20"/>
      <c r="I415" s="19">
        <f t="shared" si="234"/>
        <v>3.3477603655378079E-3</v>
      </c>
      <c r="J415" s="19">
        <f t="shared" si="231"/>
        <v>0.14622212843398333</v>
      </c>
      <c r="K415" s="19">
        <f t="shared" si="232"/>
        <v>4.3503283445948697E-3</v>
      </c>
      <c r="L415" s="20">
        <v>266823</v>
      </c>
      <c r="M415" s="19">
        <f t="shared" si="235"/>
        <v>3.4048537023344247E-2</v>
      </c>
      <c r="N415" s="19">
        <f t="shared" si="236"/>
        <v>0.61364476602936513</v>
      </c>
      <c r="O415" s="20">
        <v>42068</v>
      </c>
      <c r="P415" s="28">
        <f t="shared" si="437"/>
        <v>22435</v>
      </c>
      <c r="Q415" s="29">
        <f t="shared" si="322"/>
        <v>0.1126365054602184</v>
      </c>
      <c r="R415" s="20">
        <f t="shared" si="440"/>
        <v>207</v>
      </c>
      <c r="S415" s="20">
        <f t="shared" si="443"/>
        <v>3569</v>
      </c>
      <c r="T415" s="20">
        <v>8097</v>
      </c>
      <c r="U415" s="20">
        <v>925</v>
      </c>
      <c r="V415" s="19">
        <f t="shared" si="316"/>
        <v>0.35230669694729061</v>
      </c>
      <c r="W415" s="20">
        <f t="shared" ref="W415:X415" si="554">T415-T414</f>
        <v>-505</v>
      </c>
      <c r="X415" s="20">
        <f t="shared" si="554"/>
        <v>-55</v>
      </c>
      <c r="Y415" s="19">
        <f t="shared" si="476"/>
        <v>3.0345959681136934E-2</v>
      </c>
      <c r="Z415" s="19">
        <f t="shared" si="477"/>
        <v>0.11423984191675929</v>
      </c>
      <c r="AA415" s="21">
        <f t="shared" si="348"/>
        <v>0.67593884049580255</v>
      </c>
      <c r="AB415" s="26">
        <f t="shared" si="364"/>
        <v>0.87581797427491925</v>
      </c>
      <c r="AC415" s="23">
        <f t="shared" si="331"/>
        <v>3669.2857142857142</v>
      </c>
      <c r="AD415" s="23">
        <f t="shared" si="360"/>
        <v>217.42857142857142</v>
      </c>
      <c r="AE415" s="23">
        <f t="shared" si="332"/>
        <v>23960.428571428572</v>
      </c>
      <c r="AF415" s="25">
        <f t="shared" si="339"/>
        <v>0.15194347195239646</v>
      </c>
      <c r="AG415" s="20">
        <v>3363596</v>
      </c>
      <c r="AH415" s="21">
        <f t="shared" si="449"/>
        <v>46544</v>
      </c>
      <c r="AI415" s="21">
        <f t="shared" si="431"/>
        <v>46653.285714285717</v>
      </c>
      <c r="AJ415" s="20">
        <v>1425124</v>
      </c>
      <c r="AK415" s="20">
        <f t="shared" si="533"/>
        <v>24421</v>
      </c>
      <c r="AL415" s="21">
        <f t="shared" si="464"/>
        <v>19202.142857142859</v>
      </c>
      <c r="AM415" s="26">
        <f t="shared" si="353"/>
        <v>4200.8571428571431</v>
      </c>
    </row>
    <row r="416" spans="1:39" ht="16">
      <c r="A416" s="30">
        <v>44308</v>
      </c>
      <c r="B416" s="20">
        <f t="shared" si="491"/>
        <v>760967</v>
      </c>
      <c r="C416" s="20">
        <v>3607</v>
      </c>
      <c r="D416" s="20">
        <v>26001</v>
      </c>
      <c r="E416" s="20">
        <v>469592</v>
      </c>
      <c r="F416" s="20">
        <v>5205923</v>
      </c>
      <c r="G416" s="17">
        <f t="shared" si="204"/>
        <v>531216.63265306118</v>
      </c>
      <c r="H416" s="20"/>
      <c r="I416" s="19">
        <f t="shared" si="234"/>
        <v>4.7625963874511458E-3</v>
      </c>
      <c r="J416" s="19">
        <f t="shared" si="231"/>
        <v>0.14617331066940484</v>
      </c>
      <c r="K416" s="19">
        <f t="shared" si="232"/>
        <v>5.0981587665413592E-3</v>
      </c>
      <c r="L416" s="20">
        <v>265374</v>
      </c>
      <c r="M416" s="19">
        <f t="shared" si="235"/>
        <v>3.4168367353643453E-2</v>
      </c>
      <c r="N416" s="19">
        <f t="shared" si="236"/>
        <v>0.6170990332038051</v>
      </c>
      <c r="O416" s="20">
        <v>41857</v>
      </c>
      <c r="P416" s="28">
        <f t="shared" si="437"/>
        <v>26406</v>
      </c>
      <c r="Q416" s="29">
        <f t="shared" si="322"/>
        <v>0.13659774293721125</v>
      </c>
      <c r="R416" s="20">
        <f t="shared" si="440"/>
        <v>214</v>
      </c>
      <c r="S416" s="20">
        <f t="shared" si="443"/>
        <v>4842</v>
      </c>
      <c r="T416" s="20">
        <v>7507</v>
      </c>
      <c r="U416" s="20">
        <v>876</v>
      </c>
      <c r="V416" s="19">
        <f t="shared" si="316"/>
        <v>0.34873259944255136</v>
      </c>
      <c r="W416" s="20">
        <f t="shared" ref="W416:X416" si="555">T416-T415</f>
        <v>-590</v>
      </c>
      <c r="X416" s="20">
        <f t="shared" si="555"/>
        <v>-49</v>
      </c>
      <c r="Y416" s="19">
        <f t="shared" si="476"/>
        <v>2.8288377911928071E-2</v>
      </c>
      <c r="Z416" s="19">
        <f t="shared" si="477"/>
        <v>0.11669108831757027</v>
      </c>
      <c r="AA416" s="21">
        <f t="shared" si="348"/>
        <v>0.62311649173854311</v>
      </c>
      <c r="AB416" s="26">
        <f t="shared" si="364"/>
        <v>0.81528316927511146</v>
      </c>
      <c r="AC416" s="23">
        <f t="shared" si="331"/>
        <v>3426.4285714285716</v>
      </c>
      <c r="AD416" s="23">
        <f t="shared" si="360"/>
        <v>211.42857142857142</v>
      </c>
      <c r="AE416" s="23">
        <f t="shared" si="332"/>
        <v>24598.142857142859</v>
      </c>
      <c r="AF416" s="25">
        <f t="shared" si="339"/>
        <v>0.136905304286526</v>
      </c>
      <c r="AG416" s="20">
        <v>3419450</v>
      </c>
      <c r="AH416" s="21">
        <f t="shared" si="449"/>
        <v>55854</v>
      </c>
      <c r="AI416" s="21">
        <f t="shared" si="431"/>
        <v>46922.285714285717</v>
      </c>
      <c r="AJ416" s="20">
        <v>1453300</v>
      </c>
      <c r="AK416" s="20">
        <f t="shared" si="533"/>
        <v>28176</v>
      </c>
      <c r="AL416" s="21">
        <f t="shared" si="464"/>
        <v>18244.714285714286</v>
      </c>
      <c r="AM416" s="26">
        <f t="shared" si="353"/>
        <v>4156.2857142857147</v>
      </c>
    </row>
    <row r="417" spans="1:39" ht="16">
      <c r="A417" s="30">
        <v>44309</v>
      </c>
      <c r="B417" s="20">
        <f t="shared" si="491"/>
        <v>764394</v>
      </c>
      <c r="C417" s="20">
        <v>3427</v>
      </c>
      <c r="D417" s="20">
        <v>26208</v>
      </c>
      <c r="E417" s="20">
        <v>474147</v>
      </c>
      <c r="F417" s="20">
        <v>5233530</v>
      </c>
      <c r="G417" s="17">
        <f t="shared" si="204"/>
        <v>534033.67346938769</v>
      </c>
      <c r="H417" s="20"/>
      <c r="I417" s="19">
        <f t="shared" si="234"/>
        <v>4.5034804400190809E-3</v>
      </c>
      <c r="J417" s="19">
        <f t="shared" si="231"/>
        <v>0.14605705900224131</v>
      </c>
      <c r="K417" s="19">
        <f t="shared" si="232"/>
        <v>5.3029981426924678E-3</v>
      </c>
      <c r="L417" s="20">
        <v>264039</v>
      </c>
      <c r="M417" s="19">
        <f t="shared" si="235"/>
        <v>3.4285983406463161E-2</v>
      </c>
      <c r="N417" s="19">
        <f t="shared" si="236"/>
        <v>0.62029136806411356</v>
      </c>
      <c r="O417" s="20">
        <v>42182</v>
      </c>
      <c r="P417" s="28">
        <f t="shared" si="437"/>
        <v>27607</v>
      </c>
      <c r="Q417" s="29">
        <f t="shared" si="322"/>
        <v>0.12413518310573406</v>
      </c>
      <c r="R417" s="20">
        <f t="shared" si="440"/>
        <v>207</v>
      </c>
      <c r="S417" s="20">
        <f t="shared" si="443"/>
        <v>4555</v>
      </c>
      <c r="T417" s="20">
        <v>7177</v>
      </c>
      <c r="U417" s="20">
        <v>844</v>
      </c>
      <c r="V417" s="19">
        <f t="shared" si="316"/>
        <v>0.34542264852942328</v>
      </c>
      <c r="W417" s="20">
        <f t="shared" ref="W417:X417" si="556">T417-T416</f>
        <v>-330</v>
      </c>
      <c r="X417" s="20">
        <f t="shared" si="556"/>
        <v>-32</v>
      </c>
      <c r="Y417" s="19">
        <f t="shared" si="476"/>
        <v>2.7181590598358576E-2</v>
      </c>
      <c r="Z417" s="19">
        <f t="shared" si="477"/>
        <v>0.1175978821234499</v>
      </c>
      <c r="AA417" s="21">
        <f t="shared" si="348"/>
        <v>0.61006514031278347</v>
      </c>
      <c r="AB417" s="26">
        <f t="shared" si="364"/>
        <v>0.75409858088348103</v>
      </c>
      <c r="AC417" s="23">
        <f t="shared" si="331"/>
        <v>3170.8571428571427</v>
      </c>
      <c r="AD417" s="23">
        <f t="shared" si="360"/>
        <v>206.57142857142858</v>
      </c>
      <c r="AE417" s="23">
        <f t="shared" si="332"/>
        <v>23967.285714285714</v>
      </c>
      <c r="AF417" s="25">
        <f t="shared" si="339"/>
        <v>0.13136991217369157</v>
      </c>
      <c r="AG417" s="20">
        <v>3508846</v>
      </c>
      <c r="AH417" s="21">
        <f t="shared" si="449"/>
        <v>89396</v>
      </c>
      <c r="AI417" s="21">
        <f t="shared" si="431"/>
        <v>51893.428571428572</v>
      </c>
      <c r="AJ417" s="20">
        <v>1490478</v>
      </c>
      <c r="AK417" s="20">
        <f t="shared" si="533"/>
        <v>37178</v>
      </c>
      <c r="AL417" s="21">
        <f t="shared" si="464"/>
        <v>20166.285714285714</v>
      </c>
      <c r="AM417" s="26">
        <f t="shared" si="353"/>
        <v>4032.4285714285716</v>
      </c>
    </row>
    <row r="418" spans="1:39" ht="16">
      <c r="A418" s="30">
        <v>44310</v>
      </c>
      <c r="B418" s="20">
        <f t="shared" si="491"/>
        <v>767190</v>
      </c>
      <c r="C418" s="20">
        <v>2796</v>
      </c>
      <c r="D418" s="20">
        <v>26420</v>
      </c>
      <c r="E418" s="20">
        <v>478323</v>
      </c>
      <c r="F418" s="20">
        <v>5257377</v>
      </c>
      <c r="G418" s="17">
        <f t="shared" si="204"/>
        <v>536467.04081632651</v>
      </c>
      <c r="H418" s="20"/>
      <c r="I418" s="19">
        <f t="shared" si="234"/>
        <v>3.6577995117701083E-3</v>
      </c>
      <c r="J418" s="19">
        <f t="shared" si="231"/>
        <v>0.14592638115927392</v>
      </c>
      <c r="K418" s="19">
        <f t="shared" si="232"/>
        <v>4.5565803578082095E-3</v>
      </c>
      <c r="L418" s="20">
        <v>262447</v>
      </c>
      <c r="M418" s="19">
        <f t="shared" si="235"/>
        <v>3.4437362322240907E-2</v>
      </c>
      <c r="N418" s="19">
        <f t="shared" si="236"/>
        <v>0.62347397645954716</v>
      </c>
      <c r="O418" s="20">
        <v>40947</v>
      </c>
      <c r="P418" s="28">
        <f t="shared" si="437"/>
        <v>23847</v>
      </c>
      <c r="Q418" s="29">
        <f t="shared" si="322"/>
        <v>0.11724745250974965</v>
      </c>
      <c r="R418" s="20">
        <f t="shared" si="440"/>
        <v>212</v>
      </c>
      <c r="S418" s="20">
        <f t="shared" si="443"/>
        <v>4176</v>
      </c>
      <c r="T418" s="20">
        <v>6737</v>
      </c>
      <c r="U418" s="20">
        <v>813</v>
      </c>
      <c r="V418" s="19">
        <f t="shared" si="316"/>
        <v>0.34208866121821191</v>
      </c>
      <c r="W418" s="20">
        <f t="shared" ref="W418:X418" si="557">T418-T417</f>
        <v>-440</v>
      </c>
      <c r="X418" s="20">
        <f t="shared" si="557"/>
        <v>-31</v>
      </c>
      <c r="Y418" s="19">
        <f t="shared" si="476"/>
        <v>2.5669944788852605E-2</v>
      </c>
      <c r="Z418" s="19">
        <f t="shared" si="477"/>
        <v>0.12067685913611399</v>
      </c>
      <c r="AA418" s="21">
        <f t="shared" si="348"/>
        <v>0.61905629440699583</v>
      </c>
      <c r="AB418" s="26">
        <f t="shared" si="364"/>
        <v>0.70598441384901822</v>
      </c>
      <c r="AC418" s="23">
        <f t="shared" si="331"/>
        <v>2912.5714285714284</v>
      </c>
      <c r="AD418" s="23">
        <f t="shared" si="360"/>
        <v>205.85714285714286</v>
      </c>
      <c r="AE418" s="23">
        <f t="shared" si="332"/>
        <v>22993.714285714286</v>
      </c>
      <c r="AF418" s="25">
        <f t="shared" si="339"/>
        <v>0.12666907907573852</v>
      </c>
      <c r="AG418" s="20">
        <v>3576705</v>
      </c>
      <c r="AH418" s="21">
        <f t="shared" si="449"/>
        <v>67859</v>
      </c>
      <c r="AI418" s="21">
        <f t="shared" si="431"/>
        <v>51838.285714285717</v>
      </c>
      <c r="AJ418" s="20">
        <v>1552685</v>
      </c>
      <c r="AK418" s="20">
        <f t="shared" si="533"/>
        <v>62207</v>
      </c>
      <c r="AL418" s="21">
        <f t="shared" si="464"/>
        <v>25854.714285714286</v>
      </c>
      <c r="AM418" s="26">
        <f t="shared" si="353"/>
        <v>3933.1428571428573</v>
      </c>
    </row>
    <row r="419" spans="1:39" ht="16">
      <c r="A419" s="30">
        <v>44311</v>
      </c>
      <c r="B419" s="20">
        <f t="shared" si="491"/>
        <v>769518</v>
      </c>
      <c r="C419" s="20">
        <v>2328</v>
      </c>
      <c r="D419" s="20">
        <v>26625</v>
      </c>
      <c r="E419" s="20">
        <v>482207</v>
      </c>
      <c r="F419" s="20">
        <v>5280600</v>
      </c>
      <c r="G419" s="17">
        <f t="shared" si="204"/>
        <v>538836.73469387752</v>
      </c>
      <c r="H419" s="20"/>
      <c r="I419" s="19">
        <f t="shared" si="234"/>
        <v>3.0344503969029837E-3</v>
      </c>
      <c r="J419" s="19">
        <f t="shared" si="231"/>
        <v>0.14572548574025679</v>
      </c>
      <c r="K419" s="19">
        <f t="shared" si="232"/>
        <v>4.4172217438467887E-3</v>
      </c>
      <c r="L419" s="20">
        <v>260686</v>
      </c>
      <c r="M419" s="19">
        <f t="shared" si="235"/>
        <v>3.4599580516635087E-2</v>
      </c>
      <c r="N419" s="19">
        <f t="shared" si="236"/>
        <v>0.62663511444826503</v>
      </c>
      <c r="O419" s="20">
        <v>37497</v>
      </c>
      <c r="P419" s="28">
        <f t="shared" si="437"/>
        <v>23223</v>
      </c>
      <c r="Q419" s="29">
        <f t="shared" si="322"/>
        <v>0.10024544632476425</v>
      </c>
      <c r="R419" s="20">
        <f t="shared" si="440"/>
        <v>205</v>
      </c>
      <c r="S419" s="20">
        <f t="shared" si="443"/>
        <v>3884</v>
      </c>
      <c r="T419" s="20">
        <v>6284</v>
      </c>
      <c r="U419" s="20">
        <v>790</v>
      </c>
      <c r="V419" s="19">
        <f t="shared" si="316"/>
        <v>0.33876530503509988</v>
      </c>
      <c r="W419" s="20">
        <f t="shared" ref="W419:X419" si="558">T419-T418</f>
        <v>-453</v>
      </c>
      <c r="X419" s="20">
        <f t="shared" si="558"/>
        <v>-23</v>
      </c>
      <c r="Y419" s="19">
        <f t="shared" si="476"/>
        <v>2.4105628994268966E-2</v>
      </c>
      <c r="Z419" s="19">
        <f t="shared" si="477"/>
        <v>0.12571610439210693</v>
      </c>
      <c r="AA419" s="21">
        <f t="shared" si="348"/>
        <v>0.62648299499077242</v>
      </c>
      <c r="AB419" s="26">
        <f t="shared" si="364"/>
        <v>0.66867615911640599</v>
      </c>
      <c r="AC419" s="23">
        <f t="shared" si="331"/>
        <v>2715.7142857142858</v>
      </c>
      <c r="AD419" s="23">
        <f t="shared" si="360"/>
        <v>205.85714285714286</v>
      </c>
      <c r="AE419" s="23">
        <f t="shared" si="332"/>
        <v>22267</v>
      </c>
      <c r="AF419" s="25">
        <f t="shared" si="339"/>
        <v>0.12228874191801574</v>
      </c>
      <c r="AG419" s="20">
        <v>3596129</v>
      </c>
      <c r="AH419" s="21">
        <f t="shared" si="449"/>
        <v>19424</v>
      </c>
      <c r="AI419" s="21">
        <f t="shared" si="431"/>
        <v>49078.571428571428</v>
      </c>
      <c r="AJ419" s="20">
        <v>1621420</v>
      </c>
      <c r="AK419" s="20">
        <f t="shared" si="533"/>
        <v>68735</v>
      </c>
      <c r="AL419" s="21">
        <f t="shared" si="464"/>
        <v>33646</v>
      </c>
      <c r="AM419" s="26">
        <f t="shared" si="353"/>
        <v>3882.5714285714284</v>
      </c>
    </row>
    <row r="420" spans="1:39" ht="16">
      <c r="A420" s="30">
        <v>44312</v>
      </c>
      <c r="B420" s="20">
        <f t="shared" si="491"/>
        <v>771454</v>
      </c>
      <c r="C420" s="20">
        <v>1936</v>
      </c>
      <c r="D420" s="20">
        <v>26801</v>
      </c>
      <c r="E420" s="20">
        <v>486435</v>
      </c>
      <c r="F420" s="20">
        <v>5297235</v>
      </c>
      <c r="G420" s="17">
        <f t="shared" si="204"/>
        <v>540534.18367346935</v>
      </c>
      <c r="H420" s="20"/>
      <c r="I420" s="19">
        <f t="shared" si="234"/>
        <v>2.5158605776603015E-3</v>
      </c>
      <c r="J420" s="19">
        <f t="shared" si="231"/>
        <v>0.14563333512672177</v>
      </c>
      <c r="K420" s="19">
        <f t="shared" si="232"/>
        <v>3.1502102033859787E-3</v>
      </c>
      <c r="L420" s="20">
        <v>258218</v>
      </c>
      <c r="M420" s="19">
        <f t="shared" si="235"/>
        <v>3.4740891874304881E-2</v>
      </c>
      <c r="N420" s="19">
        <f t="shared" si="236"/>
        <v>0.63054310431989469</v>
      </c>
      <c r="O420" s="20">
        <v>35472</v>
      </c>
      <c r="P420" s="28">
        <f t="shared" si="437"/>
        <v>16635</v>
      </c>
      <c r="Q420" s="29">
        <f t="shared" si="322"/>
        <v>0.11638112413585813</v>
      </c>
      <c r="R420" s="20">
        <f t="shared" si="440"/>
        <v>176</v>
      </c>
      <c r="S420" s="20">
        <f t="shared" si="443"/>
        <v>4228</v>
      </c>
      <c r="T420" s="20">
        <v>6443</v>
      </c>
      <c r="U420" s="20">
        <v>782</v>
      </c>
      <c r="V420" s="19">
        <f t="shared" si="316"/>
        <v>0.33471600380580047</v>
      </c>
      <c r="W420" s="20">
        <f t="shared" ref="W420:X420" si="559">T420-T419</f>
        <v>159</v>
      </c>
      <c r="X420" s="20">
        <f t="shared" si="559"/>
        <v>-8</v>
      </c>
      <c r="Y420" s="19">
        <f t="shared" si="476"/>
        <v>2.4951784925915311E-2</v>
      </c>
      <c r="Z420" s="19">
        <f t="shared" si="477"/>
        <v>0.12137203166226913</v>
      </c>
      <c r="AA420" s="21">
        <f t="shared" si="348"/>
        <v>0.65359430350305936</v>
      </c>
      <c r="AB420" s="26">
        <f t="shared" si="364"/>
        <v>0.64922806215200413</v>
      </c>
      <c r="AC420" s="23">
        <f t="shared" si="331"/>
        <v>2609.4285714285716</v>
      </c>
      <c r="AD420" s="23">
        <f t="shared" si="360"/>
        <v>202.85714285714286</v>
      </c>
      <c r="AE420" s="23">
        <f t="shared" si="332"/>
        <v>21872.142857142859</v>
      </c>
      <c r="AF420" s="25">
        <f t="shared" si="339"/>
        <v>0.11917869520803445</v>
      </c>
      <c r="AG420" s="20">
        <v>3603901</v>
      </c>
      <c r="AH420" s="21">
        <f t="shared" si="449"/>
        <v>7772</v>
      </c>
      <c r="AI420" s="21">
        <f t="shared" si="431"/>
        <v>48210.857142857145</v>
      </c>
      <c r="AJ420" s="20">
        <v>1665067</v>
      </c>
      <c r="AK420" s="20">
        <f t="shared" si="533"/>
        <v>43647</v>
      </c>
      <c r="AL420" s="21">
        <f t="shared" si="464"/>
        <v>39098</v>
      </c>
      <c r="AM420" s="26">
        <f t="shared" si="353"/>
        <v>4031.8571428571427</v>
      </c>
    </row>
    <row r="421" spans="1:39" ht="16">
      <c r="A421" s="30">
        <v>44313</v>
      </c>
      <c r="B421" s="20">
        <f t="shared" si="491"/>
        <v>772707</v>
      </c>
      <c r="C421" s="20">
        <v>1253</v>
      </c>
      <c r="D421" s="20">
        <v>26984</v>
      </c>
      <c r="E421" s="20">
        <v>491620</v>
      </c>
      <c r="F421" s="20">
        <v>5308624</v>
      </c>
      <c r="G421" s="17">
        <f t="shared" si="204"/>
        <v>541696.32653061219</v>
      </c>
      <c r="H421" s="20"/>
      <c r="I421" s="19">
        <f t="shared" si="234"/>
        <v>1.6242057206262461E-3</v>
      </c>
      <c r="J421" s="19">
        <f t="shared" si="231"/>
        <v>0.14555692774624837</v>
      </c>
      <c r="K421" s="19">
        <f t="shared" si="232"/>
        <v>2.1499895700304028E-3</v>
      </c>
      <c r="L421" s="20">
        <v>254103</v>
      </c>
      <c r="M421" s="19">
        <f t="shared" si="235"/>
        <v>3.4921386761087969E-2</v>
      </c>
      <c r="N421" s="19">
        <f t="shared" si="236"/>
        <v>0.63623080934946885</v>
      </c>
      <c r="O421" s="20">
        <v>34785</v>
      </c>
      <c r="P421" s="28">
        <f t="shared" si="437"/>
        <v>11389</v>
      </c>
      <c r="Q421" s="29">
        <f t="shared" si="322"/>
        <v>0.11001843884449908</v>
      </c>
      <c r="R421" s="20">
        <f t="shared" si="440"/>
        <v>183</v>
      </c>
      <c r="S421" s="20">
        <f t="shared" si="443"/>
        <v>5185</v>
      </c>
      <c r="T421" s="20">
        <v>6360</v>
      </c>
      <c r="U421" s="20">
        <v>753</v>
      </c>
      <c r="V421" s="19">
        <f t="shared" si="316"/>
        <v>0.32884780388944324</v>
      </c>
      <c r="W421" s="20">
        <f t="shared" ref="W421:X421" si="560">T421-T420</f>
        <v>-83</v>
      </c>
      <c r="X421" s="20">
        <f t="shared" si="560"/>
        <v>-29</v>
      </c>
      <c r="Y421" s="19">
        <f t="shared" si="476"/>
        <v>2.5029220434233362E-2</v>
      </c>
      <c r="Z421" s="19">
        <f t="shared" si="477"/>
        <v>0.11839622641509434</v>
      </c>
      <c r="AA421" s="21">
        <f t="shared" si="348"/>
        <v>0.6680620444776677</v>
      </c>
      <c r="AB421" s="26">
        <f t="shared" si="364"/>
        <v>0.6394737299893748</v>
      </c>
      <c r="AC421" s="23">
        <f t="shared" si="331"/>
        <v>2553.4285714285716</v>
      </c>
      <c r="AD421" s="23">
        <f t="shared" si="360"/>
        <v>200.57142857142858</v>
      </c>
      <c r="AE421" s="23">
        <f t="shared" si="332"/>
        <v>21648.857142857141</v>
      </c>
      <c r="AF421" s="25">
        <f t="shared" si="339"/>
        <v>0.11675169904543356</v>
      </c>
      <c r="AG421" s="20">
        <v>3679730</v>
      </c>
      <c r="AH421" s="21">
        <f t="shared" si="449"/>
        <v>75829</v>
      </c>
      <c r="AI421" s="21">
        <f t="shared" si="431"/>
        <v>51811.142857142855</v>
      </c>
      <c r="AJ421" s="20">
        <v>1711723</v>
      </c>
      <c r="AK421" s="20">
        <f t="shared" si="533"/>
        <v>46656</v>
      </c>
      <c r="AL421" s="21">
        <f t="shared" si="464"/>
        <v>44431.428571428572</v>
      </c>
      <c r="AM421" s="26">
        <f t="shared" si="353"/>
        <v>4348.4285714285716</v>
      </c>
    </row>
    <row r="422" spans="1:39" ht="16">
      <c r="A422" s="30">
        <v>44314</v>
      </c>
      <c r="B422" s="20">
        <f t="shared" si="491"/>
        <v>774399</v>
      </c>
      <c r="C422" s="20">
        <v>1692</v>
      </c>
      <c r="D422" s="20">
        <v>27172</v>
      </c>
      <c r="E422" s="20">
        <v>497084</v>
      </c>
      <c r="F422" s="20">
        <v>5327413</v>
      </c>
      <c r="G422" s="17">
        <f t="shared" si="204"/>
        <v>543613.57142857136</v>
      </c>
      <c r="H422" s="20"/>
      <c r="I422" s="19">
        <f t="shared" si="234"/>
        <v>2.1897045063652846E-3</v>
      </c>
      <c r="J422" s="19">
        <f t="shared" si="231"/>
        <v>0.14536117248653332</v>
      </c>
      <c r="K422" s="19">
        <f t="shared" si="232"/>
        <v>3.5393352401676972E-3</v>
      </c>
      <c r="L422" s="20">
        <v>250143</v>
      </c>
      <c r="M422" s="19">
        <f t="shared" si="235"/>
        <v>3.5087855227085782E-2</v>
      </c>
      <c r="N422" s="19">
        <f t="shared" si="236"/>
        <v>0.64189649005228566</v>
      </c>
      <c r="O422" s="20">
        <v>33429</v>
      </c>
      <c r="P422" s="28">
        <f t="shared" si="437"/>
        <v>18789</v>
      </c>
      <c r="Q422" s="29">
        <f t="shared" si="322"/>
        <v>9.0052690403959759E-2</v>
      </c>
      <c r="R422" s="20">
        <f t="shared" si="440"/>
        <v>188</v>
      </c>
      <c r="S422" s="20">
        <f t="shared" si="443"/>
        <v>5464</v>
      </c>
      <c r="T422" s="20">
        <v>5907</v>
      </c>
      <c r="U422" s="20">
        <v>702</v>
      </c>
      <c r="V422" s="19">
        <f t="shared" si="316"/>
        <v>0.32301565472062849</v>
      </c>
      <c r="W422" s="20">
        <f t="shared" ref="W422:X422" si="561">T422-T421</f>
        <v>-453</v>
      </c>
      <c r="X422" s="20">
        <f t="shared" si="561"/>
        <v>-51</v>
      </c>
      <c r="Y422" s="19">
        <f t="shared" si="476"/>
        <v>2.3614492510284118E-2</v>
      </c>
      <c r="Z422" s="19">
        <f t="shared" si="477"/>
        <v>0.11884205180294566</v>
      </c>
      <c r="AA422" s="21">
        <f t="shared" si="348"/>
        <v>0.66338329764453963</v>
      </c>
      <c r="AB422" s="26">
        <f t="shared" si="364"/>
        <v>0.63768008101062301</v>
      </c>
      <c r="AC422" s="23">
        <f t="shared" si="331"/>
        <v>2434.1428571428573</v>
      </c>
      <c r="AD422" s="23">
        <f t="shared" si="360"/>
        <v>197.85714285714286</v>
      </c>
      <c r="AE422" s="23">
        <f t="shared" si="332"/>
        <v>21128</v>
      </c>
      <c r="AF422" s="25">
        <f t="shared" si="339"/>
        <v>0.11352543975168231</v>
      </c>
      <c r="AG422" s="20">
        <v>3774221</v>
      </c>
      <c r="AH422" s="21">
        <f t="shared" si="449"/>
        <v>94491</v>
      </c>
      <c r="AI422" s="21">
        <f t="shared" si="431"/>
        <v>58660.714285714283</v>
      </c>
      <c r="AJ422" s="20">
        <v>1773900</v>
      </c>
      <c r="AK422" s="20">
        <f t="shared" si="533"/>
        <v>62177</v>
      </c>
      <c r="AL422" s="21">
        <f t="shared" si="464"/>
        <v>49825.142857142855</v>
      </c>
      <c r="AM422" s="26">
        <f t="shared" si="353"/>
        <v>4619.1428571428569</v>
      </c>
    </row>
    <row r="423" spans="1:39" ht="16">
      <c r="A423" s="30">
        <v>44315</v>
      </c>
      <c r="B423" s="20">
        <f t="shared" si="491"/>
        <v>776983</v>
      </c>
      <c r="C423" s="20">
        <v>2584</v>
      </c>
      <c r="D423" s="20">
        <v>27358</v>
      </c>
      <c r="E423" s="20">
        <v>503697</v>
      </c>
      <c r="F423" s="20">
        <v>5349792</v>
      </c>
      <c r="G423" s="17">
        <f t="shared" si="204"/>
        <v>545897.14285714284</v>
      </c>
      <c r="H423" s="20"/>
      <c r="I423" s="19">
        <f t="shared" si="234"/>
        <v>3.3367811683641122E-3</v>
      </c>
      <c r="J423" s="19">
        <f t="shared" si="231"/>
        <v>0.14523611385265073</v>
      </c>
      <c r="K423" s="19">
        <f t="shared" si="232"/>
        <v>4.2007255679257453E-3</v>
      </c>
      <c r="L423" s="20">
        <v>245928</v>
      </c>
      <c r="M423" s="19">
        <f t="shared" si="235"/>
        <v>3.5210551582209648E-2</v>
      </c>
      <c r="N423" s="19">
        <f t="shared" si="236"/>
        <v>0.64827287083501184</v>
      </c>
      <c r="O423" s="20">
        <v>31133</v>
      </c>
      <c r="P423" s="28">
        <f t="shared" si="437"/>
        <v>22379</v>
      </c>
      <c r="Q423" s="29">
        <f t="shared" si="322"/>
        <v>0.11546539166182582</v>
      </c>
      <c r="R423" s="20">
        <f t="shared" si="440"/>
        <v>186</v>
      </c>
      <c r="S423" s="20">
        <f t="shared" si="443"/>
        <v>6613</v>
      </c>
      <c r="T423" s="20">
        <v>5554</v>
      </c>
      <c r="U423" s="20">
        <v>662</v>
      </c>
      <c r="V423" s="19">
        <f t="shared" si="316"/>
        <v>0.31651657758277851</v>
      </c>
      <c r="W423" s="20">
        <f t="shared" ref="W423:X423" si="562">T423-T422</f>
        <v>-353</v>
      </c>
      <c r="X423" s="20">
        <f t="shared" si="562"/>
        <v>-40</v>
      </c>
      <c r="Y423" s="19">
        <f t="shared" si="476"/>
        <v>2.2583845678409941E-2</v>
      </c>
      <c r="Z423" s="19">
        <f t="shared" si="477"/>
        <v>0.11919337414476053</v>
      </c>
      <c r="AA423" s="21">
        <f t="shared" si="348"/>
        <v>0.66775067750677508</v>
      </c>
      <c r="AB423" s="26">
        <f t="shared" si="364"/>
        <v>0.64405639326322761</v>
      </c>
      <c r="AC423" s="23">
        <f t="shared" si="331"/>
        <v>2288</v>
      </c>
      <c r="AD423" s="23">
        <f t="shared" si="360"/>
        <v>193.85714285714286</v>
      </c>
      <c r="AE423" s="23">
        <f t="shared" si="332"/>
        <v>20552.714285714286</v>
      </c>
      <c r="AF423" s="25">
        <f t="shared" si="339"/>
        <v>0.11050653242662725</v>
      </c>
      <c r="AG423" s="20">
        <v>3870222</v>
      </c>
      <c r="AH423" s="21">
        <f t="shared" si="449"/>
        <v>96001</v>
      </c>
      <c r="AI423" s="21">
        <f t="shared" si="431"/>
        <v>64396</v>
      </c>
      <c r="AJ423" s="20">
        <v>1822655</v>
      </c>
      <c r="AK423" s="20">
        <f t="shared" si="533"/>
        <v>48755</v>
      </c>
      <c r="AL423" s="21">
        <f t="shared" si="464"/>
        <v>52765</v>
      </c>
      <c r="AM423" s="26">
        <f t="shared" si="353"/>
        <v>4872.1428571428569</v>
      </c>
    </row>
    <row r="424" spans="1:39" ht="16">
      <c r="A424" s="30">
        <v>44316</v>
      </c>
      <c r="B424" s="20">
        <f t="shared" si="491"/>
        <v>779348</v>
      </c>
      <c r="C424" s="20">
        <v>2365</v>
      </c>
      <c r="D424" s="20">
        <v>27540</v>
      </c>
      <c r="E424" s="20">
        <v>510379</v>
      </c>
      <c r="F424" s="20">
        <v>5373540</v>
      </c>
      <c r="G424" s="17">
        <f t="shared" si="204"/>
        <v>548320.40816326521</v>
      </c>
      <c r="H424" s="20"/>
      <c r="I424" s="19">
        <f t="shared" si="234"/>
        <v>3.0438246396639309E-3</v>
      </c>
      <c r="J424" s="19">
        <f t="shared" si="231"/>
        <v>0.14503437212712664</v>
      </c>
      <c r="K424" s="19">
        <f t="shared" si="232"/>
        <v>4.4390510883413788E-3</v>
      </c>
      <c r="L424" s="20">
        <v>241429</v>
      </c>
      <c r="M424" s="19">
        <f t="shared" si="235"/>
        <v>3.5337230608149375E-2</v>
      </c>
      <c r="N424" s="19">
        <f t="shared" si="236"/>
        <v>0.65487946334628433</v>
      </c>
      <c r="O424" s="20">
        <v>32838</v>
      </c>
      <c r="P424" s="28">
        <f t="shared" si="437"/>
        <v>23748</v>
      </c>
      <c r="Q424" s="29">
        <f t="shared" si="322"/>
        <v>9.9587333670203809E-2</v>
      </c>
      <c r="R424" s="20">
        <f t="shared" si="440"/>
        <v>182</v>
      </c>
      <c r="S424" s="20">
        <f t="shared" si="443"/>
        <v>6682</v>
      </c>
      <c r="T424" s="20">
        <v>5937</v>
      </c>
      <c r="U424" s="20">
        <v>677</v>
      </c>
      <c r="V424" s="19">
        <f t="shared" si="316"/>
        <v>0.30978330604556631</v>
      </c>
      <c r="W424" s="20">
        <f t="shared" ref="W424:X424" si="563">T424-T423</f>
        <v>383</v>
      </c>
      <c r="X424" s="20">
        <f t="shared" si="563"/>
        <v>15</v>
      </c>
      <c r="Y424" s="19">
        <f t="shared" si="476"/>
        <v>2.4591080607549217E-2</v>
      </c>
      <c r="Z424" s="19">
        <f t="shared" si="477"/>
        <v>0.11403065521307057</v>
      </c>
      <c r="AA424" s="21">
        <f t="shared" si="348"/>
        <v>0.67372499549468368</v>
      </c>
      <c r="AB424" s="26">
        <f t="shared" si="364"/>
        <v>0.65315065828921348</v>
      </c>
      <c r="AC424" s="23">
        <f t="shared" si="331"/>
        <v>2136.2857142857142</v>
      </c>
      <c r="AD424" s="23">
        <f t="shared" si="360"/>
        <v>190.28571428571428</v>
      </c>
      <c r="AE424" s="23">
        <f t="shared" si="332"/>
        <v>20001.428571428572</v>
      </c>
      <c r="AF424" s="25">
        <f t="shared" si="339"/>
        <v>0.10699969679298006</v>
      </c>
      <c r="AG424" s="20">
        <v>3913550</v>
      </c>
      <c r="AH424" s="21">
        <f t="shared" si="449"/>
        <v>43328</v>
      </c>
      <c r="AI424" s="21">
        <f t="shared" si="431"/>
        <v>57814.857142857145</v>
      </c>
      <c r="AJ424" s="20">
        <v>1880897</v>
      </c>
      <c r="AK424" s="20">
        <f t="shared" si="533"/>
        <v>58242</v>
      </c>
      <c r="AL424" s="21">
        <f t="shared" si="464"/>
        <v>55774.142857142855</v>
      </c>
      <c r="AM424" s="26">
        <f t="shared" si="353"/>
        <v>5176</v>
      </c>
    </row>
    <row r="425" spans="1:39" ht="16">
      <c r="A425" s="30">
        <v>44317</v>
      </c>
      <c r="B425" s="20">
        <f t="shared" si="491"/>
        <v>781299</v>
      </c>
      <c r="C425" s="20">
        <v>1951</v>
      </c>
      <c r="D425" s="20">
        <v>27701</v>
      </c>
      <c r="E425" s="20">
        <v>517026</v>
      </c>
      <c r="F425" s="20">
        <v>5394652</v>
      </c>
      <c r="G425" s="17">
        <f t="shared" si="204"/>
        <v>550474.69387755101</v>
      </c>
      <c r="H425" s="20"/>
      <c r="I425" s="19">
        <f t="shared" si="234"/>
        <v>2.5033746157044094E-3</v>
      </c>
      <c r="J425" s="19">
        <f t="shared" si="231"/>
        <v>0.14482843378961238</v>
      </c>
      <c r="K425" s="19">
        <f t="shared" si="232"/>
        <v>3.9288811472511604E-3</v>
      </c>
      <c r="L425" s="20">
        <v>236572</v>
      </c>
      <c r="M425" s="19">
        <f t="shared" si="235"/>
        <v>3.5455056258871444E-2</v>
      </c>
      <c r="N425" s="19">
        <f t="shared" si="236"/>
        <v>0.66175177492867643</v>
      </c>
      <c r="O425" s="20">
        <v>31885</v>
      </c>
      <c r="P425" s="28">
        <f t="shared" si="437"/>
        <v>21112</v>
      </c>
      <c r="Q425" s="29">
        <f t="shared" si="322"/>
        <v>9.2411898446381202E-2</v>
      </c>
      <c r="R425" s="20">
        <f t="shared" si="440"/>
        <v>161</v>
      </c>
      <c r="S425" s="20">
        <f t="shared" si="443"/>
        <v>6647</v>
      </c>
      <c r="T425" s="20">
        <v>5191</v>
      </c>
      <c r="U425" s="20">
        <v>621</v>
      </c>
      <c r="V425" s="19">
        <f t="shared" si="316"/>
        <v>0.30279316881245211</v>
      </c>
      <c r="W425" s="20">
        <f t="shared" ref="W425:X425" si="564">T425-T424</f>
        <v>-746</v>
      </c>
      <c r="X425" s="20">
        <f t="shared" si="564"/>
        <v>-56</v>
      </c>
      <c r="Y425" s="19">
        <f t="shared" si="476"/>
        <v>2.1942579848840946E-2</v>
      </c>
      <c r="Z425" s="19">
        <f t="shared" si="477"/>
        <v>0.11963012906954344</v>
      </c>
      <c r="AA425" s="21">
        <f t="shared" si="348"/>
        <v>0.69202472042377872</v>
      </c>
      <c r="AB425" s="26">
        <f t="shared" si="364"/>
        <v>0.66357471914875377</v>
      </c>
      <c r="AC425" s="23">
        <f t="shared" si="331"/>
        <v>2015.5714285714287</v>
      </c>
      <c r="AD425" s="23">
        <f t="shared" si="360"/>
        <v>183</v>
      </c>
      <c r="AE425" s="23">
        <f t="shared" si="332"/>
        <v>19610.714285714286</v>
      </c>
      <c r="AF425" s="25">
        <f t="shared" si="339"/>
        <v>0.10345176049821314</v>
      </c>
      <c r="AG425" s="20">
        <v>4023137</v>
      </c>
      <c r="AH425" s="21">
        <f t="shared" si="449"/>
        <v>109587</v>
      </c>
      <c r="AI425" s="21">
        <f t="shared" si="431"/>
        <v>63776</v>
      </c>
      <c r="AJ425" s="20">
        <v>1948728</v>
      </c>
      <c r="AK425" s="20">
        <f t="shared" si="533"/>
        <v>67831</v>
      </c>
      <c r="AL425" s="21">
        <f t="shared" si="464"/>
        <v>56577.571428571428</v>
      </c>
      <c r="AM425" s="26">
        <f t="shared" si="353"/>
        <v>5529</v>
      </c>
    </row>
    <row r="426" spans="1:39" ht="16">
      <c r="A426" s="30">
        <v>44318</v>
      </c>
      <c r="B426" s="20">
        <f t="shared" si="491"/>
        <v>782892</v>
      </c>
      <c r="C426" s="20">
        <v>1593</v>
      </c>
      <c r="D426" s="20">
        <v>27802</v>
      </c>
      <c r="E426" s="20">
        <v>523510</v>
      </c>
      <c r="F426" s="20">
        <v>5415983</v>
      </c>
      <c r="G426" s="17">
        <f t="shared" si="204"/>
        <v>552651.32653061219</v>
      </c>
      <c r="H426" s="20"/>
      <c r="I426" s="19">
        <f t="shared" si="234"/>
        <v>2.0389121194318693E-3</v>
      </c>
      <c r="J426" s="19">
        <f t="shared" si="231"/>
        <v>0.14455215239781957</v>
      </c>
      <c r="K426" s="19">
        <f t="shared" si="232"/>
        <v>3.9541012098648813E-3</v>
      </c>
      <c r="L426" s="20">
        <v>231580</v>
      </c>
      <c r="M426" s="19">
        <f t="shared" si="235"/>
        <v>3.551192246184659E-2</v>
      </c>
      <c r="N426" s="19">
        <f t="shared" si="236"/>
        <v>0.66868737961302449</v>
      </c>
      <c r="O426" s="20">
        <v>28989</v>
      </c>
      <c r="P426" s="28">
        <f t="shared" si="437"/>
        <v>21331</v>
      </c>
      <c r="Q426" s="29">
        <f t="shared" si="322"/>
        <v>7.4680043129717308E-2</v>
      </c>
      <c r="R426" s="20">
        <f t="shared" si="440"/>
        <v>101</v>
      </c>
      <c r="S426" s="20">
        <f t="shared" si="443"/>
        <v>6484</v>
      </c>
      <c r="T426" s="20">
        <v>5031</v>
      </c>
      <c r="U426" s="20">
        <v>587</v>
      </c>
      <c r="V426" s="19">
        <f t="shared" si="316"/>
        <v>0.29580069792512886</v>
      </c>
      <c r="W426" s="20">
        <f t="shared" ref="W426:X426" si="565">T426-T425</f>
        <v>-160</v>
      </c>
      <c r="X426" s="20">
        <f t="shared" si="565"/>
        <v>-34</v>
      </c>
      <c r="Y426" s="19">
        <f t="shared" si="476"/>
        <v>2.1724673978754643E-2</v>
      </c>
      <c r="Z426" s="19">
        <f t="shared" si="477"/>
        <v>0.11667660504869808</v>
      </c>
      <c r="AA426" s="21">
        <f t="shared" si="348"/>
        <v>0.70352446081009989</v>
      </c>
      <c r="AB426" s="26">
        <f t="shared" si="364"/>
        <v>0.67458064283722918</v>
      </c>
      <c r="AC426" s="23">
        <f t="shared" si="331"/>
        <v>1910.5714285714287</v>
      </c>
      <c r="AD426" s="23">
        <f t="shared" si="360"/>
        <v>168.14285714285714</v>
      </c>
      <c r="AE426" s="23">
        <f t="shared" si="332"/>
        <v>19340.428571428572</v>
      </c>
      <c r="AF426" s="25">
        <f t="shared" si="339"/>
        <v>9.9799560041777882E-2</v>
      </c>
      <c r="AG426" s="20">
        <v>4064204</v>
      </c>
      <c r="AH426" s="21">
        <f t="shared" si="449"/>
        <v>41067</v>
      </c>
      <c r="AI426" s="21">
        <f t="shared" si="431"/>
        <v>66867.857142857145</v>
      </c>
      <c r="AJ426" s="20">
        <v>2016350</v>
      </c>
      <c r="AK426" s="20">
        <f t="shared" si="533"/>
        <v>67622</v>
      </c>
      <c r="AL426" s="21">
        <f t="shared" si="464"/>
        <v>56418.571428571428</v>
      </c>
      <c r="AM426" s="26">
        <f t="shared" si="353"/>
        <v>5900.4285714285716</v>
      </c>
    </row>
    <row r="427" spans="1:39" ht="16">
      <c r="A427" s="30">
        <v>44319</v>
      </c>
      <c r="B427" s="20">
        <f t="shared" si="491"/>
        <v>784111</v>
      </c>
      <c r="C427" s="20">
        <v>1219</v>
      </c>
      <c r="D427" s="20">
        <v>27908</v>
      </c>
      <c r="E427" s="20">
        <v>528201</v>
      </c>
      <c r="F427" s="20">
        <v>5429737</v>
      </c>
      <c r="G427" s="17">
        <f t="shared" si="204"/>
        <v>554054.79591836734</v>
      </c>
      <c r="H427" s="20"/>
      <c r="I427" s="19">
        <f t="shared" si="234"/>
        <v>1.5570474599306162E-3</v>
      </c>
      <c r="J427" s="19">
        <f t="shared" si="231"/>
        <v>0.14441049354692501</v>
      </c>
      <c r="K427" s="19">
        <f t="shared" si="232"/>
        <v>2.5395205265599983E-3</v>
      </c>
      <c r="L427" s="20">
        <v>228002</v>
      </c>
      <c r="M427" s="19">
        <f t="shared" si="235"/>
        <v>3.5591899616253309E-2</v>
      </c>
      <c r="N427" s="19">
        <f t="shared" si="236"/>
        <v>0.67363039161547278</v>
      </c>
      <c r="O427" s="20">
        <v>27386</v>
      </c>
      <c r="P427" s="28">
        <f t="shared" si="437"/>
        <v>13754</v>
      </c>
      <c r="Q427" s="29">
        <f t="shared" si="322"/>
        <v>8.8628762541806017E-2</v>
      </c>
      <c r="R427" s="20">
        <f t="shared" si="440"/>
        <v>106</v>
      </c>
      <c r="S427" s="20">
        <f t="shared" si="443"/>
        <v>4691</v>
      </c>
      <c r="T427" s="20">
        <v>4872</v>
      </c>
      <c r="U427" s="20">
        <v>572</v>
      </c>
      <c r="V427" s="19">
        <f t="shared" si="316"/>
        <v>0.29077770876827386</v>
      </c>
      <c r="W427" s="20">
        <f t="shared" ref="W427:X427" si="566">T427-T426</f>
        <v>-159</v>
      </c>
      <c r="X427" s="20">
        <f t="shared" si="566"/>
        <v>-15</v>
      </c>
      <c r="Y427" s="19">
        <f t="shared" si="476"/>
        <v>2.1368233611985858E-2</v>
      </c>
      <c r="Z427" s="19">
        <f t="shared" si="477"/>
        <v>0.1174055829228243</v>
      </c>
      <c r="AA427" s="21">
        <f t="shared" si="348"/>
        <v>0.69292674915142893</v>
      </c>
      <c r="AB427" s="26">
        <f t="shared" si="364"/>
        <v>0.68019956364413914</v>
      </c>
      <c r="AC427" s="23">
        <f t="shared" si="331"/>
        <v>1808.1428571428571</v>
      </c>
      <c r="AD427" s="23">
        <f t="shared" si="360"/>
        <v>158.14285714285714</v>
      </c>
      <c r="AE427" s="23">
        <f t="shared" si="332"/>
        <v>18928.857142857141</v>
      </c>
      <c r="AF427" s="25">
        <f t="shared" si="339"/>
        <v>9.5834936956913266E-2</v>
      </c>
      <c r="AG427" s="20">
        <v>4073149</v>
      </c>
      <c r="AH427" s="21">
        <f t="shared" si="449"/>
        <v>8945</v>
      </c>
      <c r="AI427" s="21">
        <f t="shared" si="431"/>
        <v>67035.428571428565</v>
      </c>
      <c r="AJ427" s="20">
        <v>2077160</v>
      </c>
      <c r="AK427" s="20">
        <f t="shared" si="533"/>
        <v>60810</v>
      </c>
      <c r="AL427" s="21">
        <f t="shared" si="464"/>
        <v>58870.428571428572</v>
      </c>
      <c r="AM427" s="26">
        <f t="shared" si="353"/>
        <v>5966.5714285714284</v>
      </c>
    </row>
    <row r="428" spans="1:39" ht="16">
      <c r="A428" s="30">
        <v>44320</v>
      </c>
      <c r="B428" s="20">
        <f t="shared" si="491"/>
        <v>784837</v>
      </c>
      <c r="C428" s="20">
        <v>726</v>
      </c>
      <c r="D428" s="20">
        <v>28045</v>
      </c>
      <c r="E428" s="20">
        <v>532990</v>
      </c>
      <c r="F428" s="20">
        <v>5438145</v>
      </c>
      <c r="G428" s="17">
        <f t="shared" si="204"/>
        <v>554912.75510204083</v>
      </c>
      <c r="H428" s="20"/>
      <c r="I428" s="19">
        <f t="shared" si="234"/>
        <v>9.2588931924179104E-4</v>
      </c>
      <c r="J428" s="19">
        <f t="shared" si="231"/>
        <v>0.14432071965716251</v>
      </c>
      <c r="K428" s="19">
        <f t="shared" si="232"/>
        <v>1.5485096239467953E-3</v>
      </c>
      <c r="L428" s="20">
        <v>223802</v>
      </c>
      <c r="M428" s="19">
        <f t="shared" si="235"/>
        <v>3.5733534479133883E-2</v>
      </c>
      <c r="N428" s="19">
        <f t="shared" si="236"/>
        <v>0.67910916534261256</v>
      </c>
      <c r="O428" s="20">
        <v>28080</v>
      </c>
      <c r="P428" s="28">
        <f t="shared" si="437"/>
        <v>8408</v>
      </c>
      <c r="Q428" s="29">
        <f t="shared" si="322"/>
        <v>8.634633682207421E-2</v>
      </c>
      <c r="R428" s="20">
        <f t="shared" si="440"/>
        <v>137</v>
      </c>
      <c r="S428" s="20">
        <f t="shared" si="443"/>
        <v>4789</v>
      </c>
      <c r="T428" s="20">
        <v>4739</v>
      </c>
      <c r="U428" s="20">
        <v>549</v>
      </c>
      <c r="V428" s="19">
        <f t="shared" si="316"/>
        <v>0.28515730017825358</v>
      </c>
      <c r="W428" s="20">
        <f t="shared" ref="W428:X428" si="567">T428-T427</f>
        <v>-133</v>
      </c>
      <c r="X428" s="20">
        <f t="shared" si="567"/>
        <v>-23</v>
      </c>
      <c r="Y428" s="19">
        <f t="shared" si="476"/>
        <v>2.1174967158470434E-2</v>
      </c>
      <c r="Z428" s="19">
        <f t="shared" si="477"/>
        <v>0.11584722515298586</v>
      </c>
      <c r="AA428" s="21">
        <f t="shared" si="348"/>
        <v>0.67863936443996864</v>
      </c>
      <c r="AB428" s="26">
        <f t="shared" si="364"/>
        <v>0.68171060935303918</v>
      </c>
      <c r="AC428" s="23">
        <f t="shared" si="331"/>
        <v>1732.8571428571429</v>
      </c>
      <c r="AD428" s="23">
        <f t="shared" si="360"/>
        <v>151.57142857142858</v>
      </c>
      <c r="AE428" s="23">
        <f t="shared" si="332"/>
        <v>18503</v>
      </c>
      <c r="AF428" s="25">
        <f t="shared" si="339"/>
        <v>9.2453208096566888E-2</v>
      </c>
      <c r="AG428" s="20">
        <v>4099495</v>
      </c>
      <c r="AH428" s="21">
        <f t="shared" si="449"/>
        <v>26346</v>
      </c>
      <c r="AI428" s="21">
        <f t="shared" si="431"/>
        <v>59966.428571428572</v>
      </c>
      <c r="AJ428" s="20">
        <v>2157637</v>
      </c>
      <c r="AK428" s="20">
        <f t="shared" si="533"/>
        <v>80477</v>
      </c>
      <c r="AL428" s="21">
        <f t="shared" si="464"/>
        <v>63702</v>
      </c>
      <c r="AM428" s="26">
        <f t="shared" si="353"/>
        <v>5910</v>
      </c>
    </row>
    <row r="429" spans="1:39" ht="16">
      <c r="A429" s="30">
        <v>44321</v>
      </c>
      <c r="B429" s="20">
        <f t="shared" si="491"/>
        <v>785967</v>
      </c>
      <c r="C429" s="20">
        <v>1130</v>
      </c>
      <c r="D429" s="20">
        <v>28173</v>
      </c>
      <c r="E429" s="20">
        <v>538965</v>
      </c>
      <c r="F429" s="20">
        <v>5454661</v>
      </c>
      <c r="G429" s="17">
        <f t="shared" si="204"/>
        <v>556598.06122448971</v>
      </c>
      <c r="H429" s="20"/>
      <c r="I429" s="19">
        <f t="shared" si="234"/>
        <v>1.439789408501383E-3</v>
      </c>
      <c r="J429" s="19">
        <f t="shared" si="231"/>
        <v>0.14409089767448427</v>
      </c>
      <c r="K429" s="19">
        <f t="shared" si="232"/>
        <v>3.0370650286081009E-3</v>
      </c>
      <c r="L429" s="20">
        <v>218829</v>
      </c>
      <c r="M429" s="19">
        <f t="shared" si="235"/>
        <v>3.5845016393818062E-2</v>
      </c>
      <c r="N429" s="19">
        <f t="shared" si="236"/>
        <v>0.68573489726667913</v>
      </c>
      <c r="O429" s="20">
        <v>24796</v>
      </c>
      <c r="P429" s="28">
        <f t="shared" si="437"/>
        <v>16516</v>
      </c>
      <c r="Q429" s="29">
        <f t="shared" si="322"/>
        <v>6.8418503269556799E-2</v>
      </c>
      <c r="R429" s="20">
        <f t="shared" si="440"/>
        <v>128</v>
      </c>
      <c r="S429" s="20">
        <f t="shared" si="443"/>
        <v>5975</v>
      </c>
      <c r="T429" s="20">
        <v>4374</v>
      </c>
      <c r="U429" s="20">
        <v>511</v>
      </c>
      <c r="V429" s="19">
        <f t="shared" si="316"/>
        <v>0.27842008633950283</v>
      </c>
      <c r="W429" s="20">
        <f t="shared" ref="W429:X429" si="568">T429-T428</f>
        <v>-365</v>
      </c>
      <c r="X429" s="20">
        <f t="shared" si="568"/>
        <v>-38</v>
      </c>
      <c r="Y429" s="19">
        <f t="shared" si="476"/>
        <v>1.9988209972170049E-2</v>
      </c>
      <c r="Z429" s="19">
        <f t="shared" si="477"/>
        <v>0.11682670324645633</v>
      </c>
      <c r="AA429" s="21">
        <f t="shared" si="348"/>
        <v>0.67891308175362408</v>
      </c>
      <c r="AB429" s="26">
        <f t="shared" si="364"/>
        <v>0.68392914994005127</v>
      </c>
      <c r="AC429" s="23">
        <f t="shared" si="331"/>
        <v>1652.5714285714287</v>
      </c>
      <c r="AD429" s="23">
        <f t="shared" si="360"/>
        <v>143</v>
      </c>
      <c r="AE429" s="23">
        <f t="shared" si="332"/>
        <v>18178.285714285714</v>
      </c>
      <c r="AF429" s="25">
        <f t="shared" si="339"/>
        <v>8.9362609934509313E-2</v>
      </c>
      <c r="AG429" s="20">
        <v>4123697</v>
      </c>
      <c r="AH429" s="21">
        <f t="shared" si="449"/>
        <v>24202</v>
      </c>
      <c r="AI429" s="21">
        <f t="shared" si="431"/>
        <v>49925.142857142855</v>
      </c>
      <c r="AJ429" s="20">
        <v>2248775</v>
      </c>
      <c r="AK429" s="20">
        <f t="shared" si="533"/>
        <v>91138</v>
      </c>
      <c r="AL429" s="21">
        <f t="shared" si="464"/>
        <v>67839.28571428571</v>
      </c>
      <c r="AM429" s="26">
        <f t="shared" si="353"/>
        <v>5983</v>
      </c>
    </row>
    <row r="430" spans="1:39" ht="16">
      <c r="A430" s="30">
        <v>44322</v>
      </c>
      <c r="B430" s="20">
        <f t="shared" si="491"/>
        <v>787647</v>
      </c>
      <c r="C430" s="20">
        <v>1680</v>
      </c>
      <c r="D430" s="20">
        <v>28297</v>
      </c>
      <c r="E430" s="20">
        <v>546246</v>
      </c>
      <c r="F430" s="20">
        <v>5475551</v>
      </c>
      <c r="G430" s="17">
        <f t="shared" si="204"/>
        <v>558729.69387755101</v>
      </c>
      <c r="H430" s="20"/>
      <c r="I430" s="19">
        <f t="shared" si="234"/>
        <v>2.1374943222807062E-3</v>
      </c>
      <c r="J430" s="19">
        <f t="shared" si="231"/>
        <v>0.14384798899690643</v>
      </c>
      <c r="K430" s="19">
        <f t="shared" si="232"/>
        <v>3.8297522064157609E-3</v>
      </c>
      <c r="L430" s="20">
        <v>213104</v>
      </c>
      <c r="M430" s="19">
        <f t="shared" si="235"/>
        <v>3.5925992227482613E-2</v>
      </c>
      <c r="N430" s="19">
        <f t="shared" si="236"/>
        <v>0.69351625791756966</v>
      </c>
      <c r="O430" s="20">
        <v>24902</v>
      </c>
      <c r="P430" s="28">
        <f t="shared" si="437"/>
        <v>20890</v>
      </c>
      <c r="Q430" s="29">
        <f t="shared" si="322"/>
        <v>8.0421254188606989E-2</v>
      </c>
      <c r="R430" s="20">
        <f t="shared" si="440"/>
        <v>124</v>
      </c>
      <c r="S430" s="20">
        <f t="shared" si="443"/>
        <v>7281</v>
      </c>
      <c r="T430" s="20">
        <v>4104</v>
      </c>
      <c r="U430" s="20">
        <v>485</v>
      </c>
      <c r="V430" s="19">
        <f t="shared" si="316"/>
        <v>0.27055774985494774</v>
      </c>
      <c r="W430" s="20">
        <f t="shared" ref="W430:X430" si="569">T430-T429</f>
        <v>-270</v>
      </c>
      <c r="X430" s="20">
        <f t="shared" si="569"/>
        <v>-26</v>
      </c>
      <c r="Y430" s="19">
        <f t="shared" si="476"/>
        <v>1.9258202567760341E-2</v>
      </c>
      <c r="Z430" s="19">
        <f t="shared" si="477"/>
        <v>0.11817738791423002</v>
      </c>
      <c r="AA430" s="21">
        <f t="shared" si="348"/>
        <v>0.66583416583416588</v>
      </c>
      <c r="AB430" s="26">
        <f t="shared" si="364"/>
        <v>0.68365536255824999</v>
      </c>
      <c r="AC430" s="23">
        <f t="shared" si="331"/>
        <v>1523.4285714285713</v>
      </c>
      <c r="AD430" s="23">
        <f t="shared" si="360"/>
        <v>134.14285714285714</v>
      </c>
      <c r="AE430" s="23">
        <f t="shared" si="332"/>
        <v>17965.571428571428</v>
      </c>
      <c r="AF430" s="25">
        <f t="shared" si="339"/>
        <v>8.4356304581192337E-2</v>
      </c>
      <c r="AG430" s="20">
        <v>4153038</v>
      </c>
      <c r="AH430" s="21">
        <f t="shared" si="449"/>
        <v>29341</v>
      </c>
      <c r="AI430" s="21">
        <f t="shared" si="431"/>
        <v>40402.285714285717</v>
      </c>
      <c r="AJ430" s="20">
        <v>2315428</v>
      </c>
      <c r="AK430" s="20">
        <f t="shared" si="533"/>
        <v>66653</v>
      </c>
      <c r="AL430" s="21">
        <f t="shared" si="464"/>
        <v>70396.142857142855</v>
      </c>
      <c r="AM430" s="26">
        <f t="shared" si="353"/>
        <v>6078.4285714285716</v>
      </c>
    </row>
    <row r="431" spans="1:39" ht="16">
      <c r="A431" s="30">
        <v>44323</v>
      </c>
      <c r="B431" s="20">
        <f t="shared" si="491"/>
        <v>789188</v>
      </c>
      <c r="C431" s="20">
        <v>1541</v>
      </c>
      <c r="D431" s="20">
        <v>28403</v>
      </c>
      <c r="E431" s="20">
        <v>553836</v>
      </c>
      <c r="F431" s="20">
        <v>5494198</v>
      </c>
      <c r="G431" s="17">
        <f t="shared" si="204"/>
        <v>560632.44897959183</v>
      </c>
      <c r="H431" s="20"/>
      <c r="I431" s="19">
        <f t="shared" si="234"/>
        <v>1.9564601909230913E-3</v>
      </c>
      <c r="J431" s="19">
        <f t="shared" si="231"/>
        <v>0.14364025468321309</v>
      </c>
      <c r="K431" s="19">
        <f t="shared" si="232"/>
        <v>3.4055020216230292E-3</v>
      </c>
      <c r="L431" s="20">
        <v>206949</v>
      </c>
      <c r="M431" s="19">
        <f t="shared" si="235"/>
        <v>3.5990156971469407E-2</v>
      </c>
      <c r="N431" s="19">
        <f t="shared" si="236"/>
        <v>0.70177955062672015</v>
      </c>
      <c r="O431" s="20">
        <v>24690</v>
      </c>
      <c r="P431" s="28">
        <f t="shared" si="437"/>
        <v>18647</v>
      </c>
      <c r="Q431" s="29">
        <f t="shared" si="322"/>
        <v>8.2640639244918754E-2</v>
      </c>
      <c r="R431" s="20">
        <f t="shared" si="440"/>
        <v>106</v>
      </c>
      <c r="S431" s="20">
        <f t="shared" si="443"/>
        <v>7590</v>
      </c>
      <c r="T431" s="20">
        <v>3855</v>
      </c>
      <c r="U431" s="20">
        <v>445</v>
      </c>
      <c r="V431" s="19">
        <f t="shared" si="316"/>
        <v>0.26223029240181045</v>
      </c>
      <c r="W431" s="20">
        <f t="shared" ref="W431:X431" si="570">T431-T430</f>
        <v>-249</v>
      </c>
      <c r="X431" s="20">
        <f t="shared" si="570"/>
        <v>-40</v>
      </c>
      <c r="Y431" s="19">
        <f t="shared" si="476"/>
        <v>1.8627777858312919E-2</v>
      </c>
      <c r="Z431" s="19">
        <f t="shared" si="477"/>
        <v>0.11543450064850844</v>
      </c>
      <c r="AA431" s="21">
        <f t="shared" si="348"/>
        <v>0.65801792162632067</v>
      </c>
      <c r="AB431" s="26">
        <f t="shared" si="364"/>
        <v>0.68141149486276953</v>
      </c>
      <c r="AC431" s="23">
        <f t="shared" si="331"/>
        <v>1405.7142857142858</v>
      </c>
      <c r="AD431" s="23">
        <f t="shared" si="360"/>
        <v>123.28571428571429</v>
      </c>
      <c r="AE431" s="23">
        <f t="shared" si="332"/>
        <v>17236.857142857141</v>
      </c>
      <c r="AF431" s="25">
        <f t="shared" si="339"/>
        <v>8.1935348234723038E-2</v>
      </c>
      <c r="AG431" s="20">
        <v>4203873</v>
      </c>
      <c r="AH431" s="21">
        <f t="shared" si="449"/>
        <v>50835</v>
      </c>
      <c r="AI431" s="21">
        <f t="shared" si="431"/>
        <v>41474.714285714283</v>
      </c>
      <c r="AJ431" s="20">
        <v>2406684</v>
      </c>
      <c r="AK431" s="20">
        <f t="shared" si="533"/>
        <v>91256</v>
      </c>
      <c r="AL431" s="21">
        <f t="shared" si="464"/>
        <v>75112.428571428565</v>
      </c>
      <c r="AM431" s="26">
        <f t="shared" si="353"/>
        <v>6208.1428571428569</v>
      </c>
    </row>
    <row r="432" spans="1:39" ht="16">
      <c r="A432" s="30">
        <v>44324</v>
      </c>
      <c r="B432" s="20">
        <f t="shared" si="491"/>
        <v>790564</v>
      </c>
      <c r="C432" s="20">
        <v>1376</v>
      </c>
      <c r="D432" s="20">
        <v>28504</v>
      </c>
      <c r="E432" s="20">
        <v>561119</v>
      </c>
      <c r="F432" s="20">
        <v>5511219</v>
      </c>
      <c r="G432" s="17">
        <f t="shared" si="204"/>
        <v>562369.28571428568</v>
      </c>
      <c r="H432" s="20"/>
      <c r="I432" s="19">
        <f t="shared" si="234"/>
        <v>1.7435642711242441E-3</v>
      </c>
      <c r="J432" s="19">
        <f t="shared" si="231"/>
        <v>0.14344630471044609</v>
      </c>
      <c r="K432" s="19">
        <f t="shared" si="232"/>
        <v>3.0979953762132343E-3</v>
      </c>
      <c r="L432" s="20">
        <v>200941</v>
      </c>
      <c r="M432" s="19">
        <f t="shared" si="235"/>
        <v>3.6055271932443164E-2</v>
      </c>
      <c r="N432" s="19">
        <f t="shared" si="236"/>
        <v>0.70977049296451644</v>
      </c>
      <c r="O432" s="20">
        <v>21301</v>
      </c>
      <c r="P432" s="28">
        <f t="shared" si="437"/>
        <v>17021</v>
      </c>
      <c r="Q432" s="29">
        <f t="shared" si="322"/>
        <v>8.0841313671347156E-2</v>
      </c>
      <c r="R432" s="20">
        <f t="shared" si="440"/>
        <v>101</v>
      </c>
      <c r="S432" s="20">
        <f t="shared" si="443"/>
        <v>7283</v>
      </c>
      <c r="T432" s="20">
        <v>3633</v>
      </c>
      <c r="U432" s="20">
        <v>420</v>
      </c>
      <c r="V432" s="19">
        <f t="shared" si="316"/>
        <v>0.25417423510304038</v>
      </c>
      <c r="W432" s="20">
        <f t="shared" ref="W432:X432" si="571">T432-T431</f>
        <v>-222</v>
      </c>
      <c r="X432" s="20">
        <f t="shared" si="571"/>
        <v>-25</v>
      </c>
      <c r="Y432" s="19">
        <f t="shared" si="476"/>
        <v>1.8079933910948986E-2</v>
      </c>
      <c r="Z432" s="19">
        <f t="shared" si="477"/>
        <v>0.11560693641618497</v>
      </c>
      <c r="AA432" s="21">
        <f t="shared" si="348"/>
        <v>0.65667304557374728</v>
      </c>
      <c r="AB432" s="26">
        <f t="shared" si="364"/>
        <v>0.67636125559847926</v>
      </c>
      <c r="AC432" s="23">
        <f t="shared" si="331"/>
        <v>1323.5714285714287</v>
      </c>
      <c r="AD432" s="23">
        <f t="shared" si="360"/>
        <v>114.71428571428571</v>
      </c>
      <c r="AE432" s="23">
        <f t="shared" si="332"/>
        <v>16652.428571428572</v>
      </c>
      <c r="AF432" s="25">
        <f t="shared" si="339"/>
        <v>8.0282407552575319E-2</v>
      </c>
      <c r="AG432" s="20">
        <v>4261822</v>
      </c>
      <c r="AH432" s="21">
        <f t="shared" si="449"/>
        <v>57949</v>
      </c>
      <c r="AI432" s="21">
        <f t="shared" si="431"/>
        <v>34097.857142857145</v>
      </c>
      <c r="AJ432" s="20">
        <v>2452603</v>
      </c>
      <c r="AK432" s="20">
        <f t="shared" si="533"/>
        <v>45919</v>
      </c>
      <c r="AL432" s="21">
        <f t="shared" si="464"/>
        <v>71982.142857142855</v>
      </c>
      <c r="AM432" s="26">
        <f t="shared" si="353"/>
        <v>6299</v>
      </c>
    </row>
    <row r="433" spans="1:39" ht="16">
      <c r="A433" s="30">
        <v>44325</v>
      </c>
      <c r="B433" s="20">
        <f t="shared" si="491"/>
        <v>791709</v>
      </c>
      <c r="C433" s="20">
        <v>1145</v>
      </c>
      <c r="D433" s="20">
        <v>28602</v>
      </c>
      <c r="E433" s="20">
        <v>568329</v>
      </c>
      <c r="F433" s="20">
        <v>5528240</v>
      </c>
      <c r="G433" s="17">
        <f t="shared" si="204"/>
        <v>564106.12244897953</v>
      </c>
      <c r="H433" s="20"/>
      <c r="I433" s="19">
        <f t="shared" si="234"/>
        <v>1.4483330887821858E-3</v>
      </c>
      <c r="J433" s="19">
        <f t="shared" si="231"/>
        <v>0.14321176359926485</v>
      </c>
      <c r="K433" s="19">
        <f t="shared" si="232"/>
        <v>3.0884274422772894E-3</v>
      </c>
      <c r="L433" s="20">
        <v>194778</v>
      </c>
      <c r="M433" s="19">
        <f t="shared" si="235"/>
        <v>3.6126910266272079E-2</v>
      </c>
      <c r="N433" s="19">
        <f t="shared" si="236"/>
        <v>0.7178508770267864</v>
      </c>
      <c r="O433" s="20">
        <v>21301</v>
      </c>
      <c r="P433" s="28">
        <f t="shared" si="437"/>
        <v>17021</v>
      </c>
      <c r="Q433" s="29">
        <f t="shared" si="322"/>
        <v>6.7269843134950949E-2</v>
      </c>
      <c r="R433" s="20">
        <f t="shared" si="440"/>
        <v>98</v>
      </c>
      <c r="S433" s="20">
        <f t="shared" si="443"/>
        <v>7210</v>
      </c>
      <c r="T433" s="20">
        <v>3353</v>
      </c>
      <c r="U433" s="20">
        <v>403</v>
      </c>
      <c r="V433" s="19">
        <f t="shared" si="316"/>
        <v>0.24602221270694158</v>
      </c>
      <c r="W433" s="20">
        <f t="shared" ref="W433:X433" si="572">T433-T432</f>
        <v>-280</v>
      </c>
      <c r="X433" s="20">
        <f t="shared" si="572"/>
        <v>-17</v>
      </c>
      <c r="Y433" s="19">
        <f t="shared" si="476"/>
        <v>1.7214469806651676E-2</v>
      </c>
      <c r="Z433" s="19">
        <f t="shared" si="477"/>
        <v>0.12019087384431852</v>
      </c>
      <c r="AA433" s="21">
        <f t="shared" si="348"/>
        <v>0.65926424405563033</v>
      </c>
      <c r="AB433" s="26">
        <f t="shared" si="364"/>
        <v>0.67003836749069801</v>
      </c>
      <c r="AC433" s="23">
        <f t="shared" si="331"/>
        <v>1259.5714285714287</v>
      </c>
      <c r="AD433" s="23">
        <f t="shared" si="360"/>
        <v>114.28571428571429</v>
      </c>
      <c r="AE433" s="23">
        <f t="shared" si="332"/>
        <v>16036.714285714286</v>
      </c>
      <c r="AF433" s="25">
        <f t="shared" si="339"/>
        <v>7.9223807553322992E-2</v>
      </c>
      <c r="AG433" s="20">
        <v>4288641</v>
      </c>
      <c r="AH433" s="21">
        <f t="shared" si="449"/>
        <v>26819</v>
      </c>
      <c r="AI433" s="21">
        <f t="shared" si="431"/>
        <v>32062.428571428572</v>
      </c>
      <c r="AJ433" s="20">
        <v>2488118</v>
      </c>
      <c r="AK433" s="20">
        <f t="shared" si="533"/>
        <v>35515</v>
      </c>
      <c r="AL433" s="21">
        <f t="shared" si="464"/>
        <v>67395.428571428565</v>
      </c>
      <c r="AM433" s="26">
        <f t="shared" si="353"/>
        <v>6402.7142857142853</v>
      </c>
    </row>
    <row r="434" spans="1:39" ht="16">
      <c r="A434" s="30">
        <v>44326</v>
      </c>
      <c r="B434" s="20">
        <f t="shared" si="491"/>
        <v>792386</v>
      </c>
      <c r="C434" s="20">
        <v>677</v>
      </c>
      <c r="D434" s="20">
        <v>28693</v>
      </c>
      <c r="E434" s="20">
        <v>575610</v>
      </c>
      <c r="F434" s="20">
        <v>5538792</v>
      </c>
      <c r="G434" s="17">
        <f t="shared" si="204"/>
        <v>565182.85714285716</v>
      </c>
      <c r="H434" s="20"/>
      <c r="I434" s="19">
        <f t="shared" si="234"/>
        <v>8.5511216873876644E-4</v>
      </c>
      <c r="J434" s="19">
        <f t="shared" si="231"/>
        <v>0.14306115846198955</v>
      </c>
      <c r="K434" s="19">
        <f t="shared" si="232"/>
        <v>1.9087449170079446E-3</v>
      </c>
      <c r="L434" s="20">
        <v>188083</v>
      </c>
      <c r="M434" s="19">
        <f t="shared" si="235"/>
        <v>3.6210887118146962E-2</v>
      </c>
      <c r="N434" s="19">
        <f t="shared" si="236"/>
        <v>0.7264262619480909</v>
      </c>
      <c r="O434" s="20">
        <v>20967</v>
      </c>
      <c r="P434" s="28">
        <f t="shared" si="437"/>
        <v>10552</v>
      </c>
      <c r="Q434" s="29">
        <f t="shared" si="322"/>
        <v>6.4158453373768007E-2</v>
      </c>
      <c r="R434" s="20">
        <f t="shared" si="440"/>
        <v>91</v>
      </c>
      <c r="S434" s="20">
        <f t="shared" si="443"/>
        <v>7281</v>
      </c>
      <c r="T434" s="20">
        <v>3384</v>
      </c>
      <c r="U434" s="20">
        <v>394</v>
      </c>
      <c r="V434" s="19">
        <f t="shared" si="316"/>
        <v>0.23736285093376208</v>
      </c>
      <c r="W434" s="20">
        <f t="shared" ref="W434:X434" si="573">T434-T433</f>
        <v>31</v>
      </c>
      <c r="X434" s="20">
        <f t="shared" si="573"/>
        <v>-9</v>
      </c>
      <c r="Y434" s="19">
        <f t="shared" si="476"/>
        <v>1.7992056698372526E-2</v>
      </c>
      <c r="Z434" s="19">
        <f t="shared" si="477"/>
        <v>0.11643026004728133</v>
      </c>
      <c r="AA434" s="21">
        <f t="shared" si="348"/>
        <v>0.65378841747649519</v>
      </c>
      <c r="AB434" s="26">
        <f t="shared" si="364"/>
        <v>0.66444717725142177</v>
      </c>
      <c r="AC434" s="23">
        <f t="shared" si="331"/>
        <v>1182.1428571428571</v>
      </c>
      <c r="AD434" s="23">
        <f t="shared" si="360"/>
        <v>112.14285714285714</v>
      </c>
      <c r="AE434" s="23">
        <f t="shared" si="332"/>
        <v>15579.285714285714</v>
      </c>
      <c r="AF434" s="25">
        <f t="shared" si="339"/>
        <v>7.5728049100746125E-2</v>
      </c>
      <c r="AG434" s="20">
        <v>4305775</v>
      </c>
      <c r="AH434" s="21">
        <f t="shared" si="449"/>
        <v>17134</v>
      </c>
      <c r="AI434" s="21">
        <f t="shared" si="431"/>
        <v>33232.285714285717</v>
      </c>
      <c r="AJ434" s="20">
        <v>2503575</v>
      </c>
      <c r="AK434" s="20">
        <f t="shared" si="533"/>
        <v>15457</v>
      </c>
      <c r="AL434" s="21">
        <f t="shared" si="464"/>
        <v>60916.428571428572</v>
      </c>
      <c r="AM434" s="26">
        <f t="shared" si="353"/>
        <v>6772.7142857142853</v>
      </c>
    </row>
    <row r="435" spans="1:39" ht="16">
      <c r="A435" s="30">
        <v>44327</v>
      </c>
      <c r="B435" s="20">
        <f t="shared" si="491"/>
        <v>792879</v>
      </c>
      <c r="C435" s="20">
        <v>493</v>
      </c>
      <c r="D435" s="20">
        <v>28792</v>
      </c>
      <c r="E435" s="20">
        <v>583802</v>
      </c>
      <c r="F435" s="20">
        <v>5545305</v>
      </c>
      <c r="G435" s="17">
        <f t="shared" si="204"/>
        <v>565847.44897959183</v>
      </c>
      <c r="H435" s="20"/>
      <c r="I435" s="19">
        <f t="shared" si="234"/>
        <v>6.2217151741701649E-4</v>
      </c>
      <c r="J435" s="19">
        <f t="shared" si="231"/>
        <v>0.14298203615490943</v>
      </c>
      <c r="K435" s="19">
        <f t="shared" si="232"/>
        <v>1.1758881720057371E-3</v>
      </c>
      <c r="L435" s="20">
        <v>180285</v>
      </c>
      <c r="M435" s="19">
        <f t="shared" si="235"/>
        <v>3.6313233166725314E-2</v>
      </c>
      <c r="N435" s="19">
        <f t="shared" si="236"/>
        <v>0.73630654866631606</v>
      </c>
      <c r="O435" s="20">
        <v>20197</v>
      </c>
      <c r="P435" s="28">
        <f t="shared" si="437"/>
        <v>6513</v>
      </c>
      <c r="Q435" s="29">
        <f t="shared" si="322"/>
        <v>7.5694764317518815E-2</v>
      </c>
      <c r="R435" s="20">
        <f t="shared" si="440"/>
        <v>99</v>
      </c>
      <c r="S435" s="20">
        <f t="shared" si="443"/>
        <v>8192</v>
      </c>
      <c r="T435" s="20">
        <v>3282</v>
      </c>
      <c r="U435" s="20">
        <v>379</v>
      </c>
      <c r="V435" s="19">
        <f t="shared" si="316"/>
        <v>0.22738021816695864</v>
      </c>
      <c r="W435" s="20">
        <f t="shared" ref="W435:X435" si="574">T435-T434</f>
        <v>-102</v>
      </c>
      <c r="X435" s="20">
        <f t="shared" si="574"/>
        <v>-15</v>
      </c>
      <c r="Y435" s="19">
        <f t="shared" si="476"/>
        <v>1.820450952658291E-2</v>
      </c>
      <c r="Z435" s="19">
        <f t="shared" si="477"/>
        <v>0.11547836684948203</v>
      </c>
      <c r="AA435" s="21">
        <f t="shared" si="348"/>
        <v>0.66298433635614185</v>
      </c>
      <c r="AB435" s="26">
        <f t="shared" si="364"/>
        <v>0.66221074466801788</v>
      </c>
      <c r="AC435" s="23">
        <f t="shared" si="331"/>
        <v>1148.8571428571429</v>
      </c>
      <c r="AD435" s="23">
        <f t="shared" si="360"/>
        <v>106.71428571428571</v>
      </c>
      <c r="AE435" s="23">
        <f t="shared" si="332"/>
        <v>15308.571428571429</v>
      </c>
      <c r="AF435" s="25">
        <f t="shared" si="339"/>
        <v>7.4206395885809656E-2</v>
      </c>
      <c r="AG435" s="20">
        <v>4346089</v>
      </c>
      <c r="AH435" s="21">
        <f t="shared" si="449"/>
        <v>40314</v>
      </c>
      <c r="AI435" s="21">
        <f t="shared" si="431"/>
        <v>35227.714285714283</v>
      </c>
      <c r="AJ435" s="20">
        <v>2530147</v>
      </c>
      <c r="AK435" s="20">
        <f t="shared" si="533"/>
        <v>26572</v>
      </c>
      <c r="AL435" s="21">
        <f t="shared" si="464"/>
        <v>53215.714285714283</v>
      </c>
      <c r="AM435" s="26">
        <f t="shared" si="353"/>
        <v>7258.8571428571431</v>
      </c>
    </row>
    <row r="436" spans="1:39" ht="16">
      <c r="A436" s="30">
        <v>44328</v>
      </c>
      <c r="B436" s="20">
        <f t="shared" si="491"/>
        <v>793784</v>
      </c>
      <c r="C436" s="20">
        <v>905</v>
      </c>
      <c r="D436" s="20">
        <v>28888</v>
      </c>
      <c r="E436" s="20">
        <v>592440</v>
      </c>
      <c r="F436" s="20">
        <v>5560617</v>
      </c>
      <c r="G436" s="17">
        <f t="shared" si="204"/>
        <v>567409.89795918367</v>
      </c>
      <c r="H436" s="20"/>
      <c r="I436" s="19">
        <f t="shared" si="234"/>
        <v>1.1414099755448182E-3</v>
      </c>
      <c r="J436" s="19">
        <f t="shared" si="231"/>
        <v>0.14275106521452566</v>
      </c>
      <c r="K436" s="19">
        <f t="shared" si="232"/>
        <v>2.7612547912152711E-3</v>
      </c>
      <c r="L436" s="20">
        <v>172456</v>
      </c>
      <c r="M436" s="19">
        <f t="shared" si="235"/>
        <v>3.6392771837174848E-2</v>
      </c>
      <c r="N436" s="19">
        <f t="shared" si="236"/>
        <v>0.74634913276155734</v>
      </c>
      <c r="O436" s="20">
        <v>18872</v>
      </c>
      <c r="P436" s="28">
        <f t="shared" si="437"/>
        <v>15312</v>
      </c>
      <c r="Q436" s="29">
        <f t="shared" si="322"/>
        <v>5.9103970741901775E-2</v>
      </c>
      <c r="R436" s="20">
        <f t="shared" si="440"/>
        <v>96</v>
      </c>
      <c r="S436" s="20">
        <f t="shared" si="443"/>
        <v>8638</v>
      </c>
      <c r="T436" s="20">
        <v>2974</v>
      </c>
      <c r="U436" s="20">
        <v>361</v>
      </c>
      <c r="V436" s="19">
        <f t="shared" si="316"/>
        <v>0.21725809540126786</v>
      </c>
      <c r="W436" s="20">
        <f t="shared" ref="W436:X436" si="575">T436-T435</f>
        <v>-308</v>
      </c>
      <c r="X436" s="20">
        <f t="shared" si="575"/>
        <v>-18</v>
      </c>
      <c r="Y436" s="19">
        <f t="shared" si="476"/>
        <v>1.7244978429280512E-2</v>
      </c>
      <c r="Z436" s="19">
        <f t="shared" si="477"/>
        <v>0.12138533960995293</v>
      </c>
      <c r="AA436" s="21">
        <f t="shared" si="348"/>
        <v>0.67574343015214389</v>
      </c>
      <c r="AB436" s="26">
        <f t="shared" si="364"/>
        <v>0.66175793729637788</v>
      </c>
      <c r="AC436" s="23">
        <f t="shared" si="331"/>
        <v>1116.7142857142858</v>
      </c>
      <c r="AD436" s="23">
        <f t="shared" si="360"/>
        <v>102.14285714285714</v>
      </c>
      <c r="AE436" s="23">
        <f t="shared" si="332"/>
        <v>15136.571428571429</v>
      </c>
      <c r="AF436" s="25">
        <f t="shared" si="339"/>
        <v>7.2875748381858924E-2</v>
      </c>
      <c r="AG436" s="20">
        <v>4391794</v>
      </c>
      <c r="AH436" s="21">
        <f t="shared" si="449"/>
        <v>45705</v>
      </c>
      <c r="AI436" s="21">
        <f t="shared" si="431"/>
        <v>38299.571428571428</v>
      </c>
      <c r="AJ436" s="20">
        <v>2559041</v>
      </c>
      <c r="AK436" s="20">
        <f t="shared" si="533"/>
        <v>28894</v>
      </c>
      <c r="AL436" s="21">
        <f t="shared" si="464"/>
        <v>44323.714285714283</v>
      </c>
      <c r="AM436" s="26">
        <f t="shared" si="353"/>
        <v>7639.2857142857147</v>
      </c>
    </row>
    <row r="437" spans="1:39" ht="16">
      <c r="A437" s="30">
        <v>44329</v>
      </c>
      <c r="B437" s="20">
        <f t="shared" si="491"/>
        <v>795200</v>
      </c>
      <c r="C437" s="20">
        <v>1416</v>
      </c>
      <c r="D437" s="20">
        <v>28970</v>
      </c>
      <c r="E437" s="20">
        <v>600461</v>
      </c>
      <c r="F437" s="20">
        <v>5588435</v>
      </c>
      <c r="G437" s="17">
        <f t="shared" si="204"/>
        <v>570248.46938775503</v>
      </c>
      <c r="H437" s="20"/>
      <c r="I437" s="19">
        <f t="shared" si="234"/>
        <v>1.7838605968374269E-3</v>
      </c>
      <c r="J437" s="19">
        <f t="shared" si="231"/>
        <v>0.14229386223513379</v>
      </c>
      <c r="K437" s="19">
        <f t="shared" si="232"/>
        <v>5.0026822563035717E-3</v>
      </c>
      <c r="L437" s="20">
        <v>165769</v>
      </c>
      <c r="M437" s="19">
        <f t="shared" si="235"/>
        <v>3.643108651911469E-2</v>
      </c>
      <c r="N437" s="19">
        <f t="shared" si="236"/>
        <v>0.7551068913480885</v>
      </c>
      <c r="O437" s="20">
        <v>18886</v>
      </c>
      <c r="P437" s="28">
        <f t="shared" si="437"/>
        <v>27818</v>
      </c>
      <c r="Q437" s="29">
        <f t="shared" si="322"/>
        <v>5.0902293479042349E-2</v>
      </c>
      <c r="R437" s="20">
        <f t="shared" si="440"/>
        <v>82</v>
      </c>
      <c r="S437" s="20">
        <f t="shared" si="443"/>
        <v>8021</v>
      </c>
      <c r="T437" s="20">
        <v>2782</v>
      </c>
      <c r="U437" s="20">
        <v>354</v>
      </c>
      <c r="V437" s="19">
        <f t="shared" si="316"/>
        <v>0.20846202213279677</v>
      </c>
      <c r="W437" s="20">
        <f t="shared" ref="W437:X437" si="576">T437-T436</f>
        <v>-192</v>
      </c>
      <c r="X437" s="20">
        <f t="shared" si="576"/>
        <v>-7</v>
      </c>
      <c r="Y437" s="19">
        <f t="shared" si="476"/>
        <v>1.6782389952282997E-2</v>
      </c>
      <c r="Z437" s="19">
        <f t="shared" si="477"/>
        <v>0.12724658519051044</v>
      </c>
      <c r="AA437" s="21">
        <f t="shared" si="348"/>
        <v>0.70827081770442613</v>
      </c>
      <c r="AB437" s="26">
        <f t="shared" si="364"/>
        <v>0.66782031613498649</v>
      </c>
      <c r="AC437" s="23">
        <f t="shared" si="331"/>
        <v>1079</v>
      </c>
      <c r="AD437" s="23">
        <f t="shared" si="360"/>
        <v>96.142857142857139</v>
      </c>
      <c r="AE437" s="23">
        <f t="shared" si="332"/>
        <v>16126.285714285714</v>
      </c>
      <c r="AF437" s="25">
        <f t="shared" si="339"/>
        <v>6.8658753994778263E-2</v>
      </c>
      <c r="AG437" s="20">
        <v>4420767</v>
      </c>
      <c r="AH437" s="21">
        <f t="shared" si="449"/>
        <v>28973</v>
      </c>
      <c r="AI437" s="21">
        <f t="shared" si="431"/>
        <v>38247</v>
      </c>
      <c r="AJ437" s="20">
        <v>2584879</v>
      </c>
      <c r="AK437" s="20">
        <f t="shared" si="533"/>
        <v>25838</v>
      </c>
      <c r="AL437" s="21">
        <f t="shared" si="464"/>
        <v>38493</v>
      </c>
      <c r="AM437" s="26">
        <f t="shared" si="353"/>
        <v>7745</v>
      </c>
    </row>
    <row r="438" spans="1:39" ht="16">
      <c r="A438" s="30">
        <v>44330</v>
      </c>
      <c r="B438" s="20">
        <f t="shared" si="491"/>
        <v>796390</v>
      </c>
      <c r="C438" s="20">
        <v>1190</v>
      </c>
      <c r="D438" s="20">
        <v>29041</v>
      </c>
      <c r="E438" s="20">
        <v>608891</v>
      </c>
      <c r="F438" s="20">
        <v>5607336</v>
      </c>
      <c r="G438" s="17">
        <f t="shared" si="204"/>
        <v>572177.14285714284</v>
      </c>
      <c r="H438" s="20"/>
      <c r="I438" s="19">
        <f t="shared" si="234"/>
        <v>1.4964788732394366E-3</v>
      </c>
      <c r="J438" s="19">
        <f t="shared" si="231"/>
        <v>0.14202644535658288</v>
      </c>
      <c r="K438" s="19">
        <f t="shared" si="232"/>
        <v>3.3821633426889641E-3</v>
      </c>
      <c r="L438" s="20">
        <v>158458</v>
      </c>
      <c r="M438" s="19">
        <f t="shared" si="235"/>
        <v>3.6465801931214605E-2</v>
      </c>
      <c r="N438" s="19">
        <f t="shared" si="236"/>
        <v>0.76456384434761859</v>
      </c>
      <c r="O438" s="20">
        <v>18448</v>
      </c>
      <c r="P438" s="28">
        <f t="shared" si="437"/>
        <v>18901</v>
      </c>
      <c r="Q438" s="29">
        <f t="shared" si="322"/>
        <v>6.2959631765515056E-2</v>
      </c>
      <c r="R438" s="20">
        <f t="shared" si="440"/>
        <v>71</v>
      </c>
      <c r="S438" s="20">
        <f t="shared" si="443"/>
        <v>8430</v>
      </c>
      <c r="T438" s="20">
        <v>2612</v>
      </c>
      <c r="U438" s="20">
        <v>338</v>
      </c>
      <c r="V438" s="19">
        <f t="shared" si="316"/>
        <v>0.19897035372116675</v>
      </c>
      <c r="W438" s="20">
        <f t="shared" ref="W438:X438" si="577">T438-T437</f>
        <v>-170</v>
      </c>
      <c r="X438" s="20">
        <f t="shared" si="577"/>
        <v>-16</v>
      </c>
      <c r="Y438" s="19">
        <f t="shared" si="476"/>
        <v>1.6483863231897412E-2</v>
      </c>
      <c r="Z438" s="19">
        <f t="shared" si="477"/>
        <v>0.12940275650842267</v>
      </c>
      <c r="AA438" s="21">
        <f t="shared" si="348"/>
        <v>0.73191056910569108</v>
      </c>
      <c r="AB438" s="26">
        <f t="shared" si="364"/>
        <v>0.67837640863203952</v>
      </c>
      <c r="AC438" s="23">
        <f t="shared" si="331"/>
        <v>1028.8571428571429</v>
      </c>
      <c r="AD438" s="23">
        <f t="shared" si="360"/>
        <v>91.142857142857139</v>
      </c>
      <c r="AE438" s="23">
        <f t="shared" si="332"/>
        <v>16162.571428571429</v>
      </c>
      <c r="AF438" s="25">
        <f t="shared" si="339"/>
        <v>6.5847181497720592E-2</v>
      </c>
      <c r="AG438" s="20">
        <v>4483598</v>
      </c>
      <c r="AH438" s="21">
        <f t="shared" si="449"/>
        <v>62831</v>
      </c>
      <c r="AI438" s="21">
        <f t="shared" si="431"/>
        <v>39960.714285714283</v>
      </c>
      <c r="AJ438" s="20">
        <v>2626857</v>
      </c>
      <c r="AK438" s="20">
        <f t="shared" si="533"/>
        <v>41978</v>
      </c>
      <c r="AL438" s="21">
        <f t="shared" si="464"/>
        <v>31453.285714285714</v>
      </c>
      <c r="AM438" s="26">
        <f t="shared" si="353"/>
        <v>7865</v>
      </c>
    </row>
    <row r="439" spans="1:39" ht="16">
      <c r="A439" s="30">
        <v>44331</v>
      </c>
      <c r="B439" s="20">
        <f t="shared" si="491"/>
        <v>797429</v>
      </c>
      <c r="C439" s="20">
        <v>1039</v>
      </c>
      <c r="D439" s="20">
        <v>29114</v>
      </c>
      <c r="E439" s="20">
        <v>618608</v>
      </c>
      <c r="F439" s="20">
        <v>5622836</v>
      </c>
      <c r="G439" s="17">
        <f t="shared" si="204"/>
        <v>573758.77551020402</v>
      </c>
      <c r="H439" s="20"/>
      <c r="I439" s="19">
        <f t="shared" si="234"/>
        <v>1.3046371752533307E-3</v>
      </c>
      <c r="J439" s="19">
        <f t="shared" si="231"/>
        <v>0.14181971517575828</v>
      </c>
      <c r="K439" s="19">
        <f t="shared" si="232"/>
        <v>2.7642359937053887E-3</v>
      </c>
      <c r="L439" s="20">
        <v>149707</v>
      </c>
      <c r="M439" s="19">
        <f t="shared" si="235"/>
        <v>3.6509833477337793E-2</v>
      </c>
      <c r="N439" s="19">
        <f t="shared" si="236"/>
        <v>0.77575307644943936</v>
      </c>
      <c r="O439" s="20">
        <v>18171</v>
      </c>
      <c r="P439" s="28">
        <f t="shared" si="437"/>
        <v>15500</v>
      </c>
      <c r="Q439" s="29">
        <f t="shared" si="322"/>
        <v>6.7032258064516126E-2</v>
      </c>
      <c r="R439" s="20">
        <f t="shared" si="440"/>
        <v>73</v>
      </c>
      <c r="S439" s="20">
        <f t="shared" si="443"/>
        <v>9717</v>
      </c>
      <c r="T439" s="20">
        <v>2453</v>
      </c>
      <c r="U439" s="20">
        <v>308</v>
      </c>
      <c r="V439" s="19">
        <f t="shared" si="316"/>
        <v>0.18773709007322281</v>
      </c>
      <c r="W439" s="20">
        <f t="shared" ref="W439:X439" si="578">T439-T438</f>
        <v>-159</v>
      </c>
      <c r="X439" s="20">
        <f t="shared" si="578"/>
        <v>-30</v>
      </c>
      <c r="Y439" s="19">
        <f t="shared" si="476"/>
        <v>1.6385339362888843E-2</v>
      </c>
      <c r="Z439" s="19">
        <f t="shared" si="477"/>
        <v>0.12556053811659193</v>
      </c>
      <c r="AA439" s="21">
        <f t="shared" si="348"/>
        <v>0.74096060442525635</v>
      </c>
      <c r="AB439" s="26">
        <f t="shared" si="364"/>
        <v>0.69041748846796913</v>
      </c>
      <c r="AC439" s="23">
        <f t="shared" si="331"/>
        <v>980.71428571428567</v>
      </c>
      <c r="AD439" s="23">
        <f t="shared" si="360"/>
        <v>87.142857142857139</v>
      </c>
      <c r="AE439" s="23">
        <f t="shared" si="332"/>
        <v>15945.285714285714</v>
      </c>
      <c r="AF439" s="25">
        <f t="shared" si="339"/>
        <v>6.3874459268173298E-2</v>
      </c>
      <c r="AG439" s="20">
        <v>4554679</v>
      </c>
      <c r="AH439" s="21">
        <f t="shared" si="449"/>
        <v>71081</v>
      </c>
      <c r="AI439" s="21">
        <f t="shared" si="431"/>
        <v>41836.714285714283</v>
      </c>
      <c r="AJ439" s="20">
        <v>2656671</v>
      </c>
      <c r="AK439" s="20">
        <f t="shared" si="533"/>
        <v>29814</v>
      </c>
      <c r="AL439" s="21">
        <f t="shared" si="464"/>
        <v>29152.571428571428</v>
      </c>
      <c r="AM439" s="26">
        <f t="shared" si="353"/>
        <v>8212.7142857142862</v>
      </c>
    </row>
    <row r="440" spans="1:39" ht="16">
      <c r="A440" s="30">
        <v>44332</v>
      </c>
      <c r="B440" s="20">
        <f t="shared" si="491"/>
        <v>798147</v>
      </c>
      <c r="C440" s="20">
        <v>718</v>
      </c>
      <c r="D440" s="20">
        <v>29175</v>
      </c>
      <c r="E440" s="20">
        <v>625088</v>
      </c>
      <c r="F440" s="20">
        <v>5638662</v>
      </c>
      <c r="G440" s="17">
        <f t="shared" si="204"/>
        <v>575373.67346938769</v>
      </c>
      <c r="H440" s="20"/>
      <c r="I440" s="19">
        <f t="shared" si="234"/>
        <v>9.0039364006074527E-4</v>
      </c>
      <c r="J440" s="19">
        <f t="shared" si="231"/>
        <v>0.14154900577477422</v>
      </c>
      <c r="K440" s="19">
        <f t="shared" si="232"/>
        <v>2.8145939166641177E-3</v>
      </c>
      <c r="L440" s="20">
        <v>143884</v>
      </c>
      <c r="M440" s="19">
        <f t="shared" si="235"/>
        <v>3.6553416851782941E-2</v>
      </c>
      <c r="N440" s="19">
        <f t="shared" si="236"/>
        <v>0.78317402683966741</v>
      </c>
      <c r="O440" s="20">
        <v>17043</v>
      </c>
      <c r="P440" s="28">
        <f t="shared" si="437"/>
        <v>15826</v>
      </c>
      <c r="Q440" s="29">
        <f t="shared" si="322"/>
        <v>4.5368381144951349E-2</v>
      </c>
      <c r="R440" s="20">
        <f t="shared" si="440"/>
        <v>61</v>
      </c>
      <c r="S440" s="20">
        <f t="shared" si="443"/>
        <v>6480</v>
      </c>
      <c r="T440" s="20">
        <v>2270</v>
      </c>
      <c r="U440" s="20">
        <v>261</v>
      </c>
      <c r="V440" s="19">
        <f t="shared" si="316"/>
        <v>0.18027255630854969</v>
      </c>
      <c r="W440" s="20">
        <f t="shared" ref="W440:X440" si="579">T440-T439</f>
        <v>-183</v>
      </c>
      <c r="X440" s="20">
        <f t="shared" si="579"/>
        <v>-47</v>
      </c>
      <c r="Y440" s="19">
        <f t="shared" si="476"/>
        <v>1.5776597814906451E-2</v>
      </c>
      <c r="Z440" s="19">
        <f t="shared" si="477"/>
        <v>0.11497797356828193</v>
      </c>
      <c r="AA440" s="21">
        <f t="shared" si="348"/>
        <v>0.7301803334467506</v>
      </c>
      <c r="AB440" s="26">
        <f t="shared" si="364"/>
        <v>0.7005483583809865</v>
      </c>
      <c r="AC440" s="23">
        <f t="shared" si="331"/>
        <v>919.71428571428567</v>
      </c>
      <c r="AD440" s="23">
        <f t="shared" si="360"/>
        <v>81.857142857142861</v>
      </c>
      <c r="AE440" s="23">
        <f t="shared" si="332"/>
        <v>15774.571428571429</v>
      </c>
      <c r="AF440" s="25">
        <f t="shared" si="339"/>
        <v>6.0745678983887642E-2</v>
      </c>
      <c r="AG440" s="20">
        <v>4600012</v>
      </c>
      <c r="AH440" s="21">
        <f t="shared" si="449"/>
        <v>45333</v>
      </c>
      <c r="AI440" s="21">
        <f t="shared" si="431"/>
        <v>44481.571428571428</v>
      </c>
      <c r="AJ440" s="20">
        <v>2701789</v>
      </c>
      <c r="AK440" s="20">
        <f t="shared" si="533"/>
        <v>45118</v>
      </c>
      <c r="AL440" s="21">
        <f t="shared" si="464"/>
        <v>30524.428571428572</v>
      </c>
      <c r="AM440" s="26">
        <f t="shared" si="353"/>
        <v>8108.4285714285716</v>
      </c>
    </row>
    <row r="441" spans="1:39" ht="16">
      <c r="A441" s="30">
        <v>44333</v>
      </c>
      <c r="B441" s="20">
        <f t="shared" si="491"/>
        <v>798573</v>
      </c>
      <c r="C441" s="20">
        <v>426</v>
      </c>
      <c r="D441" s="20">
        <v>29213</v>
      </c>
      <c r="E441" s="20">
        <v>630976</v>
      </c>
      <c r="F441" s="20">
        <v>5649027</v>
      </c>
      <c r="G441" s="17">
        <f t="shared" si="204"/>
        <v>576431.32653061219</v>
      </c>
      <c r="H441" s="20"/>
      <c r="I441" s="19">
        <f t="shared" si="234"/>
        <v>5.3373626662757607E-4</v>
      </c>
      <c r="J441" s="19">
        <f t="shared" si="231"/>
        <v>0.14136469873484406</v>
      </c>
      <c r="K441" s="19">
        <f t="shared" si="232"/>
        <v>1.8382020415481546E-3</v>
      </c>
      <c r="L441" s="20">
        <v>138384</v>
      </c>
      <c r="M441" s="19">
        <f t="shared" si="235"/>
        <v>3.6581502254646729E-2</v>
      </c>
      <c r="N441" s="19">
        <f t="shared" si="236"/>
        <v>0.79012939330530829</v>
      </c>
      <c r="O441" s="20">
        <v>16297</v>
      </c>
      <c r="P441" s="28">
        <f t="shared" si="437"/>
        <v>10365</v>
      </c>
      <c r="Q441" s="29">
        <f t="shared" si="322"/>
        <v>4.1099855282199713E-2</v>
      </c>
      <c r="R441" s="20">
        <f t="shared" si="440"/>
        <v>38</v>
      </c>
      <c r="S441" s="20">
        <f t="shared" si="443"/>
        <v>5888</v>
      </c>
      <c r="T441" s="20">
        <v>2259</v>
      </c>
      <c r="U441" s="20">
        <v>258</v>
      </c>
      <c r="V441" s="19">
        <f t="shared" si="316"/>
        <v>0.17328910444004492</v>
      </c>
      <c r="W441" s="20">
        <f t="shared" ref="W441:X441" si="580">T441-T440</f>
        <v>-11</v>
      </c>
      <c r="X441" s="20">
        <f t="shared" si="580"/>
        <v>-3</v>
      </c>
      <c r="Y441" s="19">
        <f t="shared" si="476"/>
        <v>1.6324141519250782E-2</v>
      </c>
      <c r="Z441" s="19">
        <f t="shared" si="477"/>
        <v>0.11420982735723771</v>
      </c>
      <c r="AA441" s="21">
        <f t="shared" si="348"/>
        <v>0.74767371601208454</v>
      </c>
      <c r="AB441" s="26">
        <f t="shared" si="364"/>
        <v>0.71396054388607055</v>
      </c>
      <c r="AC441" s="23">
        <f t="shared" si="331"/>
        <v>883.85714285714289</v>
      </c>
      <c r="AD441" s="23">
        <f t="shared" si="360"/>
        <v>74.285714285714292</v>
      </c>
      <c r="AE441" s="23">
        <f t="shared" si="332"/>
        <v>15747.857142857143</v>
      </c>
      <c r="AF441" s="25">
        <f t="shared" si="339"/>
        <v>5.7451593542235023E-2</v>
      </c>
      <c r="AG441" s="20">
        <v>4639299</v>
      </c>
      <c r="AH441" s="21">
        <f t="shared" si="449"/>
        <v>39287</v>
      </c>
      <c r="AI441" s="21">
        <f t="shared" si="431"/>
        <v>47646.285714285717</v>
      </c>
      <c r="AJ441" s="20">
        <v>2727165</v>
      </c>
      <c r="AK441" s="20">
        <f t="shared" si="533"/>
        <v>25376</v>
      </c>
      <c r="AL441" s="21">
        <f t="shared" si="464"/>
        <v>31941.428571428572</v>
      </c>
      <c r="AM441" s="26">
        <f t="shared" si="353"/>
        <v>7909.4285714285716</v>
      </c>
    </row>
    <row r="442" spans="1:39" ht="16">
      <c r="A442" s="30">
        <v>44334</v>
      </c>
      <c r="B442" s="20">
        <f t="shared" si="491"/>
        <v>798955</v>
      </c>
      <c r="C442" s="20">
        <v>382</v>
      </c>
      <c r="D442" s="20">
        <v>29277</v>
      </c>
      <c r="E442" s="20">
        <v>640964</v>
      </c>
      <c r="F442" s="20">
        <v>5656131</v>
      </c>
      <c r="G442" s="17">
        <f t="shared" si="204"/>
        <v>577156.22448979586</v>
      </c>
      <c r="H442" s="20"/>
      <c r="I442" s="19">
        <f t="shared" si="234"/>
        <v>4.7835326263222022E-4</v>
      </c>
      <c r="J442" s="19">
        <f t="shared" si="231"/>
        <v>0.14125468451844556</v>
      </c>
      <c r="K442" s="19">
        <f t="shared" si="232"/>
        <v>1.2575617004485905E-3</v>
      </c>
      <c r="L442" s="20">
        <v>128714</v>
      </c>
      <c r="M442" s="19">
        <f t="shared" si="235"/>
        <v>3.6644116377017477E-2</v>
      </c>
      <c r="N442" s="19">
        <f t="shared" si="236"/>
        <v>0.80225294290667182</v>
      </c>
      <c r="O442" s="20">
        <v>16088</v>
      </c>
      <c r="P442" s="28">
        <f t="shared" si="437"/>
        <v>7104</v>
      </c>
      <c r="Q442" s="29">
        <f t="shared" si="322"/>
        <v>5.3772522522522521E-2</v>
      </c>
      <c r="R442" s="20">
        <f t="shared" si="440"/>
        <v>64</v>
      </c>
      <c r="S442" s="20">
        <f t="shared" si="443"/>
        <v>9988</v>
      </c>
      <c r="T442" s="20">
        <v>2197</v>
      </c>
      <c r="U442" s="20">
        <v>251</v>
      </c>
      <c r="V442" s="19">
        <f t="shared" si="316"/>
        <v>0.16110294071631068</v>
      </c>
      <c r="W442" s="20">
        <f t="shared" ref="W442:X442" si="581">T442-T441</f>
        <v>-62</v>
      </c>
      <c r="X442" s="20">
        <f t="shared" si="581"/>
        <v>-7</v>
      </c>
      <c r="Y442" s="19">
        <f t="shared" si="476"/>
        <v>1.7068850319312583E-2</v>
      </c>
      <c r="Z442" s="19">
        <f t="shared" si="477"/>
        <v>0.11424670004551661</v>
      </c>
      <c r="AA442" s="21">
        <f t="shared" si="348"/>
        <v>0.75553344939069889</v>
      </c>
      <c r="AB442" s="26">
        <f t="shared" si="364"/>
        <v>0.72718184574815026</v>
      </c>
      <c r="AC442" s="23">
        <f t="shared" si="331"/>
        <v>868</v>
      </c>
      <c r="AD442" s="23">
        <f t="shared" si="360"/>
        <v>69.285714285714292</v>
      </c>
      <c r="AE442" s="23">
        <f t="shared" si="332"/>
        <v>15832.285714285714</v>
      </c>
      <c r="AF442" s="25">
        <f t="shared" si="339"/>
        <v>5.431984471437841E-2</v>
      </c>
      <c r="AG442" s="20">
        <v>4714992</v>
      </c>
      <c r="AH442" s="21">
        <f t="shared" si="449"/>
        <v>75693</v>
      </c>
      <c r="AI442" s="21">
        <f t="shared" si="431"/>
        <v>52700.428571428572</v>
      </c>
      <c r="AJ442" s="20">
        <v>2749235</v>
      </c>
      <c r="AK442" s="20">
        <f t="shared" si="533"/>
        <v>22070</v>
      </c>
      <c r="AL442" s="21">
        <f t="shared" si="464"/>
        <v>31298.285714285714</v>
      </c>
      <c r="AM442" s="26">
        <f t="shared" si="353"/>
        <v>8166</v>
      </c>
    </row>
    <row r="443" spans="1:39" ht="16">
      <c r="A443" s="30">
        <v>44335</v>
      </c>
      <c r="B443" s="20">
        <f t="shared" si="491"/>
        <v>799588</v>
      </c>
      <c r="C443" s="20">
        <v>633</v>
      </c>
      <c r="D443" s="20">
        <v>29329</v>
      </c>
      <c r="E443" s="20">
        <v>648513</v>
      </c>
      <c r="F443" s="20">
        <v>5670793</v>
      </c>
      <c r="G443" s="17">
        <f t="shared" si="204"/>
        <v>578652.3469387755</v>
      </c>
      <c r="H443" s="20"/>
      <c r="I443" s="19">
        <f t="shared" si="234"/>
        <v>7.9228492217959709E-4</v>
      </c>
      <c r="J443" s="19">
        <f t="shared" si="231"/>
        <v>0.14100109102906772</v>
      </c>
      <c r="K443" s="19">
        <f t="shared" si="232"/>
        <v>2.5922313326901376E-3</v>
      </c>
      <c r="L443" s="20">
        <v>121746</v>
      </c>
      <c r="M443" s="19">
        <f t="shared" si="235"/>
        <v>3.6680140272240203E-2</v>
      </c>
      <c r="N443" s="19">
        <f t="shared" si="236"/>
        <v>0.81105894535685874</v>
      </c>
      <c r="O443" s="20">
        <v>16027</v>
      </c>
      <c r="P443" s="28">
        <f t="shared" si="437"/>
        <v>14662</v>
      </c>
      <c r="Q443" s="29">
        <f t="shared" si="322"/>
        <v>4.3172827717910242E-2</v>
      </c>
      <c r="R443" s="20">
        <f t="shared" si="440"/>
        <v>52</v>
      </c>
      <c r="S443" s="20">
        <f t="shared" si="443"/>
        <v>7549</v>
      </c>
      <c r="T443" s="20">
        <v>1908</v>
      </c>
      <c r="U443" s="20">
        <v>224</v>
      </c>
      <c r="V443" s="19">
        <f t="shared" si="316"/>
        <v>0.152260914370901</v>
      </c>
      <c r="W443" s="20">
        <f t="shared" ref="W443:X443" si="582">T443-T442</f>
        <v>-289</v>
      </c>
      <c r="X443" s="20">
        <f t="shared" si="582"/>
        <v>-27</v>
      </c>
      <c r="Y443" s="19">
        <f t="shared" si="476"/>
        <v>1.5671972795820808E-2</v>
      </c>
      <c r="Z443" s="19">
        <f t="shared" si="477"/>
        <v>0.11740041928721175</v>
      </c>
      <c r="AA443" s="21">
        <f t="shared" si="348"/>
        <v>0.74248432902648076</v>
      </c>
      <c r="AB443" s="26">
        <f t="shared" si="364"/>
        <v>0.73671625987305556</v>
      </c>
      <c r="AC443" s="23">
        <f t="shared" si="331"/>
        <v>829.14285714285711</v>
      </c>
      <c r="AD443" s="23">
        <f t="shared" si="360"/>
        <v>63</v>
      </c>
      <c r="AE443" s="23">
        <f t="shared" si="332"/>
        <v>15739.428571428571</v>
      </c>
      <c r="AF443" s="25">
        <f t="shared" si="339"/>
        <v>5.204396713952248E-2</v>
      </c>
      <c r="AG443" s="20">
        <v>4790996</v>
      </c>
      <c r="AH443" s="21">
        <f t="shared" si="449"/>
        <v>76004</v>
      </c>
      <c r="AI443" s="21">
        <f t="shared" si="431"/>
        <v>57028.857142857145</v>
      </c>
      <c r="AJ443" s="20">
        <v>2774416</v>
      </c>
      <c r="AK443" s="20">
        <f t="shared" si="533"/>
        <v>25181</v>
      </c>
      <c r="AL443" s="21">
        <f t="shared" si="464"/>
        <v>30767.857142857141</v>
      </c>
      <c r="AM443" s="26">
        <f t="shared" si="353"/>
        <v>8010.4285714285716</v>
      </c>
    </row>
    <row r="444" spans="1:39" ht="16">
      <c r="A444" s="30">
        <v>44336</v>
      </c>
      <c r="B444" s="20">
        <f t="shared" si="491"/>
        <v>800368</v>
      </c>
      <c r="C444" s="20">
        <v>780</v>
      </c>
      <c r="D444" s="20">
        <v>29380</v>
      </c>
      <c r="E444" s="20">
        <v>655959</v>
      </c>
      <c r="F444" s="20">
        <v>5687117</v>
      </c>
      <c r="G444" s="17">
        <f t="shared" si="204"/>
        <v>580318.06122448971</v>
      </c>
      <c r="H444" s="20"/>
      <c r="I444" s="19">
        <f t="shared" si="234"/>
        <v>9.7550238372761972E-4</v>
      </c>
      <c r="J444" s="19">
        <f t="shared" si="231"/>
        <v>0.14073352104414241</v>
      </c>
      <c r="K444" s="19">
        <f t="shared" si="232"/>
        <v>2.8786097464675573E-3</v>
      </c>
      <c r="L444" s="20">
        <v>115029</v>
      </c>
      <c r="M444" s="19">
        <f t="shared" si="235"/>
        <v>3.6708114267436982E-2</v>
      </c>
      <c r="N444" s="19">
        <f t="shared" si="236"/>
        <v>0.81957174699638169</v>
      </c>
      <c r="O444" s="20">
        <v>16210</v>
      </c>
      <c r="P444" s="28">
        <f t="shared" si="437"/>
        <v>16324</v>
      </c>
      <c r="Q444" s="29">
        <f t="shared" si="322"/>
        <v>4.7782406272972311E-2</v>
      </c>
      <c r="R444" s="20">
        <f t="shared" si="440"/>
        <v>51</v>
      </c>
      <c r="S444" s="20">
        <f t="shared" si="443"/>
        <v>7446</v>
      </c>
      <c r="T444" s="20">
        <v>1836</v>
      </c>
      <c r="U444" s="20">
        <v>212</v>
      </c>
      <c r="V444" s="19">
        <f t="shared" si="316"/>
        <v>0.14372013873618136</v>
      </c>
      <c r="W444" s="20">
        <f t="shared" ref="W444:X444" si="583">T444-T443</f>
        <v>-72</v>
      </c>
      <c r="X444" s="20">
        <f t="shared" si="583"/>
        <v>-12</v>
      </c>
      <c r="Y444" s="19">
        <f t="shared" si="476"/>
        <v>1.5961192394961271E-2</v>
      </c>
      <c r="Z444" s="19">
        <f t="shared" si="477"/>
        <v>0.11546840958605664</v>
      </c>
      <c r="AA444" s="21">
        <f t="shared" si="348"/>
        <v>0.68423143121938301</v>
      </c>
      <c r="AB444" s="26">
        <f t="shared" si="364"/>
        <v>0.73328206180376365</v>
      </c>
      <c r="AC444" s="23">
        <f t="shared" si="331"/>
        <v>738.28571428571433</v>
      </c>
      <c r="AD444" s="23">
        <f t="shared" si="360"/>
        <v>58.571428571428569</v>
      </c>
      <c r="AE444" s="23">
        <f t="shared" si="332"/>
        <v>14097.428571428571</v>
      </c>
      <c r="AF444" s="25">
        <f t="shared" si="339"/>
        <v>5.159826896722676E-2</v>
      </c>
      <c r="AG444" s="20">
        <v>4829595</v>
      </c>
      <c r="AH444" s="21">
        <f t="shared" si="449"/>
        <v>38599</v>
      </c>
      <c r="AI444" s="21">
        <f t="shared" si="431"/>
        <v>58404</v>
      </c>
      <c r="AJ444" s="20">
        <v>2814805</v>
      </c>
      <c r="AK444" s="20">
        <f t="shared" si="533"/>
        <v>40389</v>
      </c>
      <c r="AL444" s="21">
        <f t="shared" si="464"/>
        <v>32846.571428571428</v>
      </c>
      <c r="AM444" s="26">
        <f t="shared" si="353"/>
        <v>7928.2857142857147</v>
      </c>
    </row>
    <row r="445" spans="1:39" ht="16">
      <c r="A445" s="30">
        <v>44337</v>
      </c>
      <c r="B445" s="20">
        <f t="shared" si="491"/>
        <v>801025</v>
      </c>
      <c r="C445" s="20">
        <v>657</v>
      </c>
      <c r="D445" s="20">
        <v>29427</v>
      </c>
      <c r="E445" s="20">
        <v>661564</v>
      </c>
      <c r="F445" s="20">
        <v>5697748</v>
      </c>
      <c r="G445" s="17">
        <f t="shared" si="204"/>
        <v>581402.85714285704</v>
      </c>
      <c r="H445" s="20"/>
      <c r="I445" s="19">
        <f t="shared" si="234"/>
        <v>8.2087239869659955E-4</v>
      </c>
      <c r="J445" s="19">
        <f t="shared" si="231"/>
        <v>0.14058624565354594</v>
      </c>
      <c r="K445" s="19">
        <f t="shared" si="232"/>
        <v>1.8693126939361368E-3</v>
      </c>
      <c r="L445" s="20">
        <v>110034</v>
      </c>
      <c r="M445" s="19">
        <f t="shared" si="235"/>
        <v>3.6736681127305638E-2</v>
      </c>
      <c r="N445" s="19">
        <f t="shared" si="236"/>
        <v>0.8258968196997597</v>
      </c>
      <c r="O445" s="20">
        <v>16209</v>
      </c>
      <c r="P445" s="28">
        <f t="shared" si="437"/>
        <v>10631</v>
      </c>
      <c r="Q445" s="29">
        <f t="shared" si="322"/>
        <v>6.180039507101872E-2</v>
      </c>
      <c r="R445" s="20">
        <f t="shared" si="440"/>
        <v>47</v>
      </c>
      <c r="S445" s="20">
        <f t="shared" si="443"/>
        <v>5605</v>
      </c>
      <c r="T445" s="20">
        <v>1645</v>
      </c>
      <c r="U445" s="20">
        <v>195</v>
      </c>
      <c r="V445" s="19">
        <f t="shared" si="316"/>
        <v>0.13736649917293467</v>
      </c>
      <c r="W445" s="20">
        <f t="shared" ref="W445:X445" si="584">T445-T444</f>
        <v>-191</v>
      </c>
      <c r="X445" s="20">
        <f t="shared" si="584"/>
        <v>-17</v>
      </c>
      <c r="Y445" s="19">
        <f t="shared" si="476"/>
        <v>1.4949924568769653E-2</v>
      </c>
      <c r="Z445" s="19">
        <f t="shared" si="477"/>
        <v>0.11854103343465046</v>
      </c>
      <c r="AA445" s="21">
        <f t="shared" si="348"/>
        <v>0.64357123021382945</v>
      </c>
      <c r="AB445" s="26">
        <f t="shared" si="364"/>
        <v>0.72066215624778351</v>
      </c>
      <c r="AC445" s="23">
        <f t="shared" si="331"/>
        <v>662.14285714285711</v>
      </c>
      <c r="AD445" s="23">
        <f t="shared" si="360"/>
        <v>55.142857142857146</v>
      </c>
      <c r="AE445" s="23">
        <f t="shared" si="332"/>
        <v>12916</v>
      </c>
      <c r="AF445" s="25">
        <f t="shared" si="339"/>
        <v>5.1432663725155855E-2</v>
      </c>
      <c r="AG445" s="20">
        <v>4898866</v>
      </c>
      <c r="AH445" s="21">
        <f t="shared" si="449"/>
        <v>69271</v>
      </c>
      <c r="AI445" s="21">
        <f t="shared" si="431"/>
        <v>59324</v>
      </c>
      <c r="AJ445" s="20">
        <v>2886292</v>
      </c>
      <c r="AK445" s="20">
        <f t="shared" si="533"/>
        <v>71487</v>
      </c>
      <c r="AL445" s="21">
        <f t="shared" si="464"/>
        <v>37062.142857142855</v>
      </c>
      <c r="AM445" s="26">
        <f t="shared" si="353"/>
        <v>7524.7142857142853</v>
      </c>
    </row>
    <row r="446" spans="1:39" ht="16">
      <c r="A446" s="30">
        <v>44338</v>
      </c>
      <c r="B446" s="20">
        <f t="shared" si="491"/>
        <v>801672</v>
      </c>
      <c r="C446" s="20">
        <v>647</v>
      </c>
      <c r="D446" s="20">
        <v>29475</v>
      </c>
      <c r="E446" s="20">
        <v>665552</v>
      </c>
      <c r="F446" s="20">
        <v>5720398</v>
      </c>
      <c r="G446" s="17">
        <f t="shared" si="204"/>
        <v>583714.08163265302</v>
      </c>
      <c r="H446" s="20"/>
      <c r="I446" s="19">
        <f t="shared" si="234"/>
        <v>8.0771511500889485E-4</v>
      </c>
      <c r="J446" s="19">
        <f t="shared" si="231"/>
        <v>0.14014269636483337</v>
      </c>
      <c r="K446" s="19">
        <f t="shared" si="232"/>
        <v>3.9752547848729003E-3</v>
      </c>
      <c r="L446" s="20">
        <v>106645</v>
      </c>
      <c r="M446" s="19">
        <f t="shared" si="235"/>
        <v>3.6766907164027182E-2</v>
      </c>
      <c r="N446" s="19">
        <f t="shared" si="236"/>
        <v>0.83020487181790059</v>
      </c>
      <c r="O446" s="20">
        <v>15585</v>
      </c>
      <c r="P446" s="28">
        <f t="shared" si="437"/>
        <v>22650</v>
      </c>
      <c r="Q446" s="29">
        <f t="shared" si="322"/>
        <v>2.8565121412803533E-2</v>
      </c>
      <c r="R446" s="20">
        <f t="shared" si="440"/>
        <v>48</v>
      </c>
      <c r="S446" s="20">
        <f t="shared" si="443"/>
        <v>3988</v>
      </c>
      <c r="T446" s="20">
        <v>1500</v>
      </c>
      <c r="U446" s="20">
        <v>183</v>
      </c>
      <c r="V446" s="19">
        <f t="shared" si="316"/>
        <v>0.13302822101807224</v>
      </c>
      <c r="W446" s="20">
        <f t="shared" ref="W446:X446" si="585">T446-T445</f>
        <v>-145</v>
      </c>
      <c r="X446" s="20">
        <f t="shared" si="585"/>
        <v>-12</v>
      </c>
      <c r="Y446" s="19">
        <f t="shared" si="476"/>
        <v>1.4065357025645835E-2</v>
      </c>
      <c r="Z446" s="19">
        <f t="shared" si="477"/>
        <v>0.122</v>
      </c>
      <c r="AA446" s="21">
        <f t="shared" si="348"/>
        <v>0.61806263656227245</v>
      </c>
      <c r="AB446" s="26">
        <f t="shared" si="364"/>
        <v>0.7031053036959285</v>
      </c>
      <c r="AC446" s="23">
        <f t="shared" si="331"/>
        <v>606.14285714285711</v>
      </c>
      <c r="AD446" s="23">
        <f t="shared" si="360"/>
        <v>51.571428571428569</v>
      </c>
      <c r="AE446" s="23">
        <f t="shared" si="332"/>
        <v>13937.428571428571</v>
      </c>
      <c r="AF446" s="25">
        <f t="shared" si="339"/>
        <v>4.593735848919691E-2</v>
      </c>
      <c r="AG446" s="20">
        <v>4969321</v>
      </c>
      <c r="AH446" s="21">
        <f t="shared" si="449"/>
        <v>70455</v>
      </c>
      <c r="AI446" s="21">
        <f t="shared" si="431"/>
        <v>59234.571428571428</v>
      </c>
      <c r="AJ446" s="20">
        <v>2967350</v>
      </c>
      <c r="AK446" s="20">
        <f t="shared" si="533"/>
        <v>81058</v>
      </c>
      <c r="AL446" s="21">
        <f t="shared" si="464"/>
        <v>44382.714285714283</v>
      </c>
      <c r="AM446" s="26">
        <f t="shared" si="353"/>
        <v>6706.2857142857147</v>
      </c>
    </row>
    <row r="447" spans="1:39" ht="16">
      <c r="A447" s="30">
        <v>44339</v>
      </c>
      <c r="B447" s="20">
        <f t="shared" si="491"/>
        <v>802088</v>
      </c>
      <c r="C447" s="20">
        <v>416</v>
      </c>
      <c r="D447" s="20">
        <v>29519</v>
      </c>
      <c r="E447" s="20">
        <v>668820</v>
      </c>
      <c r="F447" s="20">
        <v>5734447</v>
      </c>
      <c r="G447" s="17">
        <f t="shared" ref="G447:G466" si="586">F447/9.8</f>
        <v>585147.6530612245</v>
      </c>
      <c r="H447" s="20"/>
      <c r="I447" s="19">
        <f t="shared" si="234"/>
        <v>5.1891546667464999E-4</v>
      </c>
      <c r="J447" s="19">
        <f t="shared" si="231"/>
        <v>0.13987190046398545</v>
      </c>
      <c r="K447" s="19">
        <f t="shared" si="232"/>
        <v>2.4559479952269057E-3</v>
      </c>
      <c r="L447" s="20">
        <v>103749</v>
      </c>
      <c r="M447" s="19">
        <f t="shared" si="235"/>
        <v>3.6802694966138381E-2</v>
      </c>
      <c r="N447" s="19">
        <f t="shared" si="236"/>
        <v>0.83384865501042282</v>
      </c>
      <c r="O447" s="20">
        <v>14220</v>
      </c>
      <c r="P447" s="28">
        <f t="shared" si="437"/>
        <v>14049</v>
      </c>
      <c r="Q447" s="29">
        <f t="shared" si="322"/>
        <v>2.9610648444729163E-2</v>
      </c>
      <c r="R447" s="20">
        <f t="shared" si="440"/>
        <v>44</v>
      </c>
      <c r="S447" s="20">
        <f t="shared" si="443"/>
        <v>3268</v>
      </c>
      <c r="T447" s="20">
        <v>1399</v>
      </c>
      <c r="U447" s="20">
        <v>185</v>
      </c>
      <c r="V447" s="19">
        <f t="shared" si="316"/>
        <v>0.12934865002343882</v>
      </c>
      <c r="W447" s="20">
        <f t="shared" ref="W447:X447" si="587">T447-T446</f>
        <v>-101</v>
      </c>
      <c r="X447" s="20">
        <f t="shared" si="587"/>
        <v>2</v>
      </c>
      <c r="Y447" s="19">
        <f t="shared" si="476"/>
        <v>1.3484467320166942E-2</v>
      </c>
      <c r="Z447" s="19">
        <f t="shared" si="477"/>
        <v>0.13223731236597569</v>
      </c>
      <c r="AA447" s="21">
        <f t="shared" si="348"/>
        <v>0.61214662938800868</v>
      </c>
      <c r="AB447" s="26">
        <f t="shared" si="364"/>
        <v>0.6862433459732511</v>
      </c>
      <c r="AC447" s="23">
        <f t="shared" si="331"/>
        <v>563</v>
      </c>
      <c r="AD447" s="23">
        <f t="shared" si="360"/>
        <v>49.142857142857146</v>
      </c>
      <c r="AE447" s="23">
        <f t="shared" si="332"/>
        <v>13683.571428571429</v>
      </c>
      <c r="AF447" s="25">
        <f t="shared" si="339"/>
        <v>4.3686253817736602E-2</v>
      </c>
      <c r="AG447" s="20">
        <v>5005682</v>
      </c>
      <c r="AH447" s="21">
        <f t="shared" si="449"/>
        <v>36361</v>
      </c>
      <c r="AI447" s="21">
        <f t="shared" si="431"/>
        <v>57952.857142857145</v>
      </c>
      <c r="AJ447" s="20">
        <v>3000989</v>
      </c>
      <c r="AK447" s="20">
        <f t="shared" si="533"/>
        <v>33639</v>
      </c>
      <c r="AL447" s="21">
        <f t="shared" si="464"/>
        <v>42742.857142857145</v>
      </c>
      <c r="AM447" s="26">
        <f t="shared" si="353"/>
        <v>6247.4285714285716</v>
      </c>
    </row>
    <row r="448" spans="1:39" ht="16">
      <c r="A448" s="30">
        <v>44340</v>
      </c>
      <c r="B448" s="20">
        <f t="shared" si="491"/>
        <v>802346</v>
      </c>
      <c r="C448" s="20">
        <v>258</v>
      </c>
      <c r="D448" s="20">
        <v>29560</v>
      </c>
      <c r="E448" s="20">
        <v>670205</v>
      </c>
      <c r="F448" s="20">
        <v>5743991</v>
      </c>
      <c r="G448" s="17">
        <f t="shared" si="586"/>
        <v>586121.53061224485</v>
      </c>
      <c r="H448" s="20"/>
      <c r="I448" s="19">
        <f t="shared" si="234"/>
        <v>3.2166046618326168E-4</v>
      </c>
      <c r="J448" s="19">
        <f t="shared" si="231"/>
        <v>0.1396844110654073</v>
      </c>
      <c r="K448" s="19">
        <f t="shared" si="232"/>
        <v>1.6643278767769587E-3</v>
      </c>
      <c r="L448" s="20">
        <v>102581</v>
      </c>
      <c r="M448" s="19">
        <f t="shared" si="235"/>
        <v>3.6841960949515543E-2</v>
      </c>
      <c r="N448" s="19">
        <f t="shared" si="236"/>
        <v>0.83530671306394</v>
      </c>
      <c r="O448" s="20">
        <v>13211</v>
      </c>
      <c r="P448" s="28">
        <f t="shared" si="437"/>
        <v>9544</v>
      </c>
      <c r="Q448" s="29">
        <f t="shared" si="322"/>
        <v>2.7032690695725062E-2</v>
      </c>
      <c r="R448" s="20">
        <f t="shared" si="440"/>
        <v>41</v>
      </c>
      <c r="S448" s="20">
        <f t="shared" si="443"/>
        <v>1385</v>
      </c>
      <c r="T448" s="20">
        <v>1420</v>
      </c>
      <c r="U448" s="20">
        <v>169</v>
      </c>
      <c r="V448" s="19">
        <f t="shared" si="316"/>
        <v>0.12785132598654445</v>
      </c>
      <c r="W448" s="20">
        <f t="shared" ref="W448:X448" si="588">T448-T447</f>
        <v>21</v>
      </c>
      <c r="X448" s="20">
        <f t="shared" si="588"/>
        <v>-16</v>
      </c>
      <c r="Y448" s="19">
        <f t="shared" si="476"/>
        <v>1.3842719411976876E-2</v>
      </c>
      <c r="Z448" s="19">
        <f t="shared" si="477"/>
        <v>0.11901408450704225</v>
      </c>
      <c r="AA448" s="21">
        <f t="shared" si="348"/>
        <v>0.60982705673185711</v>
      </c>
      <c r="AB448" s="26">
        <f t="shared" si="364"/>
        <v>0.66655096607607567</v>
      </c>
      <c r="AC448" s="23">
        <f t="shared" si="331"/>
        <v>539</v>
      </c>
      <c r="AD448" s="23">
        <f t="shared" si="360"/>
        <v>49.571428571428569</v>
      </c>
      <c r="AE448" s="23">
        <f t="shared" si="332"/>
        <v>13566.285714285714</v>
      </c>
      <c r="AF448" s="25">
        <f t="shared" si="339"/>
        <v>4.1676658876811656E-2</v>
      </c>
      <c r="AG448" s="20">
        <v>5023145</v>
      </c>
      <c r="AH448" s="21">
        <f t="shared" si="449"/>
        <v>17463</v>
      </c>
      <c r="AI448" s="21">
        <f t="shared" si="431"/>
        <v>54835.142857142855</v>
      </c>
      <c r="AJ448" s="20">
        <v>3012483</v>
      </c>
      <c r="AK448" s="20">
        <f t="shared" si="533"/>
        <v>11494</v>
      </c>
      <c r="AL448" s="21">
        <f t="shared" si="464"/>
        <v>40759.714285714283</v>
      </c>
      <c r="AM448" s="26">
        <f t="shared" si="353"/>
        <v>5604.1428571428569</v>
      </c>
    </row>
    <row r="449" spans="1:39" ht="16">
      <c r="A449" s="30">
        <v>44341</v>
      </c>
      <c r="B449" s="20">
        <f t="shared" si="491"/>
        <v>802510</v>
      </c>
      <c r="C449" s="20">
        <v>164</v>
      </c>
      <c r="D449" s="20">
        <v>29581</v>
      </c>
      <c r="E449" s="20">
        <v>671392</v>
      </c>
      <c r="F449" s="20">
        <v>5750359</v>
      </c>
      <c r="G449" s="17">
        <f t="shared" si="586"/>
        <v>586771.32653061219</v>
      </c>
      <c r="H449" s="20"/>
      <c r="I449" s="19">
        <f t="shared" si="234"/>
        <v>2.0440059525441643E-4</v>
      </c>
      <c r="J449" s="19">
        <f t="shared" si="231"/>
        <v>0.13955824323316163</v>
      </c>
      <c r="K449" s="19">
        <f t="shared" si="232"/>
        <v>1.1086368345632853E-3</v>
      </c>
      <c r="L449" s="20">
        <v>101537</v>
      </c>
      <c r="M449" s="19">
        <f t="shared" si="235"/>
        <v>3.6860599867914422E-2</v>
      </c>
      <c r="N449" s="19">
        <f t="shared" si="236"/>
        <v>0.83661512006080918</v>
      </c>
      <c r="O449" s="20">
        <v>12376</v>
      </c>
      <c r="P449" s="28">
        <f t="shared" si="437"/>
        <v>6368</v>
      </c>
      <c r="Q449" s="29">
        <f t="shared" si="322"/>
        <v>2.5753768844221106E-2</v>
      </c>
      <c r="R449" s="20">
        <f t="shared" si="440"/>
        <v>21</v>
      </c>
      <c r="S449" s="20">
        <f t="shared" si="443"/>
        <v>1187</v>
      </c>
      <c r="T449" s="20">
        <v>1417</v>
      </c>
      <c r="U449" s="20">
        <v>159</v>
      </c>
      <c r="V449" s="19">
        <f t="shared" si="316"/>
        <v>0.12652428007127636</v>
      </c>
      <c r="W449" s="20">
        <f t="shared" ref="W449:X449" si="589">T449-T448</f>
        <v>-3</v>
      </c>
      <c r="X449" s="20">
        <f t="shared" si="589"/>
        <v>-10</v>
      </c>
      <c r="Y449" s="19">
        <f t="shared" si="476"/>
        <v>1.3955503904980451E-2</v>
      </c>
      <c r="Z449" s="19">
        <f t="shared" si="477"/>
        <v>0.11220889202540579</v>
      </c>
      <c r="AA449" s="21">
        <f t="shared" si="348"/>
        <v>0.58508887425938116</v>
      </c>
      <c r="AB449" s="26">
        <f t="shared" si="364"/>
        <v>0.64220174105731609</v>
      </c>
      <c r="AC449" s="23">
        <f t="shared" si="331"/>
        <v>507.85714285714283</v>
      </c>
      <c r="AD449" s="23">
        <f t="shared" si="360"/>
        <v>43.428571428571431</v>
      </c>
      <c r="AE449" s="23">
        <f t="shared" si="332"/>
        <v>13461.142857142857</v>
      </c>
      <c r="AF449" s="25">
        <f t="shared" si="339"/>
        <v>3.7673979779911444E-2</v>
      </c>
      <c r="AG449" s="20">
        <v>5026529</v>
      </c>
      <c r="AH449" s="21">
        <f t="shared" si="449"/>
        <v>3384</v>
      </c>
      <c r="AI449" s="21">
        <f t="shared" si="431"/>
        <v>44505.285714285717</v>
      </c>
      <c r="AJ449" s="20">
        <v>3072940</v>
      </c>
      <c r="AK449" s="20">
        <f t="shared" si="533"/>
        <v>60457</v>
      </c>
      <c r="AL449" s="21">
        <f t="shared" si="464"/>
        <v>46243.571428571428</v>
      </c>
      <c r="AM449" s="26">
        <f t="shared" si="353"/>
        <v>4346.8571428571431</v>
      </c>
    </row>
    <row r="450" spans="1:39" ht="16">
      <c r="A450" s="30">
        <v>44342</v>
      </c>
      <c r="B450" s="20">
        <f t="shared" si="491"/>
        <v>802723</v>
      </c>
      <c r="C450" s="20">
        <v>213</v>
      </c>
      <c r="D450" s="20">
        <v>29622</v>
      </c>
      <c r="E450" s="20">
        <v>675082</v>
      </c>
      <c r="F450" s="20">
        <v>5756599</v>
      </c>
      <c r="G450" s="17">
        <f t="shared" si="586"/>
        <v>587408.06122448971</v>
      </c>
      <c r="H450" s="20"/>
      <c r="I450" s="19">
        <f t="shared" si="234"/>
        <v>2.654172533675593E-4</v>
      </c>
      <c r="J450" s="19">
        <f t="shared" si="231"/>
        <v>0.13944396682833041</v>
      </c>
      <c r="K450" s="19">
        <f t="shared" si="232"/>
        <v>1.0851496402224626E-3</v>
      </c>
      <c r="L450" s="20">
        <v>98019</v>
      </c>
      <c r="M450" s="19">
        <f t="shared" si="235"/>
        <v>3.6901895174300474E-2</v>
      </c>
      <c r="N450" s="19">
        <f t="shared" si="236"/>
        <v>0.84098998035436878</v>
      </c>
      <c r="O450" s="20">
        <v>11878</v>
      </c>
      <c r="P450" s="28">
        <f t="shared" si="437"/>
        <v>6240</v>
      </c>
      <c r="Q450" s="29">
        <f t="shared" si="322"/>
        <v>3.4134615384615381E-2</v>
      </c>
      <c r="R450" s="20">
        <f t="shared" si="440"/>
        <v>41</v>
      </c>
      <c r="S450" s="20">
        <f t="shared" si="443"/>
        <v>3690</v>
      </c>
      <c r="T450" s="20">
        <v>1373</v>
      </c>
      <c r="U450" s="20">
        <v>148</v>
      </c>
      <c r="V450" s="19">
        <f t="shared" si="316"/>
        <v>0.12210812447133071</v>
      </c>
      <c r="W450" s="20">
        <f t="shared" ref="W450:X450" si="590">T450-T449</f>
        <v>-44</v>
      </c>
      <c r="X450" s="20">
        <f t="shared" si="590"/>
        <v>-11</v>
      </c>
      <c r="Y450" s="19">
        <f t="shared" si="476"/>
        <v>1.4007488344096554E-2</v>
      </c>
      <c r="Z450" s="19">
        <f t="shared" si="477"/>
        <v>0.10779315367807721</v>
      </c>
      <c r="AA450" s="21">
        <f t="shared" si="348"/>
        <v>0.54014472777394895</v>
      </c>
      <c r="AB450" s="26">
        <f t="shared" si="364"/>
        <v>0.6132960837355258</v>
      </c>
      <c r="AC450" s="23">
        <f t="shared" si="331"/>
        <v>447.85714285714283</v>
      </c>
      <c r="AD450" s="23">
        <f t="shared" si="360"/>
        <v>41.857142857142854</v>
      </c>
      <c r="AE450" s="23">
        <f t="shared" si="332"/>
        <v>12258</v>
      </c>
      <c r="AF450" s="25">
        <f t="shared" si="339"/>
        <v>3.6382806589440757E-2</v>
      </c>
      <c r="AG450" s="20">
        <v>5040222</v>
      </c>
      <c r="AH450" s="21">
        <f t="shared" si="449"/>
        <v>13693</v>
      </c>
      <c r="AI450" s="21">
        <f t="shared" si="431"/>
        <v>35603.714285714283</v>
      </c>
      <c r="AJ450" s="20">
        <v>3196604</v>
      </c>
      <c r="AK450" s="20">
        <f t="shared" si="533"/>
        <v>123664</v>
      </c>
      <c r="AL450" s="21">
        <f t="shared" si="464"/>
        <v>60312.571428571428</v>
      </c>
      <c r="AM450" s="26">
        <f t="shared" si="353"/>
        <v>3795.5714285714284</v>
      </c>
    </row>
    <row r="451" spans="1:39" ht="16">
      <c r="A451" s="30">
        <v>44343</v>
      </c>
      <c r="B451" s="20">
        <f t="shared" si="491"/>
        <v>803119</v>
      </c>
      <c r="C451" s="20">
        <v>396</v>
      </c>
      <c r="D451" s="20">
        <v>29654</v>
      </c>
      <c r="E451" s="20">
        <v>682301</v>
      </c>
      <c r="F451" s="20">
        <v>5771058</v>
      </c>
      <c r="G451" s="17">
        <f t="shared" si="586"/>
        <v>588883.46938775503</v>
      </c>
      <c r="H451" s="20"/>
      <c r="I451" s="19">
        <f t="shared" si="234"/>
        <v>4.9332085912575068E-4</v>
      </c>
      <c r="J451" s="19">
        <f t="shared" si="231"/>
        <v>0.13916321755906802</v>
      </c>
      <c r="K451" s="19">
        <f t="shared" si="232"/>
        <v>2.5117261077243699E-3</v>
      </c>
      <c r="L451" s="20">
        <v>91164</v>
      </c>
      <c r="M451" s="19">
        <f t="shared" si="235"/>
        <v>3.6923544331537418E-2</v>
      </c>
      <c r="N451" s="19">
        <f t="shared" si="236"/>
        <v>0.84956401230701806</v>
      </c>
      <c r="O451" s="20">
        <v>11432</v>
      </c>
      <c r="P451" s="28">
        <f t="shared" si="437"/>
        <v>14459</v>
      </c>
      <c r="Q451" s="29">
        <f t="shared" si="322"/>
        <v>2.7387786153952556E-2</v>
      </c>
      <c r="R451" s="20">
        <f t="shared" si="440"/>
        <v>32</v>
      </c>
      <c r="S451" s="20">
        <f t="shared" si="443"/>
        <v>7219</v>
      </c>
      <c r="T451" s="20">
        <v>1215</v>
      </c>
      <c r="U451" s="20">
        <v>136</v>
      </c>
      <c r="V451" s="19">
        <f t="shared" si="316"/>
        <v>0.11351244336144457</v>
      </c>
      <c r="W451" s="20">
        <f t="shared" ref="W451:X451" si="591">T451-T450</f>
        <v>-158</v>
      </c>
      <c r="X451" s="20">
        <f t="shared" si="591"/>
        <v>-12</v>
      </c>
      <c r="Y451" s="19">
        <f t="shared" si="476"/>
        <v>1.3327629327366065E-2</v>
      </c>
      <c r="Z451" s="19">
        <f t="shared" si="477"/>
        <v>0.11193415637860082</v>
      </c>
      <c r="AA451" s="21">
        <f t="shared" si="348"/>
        <v>0.5323142414860681</v>
      </c>
      <c r="AB451" s="26">
        <f t="shared" si="364"/>
        <v>0.59159362805933802</v>
      </c>
      <c r="AC451" s="23">
        <f t="shared" si="331"/>
        <v>393</v>
      </c>
      <c r="AD451" s="23">
        <f t="shared" si="360"/>
        <v>39.142857142857146</v>
      </c>
      <c r="AE451" s="23">
        <f t="shared" si="332"/>
        <v>11991.571428571429</v>
      </c>
      <c r="AF451" s="25">
        <f t="shared" si="339"/>
        <v>3.3469289429580787E-2</v>
      </c>
      <c r="AG451" s="20">
        <v>5056262</v>
      </c>
      <c r="AH451" s="21">
        <f t="shared" si="449"/>
        <v>16040</v>
      </c>
      <c r="AI451" s="21">
        <f t="shared" si="431"/>
        <v>32381</v>
      </c>
      <c r="AJ451" s="20">
        <v>3328047</v>
      </c>
      <c r="AK451" s="20">
        <f t="shared" si="533"/>
        <v>131443</v>
      </c>
      <c r="AL451" s="21">
        <f t="shared" si="464"/>
        <v>73320.28571428571</v>
      </c>
      <c r="AM451" s="26">
        <f t="shared" si="353"/>
        <v>3763.1428571428573</v>
      </c>
    </row>
    <row r="452" spans="1:39" ht="16">
      <c r="A452" s="30">
        <v>44344</v>
      </c>
      <c r="B452" s="20">
        <f t="shared" si="491"/>
        <v>803567</v>
      </c>
      <c r="C452" s="20">
        <v>448</v>
      </c>
      <c r="D452" s="20">
        <v>29682</v>
      </c>
      <c r="E452" s="20">
        <v>689166</v>
      </c>
      <c r="F452" s="20">
        <v>5786609</v>
      </c>
      <c r="G452" s="17">
        <f t="shared" si="586"/>
        <v>590470.30612244899</v>
      </c>
      <c r="H452" s="20"/>
      <c r="I452" s="19">
        <f t="shared" si="234"/>
        <v>5.5782517908305E-4</v>
      </c>
      <c r="J452" s="19">
        <f t="shared" si="231"/>
        <v>0.1388666488439084</v>
      </c>
      <c r="K452" s="19">
        <f t="shared" si="232"/>
        <v>2.6946532161000636E-3</v>
      </c>
      <c r="L452" s="20">
        <v>84719</v>
      </c>
      <c r="M452" s="19">
        <f t="shared" si="235"/>
        <v>3.6937803568339665E-2</v>
      </c>
      <c r="N452" s="19">
        <f t="shared" si="236"/>
        <v>0.85763352651365721</v>
      </c>
      <c r="O452" s="20">
        <v>10790</v>
      </c>
      <c r="P452" s="28">
        <f t="shared" si="437"/>
        <v>15551</v>
      </c>
      <c r="Q452" s="29">
        <f t="shared" si="322"/>
        <v>2.8808436756478682E-2</v>
      </c>
      <c r="R452" s="20">
        <f t="shared" si="440"/>
        <v>28</v>
      </c>
      <c r="S452" s="20">
        <f t="shared" si="443"/>
        <v>6865</v>
      </c>
      <c r="T452" s="20">
        <f>999+U452</f>
        <v>1120</v>
      </c>
      <c r="U452" s="20">
        <v>121</v>
      </c>
      <c r="V452" s="19">
        <f t="shared" si="316"/>
        <v>0.10542866991800311</v>
      </c>
      <c r="W452" s="20">
        <f t="shared" ref="W452:X452" si="592">T452-T451</f>
        <v>-95</v>
      </c>
      <c r="X452" s="20">
        <f t="shared" si="592"/>
        <v>-15</v>
      </c>
      <c r="Y452" s="19">
        <f t="shared" si="476"/>
        <v>1.3220174931243287E-2</v>
      </c>
      <c r="Z452" s="19">
        <f t="shared" si="477"/>
        <v>0.10803571428571429</v>
      </c>
      <c r="AA452" s="21">
        <f t="shared" si="348"/>
        <v>0.54843581445523193</v>
      </c>
      <c r="AB452" s="26">
        <f t="shared" si="364"/>
        <v>0.57800285437953836</v>
      </c>
      <c r="AC452" s="23">
        <f t="shared" si="331"/>
        <v>363.14285714285717</v>
      </c>
      <c r="AD452" s="23">
        <f t="shared" si="360"/>
        <v>36.428571428571431</v>
      </c>
      <c r="AE452" s="23">
        <f t="shared" si="332"/>
        <v>12694.428571428571</v>
      </c>
      <c r="AF452" s="25">
        <f t="shared" si="339"/>
        <v>2.8756152527503642E-2</v>
      </c>
      <c r="AG452" s="20">
        <v>5084642</v>
      </c>
      <c r="AH452" s="21">
        <f t="shared" si="449"/>
        <v>28380</v>
      </c>
      <c r="AI452" s="21">
        <f t="shared" si="431"/>
        <v>26539.428571428572</v>
      </c>
      <c r="AJ452" s="20">
        <v>3445557</v>
      </c>
      <c r="AK452" s="20">
        <f t="shared" si="533"/>
        <v>117510</v>
      </c>
      <c r="AL452" s="21">
        <f t="shared" si="464"/>
        <v>79895</v>
      </c>
      <c r="AM452" s="26">
        <f t="shared" si="353"/>
        <v>3943.1428571428573</v>
      </c>
    </row>
    <row r="453" spans="1:39" ht="16">
      <c r="A453" s="30">
        <v>44345</v>
      </c>
      <c r="B453" s="20">
        <f t="shared" si="491"/>
        <v>804032</v>
      </c>
      <c r="C453" s="20">
        <v>465</v>
      </c>
      <c r="D453" s="20">
        <v>29709</v>
      </c>
      <c r="E453" s="20">
        <v>692248</v>
      </c>
      <c r="F453" s="20">
        <v>5801554</v>
      </c>
      <c r="G453" s="17">
        <f t="shared" si="586"/>
        <v>591995.30612244899</v>
      </c>
      <c r="H453" s="20"/>
      <c r="I453" s="19">
        <f t="shared" si="234"/>
        <v>5.7866985578053853E-4</v>
      </c>
      <c r="J453" s="19">
        <f t="shared" si="231"/>
        <v>0.13858907458243083</v>
      </c>
      <c r="K453" s="19">
        <f t="shared" si="232"/>
        <v>2.5826870279294836E-3</v>
      </c>
      <c r="L453" s="20">
        <v>82075</v>
      </c>
      <c r="M453" s="19">
        <f t="shared" si="235"/>
        <v>3.6950021889676034E-2</v>
      </c>
      <c r="N453" s="19">
        <f t="shared" si="236"/>
        <v>0.86097070763352701</v>
      </c>
      <c r="O453" s="20">
        <v>10302</v>
      </c>
      <c r="P453" s="28">
        <f t="shared" si="437"/>
        <v>14945</v>
      </c>
      <c r="Q453" s="29">
        <f t="shared" si="322"/>
        <v>3.1114084978253596E-2</v>
      </c>
      <c r="R453" s="20">
        <f t="shared" si="440"/>
        <v>27</v>
      </c>
      <c r="S453" s="20">
        <f t="shared" si="443"/>
        <v>3082</v>
      </c>
      <c r="T453" s="20">
        <v>1024</v>
      </c>
      <c r="U453" s="20">
        <v>114</v>
      </c>
      <c r="V453" s="19">
        <f t="shared" si="316"/>
        <v>0.10207927047679695</v>
      </c>
      <c r="W453" s="20">
        <f t="shared" ref="W453:X453" si="593">T453-T452</f>
        <v>-96</v>
      </c>
      <c r="X453" s="20">
        <f t="shared" si="593"/>
        <v>-7</v>
      </c>
      <c r="Y453" s="19">
        <f t="shared" si="476"/>
        <v>1.2476393542491623E-2</v>
      </c>
      <c r="Z453" s="19">
        <f t="shared" si="477"/>
        <v>0.111328125</v>
      </c>
      <c r="AA453" s="21">
        <f t="shared" si="348"/>
        <v>0.55621022861183123</v>
      </c>
      <c r="AB453" s="26">
        <f t="shared" si="364"/>
        <v>0.56916679610090393</v>
      </c>
      <c r="AC453" s="23">
        <f t="shared" si="331"/>
        <v>337.14285714285717</v>
      </c>
      <c r="AD453" s="23">
        <f t="shared" si="360"/>
        <v>33.428571428571431</v>
      </c>
      <c r="AE453" s="23">
        <f t="shared" si="332"/>
        <v>11593.714285714286</v>
      </c>
      <c r="AF453" s="25">
        <f t="shared" si="339"/>
        <v>2.9120290179710795E-2</v>
      </c>
      <c r="AG453" s="20">
        <v>5120109</v>
      </c>
      <c r="AH453" s="21">
        <f t="shared" si="449"/>
        <v>35467</v>
      </c>
      <c r="AI453" s="21">
        <f t="shared" si="431"/>
        <v>21541.142857142859</v>
      </c>
      <c r="AJ453" s="20">
        <v>3539868</v>
      </c>
      <c r="AK453" s="20">
        <f t="shared" si="533"/>
        <v>94311</v>
      </c>
      <c r="AL453" s="21">
        <f t="shared" si="464"/>
        <v>81788.28571428571</v>
      </c>
      <c r="AM453" s="26">
        <f t="shared" si="353"/>
        <v>3813.7142857142858</v>
      </c>
    </row>
    <row r="454" spans="1:39" ht="16">
      <c r="A454" s="30">
        <v>44346</v>
      </c>
      <c r="B454" s="20">
        <f t="shared" si="491"/>
        <v>804382</v>
      </c>
      <c r="C454" s="20">
        <v>350</v>
      </c>
      <c r="D454" s="20">
        <v>29728</v>
      </c>
      <c r="E454" s="20">
        <v>696029</v>
      </c>
      <c r="F454" s="20">
        <v>5816796</v>
      </c>
      <c r="G454" s="17">
        <f t="shared" si="586"/>
        <v>593550.61224489787</v>
      </c>
      <c r="H454" s="20"/>
      <c r="I454" s="19">
        <f t="shared" si="234"/>
        <v>4.3530605747034944E-4</v>
      </c>
      <c r="J454" s="19">
        <f t="shared" si="231"/>
        <v>0.13828609426907873</v>
      </c>
      <c r="K454" s="19">
        <f t="shared" si="232"/>
        <v>2.6272271188029967E-3</v>
      </c>
      <c r="L454" s="20">
        <v>78625</v>
      </c>
      <c r="M454" s="19">
        <f t="shared" si="235"/>
        <v>3.6957564938051822E-2</v>
      </c>
      <c r="N454" s="19">
        <f t="shared" si="236"/>
        <v>0.8652965879395611</v>
      </c>
      <c r="O454" s="20">
        <v>9670</v>
      </c>
      <c r="P454" s="28">
        <f t="shared" si="437"/>
        <v>15242</v>
      </c>
      <c r="Q454" s="29">
        <f t="shared" si="322"/>
        <v>2.2962865765647551E-2</v>
      </c>
      <c r="R454" s="20">
        <f t="shared" si="440"/>
        <v>19</v>
      </c>
      <c r="S454" s="20">
        <f t="shared" si="443"/>
        <v>3781</v>
      </c>
      <c r="T454" s="20">
        <v>965</v>
      </c>
      <c r="U454" s="20">
        <v>114</v>
      </c>
      <c r="V454" s="19">
        <f t="shared" si="316"/>
        <v>9.7745847122387125E-2</v>
      </c>
      <c r="W454" s="20">
        <f t="shared" ref="W454:X454" si="594">T454-T453</f>
        <v>-59</v>
      </c>
      <c r="X454" s="20">
        <f t="shared" si="594"/>
        <v>0</v>
      </c>
      <c r="Y454" s="19">
        <f t="shared" si="476"/>
        <v>1.2273449920508744E-2</v>
      </c>
      <c r="Z454" s="19">
        <f t="shared" si="477"/>
        <v>0.11813471502590674</v>
      </c>
      <c r="AA454" s="21">
        <f t="shared" si="348"/>
        <v>0.58208576503425524</v>
      </c>
      <c r="AB454" s="26">
        <f t="shared" si="364"/>
        <v>0.56487238690751052</v>
      </c>
      <c r="AC454" s="23">
        <f t="shared" si="331"/>
        <v>327.71428571428572</v>
      </c>
      <c r="AD454" s="23">
        <f t="shared" si="360"/>
        <v>29.857142857142858</v>
      </c>
      <c r="AE454" s="23">
        <f t="shared" si="332"/>
        <v>11764.142857142857</v>
      </c>
      <c r="AF454" s="25">
        <f t="shared" si="339"/>
        <v>2.8170606939841993E-2</v>
      </c>
      <c r="AG454" s="20">
        <v>5137031</v>
      </c>
      <c r="AH454" s="21">
        <f t="shared" si="449"/>
        <v>16922</v>
      </c>
      <c r="AI454" s="21">
        <f t="shared" si="431"/>
        <v>18764.142857142859</v>
      </c>
      <c r="AJ454" s="20">
        <v>3582547</v>
      </c>
      <c r="AK454" s="20">
        <f t="shared" si="533"/>
        <v>42679</v>
      </c>
      <c r="AL454" s="21">
        <f t="shared" si="464"/>
        <v>83079.71428571429</v>
      </c>
      <c r="AM454" s="26">
        <f t="shared" si="353"/>
        <v>3887</v>
      </c>
    </row>
    <row r="455" spans="1:39" ht="16">
      <c r="A455" s="30">
        <v>44347</v>
      </c>
      <c r="B455" s="20">
        <f t="shared" si="491"/>
        <v>804538</v>
      </c>
      <c r="C455" s="20">
        <v>156</v>
      </c>
      <c r="D455" s="20">
        <v>29733</v>
      </c>
      <c r="E455" s="20">
        <v>700236</v>
      </c>
      <c r="F455" s="20">
        <v>5824848</v>
      </c>
      <c r="G455" s="17">
        <f t="shared" si="586"/>
        <v>594372.24489795917</v>
      </c>
      <c r="H455" s="20"/>
      <c r="I455" s="19">
        <f t="shared" si="234"/>
        <v>1.9393770621421166E-4</v>
      </c>
      <c r="J455" s="19">
        <f t="shared" si="231"/>
        <v>0.13812171579412888</v>
      </c>
      <c r="K455" s="19">
        <f t="shared" si="232"/>
        <v>1.384267215147308E-3</v>
      </c>
      <c r="L455" s="20">
        <v>74569</v>
      </c>
      <c r="M455" s="19">
        <f t="shared" si="235"/>
        <v>3.6956613609301241E-2</v>
      </c>
      <c r="N455" s="19">
        <f t="shared" si="236"/>
        <v>0.87035789484151149</v>
      </c>
      <c r="O455" s="20">
        <v>9221</v>
      </c>
      <c r="P455" s="28">
        <f t="shared" si="437"/>
        <v>8052</v>
      </c>
      <c r="Q455" s="29">
        <f t="shared" si="322"/>
        <v>1.9374068554396422E-2</v>
      </c>
      <c r="R455" s="20">
        <f t="shared" si="440"/>
        <v>5</v>
      </c>
      <c r="S455" s="20">
        <f t="shared" si="443"/>
        <v>4207</v>
      </c>
      <c r="T455" s="20">
        <v>981</v>
      </c>
      <c r="U455" s="20">
        <v>110</v>
      </c>
      <c r="V455" s="19">
        <f t="shared" si="316"/>
        <v>9.2685491549187232E-2</v>
      </c>
      <c r="W455" s="20">
        <f t="shared" ref="W455:X455" si="595">T455-T454</f>
        <v>16</v>
      </c>
      <c r="X455" s="20">
        <f t="shared" si="595"/>
        <v>-4</v>
      </c>
      <c r="Y455" s="19">
        <f t="shared" si="476"/>
        <v>1.315560085290134E-2</v>
      </c>
      <c r="Z455" s="19">
        <f t="shared" si="477"/>
        <v>0.11213047910295616</v>
      </c>
      <c r="AA455" s="21">
        <f t="shared" si="348"/>
        <v>0.58097005035780547</v>
      </c>
      <c r="AB455" s="26">
        <f t="shared" si="364"/>
        <v>0.56074995742550315</v>
      </c>
      <c r="AC455" s="23">
        <f t="shared" si="331"/>
        <v>313.14285714285717</v>
      </c>
      <c r="AD455" s="23">
        <f t="shared" si="360"/>
        <v>24.714285714285715</v>
      </c>
      <c r="AE455" s="23">
        <f t="shared" si="332"/>
        <v>11551</v>
      </c>
      <c r="AF455" s="25">
        <f t="shared" si="339"/>
        <v>2.7076518062509325E-2</v>
      </c>
      <c r="AG455" s="20">
        <v>5146949</v>
      </c>
      <c r="AH455" s="21">
        <f t="shared" si="449"/>
        <v>9918</v>
      </c>
      <c r="AI455" s="21">
        <f t="shared" si="431"/>
        <v>17686.285714285714</v>
      </c>
      <c r="AJ455" s="20">
        <v>3611690</v>
      </c>
      <c r="AK455" s="20">
        <f t="shared" si="533"/>
        <v>29143</v>
      </c>
      <c r="AL455" s="21">
        <f t="shared" si="464"/>
        <v>85601</v>
      </c>
      <c r="AM455" s="26">
        <f t="shared" si="353"/>
        <v>4290.1428571428569</v>
      </c>
    </row>
    <row r="456" spans="1:39" ht="16">
      <c r="A456" s="30">
        <v>44348</v>
      </c>
      <c r="B456" s="20">
        <f t="shared" si="491"/>
        <v>804712</v>
      </c>
      <c r="C456" s="20">
        <v>174</v>
      </c>
      <c r="D456" s="20">
        <v>29761</v>
      </c>
      <c r="E456" s="20">
        <v>703352</v>
      </c>
      <c r="F456" s="20">
        <v>5837630</v>
      </c>
      <c r="G456" s="17">
        <f t="shared" si="586"/>
        <v>595676.53061224485</v>
      </c>
      <c r="H456" s="20"/>
      <c r="I456" s="19">
        <f t="shared" si="234"/>
        <v>2.1627319032786518E-4</v>
      </c>
      <c r="J456" s="19">
        <f t="shared" si="231"/>
        <v>0.13784909286816738</v>
      </c>
      <c r="K456" s="19">
        <f t="shared" si="232"/>
        <v>2.1943920253369702E-3</v>
      </c>
      <c r="L456" s="20">
        <v>71599</v>
      </c>
      <c r="M456" s="19">
        <f t="shared" si="235"/>
        <v>3.6983417669924148E-2</v>
      </c>
      <c r="N456" s="19">
        <f t="shared" si="236"/>
        <v>0.8740418932487648</v>
      </c>
      <c r="O456" s="20">
        <v>8749</v>
      </c>
      <c r="P456" s="28">
        <f t="shared" si="437"/>
        <v>12782</v>
      </c>
      <c r="Q456" s="29">
        <f t="shared" si="322"/>
        <v>1.361289313096542E-2</v>
      </c>
      <c r="R456" s="20">
        <f t="shared" si="440"/>
        <v>28</v>
      </c>
      <c r="S456" s="20">
        <f t="shared" si="443"/>
        <v>3116</v>
      </c>
      <c r="T456" s="20">
        <v>947</v>
      </c>
      <c r="U456" s="20">
        <v>100</v>
      </c>
      <c r="V456" s="19">
        <f t="shared" si="316"/>
        <v>8.8974689081311079E-2</v>
      </c>
      <c r="W456" s="20">
        <f t="shared" ref="W456:X456" si="596">T456-T455</f>
        <v>-34</v>
      </c>
      <c r="X456" s="20">
        <f t="shared" si="596"/>
        <v>-10</v>
      </c>
      <c r="Y456" s="19">
        <f t="shared" si="476"/>
        <v>1.322644171007975E-2</v>
      </c>
      <c r="Z456" s="19">
        <f t="shared" si="477"/>
        <v>0.10559662090813093</v>
      </c>
      <c r="AA456" s="21">
        <f t="shared" si="348"/>
        <v>0.61940928270042195</v>
      </c>
      <c r="AB456" s="26">
        <f t="shared" si="364"/>
        <v>0.56565287291708044</v>
      </c>
      <c r="AC456" s="23">
        <f t="shared" si="331"/>
        <v>314.57142857142856</v>
      </c>
      <c r="AD456" s="23">
        <f t="shared" si="360"/>
        <v>25.714285714285715</v>
      </c>
      <c r="AE456" s="23">
        <f t="shared" si="332"/>
        <v>12467.285714285714</v>
      </c>
      <c r="AF456" s="25">
        <f t="shared" si="339"/>
        <v>2.5342107246329942E-2</v>
      </c>
      <c r="AG456" s="20">
        <v>5176630</v>
      </c>
      <c r="AH456" s="21">
        <f t="shared" si="449"/>
        <v>29681</v>
      </c>
      <c r="AI456" s="21">
        <f t="shared" si="431"/>
        <v>21443</v>
      </c>
      <c r="AJ456" s="20">
        <v>3655647</v>
      </c>
      <c r="AK456" s="20">
        <f t="shared" si="533"/>
        <v>43957</v>
      </c>
      <c r="AL456" s="21">
        <f t="shared" si="464"/>
        <v>83243.857142857145</v>
      </c>
      <c r="AM456" s="26">
        <f t="shared" si="353"/>
        <v>4565.7142857142853</v>
      </c>
    </row>
    <row r="457" spans="1:39" ht="16">
      <c r="A457" s="30">
        <v>44349</v>
      </c>
      <c r="B457" s="20">
        <f t="shared" si="491"/>
        <v>804987</v>
      </c>
      <c r="C457" s="20">
        <v>275</v>
      </c>
      <c r="D457" s="20">
        <v>29774</v>
      </c>
      <c r="E457" s="20">
        <v>705378</v>
      </c>
      <c r="F457" s="20">
        <v>5862778</v>
      </c>
      <c r="G457" s="17">
        <f t="shared" si="586"/>
        <v>598242.6530612245</v>
      </c>
      <c r="H457" s="20"/>
      <c r="I457" s="19">
        <f t="shared" si="234"/>
        <v>3.4173716808000873E-4</v>
      </c>
      <c r="J457" s="19">
        <f t="shared" si="231"/>
        <v>0.13730470435687656</v>
      </c>
      <c r="K457" s="19">
        <f t="shared" si="232"/>
        <v>4.3079126289264653E-3</v>
      </c>
      <c r="L457" s="20">
        <v>69835</v>
      </c>
      <c r="M457" s="19">
        <f t="shared" si="235"/>
        <v>3.6986932708230072E-2</v>
      </c>
      <c r="N457" s="19">
        <f t="shared" si="236"/>
        <v>0.87626011351736111</v>
      </c>
      <c r="O457" s="20">
        <v>8320</v>
      </c>
      <c r="P457" s="28">
        <f t="shared" si="437"/>
        <v>25148</v>
      </c>
      <c r="Q457" s="29">
        <f t="shared" si="322"/>
        <v>1.093526324160967E-2</v>
      </c>
      <c r="R457" s="20">
        <f t="shared" si="440"/>
        <v>13</v>
      </c>
      <c r="S457" s="20">
        <f t="shared" si="443"/>
        <v>2026</v>
      </c>
      <c r="T457" s="20">
        <v>837</v>
      </c>
      <c r="U457" s="20">
        <v>90</v>
      </c>
      <c r="V457" s="19">
        <f t="shared" si="316"/>
        <v>8.6752953774408781E-2</v>
      </c>
      <c r="W457" s="20">
        <f t="shared" ref="W457:X457" si="597">T457-T456</f>
        <v>-110</v>
      </c>
      <c r="X457" s="20">
        <f t="shared" si="597"/>
        <v>-10</v>
      </c>
      <c r="Y457" s="19">
        <f t="shared" si="476"/>
        <v>1.1985394143337868E-2</v>
      </c>
      <c r="Z457" s="19">
        <f t="shared" si="477"/>
        <v>0.10752688172043011</v>
      </c>
      <c r="AA457" s="21">
        <f t="shared" si="348"/>
        <v>0.72216905901116424</v>
      </c>
      <c r="AB457" s="26">
        <f t="shared" si="364"/>
        <v>0.59165634880811113</v>
      </c>
      <c r="AC457" s="23">
        <f t="shared" si="331"/>
        <v>323.42857142857144</v>
      </c>
      <c r="AD457" s="23">
        <f t="shared" si="360"/>
        <v>21.714285714285715</v>
      </c>
      <c r="AE457" s="23">
        <f t="shared" si="332"/>
        <v>15168.428571428571</v>
      </c>
      <c r="AF457" s="25">
        <f t="shared" si="339"/>
        <v>2.2027914083043412E-2</v>
      </c>
      <c r="AG457" s="20">
        <v>5206951</v>
      </c>
      <c r="AH457" s="21">
        <f t="shared" si="449"/>
        <v>30321</v>
      </c>
      <c r="AI457" s="21">
        <f t="shared" si="431"/>
        <v>23818.428571428572</v>
      </c>
      <c r="AJ457" s="20">
        <v>3694602</v>
      </c>
      <c r="AK457" s="20">
        <f t="shared" si="533"/>
        <v>38955</v>
      </c>
      <c r="AL457" s="21">
        <f t="shared" si="464"/>
        <v>71142.571428571435</v>
      </c>
      <c r="AM457" s="26">
        <f t="shared" si="353"/>
        <v>4328</v>
      </c>
    </row>
    <row r="458" spans="1:39" ht="16">
      <c r="A458" s="30">
        <v>44350</v>
      </c>
      <c r="B458" s="20">
        <f t="shared" si="491"/>
        <v>805302</v>
      </c>
      <c r="C458" s="20">
        <v>315</v>
      </c>
      <c r="D458" s="20">
        <v>29792</v>
      </c>
      <c r="E458" s="20">
        <v>708198</v>
      </c>
      <c r="F458" s="20">
        <v>5866214</v>
      </c>
      <c r="G458" s="17">
        <f t="shared" si="586"/>
        <v>598593.26530612237</v>
      </c>
      <c r="H458" s="20"/>
      <c r="I458" s="19">
        <f t="shared" si="234"/>
        <v>3.9131066712878594E-4</v>
      </c>
      <c r="J458" s="19">
        <f t="shared" si="231"/>
        <v>0.13727797860766758</v>
      </c>
      <c r="K458" s="19">
        <f t="shared" si="232"/>
        <v>5.8607028954533156E-4</v>
      </c>
      <c r="L458" s="20">
        <v>67312</v>
      </c>
      <c r="M458" s="19">
        <f t="shared" si="235"/>
        <v>3.6994816851317891E-2</v>
      </c>
      <c r="N458" s="19">
        <f t="shared" si="236"/>
        <v>0.879419149586118</v>
      </c>
      <c r="O458" s="20">
        <v>7759</v>
      </c>
      <c r="P458" s="28">
        <f t="shared" si="437"/>
        <v>3436</v>
      </c>
      <c r="Q458" s="29">
        <f t="shared" si="322"/>
        <v>9.1676367869615832E-2</v>
      </c>
      <c r="R458" s="20">
        <f t="shared" si="440"/>
        <v>18</v>
      </c>
      <c r="S458" s="20">
        <f t="shared" si="443"/>
        <v>2820</v>
      </c>
      <c r="T458" s="20">
        <v>739</v>
      </c>
      <c r="U458" s="20">
        <v>77</v>
      </c>
      <c r="V458" s="19">
        <f t="shared" si="316"/>
        <v>8.358603356256411E-2</v>
      </c>
      <c r="W458" s="20">
        <f t="shared" ref="W458:X458" si="598">T458-T457</f>
        <v>-98</v>
      </c>
      <c r="X458" s="20">
        <f t="shared" si="598"/>
        <v>-13</v>
      </c>
      <c r="Y458" s="19">
        <f t="shared" si="476"/>
        <v>1.0978725932968862E-2</v>
      </c>
      <c r="Z458" s="19">
        <f t="shared" si="477"/>
        <v>0.10419485791610285</v>
      </c>
      <c r="AA458" s="21">
        <f t="shared" si="348"/>
        <v>0.79352962559069429</v>
      </c>
      <c r="AB458" s="26">
        <f t="shared" si="364"/>
        <v>0.62897283225162925</v>
      </c>
      <c r="AC458" s="23">
        <f t="shared" si="331"/>
        <v>311.85714285714283</v>
      </c>
      <c r="AD458" s="23">
        <f t="shared" si="360"/>
        <v>19.714285714285715</v>
      </c>
      <c r="AE458" s="23">
        <f t="shared" si="332"/>
        <v>13593.714285714286</v>
      </c>
      <c r="AF458" s="25">
        <f t="shared" si="339"/>
        <v>3.1211997185281025E-2</v>
      </c>
      <c r="AG458" s="20">
        <v>5227318</v>
      </c>
      <c r="AH458" s="21">
        <f t="shared" si="449"/>
        <v>20367</v>
      </c>
      <c r="AI458" s="21">
        <f t="shared" si="431"/>
        <v>24436.571428571428</v>
      </c>
      <c r="AJ458" s="20">
        <v>3732252</v>
      </c>
      <c r="AK458" s="20">
        <f t="shared" si="533"/>
        <v>37650</v>
      </c>
      <c r="AL458" s="21">
        <f t="shared" si="464"/>
        <v>57743.571428571428</v>
      </c>
      <c r="AM458" s="26">
        <f t="shared" si="353"/>
        <v>3699.5714285714284</v>
      </c>
    </row>
    <row r="459" spans="1:39" ht="16">
      <c r="A459" s="30">
        <v>44351</v>
      </c>
      <c r="B459" s="20">
        <f t="shared" si="491"/>
        <v>805571</v>
      </c>
      <c r="C459" s="20">
        <v>269</v>
      </c>
      <c r="D459" s="20">
        <v>29818</v>
      </c>
      <c r="E459" s="20">
        <v>711105</v>
      </c>
      <c r="F459" s="20">
        <v>5884887</v>
      </c>
      <c r="G459" s="17">
        <f t="shared" si="586"/>
        <v>600498.67346938769</v>
      </c>
      <c r="H459" s="20"/>
      <c r="I459" s="19">
        <f t="shared" si="234"/>
        <v>3.340361752485403E-4</v>
      </c>
      <c r="J459" s="19">
        <f t="shared" si="231"/>
        <v>0.1368880999754116</v>
      </c>
      <c r="K459" s="19">
        <f t="shared" si="232"/>
        <v>3.1831433357187447E-3</v>
      </c>
      <c r="L459" s="20">
        <v>64648</v>
      </c>
      <c r="M459" s="19">
        <f t="shared" si="235"/>
        <v>3.7014738613976916E-2</v>
      </c>
      <c r="N459" s="19">
        <f t="shared" si="236"/>
        <v>0.88273411033912597</v>
      </c>
      <c r="O459" s="20">
        <v>7393</v>
      </c>
      <c r="P459" s="28">
        <f t="shared" si="437"/>
        <v>18673</v>
      </c>
      <c r="Q459" s="29">
        <f t="shared" si="322"/>
        <v>1.4405826594548279E-2</v>
      </c>
      <c r="R459" s="20">
        <f t="shared" si="440"/>
        <v>26</v>
      </c>
      <c r="S459" s="20">
        <f t="shared" si="443"/>
        <v>2907</v>
      </c>
      <c r="T459" s="20">
        <v>702</v>
      </c>
      <c r="U459" s="20">
        <v>78</v>
      </c>
      <c r="V459" s="19">
        <f t="shared" si="316"/>
        <v>8.0251151046897173E-2</v>
      </c>
      <c r="W459" s="20">
        <f t="shared" ref="W459:X459" si="599">T459-T458</f>
        <v>-37</v>
      </c>
      <c r="X459" s="20">
        <f t="shared" si="599"/>
        <v>1</v>
      </c>
      <c r="Y459" s="19">
        <f t="shared" si="476"/>
        <v>1.0858804603390669E-2</v>
      </c>
      <c r="Z459" s="19">
        <f t="shared" si="477"/>
        <v>0.1111111111111111</v>
      </c>
      <c r="AA459" s="21">
        <f t="shared" si="348"/>
        <v>0.78835562549173877</v>
      </c>
      <c r="AB459" s="26">
        <f t="shared" si="364"/>
        <v>0.66324709097113022</v>
      </c>
      <c r="AC459" s="23">
        <f t="shared" si="331"/>
        <v>286.28571428571428</v>
      </c>
      <c r="AD459" s="23">
        <f t="shared" si="360"/>
        <v>19.428571428571427</v>
      </c>
      <c r="AE459" s="23">
        <f t="shared" si="332"/>
        <v>14039.714285714286</v>
      </c>
      <c r="AF459" s="25">
        <f t="shared" si="339"/>
        <v>2.9154481447862396E-2</v>
      </c>
      <c r="AG459" s="20">
        <v>5238903</v>
      </c>
      <c r="AH459" s="21">
        <f t="shared" si="449"/>
        <v>11585</v>
      </c>
      <c r="AI459" s="21">
        <f t="shared" si="431"/>
        <v>22037.285714285714</v>
      </c>
      <c r="AJ459" s="20">
        <v>3814194</v>
      </c>
      <c r="AK459" s="20">
        <f t="shared" si="533"/>
        <v>81942</v>
      </c>
      <c r="AL459" s="21">
        <f t="shared" si="464"/>
        <v>52662.428571428572</v>
      </c>
      <c r="AM459" s="26">
        <f t="shared" si="353"/>
        <v>3134.1428571428573</v>
      </c>
    </row>
    <row r="460" spans="1:39" ht="16">
      <c r="A460" s="30">
        <v>44352</v>
      </c>
      <c r="B460" s="20">
        <f t="shared" si="491"/>
        <v>805871</v>
      </c>
      <c r="C460" s="20">
        <v>300</v>
      </c>
      <c r="D460" s="20">
        <v>29842</v>
      </c>
      <c r="E460" s="20">
        <v>714329</v>
      </c>
      <c r="F460" s="20">
        <v>5897459</v>
      </c>
      <c r="G460" s="17">
        <f t="shared" si="586"/>
        <v>601781.53061224485</v>
      </c>
      <c r="H460" s="20"/>
      <c r="I460" s="19">
        <f t="shared" si="234"/>
        <v>3.7240665316899441E-4</v>
      </c>
      <c r="J460" s="19">
        <f t="shared" si="231"/>
        <v>0.13664715600396712</v>
      </c>
      <c r="K460" s="19">
        <f t="shared" si="232"/>
        <v>2.1363196948386604E-3</v>
      </c>
      <c r="L460" s="20">
        <v>61700</v>
      </c>
      <c r="M460" s="19">
        <f t="shared" si="235"/>
        <v>3.7030740652039845E-2</v>
      </c>
      <c r="N460" s="19">
        <f t="shared" si="236"/>
        <v>0.88640613696236747</v>
      </c>
      <c r="O460" s="20">
        <v>7254</v>
      </c>
      <c r="P460" s="28">
        <f t="shared" si="437"/>
        <v>12572</v>
      </c>
      <c r="Q460" s="29">
        <f t="shared" si="322"/>
        <v>2.3862551702195353E-2</v>
      </c>
      <c r="R460" s="20">
        <f t="shared" si="440"/>
        <v>24</v>
      </c>
      <c r="S460" s="20">
        <f t="shared" si="443"/>
        <v>3224</v>
      </c>
      <c r="T460" s="20">
        <v>622</v>
      </c>
      <c r="U460" s="20">
        <v>70</v>
      </c>
      <c r="V460" s="19">
        <f t="shared" si="316"/>
        <v>7.6563122385592736E-2</v>
      </c>
      <c r="W460" s="20">
        <f t="shared" ref="W460:X460" si="600">T460-T459</f>
        <v>-80</v>
      </c>
      <c r="X460" s="20">
        <f t="shared" si="600"/>
        <v>-8</v>
      </c>
      <c r="Y460" s="19">
        <f t="shared" si="476"/>
        <v>1.0081037277147488E-2</v>
      </c>
      <c r="Z460" s="19">
        <f t="shared" si="477"/>
        <v>0.11254019292604502</v>
      </c>
      <c r="AA460" s="21">
        <f t="shared" si="348"/>
        <v>0.77923728813559323</v>
      </c>
      <c r="AB460" s="26">
        <f t="shared" si="364"/>
        <v>0.69510809947452468</v>
      </c>
      <c r="AC460" s="23">
        <f t="shared" si="331"/>
        <v>262.71428571428572</v>
      </c>
      <c r="AD460" s="23">
        <f t="shared" si="360"/>
        <v>19</v>
      </c>
      <c r="AE460" s="23">
        <f t="shared" si="332"/>
        <v>13700.714285714286</v>
      </c>
      <c r="AF460" s="25">
        <f t="shared" si="339"/>
        <v>2.811854812271122E-2</v>
      </c>
      <c r="AG460" s="20">
        <v>5254400</v>
      </c>
      <c r="AH460" s="21">
        <f t="shared" si="449"/>
        <v>15497</v>
      </c>
      <c r="AI460" s="21">
        <f t="shared" si="431"/>
        <v>19184.428571428572</v>
      </c>
      <c r="AJ460" s="20">
        <v>3966193</v>
      </c>
      <c r="AK460" s="20">
        <f t="shared" si="533"/>
        <v>151999</v>
      </c>
      <c r="AL460" s="21">
        <f t="shared" si="464"/>
        <v>60903.571428571428</v>
      </c>
      <c r="AM460" s="26">
        <f t="shared" si="353"/>
        <v>3154.4285714285716</v>
      </c>
    </row>
    <row r="461" spans="1:39" ht="16">
      <c r="A461" s="30">
        <v>44353</v>
      </c>
      <c r="B461" s="20">
        <f t="shared" si="491"/>
        <v>806008</v>
      </c>
      <c r="C461" s="20">
        <v>137</v>
      </c>
      <c r="D461" s="20">
        <v>29854</v>
      </c>
      <c r="E461" s="20">
        <v>716163</v>
      </c>
      <c r="F461" s="20">
        <v>5910248</v>
      </c>
      <c r="G461" s="17">
        <f t="shared" si="586"/>
        <v>603086.53061224485</v>
      </c>
      <c r="H461" s="20"/>
      <c r="I461" s="19">
        <f t="shared" si="234"/>
        <v>1.7000239492424965E-4</v>
      </c>
      <c r="J461" s="19">
        <f t="shared" si="231"/>
        <v>0.13637464959169227</v>
      </c>
      <c r="K461" s="19">
        <f t="shared" si="232"/>
        <v>2.1685610701151123E-3</v>
      </c>
      <c r="L461" s="20">
        <v>59991</v>
      </c>
      <c r="M461" s="19">
        <f t="shared" si="235"/>
        <v>3.7039334597175212E-2</v>
      </c>
      <c r="N461" s="19">
        <f t="shared" si="236"/>
        <v>0.88853088306815808</v>
      </c>
      <c r="O461" s="20">
        <v>7093</v>
      </c>
      <c r="P461" s="28">
        <f t="shared" si="437"/>
        <v>12789</v>
      </c>
      <c r="Q461" s="29">
        <f t="shared" si="322"/>
        <v>1.0712330909375244E-2</v>
      </c>
      <c r="R461" s="20">
        <f t="shared" si="440"/>
        <v>12</v>
      </c>
      <c r="S461" s="20">
        <f t="shared" si="443"/>
        <v>1834</v>
      </c>
      <c r="T461" s="20">
        <v>602</v>
      </c>
      <c r="U461" s="20">
        <v>68</v>
      </c>
      <c r="V461" s="19">
        <f t="shared" si="316"/>
        <v>7.4429782334666655E-2</v>
      </c>
      <c r="W461" s="20">
        <f t="shared" ref="W461:X461" si="601">T461-T460</f>
        <v>-20</v>
      </c>
      <c r="X461" s="20">
        <f t="shared" si="601"/>
        <v>-2</v>
      </c>
      <c r="Y461" s="19">
        <f t="shared" si="476"/>
        <v>1.0034838559117201E-2</v>
      </c>
      <c r="Z461" s="19">
        <f t="shared" si="477"/>
        <v>0.11295681063122924</v>
      </c>
      <c r="AA461" s="21">
        <f t="shared" si="348"/>
        <v>0.7088055797733217</v>
      </c>
      <c r="AB461" s="26">
        <f t="shared" si="364"/>
        <v>0.71321093015153425</v>
      </c>
      <c r="AC461" s="23">
        <f t="shared" si="331"/>
        <v>232.28571428571428</v>
      </c>
      <c r="AD461" s="23">
        <f t="shared" si="360"/>
        <v>18</v>
      </c>
      <c r="AE461" s="23">
        <f t="shared" si="332"/>
        <v>13350.285714285714</v>
      </c>
      <c r="AF461" s="25">
        <f t="shared" si="339"/>
        <v>2.6368471714672319E-2</v>
      </c>
      <c r="AG461" s="20">
        <v>5260418</v>
      </c>
      <c r="AH461" s="21">
        <f t="shared" si="449"/>
        <v>6018</v>
      </c>
      <c r="AI461" s="21">
        <f t="shared" si="431"/>
        <v>17626.714285714286</v>
      </c>
      <c r="AJ461" s="20">
        <v>3989525</v>
      </c>
      <c r="AK461" s="20">
        <f t="shared" si="533"/>
        <v>23332</v>
      </c>
      <c r="AL461" s="21">
        <f t="shared" si="464"/>
        <v>58139.714285714283</v>
      </c>
      <c r="AM461" s="26">
        <f t="shared" si="353"/>
        <v>2876.2857142857142</v>
      </c>
    </row>
    <row r="462" spans="1:39" ht="16">
      <c r="A462" s="30">
        <v>44354</v>
      </c>
      <c r="B462" s="20">
        <f t="shared" si="491"/>
        <v>806089</v>
      </c>
      <c r="C462" s="20">
        <v>81</v>
      </c>
      <c r="D462" s="20">
        <v>29866</v>
      </c>
      <c r="E462" s="20">
        <v>717254</v>
      </c>
      <c r="F462" s="20">
        <v>5916866</v>
      </c>
      <c r="G462" s="17">
        <f t="shared" si="586"/>
        <v>603761.83673469385</v>
      </c>
      <c r="H462" s="20"/>
      <c r="I462" s="19">
        <f t="shared" si="234"/>
        <v>1.0049528044386657E-4</v>
      </c>
      <c r="J462" s="19">
        <f t="shared" si="231"/>
        <v>0.13623580456275333</v>
      </c>
      <c r="K462" s="19">
        <f t="shared" si="232"/>
        <v>1.1197499664988677E-3</v>
      </c>
      <c r="L462" s="20">
        <v>58969</v>
      </c>
      <c r="M462" s="19">
        <f t="shared" si="235"/>
        <v>3.7050499386544165E-2</v>
      </c>
      <c r="N462" s="19">
        <f t="shared" si="236"/>
        <v>0.88979504744513327</v>
      </c>
      <c r="O462" s="20">
        <v>7066</v>
      </c>
      <c r="P462" s="28">
        <f t="shared" si="437"/>
        <v>6618</v>
      </c>
      <c r="Q462" s="29">
        <f t="shared" si="322"/>
        <v>1.2239347234814143E-2</v>
      </c>
      <c r="R462" s="20">
        <f t="shared" si="440"/>
        <v>12</v>
      </c>
      <c r="S462" s="20">
        <f t="shared" si="443"/>
        <v>1091</v>
      </c>
      <c r="T462" s="20">
        <v>599</v>
      </c>
      <c r="U462" s="20">
        <v>67</v>
      </c>
      <c r="V462" s="19">
        <f t="shared" si="316"/>
        <v>7.31544531683226E-2</v>
      </c>
      <c r="W462" s="20">
        <f t="shared" ref="W462:X462" si="602">T462-T461</f>
        <v>-3</v>
      </c>
      <c r="X462" s="20">
        <f t="shared" si="602"/>
        <v>-1</v>
      </c>
      <c r="Y462" s="19">
        <f t="shared" si="476"/>
        <v>1.0157879563838627E-2</v>
      </c>
      <c r="Z462" s="19">
        <f t="shared" si="477"/>
        <v>0.11185308848080133</v>
      </c>
      <c r="AA462" s="21">
        <f t="shared" si="348"/>
        <v>0.70757299270072993</v>
      </c>
      <c r="AB462" s="26">
        <f t="shared" si="364"/>
        <v>0.731297064771952</v>
      </c>
      <c r="AC462" s="23">
        <f t="shared" si="331"/>
        <v>221.57142857142858</v>
      </c>
      <c r="AD462" s="23">
        <f t="shared" si="360"/>
        <v>19</v>
      </c>
      <c r="AE462" s="23">
        <f t="shared" si="332"/>
        <v>13145.428571428571</v>
      </c>
      <c r="AF462" s="25">
        <f t="shared" si="339"/>
        <v>2.5349225811874848E-2</v>
      </c>
      <c r="AG462" s="20">
        <v>5261781</v>
      </c>
      <c r="AH462" s="21">
        <f t="shared" si="449"/>
        <v>1363</v>
      </c>
      <c r="AI462" s="21">
        <f t="shared" si="431"/>
        <v>16404.571428571428</v>
      </c>
      <c r="AJ462" s="20">
        <v>3994595</v>
      </c>
      <c r="AK462" s="20">
        <f t="shared" si="533"/>
        <v>5070</v>
      </c>
      <c r="AL462" s="21">
        <f t="shared" si="464"/>
        <v>54700.714285714283</v>
      </c>
      <c r="AM462" s="26">
        <f t="shared" si="353"/>
        <v>2431.1428571428573</v>
      </c>
    </row>
    <row r="463" spans="1:39" ht="16">
      <c r="A463" s="30">
        <v>44355</v>
      </c>
      <c r="B463" s="20">
        <f t="shared" si="491"/>
        <v>806206</v>
      </c>
      <c r="C463" s="20">
        <v>117</v>
      </c>
      <c r="D463" s="20">
        <v>29883</v>
      </c>
      <c r="E463" s="20">
        <v>718577</v>
      </c>
      <c r="F463" s="20">
        <v>5922744</v>
      </c>
      <c r="G463" s="17">
        <f t="shared" si="586"/>
        <v>604361.63265306118</v>
      </c>
      <c r="H463" s="20"/>
      <c r="I463" s="19">
        <f t="shared" si="234"/>
        <v>1.4514526311610752E-4</v>
      </c>
      <c r="J463" s="19">
        <f t="shared" si="231"/>
        <v>0.13612035232317993</v>
      </c>
      <c r="K463" s="19">
        <f t="shared" si="232"/>
        <v>9.9343131989130737E-4</v>
      </c>
      <c r="L463" s="20">
        <v>57746</v>
      </c>
      <c r="M463" s="19">
        <f t="shared" si="235"/>
        <v>3.7066208884577886E-2</v>
      </c>
      <c r="N463" s="19">
        <f t="shared" si="236"/>
        <v>0.89130693644056236</v>
      </c>
      <c r="O463" s="20">
        <v>6890</v>
      </c>
      <c r="P463" s="28">
        <f t="shared" si="437"/>
        <v>5878</v>
      </c>
      <c r="Q463" s="29">
        <f t="shared" si="322"/>
        <v>1.9904729499829875E-2</v>
      </c>
      <c r="R463" s="20">
        <f t="shared" si="440"/>
        <v>17</v>
      </c>
      <c r="S463" s="20">
        <f t="shared" si="443"/>
        <v>1323</v>
      </c>
      <c r="T463" s="20">
        <v>591</v>
      </c>
      <c r="U463" s="20">
        <v>63</v>
      </c>
      <c r="V463" s="19">
        <f t="shared" si="316"/>
        <v>7.1626854674859769E-2</v>
      </c>
      <c r="W463" s="20">
        <f t="shared" ref="W463:X463" si="603">T463-T462</f>
        <v>-8</v>
      </c>
      <c r="X463" s="20">
        <f t="shared" si="603"/>
        <v>-4</v>
      </c>
      <c r="Y463" s="19">
        <f t="shared" si="476"/>
        <v>1.0234475115159491E-2</v>
      </c>
      <c r="Z463" s="19">
        <f t="shared" si="477"/>
        <v>0.1065989847715736</v>
      </c>
      <c r="AA463" s="21">
        <f t="shared" si="348"/>
        <v>0.67847411444141692</v>
      </c>
      <c r="AB463" s="26">
        <f t="shared" si="364"/>
        <v>0.73973489787780833</v>
      </c>
      <c r="AC463" s="23">
        <f t="shared" si="331"/>
        <v>213.42857142857142</v>
      </c>
      <c r="AD463" s="23">
        <f t="shared" si="360"/>
        <v>17.428571428571427</v>
      </c>
      <c r="AE463" s="23">
        <f t="shared" si="332"/>
        <v>12159.142857142857</v>
      </c>
      <c r="AF463" s="25">
        <f t="shared" si="339"/>
        <v>2.6248059578855485E-2</v>
      </c>
      <c r="AG463" s="20">
        <v>5278680</v>
      </c>
      <c r="AH463" s="21">
        <f t="shared" si="449"/>
        <v>16899</v>
      </c>
      <c r="AI463" s="21">
        <f t="shared" si="431"/>
        <v>14578.571428571429</v>
      </c>
      <c r="AJ463" s="20">
        <v>4027056</v>
      </c>
      <c r="AK463" s="20">
        <f t="shared" si="533"/>
        <v>32461</v>
      </c>
      <c r="AL463" s="21">
        <f t="shared" si="464"/>
        <v>53058.428571428572</v>
      </c>
      <c r="AM463" s="26">
        <f t="shared" si="353"/>
        <v>2175</v>
      </c>
    </row>
    <row r="464" spans="1:39" ht="16">
      <c r="A464" s="30">
        <v>44356</v>
      </c>
      <c r="B464" s="20">
        <f t="shared" si="491"/>
        <v>806385</v>
      </c>
      <c r="C464" s="20">
        <v>179</v>
      </c>
      <c r="D464" s="20">
        <v>29889</v>
      </c>
      <c r="E464" s="20">
        <v>720400</v>
      </c>
      <c r="F464" s="20">
        <v>5936304</v>
      </c>
      <c r="G464" s="17">
        <f t="shared" si="586"/>
        <v>605745.30612244899</v>
      </c>
      <c r="H464" s="20"/>
      <c r="I464" s="19">
        <f t="shared" si="234"/>
        <v>2.2202762073217019E-4</v>
      </c>
      <c r="J464" s="19">
        <f t="shared" si="231"/>
        <v>0.13583957290596976</v>
      </c>
      <c r="K464" s="19">
        <f t="shared" si="232"/>
        <v>2.2894793359294272E-3</v>
      </c>
      <c r="L464" s="20">
        <v>56096</v>
      </c>
      <c r="M464" s="19">
        <f t="shared" si="235"/>
        <v>3.7065421603824478E-2</v>
      </c>
      <c r="N464" s="19">
        <f t="shared" si="236"/>
        <v>0.8933697923448477</v>
      </c>
      <c r="O464" s="20">
        <v>6749</v>
      </c>
      <c r="P464" s="28">
        <f t="shared" si="437"/>
        <v>13560</v>
      </c>
      <c r="Q464" s="29">
        <f t="shared" si="322"/>
        <v>1.3200589970501475E-2</v>
      </c>
      <c r="R464" s="20">
        <f t="shared" si="440"/>
        <v>6</v>
      </c>
      <c r="S464" s="20">
        <f t="shared" si="443"/>
        <v>1823</v>
      </c>
      <c r="T464" s="20">
        <v>549</v>
      </c>
      <c r="U464" s="20">
        <v>58</v>
      </c>
      <c r="V464" s="19">
        <f t="shared" si="316"/>
        <v>6.9564786051327834E-2</v>
      </c>
      <c r="W464" s="20">
        <f t="shared" ref="W464:X464" si="604">T464-T463</f>
        <v>-42</v>
      </c>
      <c r="X464" s="20">
        <f t="shared" si="604"/>
        <v>-5</v>
      </c>
      <c r="Y464" s="19">
        <f t="shared" si="476"/>
        <v>9.7867940673131773E-3</v>
      </c>
      <c r="Z464" s="19">
        <f t="shared" si="477"/>
        <v>0.10564663023679417</v>
      </c>
      <c r="AA464" s="21">
        <f t="shared" si="348"/>
        <v>0.61749116607773846</v>
      </c>
      <c r="AB464" s="26">
        <f t="shared" si="364"/>
        <v>0.72478091317303328</v>
      </c>
      <c r="AC464" s="23">
        <f t="shared" si="331"/>
        <v>199.71428571428572</v>
      </c>
      <c r="AD464" s="23">
        <f t="shared" si="360"/>
        <v>16.428571428571427</v>
      </c>
      <c r="AE464" s="23">
        <f t="shared" si="332"/>
        <v>10503.714285714286</v>
      </c>
      <c r="AF464" s="25">
        <f t="shared" si="339"/>
        <v>2.6571677682982887E-2</v>
      </c>
      <c r="AG464" s="20">
        <v>5296926</v>
      </c>
      <c r="AH464" s="21">
        <f t="shared" si="449"/>
        <v>18246</v>
      </c>
      <c r="AI464" s="21">
        <f t="shared" si="431"/>
        <v>12853.571428571429</v>
      </c>
      <c r="AJ464" s="20">
        <v>4073520</v>
      </c>
      <c r="AK464" s="20">
        <f t="shared" si="533"/>
        <v>46464</v>
      </c>
      <c r="AL464" s="21">
        <f t="shared" si="464"/>
        <v>54131.142857142855</v>
      </c>
      <c r="AM464" s="26">
        <f t="shared" si="353"/>
        <v>2146</v>
      </c>
    </row>
    <row r="465" spans="1:39" ht="16">
      <c r="A465" s="30">
        <v>44357</v>
      </c>
      <c r="B465" s="20">
        <f t="shared" si="491"/>
        <v>806591</v>
      </c>
      <c r="C465" s="20">
        <v>206</v>
      </c>
      <c r="D465" s="20">
        <v>29896</v>
      </c>
      <c r="E465" s="20">
        <v>722296</v>
      </c>
      <c r="F465" s="20">
        <v>5948874</v>
      </c>
      <c r="G465" s="17">
        <f t="shared" si="586"/>
        <v>607027.95918367337</v>
      </c>
      <c r="H465" s="20"/>
      <c r="I465" s="19">
        <f t="shared" si="234"/>
        <v>2.554611010869498E-4</v>
      </c>
      <c r="J465" s="19">
        <f t="shared" si="231"/>
        <v>0.13558717162273062</v>
      </c>
      <c r="K465" s="19">
        <f t="shared" si="232"/>
        <v>2.1174791587492822E-3</v>
      </c>
      <c r="L465" s="20">
        <v>54399</v>
      </c>
      <c r="M465" s="19">
        <f t="shared" si="235"/>
        <v>3.7064633748702877E-2</v>
      </c>
      <c r="N465" s="19">
        <f t="shared" si="236"/>
        <v>0.89549226311724284</v>
      </c>
      <c r="O465" s="20">
        <v>6189</v>
      </c>
      <c r="P465" s="28">
        <f t="shared" si="437"/>
        <v>12570</v>
      </c>
      <c r="Q465" s="29">
        <f t="shared" si="322"/>
        <v>1.6388225934765313E-2</v>
      </c>
      <c r="R465" s="20">
        <f t="shared" si="440"/>
        <v>7</v>
      </c>
      <c r="S465" s="20">
        <f t="shared" si="443"/>
        <v>1896</v>
      </c>
      <c r="T465" s="20">
        <v>481</v>
      </c>
      <c r="U465" s="20">
        <v>57</v>
      </c>
      <c r="V465" s="19">
        <f t="shared" si="316"/>
        <v>6.7443103134054314E-2</v>
      </c>
      <c r="W465" s="20">
        <f t="shared" ref="W465:X465" si="605">T465-T464</f>
        <v>-68</v>
      </c>
      <c r="X465" s="20">
        <f t="shared" si="605"/>
        <v>-1</v>
      </c>
      <c r="Y465" s="19">
        <f t="shared" si="476"/>
        <v>8.8420743028364487E-3</v>
      </c>
      <c r="Z465" s="19">
        <f t="shared" si="477"/>
        <v>0.11850311850311851</v>
      </c>
      <c r="AA465" s="21">
        <f t="shared" si="348"/>
        <v>0.59047182775996332</v>
      </c>
      <c r="AB465" s="26">
        <f t="shared" si="364"/>
        <v>0.69577265634007179</v>
      </c>
      <c r="AC465" s="23">
        <f t="shared" si="331"/>
        <v>184.14285714285714</v>
      </c>
      <c r="AD465" s="23">
        <f t="shared" si="360"/>
        <v>14.857142857142858</v>
      </c>
      <c r="AE465" s="23">
        <f t="shared" si="332"/>
        <v>11808.571428571429</v>
      </c>
      <c r="AF465" s="25">
        <f t="shared" si="339"/>
        <v>1.5816228835147099E-2</v>
      </c>
      <c r="AG465" s="20">
        <v>5311475</v>
      </c>
      <c r="AH465" s="21">
        <f t="shared" si="449"/>
        <v>14549</v>
      </c>
      <c r="AI465" s="21">
        <f t="shared" si="431"/>
        <v>12022.428571428571</v>
      </c>
      <c r="AJ465" s="20">
        <v>4112876</v>
      </c>
      <c r="AK465" s="20">
        <f t="shared" si="533"/>
        <v>39356</v>
      </c>
      <c r="AL465" s="21">
        <f t="shared" si="464"/>
        <v>54374.857142857145</v>
      </c>
      <c r="AM465" s="26">
        <f t="shared" si="353"/>
        <v>2014</v>
      </c>
    </row>
    <row r="466" spans="1:39" ht="16">
      <c r="A466" s="30">
        <v>44358</v>
      </c>
      <c r="B466" s="20">
        <f t="shared" si="491"/>
        <v>806790</v>
      </c>
      <c r="C466" s="20">
        <v>199</v>
      </c>
      <c r="D466" s="20">
        <v>29904</v>
      </c>
      <c r="E466" s="20">
        <v>724614</v>
      </c>
      <c r="F466" s="20">
        <v>5962887</v>
      </c>
      <c r="G466" s="17">
        <f t="shared" si="586"/>
        <v>608457.85714285704</v>
      </c>
      <c r="H466" s="20"/>
      <c r="I466" s="19">
        <f t="shared" si="234"/>
        <v>2.4671735737195183E-4</v>
      </c>
      <c r="J466" s="19">
        <f t="shared" si="231"/>
        <v>0.13530190996408284</v>
      </c>
      <c r="K466" s="19">
        <f t="shared" si="232"/>
        <v>2.3555718275424897E-3</v>
      </c>
      <c r="L466" s="20">
        <v>52272</v>
      </c>
      <c r="M466" s="19">
        <f t="shared" si="235"/>
        <v>3.7065407355073812E-2</v>
      </c>
      <c r="N466" s="19">
        <f t="shared" si="236"/>
        <v>0.89814449856840073</v>
      </c>
      <c r="O466" s="20">
        <v>6182</v>
      </c>
      <c r="P466" s="28">
        <f t="shared" si="437"/>
        <v>14013</v>
      </c>
      <c r="Q466" s="29">
        <f t="shared" si="322"/>
        <v>1.4201098979519019E-2</v>
      </c>
      <c r="R466" s="20">
        <f t="shared" si="440"/>
        <v>8</v>
      </c>
      <c r="S466" s="20">
        <f t="shared" si="443"/>
        <v>2318</v>
      </c>
      <c r="T466" s="20">
        <v>442</v>
      </c>
      <c r="U466" s="20">
        <v>51</v>
      </c>
      <c r="V466" s="19">
        <f t="shared" si="316"/>
        <v>6.4790094076525487E-2</v>
      </c>
      <c r="W466" s="20">
        <f t="shared" ref="W466:X466" si="606">T466-T465</f>
        <v>-39</v>
      </c>
      <c r="X466" s="20">
        <f t="shared" si="606"/>
        <v>-6</v>
      </c>
      <c r="Y466" s="19">
        <f t="shared" si="476"/>
        <v>8.4557698194061837E-3</v>
      </c>
      <c r="Z466" s="19">
        <f t="shared" si="477"/>
        <v>0.11538461538461539</v>
      </c>
      <c r="AA466" s="21">
        <f t="shared" si="348"/>
        <v>0.60828343313373257</v>
      </c>
      <c r="AB466" s="26">
        <f t="shared" si="364"/>
        <v>0.67004805743178519</v>
      </c>
      <c r="AC466" s="23">
        <f t="shared" si="331"/>
        <v>174.14285714285714</v>
      </c>
      <c r="AD466" s="23">
        <f t="shared" si="360"/>
        <v>12.285714285714286</v>
      </c>
      <c r="AE466" s="23">
        <f t="shared" si="332"/>
        <v>11142.857142857143</v>
      </c>
      <c r="AF466" s="25">
        <f t="shared" si="339"/>
        <v>1.5786982033000059E-2</v>
      </c>
      <c r="AG466" s="20">
        <v>5324996</v>
      </c>
      <c r="AH466" s="21">
        <f t="shared" si="449"/>
        <v>13521</v>
      </c>
      <c r="AI466" s="21">
        <f t="shared" si="431"/>
        <v>12299</v>
      </c>
      <c r="AJ466" s="20">
        <v>4157681</v>
      </c>
      <c r="AK466" s="20">
        <f t="shared" si="533"/>
        <v>44805</v>
      </c>
      <c r="AL466" s="21">
        <f t="shared" si="464"/>
        <v>49069.571428571428</v>
      </c>
      <c r="AM466" s="26">
        <f t="shared" si="353"/>
        <v>1929.8571428571429</v>
      </c>
    </row>
    <row r="467" spans="1:39" ht="16">
      <c r="A467" s="30">
        <v>44359</v>
      </c>
      <c r="B467" s="20"/>
      <c r="C467" s="20"/>
      <c r="D467" s="20"/>
      <c r="E467" s="20"/>
      <c r="F467" s="20"/>
      <c r="G467" s="17"/>
      <c r="H467" s="20"/>
      <c r="I467" s="19"/>
      <c r="J467" s="19"/>
      <c r="K467" s="19"/>
      <c r="L467" s="20"/>
      <c r="M467" s="19"/>
      <c r="N467" s="19"/>
      <c r="O467" s="20"/>
      <c r="P467" s="28"/>
      <c r="Q467" s="29"/>
      <c r="R467" s="20"/>
      <c r="S467" s="20"/>
      <c r="T467" s="20"/>
      <c r="U467" s="20"/>
      <c r="V467" s="19"/>
      <c r="W467" s="20"/>
      <c r="X467" s="20"/>
      <c r="Y467" s="19"/>
      <c r="Z467" s="19"/>
      <c r="AA467" s="21"/>
      <c r="AB467" s="26"/>
      <c r="AC467" s="23"/>
      <c r="AD467" s="23"/>
      <c r="AE467" s="23"/>
      <c r="AF467" s="25"/>
      <c r="AG467" s="20"/>
      <c r="AH467" s="21"/>
      <c r="AI467" s="21"/>
      <c r="AJ467" s="20"/>
      <c r="AK467" s="20"/>
      <c r="AL467" s="21"/>
      <c r="AM467" s="26"/>
    </row>
    <row r="468" spans="1:39" ht="16">
      <c r="A468" s="30">
        <v>44360</v>
      </c>
      <c r="B468" s="20"/>
      <c r="C468" s="20"/>
      <c r="D468" s="20"/>
      <c r="E468" s="20"/>
      <c r="F468" s="20"/>
      <c r="G468" s="17"/>
      <c r="H468" s="20"/>
      <c r="I468" s="19"/>
      <c r="J468" s="19"/>
      <c r="K468" s="19"/>
      <c r="L468" s="20"/>
      <c r="M468" s="19"/>
      <c r="N468" s="19"/>
      <c r="O468" s="20"/>
      <c r="P468" s="28"/>
      <c r="Q468" s="29"/>
      <c r="R468" s="20"/>
      <c r="S468" s="20"/>
      <c r="T468" s="20"/>
      <c r="U468" s="20"/>
      <c r="V468" s="19"/>
      <c r="W468" s="20"/>
      <c r="X468" s="20"/>
      <c r="Y468" s="19"/>
      <c r="Z468" s="19"/>
      <c r="AA468" s="21"/>
      <c r="AB468" s="26"/>
      <c r="AC468" s="23"/>
      <c r="AD468" s="23"/>
      <c r="AE468" s="23"/>
      <c r="AF468" s="25"/>
      <c r="AG468" s="20"/>
      <c r="AH468" s="21"/>
      <c r="AI468" s="21"/>
      <c r="AJ468" s="20"/>
      <c r="AK468" s="20"/>
      <c r="AL468" s="21"/>
      <c r="AM468" s="26"/>
    </row>
    <row r="469" spans="1:39" ht="16">
      <c r="A469" s="30">
        <v>44361</v>
      </c>
      <c r="B469" s="20">
        <f>B466+C469</f>
        <v>807045</v>
      </c>
      <c r="C469" s="20">
        <v>255</v>
      </c>
      <c r="D469" s="20">
        <v>29925</v>
      </c>
      <c r="E469" s="20">
        <v>730588</v>
      </c>
      <c r="F469" s="20">
        <v>5991170</v>
      </c>
      <c r="G469" s="17">
        <f t="shared" ref="G469:G473" si="607">F469/9.8</f>
        <v>611343.87755102036</v>
      </c>
      <c r="H469" s="20"/>
      <c r="I469" s="19">
        <f>(B469-B466)/B466</f>
        <v>3.1606737812813743E-4</v>
      </c>
      <c r="J469" s="19">
        <f t="shared" ref="J469:J473" si="608">B469/F469</f>
        <v>0.13470574195023677</v>
      </c>
      <c r="K469" s="19">
        <f>(F469-F466)/F466</f>
        <v>4.7431722251318866E-3</v>
      </c>
      <c r="L469" s="20">
        <v>46532</v>
      </c>
      <c r="M469" s="19">
        <f t="shared" ref="M469:M473" si="609">D469/B469</f>
        <v>3.7079716744419455E-2</v>
      </c>
      <c r="N469" s="19">
        <f t="shared" ref="N469:N473" si="610">E469/B469</f>
        <v>0.90526302746439169</v>
      </c>
      <c r="O469" s="20">
        <v>5567</v>
      </c>
      <c r="P469" s="28">
        <f>F469-F466</f>
        <v>28283</v>
      </c>
      <c r="Q469" s="29">
        <f t="shared" ref="Q469:Q473" si="611">C469/P469</f>
        <v>9.0160166884701055E-3</v>
      </c>
      <c r="R469" s="20">
        <f t="shared" ref="R469:S469" si="612">D469-D466</f>
        <v>21</v>
      </c>
      <c r="S469" s="20">
        <f t="shared" si="612"/>
        <v>5974</v>
      </c>
      <c r="T469" s="20">
        <v>406</v>
      </c>
      <c r="U469" s="20">
        <v>47</v>
      </c>
      <c r="V469" s="19">
        <f t="shared" ref="V469:V473" si="613">L469/B469</f>
        <v>5.7657255791188841E-2</v>
      </c>
      <c r="W469" s="20">
        <f t="shared" ref="W469:X469" si="614">T469-T466</f>
        <v>-36</v>
      </c>
      <c r="X469" s="20">
        <f t="shared" si="614"/>
        <v>-4</v>
      </c>
      <c r="Y469" s="19">
        <f t="shared" ref="Y469:Y473" si="615">T469/L469</f>
        <v>8.7251783718731192E-3</v>
      </c>
      <c r="Z469" s="19">
        <f t="shared" ref="Z469:Z473" si="616">U469/T469</f>
        <v>0.11576354679802955</v>
      </c>
      <c r="AA469" s="21">
        <f t="shared" ref="AA469:AA473" si="617">(C463+C464+C465+C466+C467+C468+C469)/(C456+C457+C458+C459+C460+C461+C462)</f>
        <v>0.61637653127014824</v>
      </c>
      <c r="AB469" s="26">
        <f t="shared" ref="AB469:AB473" si="618">SUM(AA463:AA469)/5</f>
        <v>0.62221941453659979</v>
      </c>
      <c r="AC469" s="23">
        <f t="shared" ref="AC469:AC473" si="619">SUM(C463:C469)/7</f>
        <v>136.57142857142858</v>
      </c>
      <c r="AD469" s="23">
        <f t="shared" ref="AD469:AD473" si="620">SUM(R463:R469)/7</f>
        <v>8.4285714285714288</v>
      </c>
      <c r="AE469" s="23">
        <f t="shared" ref="AE469:AE473" si="621">SUM(P463:P469)/7</f>
        <v>10614.857142857143</v>
      </c>
      <c r="AF469" s="25">
        <f t="shared" ref="AF469:AF473" si="622">SUM(Q463:Q469)/5</f>
        <v>1.4542132214617157E-2</v>
      </c>
      <c r="AG469" s="20">
        <v>5342379</v>
      </c>
      <c r="AH469" s="21">
        <f>AG469-AG466</f>
        <v>17383</v>
      </c>
      <c r="AI469" s="21">
        <f t="shared" ref="AI469:AI473" si="623">(SUM(AH463:AH469))/5</f>
        <v>16119.6</v>
      </c>
      <c r="AJ469" s="20">
        <v>4208619</v>
      </c>
      <c r="AK469" s="20">
        <f>AJ469-AJ466</f>
        <v>50938</v>
      </c>
      <c r="AL469" s="21">
        <f t="shared" ref="AL469:AL473" si="624">(SUM(AK463:AK469))/5</f>
        <v>42804.800000000003</v>
      </c>
      <c r="AM469" s="26">
        <f t="shared" ref="AM469:AM473" si="625">SUM(S463:S469)/7</f>
        <v>1904.8571428571429</v>
      </c>
    </row>
    <row r="470" spans="1:39" ht="16">
      <c r="A470" s="30">
        <v>44362</v>
      </c>
      <c r="B470" s="20">
        <f t="shared" ref="B470:B473" si="626">B469+C470</f>
        <v>807102</v>
      </c>
      <c r="C470" s="20">
        <v>57</v>
      </c>
      <c r="D470" s="20">
        <v>29935</v>
      </c>
      <c r="E470" s="20">
        <v>731626</v>
      </c>
      <c r="F470" s="20">
        <v>5996016</v>
      </c>
      <c r="G470" s="17">
        <f t="shared" si="607"/>
        <v>611838.3673469387</v>
      </c>
      <c r="H470" s="20"/>
      <c r="I470" s="19">
        <f t="shared" ref="I470:I473" si="627">(B470-B469)/B469</f>
        <v>7.0628031894132303E-5</v>
      </c>
      <c r="J470" s="19">
        <f t="shared" si="608"/>
        <v>0.13460637863541391</v>
      </c>
      <c r="K470" s="19">
        <f t="shared" ref="K470:K473" si="628">(F470-F469)/F469</f>
        <v>8.0885703460259017E-4</v>
      </c>
      <c r="L470" s="20">
        <v>45541</v>
      </c>
      <c r="M470" s="19">
        <f t="shared" si="609"/>
        <v>3.7089488069661579E-2</v>
      </c>
      <c r="N470" s="19">
        <f t="shared" si="610"/>
        <v>0.90648517783378058</v>
      </c>
      <c r="O470" s="20">
        <v>5182</v>
      </c>
      <c r="P470" s="28">
        <f t="shared" ref="P470:P473" si="629">F470-F469</f>
        <v>4846</v>
      </c>
      <c r="Q470" s="29">
        <f t="shared" si="611"/>
        <v>1.1762278167560874E-2</v>
      </c>
      <c r="R470" s="20">
        <f t="shared" ref="R470:S470" si="630">D470-D469</f>
        <v>10</v>
      </c>
      <c r="S470" s="20">
        <f t="shared" si="630"/>
        <v>1038</v>
      </c>
      <c r="T470" s="20">
        <v>391</v>
      </c>
      <c r="U470" s="20">
        <v>44</v>
      </c>
      <c r="V470" s="19">
        <f t="shared" si="613"/>
        <v>5.6425334096557811E-2</v>
      </c>
      <c r="W470" s="20">
        <f t="shared" ref="W470:X470" si="631">T470-T469</f>
        <v>-15</v>
      </c>
      <c r="X470" s="20">
        <f t="shared" si="631"/>
        <v>-3</v>
      </c>
      <c r="Y470" s="19">
        <f t="shared" si="615"/>
        <v>8.5856700555543355E-3</v>
      </c>
      <c r="Z470" s="19">
        <f t="shared" si="616"/>
        <v>0.11253196930946291</v>
      </c>
      <c r="AA470" s="21">
        <f t="shared" si="617"/>
        <v>0.59973226238286481</v>
      </c>
      <c r="AB470" s="26">
        <f t="shared" si="618"/>
        <v>0.60647104412488939</v>
      </c>
      <c r="AC470" s="23">
        <f t="shared" si="619"/>
        <v>128</v>
      </c>
      <c r="AD470" s="23">
        <f t="shared" si="620"/>
        <v>7.4285714285714288</v>
      </c>
      <c r="AE470" s="23">
        <f t="shared" si="621"/>
        <v>10467.428571428571</v>
      </c>
      <c r="AF470" s="25">
        <f t="shared" si="622"/>
        <v>1.2913641948163357E-2</v>
      </c>
      <c r="AG470" s="20">
        <v>5351972</v>
      </c>
      <c r="AH470" s="21">
        <f t="shared" ref="AH470:AH473" si="632">AG470-AG469</f>
        <v>9593</v>
      </c>
      <c r="AI470" s="21">
        <f t="shared" si="623"/>
        <v>14658.4</v>
      </c>
      <c r="AJ470" s="20">
        <v>4240264</v>
      </c>
      <c r="AK470" s="20">
        <f t="shared" ref="AK470:AK473" si="633">AJ470-AJ469</f>
        <v>31645</v>
      </c>
      <c r="AL470" s="21">
        <f t="shared" si="624"/>
        <v>42641.599999999999</v>
      </c>
      <c r="AM470" s="26">
        <f t="shared" si="625"/>
        <v>1864.1428571428571</v>
      </c>
    </row>
    <row r="471" spans="1:39" ht="16">
      <c r="A471" s="30">
        <v>44363</v>
      </c>
      <c r="B471" s="20">
        <f t="shared" si="626"/>
        <v>807209</v>
      </c>
      <c r="C471" s="20">
        <v>107</v>
      </c>
      <c r="D471" s="20">
        <v>29944</v>
      </c>
      <c r="E471" s="20">
        <v>732901</v>
      </c>
      <c r="F471" s="20">
        <v>6009124</v>
      </c>
      <c r="G471" s="17">
        <f t="shared" si="607"/>
        <v>613175.91836734687</v>
      </c>
      <c r="H471" s="20"/>
      <c r="I471" s="19">
        <f t="shared" si="627"/>
        <v>1.3257308246045728E-4</v>
      </c>
      <c r="J471" s="19">
        <f t="shared" si="608"/>
        <v>0.13433056132640964</v>
      </c>
      <c r="K471" s="19">
        <f t="shared" si="628"/>
        <v>2.1861182491841251E-3</v>
      </c>
      <c r="L471" s="20">
        <v>44364</v>
      </c>
      <c r="M471" s="19">
        <f t="shared" si="609"/>
        <v>3.7095721182494247E-2</v>
      </c>
      <c r="N471" s="19">
        <f t="shared" si="610"/>
        <v>0.90794453481068715</v>
      </c>
      <c r="O471" s="20">
        <v>4665</v>
      </c>
      <c r="P471" s="28">
        <f t="shared" si="629"/>
        <v>13108</v>
      </c>
      <c r="Q471" s="29">
        <f t="shared" si="611"/>
        <v>8.1629539212694537E-3</v>
      </c>
      <c r="R471" s="20">
        <f t="shared" ref="R471:S471" si="634">D471-D470</f>
        <v>9</v>
      </c>
      <c r="S471" s="20">
        <f t="shared" si="634"/>
        <v>1275</v>
      </c>
      <c r="T471" s="20">
        <v>349</v>
      </c>
      <c r="U471" s="20">
        <v>53</v>
      </c>
      <c r="V471" s="19">
        <f t="shared" si="613"/>
        <v>5.4959744006818557E-2</v>
      </c>
      <c r="W471" s="20">
        <f t="shared" ref="W471:X471" si="635">T471-T470</f>
        <v>-42</v>
      </c>
      <c r="X471" s="20">
        <f t="shared" si="635"/>
        <v>9</v>
      </c>
      <c r="Y471" s="19">
        <f t="shared" si="615"/>
        <v>7.8667387972229733E-3</v>
      </c>
      <c r="Z471" s="19">
        <f t="shared" si="616"/>
        <v>0.15186246418338109</v>
      </c>
      <c r="AA471" s="21">
        <f t="shared" si="617"/>
        <v>0.58941344778254645</v>
      </c>
      <c r="AB471" s="26">
        <f t="shared" si="618"/>
        <v>0.60085550046585101</v>
      </c>
      <c r="AC471" s="23">
        <f t="shared" si="619"/>
        <v>117.71428571428571</v>
      </c>
      <c r="AD471" s="23">
        <f t="shared" si="620"/>
        <v>7.8571428571428568</v>
      </c>
      <c r="AE471" s="23">
        <f t="shared" si="621"/>
        <v>10402.857142857143</v>
      </c>
      <c r="AF471" s="25">
        <f t="shared" si="622"/>
        <v>1.1906114738316953E-2</v>
      </c>
      <c r="AG471" s="20">
        <v>5363124</v>
      </c>
      <c r="AH471" s="21">
        <f t="shared" si="632"/>
        <v>11152</v>
      </c>
      <c r="AI471" s="21">
        <f t="shared" si="623"/>
        <v>13239.6</v>
      </c>
      <c r="AJ471" s="20">
        <v>4271990</v>
      </c>
      <c r="AK471" s="20">
        <f t="shared" si="633"/>
        <v>31726</v>
      </c>
      <c r="AL471" s="21">
        <f t="shared" si="624"/>
        <v>39694</v>
      </c>
      <c r="AM471" s="26">
        <f t="shared" si="625"/>
        <v>1785.8571428571429</v>
      </c>
    </row>
    <row r="472" spans="1:39" ht="16">
      <c r="A472" s="30">
        <v>44364</v>
      </c>
      <c r="B472" s="20">
        <f t="shared" si="626"/>
        <v>807322</v>
      </c>
      <c r="C472" s="20">
        <v>113</v>
      </c>
      <c r="D472" s="20">
        <v>29948</v>
      </c>
      <c r="E472" s="20">
        <v>733907</v>
      </c>
      <c r="F472" s="20">
        <v>6020027</v>
      </c>
      <c r="G472" s="17">
        <f t="shared" si="607"/>
        <v>614288.46938775503</v>
      </c>
      <c r="H472" s="20"/>
      <c r="I472" s="19">
        <f t="shared" si="627"/>
        <v>1.3998852837369255E-4</v>
      </c>
      <c r="J472" s="19">
        <f t="shared" si="608"/>
        <v>0.13410604304598633</v>
      </c>
      <c r="K472" s="19">
        <f t="shared" si="628"/>
        <v>1.8144075575741157E-3</v>
      </c>
      <c r="L472" s="20">
        <v>43467</v>
      </c>
      <c r="M472" s="19">
        <f t="shared" si="609"/>
        <v>3.7095483586474791E-2</v>
      </c>
      <c r="N472" s="19">
        <f t="shared" si="610"/>
        <v>0.90906354589618521</v>
      </c>
      <c r="O472" s="20">
        <v>4411</v>
      </c>
      <c r="P472" s="28">
        <f t="shared" si="629"/>
        <v>10903</v>
      </c>
      <c r="Q472" s="29">
        <f t="shared" si="611"/>
        <v>1.0364119966981564E-2</v>
      </c>
      <c r="R472" s="20">
        <f t="shared" ref="R472:S472" si="636">D472-D471</f>
        <v>4</v>
      </c>
      <c r="S472" s="20">
        <f t="shared" si="636"/>
        <v>1006</v>
      </c>
      <c r="T472" s="20">
        <v>320</v>
      </c>
      <c r="U472" s="20">
        <v>45</v>
      </c>
      <c r="V472" s="19">
        <f t="shared" si="613"/>
        <v>5.3840970517340048E-2</v>
      </c>
      <c r="W472" s="20">
        <f t="shared" ref="W472:X472" si="637">T472-T471</f>
        <v>-29</v>
      </c>
      <c r="X472" s="20">
        <f t="shared" si="637"/>
        <v>-8</v>
      </c>
      <c r="Y472" s="19">
        <f t="shared" si="615"/>
        <v>7.3619067338440659E-3</v>
      </c>
      <c r="Z472" s="19">
        <f t="shared" si="616"/>
        <v>0.140625</v>
      </c>
      <c r="AA472" s="21">
        <f t="shared" si="617"/>
        <v>0.56710628394103957</v>
      </c>
      <c r="AB472" s="26">
        <f t="shared" si="618"/>
        <v>0.59618239170206633</v>
      </c>
      <c r="AC472" s="23">
        <f t="shared" si="619"/>
        <v>104.42857142857143</v>
      </c>
      <c r="AD472" s="23">
        <f t="shared" si="620"/>
        <v>7.4285714285714288</v>
      </c>
      <c r="AE472" s="23">
        <f t="shared" si="621"/>
        <v>10164.714285714286</v>
      </c>
      <c r="AF472" s="25">
        <f t="shared" si="622"/>
        <v>1.0701293544760203E-2</v>
      </c>
      <c r="AG472" s="20">
        <v>5375923</v>
      </c>
      <c r="AH472" s="21">
        <f t="shared" si="632"/>
        <v>12799</v>
      </c>
      <c r="AI472" s="21">
        <f t="shared" si="623"/>
        <v>12889.6</v>
      </c>
      <c r="AJ472" s="20">
        <v>4299073</v>
      </c>
      <c r="AK472" s="20">
        <f t="shared" si="633"/>
        <v>27083</v>
      </c>
      <c r="AL472" s="21">
        <f t="shared" si="624"/>
        <v>37239.4</v>
      </c>
      <c r="AM472" s="26">
        <f t="shared" si="625"/>
        <v>1658.7142857142858</v>
      </c>
    </row>
    <row r="473" spans="1:39" ht="16">
      <c r="A473" s="30">
        <v>44365</v>
      </c>
      <c r="B473" s="20">
        <f t="shared" si="626"/>
        <v>807428</v>
      </c>
      <c r="C473" s="20">
        <v>106</v>
      </c>
      <c r="D473" s="20">
        <v>29950</v>
      </c>
      <c r="E473" s="20">
        <v>734627</v>
      </c>
      <c r="F473" s="20">
        <v>6033519</v>
      </c>
      <c r="G473" s="17">
        <f t="shared" si="607"/>
        <v>615665.20408163266</v>
      </c>
      <c r="H473" s="20"/>
      <c r="I473" s="19">
        <f t="shared" si="627"/>
        <v>1.3129829237900118E-4</v>
      </c>
      <c r="J473" s="19">
        <f t="shared" si="608"/>
        <v>0.13382372708198981</v>
      </c>
      <c r="K473" s="19">
        <f t="shared" si="628"/>
        <v>2.2411859614583124E-3</v>
      </c>
      <c r="L473" s="20">
        <v>42851</v>
      </c>
      <c r="M473" s="19">
        <f t="shared" si="609"/>
        <v>3.7093090653284255E-2</v>
      </c>
      <c r="N473" s="19">
        <f t="shared" si="610"/>
        <v>0.9098359234507597</v>
      </c>
      <c r="O473" s="20">
        <v>4044</v>
      </c>
      <c r="P473" s="28">
        <f t="shared" si="629"/>
        <v>13492</v>
      </c>
      <c r="Q473" s="29">
        <f t="shared" si="611"/>
        <v>7.8565075600355774E-3</v>
      </c>
      <c r="R473" s="20">
        <f t="shared" ref="R473:S473" si="638">D473-D472</f>
        <v>2</v>
      </c>
      <c r="S473" s="20">
        <f t="shared" si="638"/>
        <v>720</v>
      </c>
      <c r="T473" s="20">
        <v>289</v>
      </c>
      <c r="U473" s="20">
        <v>43</v>
      </c>
      <c r="V473" s="19">
        <f t="shared" si="613"/>
        <v>5.3070985895956047E-2</v>
      </c>
      <c r="W473" s="20">
        <f t="shared" ref="W473:X473" si="639">T473-T472</f>
        <v>-31</v>
      </c>
      <c r="X473" s="20">
        <f t="shared" si="639"/>
        <v>-2</v>
      </c>
      <c r="Y473" s="19">
        <f t="shared" si="615"/>
        <v>6.7443000163356749E-3</v>
      </c>
      <c r="Z473" s="19">
        <f t="shared" si="616"/>
        <v>0.14878892733564014</v>
      </c>
      <c r="AA473" s="21">
        <f t="shared" si="617"/>
        <v>0.52337981952420021</v>
      </c>
      <c r="AB473" s="26">
        <f t="shared" si="618"/>
        <v>0.57920166898015979</v>
      </c>
      <c r="AC473" s="23">
        <f t="shared" si="619"/>
        <v>91.142857142857139</v>
      </c>
      <c r="AD473" s="23">
        <f t="shared" si="620"/>
        <v>6.5714285714285712</v>
      </c>
      <c r="AE473" s="23">
        <f t="shared" si="621"/>
        <v>10090.285714285714</v>
      </c>
      <c r="AF473" s="25">
        <f t="shared" si="622"/>
        <v>9.4323752608635146E-3</v>
      </c>
      <c r="AG473" s="20">
        <v>5389058</v>
      </c>
      <c r="AH473" s="21">
        <f t="shared" si="632"/>
        <v>13135</v>
      </c>
      <c r="AI473" s="21">
        <f t="shared" si="623"/>
        <v>12812.4</v>
      </c>
      <c r="AJ473" s="20">
        <v>4360313</v>
      </c>
      <c r="AK473" s="20">
        <f t="shared" si="633"/>
        <v>61240</v>
      </c>
      <c r="AL473" s="21">
        <f t="shared" si="624"/>
        <v>40526.400000000001</v>
      </c>
      <c r="AM473" s="26">
        <f t="shared" si="625"/>
        <v>1430.4285714285713</v>
      </c>
    </row>
    <row r="474" spans="1:39" ht="16">
      <c r="A474" s="30">
        <v>44366</v>
      </c>
      <c r="F474" s="20"/>
      <c r="G474" s="20"/>
      <c r="H474" s="20"/>
      <c r="I474" s="20"/>
      <c r="J474" s="20"/>
      <c r="K474" s="20"/>
      <c r="M474" s="20"/>
      <c r="N474" s="20"/>
      <c r="O474" s="20"/>
      <c r="P474" s="28"/>
      <c r="Q474" s="28"/>
      <c r="R474" s="20"/>
      <c r="S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H474" s="21"/>
      <c r="AI474" s="21"/>
      <c r="AK474" s="20"/>
      <c r="AL474" s="21"/>
      <c r="AM474" s="26"/>
    </row>
    <row r="475" spans="1:39" ht="13">
      <c r="A475" s="30">
        <v>44367</v>
      </c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8"/>
      <c r="Q475" s="28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</row>
    <row r="476" spans="1:39" ht="16">
      <c r="A476" s="30">
        <v>44368</v>
      </c>
      <c r="B476" s="20">
        <f>B473+C476</f>
        <v>807630</v>
      </c>
      <c r="C476" s="20">
        <v>202</v>
      </c>
      <c r="D476" s="20">
        <v>29959</v>
      </c>
      <c r="E476" s="20">
        <v>735574</v>
      </c>
      <c r="F476" s="20">
        <v>6058488</v>
      </c>
      <c r="G476" s="17">
        <f t="shared" ref="G476:G480" si="640">F476/9.8</f>
        <v>618213.06122448971</v>
      </c>
      <c r="H476" s="20"/>
      <c r="I476" s="19">
        <f>(B476-B473)/B473</f>
        <v>2.5017710557473854E-4</v>
      </c>
      <c r="J476" s="19">
        <f t="shared" ref="J476:J480" si="641">B476/F476</f>
        <v>0.13330553761928718</v>
      </c>
      <c r="K476" s="19">
        <f>(F476-F473)/F473</f>
        <v>4.1383809349071409E-3</v>
      </c>
      <c r="L476" s="20">
        <v>42097</v>
      </c>
      <c r="M476" s="19">
        <f t="shared" ref="M476:M480" si="642">D476/B476</f>
        <v>3.7094956849052167E-2</v>
      </c>
      <c r="N476" s="19">
        <f t="shared" ref="N476:N480" si="643">E476/B476</f>
        <v>0.91078092690959966</v>
      </c>
      <c r="O476" s="20">
        <v>3969</v>
      </c>
      <c r="P476" s="28">
        <f>F476-F473</f>
        <v>24969</v>
      </c>
      <c r="Q476" s="29">
        <f t="shared" ref="Q476:Q480" si="644">C476/P476</f>
        <v>8.0900316392326487E-3</v>
      </c>
      <c r="R476" s="20">
        <f t="shared" ref="R476:S476" si="645">D476-D473</f>
        <v>9</v>
      </c>
      <c r="S476" s="20">
        <f t="shared" si="645"/>
        <v>947</v>
      </c>
      <c r="T476" s="20">
        <v>275</v>
      </c>
      <c r="U476" s="20">
        <v>37</v>
      </c>
      <c r="V476" s="19">
        <f t="shared" ref="V476:V480" si="646">L476/B476</f>
        <v>5.2124116241348141E-2</v>
      </c>
      <c r="W476" s="20">
        <f t="shared" ref="W476:X476" si="647">T476-T473</f>
        <v>-14</v>
      </c>
      <c r="X476" s="20">
        <f t="shared" si="647"/>
        <v>-6</v>
      </c>
      <c r="Y476" s="19">
        <f t="shared" ref="Y476:Y480" si="648">T476/L476</f>
        <v>6.5325320094068457E-3</v>
      </c>
      <c r="Z476" s="19">
        <f t="shared" ref="Z476:Z480" si="649">U476/T476</f>
        <v>0.13454545454545455</v>
      </c>
      <c r="AA476" s="21">
        <f t="shared" ref="AA476:AA480" si="650">(C470+C471+C472+C473+C474+C475+C476)/(C463+C464+C465+C466+C467+C468+C469)</f>
        <v>0.61192468619246865</v>
      </c>
      <c r="AB476" s="26">
        <f t="shared" ref="AB476:AB480" si="651">SUM(AA470:AA476)/5</f>
        <v>0.57831129996462394</v>
      </c>
      <c r="AC476" s="23">
        <f t="shared" ref="AC476:AC480" si="652">SUM(C470:C476)/7</f>
        <v>83.571428571428569</v>
      </c>
      <c r="AD476" s="23">
        <f t="shared" ref="AD476:AD480" si="653">SUM(R470:R476)/7</f>
        <v>4.8571428571428568</v>
      </c>
      <c r="AE476" s="23">
        <f t="shared" ref="AE476:AE480" si="654">SUM(P470:P476)/7</f>
        <v>9616.8571428571431</v>
      </c>
      <c r="AF476" s="25">
        <f t="shared" ref="AF476:AF480" si="655">SUM(Q470:Q476)/5</f>
        <v>9.2471782510160239E-3</v>
      </c>
      <c r="AG476" s="20">
        <v>5411431</v>
      </c>
      <c r="AH476" s="21">
        <f>AG476-AG473</f>
        <v>22373</v>
      </c>
      <c r="AI476" s="21">
        <f t="shared" ref="AI476:AI480" si="656">(SUM(AH470:AH476))/5</f>
        <v>13810.4</v>
      </c>
      <c r="AJ476" s="20">
        <v>4491113</v>
      </c>
      <c r="AK476" s="20">
        <f>AJ476-AJ473</f>
        <v>130800</v>
      </c>
      <c r="AL476" s="21">
        <f t="shared" ref="AL476:AL480" si="657">(SUM(AK470:AK476))/5</f>
        <v>56498.8</v>
      </c>
      <c r="AM476" s="26">
        <f t="shared" ref="AM476:AM480" si="658">SUM(S470:S476)/7</f>
        <v>712.28571428571433</v>
      </c>
    </row>
    <row r="477" spans="1:39" ht="16">
      <c r="A477" s="30">
        <v>44369</v>
      </c>
      <c r="B477" s="20">
        <f t="shared" ref="B477:B480" si="659">B476+C477</f>
        <v>807684</v>
      </c>
      <c r="C477" s="20">
        <v>54</v>
      </c>
      <c r="D477" s="20">
        <v>29963</v>
      </c>
      <c r="E477" s="20">
        <v>735937</v>
      </c>
      <c r="F477" s="20">
        <v>6062806</v>
      </c>
      <c r="G477" s="17">
        <f t="shared" si="640"/>
        <v>618653.67346938769</v>
      </c>
      <c r="H477" s="20"/>
      <c r="I477" s="19">
        <f t="shared" ref="I477:I480" si="660">(B477-B476)/B476</f>
        <v>6.6862300806062186E-5</v>
      </c>
      <c r="J477" s="19">
        <f t="shared" si="641"/>
        <v>0.13321950265273208</v>
      </c>
      <c r="K477" s="19">
        <f t="shared" ref="K477:K480" si="661">(F477-F476)/F476</f>
        <v>7.127190810644504E-4</v>
      </c>
      <c r="L477" s="20">
        <v>41784</v>
      </c>
      <c r="M477" s="19">
        <f t="shared" si="642"/>
        <v>3.709742919260503E-2</v>
      </c>
      <c r="N477" s="19">
        <f t="shared" si="643"/>
        <v>0.9111694672669014</v>
      </c>
      <c r="O477" s="20">
        <v>3866</v>
      </c>
      <c r="P477" s="28">
        <f t="shared" ref="P477:P480" si="662">F477-F476</f>
        <v>4318</v>
      </c>
      <c r="Q477" s="29">
        <f t="shared" si="644"/>
        <v>1.2505789717461788E-2</v>
      </c>
      <c r="R477" s="20">
        <f t="shared" ref="R477:S477" si="663">D477-D476</f>
        <v>4</v>
      </c>
      <c r="S477" s="20">
        <f t="shared" si="663"/>
        <v>363</v>
      </c>
      <c r="T477" s="20">
        <v>281</v>
      </c>
      <c r="U477" s="20">
        <v>32</v>
      </c>
      <c r="V477" s="19">
        <f t="shared" si="646"/>
        <v>5.1733103540493562E-2</v>
      </c>
      <c r="W477" s="20">
        <f t="shared" ref="W477:X477" si="664">T477-T476</f>
        <v>6</v>
      </c>
      <c r="X477" s="20">
        <f t="shared" si="664"/>
        <v>-5</v>
      </c>
      <c r="Y477" s="19">
        <f t="shared" si="648"/>
        <v>6.7250622247750332E-3</v>
      </c>
      <c r="Z477" s="19">
        <f t="shared" si="649"/>
        <v>0.11387900355871886</v>
      </c>
      <c r="AA477" s="21">
        <f t="shared" si="650"/>
        <v>0.6495535714285714</v>
      </c>
      <c r="AB477" s="26">
        <f t="shared" si="651"/>
        <v>0.58827556177376528</v>
      </c>
      <c r="AC477" s="23">
        <f t="shared" si="652"/>
        <v>83.142857142857139</v>
      </c>
      <c r="AD477" s="23">
        <f t="shared" si="653"/>
        <v>4</v>
      </c>
      <c r="AE477" s="23">
        <f t="shared" si="654"/>
        <v>9541.4285714285706</v>
      </c>
      <c r="AF477" s="25">
        <f t="shared" si="655"/>
        <v>9.3958805609962066E-3</v>
      </c>
      <c r="AG477" s="20">
        <v>5421230</v>
      </c>
      <c r="AH477" s="21">
        <f t="shared" ref="AH477:AH480" si="665">AG477-AG476</f>
        <v>9799</v>
      </c>
      <c r="AI477" s="21">
        <f t="shared" si="656"/>
        <v>13851.6</v>
      </c>
      <c r="AJ477" s="20">
        <v>4555029</v>
      </c>
      <c r="AK477" s="20">
        <f t="shared" ref="AK477:AK480" si="666">AJ477-AJ476</f>
        <v>63916</v>
      </c>
      <c r="AL477" s="21">
        <f t="shared" si="657"/>
        <v>62953</v>
      </c>
      <c r="AM477" s="26">
        <f t="shared" si="658"/>
        <v>615.85714285714289</v>
      </c>
    </row>
    <row r="478" spans="1:39" ht="16">
      <c r="A478" s="30">
        <v>44370</v>
      </c>
      <c r="B478" s="20">
        <f t="shared" si="659"/>
        <v>807775</v>
      </c>
      <c r="C478" s="20">
        <v>91</v>
      </c>
      <c r="D478" s="20">
        <v>29971</v>
      </c>
      <c r="E478" s="20">
        <v>736387</v>
      </c>
      <c r="F478" s="20">
        <v>6073516</v>
      </c>
      <c r="G478" s="17">
        <f t="shared" si="640"/>
        <v>619746.53061224485</v>
      </c>
      <c r="H478" s="20"/>
      <c r="I478" s="19">
        <f t="shared" si="660"/>
        <v>1.1266782553572932E-4</v>
      </c>
      <c r="J478" s="19">
        <f t="shared" si="641"/>
        <v>0.13299956730170795</v>
      </c>
      <c r="K478" s="19">
        <f t="shared" si="661"/>
        <v>1.76650877497977E-3</v>
      </c>
      <c r="L478" s="20">
        <v>41417</v>
      </c>
      <c r="M478" s="19">
        <f t="shared" si="642"/>
        <v>3.7103153724737707E-2</v>
      </c>
      <c r="N478" s="19">
        <f t="shared" si="643"/>
        <v>0.9116239051716134</v>
      </c>
      <c r="O478" s="20">
        <v>3322</v>
      </c>
      <c r="P478" s="28">
        <f t="shared" si="662"/>
        <v>10710</v>
      </c>
      <c r="Q478" s="29">
        <f t="shared" si="644"/>
        <v>8.4967320261437902E-3</v>
      </c>
      <c r="R478" s="20">
        <f t="shared" ref="R478:S478" si="667">D478-D477</f>
        <v>8</v>
      </c>
      <c r="S478" s="20">
        <f t="shared" si="667"/>
        <v>450</v>
      </c>
      <c r="T478" s="20">
        <v>241</v>
      </c>
      <c r="U478" s="20">
        <v>32</v>
      </c>
      <c r="V478" s="19">
        <f t="shared" si="646"/>
        <v>5.1272941103648911E-2</v>
      </c>
      <c r="W478" s="20">
        <f t="shared" ref="W478:X478" si="668">T478-T477</f>
        <v>-40</v>
      </c>
      <c r="X478" s="20">
        <f t="shared" si="668"/>
        <v>0</v>
      </c>
      <c r="Y478" s="19">
        <f t="shared" si="648"/>
        <v>5.8188666489605717E-3</v>
      </c>
      <c r="Z478" s="19">
        <f t="shared" si="649"/>
        <v>0.13278008298755187</v>
      </c>
      <c r="AA478" s="21">
        <f t="shared" si="650"/>
        <v>0.68689320388349517</v>
      </c>
      <c r="AB478" s="26">
        <f t="shared" si="651"/>
        <v>0.60777151299395504</v>
      </c>
      <c r="AC478" s="23">
        <f t="shared" si="652"/>
        <v>80.857142857142861</v>
      </c>
      <c r="AD478" s="23">
        <f t="shared" si="653"/>
        <v>3.8571428571428572</v>
      </c>
      <c r="AE478" s="23">
        <f t="shared" si="654"/>
        <v>9198.8571428571431</v>
      </c>
      <c r="AF478" s="25">
        <f t="shared" si="655"/>
        <v>9.4626361819710736E-3</v>
      </c>
      <c r="AG478" s="20">
        <v>5431713</v>
      </c>
      <c r="AH478" s="21">
        <f t="shared" si="665"/>
        <v>10483</v>
      </c>
      <c r="AI478" s="21">
        <f t="shared" si="656"/>
        <v>13717.8</v>
      </c>
      <c r="AJ478" s="20">
        <v>4619877</v>
      </c>
      <c r="AK478" s="20">
        <f t="shared" si="666"/>
        <v>64848</v>
      </c>
      <c r="AL478" s="21">
        <f t="shared" si="657"/>
        <v>69577.399999999994</v>
      </c>
      <c r="AM478" s="26">
        <f t="shared" si="658"/>
        <v>498</v>
      </c>
    </row>
    <row r="479" spans="1:39" ht="16">
      <c r="A479" s="30">
        <v>44371</v>
      </c>
      <c r="B479" s="20">
        <f t="shared" si="659"/>
        <v>807844</v>
      </c>
      <c r="C479" s="20">
        <v>69</v>
      </c>
      <c r="D479" s="20">
        <v>29972</v>
      </c>
      <c r="E479" s="20">
        <v>736854</v>
      </c>
      <c r="F479" s="20">
        <v>6083248</v>
      </c>
      <c r="G479" s="17">
        <f t="shared" si="640"/>
        <v>620739.59183673467</v>
      </c>
      <c r="H479" s="20"/>
      <c r="I479" s="19">
        <f t="shared" si="660"/>
        <v>8.5419826065426637E-5</v>
      </c>
      <c r="J479" s="19">
        <f t="shared" si="641"/>
        <v>0.13279813678482286</v>
      </c>
      <c r="K479" s="19">
        <f t="shared" si="661"/>
        <v>1.6023667345241208E-3</v>
      </c>
      <c r="L479" s="20">
        <v>41018</v>
      </c>
      <c r="M479" s="19">
        <f t="shared" si="642"/>
        <v>3.7101222513257509E-2</v>
      </c>
      <c r="N479" s="19">
        <f t="shared" si="643"/>
        <v>0.91212412297423762</v>
      </c>
      <c r="O479" s="20">
        <v>2973</v>
      </c>
      <c r="P479" s="28">
        <f t="shared" si="662"/>
        <v>9732</v>
      </c>
      <c r="Q479" s="29">
        <f t="shared" si="644"/>
        <v>7.0900123304562272E-3</v>
      </c>
      <c r="R479" s="20">
        <f t="shared" ref="R479:S479" si="669">D479-D478</f>
        <v>1</v>
      </c>
      <c r="S479" s="20">
        <f t="shared" si="669"/>
        <v>467</v>
      </c>
      <c r="T479" s="20">
        <v>215</v>
      </c>
      <c r="U479" s="20">
        <v>30</v>
      </c>
      <c r="V479" s="19">
        <f t="shared" si="646"/>
        <v>5.0774654512504888E-2</v>
      </c>
      <c r="W479" s="20">
        <f t="shared" ref="W479:X479" si="670">T479-T478</f>
        <v>-26</v>
      </c>
      <c r="X479" s="20">
        <f t="shared" si="670"/>
        <v>-2</v>
      </c>
      <c r="Y479" s="19">
        <f t="shared" si="648"/>
        <v>5.2416012482324834E-3</v>
      </c>
      <c r="Z479" s="19">
        <f t="shared" si="649"/>
        <v>0.13953488372093023</v>
      </c>
      <c r="AA479" s="21">
        <f t="shared" si="650"/>
        <v>0.71409028727770174</v>
      </c>
      <c r="AB479" s="26">
        <f t="shared" si="651"/>
        <v>0.63716831366128746</v>
      </c>
      <c r="AC479" s="23">
        <f t="shared" si="652"/>
        <v>74.571428571428569</v>
      </c>
      <c r="AD479" s="23">
        <f t="shared" si="653"/>
        <v>3.4285714285714284</v>
      </c>
      <c r="AE479" s="23">
        <f t="shared" si="654"/>
        <v>9031.5714285714294</v>
      </c>
      <c r="AF479" s="25">
        <f t="shared" si="655"/>
        <v>8.807814654666006E-3</v>
      </c>
      <c r="AG479" s="20">
        <v>5445544</v>
      </c>
      <c r="AH479" s="21">
        <f t="shared" si="665"/>
        <v>13831</v>
      </c>
      <c r="AI479" s="21">
        <f t="shared" si="656"/>
        <v>13924.2</v>
      </c>
      <c r="AJ479" s="20">
        <v>4657776</v>
      </c>
      <c r="AK479" s="20">
        <f t="shared" si="666"/>
        <v>37899</v>
      </c>
      <c r="AL479" s="21">
        <f t="shared" si="657"/>
        <v>71740.600000000006</v>
      </c>
      <c r="AM479" s="26">
        <f t="shared" si="658"/>
        <v>421</v>
      </c>
    </row>
    <row r="480" spans="1:39" ht="16">
      <c r="A480" s="30">
        <v>44372</v>
      </c>
      <c r="B480" s="20">
        <f t="shared" si="659"/>
        <v>807910</v>
      </c>
      <c r="C480" s="20">
        <v>66</v>
      </c>
      <c r="D480" s="20">
        <v>29980</v>
      </c>
      <c r="E480" s="20">
        <v>737233</v>
      </c>
      <c r="F480" s="20">
        <v>6094415</v>
      </c>
      <c r="G480" s="17">
        <f t="shared" si="640"/>
        <v>621879.08163265302</v>
      </c>
      <c r="H480" s="20"/>
      <c r="I480" s="19">
        <f t="shared" si="660"/>
        <v>8.1698941874916442E-5</v>
      </c>
      <c r="J480" s="19">
        <f t="shared" si="641"/>
        <v>0.13256563591419357</v>
      </c>
      <c r="K480" s="19">
        <f t="shared" si="661"/>
        <v>1.8356969829275414E-3</v>
      </c>
      <c r="L480" s="20">
        <v>40697</v>
      </c>
      <c r="M480" s="19">
        <f t="shared" si="642"/>
        <v>3.7108093723310767E-2</v>
      </c>
      <c r="N480" s="19">
        <f t="shared" si="643"/>
        <v>0.91251872114468191</v>
      </c>
      <c r="O480" s="20">
        <v>2701</v>
      </c>
      <c r="P480" s="28">
        <f t="shared" si="662"/>
        <v>11167</v>
      </c>
      <c r="Q480" s="29">
        <f t="shared" si="644"/>
        <v>5.9102713351840246E-3</v>
      </c>
      <c r="R480" s="20">
        <f t="shared" ref="R480:S480" si="671">D480-D479</f>
        <v>8</v>
      </c>
      <c r="S480" s="20">
        <f t="shared" si="671"/>
        <v>379</v>
      </c>
      <c r="T480" s="20">
        <v>182</v>
      </c>
      <c r="U480" s="20">
        <v>22</v>
      </c>
      <c r="V480" s="19">
        <f t="shared" si="646"/>
        <v>5.0373185132007281E-2</v>
      </c>
      <c r="W480" s="20">
        <f t="shared" ref="W480:X480" si="672">T480-T479</f>
        <v>-33</v>
      </c>
      <c r="X480" s="20">
        <f t="shared" si="672"/>
        <v>-8</v>
      </c>
      <c r="Y480" s="19">
        <f t="shared" si="648"/>
        <v>4.4720741086566578E-3</v>
      </c>
      <c r="Z480" s="19">
        <f t="shared" si="649"/>
        <v>0.12087912087912088</v>
      </c>
      <c r="AA480" s="21">
        <f t="shared" si="650"/>
        <v>0.75548589341692785</v>
      </c>
      <c r="AB480" s="26">
        <f t="shared" si="651"/>
        <v>0.68358952843983289</v>
      </c>
      <c r="AC480" s="23">
        <f t="shared" si="652"/>
        <v>68.857142857142861</v>
      </c>
      <c r="AD480" s="23">
        <f t="shared" si="653"/>
        <v>4.2857142857142856</v>
      </c>
      <c r="AE480" s="23">
        <f t="shared" si="654"/>
        <v>8699.4285714285706</v>
      </c>
      <c r="AF480" s="25">
        <f t="shared" si="655"/>
        <v>8.4185674096956958E-3</v>
      </c>
      <c r="AG480" s="20">
        <v>5454866</v>
      </c>
      <c r="AH480" s="21">
        <f t="shared" si="665"/>
        <v>9322</v>
      </c>
      <c r="AI480" s="21">
        <f t="shared" si="656"/>
        <v>13161.6</v>
      </c>
      <c r="AJ480" s="20">
        <v>4728655</v>
      </c>
      <c r="AK480" s="20">
        <f t="shared" si="666"/>
        <v>70879</v>
      </c>
      <c r="AL480" s="21">
        <f t="shared" si="657"/>
        <v>73668.399999999994</v>
      </c>
      <c r="AM480" s="26">
        <f t="shared" si="658"/>
        <v>372.28571428571428</v>
      </c>
    </row>
    <row r="481" spans="1:39" ht="13">
      <c r="A481" s="30">
        <v>44373</v>
      </c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8"/>
      <c r="Q481" s="28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</row>
    <row r="482" spans="1:39" ht="13">
      <c r="A482" s="30">
        <v>44374</v>
      </c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8"/>
      <c r="Q482" s="28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</row>
    <row r="483" spans="1:39" ht="16">
      <c r="A483" s="30">
        <v>44375</v>
      </c>
      <c r="B483" s="20">
        <f>B480+C483</f>
        <v>808042</v>
      </c>
      <c r="C483" s="20">
        <v>132</v>
      </c>
      <c r="D483" s="20">
        <v>29989</v>
      </c>
      <c r="E483" s="20">
        <v>738391</v>
      </c>
      <c r="F483" s="20">
        <v>6116542</v>
      </c>
      <c r="G483" s="17">
        <f t="shared" ref="G483:G487" si="673">F483/9.8</f>
        <v>624136.93877551018</v>
      </c>
      <c r="H483" s="20"/>
      <c r="I483" s="19">
        <f>(B483-B480)/B480</f>
        <v>1.6338453540617147E-4</v>
      </c>
      <c r="J483" s="19">
        <f t="shared" ref="J483:J487" si="674">B483/F483</f>
        <v>0.13210765167638838</v>
      </c>
      <c r="K483" s="19">
        <f>(F483-F480)/F480</f>
        <v>3.630701223989505E-3</v>
      </c>
      <c r="L483" s="20">
        <v>39662</v>
      </c>
      <c r="M483" s="19">
        <f t="shared" ref="M483:M487" si="675">D483/B483</f>
        <v>3.7113169859982524E-2</v>
      </c>
      <c r="N483" s="19">
        <f t="shared" ref="N483:N487" si="676">E483/B483</f>
        <v>0.9138027478769668</v>
      </c>
      <c r="O483" s="20">
        <v>2614</v>
      </c>
      <c r="P483" s="28">
        <f>F483-F480</f>
        <v>22127</v>
      </c>
      <c r="Q483" s="29">
        <f t="shared" ref="Q483:Q487" si="677">C483/P483</f>
        <v>5.9655624350341213E-3</v>
      </c>
      <c r="R483" s="20">
        <f t="shared" ref="R483:S483" si="678">D483-D480</f>
        <v>9</v>
      </c>
      <c r="S483" s="20">
        <f t="shared" si="678"/>
        <v>1158</v>
      </c>
      <c r="T483" s="20">
        <v>157</v>
      </c>
      <c r="U483" s="20">
        <v>24</v>
      </c>
      <c r="V483" s="19">
        <f t="shared" ref="V483:V487" si="679">L483/B483</f>
        <v>4.908408226305068E-2</v>
      </c>
      <c r="W483" s="20">
        <f t="shared" ref="W483:X483" si="680">T483-T480</f>
        <v>-25</v>
      </c>
      <c r="X483" s="20">
        <f t="shared" si="680"/>
        <v>2</v>
      </c>
      <c r="Y483" s="19">
        <f t="shared" ref="Y483:Y487" si="681">T483/L483</f>
        <v>3.9584488931470926E-3</v>
      </c>
      <c r="Z483" s="19">
        <f t="shared" ref="Z483:Z487" si="682">U483/T483</f>
        <v>0.15286624203821655</v>
      </c>
      <c r="AA483" s="21">
        <f t="shared" ref="AA483:AA487" si="683">(C477+C478+C479+C480+C481+C482+C483)/(C470+C471+C472+C473+C474+C475+C476)</f>
        <v>0.70427350427350432</v>
      </c>
      <c r="AB483" s="26">
        <f t="shared" ref="AB483:AB487" si="684">SUM(AA477:AA483)/5</f>
        <v>0.70205929205604012</v>
      </c>
      <c r="AC483" s="23">
        <f t="shared" ref="AC483:AC487" si="685">SUM(C477:C483)/7</f>
        <v>58.857142857142854</v>
      </c>
      <c r="AD483" s="23">
        <f t="shared" ref="AD483:AD487" si="686">SUM(R477:R483)/7</f>
        <v>4.2857142857142856</v>
      </c>
      <c r="AE483" s="23">
        <f t="shared" ref="AE483:AE487" si="687">SUM(P477:P483)/7</f>
        <v>8293.4285714285706</v>
      </c>
      <c r="AF483" s="25">
        <f t="shared" ref="AF483:AF487" si="688">SUM(Q477:Q483)/5</f>
        <v>7.9936735688559898E-3</v>
      </c>
      <c r="AG483" s="20">
        <v>5468205</v>
      </c>
      <c r="AH483" s="21">
        <f>AG483-AG480</f>
        <v>13339</v>
      </c>
      <c r="AI483" s="21">
        <f t="shared" ref="AI483:AI487" si="689">(SUM(AH477:AH483))/5</f>
        <v>11354.8</v>
      </c>
      <c r="AJ483" s="20">
        <v>4842148</v>
      </c>
      <c r="AK483" s="20">
        <f>AJ483-AJ480</f>
        <v>113493</v>
      </c>
      <c r="AL483" s="21">
        <f t="shared" ref="AL483:AL487" si="690">(SUM(AK477:AK483))/5</f>
        <v>70207</v>
      </c>
      <c r="AM483" s="26">
        <f t="shared" ref="AM483:AM487" si="691">SUM(S477:S483)/7</f>
        <v>402.42857142857144</v>
      </c>
    </row>
    <row r="484" spans="1:39" ht="16">
      <c r="A484" s="30">
        <v>44376</v>
      </c>
      <c r="B484" s="20">
        <f t="shared" ref="B484:B487" si="692">B483+C484</f>
        <v>808076</v>
      </c>
      <c r="C484" s="20">
        <v>34</v>
      </c>
      <c r="D484" s="20">
        <v>29991</v>
      </c>
      <c r="E484" s="20">
        <v>738542</v>
      </c>
      <c r="F484" s="20">
        <v>6120838</v>
      </c>
      <c r="G484" s="17">
        <f t="shared" si="673"/>
        <v>624575.30612244888</v>
      </c>
      <c r="H484" s="20"/>
      <c r="I484" s="19">
        <f t="shared" ref="I484:I487" si="693">(B484-B483)/B483</f>
        <v>4.2077020748921465E-5</v>
      </c>
      <c r="J484" s="19">
        <f t="shared" si="674"/>
        <v>0.13202048477675768</v>
      </c>
      <c r="K484" s="19">
        <f t="shared" ref="K484:K487" si="694">(F484-F483)/F483</f>
        <v>7.0235763933281252E-4</v>
      </c>
      <c r="L484" s="20">
        <v>39543</v>
      </c>
      <c r="M484" s="19">
        <f t="shared" si="675"/>
        <v>3.7114083328795809E-2</v>
      </c>
      <c r="N484" s="19">
        <f t="shared" si="676"/>
        <v>0.91395116300941992</v>
      </c>
      <c r="O484" s="20">
        <v>2376</v>
      </c>
      <c r="P484" s="28">
        <f t="shared" ref="P484:P487" si="695">F484-F483</f>
        <v>4296</v>
      </c>
      <c r="Q484" s="29">
        <f t="shared" si="677"/>
        <v>7.9143389199255124E-3</v>
      </c>
      <c r="R484" s="20">
        <f t="shared" ref="R484:S484" si="696">D484-D483</f>
        <v>2</v>
      </c>
      <c r="S484" s="20">
        <f t="shared" si="696"/>
        <v>151</v>
      </c>
      <c r="T484" s="20">
        <v>150</v>
      </c>
      <c r="U484" s="20">
        <v>22</v>
      </c>
      <c r="V484" s="19">
        <f t="shared" si="679"/>
        <v>4.8934753661784285E-2</v>
      </c>
      <c r="W484" s="20">
        <f t="shared" ref="W484:X484" si="697">T484-T483</f>
        <v>-7</v>
      </c>
      <c r="X484" s="20">
        <f t="shared" si="697"/>
        <v>-2</v>
      </c>
      <c r="Y484" s="19">
        <f t="shared" si="681"/>
        <v>3.7933388968970486E-3</v>
      </c>
      <c r="Z484" s="19">
        <f t="shared" si="682"/>
        <v>0.14666666666666667</v>
      </c>
      <c r="AA484" s="21">
        <f t="shared" si="683"/>
        <v>0.67353951890034369</v>
      </c>
      <c r="AB484" s="26">
        <f t="shared" si="684"/>
        <v>0.7068564815503946</v>
      </c>
      <c r="AC484" s="23">
        <f t="shared" si="685"/>
        <v>56</v>
      </c>
      <c r="AD484" s="23">
        <f t="shared" si="686"/>
        <v>4</v>
      </c>
      <c r="AE484" s="23">
        <f t="shared" si="687"/>
        <v>8290.2857142857138</v>
      </c>
      <c r="AF484" s="25">
        <f t="shared" si="688"/>
        <v>7.0753834093487348E-3</v>
      </c>
      <c r="AG484" s="20">
        <v>5477405</v>
      </c>
      <c r="AH484" s="21">
        <f t="shared" ref="AH484:AH487" si="698">AG484-AG483</f>
        <v>9200</v>
      </c>
      <c r="AI484" s="21">
        <f t="shared" si="689"/>
        <v>11235</v>
      </c>
      <c r="AJ484" s="20">
        <v>4874076</v>
      </c>
      <c r="AK484" s="20">
        <f t="shared" ref="AK484:AK487" si="699">AJ484-AJ483</f>
        <v>31928</v>
      </c>
      <c r="AL484" s="21">
        <f t="shared" si="690"/>
        <v>63809.4</v>
      </c>
      <c r="AM484" s="26">
        <f t="shared" si="691"/>
        <v>372.14285714285717</v>
      </c>
    </row>
    <row r="485" spans="1:39" ht="16">
      <c r="A485" s="30">
        <v>44377</v>
      </c>
      <c r="B485" s="20">
        <f t="shared" si="692"/>
        <v>808128</v>
      </c>
      <c r="C485" s="20">
        <v>52</v>
      </c>
      <c r="D485" s="20">
        <v>29992</v>
      </c>
      <c r="E485" s="20">
        <v>738782</v>
      </c>
      <c r="F485" s="20">
        <v>6130295</v>
      </c>
      <c r="G485" s="17">
        <f t="shared" si="673"/>
        <v>625540.30612244888</v>
      </c>
      <c r="H485" s="20"/>
      <c r="I485" s="19">
        <f t="shared" si="693"/>
        <v>6.4350382884778169E-5</v>
      </c>
      <c r="J485" s="19">
        <f t="shared" si="674"/>
        <v>0.13182530367625048</v>
      </c>
      <c r="K485" s="19">
        <f t="shared" si="694"/>
        <v>1.5450498771573434E-3</v>
      </c>
      <c r="L485" s="20">
        <v>39354</v>
      </c>
      <c r="M485" s="19">
        <f t="shared" si="675"/>
        <v>3.7112932604735881E-2</v>
      </c>
      <c r="N485" s="19">
        <f t="shared" si="676"/>
        <v>0.91418933634275756</v>
      </c>
      <c r="O485" s="20">
        <v>2212</v>
      </c>
      <c r="P485" s="28">
        <f t="shared" si="695"/>
        <v>9457</v>
      </c>
      <c r="Q485" s="29">
        <f t="shared" si="677"/>
        <v>5.4985724859892143E-3</v>
      </c>
      <c r="R485" s="20">
        <f t="shared" ref="R485:S485" si="700">D485-D484</f>
        <v>1</v>
      </c>
      <c r="S485" s="20">
        <f t="shared" si="700"/>
        <v>240</v>
      </c>
      <c r="T485" s="20">
        <v>126</v>
      </c>
      <c r="U485" s="20">
        <v>23</v>
      </c>
      <c r="V485" s="19">
        <f t="shared" si="679"/>
        <v>4.8697731052506535E-2</v>
      </c>
      <c r="W485" s="20">
        <f t="shared" ref="W485:X485" si="701">T485-T484</f>
        <v>-24</v>
      </c>
      <c r="X485" s="20">
        <f t="shared" si="701"/>
        <v>1</v>
      </c>
      <c r="Y485" s="19">
        <f t="shared" si="681"/>
        <v>3.2017075773745998E-3</v>
      </c>
      <c r="Z485" s="19">
        <f t="shared" si="682"/>
        <v>0.18253968253968253</v>
      </c>
      <c r="AA485" s="21">
        <f t="shared" si="683"/>
        <v>0.62367491166077738</v>
      </c>
      <c r="AB485" s="26">
        <f t="shared" si="684"/>
        <v>0.69421282310585097</v>
      </c>
      <c r="AC485" s="23">
        <f t="shared" si="685"/>
        <v>50.428571428571431</v>
      </c>
      <c r="AD485" s="23">
        <f t="shared" si="686"/>
        <v>3</v>
      </c>
      <c r="AE485" s="23">
        <f t="shared" si="687"/>
        <v>8111.2857142857147</v>
      </c>
      <c r="AF485" s="25">
        <f t="shared" si="688"/>
        <v>6.4757515013178198E-3</v>
      </c>
      <c r="AG485" s="20">
        <v>5486514</v>
      </c>
      <c r="AH485" s="21">
        <f t="shared" si="698"/>
        <v>9109</v>
      </c>
      <c r="AI485" s="21">
        <f t="shared" si="689"/>
        <v>10960.2</v>
      </c>
      <c r="AJ485" s="20">
        <v>4916927</v>
      </c>
      <c r="AK485" s="20">
        <f t="shared" si="699"/>
        <v>42851</v>
      </c>
      <c r="AL485" s="21">
        <f t="shared" si="690"/>
        <v>59410</v>
      </c>
      <c r="AM485" s="26">
        <f t="shared" si="691"/>
        <v>342.14285714285717</v>
      </c>
    </row>
    <row r="486" spans="1:39" ht="16">
      <c r="A486" s="30">
        <v>44378</v>
      </c>
      <c r="B486" s="20">
        <f t="shared" si="692"/>
        <v>808160</v>
      </c>
      <c r="C486" s="20">
        <v>32</v>
      </c>
      <c r="D486" s="20">
        <v>29992</v>
      </c>
      <c r="E486" s="20">
        <v>739204</v>
      </c>
      <c r="F486" s="20">
        <v>6138529</v>
      </c>
      <c r="G486" s="17">
        <f t="shared" si="673"/>
        <v>626380.51020408154</v>
      </c>
      <c r="H486" s="20"/>
      <c r="I486" s="19">
        <f t="shared" si="693"/>
        <v>3.959768749505029E-5</v>
      </c>
      <c r="J486" s="19">
        <f t="shared" si="674"/>
        <v>0.13165369097384733</v>
      </c>
      <c r="K486" s="19">
        <f t="shared" si="694"/>
        <v>1.3431653778488636E-3</v>
      </c>
      <c r="L486" s="20">
        <v>38964</v>
      </c>
      <c r="M486" s="19">
        <f t="shared" si="675"/>
        <v>3.7111463076618494E-2</v>
      </c>
      <c r="N486" s="19">
        <f t="shared" si="676"/>
        <v>0.91467531181944173</v>
      </c>
      <c r="O486" s="20">
        <v>1998</v>
      </c>
      <c r="P486" s="28">
        <f t="shared" si="695"/>
        <v>8234</v>
      </c>
      <c r="Q486" s="29">
        <f t="shared" si="677"/>
        <v>3.8863249939276173E-3</v>
      </c>
      <c r="R486" s="20">
        <f t="shared" ref="R486:S486" si="702">D486-D485</f>
        <v>0</v>
      </c>
      <c r="S486" s="20">
        <f t="shared" si="702"/>
        <v>422</v>
      </c>
      <c r="T486" s="20">
        <v>116</v>
      </c>
      <c r="U486" s="20">
        <v>20</v>
      </c>
      <c r="V486" s="19">
        <f t="shared" si="679"/>
        <v>4.8213225103939814E-2</v>
      </c>
      <c r="W486" s="20">
        <f t="shared" ref="W486:X486" si="703">T486-T485</f>
        <v>-10</v>
      </c>
      <c r="X486" s="20">
        <f t="shared" si="703"/>
        <v>-3</v>
      </c>
      <c r="Y486" s="19">
        <f t="shared" si="681"/>
        <v>2.9771070731957703E-3</v>
      </c>
      <c r="Z486" s="19">
        <f t="shared" si="682"/>
        <v>0.17241379310344829</v>
      </c>
      <c r="AA486" s="21">
        <f t="shared" si="683"/>
        <v>0.6053639846743295</v>
      </c>
      <c r="AB486" s="26">
        <f t="shared" si="684"/>
        <v>0.67246756258517648</v>
      </c>
      <c r="AC486" s="23">
        <f t="shared" si="685"/>
        <v>45.142857142857146</v>
      </c>
      <c r="AD486" s="23">
        <f t="shared" si="686"/>
        <v>2.8571428571428572</v>
      </c>
      <c r="AE486" s="23">
        <f t="shared" si="687"/>
        <v>7897.2857142857147</v>
      </c>
      <c r="AF486" s="25">
        <f t="shared" si="688"/>
        <v>5.8350140340120982E-3</v>
      </c>
      <c r="AG486" s="20">
        <v>5493609</v>
      </c>
      <c r="AH486" s="21">
        <f t="shared" si="698"/>
        <v>7095</v>
      </c>
      <c r="AI486" s="21">
        <f t="shared" si="689"/>
        <v>9613</v>
      </c>
      <c r="AJ486" s="20">
        <v>4958805</v>
      </c>
      <c r="AK486" s="20">
        <f t="shared" si="699"/>
        <v>41878</v>
      </c>
      <c r="AL486" s="21">
        <f t="shared" si="690"/>
        <v>60205.8</v>
      </c>
      <c r="AM486" s="26">
        <f t="shared" si="691"/>
        <v>335.71428571428572</v>
      </c>
    </row>
    <row r="487" spans="1:39" ht="16">
      <c r="A487" s="30">
        <v>44379</v>
      </c>
      <c r="B487" s="20">
        <f t="shared" si="692"/>
        <v>808197</v>
      </c>
      <c r="C487" s="20">
        <v>37</v>
      </c>
      <c r="D487" s="20">
        <v>29992</v>
      </c>
      <c r="E487" s="20">
        <v>739561</v>
      </c>
      <c r="F487" s="20">
        <v>6145920</v>
      </c>
      <c r="G487" s="17">
        <f t="shared" si="673"/>
        <v>627134.69387755101</v>
      </c>
      <c r="H487" s="20"/>
      <c r="I487" s="19">
        <f t="shared" si="693"/>
        <v>4.578301326470006E-5</v>
      </c>
      <c r="J487" s="19">
        <f t="shared" si="674"/>
        <v>0.13150138628553576</v>
      </c>
      <c r="K487" s="19">
        <f t="shared" si="694"/>
        <v>1.204034386739885E-3</v>
      </c>
      <c r="L487" s="20">
        <v>38644</v>
      </c>
      <c r="M487" s="19">
        <f t="shared" si="675"/>
        <v>3.7109764079797374E-2</v>
      </c>
      <c r="N487" s="19">
        <f t="shared" si="676"/>
        <v>0.91507516113026899</v>
      </c>
      <c r="O487" s="20">
        <v>1851</v>
      </c>
      <c r="P487" s="28">
        <f t="shared" si="695"/>
        <v>7391</v>
      </c>
      <c r="Q487" s="29">
        <f t="shared" si="677"/>
        <v>5.0060884859964823E-3</v>
      </c>
      <c r="R487" s="20">
        <f t="shared" ref="R487:S487" si="704">D487-D486</f>
        <v>0</v>
      </c>
      <c r="S487" s="20">
        <f t="shared" si="704"/>
        <v>357</v>
      </c>
      <c r="T487" s="20">
        <v>98</v>
      </c>
      <c r="U487" s="20">
        <v>22</v>
      </c>
      <c r="V487" s="19">
        <f t="shared" si="679"/>
        <v>4.7815074789933645E-2</v>
      </c>
      <c r="W487" s="20">
        <f t="shared" ref="W487:X487" si="705">T487-T486</f>
        <v>-18</v>
      </c>
      <c r="X487" s="20">
        <f t="shared" si="705"/>
        <v>2</v>
      </c>
      <c r="Y487" s="19">
        <f t="shared" si="681"/>
        <v>2.5359693613497569E-3</v>
      </c>
      <c r="Z487" s="19">
        <f t="shared" si="682"/>
        <v>0.22448979591836735</v>
      </c>
      <c r="AA487" s="21">
        <f t="shared" si="683"/>
        <v>0.5954356846473029</v>
      </c>
      <c r="AB487" s="26">
        <f t="shared" si="684"/>
        <v>0.64045752083125163</v>
      </c>
      <c r="AC487" s="23">
        <f t="shared" si="685"/>
        <v>41</v>
      </c>
      <c r="AD487" s="23">
        <f t="shared" si="686"/>
        <v>1.7142857142857142</v>
      </c>
      <c r="AE487" s="23">
        <f t="shared" si="687"/>
        <v>7357.8571428571431</v>
      </c>
      <c r="AF487" s="25">
        <f t="shared" si="688"/>
        <v>5.6541774641745892E-3</v>
      </c>
      <c r="AG487" s="20">
        <v>5495888</v>
      </c>
      <c r="AH487" s="21">
        <f t="shared" si="698"/>
        <v>2279</v>
      </c>
      <c r="AI487" s="21">
        <f t="shared" si="689"/>
        <v>8204.4</v>
      </c>
      <c r="AJ487" s="20">
        <v>4973210</v>
      </c>
      <c r="AK487" s="20">
        <f t="shared" si="699"/>
        <v>14405</v>
      </c>
      <c r="AL487" s="21">
        <f t="shared" si="690"/>
        <v>48911</v>
      </c>
      <c r="AM487" s="26">
        <f t="shared" si="691"/>
        <v>332.57142857142856</v>
      </c>
    </row>
    <row r="488" spans="1:39" ht="13">
      <c r="A488" s="30">
        <v>44380</v>
      </c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8"/>
      <c r="Q488" s="28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</row>
    <row r="489" spans="1:39" ht="13">
      <c r="A489" s="30">
        <v>44381</v>
      </c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8"/>
      <c r="Q489" s="28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</row>
    <row r="490" spans="1:39" ht="16">
      <c r="A490" s="30">
        <v>44382</v>
      </c>
      <c r="B490" s="20">
        <f>B487+C490</f>
        <v>808262</v>
      </c>
      <c r="C490" s="20">
        <v>65</v>
      </c>
      <c r="D490" s="20">
        <v>29996</v>
      </c>
      <c r="E490" s="20">
        <v>740195</v>
      </c>
      <c r="F490" s="20">
        <v>6164167</v>
      </c>
      <c r="G490" s="17">
        <f t="shared" ref="G490:G494" si="706">F490/9.8</f>
        <v>628996.63265306118</v>
      </c>
      <c r="H490" s="20"/>
      <c r="I490" s="19">
        <f>(B490-B487)/B487</f>
        <v>8.0425935755762512E-5</v>
      </c>
      <c r="J490" s="19">
        <f t="shared" ref="J490:J494" si="707">B490/F490</f>
        <v>0.13112266426266517</v>
      </c>
      <c r="K490" s="19">
        <f>(F490-F487)/F487</f>
        <v>2.9689615224409039E-3</v>
      </c>
      <c r="L490" s="20">
        <v>38071</v>
      </c>
      <c r="M490" s="19">
        <f t="shared" ref="M490:M494" si="708">D490/B490</f>
        <v>3.7111728622649588E-2</v>
      </c>
      <c r="N490" s="19">
        <f t="shared" ref="N490:N494" si="709">E490/B490</f>
        <v>0.91578597039078913</v>
      </c>
      <c r="O490" s="20">
        <v>2332</v>
      </c>
      <c r="P490" s="28">
        <f>F490-F487</f>
        <v>18247</v>
      </c>
      <c r="Q490" s="29">
        <f t="shared" ref="Q490:Q494" si="710">C490/P490</f>
        <v>3.5622294075738476E-3</v>
      </c>
      <c r="R490" s="20">
        <f t="shared" ref="R490:S490" si="711">D490-D487</f>
        <v>4</v>
      </c>
      <c r="S490" s="20">
        <f t="shared" si="711"/>
        <v>634</v>
      </c>
      <c r="T490" s="20">
        <v>82</v>
      </c>
      <c r="U490" s="20">
        <v>18</v>
      </c>
      <c r="V490" s="19">
        <f t="shared" ref="V490:V494" si="712">L490/B490</f>
        <v>4.7102300986561291E-2</v>
      </c>
      <c r="W490" s="20">
        <f t="shared" ref="W490:X490" si="713">T490-T487</f>
        <v>-16</v>
      </c>
      <c r="X490" s="20">
        <f t="shared" si="713"/>
        <v>-4</v>
      </c>
      <c r="Y490" s="19">
        <f t="shared" ref="Y490:Y494" si="714">T490/L490</f>
        <v>2.1538704000420269E-3</v>
      </c>
      <c r="Z490" s="19">
        <f t="shared" ref="Z490:Z494" si="715">U490/T490</f>
        <v>0.21951219512195122</v>
      </c>
      <c r="AA490" s="21">
        <f t="shared" ref="AA490:AA494" si="716">(C484+C485+C486+C487+C488+C489+C490)/(C477+C478+C479+C480+C481+C482+C483)</f>
        <v>0.53398058252427183</v>
      </c>
      <c r="AB490" s="26">
        <f t="shared" ref="AB490:AB494" si="717">SUM(AA484:AA490)/5</f>
        <v>0.60639893648140508</v>
      </c>
      <c r="AC490" s="23">
        <f t="shared" ref="AC490:AC494" si="718">SUM(C484:C490)/7</f>
        <v>31.428571428571427</v>
      </c>
      <c r="AD490" s="23">
        <f t="shared" ref="AD490:AD494" si="719">SUM(R484:R490)/7</f>
        <v>1</v>
      </c>
      <c r="AE490" s="23">
        <f t="shared" ref="AE490:AE494" si="720">SUM(P484:P490)/7</f>
        <v>6803.5714285714284</v>
      </c>
      <c r="AF490" s="25">
        <f t="shared" ref="AF490:AF494" si="721">SUM(Q484:Q490)/5</f>
        <v>5.173510858682534E-3</v>
      </c>
      <c r="AG490" s="20">
        <v>5506665</v>
      </c>
      <c r="AH490" s="21">
        <f>AG490-AG487</f>
        <v>10777</v>
      </c>
      <c r="AI490" s="21">
        <f t="shared" ref="AI490:AI494" si="722">(SUM(AH484:AH490))/5</f>
        <v>7692</v>
      </c>
      <c r="AJ490" s="20">
        <v>5058824</v>
      </c>
      <c r="AK490" s="20">
        <f>AJ490-AJ487</f>
        <v>85614</v>
      </c>
      <c r="AL490" s="21">
        <f t="shared" ref="AL490:AL494" si="723">(SUM(AK484:AK490))/5</f>
        <v>43335.199999999997</v>
      </c>
      <c r="AM490" s="26">
        <f t="shared" ref="AM490:AM494" si="724">SUM(S484:S490)/7</f>
        <v>257.71428571428572</v>
      </c>
    </row>
    <row r="491" spans="1:39" ht="16">
      <c r="A491" s="30">
        <v>44383</v>
      </c>
      <c r="B491" s="20">
        <f t="shared" ref="B491:B494" si="725">B490+C491</f>
        <v>808294</v>
      </c>
      <c r="C491" s="20">
        <v>32</v>
      </c>
      <c r="D491" s="20">
        <v>29998</v>
      </c>
      <c r="E491" s="20">
        <v>740327</v>
      </c>
      <c r="F491" s="20">
        <v>6168335</v>
      </c>
      <c r="G491" s="17">
        <f t="shared" si="706"/>
        <v>629421.93877551018</v>
      </c>
      <c r="H491" s="20"/>
      <c r="I491" s="19">
        <f t="shared" ref="I491:I494" si="726">(B491-B490)/B490</f>
        <v>3.9591122680516964E-5</v>
      </c>
      <c r="J491" s="19">
        <f t="shared" si="707"/>
        <v>0.13103925127283134</v>
      </c>
      <c r="K491" s="19">
        <f t="shared" ref="K491:K494" si="727">(F491-F490)/F490</f>
        <v>6.7616597668427865E-4</v>
      </c>
      <c r="L491" s="20">
        <v>37969</v>
      </c>
      <c r="M491" s="19">
        <f t="shared" si="708"/>
        <v>3.7112733733022887E-2</v>
      </c>
      <c r="N491" s="19">
        <f t="shared" si="709"/>
        <v>0.91591302174703759</v>
      </c>
      <c r="O491" s="20">
        <v>1852</v>
      </c>
      <c r="P491" s="28">
        <f t="shared" ref="P491:P494" si="728">F491-F490</f>
        <v>4168</v>
      </c>
      <c r="Q491" s="29">
        <f t="shared" si="710"/>
        <v>7.677543186180422E-3</v>
      </c>
      <c r="R491" s="20">
        <f t="shared" ref="R491:S491" si="729">D491-D490</f>
        <v>2</v>
      </c>
      <c r="S491" s="20">
        <f t="shared" si="729"/>
        <v>132</v>
      </c>
      <c r="T491" s="20">
        <v>88</v>
      </c>
      <c r="U491" s="20">
        <v>21</v>
      </c>
      <c r="V491" s="19">
        <f t="shared" si="712"/>
        <v>4.6974244519939527E-2</v>
      </c>
      <c r="W491" s="20">
        <f t="shared" ref="W491:X491" si="730">T491-T490</f>
        <v>6</v>
      </c>
      <c r="X491" s="20">
        <f t="shared" si="730"/>
        <v>3</v>
      </c>
      <c r="Y491" s="19">
        <f t="shared" si="714"/>
        <v>2.3176802128051831E-3</v>
      </c>
      <c r="Z491" s="19">
        <f t="shared" si="715"/>
        <v>0.23863636363636365</v>
      </c>
      <c r="AA491" s="21">
        <f t="shared" si="716"/>
        <v>0.55612244897959184</v>
      </c>
      <c r="AB491" s="26">
        <f t="shared" si="717"/>
        <v>0.58291552249725465</v>
      </c>
      <c r="AC491" s="23">
        <f t="shared" si="718"/>
        <v>31.142857142857142</v>
      </c>
      <c r="AD491" s="23">
        <f t="shared" si="719"/>
        <v>1</v>
      </c>
      <c r="AE491" s="23">
        <f t="shared" si="720"/>
        <v>6785.2857142857147</v>
      </c>
      <c r="AF491" s="25">
        <f t="shared" si="721"/>
        <v>5.1261517119335163E-3</v>
      </c>
      <c r="AG491" s="20">
        <v>5513327</v>
      </c>
      <c r="AH491" s="21">
        <f t="shared" ref="AH491:AH494" si="731">AG491-AG490</f>
        <v>6662</v>
      </c>
      <c r="AI491" s="21">
        <f t="shared" si="722"/>
        <v>7184.4</v>
      </c>
      <c r="AJ491" s="20">
        <v>5072024</v>
      </c>
      <c r="AK491" s="20">
        <f t="shared" ref="AK491:AK494" si="732">AJ491-AJ490</f>
        <v>13200</v>
      </c>
      <c r="AL491" s="21">
        <f t="shared" si="723"/>
        <v>39589.599999999999</v>
      </c>
      <c r="AM491" s="26">
        <f t="shared" si="724"/>
        <v>255</v>
      </c>
    </row>
    <row r="492" spans="1:39" ht="16">
      <c r="A492" s="30">
        <v>44384</v>
      </c>
      <c r="B492" s="20">
        <f t="shared" si="725"/>
        <v>808338</v>
      </c>
      <c r="C492" s="20">
        <v>44</v>
      </c>
      <c r="D492" s="20">
        <v>29999</v>
      </c>
      <c r="E492" s="20">
        <v>740535</v>
      </c>
      <c r="F492" s="20">
        <v>6173422</v>
      </c>
      <c r="G492" s="17">
        <f t="shared" si="706"/>
        <v>629941.0204081632</v>
      </c>
      <c r="H492" s="20"/>
      <c r="I492" s="19">
        <f t="shared" si="726"/>
        <v>5.4435638517668077E-5</v>
      </c>
      <c r="J492" s="19">
        <f t="shared" si="707"/>
        <v>0.13093840012881025</v>
      </c>
      <c r="K492" s="19">
        <f t="shared" si="727"/>
        <v>8.2469580526997968E-4</v>
      </c>
      <c r="L492" s="20">
        <v>37804</v>
      </c>
      <c r="M492" s="19">
        <f t="shared" si="708"/>
        <v>3.7111950693892899E-2</v>
      </c>
      <c r="N492" s="19">
        <f t="shared" si="709"/>
        <v>0.9161204842528744</v>
      </c>
      <c r="O492" s="20">
        <v>1778</v>
      </c>
      <c r="P492" s="28">
        <f t="shared" si="728"/>
        <v>5087</v>
      </c>
      <c r="Q492" s="29">
        <f t="shared" si="710"/>
        <v>8.6494987222331433E-3</v>
      </c>
      <c r="R492" s="20">
        <f t="shared" ref="R492:S492" si="733">D492-D491</f>
        <v>1</v>
      </c>
      <c r="S492" s="20">
        <f t="shared" si="733"/>
        <v>208</v>
      </c>
      <c r="T492" s="20">
        <v>80</v>
      </c>
      <c r="U492" s="20">
        <v>17</v>
      </c>
      <c r="V492" s="19">
        <f t="shared" si="712"/>
        <v>4.6767565053232679E-2</v>
      </c>
      <c r="W492" s="20">
        <f t="shared" ref="W492:X492" si="734">T492-T491</f>
        <v>-8</v>
      </c>
      <c r="X492" s="20">
        <f t="shared" si="734"/>
        <v>-4</v>
      </c>
      <c r="Y492" s="19">
        <f t="shared" si="714"/>
        <v>2.1161781822029413E-3</v>
      </c>
      <c r="Z492" s="19">
        <f t="shared" si="715"/>
        <v>0.21249999999999999</v>
      </c>
      <c r="AA492" s="21">
        <f t="shared" si="716"/>
        <v>0.59490084985835689</v>
      </c>
      <c r="AB492" s="26">
        <f t="shared" si="717"/>
        <v>0.57716071013677062</v>
      </c>
      <c r="AC492" s="23">
        <f t="shared" si="718"/>
        <v>30</v>
      </c>
      <c r="AD492" s="23">
        <f t="shared" si="719"/>
        <v>1</v>
      </c>
      <c r="AE492" s="23">
        <f t="shared" si="720"/>
        <v>6161</v>
      </c>
      <c r="AF492" s="25">
        <f t="shared" si="721"/>
        <v>5.7563369591823021E-3</v>
      </c>
      <c r="AG492" s="20">
        <v>5519495</v>
      </c>
      <c r="AH492" s="21">
        <f t="shared" si="731"/>
        <v>6168</v>
      </c>
      <c r="AI492" s="21">
        <f t="shared" si="722"/>
        <v>6596.2</v>
      </c>
      <c r="AJ492" s="20">
        <v>5102847</v>
      </c>
      <c r="AK492" s="20">
        <f t="shared" si="732"/>
        <v>30823</v>
      </c>
      <c r="AL492" s="21">
        <f t="shared" si="723"/>
        <v>37184</v>
      </c>
      <c r="AM492" s="26">
        <f t="shared" si="724"/>
        <v>250.42857142857142</v>
      </c>
    </row>
    <row r="493" spans="1:39" ht="16">
      <c r="A493" s="30">
        <v>44385</v>
      </c>
      <c r="B493" s="20">
        <f t="shared" si="725"/>
        <v>808393</v>
      </c>
      <c r="C493" s="20">
        <v>55</v>
      </c>
      <c r="D493" s="20">
        <v>30004</v>
      </c>
      <c r="E493" s="20">
        <v>740790</v>
      </c>
      <c r="F493" s="20">
        <v>6179187</v>
      </c>
      <c r="G493" s="17">
        <f t="shared" si="706"/>
        <v>630529.28571428568</v>
      </c>
      <c r="H493" s="20"/>
      <c r="I493" s="19">
        <f t="shared" si="726"/>
        <v>6.804084430028033E-5</v>
      </c>
      <c r="J493" s="19">
        <f t="shared" si="707"/>
        <v>0.1308251392942146</v>
      </c>
      <c r="K493" s="19">
        <f t="shared" si="727"/>
        <v>9.338418789449352E-4</v>
      </c>
      <c r="L493" s="20">
        <v>37599</v>
      </c>
      <c r="M493" s="19">
        <f t="shared" si="708"/>
        <v>3.711561084769413E-2</v>
      </c>
      <c r="N493" s="19">
        <f t="shared" si="709"/>
        <v>0.91637359551604236</v>
      </c>
      <c r="O493" s="20">
        <v>1678</v>
      </c>
      <c r="P493" s="28">
        <f t="shared" si="728"/>
        <v>5765</v>
      </c>
      <c r="Q493" s="29">
        <f t="shared" si="710"/>
        <v>9.5403295750216832E-3</v>
      </c>
      <c r="R493" s="20">
        <f t="shared" ref="R493:S493" si="735">D493-D492</f>
        <v>5</v>
      </c>
      <c r="S493" s="20">
        <f t="shared" si="735"/>
        <v>255</v>
      </c>
      <c r="T493" s="20">
        <v>72</v>
      </c>
      <c r="U493" s="20">
        <v>13</v>
      </c>
      <c r="V493" s="19">
        <f t="shared" si="712"/>
        <v>4.651079363626355E-2</v>
      </c>
      <c r="W493" s="20">
        <f t="shared" ref="W493:X493" si="736">T493-T492</f>
        <v>-8</v>
      </c>
      <c r="X493" s="20">
        <f t="shared" si="736"/>
        <v>-4</v>
      </c>
      <c r="Y493" s="19">
        <f t="shared" si="714"/>
        <v>1.9149445463975106E-3</v>
      </c>
      <c r="Z493" s="19">
        <f t="shared" si="715"/>
        <v>0.18055555555555555</v>
      </c>
      <c r="AA493" s="21">
        <f t="shared" si="716"/>
        <v>0.73734177215189878</v>
      </c>
      <c r="AB493" s="26">
        <f t="shared" si="717"/>
        <v>0.60355626763228443</v>
      </c>
      <c r="AC493" s="23">
        <f t="shared" si="718"/>
        <v>33.285714285714285</v>
      </c>
      <c r="AD493" s="23">
        <f t="shared" si="719"/>
        <v>1.7142857142857142</v>
      </c>
      <c r="AE493" s="23">
        <f t="shared" si="720"/>
        <v>5808.2857142857147</v>
      </c>
      <c r="AF493" s="25">
        <f t="shared" si="721"/>
        <v>6.887137875401116E-3</v>
      </c>
      <c r="AG493" s="20">
        <v>5523898</v>
      </c>
      <c r="AH493" s="21">
        <f t="shared" si="731"/>
        <v>4403</v>
      </c>
      <c r="AI493" s="21">
        <f t="shared" si="722"/>
        <v>6057.8</v>
      </c>
      <c r="AJ493" s="20">
        <v>5126330</v>
      </c>
      <c r="AK493" s="20">
        <f t="shared" si="732"/>
        <v>23483</v>
      </c>
      <c r="AL493" s="21">
        <f t="shared" si="723"/>
        <v>33505</v>
      </c>
      <c r="AM493" s="26">
        <f t="shared" si="724"/>
        <v>226.57142857142858</v>
      </c>
    </row>
    <row r="494" spans="1:39" ht="16">
      <c r="A494" s="30">
        <v>44386</v>
      </c>
      <c r="B494" s="20">
        <f t="shared" si="725"/>
        <v>808437</v>
      </c>
      <c r="C494" s="20">
        <v>44</v>
      </c>
      <c r="D494" s="20">
        <v>30004</v>
      </c>
      <c r="E494" s="20">
        <v>741083</v>
      </c>
      <c r="F494" s="20">
        <v>6192388</v>
      </c>
      <c r="G494" s="17">
        <f t="shared" si="706"/>
        <v>631876.32653061219</v>
      </c>
      <c r="H494" s="20"/>
      <c r="I494" s="19">
        <f t="shared" si="726"/>
        <v>5.4428972047011786E-5</v>
      </c>
      <c r="J494" s="19">
        <f t="shared" si="707"/>
        <v>0.13055335033915832</v>
      </c>
      <c r="K494" s="19">
        <f t="shared" si="727"/>
        <v>2.136365188494862E-3</v>
      </c>
      <c r="L494" s="20">
        <v>37350</v>
      </c>
      <c r="M494" s="19">
        <f t="shared" si="708"/>
        <v>3.711359079309829E-2</v>
      </c>
      <c r="N494" s="19">
        <f t="shared" si="709"/>
        <v>0.91668614870422804</v>
      </c>
      <c r="O494" s="20">
        <v>1629</v>
      </c>
      <c r="P494" s="28">
        <f t="shared" si="728"/>
        <v>13201</v>
      </c>
      <c r="Q494" s="29">
        <f t="shared" si="710"/>
        <v>3.33308082721006E-3</v>
      </c>
      <c r="R494" s="20">
        <f t="shared" ref="R494:S494" si="737">D494-D493</f>
        <v>0</v>
      </c>
      <c r="S494" s="20">
        <f t="shared" si="737"/>
        <v>293</v>
      </c>
      <c r="T494" s="20">
        <v>87</v>
      </c>
      <c r="U494" s="20">
        <v>13</v>
      </c>
      <c r="V494" s="19">
        <f t="shared" si="712"/>
        <v>4.620026050267368E-2</v>
      </c>
      <c r="W494" s="20">
        <f t="shared" ref="W494:X494" si="738">T494-T493</f>
        <v>15</v>
      </c>
      <c r="X494" s="20">
        <f t="shared" si="738"/>
        <v>0</v>
      </c>
      <c r="Y494" s="19">
        <f t="shared" si="714"/>
        <v>2.3293172690763051E-3</v>
      </c>
      <c r="Z494" s="19">
        <f t="shared" si="715"/>
        <v>0.14942528735632185</v>
      </c>
      <c r="AA494" s="21">
        <f t="shared" si="716"/>
        <v>0.83623693379790942</v>
      </c>
      <c r="AB494" s="26">
        <f t="shared" si="717"/>
        <v>0.65171651746240578</v>
      </c>
      <c r="AC494" s="23">
        <f t="shared" si="718"/>
        <v>34.285714285714285</v>
      </c>
      <c r="AD494" s="23">
        <f t="shared" si="719"/>
        <v>1.7142857142857142</v>
      </c>
      <c r="AE494" s="23">
        <f t="shared" si="720"/>
        <v>6638.2857142857147</v>
      </c>
      <c r="AF494" s="25">
        <f t="shared" si="721"/>
        <v>6.5525363436438316E-3</v>
      </c>
      <c r="AG494" s="20">
        <v>5529428</v>
      </c>
      <c r="AH494" s="21">
        <f t="shared" si="731"/>
        <v>5530</v>
      </c>
      <c r="AI494" s="21">
        <f t="shared" si="722"/>
        <v>6708</v>
      </c>
      <c r="AJ494" s="20">
        <v>5145484</v>
      </c>
      <c r="AK494" s="20">
        <f t="shared" si="732"/>
        <v>19154</v>
      </c>
      <c r="AL494" s="21">
        <f t="shared" si="723"/>
        <v>34454.800000000003</v>
      </c>
      <c r="AM494" s="26">
        <f t="shared" si="724"/>
        <v>217.42857142857142</v>
      </c>
    </row>
    <row r="495" spans="1:39" ht="13">
      <c r="A495" s="30">
        <v>44387</v>
      </c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8"/>
      <c r="Q495" s="28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</row>
    <row r="496" spans="1:39" ht="13">
      <c r="A496" s="30">
        <v>44388</v>
      </c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8"/>
      <c r="Q496" s="28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</row>
    <row r="497" spans="1:39" ht="16">
      <c r="A497" s="30">
        <v>44389</v>
      </c>
      <c r="B497" s="20">
        <f>B494+C497</f>
        <v>808539</v>
      </c>
      <c r="C497" s="20">
        <v>102</v>
      </c>
      <c r="D497" s="20">
        <v>30007</v>
      </c>
      <c r="E497" s="20">
        <v>741509</v>
      </c>
      <c r="F497" s="20">
        <v>6210862</v>
      </c>
      <c r="G497" s="17">
        <f t="shared" ref="G497:G501" si="739">F497/9.8</f>
        <v>633761.42857142852</v>
      </c>
      <c r="H497" s="20"/>
      <c r="I497" s="19">
        <f>(B497-B494)/B494</f>
        <v>1.2616938611171929E-4</v>
      </c>
      <c r="J497" s="19">
        <f t="shared" ref="J497:J501" si="740">B497/F497</f>
        <v>0.13018144663333367</v>
      </c>
      <c r="K497" s="19">
        <f>(F497-F494)/F494</f>
        <v>2.9833401912154082E-3</v>
      </c>
      <c r="L497" s="20">
        <v>37023</v>
      </c>
      <c r="M497" s="19">
        <f t="shared" ref="M497:M501" si="741">D497/B497</f>
        <v>3.7112619181016625E-2</v>
      </c>
      <c r="N497" s="19">
        <f t="shared" ref="N497:N501" si="742">E497/B497</f>
        <v>0.91709738182079037</v>
      </c>
      <c r="O497" s="20">
        <v>1649</v>
      </c>
      <c r="P497" s="28">
        <f>F497-F494</f>
        <v>18474</v>
      </c>
      <c r="Q497" s="29">
        <f t="shared" ref="Q497:Q501" si="743">C497/P497</f>
        <v>5.5212731406300746E-3</v>
      </c>
      <c r="R497" s="20">
        <f t="shared" ref="R497:S497" si="744">D497-D494</f>
        <v>3</v>
      </c>
      <c r="S497" s="20">
        <f t="shared" si="744"/>
        <v>426</v>
      </c>
      <c r="T497" s="20">
        <v>73</v>
      </c>
      <c r="U497" s="20">
        <v>12</v>
      </c>
      <c r="V497" s="19">
        <f t="shared" ref="V497:V501" si="745">L497/B497</f>
        <v>4.5789998998193041E-2</v>
      </c>
      <c r="W497" s="20">
        <f t="shared" ref="W497:X497" si="746">T497-T494</f>
        <v>-14</v>
      </c>
      <c r="X497" s="20">
        <f t="shared" si="746"/>
        <v>-1</v>
      </c>
      <c r="Y497" s="19">
        <f t="shared" ref="Y497:Y501" si="747">T497/L497</f>
        <v>1.9717472922237528E-3</v>
      </c>
      <c r="Z497" s="19">
        <f t="shared" ref="Z497:Z501" si="748">U497/T497</f>
        <v>0.16438356164383561</v>
      </c>
      <c r="AA497" s="21">
        <f t="shared" ref="AA497:AA501" si="749">(C491+C492+C493+C494+C495+C496+C497)/(C484+C485+C486+C487+C488+C489+C490)</f>
        <v>1.259090909090909</v>
      </c>
      <c r="AB497" s="26">
        <f t="shared" ref="AB497:AB501" si="750">SUM(AA491:AA497)/5</f>
        <v>0.79673858277573317</v>
      </c>
      <c r="AC497" s="23">
        <f t="shared" ref="AC497:AC501" si="751">SUM(C491:C497)/7</f>
        <v>39.571428571428569</v>
      </c>
      <c r="AD497" s="23">
        <f t="shared" ref="AD497:AD501" si="752">SUM(R491:R497)/7</f>
        <v>1.5714285714285714</v>
      </c>
      <c r="AE497" s="23">
        <f t="shared" ref="AE497:AE501" si="753">SUM(P491:P497)/7</f>
        <v>6670.7142857142853</v>
      </c>
      <c r="AF497" s="25">
        <f t="shared" ref="AF497:AF501" si="754">SUM(Q491:Q497)/5</f>
        <v>6.9443450902550771E-3</v>
      </c>
      <c r="AG497" s="20">
        <v>5538557</v>
      </c>
      <c r="AH497" s="21">
        <f>AG497-AG494</f>
        <v>9129</v>
      </c>
      <c r="AI497" s="21">
        <f t="shared" ref="AI497:AI501" si="755">(SUM(AH491:AH497))/5</f>
        <v>6378.4</v>
      </c>
      <c r="AJ497" s="20">
        <v>5175503</v>
      </c>
      <c r="AK497" s="20">
        <f>AJ497-AJ494</f>
        <v>30019</v>
      </c>
      <c r="AL497" s="21">
        <f t="shared" ref="AL497:AL501" si="756">(SUM(AK491:AK497))/5</f>
        <v>23335.8</v>
      </c>
      <c r="AM497" s="26">
        <f t="shared" ref="AM497:AM501" si="757">SUM(S491:S497)/7</f>
        <v>187.71428571428572</v>
      </c>
    </row>
    <row r="498" spans="1:39" ht="16">
      <c r="A498" s="30">
        <v>44390</v>
      </c>
      <c r="B498" s="20">
        <f t="shared" ref="B498:B501" si="758">B497+C498</f>
        <v>808556</v>
      </c>
      <c r="C498" s="20">
        <v>17</v>
      </c>
      <c r="D498" s="20">
        <v>30010</v>
      </c>
      <c r="E498" s="20">
        <v>741663</v>
      </c>
      <c r="F498" s="20">
        <v>6214858</v>
      </c>
      <c r="G498" s="17">
        <f t="shared" si="739"/>
        <v>634169.18367346935</v>
      </c>
      <c r="H498" s="20"/>
      <c r="I498" s="19">
        <f t="shared" ref="I498:I501" si="759">(B498-B497)/B497</f>
        <v>2.1025578234321413E-5</v>
      </c>
      <c r="J498" s="19">
        <f t="shared" si="740"/>
        <v>0.13010047856282478</v>
      </c>
      <c r="K498" s="19">
        <f t="shared" ref="K498:K501" si="760">(F498-F497)/F497</f>
        <v>6.4338895309539964E-4</v>
      </c>
      <c r="L498" s="20">
        <v>36883</v>
      </c>
      <c r="M498" s="19">
        <f t="shared" si="741"/>
        <v>3.7115549201292182E-2</v>
      </c>
      <c r="N498" s="19">
        <f t="shared" si="742"/>
        <v>0.91726856272169155</v>
      </c>
      <c r="O498" s="20">
        <v>1659</v>
      </c>
      <c r="P498" s="28">
        <f t="shared" ref="P498:P501" si="761">F498-F497</f>
        <v>3996</v>
      </c>
      <c r="Q498" s="29">
        <f t="shared" si="743"/>
        <v>4.2542542542542547E-3</v>
      </c>
      <c r="R498" s="20">
        <f t="shared" ref="R498:S498" si="762">D498-D497</f>
        <v>3</v>
      </c>
      <c r="S498" s="20">
        <f t="shared" si="762"/>
        <v>154</v>
      </c>
      <c r="T498" s="20">
        <v>86</v>
      </c>
      <c r="U498" s="20">
        <v>12</v>
      </c>
      <c r="V498" s="19">
        <f t="shared" si="745"/>
        <v>4.561588807701631E-2</v>
      </c>
      <c r="W498" s="20">
        <f t="shared" ref="W498:X498" si="763">T498-T497</f>
        <v>13</v>
      </c>
      <c r="X498" s="20">
        <f t="shared" si="763"/>
        <v>0</v>
      </c>
      <c r="Y498" s="19">
        <f t="shared" si="747"/>
        <v>2.3316975300273837E-3</v>
      </c>
      <c r="Z498" s="19">
        <f t="shared" si="748"/>
        <v>0.13953488372093023</v>
      </c>
      <c r="AA498" s="21">
        <f t="shared" si="749"/>
        <v>1.201834862385321</v>
      </c>
      <c r="AB498" s="26">
        <f t="shared" si="750"/>
        <v>0.92588106545687909</v>
      </c>
      <c r="AC498" s="23">
        <f t="shared" si="751"/>
        <v>37.428571428571431</v>
      </c>
      <c r="AD498" s="23">
        <f t="shared" si="752"/>
        <v>1.7142857142857142</v>
      </c>
      <c r="AE498" s="23">
        <f t="shared" si="753"/>
        <v>6646.1428571428569</v>
      </c>
      <c r="AF498" s="25">
        <f t="shared" si="754"/>
        <v>6.2596873038698432E-3</v>
      </c>
      <c r="AG498" s="20">
        <v>5543891</v>
      </c>
      <c r="AH498" s="21">
        <f t="shared" ref="AH498:AH501" si="764">AG498-AG497</f>
        <v>5334</v>
      </c>
      <c r="AI498" s="21">
        <f t="shared" si="755"/>
        <v>6112.8</v>
      </c>
      <c r="AJ498" s="20">
        <v>5202925</v>
      </c>
      <c r="AK498" s="20">
        <f t="shared" ref="AK498:AK501" si="765">AJ498-AJ497</f>
        <v>27422</v>
      </c>
      <c r="AL498" s="21">
        <f t="shared" si="756"/>
        <v>26180.2</v>
      </c>
      <c r="AM498" s="26">
        <f t="shared" si="757"/>
        <v>190.85714285714286</v>
      </c>
    </row>
    <row r="499" spans="1:39" ht="16">
      <c r="A499" s="30">
        <v>44391</v>
      </c>
      <c r="B499" s="20">
        <f t="shared" si="758"/>
        <v>808612</v>
      </c>
      <c r="C499" s="20">
        <v>56</v>
      </c>
      <c r="D499" s="20">
        <v>30013</v>
      </c>
      <c r="E499" s="20">
        <v>741896</v>
      </c>
      <c r="F499" s="20">
        <v>6222052</v>
      </c>
      <c r="G499" s="17">
        <f t="shared" si="739"/>
        <v>634903.26530612237</v>
      </c>
      <c r="H499" s="20"/>
      <c r="I499" s="19">
        <f t="shared" si="759"/>
        <v>6.9259272085050381E-5</v>
      </c>
      <c r="J499" s="19">
        <f t="shared" si="740"/>
        <v>0.12995905530844165</v>
      </c>
      <c r="K499" s="19">
        <f t="shared" si="760"/>
        <v>1.1575485715039668E-3</v>
      </c>
      <c r="L499" s="20">
        <v>36703</v>
      </c>
      <c r="M499" s="19">
        <f t="shared" si="741"/>
        <v>3.7116688844588012E-2</v>
      </c>
      <c r="N499" s="19">
        <f t="shared" si="742"/>
        <v>0.91749318585427864</v>
      </c>
      <c r="O499" s="20">
        <v>1582</v>
      </c>
      <c r="P499" s="28">
        <f t="shared" si="761"/>
        <v>7194</v>
      </c>
      <c r="Q499" s="29">
        <f t="shared" si="743"/>
        <v>7.7842646649986099E-3</v>
      </c>
      <c r="R499" s="20">
        <f t="shared" ref="R499:S499" si="766">D499-D498</f>
        <v>3</v>
      </c>
      <c r="S499" s="20">
        <f t="shared" si="766"/>
        <v>233</v>
      </c>
      <c r="T499" s="20">
        <v>84</v>
      </c>
      <c r="U499" s="20">
        <v>11</v>
      </c>
      <c r="V499" s="19">
        <f t="shared" si="745"/>
        <v>4.5390125301133302E-2</v>
      </c>
      <c r="W499" s="20">
        <f t="shared" ref="W499:X499" si="767">T499-T498</f>
        <v>-2</v>
      </c>
      <c r="X499" s="20">
        <f t="shared" si="767"/>
        <v>-1</v>
      </c>
      <c r="Y499" s="19">
        <f t="shared" si="747"/>
        <v>2.2886412554832028E-3</v>
      </c>
      <c r="Z499" s="19">
        <f t="shared" si="748"/>
        <v>0.13095238095238096</v>
      </c>
      <c r="AA499" s="21">
        <f t="shared" si="749"/>
        <v>1.3047619047619048</v>
      </c>
      <c r="AB499" s="26">
        <f t="shared" si="750"/>
        <v>1.0678532764375885</v>
      </c>
      <c r="AC499" s="23">
        <f t="shared" si="751"/>
        <v>39.142857142857146</v>
      </c>
      <c r="AD499" s="23">
        <f t="shared" si="752"/>
        <v>2</v>
      </c>
      <c r="AE499" s="23">
        <f t="shared" si="753"/>
        <v>6947.1428571428569</v>
      </c>
      <c r="AF499" s="25">
        <f t="shared" si="754"/>
        <v>6.0866404924229366E-3</v>
      </c>
      <c r="AG499" s="20">
        <v>5548451</v>
      </c>
      <c r="AH499" s="21">
        <f t="shared" si="764"/>
        <v>4560</v>
      </c>
      <c r="AI499" s="21">
        <f t="shared" si="755"/>
        <v>5791.2</v>
      </c>
      <c r="AJ499" s="20">
        <v>5226741</v>
      </c>
      <c r="AK499" s="20">
        <f t="shared" si="765"/>
        <v>23816</v>
      </c>
      <c r="AL499" s="21">
        <f t="shared" si="756"/>
        <v>24778.799999999999</v>
      </c>
      <c r="AM499" s="26">
        <f t="shared" si="757"/>
        <v>194.42857142857142</v>
      </c>
    </row>
    <row r="500" spans="1:39" ht="16">
      <c r="A500" s="30">
        <v>44392</v>
      </c>
      <c r="B500" s="20">
        <f t="shared" si="758"/>
        <v>808661</v>
      </c>
      <c r="C500" s="20">
        <v>49</v>
      </c>
      <c r="D500" s="20">
        <v>30013</v>
      </c>
      <c r="E500" s="20">
        <v>742270</v>
      </c>
      <c r="F500" s="20">
        <v>6229508</v>
      </c>
      <c r="G500" s="17">
        <f t="shared" si="739"/>
        <v>635664.08163265302</v>
      </c>
      <c r="H500" s="20"/>
      <c r="I500" s="19">
        <f t="shared" si="759"/>
        <v>6.0597666124173273E-5</v>
      </c>
      <c r="J500" s="19">
        <f t="shared" si="740"/>
        <v>0.12981137515193816</v>
      </c>
      <c r="K500" s="19">
        <f t="shared" si="760"/>
        <v>1.198318496856021E-3</v>
      </c>
      <c r="L500" s="20">
        <v>36378</v>
      </c>
      <c r="M500" s="19">
        <f t="shared" si="741"/>
        <v>3.7114439796156855E-2</v>
      </c>
      <c r="N500" s="19">
        <f t="shared" si="742"/>
        <v>0.91790008421328595</v>
      </c>
      <c r="O500" s="20">
        <v>1544</v>
      </c>
      <c r="P500" s="28">
        <f t="shared" si="761"/>
        <v>7456</v>
      </c>
      <c r="Q500" s="29">
        <f t="shared" si="743"/>
        <v>6.5718884120171675E-3</v>
      </c>
      <c r="R500" s="20">
        <f t="shared" ref="R500:S500" si="768">D500-D499</f>
        <v>0</v>
      </c>
      <c r="S500" s="20">
        <f t="shared" si="768"/>
        <v>374</v>
      </c>
      <c r="T500" s="20">
        <v>83</v>
      </c>
      <c r="U500" s="20">
        <v>9</v>
      </c>
      <c r="V500" s="19">
        <f t="shared" si="745"/>
        <v>4.498547599055723E-2</v>
      </c>
      <c r="W500" s="20">
        <f t="shared" ref="W500:X500" si="769">T500-T499</f>
        <v>-1</v>
      </c>
      <c r="X500" s="20">
        <f t="shared" si="769"/>
        <v>-2</v>
      </c>
      <c r="Y500" s="19">
        <f t="shared" si="747"/>
        <v>2.2815987684864478E-3</v>
      </c>
      <c r="Z500" s="19">
        <f t="shared" si="748"/>
        <v>0.10843373493975904</v>
      </c>
      <c r="AA500" s="21">
        <f t="shared" si="749"/>
        <v>1.150214592274678</v>
      </c>
      <c r="AB500" s="26">
        <f t="shared" si="750"/>
        <v>1.1504278404621444</v>
      </c>
      <c r="AC500" s="23">
        <f t="shared" si="751"/>
        <v>38.285714285714285</v>
      </c>
      <c r="AD500" s="23">
        <f t="shared" si="752"/>
        <v>1.2857142857142858</v>
      </c>
      <c r="AE500" s="23">
        <f t="shared" si="753"/>
        <v>7188.7142857142853</v>
      </c>
      <c r="AF500" s="25">
        <f t="shared" si="754"/>
        <v>5.4929522598220334E-3</v>
      </c>
      <c r="AG500" s="20">
        <v>5552859</v>
      </c>
      <c r="AH500" s="21">
        <f t="shared" si="764"/>
        <v>4408</v>
      </c>
      <c r="AI500" s="21">
        <f t="shared" si="755"/>
        <v>5792.2</v>
      </c>
      <c r="AJ500" s="20">
        <v>5250459</v>
      </c>
      <c r="AK500" s="20">
        <f t="shared" si="765"/>
        <v>23718</v>
      </c>
      <c r="AL500" s="21">
        <f t="shared" si="756"/>
        <v>24825.8</v>
      </c>
      <c r="AM500" s="26">
        <f t="shared" si="757"/>
        <v>211.42857142857142</v>
      </c>
    </row>
    <row r="501" spans="1:39" ht="16">
      <c r="A501" s="30">
        <v>44393</v>
      </c>
      <c r="B501" s="20">
        <f t="shared" si="758"/>
        <v>808725</v>
      </c>
      <c r="C501" s="20">
        <v>64</v>
      </c>
      <c r="D501" s="20">
        <v>30015</v>
      </c>
      <c r="E501" s="20">
        <v>742632</v>
      </c>
      <c r="F501" s="20">
        <v>6238275</v>
      </c>
      <c r="G501" s="17">
        <f t="shared" si="739"/>
        <v>636558.67346938769</v>
      </c>
      <c r="H501" s="20"/>
      <c r="I501" s="19">
        <f t="shared" si="759"/>
        <v>7.914317618878616E-5</v>
      </c>
      <c r="J501" s="19">
        <f t="shared" si="740"/>
        <v>0.12963920314510022</v>
      </c>
      <c r="K501" s="19">
        <f t="shared" si="760"/>
        <v>1.4073342549684501E-3</v>
      </c>
      <c r="L501" s="20">
        <v>36078</v>
      </c>
      <c r="M501" s="19">
        <f t="shared" si="741"/>
        <v>3.7113975702494667E-2</v>
      </c>
      <c r="N501" s="19">
        <f t="shared" si="742"/>
        <v>0.91827506259853475</v>
      </c>
      <c r="O501" s="20">
        <v>1473</v>
      </c>
      <c r="P501" s="28">
        <f t="shared" si="761"/>
        <v>8767</v>
      </c>
      <c r="Q501" s="29">
        <f t="shared" si="743"/>
        <v>7.3001026576936237E-3</v>
      </c>
      <c r="R501" s="20">
        <f t="shared" ref="R501:S501" si="770">D501-D500</f>
        <v>2</v>
      </c>
      <c r="S501" s="20">
        <f t="shared" si="770"/>
        <v>362</v>
      </c>
      <c r="T501" s="20">
        <v>86</v>
      </c>
      <c r="U501" s="20">
        <v>10</v>
      </c>
      <c r="V501" s="19">
        <f t="shared" si="745"/>
        <v>4.4610961698970601E-2</v>
      </c>
      <c r="W501" s="20">
        <f t="shared" ref="W501:X501" si="771">T501-T500</f>
        <v>3</v>
      </c>
      <c r="X501" s="20">
        <f t="shared" si="771"/>
        <v>1</v>
      </c>
      <c r="Y501" s="19">
        <f t="shared" si="747"/>
        <v>2.3837241532235712E-3</v>
      </c>
      <c r="Z501" s="19">
        <f t="shared" si="748"/>
        <v>0.11627906976744186</v>
      </c>
      <c r="AA501" s="21">
        <f t="shared" si="749"/>
        <v>1.2</v>
      </c>
      <c r="AB501" s="26">
        <f t="shared" si="750"/>
        <v>1.2231804537025626</v>
      </c>
      <c r="AC501" s="23">
        <f t="shared" si="751"/>
        <v>41.142857142857146</v>
      </c>
      <c r="AD501" s="23">
        <f t="shared" si="752"/>
        <v>1.5714285714285714</v>
      </c>
      <c r="AE501" s="23">
        <f t="shared" si="753"/>
        <v>6555.2857142857147</v>
      </c>
      <c r="AF501" s="25">
        <f t="shared" si="754"/>
        <v>6.2863566259187455E-3</v>
      </c>
      <c r="AG501" s="20">
        <v>5559178</v>
      </c>
      <c r="AH501" s="21">
        <f t="shared" si="764"/>
        <v>6319</v>
      </c>
      <c r="AI501" s="21">
        <f t="shared" si="755"/>
        <v>5950</v>
      </c>
      <c r="AJ501" s="20">
        <v>5268814</v>
      </c>
      <c r="AK501" s="20">
        <f t="shared" si="765"/>
        <v>18355</v>
      </c>
      <c r="AL501" s="21">
        <f t="shared" si="756"/>
        <v>24666</v>
      </c>
      <c r="AM501" s="26">
        <f t="shared" si="757"/>
        <v>221.28571428571428</v>
      </c>
    </row>
    <row r="502" spans="1:39" ht="13">
      <c r="A502" s="30">
        <v>44394</v>
      </c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8"/>
      <c r="Q502" s="28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</row>
    <row r="503" spans="1:39" ht="13">
      <c r="A503" s="30">
        <v>44395</v>
      </c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8"/>
      <c r="Q503" s="28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</row>
    <row r="504" spans="1:39" ht="16">
      <c r="A504" s="30">
        <v>44396</v>
      </c>
      <c r="B504" s="20">
        <f>B501+C504</f>
        <v>808864</v>
      </c>
      <c r="C504" s="20">
        <v>139</v>
      </c>
      <c r="D504" s="20">
        <v>30017</v>
      </c>
      <c r="E504" s="20">
        <v>743245</v>
      </c>
      <c r="F504" s="20">
        <v>6257264</v>
      </c>
      <c r="G504" s="17">
        <f t="shared" ref="G504:G508" si="772">F504/9.8</f>
        <v>638496.32653061219</v>
      </c>
      <c r="H504" s="20"/>
      <c r="I504" s="19">
        <f>(B504-B501)/B501</f>
        <v>1.7187548301338527E-4</v>
      </c>
      <c r="J504" s="19">
        <f t="shared" ref="J504:J508" si="773">B504/F504</f>
        <v>0.12926799956019117</v>
      </c>
      <c r="K504" s="19">
        <f>(F504-F501)/F501</f>
        <v>3.0439504510461628E-3</v>
      </c>
      <c r="L504" s="20">
        <v>35602</v>
      </c>
      <c r="M504" s="19">
        <f t="shared" ref="M504:M508" si="774">D504/B504</f>
        <v>3.7110070419749182E-2</v>
      </c>
      <c r="N504" s="19">
        <f t="shared" ref="N504:N508" si="775">E504/B504</f>
        <v>0.91887511373976338</v>
      </c>
      <c r="O504" s="20">
        <v>1594</v>
      </c>
      <c r="P504" s="28">
        <f>F504-F501</f>
        <v>18989</v>
      </c>
      <c r="Q504" s="29">
        <f t="shared" ref="Q504:Q508" si="776">C504/P504</f>
        <v>7.3200273842751063E-3</v>
      </c>
      <c r="R504" s="20">
        <f t="shared" ref="R504:S504" si="777">D504-D501</f>
        <v>2</v>
      </c>
      <c r="S504" s="20">
        <f t="shared" si="777"/>
        <v>613</v>
      </c>
      <c r="T504" s="20">
        <v>76</v>
      </c>
      <c r="U504" s="20">
        <v>11</v>
      </c>
      <c r="V504" s="19">
        <f t="shared" ref="V504:V508" si="778">L504/B504</f>
        <v>4.4014815840487401E-2</v>
      </c>
      <c r="W504" s="20">
        <f t="shared" ref="W504:X504" si="779">T504-T501</f>
        <v>-10</v>
      </c>
      <c r="X504" s="20">
        <f t="shared" si="779"/>
        <v>1</v>
      </c>
      <c r="Y504" s="19">
        <f t="shared" ref="Y504:Y508" si="780">T504/L504</f>
        <v>2.1347115330599404E-3</v>
      </c>
      <c r="Z504" s="19">
        <f t="shared" ref="Z504:Z508" si="781">U504/T504</f>
        <v>0.14473684210526316</v>
      </c>
      <c r="AA504" s="21">
        <f t="shared" ref="AA504:AA508" si="782">(C498+C499+C500+C501+C502+C503+C504)/(C491+C492+C493+C494+C495+C496+C497)</f>
        <v>1.1732851985559567</v>
      </c>
      <c r="AB504" s="26">
        <f t="shared" ref="AB504:AB508" si="783">SUM(AA498:AA504)/5</f>
        <v>1.2060193115955722</v>
      </c>
      <c r="AC504" s="23">
        <f t="shared" ref="AC504:AC508" si="784">SUM(C498:C504)/7</f>
        <v>46.428571428571431</v>
      </c>
      <c r="AD504" s="23">
        <f t="shared" ref="AD504:AD508" si="785">SUM(R498:R504)/7</f>
        <v>1.4285714285714286</v>
      </c>
      <c r="AE504" s="23">
        <f t="shared" ref="AE504:AE508" si="786">SUM(P498:P504)/7</f>
        <v>6628.8571428571431</v>
      </c>
      <c r="AF504" s="25">
        <f t="shared" ref="AF504:AF508" si="787">SUM(Q498:Q504)/5</f>
        <v>6.6461074746477526E-3</v>
      </c>
      <c r="AG504" s="20">
        <v>5569099</v>
      </c>
      <c r="AH504" s="21">
        <f>AG504-AG501</f>
        <v>9921</v>
      </c>
      <c r="AI504" s="21">
        <f t="shared" ref="AI504:AI508" si="788">(SUM(AH498:AH504))/5</f>
        <v>6108.4</v>
      </c>
      <c r="AJ504" s="20">
        <v>5293132</v>
      </c>
      <c r="AK504" s="20">
        <f>AJ504-AJ501</f>
        <v>24318</v>
      </c>
      <c r="AL504" s="21">
        <f t="shared" ref="AL504:AL508" si="789">(SUM(AK498:AK504))/5</f>
        <v>23525.8</v>
      </c>
      <c r="AM504" s="26">
        <f t="shared" ref="AM504:AM508" si="790">SUM(S498:S504)/7</f>
        <v>248</v>
      </c>
    </row>
    <row r="505" spans="1:39" ht="16">
      <c r="A505" s="30">
        <v>44397</v>
      </c>
      <c r="B505" s="20">
        <f t="shared" ref="B505:B508" si="791">B504+C505</f>
        <v>808889</v>
      </c>
      <c r="C505" s="20">
        <v>25</v>
      </c>
      <c r="D505" s="20">
        <v>30019</v>
      </c>
      <c r="E505" s="20">
        <v>743449</v>
      </c>
      <c r="F505" s="20">
        <v>6261622</v>
      </c>
      <c r="G505" s="17">
        <f t="shared" si="772"/>
        <v>638941.0204081632</v>
      </c>
      <c r="H505" s="20"/>
      <c r="I505" s="19">
        <f t="shared" ref="I505:I508" si="792">(B505-B504)/B504</f>
        <v>3.0907544407959808E-5</v>
      </c>
      <c r="J505" s="19">
        <f t="shared" si="773"/>
        <v>0.12918202344376584</v>
      </c>
      <c r="K505" s="19">
        <f t="shared" ref="K505:K508" si="793">(F505-F504)/F504</f>
        <v>6.9647053408646335E-4</v>
      </c>
      <c r="L505" s="20">
        <v>35421</v>
      </c>
      <c r="M505" s="19">
        <f t="shared" si="774"/>
        <v>3.7111396001181865E-2</v>
      </c>
      <c r="N505" s="19">
        <f t="shared" si="775"/>
        <v>0.91909891221168794</v>
      </c>
      <c r="O505" s="20">
        <v>1504</v>
      </c>
      <c r="P505" s="28">
        <f t="shared" ref="P505:P508" si="794">F505-F504</f>
        <v>4358</v>
      </c>
      <c r="Q505" s="29">
        <f t="shared" si="776"/>
        <v>5.7365764111977973E-3</v>
      </c>
      <c r="R505" s="20">
        <f t="shared" ref="R505:S505" si="795">D505-D504</f>
        <v>2</v>
      </c>
      <c r="S505" s="20">
        <f t="shared" si="795"/>
        <v>204</v>
      </c>
      <c r="T505" s="20">
        <v>77</v>
      </c>
      <c r="U505" s="20">
        <v>11</v>
      </c>
      <c r="V505" s="19">
        <f t="shared" si="778"/>
        <v>4.3789691787130249E-2</v>
      </c>
      <c r="W505" s="20">
        <f t="shared" ref="W505:X505" si="796">T505-T504</f>
        <v>1</v>
      </c>
      <c r="X505" s="20">
        <f t="shared" si="796"/>
        <v>0</v>
      </c>
      <c r="Y505" s="19">
        <f t="shared" si="780"/>
        <v>2.1738516699133285E-3</v>
      </c>
      <c r="Z505" s="19">
        <f t="shared" si="781"/>
        <v>0.14285714285714285</v>
      </c>
      <c r="AA505" s="21">
        <f t="shared" si="782"/>
        <v>1.2709923664122138</v>
      </c>
      <c r="AB505" s="26">
        <f t="shared" si="783"/>
        <v>1.2198508124009506</v>
      </c>
      <c r="AC505" s="23">
        <f t="shared" si="784"/>
        <v>47.571428571428569</v>
      </c>
      <c r="AD505" s="23">
        <f t="shared" si="785"/>
        <v>1.2857142857142858</v>
      </c>
      <c r="AE505" s="23">
        <f t="shared" si="786"/>
        <v>6680.5714285714284</v>
      </c>
      <c r="AF505" s="25">
        <f t="shared" si="787"/>
        <v>6.9425719060364609E-3</v>
      </c>
      <c r="AG505" s="20">
        <v>5573557</v>
      </c>
      <c r="AH505" s="21">
        <f t="shared" ref="AH505:AH508" si="797">AG505-AG504</f>
        <v>4458</v>
      </c>
      <c r="AI505" s="21">
        <f t="shared" si="788"/>
        <v>5933.2</v>
      </c>
      <c r="AJ505" s="20">
        <v>5311557</v>
      </c>
      <c r="AK505" s="20">
        <f t="shared" ref="AK505:AK508" si="798">AJ505-AJ504</f>
        <v>18425</v>
      </c>
      <c r="AL505" s="21">
        <f t="shared" si="789"/>
        <v>21726.400000000001</v>
      </c>
      <c r="AM505" s="26">
        <f t="shared" si="790"/>
        <v>255.14285714285714</v>
      </c>
    </row>
    <row r="506" spans="1:39" ht="16">
      <c r="A506" s="30">
        <v>44398</v>
      </c>
      <c r="B506" s="20">
        <f t="shared" si="791"/>
        <v>808945</v>
      </c>
      <c r="C506" s="20">
        <v>56</v>
      </c>
      <c r="D506" s="20">
        <v>30019</v>
      </c>
      <c r="E506" s="20">
        <v>744051</v>
      </c>
      <c r="F506" s="20">
        <v>6268163</v>
      </c>
      <c r="G506" s="17">
        <f t="shared" si="772"/>
        <v>639608.46938775503</v>
      </c>
      <c r="H506" s="20"/>
      <c r="I506" s="19">
        <f t="shared" si="792"/>
        <v>6.9230759721049484E-5</v>
      </c>
      <c r="J506" s="19">
        <f t="shared" si="773"/>
        <v>0.12905615249635341</v>
      </c>
      <c r="K506" s="19">
        <f t="shared" si="793"/>
        <v>1.0446175128425192E-3</v>
      </c>
      <c r="L506" s="20">
        <v>34875</v>
      </c>
      <c r="M506" s="19">
        <f t="shared" si="774"/>
        <v>3.7108826928901224E-2</v>
      </c>
      <c r="N506" s="19">
        <f t="shared" si="775"/>
        <v>0.91977946584749271</v>
      </c>
      <c r="O506" s="20">
        <v>1409</v>
      </c>
      <c r="P506" s="28">
        <f t="shared" si="794"/>
        <v>6541</v>
      </c>
      <c r="Q506" s="29">
        <f t="shared" si="776"/>
        <v>8.5613820516740567E-3</v>
      </c>
      <c r="R506" s="20">
        <f t="shared" ref="R506:S506" si="799">D506-D505</f>
        <v>0</v>
      </c>
      <c r="S506" s="20">
        <f t="shared" si="799"/>
        <v>602</v>
      </c>
      <c r="T506" s="20">
        <v>76</v>
      </c>
      <c r="U506" s="20">
        <v>10</v>
      </c>
      <c r="V506" s="19">
        <f t="shared" si="778"/>
        <v>4.3111707223606056E-2</v>
      </c>
      <c r="W506" s="20">
        <f t="shared" ref="W506:X506" si="800">T506-T505</f>
        <v>-1</v>
      </c>
      <c r="X506" s="20">
        <f t="shared" si="800"/>
        <v>-1</v>
      </c>
      <c r="Y506" s="19">
        <f t="shared" si="780"/>
        <v>2.17921146953405E-3</v>
      </c>
      <c r="Z506" s="19">
        <f t="shared" si="781"/>
        <v>0.13157894736842105</v>
      </c>
      <c r="AA506" s="21">
        <f t="shared" si="782"/>
        <v>1.2153284671532847</v>
      </c>
      <c r="AB506" s="26">
        <f t="shared" si="783"/>
        <v>1.2019641248792268</v>
      </c>
      <c r="AC506" s="23">
        <f t="shared" si="784"/>
        <v>47.571428571428569</v>
      </c>
      <c r="AD506" s="23">
        <f t="shared" si="785"/>
        <v>0.8571428571428571</v>
      </c>
      <c r="AE506" s="23">
        <f t="shared" si="786"/>
        <v>6587.2857142857147</v>
      </c>
      <c r="AF506" s="25">
        <f t="shared" si="787"/>
        <v>7.09799538337155E-3</v>
      </c>
      <c r="AG506" s="20">
        <v>5578183</v>
      </c>
      <c r="AH506" s="21">
        <f t="shared" si="797"/>
        <v>4626</v>
      </c>
      <c r="AI506" s="21">
        <f t="shared" si="788"/>
        <v>5946.4</v>
      </c>
      <c r="AJ506" s="20">
        <v>5327325</v>
      </c>
      <c r="AK506" s="20">
        <f t="shared" si="798"/>
        <v>15768</v>
      </c>
      <c r="AL506" s="21">
        <f t="shared" si="789"/>
        <v>20116.8</v>
      </c>
      <c r="AM506" s="26">
        <f t="shared" si="790"/>
        <v>307.85714285714283</v>
      </c>
    </row>
    <row r="507" spans="1:39" ht="16">
      <c r="A507" s="30">
        <v>44399</v>
      </c>
      <c r="B507" s="20">
        <f t="shared" si="791"/>
        <v>809016</v>
      </c>
      <c r="C507" s="20">
        <v>71</v>
      </c>
      <c r="D507" s="20">
        <v>30020</v>
      </c>
      <c r="E507" s="20">
        <v>744714</v>
      </c>
      <c r="F507" s="20">
        <v>6274804</v>
      </c>
      <c r="G507" s="17">
        <f t="shared" si="772"/>
        <v>640286.12244897953</v>
      </c>
      <c r="H507" s="20"/>
      <c r="I507" s="19">
        <f t="shared" si="792"/>
        <v>8.7768636928344949E-5</v>
      </c>
      <c r="J507" s="19">
        <f t="shared" si="773"/>
        <v>0.12893087975337555</v>
      </c>
      <c r="K507" s="19">
        <f t="shared" si="793"/>
        <v>1.0594810632716476E-3</v>
      </c>
      <c r="L507" s="20">
        <v>34282</v>
      </c>
      <c r="M507" s="19">
        <f t="shared" si="774"/>
        <v>3.710680629307702E-2</v>
      </c>
      <c r="N507" s="19">
        <f t="shared" si="775"/>
        <v>0.92051825921860631</v>
      </c>
      <c r="O507" s="20">
        <v>1384</v>
      </c>
      <c r="P507" s="28">
        <f t="shared" si="794"/>
        <v>6641</v>
      </c>
      <c r="Q507" s="29">
        <f t="shared" si="776"/>
        <v>1.0691160969733474E-2</v>
      </c>
      <c r="R507" s="20">
        <f t="shared" ref="R507:S507" si="801">D507-D506</f>
        <v>1</v>
      </c>
      <c r="S507" s="20">
        <f t="shared" si="801"/>
        <v>663</v>
      </c>
      <c r="T507" s="20">
        <v>62</v>
      </c>
      <c r="U507" s="20">
        <v>10</v>
      </c>
      <c r="V507" s="19">
        <f t="shared" si="778"/>
        <v>4.2374934488316668E-2</v>
      </c>
      <c r="W507" s="20">
        <f t="shared" ref="W507:X507" si="802">T507-T506</f>
        <v>-14</v>
      </c>
      <c r="X507" s="20">
        <f t="shared" si="802"/>
        <v>0</v>
      </c>
      <c r="Y507" s="19">
        <f t="shared" si="780"/>
        <v>1.8085292573362115E-3</v>
      </c>
      <c r="Z507" s="19">
        <f t="shared" si="781"/>
        <v>0.16129032258064516</v>
      </c>
      <c r="AA507" s="21">
        <f t="shared" si="782"/>
        <v>1.3246268656716418</v>
      </c>
      <c r="AB507" s="26">
        <f t="shared" si="783"/>
        <v>1.2368465795586192</v>
      </c>
      <c r="AC507" s="23">
        <f t="shared" si="784"/>
        <v>50.714285714285715</v>
      </c>
      <c r="AD507" s="23">
        <f t="shared" si="785"/>
        <v>1</v>
      </c>
      <c r="AE507" s="23">
        <f t="shared" si="786"/>
        <v>6470.8571428571431</v>
      </c>
      <c r="AF507" s="25">
        <f t="shared" si="787"/>
        <v>7.9218498949148123E-3</v>
      </c>
      <c r="AG507" s="20">
        <v>5582815</v>
      </c>
      <c r="AH507" s="21">
        <f t="shared" si="797"/>
        <v>4632</v>
      </c>
      <c r="AI507" s="21">
        <f t="shared" si="788"/>
        <v>5991.2</v>
      </c>
      <c r="AJ507" s="20">
        <v>5344123</v>
      </c>
      <c r="AK507" s="20">
        <f t="shared" si="798"/>
        <v>16798</v>
      </c>
      <c r="AL507" s="21">
        <f t="shared" si="789"/>
        <v>18732.8</v>
      </c>
      <c r="AM507" s="26">
        <f t="shared" si="790"/>
        <v>349.14285714285717</v>
      </c>
    </row>
    <row r="508" spans="1:39" ht="16">
      <c r="A508" s="30">
        <v>44400</v>
      </c>
      <c r="B508" s="20">
        <f t="shared" si="791"/>
        <v>809101</v>
      </c>
      <c r="C508" s="20">
        <v>85</v>
      </c>
      <c r="D508" s="20">
        <v>30020</v>
      </c>
      <c r="E508" s="20">
        <v>745277</v>
      </c>
      <c r="F508" s="20">
        <v>6284811</v>
      </c>
      <c r="G508" s="17">
        <f t="shared" si="772"/>
        <v>641307.24489795917</v>
      </c>
      <c r="H508" s="20"/>
      <c r="I508" s="19">
        <f t="shared" si="792"/>
        <v>1.0506590722556785E-4</v>
      </c>
      <c r="J508" s="19">
        <f t="shared" si="773"/>
        <v>0.12873911403222785</v>
      </c>
      <c r="K508" s="19">
        <f t="shared" si="793"/>
        <v>1.5947908492440562E-3</v>
      </c>
      <c r="L508" s="20">
        <v>33804</v>
      </c>
      <c r="M508" s="19">
        <f t="shared" si="774"/>
        <v>3.7102908042382844E-2</v>
      </c>
      <c r="N508" s="19">
        <f t="shared" si="775"/>
        <v>0.92111738831122447</v>
      </c>
      <c r="O508" s="20">
        <v>1376</v>
      </c>
      <c r="P508" s="28">
        <f t="shared" si="794"/>
        <v>10007</v>
      </c>
      <c r="Q508" s="29">
        <f t="shared" si="776"/>
        <v>8.4940541620865395E-3</v>
      </c>
      <c r="R508" s="20">
        <f t="shared" ref="R508:S508" si="803">D508-D507</f>
        <v>0</v>
      </c>
      <c r="S508" s="20">
        <f t="shared" si="803"/>
        <v>563</v>
      </c>
      <c r="T508" s="20">
        <v>67</v>
      </c>
      <c r="U508" s="20">
        <v>9</v>
      </c>
      <c r="V508" s="19">
        <f t="shared" si="778"/>
        <v>4.1779703646392725E-2</v>
      </c>
      <c r="W508" s="20">
        <f t="shared" ref="W508:X508" si="804">T508-T507</f>
        <v>5</v>
      </c>
      <c r="X508" s="20">
        <f t="shared" si="804"/>
        <v>-1</v>
      </c>
      <c r="Y508" s="19">
        <f t="shared" si="780"/>
        <v>1.9820139628446338E-3</v>
      </c>
      <c r="Z508" s="19">
        <f t="shared" si="781"/>
        <v>0.13432835820895522</v>
      </c>
      <c r="AA508" s="21">
        <f t="shared" si="782"/>
        <v>1.3055555555555556</v>
      </c>
      <c r="AB508" s="26">
        <f t="shared" si="783"/>
        <v>1.2579576906697305</v>
      </c>
      <c r="AC508" s="23">
        <f t="shared" si="784"/>
        <v>53.714285714285715</v>
      </c>
      <c r="AD508" s="23">
        <f t="shared" si="785"/>
        <v>0.7142857142857143</v>
      </c>
      <c r="AE508" s="23">
        <f t="shared" si="786"/>
        <v>6648</v>
      </c>
      <c r="AF508" s="25">
        <f t="shared" si="787"/>
        <v>8.1606401957933956E-3</v>
      </c>
      <c r="AG508" s="20">
        <v>5588272</v>
      </c>
      <c r="AH508" s="21">
        <f t="shared" si="797"/>
        <v>5457</v>
      </c>
      <c r="AI508" s="21">
        <f t="shared" si="788"/>
        <v>5818.8</v>
      </c>
      <c r="AJ508" s="20">
        <v>5357511</v>
      </c>
      <c r="AK508" s="20">
        <f t="shared" si="798"/>
        <v>13388</v>
      </c>
      <c r="AL508" s="21">
        <f t="shared" si="789"/>
        <v>17739.400000000001</v>
      </c>
      <c r="AM508" s="26">
        <f t="shared" si="790"/>
        <v>377.85714285714283</v>
      </c>
    </row>
    <row r="509" spans="1:39" ht="13">
      <c r="A509" s="30">
        <v>44401</v>
      </c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8"/>
      <c r="Q509" s="28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</row>
    <row r="510" spans="1:39" ht="13">
      <c r="A510" s="30">
        <v>44402</v>
      </c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8"/>
      <c r="Q510" s="28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</row>
    <row r="511" spans="1:39" ht="16">
      <c r="A511" s="30">
        <v>44403</v>
      </c>
      <c r="B511" s="20">
        <f>B508+C511</f>
        <v>809262</v>
      </c>
      <c r="C511" s="20">
        <v>161</v>
      </c>
      <c r="D511" s="20">
        <v>30020</v>
      </c>
      <c r="E511" s="20">
        <v>745848</v>
      </c>
      <c r="F511" s="20">
        <v>6303940</v>
      </c>
      <c r="G511" s="17">
        <f t="shared" ref="G511:G515" si="805">F511/9.8</f>
        <v>643259.18367346935</v>
      </c>
      <c r="H511" s="20"/>
      <c r="I511" s="19">
        <f>(B511-B508)/B508</f>
        <v>1.9898628230591731E-4</v>
      </c>
      <c r="J511" s="19">
        <f t="shared" ref="J511:J515" si="806">B511/F511</f>
        <v>0.12837400102158333</v>
      </c>
      <c r="K511" s="19">
        <f>(F511-F508)/F508</f>
        <v>3.0436873917131318E-3</v>
      </c>
      <c r="L511" s="20">
        <v>33394</v>
      </c>
      <c r="M511" s="19">
        <f t="shared" ref="M511:M515" si="807">D511/B511</f>
        <v>3.7095526541466174E-2</v>
      </c>
      <c r="N511" s="19">
        <f t="shared" ref="N511:N515" si="808">E511/B511</f>
        <v>0.92163971618585827</v>
      </c>
      <c r="O511" s="20">
        <v>1517</v>
      </c>
      <c r="P511" s="28">
        <f>F511-F508</f>
        <v>19129</v>
      </c>
      <c r="Q511" s="29">
        <f t="shared" ref="Q511:Q515" si="809">C511/P511</f>
        <v>8.4165403314339481E-3</v>
      </c>
      <c r="R511" s="20">
        <f t="shared" ref="R511:S511" si="810">D511-D508</f>
        <v>0</v>
      </c>
      <c r="S511" s="20">
        <f t="shared" si="810"/>
        <v>571</v>
      </c>
      <c r="T511" s="20">
        <v>55</v>
      </c>
      <c r="U511" s="20">
        <v>9</v>
      </c>
      <c r="V511" s="19">
        <f t="shared" ref="V511:V515" si="811">L511/B511</f>
        <v>4.1264757272675597E-2</v>
      </c>
      <c r="W511" s="20">
        <f t="shared" ref="W511:X511" si="812">T511-T508</f>
        <v>-12</v>
      </c>
      <c r="X511" s="20">
        <f t="shared" si="812"/>
        <v>0</v>
      </c>
      <c r="Y511" s="19">
        <f t="shared" ref="Y511:Y515" si="813">T511/L511</f>
        <v>1.6470024555309338E-3</v>
      </c>
      <c r="Z511" s="19">
        <f t="shared" ref="Z511:Z515" si="814">U511/T511</f>
        <v>0.16363636363636364</v>
      </c>
      <c r="AA511" s="21">
        <f t="shared" ref="AA511:AA515" si="815">(C505+C506+C507+C508+C509+C510+C511)/(C498+C499+C500+C501+C502+C503+C504)</f>
        <v>1.2246153846153847</v>
      </c>
      <c r="AB511" s="26">
        <f t="shared" ref="AB511:AB515" si="816">SUM(AA505:AA511)/5</f>
        <v>1.2682237278816162</v>
      </c>
      <c r="AC511" s="23">
        <f t="shared" ref="AC511:AC515" si="817">SUM(C505:C511)/7</f>
        <v>56.857142857142854</v>
      </c>
      <c r="AD511" s="23">
        <f t="shared" ref="AD511:AD515" si="818">SUM(R505:R511)/7</f>
        <v>0.42857142857142855</v>
      </c>
      <c r="AE511" s="23">
        <f t="shared" ref="AE511:AE515" si="819">SUM(P505:P511)/7</f>
        <v>6668</v>
      </c>
      <c r="AF511" s="25">
        <f t="shared" ref="AF511:AF515" si="820">SUM(Q505:Q511)/5</f>
        <v>8.379942785225164E-3</v>
      </c>
      <c r="AG511" s="20">
        <v>5596543</v>
      </c>
      <c r="AH511" s="21">
        <f>AG511-AG508</f>
        <v>8271</v>
      </c>
      <c r="AI511" s="21">
        <f t="shared" ref="AI511:AI515" si="821">(SUM(AH505:AH511))/5</f>
        <v>5488.8</v>
      </c>
      <c r="AJ511" s="20">
        <v>5374864</v>
      </c>
      <c r="AK511" s="20">
        <f>AJ511-AJ508</f>
        <v>17353</v>
      </c>
      <c r="AL511" s="21">
        <f t="shared" ref="AL511:AL515" si="822">(SUM(AK505:AK511))/5</f>
        <v>16346.4</v>
      </c>
      <c r="AM511" s="26">
        <f t="shared" ref="AM511:AM515" si="823">SUM(S505:S511)/7</f>
        <v>371.85714285714283</v>
      </c>
    </row>
    <row r="512" spans="1:39" ht="16">
      <c r="A512" s="30">
        <v>44404</v>
      </c>
      <c r="B512" s="20">
        <f t="shared" ref="B512:B515" si="824">B511+C512</f>
        <v>809288</v>
      </c>
      <c r="C512" s="20">
        <v>26</v>
      </c>
      <c r="D512" s="20">
        <v>30021</v>
      </c>
      <c r="E512" s="20">
        <v>746219</v>
      </c>
      <c r="F512" s="20">
        <v>6308291</v>
      </c>
      <c r="G512" s="17">
        <f t="shared" si="805"/>
        <v>643703.16326530604</v>
      </c>
      <c r="H512" s="20"/>
      <c r="I512" s="19">
        <f t="shared" ref="I512:I515" si="825">(B512-B511)/B511</f>
        <v>3.212803764417457E-5</v>
      </c>
      <c r="J512" s="19">
        <f t="shared" si="806"/>
        <v>0.12828957953905423</v>
      </c>
      <c r="K512" s="19">
        <f t="shared" ref="K512:K515" si="826">(F512-F511)/F511</f>
        <v>6.9020326970117103E-4</v>
      </c>
      <c r="L512" s="20">
        <v>33048</v>
      </c>
      <c r="M512" s="19">
        <f t="shared" si="807"/>
        <v>3.7095570427338596E-2</v>
      </c>
      <c r="N512" s="19">
        <f t="shared" si="808"/>
        <v>0.92206853431658442</v>
      </c>
      <c r="O512" s="20">
        <v>1471</v>
      </c>
      <c r="P512" s="28">
        <f t="shared" ref="P512:P515" si="827">F512-F511</f>
        <v>4351</v>
      </c>
      <c r="Q512" s="29">
        <f t="shared" si="809"/>
        <v>5.9756377844173755E-3</v>
      </c>
      <c r="R512" s="20">
        <f t="shared" ref="R512:S512" si="828">D512-D511</f>
        <v>1</v>
      </c>
      <c r="S512" s="20">
        <f t="shared" si="828"/>
        <v>371</v>
      </c>
      <c r="T512" s="20">
        <v>73</v>
      </c>
      <c r="U512" s="20">
        <v>11</v>
      </c>
      <c r="V512" s="19">
        <f t="shared" si="811"/>
        <v>4.0835895256076948E-2</v>
      </c>
      <c r="W512" s="20">
        <f t="shared" ref="W512:X512" si="829">T512-T511</f>
        <v>18</v>
      </c>
      <c r="X512" s="20">
        <f t="shared" si="829"/>
        <v>2</v>
      </c>
      <c r="Y512" s="19">
        <f t="shared" si="813"/>
        <v>2.2089082546598885E-3</v>
      </c>
      <c r="Z512" s="19">
        <f t="shared" si="814"/>
        <v>0.15068493150684931</v>
      </c>
      <c r="AA512" s="21">
        <f t="shared" si="815"/>
        <v>1.1981981981981982</v>
      </c>
      <c r="AB512" s="26">
        <f t="shared" si="816"/>
        <v>1.2536648942388129</v>
      </c>
      <c r="AC512" s="23">
        <f t="shared" si="817"/>
        <v>57</v>
      </c>
      <c r="AD512" s="23">
        <f t="shared" si="818"/>
        <v>0.2857142857142857</v>
      </c>
      <c r="AE512" s="23">
        <f t="shared" si="819"/>
        <v>6667</v>
      </c>
      <c r="AF512" s="25">
        <f t="shared" si="820"/>
        <v>8.4277550598690805E-3</v>
      </c>
      <c r="AG512" s="20">
        <v>5600959</v>
      </c>
      <c r="AH512" s="21">
        <f t="shared" ref="AH512:AH515" si="830">AG512-AG511</f>
        <v>4416</v>
      </c>
      <c r="AI512" s="21">
        <f t="shared" si="821"/>
        <v>5480.4</v>
      </c>
      <c r="AJ512" s="20">
        <v>5390593</v>
      </c>
      <c r="AK512" s="20">
        <f t="shared" ref="AK512:AK515" si="831">AJ512-AJ511</f>
        <v>15729</v>
      </c>
      <c r="AL512" s="21">
        <f t="shared" si="822"/>
        <v>15807.2</v>
      </c>
      <c r="AM512" s="26">
        <f t="shared" si="823"/>
        <v>395.71428571428572</v>
      </c>
    </row>
    <row r="513" spans="1:39" ht="16">
      <c r="A513" s="30">
        <v>44405</v>
      </c>
      <c r="B513" s="20">
        <f t="shared" si="824"/>
        <v>809362</v>
      </c>
      <c r="C513" s="20">
        <v>74</v>
      </c>
      <c r="D513" s="20">
        <v>30025</v>
      </c>
      <c r="E513" s="20">
        <v>746981</v>
      </c>
      <c r="F513" s="20">
        <v>6316629</v>
      </c>
      <c r="G513" s="17">
        <f t="shared" si="805"/>
        <v>644553.97959183669</v>
      </c>
      <c r="H513" s="20"/>
      <c r="I513" s="19">
        <f t="shared" si="825"/>
        <v>9.1438400173980095E-5</v>
      </c>
      <c r="J513" s="19">
        <f t="shared" si="806"/>
        <v>0.12813195139369432</v>
      </c>
      <c r="K513" s="19">
        <f t="shared" si="826"/>
        <v>1.3217525951164904E-3</v>
      </c>
      <c r="L513" s="20">
        <v>32356</v>
      </c>
      <c r="M513" s="19">
        <f t="shared" si="807"/>
        <v>3.7097120942174204E-2</v>
      </c>
      <c r="N513" s="19">
        <f t="shared" si="808"/>
        <v>0.92292571185699357</v>
      </c>
      <c r="O513" s="20">
        <v>1475</v>
      </c>
      <c r="P513" s="28">
        <f t="shared" si="827"/>
        <v>8338</v>
      </c>
      <c r="Q513" s="29">
        <f t="shared" si="809"/>
        <v>8.8750299832094023E-3</v>
      </c>
      <c r="R513" s="20">
        <f t="shared" ref="R513:S513" si="832">D513-D512</f>
        <v>4</v>
      </c>
      <c r="S513" s="20">
        <f t="shared" si="832"/>
        <v>762</v>
      </c>
      <c r="T513" s="20">
        <v>70</v>
      </c>
      <c r="U513" s="20">
        <v>11</v>
      </c>
      <c r="V513" s="19">
        <f t="shared" si="811"/>
        <v>3.9977167200832261E-2</v>
      </c>
      <c r="W513" s="20">
        <f t="shared" ref="W513:X513" si="833">T513-T512</f>
        <v>-3</v>
      </c>
      <c r="X513" s="20">
        <f t="shared" si="833"/>
        <v>0</v>
      </c>
      <c r="Y513" s="19">
        <f t="shared" si="813"/>
        <v>2.1634318209914701E-3</v>
      </c>
      <c r="Z513" s="19">
        <f t="shared" si="814"/>
        <v>0.15714285714285714</v>
      </c>
      <c r="AA513" s="21">
        <f t="shared" si="815"/>
        <v>1.2522522522522523</v>
      </c>
      <c r="AB513" s="26">
        <f t="shared" si="816"/>
        <v>1.2610496512586065</v>
      </c>
      <c r="AC513" s="23">
        <f t="shared" si="817"/>
        <v>59.571428571428569</v>
      </c>
      <c r="AD513" s="23">
        <f t="shared" si="818"/>
        <v>0.8571428571428571</v>
      </c>
      <c r="AE513" s="23">
        <f t="shared" si="819"/>
        <v>6923.7142857142853</v>
      </c>
      <c r="AF513" s="25">
        <f t="shared" si="820"/>
        <v>8.4904846461761486E-3</v>
      </c>
      <c r="AG513" s="20">
        <v>5605713</v>
      </c>
      <c r="AH513" s="21">
        <f t="shared" si="830"/>
        <v>4754</v>
      </c>
      <c r="AI513" s="21">
        <f t="shared" si="821"/>
        <v>5506</v>
      </c>
      <c r="AJ513" s="20">
        <v>5405781</v>
      </c>
      <c r="AK513" s="20">
        <f t="shared" si="831"/>
        <v>15188</v>
      </c>
      <c r="AL513" s="21">
        <f t="shared" si="822"/>
        <v>15691.2</v>
      </c>
      <c r="AM513" s="26">
        <f t="shared" si="823"/>
        <v>418.57142857142856</v>
      </c>
    </row>
    <row r="514" spans="1:39" ht="16">
      <c r="A514" s="30">
        <v>44406</v>
      </c>
      <c r="B514" s="20">
        <f t="shared" si="824"/>
        <v>809427</v>
      </c>
      <c r="C514" s="20">
        <v>65</v>
      </c>
      <c r="D514" s="20">
        <v>30025</v>
      </c>
      <c r="E514" s="20">
        <v>747512</v>
      </c>
      <c r="F514" s="20">
        <v>6323793</v>
      </c>
      <c r="G514" s="17">
        <f t="shared" si="805"/>
        <v>645285</v>
      </c>
      <c r="H514" s="20"/>
      <c r="I514" s="19">
        <f t="shared" si="825"/>
        <v>8.0310170232850069E-5</v>
      </c>
      <c r="J514" s="19">
        <f t="shared" si="806"/>
        <v>0.1279970739080169</v>
      </c>
      <c r="K514" s="19">
        <f t="shared" si="826"/>
        <v>1.1341492432118462E-3</v>
      </c>
      <c r="L514" s="20">
        <v>31890</v>
      </c>
      <c r="M514" s="19">
        <f t="shared" si="807"/>
        <v>3.7094141905323147E-2</v>
      </c>
      <c r="N514" s="19">
        <f t="shared" si="808"/>
        <v>0.92350761711679996</v>
      </c>
      <c r="O514" s="20">
        <v>1412</v>
      </c>
      <c r="P514" s="28">
        <f t="shared" si="827"/>
        <v>7164</v>
      </c>
      <c r="Q514" s="29">
        <f t="shared" si="809"/>
        <v>9.0731434952540484E-3</v>
      </c>
      <c r="R514" s="20">
        <f t="shared" ref="R514:S514" si="834">D514-D513</f>
        <v>0</v>
      </c>
      <c r="S514" s="20">
        <f t="shared" si="834"/>
        <v>531</v>
      </c>
      <c r="T514" s="20">
        <v>79</v>
      </c>
      <c r="U514" s="20">
        <v>13</v>
      </c>
      <c r="V514" s="19">
        <f t="shared" si="811"/>
        <v>3.939824097787694E-2</v>
      </c>
      <c r="W514" s="20">
        <f t="shared" ref="W514:X514" si="835">T514-T513</f>
        <v>9</v>
      </c>
      <c r="X514" s="20">
        <f t="shared" si="835"/>
        <v>2</v>
      </c>
      <c r="Y514" s="19">
        <f t="shared" si="813"/>
        <v>2.4772656005017245E-3</v>
      </c>
      <c r="Z514" s="19">
        <f t="shared" si="814"/>
        <v>0.16455696202531644</v>
      </c>
      <c r="AA514" s="21">
        <f t="shared" si="815"/>
        <v>1.1577464788732394</v>
      </c>
      <c r="AB514" s="26">
        <f t="shared" si="816"/>
        <v>1.227673573898926</v>
      </c>
      <c r="AC514" s="23">
        <f t="shared" si="817"/>
        <v>58.714285714285715</v>
      </c>
      <c r="AD514" s="23">
        <f t="shared" si="818"/>
        <v>0.7142857142857143</v>
      </c>
      <c r="AE514" s="23">
        <f t="shared" si="819"/>
        <v>6998.4285714285716</v>
      </c>
      <c r="AF514" s="25">
        <f t="shared" si="820"/>
        <v>8.1668811512802635E-3</v>
      </c>
      <c r="AG514" s="20">
        <v>5611260</v>
      </c>
      <c r="AH514" s="21">
        <f t="shared" si="830"/>
        <v>5547</v>
      </c>
      <c r="AI514" s="21">
        <f t="shared" si="821"/>
        <v>5689</v>
      </c>
      <c r="AJ514" s="20">
        <v>5418198</v>
      </c>
      <c r="AK514" s="20">
        <f t="shared" si="831"/>
        <v>12417</v>
      </c>
      <c r="AL514" s="21">
        <f t="shared" si="822"/>
        <v>14815</v>
      </c>
      <c r="AM514" s="26">
        <f t="shared" si="823"/>
        <v>399.71428571428572</v>
      </c>
    </row>
    <row r="515" spans="1:39" ht="16">
      <c r="A515" s="30">
        <v>44407</v>
      </c>
      <c r="B515" s="20">
        <f t="shared" si="824"/>
        <v>809491</v>
      </c>
      <c r="C515" s="20">
        <v>64</v>
      </c>
      <c r="D515" s="20">
        <v>30026</v>
      </c>
      <c r="E515" s="20">
        <v>748157</v>
      </c>
      <c r="F515" s="20">
        <v>6328373</v>
      </c>
      <c r="G515" s="17">
        <f t="shared" si="805"/>
        <v>645752.3469387755</v>
      </c>
      <c r="H515" s="20"/>
      <c r="I515" s="19">
        <f t="shared" si="825"/>
        <v>7.9068279165384896E-5</v>
      </c>
      <c r="J515" s="19">
        <f t="shared" si="806"/>
        <v>0.12791455244499653</v>
      </c>
      <c r="K515" s="19">
        <f t="shared" si="826"/>
        <v>7.242488803792281E-4</v>
      </c>
      <c r="L515" s="20">
        <v>31308</v>
      </c>
      <c r="M515" s="19">
        <f t="shared" si="807"/>
        <v>3.7092444511427548E-2</v>
      </c>
      <c r="N515" s="19">
        <f t="shared" si="808"/>
        <v>0.9242313997314362</v>
      </c>
      <c r="O515" s="20">
        <v>1335</v>
      </c>
      <c r="P515" s="28">
        <f t="shared" si="827"/>
        <v>4580</v>
      </c>
      <c r="Q515" s="29">
        <f t="shared" si="809"/>
        <v>1.3973799126637555E-2</v>
      </c>
      <c r="R515" s="20">
        <f t="shared" ref="R515:S515" si="836">D515-D514</f>
        <v>1</v>
      </c>
      <c r="S515" s="20">
        <f t="shared" si="836"/>
        <v>645</v>
      </c>
      <c r="T515" s="20">
        <v>78</v>
      </c>
      <c r="U515" s="20">
        <v>11</v>
      </c>
      <c r="V515" s="19">
        <f t="shared" si="811"/>
        <v>3.8676155757136274E-2</v>
      </c>
      <c r="W515" s="20">
        <f t="shared" ref="W515:X515" si="837">T515-T514</f>
        <v>-1</v>
      </c>
      <c r="X515" s="20">
        <f t="shared" si="837"/>
        <v>-2</v>
      </c>
      <c r="Y515" s="19">
        <f t="shared" si="813"/>
        <v>2.4913760061326179E-3</v>
      </c>
      <c r="Z515" s="19">
        <f t="shared" si="814"/>
        <v>0.14102564102564102</v>
      </c>
      <c r="AA515" s="21">
        <f t="shared" si="815"/>
        <v>1.0372340425531914</v>
      </c>
      <c r="AB515" s="26">
        <f t="shared" si="816"/>
        <v>1.1740092712984531</v>
      </c>
      <c r="AC515" s="23">
        <f t="shared" si="817"/>
        <v>55.714285714285715</v>
      </c>
      <c r="AD515" s="23">
        <f t="shared" si="818"/>
        <v>0.8571428571428571</v>
      </c>
      <c r="AE515" s="23">
        <f t="shared" si="819"/>
        <v>6223.1428571428569</v>
      </c>
      <c r="AF515" s="25">
        <f t="shared" si="820"/>
        <v>9.2628301441904665E-3</v>
      </c>
      <c r="AG515" s="20">
        <v>5617260</v>
      </c>
      <c r="AH515" s="21">
        <f t="shared" si="830"/>
        <v>6000</v>
      </c>
      <c r="AI515" s="21">
        <f t="shared" si="821"/>
        <v>5797.6</v>
      </c>
      <c r="AJ515" s="20">
        <v>5428980</v>
      </c>
      <c r="AK515" s="20">
        <f t="shared" si="831"/>
        <v>10782</v>
      </c>
      <c r="AL515" s="21">
        <f t="shared" si="822"/>
        <v>14293.8</v>
      </c>
      <c r="AM515" s="26">
        <f t="shared" si="823"/>
        <v>411.42857142857144</v>
      </c>
    </row>
    <row r="516" spans="1:39" ht="13">
      <c r="A516" s="30">
        <v>44408</v>
      </c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8"/>
      <c r="Q516" s="28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</row>
    <row r="517" spans="1:39" ht="13">
      <c r="A517" s="30">
        <v>44409</v>
      </c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8"/>
      <c r="Q517" s="28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</row>
    <row r="518" spans="1:39" ht="16">
      <c r="A518" s="30">
        <v>44410</v>
      </c>
      <c r="B518" s="20">
        <f>B515+C518</f>
        <v>809646</v>
      </c>
      <c r="C518" s="20">
        <v>155</v>
      </c>
      <c r="D518" s="20">
        <v>30027</v>
      </c>
      <c r="E518" s="20">
        <v>749185</v>
      </c>
      <c r="F518" s="20">
        <v>6348148</v>
      </c>
      <c r="G518" s="17">
        <f t="shared" ref="G518:G522" si="838">F518/9.8</f>
        <v>647770.20408163266</v>
      </c>
      <c r="H518" s="20"/>
      <c r="I518" s="19">
        <f>(B518-B515)/B515</f>
        <v>1.9147834874013424E-4</v>
      </c>
      <c r="J518" s="19">
        <f t="shared" ref="J518:J522" si="839">B518/F518</f>
        <v>0.1275405047267329</v>
      </c>
      <c r="K518" s="19">
        <f>(F518-F515)/F515</f>
        <v>3.1248158096875769E-3</v>
      </c>
      <c r="L518" s="20">
        <v>30434</v>
      </c>
      <c r="M518" s="19">
        <f t="shared" ref="M518:M522" si="840">D518/B518</f>
        <v>3.7086578578786285E-2</v>
      </c>
      <c r="N518" s="19">
        <f t="shared" ref="N518:N522" si="841">E518/B518</f>
        <v>0.9253241540129884</v>
      </c>
      <c r="O518" s="20">
        <v>1365</v>
      </c>
      <c r="P518" s="28">
        <f>F518-F515</f>
        <v>19775</v>
      </c>
      <c r="Q518" s="29">
        <f t="shared" ref="Q518:Q522" si="842">C518/P518</f>
        <v>7.8381795195954489E-3</v>
      </c>
      <c r="R518" s="20">
        <f t="shared" ref="R518:S518" si="843">D518-D515</f>
        <v>1</v>
      </c>
      <c r="S518" s="20">
        <f t="shared" si="843"/>
        <v>1028</v>
      </c>
      <c r="T518" s="20">
        <v>76</v>
      </c>
      <c r="U518" s="20">
        <v>11</v>
      </c>
      <c r="V518" s="19">
        <f t="shared" ref="V518:V522" si="844">L518/B518</f>
        <v>3.7589267408225324E-2</v>
      </c>
      <c r="W518" s="20">
        <f t="shared" ref="W518:X518" si="845">T518-T515</f>
        <v>-2</v>
      </c>
      <c r="X518" s="20">
        <f t="shared" si="845"/>
        <v>0</v>
      </c>
      <c r="Y518" s="19">
        <f t="shared" ref="Y518:Y522" si="846">T518/L518</f>
        <v>2.4972070710389694E-3</v>
      </c>
      <c r="Z518" s="19">
        <f t="shared" ref="Z518:Z522" si="847">U518/T518</f>
        <v>0.14473684210526316</v>
      </c>
      <c r="AA518" s="21">
        <f t="shared" ref="AA518:AA522" si="848">(C512+C513+C514+C515+C516+C517+C518)/(C505+C506+C507+C508+C509+C510+C511)</f>
        <v>0.96482412060301503</v>
      </c>
      <c r="AB518" s="26">
        <f t="shared" ref="AB518:AB522" si="849">SUM(AA512:AA518)/5</f>
        <v>1.1220510184959791</v>
      </c>
      <c r="AC518" s="23">
        <f t="shared" ref="AC518:AC522" si="850">SUM(C512:C518)/7</f>
        <v>54.857142857142854</v>
      </c>
      <c r="AD518" s="23">
        <f t="shared" ref="AD518:AD522" si="851">SUM(R512:R518)/7</f>
        <v>1</v>
      </c>
      <c r="AE518" s="23">
        <f t="shared" ref="AE518:AE522" si="852">SUM(P512:P518)/7</f>
        <v>6315.4285714285716</v>
      </c>
      <c r="AF518" s="25">
        <f t="shared" ref="AF518:AF522" si="853">SUM(Q512:Q518)/5</f>
        <v>9.1471579818227667E-3</v>
      </c>
      <c r="AG518" s="20">
        <v>5624451</v>
      </c>
      <c r="AH518" s="21">
        <f>AG518-AG515</f>
        <v>7191</v>
      </c>
      <c r="AI518" s="21">
        <f t="shared" ref="AI518:AI522" si="854">(SUM(AH512:AH518))/5</f>
        <v>5581.6</v>
      </c>
      <c r="AJ518" s="20">
        <v>5443749</v>
      </c>
      <c r="AK518" s="20">
        <f>AJ518-AJ515</f>
        <v>14769</v>
      </c>
      <c r="AL518" s="21">
        <f t="shared" ref="AL518:AL522" si="855">(SUM(AK512:AK518))/5</f>
        <v>13777</v>
      </c>
      <c r="AM518" s="26">
        <f t="shared" ref="AM518:AM522" si="856">SUM(S512:S518)/7</f>
        <v>476.71428571428572</v>
      </c>
    </row>
    <row r="519" spans="1:39" ht="16">
      <c r="A519" s="30">
        <v>44411</v>
      </c>
      <c r="B519" s="20">
        <f t="shared" ref="B519:B522" si="857">B518+C519</f>
        <v>809672</v>
      </c>
      <c r="C519" s="20">
        <v>26</v>
      </c>
      <c r="D519" s="20">
        <v>30029</v>
      </c>
      <c r="E519" s="20">
        <v>749461</v>
      </c>
      <c r="F519" s="20">
        <v>6352215</v>
      </c>
      <c r="G519" s="17">
        <f t="shared" si="838"/>
        <v>648185.20408163266</v>
      </c>
      <c r="H519" s="20"/>
      <c r="I519" s="19">
        <f t="shared" ref="I519:I522" si="858">(B519-B518)/B518</f>
        <v>3.2112799915024593E-5</v>
      </c>
      <c r="J519" s="19">
        <f t="shared" si="839"/>
        <v>0.12746294009255038</v>
      </c>
      <c r="K519" s="19">
        <f t="shared" ref="K519:K522" si="859">(F519-F518)/F518</f>
        <v>6.4065929149729973E-4</v>
      </c>
      <c r="L519" s="20">
        <v>30182</v>
      </c>
      <c r="M519" s="19">
        <f t="shared" si="840"/>
        <v>3.7087857799207577E-2</v>
      </c>
      <c r="N519" s="19">
        <f t="shared" si="841"/>
        <v>0.92563531899337015</v>
      </c>
      <c r="O519" s="20">
        <v>1349</v>
      </c>
      <c r="P519" s="28">
        <f t="shared" ref="P519:P522" si="860">F519-F518</f>
        <v>4067</v>
      </c>
      <c r="Q519" s="29">
        <f t="shared" si="842"/>
        <v>6.3929186132284238E-3</v>
      </c>
      <c r="R519" s="20">
        <f t="shared" ref="R519:S519" si="861">D519-D518</f>
        <v>2</v>
      </c>
      <c r="S519" s="20">
        <f t="shared" si="861"/>
        <v>276</v>
      </c>
      <c r="T519" s="20">
        <v>77</v>
      </c>
      <c r="U519" s="20">
        <v>10</v>
      </c>
      <c r="V519" s="19">
        <f t="shared" si="844"/>
        <v>3.7276823207422267E-2</v>
      </c>
      <c r="W519" s="20">
        <f t="shared" ref="W519:X519" si="862">T519-T518</f>
        <v>1</v>
      </c>
      <c r="X519" s="20">
        <f t="shared" si="862"/>
        <v>-1</v>
      </c>
      <c r="Y519" s="19">
        <f t="shared" si="846"/>
        <v>2.55118945066596E-3</v>
      </c>
      <c r="Z519" s="19">
        <f t="shared" si="847"/>
        <v>0.12987012987012986</v>
      </c>
      <c r="AA519" s="21">
        <f t="shared" si="848"/>
        <v>0.96240601503759393</v>
      </c>
      <c r="AB519" s="26">
        <f t="shared" si="849"/>
        <v>1.0748925818638584</v>
      </c>
      <c r="AC519" s="23">
        <f t="shared" si="850"/>
        <v>54.857142857142854</v>
      </c>
      <c r="AD519" s="23">
        <f t="shared" si="851"/>
        <v>1.1428571428571428</v>
      </c>
      <c r="AE519" s="23">
        <f t="shared" si="852"/>
        <v>6274.8571428571431</v>
      </c>
      <c r="AF519" s="25">
        <f t="shared" si="853"/>
        <v>9.2306141475849753E-3</v>
      </c>
      <c r="AG519" s="20">
        <v>5628383</v>
      </c>
      <c r="AH519" s="21">
        <f t="shared" ref="AH519:AH522" si="863">AG519-AG518</f>
        <v>3932</v>
      </c>
      <c r="AI519" s="21">
        <f t="shared" si="854"/>
        <v>5484.8</v>
      </c>
      <c r="AJ519" s="20">
        <v>5453177</v>
      </c>
      <c r="AK519" s="20">
        <f t="shared" ref="AK519:AK522" si="864">AJ519-AJ518</f>
        <v>9428</v>
      </c>
      <c r="AL519" s="21">
        <f t="shared" si="855"/>
        <v>12516.8</v>
      </c>
      <c r="AM519" s="26">
        <f t="shared" si="856"/>
        <v>463.14285714285717</v>
      </c>
    </row>
    <row r="520" spans="1:39" ht="16">
      <c r="A520" s="30">
        <v>44412</v>
      </c>
      <c r="B520" s="20">
        <f t="shared" si="857"/>
        <v>809731</v>
      </c>
      <c r="C520" s="20">
        <v>59</v>
      </c>
      <c r="D520" s="20">
        <v>30032</v>
      </c>
      <c r="E520" s="20">
        <v>749773</v>
      </c>
      <c r="F520" s="20">
        <v>6360304</v>
      </c>
      <c r="G520" s="17">
        <f t="shared" si="838"/>
        <v>649010.61224489787</v>
      </c>
      <c r="H520" s="20"/>
      <c r="I520" s="19">
        <f t="shared" si="858"/>
        <v>7.2869013625270477E-5</v>
      </c>
      <c r="J520" s="19">
        <f t="shared" si="839"/>
        <v>0.12731010970544804</v>
      </c>
      <c r="K520" s="19">
        <f t="shared" si="859"/>
        <v>1.2734140768220219E-3</v>
      </c>
      <c r="L520" s="20">
        <v>29926</v>
      </c>
      <c r="M520" s="19">
        <f t="shared" si="840"/>
        <v>3.708886037461824E-2</v>
      </c>
      <c r="N520" s="19">
        <f t="shared" si="841"/>
        <v>0.92595318692257056</v>
      </c>
      <c r="O520" s="20">
        <v>1412</v>
      </c>
      <c r="P520" s="28">
        <f t="shared" si="860"/>
        <v>8089</v>
      </c>
      <c r="Q520" s="29">
        <f t="shared" si="842"/>
        <v>7.2938558536283843E-3</v>
      </c>
      <c r="R520" s="20">
        <f t="shared" ref="R520:S520" si="865">D520-D519</f>
        <v>3</v>
      </c>
      <c r="S520" s="20">
        <f t="shared" si="865"/>
        <v>312</v>
      </c>
      <c r="T520" s="20">
        <v>82</v>
      </c>
      <c r="U520" s="20">
        <v>8</v>
      </c>
      <c r="V520" s="19">
        <f t="shared" si="844"/>
        <v>3.695795270281118E-2</v>
      </c>
      <c r="W520" s="20">
        <f t="shared" ref="W520:X520" si="866">T520-T519</f>
        <v>5</v>
      </c>
      <c r="X520" s="20">
        <f t="shared" si="866"/>
        <v>-2</v>
      </c>
      <c r="Y520" s="19">
        <f t="shared" si="846"/>
        <v>2.7400922274944863E-3</v>
      </c>
      <c r="Z520" s="19">
        <f t="shared" si="847"/>
        <v>9.7560975609756101E-2</v>
      </c>
      <c r="AA520" s="21">
        <f t="shared" si="848"/>
        <v>0.8848920863309353</v>
      </c>
      <c r="AB520" s="26">
        <f t="shared" si="849"/>
        <v>1.0014205486795951</v>
      </c>
      <c r="AC520" s="23">
        <f t="shared" si="850"/>
        <v>52.714285714285715</v>
      </c>
      <c r="AD520" s="23">
        <f t="shared" si="851"/>
        <v>1</v>
      </c>
      <c r="AE520" s="23">
        <f t="shared" si="852"/>
        <v>6239.2857142857147</v>
      </c>
      <c r="AF520" s="25">
        <f t="shared" si="853"/>
        <v>8.9143793216687715E-3</v>
      </c>
      <c r="AG520" s="20">
        <v>5632428</v>
      </c>
      <c r="AH520" s="21">
        <f t="shared" si="863"/>
        <v>4045</v>
      </c>
      <c r="AI520" s="21">
        <f t="shared" si="854"/>
        <v>5343</v>
      </c>
      <c r="AJ520" s="20">
        <v>5462987</v>
      </c>
      <c r="AK520" s="20">
        <f t="shared" si="864"/>
        <v>9810</v>
      </c>
      <c r="AL520" s="21">
        <f t="shared" si="855"/>
        <v>11441.2</v>
      </c>
      <c r="AM520" s="26">
        <f t="shared" si="856"/>
        <v>398.85714285714283</v>
      </c>
    </row>
    <row r="521" spans="1:39" ht="16">
      <c r="A521" s="30">
        <v>44413</v>
      </c>
      <c r="B521" s="20">
        <f t="shared" si="857"/>
        <v>809803</v>
      </c>
      <c r="C521" s="20">
        <v>72</v>
      </c>
      <c r="D521" s="20">
        <v>30032</v>
      </c>
      <c r="E521" s="20">
        <v>750955</v>
      </c>
      <c r="F521" s="20">
        <v>6367442</v>
      </c>
      <c r="G521" s="17">
        <f t="shared" si="838"/>
        <v>649738.97959183669</v>
      </c>
      <c r="H521" s="20"/>
      <c r="I521" s="19">
        <f t="shared" si="858"/>
        <v>8.8918418585925448E-5</v>
      </c>
      <c r="J521" s="19">
        <f t="shared" si="839"/>
        <v>0.12717870064619355</v>
      </c>
      <c r="K521" s="19">
        <f t="shared" si="859"/>
        <v>1.1222734007682652E-3</v>
      </c>
      <c r="L521" s="20">
        <v>28816</v>
      </c>
      <c r="M521" s="19">
        <f t="shared" si="840"/>
        <v>3.7085562785023021E-2</v>
      </c>
      <c r="N521" s="19">
        <f t="shared" si="841"/>
        <v>0.9273304742017503</v>
      </c>
      <c r="O521" s="20">
        <v>1364</v>
      </c>
      <c r="P521" s="28">
        <f t="shared" si="860"/>
        <v>7138</v>
      </c>
      <c r="Q521" s="29">
        <f t="shared" si="842"/>
        <v>1.0086859064163631E-2</v>
      </c>
      <c r="R521" s="20">
        <f t="shared" ref="R521:S521" si="867">D521-D520</f>
        <v>0</v>
      </c>
      <c r="S521" s="20">
        <f t="shared" si="867"/>
        <v>1182</v>
      </c>
      <c r="T521" s="20">
        <v>79</v>
      </c>
      <c r="U521" s="20">
        <v>11</v>
      </c>
      <c r="V521" s="19">
        <f t="shared" si="844"/>
        <v>3.5583963013226673E-2</v>
      </c>
      <c r="W521" s="20">
        <f t="shared" ref="W521:X521" si="868">T521-T520</f>
        <v>-3</v>
      </c>
      <c r="X521" s="20">
        <f t="shared" si="868"/>
        <v>3</v>
      </c>
      <c r="Y521" s="19">
        <f t="shared" si="846"/>
        <v>2.7415324819544699E-3</v>
      </c>
      <c r="Z521" s="19">
        <f t="shared" si="847"/>
        <v>0.13924050632911392</v>
      </c>
      <c r="AA521" s="21">
        <f t="shared" si="848"/>
        <v>0.91484184914841848</v>
      </c>
      <c r="AB521" s="26">
        <f t="shared" si="849"/>
        <v>0.95283962273463074</v>
      </c>
      <c r="AC521" s="23">
        <f t="shared" si="850"/>
        <v>53.714285714285715</v>
      </c>
      <c r="AD521" s="23">
        <f t="shared" si="851"/>
        <v>1</v>
      </c>
      <c r="AE521" s="23">
        <f t="shared" si="852"/>
        <v>6235.5714285714284</v>
      </c>
      <c r="AF521" s="25">
        <f t="shared" si="853"/>
        <v>9.1171224354506877E-3</v>
      </c>
      <c r="AG521" s="20">
        <v>5636894</v>
      </c>
      <c r="AH521" s="21">
        <f t="shared" si="863"/>
        <v>4466</v>
      </c>
      <c r="AI521" s="21">
        <f t="shared" si="854"/>
        <v>5126.8</v>
      </c>
      <c r="AJ521" s="20">
        <v>5475471</v>
      </c>
      <c r="AK521" s="20">
        <f t="shared" si="864"/>
        <v>12484</v>
      </c>
      <c r="AL521" s="21">
        <f t="shared" si="855"/>
        <v>11454.6</v>
      </c>
      <c r="AM521" s="26">
        <f t="shared" si="856"/>
        <v>491.85714285714283</v>
      </c>
    </row>
    <row r="522" spans="1:39" ht="16">
      <c r="A522" s="30">
        <v>44414</v>
      </c>
      <c r="B522" s="20">
        <f t="shared" si="857"/>
        <v>809855</v>
      </c>
      <c r="C522" s="20">
        <v>52</v>
      </c>
      <c r="D522" s="20">
        <v>30033</v>
      </c>
      <c r="E522" s="20">
        <v>752709</v>
      </c>
      <c r="F522" s="20">
        <v>6375668</v>
      </c>
      <c r="G522" s="17">
        <f t="shared" si="838"/>
        <v>650578.3673469387</v>
      </c>
      <c r="H522" s="20"/>
      <c r="I522" s="19">
        <f t="shared" si="858"/>
        <v>6.4213148136028146E-5</v>
      </c>
      <c r="J522" s="19">
        <f t="shared" si="839"/>
        <v>0.12702276843775429</v>
      </c>
      <c r="K522" s="19">
        <f t="shared" si="859"/>
        <v>1.2918845589798855E-3</v>
      </c>
      <c r="L522" s="20">
        <v>27113</v>
      </c>
      <c r="M522" s="19">
        <f t="shared" si="840"/>
        <v>3.7084416346136038E-2</v>
      </c>
      <c r="N522" s="19">
        <f t="shared" si="841"/>
        <v>0.92943675102333134</v>
      </c>
      <c r="O522" s="20">
        <v>1346</v>
      </c>
      <c r="P522" s="28">
        <f t="shared" si="860"/>
        <v>8226</v>
      </c>
      <c r="Q522" s="29">
        <f t="shared" si="842"/>
        <v>6.3214198881594939E-3</v>
      </c>
      <c r="R522" s="20">
        <f t="shared" ref="R522:S522" si="869">D522-D521</f>
        <v>1</v>
      </c>
      <c r="S522" s="20">
        <f t="shared" si="869"/>
        <v>1754</v>
      </c>
      <c r="T522" s="20">
        <v>76</v>
      </c>
      <c r="U522" s="20">
        <v>12</v>
      </c>
      <c r="V522" s="19">
        <f t="shared" si="844"/>
        <v>3.3478832630532626E-2</v>
      </c>
      <c r="W522" s="20">
        <f t="shared" ref="W522:X522" si="870">T522-T521</f>
        <v>-3</v>
      </c>
      <c r="X522" s="20">
        <f t="shared" si="870"/>
        <v>1</v>
      </c>
      <c r="Y522" s="19">
        <f t="shared" si="846"/>
        <v>2.8030833917309038E-3</v>
      </c>
      <c r="Z522" s="19">
        <f t="shared" si="847"/>
        <v>0.15789473684210525</v>
      </c>
      <c r="AA522" s="21">
        <f t="shared" si="848"/>
        <v>0.93333333333333335</v>
      </c>
      <c r="AB522" s="26">
        <f t="shared" si="849"/>
        <v>0.93205948089065926</v>
      </c>
      <c r="AC522" s="23">
        <f t="shared" si="850"/>
        <v>52</v>
      </c>
      <c r="AD522" s="23">
        <f t="shared" si="851"/>
        <v>1</v>
      </c>
      <c r="AE522" s="23">
        <f t="shared" si="852"/>
        <v>6756.4285714285716</v>
      </c>
      <c r="AF522" s="25">
        <f t="shared" si="853"/>
        <v>7.5866465877550762E-3</v>
      </c>
      <c r="AG522" s="20">
        <v>5641870</v>
      </c>
      <c r="AH522" s="21">
        <f t="shared" si="863"/>
        <v>4976</v>
      </c>
      <c r="AI522" s="21">
        <f t="shared" si="854"/>
        <v>4922</v>
      </c>
      <c r="AJ522" s="20">
        <v>5480218</v>
      </c>
      <c r="AK522" s="20">
        <f t="shared" si="864"/>
        <v>4747</v>
      </c>
      <c r="AL522" s="21">
        <f t="shared" si="855"/>
        <v>10247.6</v>
      </c>
      <c r="AM522" s="26">
        <f t="shared" si="856"/>
        <v>650.28571428571433</v>
      </c>
    </row>
    <row r="523" spans="1:39" ht="13">
      <c r="A523" s="30">
        <v>44415</v>
      </c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8"/>
      <c r="Q523" s="28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</row>
    <row r="524" spans="1:39" ht="13">
      <c r="A524" s="30">
        <v>44416</v>
      </c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8"/>
      <c r="Q524" s="28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</row>
    <row r="525" spans="1:39" ht="16">
      <c r="A525" s="30">
        <v>44417</v>
      </c>
      <c r="B525" s="20">
        <f>B522+C525</f>
        <v>810011</v>
      </c>
      <c r="C525" s="20">
        <v>156</v>
      </c>
      <c r="D525" s="20">
        <v>30037</v>
      </c>
      <c r="E525" s="20">
        <v>757247</v>
      </c>
      <c r="F525" s="20">
        <v>6395030</v>
      </c>
      <c r="G525" s="17">
        <f t="shared" ref="G525:G529" si="871">F525/9.8</f>
        <v>652554.08163265302</v>
      </c>
      <c r="H525" s="20"/>
      <c r="I525" s="19">
        <f>(B525-B522)/B522</f>
        <v>1.926270752171685E-4</v>
      </c>
      <c r="J525" s="19">
        <f t="shared" ref="J525:J529" si="872">B525/F525</f>
        <v>0.12666258015990542</v>
      </c>
      <c r="K525" s="19">
        <f>(F525-F522)/F522</f>
        <v>3.0368582554800533E-3</v>
      </c>
      <c r="L525" s="20">
        <v>22727</v>
      </c>
      <c r="M525" s="19">
        <f t="shared" ref="M525:M529" si="873">D525/B525</f>
        <v>3.7082212463781357E-2</v>
      </c>
      <c r="N525" s="19">
        <f t="shared" ref="N525:N529" si="874">E525/B525</f>
        <v>0.93486014387458938</v>
      </c>
      <c r="O525" s="20">
        <v>1252</v>
      </c>
      <c r="P525" s="28">
        <f>F525-F522</f>
        <v>19362</v>
      </c>
      <c r="Q525" s="29">
        <f t="shared" ref="Q525:Q529" si="875">C525/P525</f>
        <v>8.0570189030058879E-3</v>
      </c>
      <c r="R525" s="20">
        <f t="shared" ref="R525:S525" si="876">D525-D522</f>
        <v>4</v>
      </c>
      <c r="S525" s="20">
        <f t="shared" si="876"/>
        <v>4538</v>
      </c>
      <c r="T525" s="20">
        <v>75</v>
      </c>
      <c r="U525" s="20">
        <v>11</v>
      </c>
      <c r="V525" s="19">
        <f t="shared" ref="V525:V529" si="877">L525/B525</f>
        <v>2.8057643661629286E-2</v>
      </c>
      <c r="W525" s="20">
        <f t="shared" ref="W525:X525" si="878">T525-T522</f>
        <v>-1</v>
      </c>
      <c r="X525" s="20">
        <f t="shared" si="878"/>
        <v>-1</v>
      </c>
      <c r="Y525" s="19">
        <f t="shared" ref="Y525:Y529" si="879">T525/L525</f>
        <v>3.3000396004752059E-3</v>
      </c>
      <c r="Z525" s="19">
        <f t="shared" ref="Z525:Z529" si="880">U525/T525</f>
        <v>0.14666666666666667</v>
      </c>
      <c r="AA525" s="21">
        <f t="shared" ref="AA525:AA529" si="881">(C519+C520+C521+C522+C523+C524+C525)/(C512+C513+C514+C515+C516+C517+C518)</f>
        <v>0.95052083333333337</v>
      </c>
      <c r="AB525" s="26">
        <f t="shared" ref="AB525:AB529" si="882">SUM(AA519:AA525)/5</f>
        <v>0.92919882343672278</v>
      </c>
      <c r="AC525" s="23">
        <f t="shared" ref="AC525:AC529" si="883">SUM(C519:C525)/7</f>
        <v>52.142857142857146</v>
      </c>
      <c r="AD525" s="23">
        <f t="shared" ref="AD525:AD529" si="884">SUM(R519:R525)/7</f>
        <v>1.4285714285714286</v>
      </c>
      <c r="AE525" s="23">
        <f t="shared" ref="AE525:AE529" si="885">SUM(P519:P525)/7</f>
        <v>6697.4285714285716</v>
      </c>
      <c r="AF525" s="25">
        <f t="shared" ref="AF525:AF529" si="886">SUM(Q519:Q525)/5</f>
        <v>7.6304144644371626E-3</v>
      </c>
      <c r="AG525" s="20">
        <v>5649125</v>
      </c>
      <c r="AH525" s="21">
        <f>AG525-AG522</f>
        <v>7255</v>
      </c>
      <c r="AI525" s="21">
        <f t="shared" ref="AI525:AI529" si="887">(SUM(AH519:AH525))/5</f>
        <v>4934.8</v>
      </c>
      <c r="AJ525" s="20">
        <v>5491387</v>
      </c>
      <c r="AK525" s="20">
        <f>AJ525-AJ522</f>
        <v>11169</v>
      </c>
      <c r="AL525" s="21">
        <f t="shared" ref="AL525:AL529" si="888">(SUM(AK519:AK525))/5</f>
        <v>9527.6</v>
      </c>
      <c r="AM525" s="26">
        <f t="shared" ref="AM525:AM529" si="889">SUM(S519:S525)/7</f>
        <v>1151.7142857142858</v>
      </c>
    </row>
    <row r="526" spans="1:39" ht="16">
      <c r="A526" s="30">
        <v>44418</v>
      </c>
      <c r="B526" s="20">
        <f t="shared" ref="B526:B529" si="890">B525+C526</f>
        <v>810046</v>
      </c>
      <c r="C526" s="20">
        <v>35</v>
      </c>
      <c r="D526" s="20">
        <v>30037</v>
      </c>
      <c r="E526" s="20">
        <v>759033</v>
      </c>
      <c r="F526" s="20">
        <v>6399106</v>
      </c>
      <c r="G526" s="17">
        <f t="shared" si="871"/>
        <v>652970</v>
      </c>
      <c r="H526" s="20"/>
      <c r="I526" s="19">
        <f t="shared" ref="I526:I529" si="891">(B526-B525)/B525</f>
        <v>4.3209289750386105E-5</v>
      </c>
      <c r="J526" s="19">
        <f t="shared" si="872"/>
        <v>0.12658737017327107</v>
      </c>
      <c r="K526" s="19">
        <f t="shared" ref="K526:K529" si="892">(F526-F525)/F525</f>
        <v>6.3736995760770476E-4</v>
      </c>
      <c r="L526" s="20">
        <v>20976</v>
      </c>
      <c r="M526" s="19">
        <f t="shared" si="873"/>
        <v>3.7080610236949509E-2</v>
      </c>
      <c r="N526" s="19">
        <f t="shared" si="874"/>
        <v>0.9370245640371041</v>
      </c>
      <c r="O526" s="20">
        <v>1137</v>
      </c>
      <c r="P526" s="28">
        <f t="shared" ref="P526:P529" si="893">F526-F525</f>
        <v>4076</v>
      </c>
      <c r="Q526" s="29">
        <f t="shared" si="875"/>
        <v>8.5868498527968597E-3</v>
      </c>
      <c r="R526" s="20">
        <f t="shared" ref="R526:S526" si="894">D526-D525</f>
        <v>0</v>
      </c>
      <c r="S526" s="20">
        <f t="shared" si="894"/>
        <v>1786</v>
      </c>
      <c r="T526" s="20">
        <v>87</v>
      </c>
      <c r="U526" s="20">
        <v>15</v>
      </c>
      <c r="V526" s="19">
        <f t="shared" si="877"/>
        <v>2.5894825725946428E-2</v>
      </c>
      <c r="W526" s="20">
        <f t="shared" ref="W526:X526" si="895">T526-T525</f>
        <v>12</v>
      </c>
      <c r="X526" s="20">
        <f t="shared" si="895"/>
        <v>4</v>
      </c>
      <c r="Y526" s="19">
        <f t="shared" si="879"/>
        <v>4.1475972540045763E-3</v>
      </c>
      <c r="Z526" s="19">
        <f t="shared" si="880"/>
        <v>0.17241379310344829</v>
      </c>
      <c r="AA526" s="21">
        <f t="shared" si="881"/>
        <v>0.97395833333333337</v>
      </c>
      <c r="AB526" s="26">
        <f t="shared" si="882"/>
        <v>0.93150928709587077</v>
      </c>
      <c r="AC526" s="23">
        <f t="shared" si="883"/>
        <v>53.428571428571431</v>
      </c>
      <c r="AD526" s="23">
        <f t="shared" si="884"/>
        <v>1.1428571428571428</v>
      </c>
      <c r="AE526" s="23">
        <f t="shared" si="885"/>
        <v>6698.7142857142853</v>
      </c>
      <c r="AF526" s="25">
        <f t="shared" si="886"/>
        <v>8.0692007123508505E-3</v>
      </c>
      <c r="AG526" s="20">
        <v>5654096</v>
      </c>
      <c r="AH526" s="21">
        <f t="shared" ref="AH526:AH529" si="896">AG526-AG525</f>
        <v>4971</v>
      </c>
      <c r="AI526" s="21">
        <f t="shared" si="887"/>
        <v>5142.6000000000004</v>
      </c>
      <c r="AJ526" s="20">
        <v>5494110</v>
      </c>
      <c r="AK526" s="20">
        <f t="shared" ref="AK526:AK529" si="897">AJ526-AJ525</f>
        <v>2723</v>
      </c>
      <c r="AL526" s="21">
        <f t="shared" si="888"/>
        <v>8186.6</v>
      </c>
      <c r="AM526" s="26">
        <f t="shared" si="889"/>
        <v>1367.4285714285713</v>
      </c>
    </row>
    <row r="527" spans="1:39" ht="16">
      <c r="A527" s="30">
        <v>44419</v>
      </c>
      <c r="B527" s="20">
        <f t="shared" si="890"/>
        <v>810126</v>
      </c>
      <c r="C527" s="20">
        <v>80</v>
      </c>
      <c r="D527" s="20">
        <v>30037</v>
      </c>
      <c r="E527" s="20">
        <v>761265</v>
      </c>
      <c r="F527" s="20">
        <v>6407283</v>
      </c>
      <c r="G527" s="17">
        <f t="shared" si="871"/>
        <v>653804.38775510201</v>
      </c>
      <c r="H527" s="20"/>
      <c r="I527" s="19">
        <f t="shared" si="891"/>
        <v>9.8759823516195375E-5</v>
      </c>
      <c r="J527" s="19">
        <f t="shared" si="872"/>
        <v>0.12643830466049338</v>
      </c>
      <c r="K527" s="19">
        <f t="shared" si="892"/>
        <v>1.2778347475412971E-3</v>
      </c>
      <c r="L527" s="20">
        <v>18824</v>
      </c>
      <c r="M527" s="19">
        <f t="shared" si="873"/>
        <v>3.7076948524056755E-2</v>
      </c>
      <c r="N527" s="19">
        <f t="shared" si="874"/>
        <v>0.93968715977514605</v>
      </c>
      <c r="O527" s="20">
        <v>1233</v>
      </c>
      <c r="P527" s="28">
        <f t="shared" si="893"/>
        <v>8177</v>
      </c>
      <c r="Q527" s="29">
        <f t="shared" si="875"/>
        <v>9.7835391953039006E-3</v>
      </c>
      <c r="R527" s="20">
        <f t="shared" ref="R527:S527" si="898">D527-D526</f>
        <v>0</v>
      </c>
      <c r="S527" s="20">
        <f t="shared" si="898"/>
        <v>2232</v>
      </c>
      <c r="T527" s="20">
        <v>79</v>
      </c>
      <c r="U527" s="20">
        <v>15</v>
      </c>
      <c r="V527" s="19">
        <f t="shared" si="877"/>
        <v>2.3235891700797161E-2</v>
      </c>
      <c r="W527" s="20">
        <f t="shared" ref="W527:X527" si="899">T527-T526</f>
        <v>-8</v>
      </c>
      <c r="X527" s="20">
        <f t="shared" si="899"/>
        <v>0</v>
      </c>
      <c r="Y527" s="19">
        <f t="shared" si="879"/>
        <v>4.1967700807479811E-3</v>
      </c>
      <c r="Z527" s="19">
        <f t="shared" si="880"/>
        <v>0.189873417721519</v>
      </c>
      <c r="AA527" s="21">
        <f t="shared" si="881"/>
        <v>1.070460704607046</v>
      </c>
      <c r="AB527" s="26">
        <f t="shared" si="882"/>
        <v>0.96862301075109303</v>
      </c>
      <c r="AC527" s="23">
        <f t="shared" si="883"/>
        <v>56.428571428571431</v>
      </c>
      <c r="AD527" s="23">
        <f t="shared" si="884"/>
        <v>0.7142857142857143</v>
      </c>
      <c r="AE527" s="23">
        <f t="shared" si="885"/>
        <v>6711.2857142857147</v>
      </c>
      <c r="AF527" s="25">
        <f t="shared" si="886"/>
        <v>8.567137380685954E-3</v>
      </c>
      <c r="AG527" s="20">
        <v>5658623</v>
      </c>
      <c r="AH527" s="21">
        <f t="shared" si="896"/>
        <v>4527</v>
      </c>
      <c r="AI527" s="21">
        <f t="shared" si="887"/>
        <v>5239</v>
      </c>
      <c r="AJ527" s="20">
        <v>5497599</v>
      </c>
      <c r="AK527" s="20">
        <f t="shared" si="897"/>
        <v>3489</v>
      </c>
      <c r="AL527" s="21">
        <f t="shared" si="888"/>
        <v>6922.4</v>
      </c>
      <c r="AM527" s="26">
        <f t="shared" si="889"/>
        <v>1641.7142857142858</v>
      </c>
    </row>
    <row r="528" spans="1:39" ht="16">
      <c r="A528" s="30">
        <v>44420</v>
      </c>
      <c r="B528" s="20">
        <f t="shared" si="890"/>
        <v>810212</v>
      </c>
      <c r="C528" s="20">
        <v>86</v>
      </c>
      <c r="D528" s="20">
        <v>30037</v>
      </c>
      <c r="E528" s="20">
        <v>763801</v>
      </c>
      <c r="F528" s="20">
        <v>6415557</v>
      </c>
      <c r="G528" s="17">
        <f t="shared" si="871"/>
        <v>654648.67346938769</v>
      </c>
      <c r="H528" s="20"/>
      <c r="I528" s="19">
        <f t="shared" si="891"/>
        <v>1.0615632629985953E-4</v>
      </c>
      <c r="J528" s="19">
        <f t="shared" si="872"/>
        <v>0.1262886449298167</v>
      </c>
      <c r="K528" s="19">
        <f t="shared" si="892"/>
        <v>1.2913429920295388E-3</v>
      </c>
      <c r="L528" s="20">
        <v>16374</v>
      </c>
      <c r="M528" s="19">
        <f t="shared" si="873"/>
        <v>3.7073012989192952E-2</v>
      </c>
      <c r="N528" s="19">
        <f t="shared" si="874"/>
        <v>0.94271746160264225</v>
      </c>
      <c r="O528" s="20">
        <v>1168</v>
      </c>
      <c r="P528" s="28">
        <f t="shared" si="893"/>
        <v>8274</v>
      </c>
      <c r="Q528" s="29">
        <f t="shared" si="875"/>
        <v>1.0394005317863187E-2</v>
      </c>
      <c r="R528" s="20">
        <f t="shared" ref="R528:S528" si="900">D528-D527</f>
        <v>0</v>
      </c>
      <c r="S528" s="20">
        <f t="shared" si="900"/>
        <v>2536</v>
      </c>
      <c r="T528" s="20">
        <v>80</v>
      </c>
      <c r="U528" s="20">
        <v>15</v>
      </c>
      <c r="V528" s="19">
        <f t="shared" si="877"/>
        <v>2.0209525408164775E-2</v>
      </c>
      <c r="W528" s="20">
        <f t="shared" ref="W528:X528" si="901">T528-T527</f>
        <v>1</v>
      </c>
      <c r="X528" s="20">
        <f t="shared" si="901"/>
        <v>0</v>
      </c>
      <c r="Y528" s="19">
        <f t="shared" si="879"/>
        <v>4.8857945523390744E-3</v>
      </c>
      <c r="Z528" s="19">
        <f t="shared" si="880"/>
        <v>0.1875</v>
      </c>
      <c r="AA528" s="21">
        <f t="shared" si="881"/>
        <v>1.0877659574468086</v>
      </c>
      <c r="AB528" s="26">
        <f t="shared" si="882"/>
        <v>1.0032078324107707</v>
      </c>
      <c r="AC528" s="23">
        <f t="shared" si="883"/>
        <v>58.428571428571431</v>
      </c>
      <c r="AD528" s="23">
        <f t="shared" si="884"/>
        <v>0.7142857142857143</v>
      </c>
      <c r="AE528" s="23">
        <f t="shared" si="885"/>
        <v>6873.5714285714284</v>
      </c>
      <c r="AF528" s="25">
        <f t="shared" si="886"/>
        <v>8.6285666314258654E-3</v>
      </c>
      <c r="AG528" s="20">
        <v>5663658</v>
      </c>
      <c r="AH528" s="21">
        <f t="shared" si="896"/>
        <v>5035</v>
      </c>
      <c r="AI528" s="21">
        <f t="shared" si="887"/>
        <v>5352.8</v>
      </c>
      <c r="AJ528" s="20">
        <v>5497940</v>
      </c>
      <c r="AK528" s="20">
        <f t="shared" si="897"/>
        <v>341</v>
      </c>
      <c r="AL528" s="21">
        <f t="shared" si="888"/>
        <v>4493.8</v>
      </c>
      <c r="AM528" s="26">
        <f t="shared" si="889"/>
        <v>1835.1428571428571</v>
      </c>
    </row>
    <row r="529" spans="1:39" ht="16">
      <c r="A529" s="30">
        <v>44421</v>
      </c>
      <c r="B529" s="20">
        <f t="shared" si="890"/>
        <v>810316</v>
      </c>
      <c r="C529" s="20">
        <v>104</v>
      </c>
      <c r="D529" s="20">
        <v>30038</v>
      </c>
      <c r="E529" s="20">
        <v>765952</v>
      </c>
      <c r="F529" s="20">
        <v>6423992</v>
      </c>
      <c r="G529" s="17">
        <f t="shared" si="871"/>
        <v>655509.38775510201</v>
      </c>
      <c r="H529" s="20"/>
      <c r="I529" s="19">
        <f t="shared" si="891"/>
        <v>1.2836146588794044E-4</v>
      </c>
      <c r="J529" s="19">
        <f t="shared" si="872"/>
        <v>0.12613901138108516</v>
      </c>
      <c r="K529" s="19">
        <f t="shared" si="892"/>
        <v>1.3147728248692982E-3</v>
      </c>
      <c r="L529" s="20">
        <v>14326</v>
      </c>
      <c r="M529" s="19">
        <f t="shared" si="873"/>
        <v>3.706948894011719E-2</v>
      </c>
      <c r="N529" s="19">
        <f t="shared" si="874"/>
        <v>0.94525098850325062</v>
      </c>
      <c r="O529" s="20">
        <v>1085</v>
      </c>
      <c r="P529" s="28">
        <f t="shared" si="893"/>
        <v>8435</v>
      </c>
      <c r="Q529" s="29">
        <f t="shared" si="875"/>
        <v>1.2329579134558387E-2</v>
      </c>
      <c r="R529" s="20">
        <f t="shared" ref="R529:S529" si="902">D529-D528</f>
        <v>1</v>
      </c>
      <c r="S529" s="20">
        <f t="shared" si="902"/>
        <v>2151</v>
      </c>
      <c r="T529" s="20">
        <v>83</v>
      </c>
      <c r="U529" s="20">
        <v>14</v>
      </c>
      <c r="V529" s="19">
        <f t="shared" si="877"/>
        <v>1.7679522556632226E-2</v>
      </c>
      <c r="W529" s="20">
        <f t="shared" ref="W529:X529" si="903">T529-T528</f>
        <v>3</v>
      </c>
      <c r="X529" s="20">
        <f t="shared" si="903"/>
        <v>-1</v>
      </c>
      <c r="Y529" s="19">
        <f t="shared" si="879"/>
        <v>5.7936618735166829E-3</v>
      </c>
      <c r="Z529" s="19">
        <f t="shared" si="880"/>
        <v>0.16867469879518071</v>
      </c>
      <c r="AA529" s="21">
        <f t="shared" si="881"/>
        <v>1.2664835164835164</v>
      </c>
      <c r="AB529" s="26">
        <f t="shared" si="882"/>
        <v>1.0698378690408075</v>
      </c>
      <c r="AC529" s="23">
        <f t="shared" si="883"/>
        <v>65.857142857142861</v>
      </c>
      <c r="AD529" s="23">
        <f t="shared" si="884"/>
        <v>0.7142857142857143</v>
      </c>
      <c r="AE529" s="23">
        <f t="shared" si="885"/>
        <v>6903.4285714285716</v>
      </c>
      <c r="AF529" s="25">
        <f t="shared" si="886"/>
        <v>9.8301984807056438E-3</v>
      </c>
      <c r="AG529" s="20">
        <v>5668993</v>
      </c>
      <c r="AH529" s="21">
        <f t="shared" si="896"/>
        <v>5335</v>
      </c>
      <c r="AI529" s="21">
        <f t="shared" si="887"/>
        <v>5424.6</v>
      </c>
      <c r="AJ529" s="20">
        <v>5498222</v>
      </c>
      <c r="AK529" s="20">
        <f t="shared" si="897"/>
        <v>282</v>
      </c>
      <c r="AL529" s="21">
        <f t="shared" si="888"/>
        <v>3600.8</v>
      </c>
      <c r="AM529" s="26">
        <f t="shared" si="889"/>
        <v>1891.8571428571429</v>
      </c>
    </row>
    <row r="530" spans="1:39" ht="13">
      <c r="A530" s="30">
        <v>44422</v>
      </c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8"/>
      <c r="Q530" s="28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</row>
    <row r="531" spans="1:39" ht="13">
      <c r="A531" s="30">
        <v>44423</v>
      </c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8"/>
      <c r="Q531" s="28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</row>
    <row r="532" spans="1:39" ht="16">
      <c r="A532" s="30">
        <v>44424</v>
      </c>
      <c r="B532" s="20">
        <f>B529+C532</f>
        <v>810504</v>
      </c>
      <c r="C532" s="20">
        <v>188</v>
      </c>
      <c r="D532" s="20">
        <v>30041</v>
      </c>
      <c r="E532" s="20">
        <v>768308</v>
      </c>
      <c r="F532" s="20">
        <v>6445084</v>
      </c>
      <c r="G532" s="17">
        <f t="shared" ref="G532:G535" si="904">F532/9.8</f>
        <v>657661.63265306118</v>
      </c>
      <c r="H532" s="20"/>
      <c r="I532" s="19">
        <f>(B532-B529)/B529</f>
        <v>2.320082535702121E-4</v>
      </c>
      <c r="J532" s="19">
        <f t="shared" ref="J532:J535" si="905">B532/F532</f>
        <v>0.12575538193140695</v>
      </c>
      <c r="K532" s="19">
        <f>(F532-F529)/F529</f>
        <v>3.2833166666459113E-3</v>
      </c>
      <c r="L532" s="20">
        <v>12155</v>
      </c>
      <c r="M532" s="19">
        <f t="shared" ref="M532:M535" si="906">D532/B532</f>
        <v>3.7064591908244744E-2</v>
      </c>
      <c r="N532" s="19">
        <f t="shared" ref="N532:N535" si="907">E532/B532</f>
        <v>0.94793856662027576</v>
      </c>
      <c r="O532" s="20">
        <v>835</v>
      </c>
      <c r="P532" s="28">
        <f>F532-F529</f>
        <v>21092</v>
      </c>
      <c r="Q532" s="29">
        <f t="shared" ref="Q532:Q535" si="908">C532/P532</f>
        <v>8.9133320690309124E-3</v>
      </c>
      <c r="R532" s="20">
        <f t="shared" ref="R532:S532" si="909">D532-D529</f>
        <v>3</v>
      </c>
      <c r="S532" s="20">
        <f t="shared" si="909"/>
        <v>2356</v>
      </c>
      <c r="T532" s="20">
        <v>92</v>
      </c>
      <c r="U532" s="20">
        <v>11</v>
      </c>
      <c r="V532" s="19">
        <f t="shared" ref="V532:V535" si="910">L532/B532</f>
        <v>1.4996841471479474E-2</v>
      </c>
      <c r="W532" s="20">
        <f t="shared" ref="W532:X532" si="911">T532-T529</f>
        <v>9</v>
      </c>
      <c r="X532" s="20">
        <f t="shared" si="911"/>
        <v>-3</v>
      </c>
      <c r="Y532" s="19">
        <f t="shared" ref="Y532:Y535" si="912">T532/L532</f>
        <v>7.5689016865487452E-3</v>
      </c>
      <c r="Z532" s="19">
        <f t="shared" ref="Z532:Z535" si="913">U532/T532</f>
        <v>0.11956521739130435</v>
      </c>
      <c r="AA532" s="21">
        <f t="shared" ref="AA532:AA535" si="914">(C526+C527+C528+C529+C530+C531+C532)/(C519+C520+C521+C522+C523+C524+C525)</f>
        <v>1.3506849315068492</v>
      </c>
      <c r="AB532" s="26">
        <f t="shared" ref="AB532:AB535" si="915">SUM(AA526:AA532)/5</f>
        <v>1.1498706886755108</v>
      </c>
      <c r="AC532" s="23">
        <f t="shared" ref="AC532:AC535" si="916">SUM(C526:C532)/7</f>
        <v>70.428571428571431</v>
      </c>
      <c r="AD532" s="23">
        <f t="shared" ref="AD532:AD535" si="917">SUM(R526:R532)/7</f>
        <v>0.5714285714285714</v>
      </c>
      <c r="AE532" s="23">
        <f t="shared" ref="AE532:AE535" si="918">SUM(P526:P532)/7</f>
        <v>7150.5714285714284</v>
      </c>
      <c r="AF532" s="25">
        <f t="shared" ref="AF532:AF535" si="919">SUM(Q526:Q532)/5</f>
        <v>1.0001461113910648E-2</v>
      </c>
      <c r="AG532" s="20">
        <v>5677606</v>
      </c>
      <c r="AH532" s="21">
        <f>AG532-AG529</f>
        <v>8613</v>
      </c>
      <c r="AI532" s="21">
        <f t="shared" ref="AI532:AI535" si="920">(SUM(AH526:AH532))/5</f>
        <v>5696.2</v>
      </c>
      <c r="AJ532" s="20">
        <v>5500193</v>
      </c>
      <c r="AK532" s="20">
        <f>AJ532-AJ529</f>
        <v>1971</v>
      </c>
      <c r="AL532" s="21">
        <f t="shared" ref="AL532:AL535" si="921">(SUM(AK526:AK532))/5</f>
        <v>1761.2</v>
      </c>
      <c r="AM532" s="26">
        <f t="shared" ref="AM532:AM535" si="922">SUM(S526:S532)/7</f>
        <v>1580.1428571428571</v>
      </c>
    </row>
    <row r="533" spans="1:39" ht="16">
      <c r="A533" s="30">
        <v>44425</v>
      </c>
      <c r="B533" s="20">
        <f t="shared" ref="B533:B535" si="923">B532+C533</f>
        <v>810549</v>
      </c>
      <c r="C533" s="20">
        <v>45</v>
      </c>
      <c r="D533" s="20">
        <v>30042</v>
      </c>
      <c r="E533" s="20">
        <v>768519</v>
      </c>
      <c r="F533" s="20">
        <v>6449264</v>
      </c>
      <c r="G533" s="17">
        <f t="shared" si="904"/>
        <v>658088.16326530604</v>
      </c>
      <c r="H533" s="20"/>
      <c r="I533" s="19">
        <f t="shared" ref="I533:I535" si="924">(B533-B532)/B532</f>
        <v>5.5521009149862311E-5</v>
      </c>
      <c r="J533" s="19">
        <f t="shared" si="905"/>
        <v>0.12568085288491834</v>
      </c>
      <c r="K533" s="19">
        <f t="shared" ref="K533:K535" si="925">(F533-F532)/F532</f>
        <v>6.4855632603081671E-4</v>
      </c>
      <c r="L533" s="20">
        <v>11988</v>
      </c>
      <c r="M533" s="19">
        <f t="shared" si="906"/>
        <v>3.706376789065189E-2</v>
      </c>
      <c r="N533" s="19">
        <f t="shared" si="907"/>
        <v>0.94814625642619998</v>
      </c>
      <c r="O533" s="20">
        <v>731</v>
      </c>
      <c r="P533" s="28">
        <f t="shared" ref="P533:P535" si="926">F533-F532</f>
        <v>4180</v>
      </c>
      <c r="Q533" s="29">
        <f t="shared" si="908"/>
        <v>1.076555023923445E-2</v>
      </c>
      <c r="R533" s="20">
        <f t="shared" ref="R533:S533" si="927">D533-D532</f>
        <v>1</v>
      </c>
      <c r="S533" s="20">
        <f t="shared" si="927"/>
        <v>211</v>
      </c>
      <c r="T533" s="20">
        <v>85</v>
      </c>
      <c r="U533" s="20">
        <v>11</v>
      </c>
      <c r="V533" s="19">
        <f t="shared" si="910"/>
        <v>1.4789975683148089E-2</v>
      </c>
      <c r="W533" s="20">
        <f t="shared" ref="W533:X533" si="928">T533-T532</f>
        <v>-7</v>
      </c>
      <c r="X533" s="20">
        <f t="shared" si="928"/>
        <v>0</v>
      </c>
      <c r="Y533" s="19">
        <f t="shared" si="912"/>
        <v>7.0904237570904236E-3</v>
      </c>
      <c r="Z533" s="19">
        <f t="shared" si="913"/>
        <v>0.12941176470588237</v>
      </c>
      <c r="AA533" s="21">
        <f t="shared" si="914"/>
        <v>1.3449197860962567</v>
      </c>
      <c r="AB533" s="26">
        <f t="shared" si="915"/>
        <v>1.2240629792280955</v>
      </c>
      <c r="AC533" s="23">
        <f t="shared" si="916"/>
        <v>71.857142857142861</v>
      </c>
      <c r="AD533" s="23">
        <f t="shared" si="917"/>
        <v>0.7142857142857143</v>
      </c>
      <c r="AE533" s="23">
        <f t="shared" si="918"/>
        <v>7165.4285714285716</v>
      </c>
      <c r="AF533" s="25">
        <f t="shared" si="919"/>
        <v>1.0437201191198167E-2</v>
      </c>
      <c r="AG533" s="20">
        <v>5681559</v>
      </c>
      <c r="AH533" s="21">
        <f t="shared" ref="AH533:AH535" si="929">AG533-AG532</f>
        <v>3953</v>
      </c>
      <c r="AI533" s="21">
        <f t="shared" si="920"/>
        <v>5492.6</v>
      </c>
      <c r="AJ533" s="20">
        <v>5500369</v>
      </c>
      <c r="AK533" s="20">
        <f t="shared" ref="AK533:AK535" si="930">AJ533-AJ532</f>
        <v>176</v>
      </c>
      <c r="AL533" s="21">
        <f t="shared" si="921"/>
        <v>1251.8</v>
      </c>
      <c r="AM533" s="26">
        <f t="shared" si="922"/>
        <v>1355.1428571428571</v>
      </c>
    </row>
    <row r="534" spans="1:39" ht="16">
      <c r="A534" s="30">
        <v>44426</v>
      </c>
      <c r="B534" s="20">
        <f t="shared" si="923"/>
        <v>810658</v>
      </c>
      <c r="C534" s="20">
        <v>109</v>
      </c>
      <c r="D534" s="20">
        <v>30045</v>
      </c>
      <c r="E534" s="20">
        <v>768891</v>
      </c>
      <c r="F534" s="20">
        <v>6457558</v>
      </c>
      <c r="G534" s="17">
        <f t="shared" si="904"/>
        <v>658934.48979591834</v>
      </c>
      <c r="H534" s="20"/>
      <c r="I534" s="19">
        <f t="shared" si="924"/>
        <v>1.3447675587780627E-4</v>
      </c>
      <c r="J534" s="19">
        <f t="shared" si="905"/>
        <v>0.12553630954611636</v>
      </c>
      <c r="K534" s="19">
        <f t="shared" si="925"/>
        <v>1.2860382207954273E-3</v>
      </c>
      <c r="L534" s="20">
        <v>11722</v>
      </c>
      <c r="M534" s="19">
        <f t="shared" si="906"/>
        <v>3.7062485043014438E-2</v>
      </c>
      <c r="N534" s="19">
        <f t="shared" si="907"/>
        <v>0.94847765642231374</v>
      </c>
      <c r="O534" s="20">
        <v>864</v>
      </c>
      <c r="P534" s="28">
        <f t="shared" si="926"/>
        <v>8294</v>
      </c>
      <c r="Q534" s="29">
        <f t="shared" si="908"/>
        <v>1.3142030383409694E-2</v>
      </c>
      <c r="R534" s="20">
        <f t="shared" ref="R534:S534" si="931">D534-D533</f>
        <v>3</v>
      </c>
      <c r="S534" s="20">
        <f t="shared" si="931"/>
        <v>372</v>
      </c>
      <c r="T534" s="20">
        <v>75</v>
      </c>
      <c r="U534" s="20">
        <v>11</v>
      </c>
      <c r="V534" s="19">
        <f t="shared" si="910"/>
        <v>1.4459858534671834E-2</v>
      </c>
      <c r="W534" s="20">
        <f t="shared" ref="W534:X534" si="932">T534-T533</f>
        <v>-10</v>
      </c>
      <c r="X534" s="20">
        <f t="shared" si="932"/>
        <v>0</v>
      </c>
      <c r="Y534" s="19">
        <f t="shared" si="912"/>
        <v>6.3982255587783652E-3</v>
      </c>
      <c r="Z534" s="19">
        <f t="shared" si="913"/>
        <v>0.14666666666666667</v>
      </c>
      <c r="AA534" s="21">
        <f t="shared" si="914"/>
        <v>1.3468354430379748</v>
      </c>
      <c r="AB534" s="26">
        <f t="shared" si="915"/>
        <v>1.2793379269142811</v>
      </c>
      <c r="AC534" s="23">
        <f t="shared" si="916"/>
        <v>76</v>
      </c>
      <c r="AD534" s="23">
        <f t="shared" si="917"/>
        <v>1.1428571428571428</v>
      </c>
      <c r="AE534" s="23">
        <f t="shared" si="918"/>
        <v>7182.1428571428569</v>
      </c>
      <c r="AF534" s="25">
        <f t="shared" si="919"/>
        <v>1.1108899428819326E-2</v>
      </c>
      <c r="AG534" s="20">
        <v>5687634</v>
      </c>
      <c r="AH534" s="21">
        <f t="shared" si="929"/>
        <v>6075</v>
      </c>
      <c r="AI534" s="21">
        <f t="shared" si="920"/>
        <v>5802.2</v>
      </c>
      <c r="AJ534" s="20">
        <v>5501199</v>
      </c>
      <c r="AK534" s="20">
        <f t="shared" si="930"/>
        <v>830</v>
      </c>
      <c r="AL534" s="21">
        <f t="shared" si="921"/>
        <v>720</v>
      </c>
      <c r="AM534" s="26">
        <f t="shared" si="922"/>
        <v>1089.4285714285713</v>
      </c>
    </row>
    <row r="535" spans="1:39" ht="16">
      <c r="A535" s="30">
        <v>44427</v>
      </c>
      <c r="B535" s="20">
        <f t="shared" si="923"/>
        <v>810781</v>
      </c>
      <c r="C535" s="20">
        <v>123</v>
      </c>
      <c r="D535" s="20">
        <v>30046</v>
      </c>
      <c r="E535" s="20">
        <v>769777</v>
      </c>
      <c r="F535" s="20">
        <v>6467683</v>
      </c>
      <c r="G535" s="17">
        <f t="shared" si="904"/>
        <v>659967.6530612245</v>
      </c>
      <c r="H535" s="20"/>
      <c r="I535" s="19">
        <f t="shared" si="924"/>
        <v>1.5172859578268518E-4</v>
      </c>
      <c r="J535" s="19">
        <f t="shared" si="905"/>
        <v>0.12535880314480471</v>
      </c>
      <c r="K535" s="19">
        <f t="shared" si="925"/>
        <v>1.5679301680294625E-3</v>
      </c>
      <c r="L535" s="20">
        <v>10958</v>
      </c>
      <c r="M535" s="19">
        <f t="shared" si="906"/>
        <v>3.7058095835990235E-2</v>
      </c>
      <c r="N535" s="19">
        <f t="shared" si="907"/>
        <v>0.94942654058247544</v>
      </c>
      <c r="O535" s="20">
        <v>879</v>
      </c>
      <c r="P535" s="28">
        <f t="shared" si="926"/>
        <v>10125</v>
      </c>
      <c r="Q535" s="29">
        <f t="shared" si="908"/>
        <v>1.2148148148148148E-2</v>
      </c>
      <c r="R535" s="20">
        <f t="shared" ref="R535:S535" si="933">D535-D534</f>
        <v>1</v>
      </c>
      <c r="S535" s="20">
        <f t="shared" si="933"/>
        <v>886</v>
      </c>
      <c r="T535" s="20">
        <v>76</v>
      </c>
      <c r="U535" s="20">
        <v>11</v>
      </c>
      <c r="V535" s="19">
        <f t="shared" si="910"/>
        <v>1.3515363581534347E-2</v>
      </c>
      <c r="W535" s="20">
        <f t="shared" ref="W535:X535" si="934">T535-T534</f>
        <v>1</v>
      </c>
      <c r="X535" s="20">
        <f t="shared" si="934"/>
        <v>0</v>
      </c>
      <c r="Y535" s="19">
        <f t="shared" si="912"/>
        <v>6.9355721847052382E-3</v>
      </c>
      <c r="Z535" s="19">
        <f t="shared" si="913"/>
        <v>0.14473684210526316</v>
      </c>
      <c r="AA535" s="21">
        <f t="shared" si="914"/>
        <v>1.39119804400978</v>
      </c>
      <c r="AB535" s="26">
        <f t="shared" si="915"/>
        <v>1.3400243442268756</v>
      </c>
      <c r="AC535" s="23">
        <f t="shared" si="916"/>
        <v>81.285714285714292</v>
      </c>
      <c r="AD535" s="23">
        <f t="shared" si="917"/>
        <v>1.2857142857142858</v>
      </c>
      <c r="AE535" s="23">
        <f t="shared" si="918"/>
        <v>7446.5714285714284</v>
      </c>
      <c r="AF535" s="25">
        <f t="shared" si="919"/>
        <v>1.1459727994876318E-2</v>
      </c>
      <c r="AG535" s="20">
        <v>5693214</v>
      </c>
      <c r="AH535" s="21">
        <f t="shared" si="929"/>
        <v>5580</v>
      </c>
      <c r="AI535" s="21">
        <f t="shared" si="920"/>
        <v>5911.2</v>
      </c>
      <c r="AJ535" s="20">
        <v>5502086</v>
      </c>
      <c r="AK535" s="20">
        <f t="shared" si="930"/>
        <v>887</v>
      </c>
      <c r="AL535" s="21">
        <f t="shared" si="921"/>
        <v>829.2</v>
      </c>
      <c r="AM535" s="26">
        <f t="shared" si="922"/>
        <v>853.71428571428567</v>
      </c>
    </row>
    <row r="536" spans="1:39" ht="13">
      <c r="A536" s="30">
        <v>44428</v>
      </c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8"/>
      <c r="Q536" s="28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</row>
    <row r="537" spans="1:39" ht="13">
      <c r="A537" s="30">
        <v>44429</v>
      </c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8"/>
      <c r="Q537" s="28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</row>
    <row r="538" spans="1:39" ht="13">
      <c r="A538" s="30">
        <v>44430</v>
      </c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8"/>
      <c r="Q538" s="28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</row>
    <row r="539" spans="1:39" ht="16">
      <c r="A539" s="30">
        <v>44431</v>
      </c>
      <c r="B539" s="20">
        <f>B535+C539</f>
        <v>811121</v>
      </c>
      <c r="C539" s="20">
        <v>340</v>
      </c>
      <c r="D539" s="20">
        <v>30052</v>
      </c>
      <c r="E539" s="20">
        <v>771530</v>
      </c>
      <c r="F539" s="20">
        <v>6492441</v>
      </c>
      <c r="G539" s="17">
        <f t="shared" ref="G539:G543" si="935">F539/9.8</f>
        <v>662493.97959183669</v>
      </c>
      <c r="H539" s="20"/>
      <c r="I539" s="19">
        <f>(B539-B535)/B535</f>
        <v>4.1934875138909276E-4</v>
      </c>
      <c r="J539" s="19">
        <f t="shared" ref="J539:J543" si="936">B539/F539</f>
        <v>0.12493313377818913</v>
      </c>
      <c r="K539" s="19">
        <f>(F539-F535)/F535</f>
        <v>3.8279550806679919E-3</v>
      </c>
      <c r="L539" s="20">
        <v>9539</v>
      </c>
      <c r="M539" s="19">
        <f t="shared" ref="M539:M543" si="937">D539/B539</f>
        <v>3.7049959253921426E-2</v>
      </c>
      <c r="N539" s="19">
        <f t="shared" ref="N539:N543" si="938">E539/B539</f>
        <v>0.95118977316577924</v>
      </c>
      <c r="O539" s="20">
        <v>865</v>
      </c>
      <c r="P539" s="28">
        <f>F539-F535</f>
        <v>24758</v>
      </c>
      <c r="Q539" s="29">
        <f t="shared" ref="Q539:Q543" si="939">C539/P539</f>
        <v>1.3732934808950643E-2</v>
      </c>
      <c r="R539" s="20">
        <f t="shared" ref="R539:S539" si="940">D539-D535</f>
        <v>6</v>
      </c>
      <c r="S539" s="20">
        <f t="shared" si="940"/>
        <v>1753</v>
      </c>
      <c r="T539" s="20">
        <v>73</v>
      </c>
      <c r="U539" s="20">
        <v>10</v>
      </c>
      <c r="V539" s="19">
        <f t="shared" ref="V539:V543" si="941">L539/B539</f>
        <v>1.1760267580299364E-2</v>
      </c>
      <c r="W539" s="20">
        <f t="shared" ref="W539:X539" si="942">T539-T535</f>
        <v>-3</v>
      </c>
      <c r="X539" s="20">
        <f t="shared" si="942"/>
        <v>-1</v>
      </c>
      <c r="Y539" s="19">
        <f t="shared" ref="Y539:Y543" si="943">T539/L539</f>
        <v>7.6527937938987312E-3</v>
      </c>
      <c r="Z539" s="19">
        <f t="shared" ref="Z539:Z543" si="944">U539/T539</f>
        <v>0.13698630136986301</v>
      </c>
      <c r="AA539" s="21">
        <f t="shared" ref="AA539:AA543" si="945">(C533+C534+C535+C536+C537+C538+C539)/(C526+C527+C528+C529+C530+C531+C532)</f>
        <v>1.2515212981744421</v>
      </c>
      <c r="AB539" s="26">
        <f t="shared" ref="AB539:AB543" si="946">SUM(AA533:AA539)/5</f>
        <v>1.0668949142636905</v>
      </c>
      <c r="AC539" s="23">
        <f t="shared" ref="AC539:AC543" si="947">SUM(C533:C539)/7</f>
        <v>88.142857142857139</v>
      </c>
      <c r="AD539" s="23">
        <f t="shared" ref="AD539:AD543" si="948">SUM(R533:R539)/7</f>
        <v>1.5714285714285714</v>
      </c>
      <c r="AE539" s="23">
        <f t="shared" ref="AE539:AE543" si="949">SUM(P533:P539)/7</f>
        <v>6765.2857142857147</v>
      </c>
      <c r="AF539" s="25">
        <f t="shared" ref="AF539:AF543" si="950">SUM(Q533:Q539)/5</f>
        <v>9.9577327159485855E-3</v>
      </c>
      <c r="AG539" s="20">
        <v>5699251</v>
      </c>
      <c r="AH539" s="20">
        <f>AG539-AG535</f>
        <v>6037</v>
      </c>
      <c r="AI539" s="21">
        <f t="shared" ref="AI539:AI543" si="951">(SUM(AH533:AH539))/5</f>
        <v>4329</v>
      </c>
      <c r="AJ539" s="20">
        <v>5502546</v>
      </c>
      <c r="AK539" s="20">
        <f>AJ539-AJ535</f>
        <v>460</v>
      </c>
      <c r="AL539" s="21">
        <f t="shared" ref="AL539:AL543" si="952">(SUM(AK533:AK539))/5</f>
        <v>470.6</v>
      </c>
      <c r="AM539" s="26">
        <f t="shared" ref="AM539:AM543" si="953">SUM(S533:S539)/7</f>
        <v>460.28571428571428</v>
      </c>
    </row>
    <row r="540" spans="1:39" ht="16">
      <c r="A540" s="30">
        <v>44432</v>
      </c>
      <c r="B540" s="20">
        <f t="shared" ref="B540:B543" si="954">B539+C540</f>
        <v>811203</v>
      </c>
      <c r="C540" s="20">
        <v>82</v>
      </c>
      <c r="D540" s="20">
        <v>30054</v>
      </c>
      <c r="E540" s="20">
        <v>772241</v>
      </c>
      <c r="F540" s="20">
        <v>6504169</v>
      </c>
      <c r="G540" s="17">
        <f t="shared" si="935"/>
        <v>663690.7142857142</v>
      </c>
      <c r="H540" s="20"/>
      <c r="I540" s="19">
        <f t="shared" ref="I540:I543" si="955">(B540-B539)/B539</f>
        <v>1.0109465788704767E-4</v>
      </c>
      <c r="J540" s="19">
        <f t="shared" si="936"/>
        <v>0.12472046774922362</v>
      </c>
      <c r="K540" s="19">
        <f t="shared" ref="K540:K543" si="956">(F540-F539)/F539</f>
        <v>1.8064084063297611E-3</v>
      </c>
      <c r="L540" s="20">
        <v>8908</v>
      </c>
      <c r="M540" s="19">
        <f t="shared" si="937"/>
        <v>3.7048679553699879E-2</v>
      </c>
      <c r="N540" s="19">
        <f t="shared" si="938"/>
        <v>0.95197009872991101</v>
      </c>
      <c r="O540" s="20">
        <v>942</v>
      </c>
      <c r="P540" s="28">
        <f t="shared" ref="P540:P543" si="957">F540-F539</f>
        <v>11728</v>
      </c>
      <c r="Q540" s="29">
        <f t="shared" si="939"/>
        <v>6.9918144611186899E-3</v>
      </c>
      <c r="R540" s="20">
        <f t="shared" ref="R540:S540" si="958">D540-D539</f>
        <v>2</v>
      </c>
      <c r="S540" s="20">
        <f t="shared" si="958"/>
        <v>711</v>
      </c>
      <c r="T540" s="20">
        <v>81</v>
      </c>
      <c r="U540" s="20">
        <v>11</v>
      </c>
      <c r="V540" s="19">
        <f t="shared" si="941"/>
        <v>1.0981221716389116E-2</v>
      </c>
      <c r="W540" s="20">
        <f t="shared" ref="W540:X540" si="959">T540-T539</f>
        <v>8</v>
      </c>
      <c r="X540" s="20">
        <f t="shared" si="959"/>
        <v>1</v>
      </c>
      <c r="Y540" s="19">
        <f t="shared" si="943"/>
        <v>9.0929501571621017E-3</v>
      </c>
      <c r="Z540" s="19">
        <f t="shared" si="944"/>
        <v>0.13580246913580246</v>
      </c>
      <c r="AA540" s="21">
        <f t="shared" si="945"/>
        <v>1.3001988071570576</v>
      </c>
      <c r="AB540" s="26">
        <f t="shared" si="946"/>
        <v>1.0579507184758508</v>
      </c>
      <c r="AC540" s="23">
        <f t="shared" si="947"/>
        <v>93.428571428571431</v>
      </c>
      <c r="AD540" s="23">
        <f t="shared" si="948"/>
        <v>1.7142857142857142</v>
      </c>
      <c r="AE540" s="23">
        <f t="shared" si="949"/>
        <v>7843.5714285714284</v>
      </c>
      <c r="AF540" s="25">
        <f t="shared" si="950"/>
        <v>9.2029855603254357E-3</v>
      </c>
      <c r="AG540" s="20">
        <v>5703883</v>
      </c>
      <c r="AH540" s="21">
        <f t="shared" ref="AH540:AH543" si="960">AG540-AG539</f>
        <v>4632</v>
      </c>
      <c r="AI540" s="21">
        <f t="shared" si="951"/>
        <v>4464.8</v>
      </c>
      <c r="AJ540" s="20">
        <v>5503365</v>
      </c>
      <c r="AK540" s="20">
        <f t="shared" ref="AK540:AK543" si="961">AJ540-AJ539</f>
        <v>819</v>
      </c>
      <c r="AL540" s="21">
        <f t="shared" si="952"/>
        <v>599.20000000000005</v>
      </c>
      <c r="AM540" s="26">
        <f t="shared" si="953"/>
        <v>531.71428571428567</v>
      </c>
    </row>
    <row r="541" spans="1:39" ht="16">
      <c r="A541" s="30">
        <v>44433</v>
      </c>
      <c r="B541" s="20">
        <f t="shared" si="954"/>
        <v>811337</v>
      </c>
      <c r="C541" s="20">
        <v>134</v>
      </c>
      <c r="D541" s="20">
        <v>30055</v>
      </c>
      <c r="E541" s="20">
        <v>773569</v>
      </c>
      <c r="F541" s="20">
        <v>6513515</v>
      </c>
      <c r="G541" s="17">
        <f t="shared" si="935"/>
        <v>664644.38775510201</v>
      </c>
      <c r="H541" s="20"/>
      <c r="I541" s="19">
        <f t="shared" si="955"/>
        <v>1.6518676582803564E-4</v>
      </c>
      <c r="J541" s="19">
        <f t="shared" si="936"/>
        <v>0.1245620836061635</v>
      </c>
      <c r="K541" s="19">
        <f t="shared" si="956"/>
        <v>1.4369245325575027E-3</v>
      </c>
      <c r="L541" s="20">
        <v>7713</v>
      </c>
      <c r="M541" s="19">
        <f t="shared" si="937"/>
        <v>3.7043793146374439E-2</v>
      </c>
      <c r="N541" s="19">
        <f t="shared" si="938"/>
        <v>0.9534496762750867</v>
      </c>
      <c r="O541" s="20">
        <v>1101</v>
      </c>
      <c r="P541" s="28">
        <f t="shared" si="957"/>
        <v>9346</v>
      </c>
      <c r="Q541" s="29">
        <f t="shared" si="939"/>
        <v>1.433768457093944E-2</v>
      </c>
      <c r="R541" s="20">
        <f t="shared" ref="R541:S541" si="962">D541-D540</f>
        <v>1</v>
      </c>
      <c r="S541" s="20">
        <f t="shared" si="962"/>
        <v>1328</v>
      </c>
      <c r="T541" s="20">
        <v>92</v>
      </c>
      <c r="U541" s="20">
        <v>13</v>
      </c>
      <c r="V541" s="19">
        <f t="shared" si="941"/>
        <v>9.5065305785388809E-3</v>
      </c>
      <c r="W541" s="20">
        <f t="shared" ref="W541:X541" si="963">T541-T540</f>
        <v>11</v>
      </c>
      <c r="X541" s="20">
        <f t="shared" si="963"/>
        <v>2</v>
      </c>
      <c r="Y541" s="19">
        <f t="shared" si="943"/>
        <v>1.1927913911577855E-2</v>
      </c>
      <c r="Z541" s="19">
        <f t="shared" si="944"/>
        <v>0.14130434782608695</v>
      </c>
      <c r="AA541" s="21">
        <f t="shared" si="945"/>
        <v>1.2763157894736843</v>
      </c>
      <c r="AB541" s="26">
        <f t="shared" si="946"/>
        <v>1.0438467877629927</v>
      </c>
      <c r="AC541" s="23">
        <f t="shared" si="947"/>
        <v>97</v>
      </c>
      <c r="AD541" s="23">
        <f t="shared" si="948"/>
        <v>1.4285714285714286</v>
      </c>
      <c r="AE541" s="23">
        <f t="shared" si="949"/>
        <v>7993.8571428571431</v>
      </c>
      <c r="AF541" s="25">
        <f t="shared" si="950"/>
        <v>9.4421163978313828E-3</v>
      </c>
      <c r="AG541" s="20">
        <v>5709197</v>
      </c>
      <c r="AH541" s="21">
        <f t="shared" si="960"/>
        <v>5314</v>
      </c>
      <c r="AI541" s="21">
        <f t="shared" si="951"/>
        <v>4312.6000000000004</v>
      </c>
      <c r="AJ541" s="20">
        <v>5504205</v>
      </c>
      <c r="AK541" s="20">
        <f t="shared" si="961"/>
        <v>840</v>
      </c>
      <c r="AL541" s="21">
        <f t="shared" si="952"/>
        <v>601.20000000000005</v>
      </c>
      <c r="AM541" s="26">
        <f t="shared" si="953"/>
        <v>668.28571428571433</v>
      </c>
    </row>
    <row r="542" spans="1:39" ht="16">
      <c r="A542" s="30">
        <v>44434</v>
      </c>
      <c r="B542" s="20">
        <f t="shared" si="954"/>
        <v>811517</v>
      </c>
      <c r="C542" s="20">
        <v>180</v>
      </c>
      <c r="D542" s="20">
        <v>30056</v>
      </c>
      <c r="E542" s="20">
        <v>774600</v>
      </c>
      <c r="F542" s="20">
        <v>6531925</v>
      </c>
      <c r="G542" s="17">
        <f t="shared" si="935"/>
        <v>666522.95918367337</v>
      </c>
      <c r="H542" s="20"/>
      <c r="I542" s="19">
        <f t="shared" si="955"/>
        <v>2.2185602283637996E-4</v>
      </c>
      <c r="J542" s="19">
        <f t="shared" si="936"/>
        <v>0.12423856673185929</v>
      </c>
      <c r="K542" s="19">
        <f t="shared" si="956"/>
        <v>2.8264308902336143E-3</v>
      </c>
      <c r="L542" s="20">
        <v>6861</v>
      </c>
      <c r="M542" s="19">
        <f t="shared" si="937"/>
        <v>3.7036808840726687E-2</v>
      </c>
      <c r="N542" s="19">
        <f t="shared" si="938"/>
        <v>0.954508654778643</v>
      </c>
      <c r="O542" s="20">
        <v>1217</v>
      </c>
      <c r="P542" s="28">
        <f t="shared" si="957"/>
        <v>18410</v>
      </c>
      <c r="Q542" s="29">
        <f t="shared" si="939"/>
        <v>9.7772949483976093E-3</v>
      </c>
      <c r="R542" s="20">
        <f t="shared" ref="R542:S542" si="964">D542-D541</f>
        <v>1</v>
      </c>
      <c r="S542" s="20">
        <f t="shared" si="964"/>
        <v>1031</v>
      </c>
      <c r="T542" s="20">
        <v>93</v>
      </c>
      <c r="U542" s="20">
        <v>9</v>
      </c>
      <c r="V542" s="19">
        <f t="shared" si="941"/>
        <v>8.4545363806303505E-3</v>
      </c>
      <c r="W542" s="20">
        <f t="shared" ref="W542:X542" si="965">T542-T541</f>
        <v>1</v>
      </c>
      <c r="X542" s="20">
        <f t="shared" si="965"/>
        <v>-4</v>
      </c>
      <c r="Y542" s="19">
        <f t="shared" si="943"/>
        <v>1.355487538259729E-2</v>
      </c>
      <c r="Z542" s="19">
        <f t="shared" si="944"/>
        <v>9.6774193548387094E-2</v>
      </c>
      <c r="AA542" s="21">
        <f t="shared" si="945"/>
        <v>1.2934973637961336</v>
      </c>
      <c r="AB542" s="26">
        <f t="shared" si="946"/>
        <v>1.0243066517202635</v>
      </c>
      <c r="AC542" s="23">
        <f t="shared" si="947"/>
        <v>105.14285714285714</v>
      </c>
      <c r="AD542" s="23">
        <f t="shared" si="948"/>
        <v>1.4285714285714286</v>
      </c>
      <c r="AE542" s="23">
        <f t="shared" si="949"/>
        <v>9177.4285714285706</v>
      </c>
      <c r="AF542" s="25">
        <f t="shared" si="950"/>
        <v>8.9679457578812766E-3</v>
      </c>
      <c r="AG542" s="20">
        <v>5715525</v>
      </c>
      <c r="AH542" s="21">
        <f t="shared" si="960"/>
        <v>6328</v>
      </c>
      <c r="AI542" s="21">
        <f t="shared" si="951"/>
        <v>4462.2</v>
      </c>
      <c r="AJ542" s="20">
        <v>5504899</v>
      </c>
      <c r="AK542" s="20">
        <f t="shared" si="961"/>
        <v>694</v>
      </c>
      <c r="AL542" s="21">
        <f t="shared" si="952"/>
        <v>562.6</v>
      </c>
      <c r="AM542" s="26">
        <f t="shared" si="953"/>
        <v>689</v>
      </c>
    </row>
    <row r="543" spans="1:39" ht="16">
      <c r="A543" s="30">
        <v>44435</v>
      </c>
      <c r="B543" s="20">
        <f t="shared" si="954"/>
        <v>811706</v>
      </c>
      <c r="C543" s="20">
        <v>189</v>
      </c>
      <c r="D543" s="20">
        <v>30057</v>
      </c>
      <c r="E543" s="20">
        <v>775286</v>
      </c>
      <c r="F543" s="20">
        <v>6542042</v>
      </c>
      <c r="G543" s="17">
        <f t="shared" si="935"/>
        <v>667555.30612244888</v>
      </c>
      <c r="H543" s="20"/>
      <c r="I543" s="19">
        <f t="shared" si="955"/>
        <v>2.3289715434180675E-4</v>
      </c>
      <c r="J543" s="19">
        <f t="shared" si="936"/>
        <v>0.12407532693920338</v>
      </c>
      <c r="K543" s="19">
        <f t="shared" si="956"/>
        <v>1.5488542810886531E-3</v>
      </c>
      <c r="L543" s="20">
        <v>6363</v>
      </c>
      <c r="M543" s="19">
        <f t="shared" si="937"/>
        <v>3.7029417054943538E-2</v>
      </c>
      <c r="N543" s="19">
        <f t="shared" si="938"/>
        <v>0.95513153777352888</v>
      </c>
      <c r="O543" s="20">
        <v>1137</v>
      </c>
      <c r="P543" s="28">
        <f t="shared" si="957"/>
        <v>10117</v>
      </c>
      <c r="Q543" s="29">
        <f t="shared" si="939"/>
        <v>1.8681427300583177E-2</v>
      </c>
      <c r="R543" s="20">
        <f t="shared" ref="R543:S543" si="966">D543-D542</f>
        <v>1</v>
      </c>
      <c r="S543" s="20">
        <f t="shared" si="966"/>
        <v>686</v>
      </c>
      <c r="T543" s="20">
        <v>82</v>
      </c>
      <c r="U543" s="20">
        <v>8</v>
      </c>
      <c r="V543" s="19">
        <f t="shared" si="941"/>
        <v>7.8390451715276213E-3</v>
      </c>
      <c r="W543" s="20">
        <f t="shared" ref="W543:X543" si="967">T543-T542</f>
        <v>-11</v>
      </c>
      <c r="X543" s="20">
        <f t="shared" si="967"/>
        <v>-1</v>
      </c>
      <c r="Y543" s="19">
        <f t="shared" si="943"/>
        <v>1.2887002986012887E-2</v>
      </c>
      <c r="Z543" s="19">
        <f t="shared" si="944"/>
        <v>9.7560975609756101E-2</v>
      </c>
      <c r="AA543" s="21">
        <f t="shared" si="945"/>
        <v>1.989247311827957</v>
      </c>
      <c r="AB543" s="26">
        <f t="shared" si="946"/>
        <v>1.422156114085855</v>
      </c>
      <c r="AC543" s="23">
        <f t="shared" si="947"/>
        <v>132.14285714285714</v>
      </c>
      <c r="AD543" s="23">
        <f t="shared" si="948"/>
        <v>1.5714285714285714</v>
      </c>
      <c r="AE543" s="23">
        <f t="shared" si="949"/>
        <v>10622.714285714286</v>
      </c>
      <c r="AF543" s="25">
        <f t="shared" si="950"/>
        <v>1.2704231217997913E-2</v>
      </c>
      <c r="AG543" s="20">
        <v>5725336</v>
      </c>
      <c r="AH543" s="21">
        <f t="shared" si="960"/>
        <v>9811</v>
      </c>
      <c r="AI543" s="21">
        <f t="shared" si="951"/>
        <v>6424.4</v>
      </c>
      <c r="AJ543" s="20">
        <v>5505341</v>
      </c>
      <c r="AK543" s="20">
        <f t="shared" si="961"/>
        <v>442</v>
      </c>
      <c r="AL543" s="21">
        <f t="shared" si="952"/>
        <v>651</v>
      </c>
      <c r="AM543" s="26">
        <f t="shared" si="953"/>
        <v>787</v>
      </c>
    </row>
    <row r="544" spans="1:39" ht="13">
      <c r="A544" s="30">
        <v>44436</v>
      </c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8"/>
      <c r="Q544" s="28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</row>
    <row r="545" spans="1:39" ht="13">
      <c r="A545" s="30">
        <v>44437</v>
      </c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8"/>
      <c r="Q545" s="28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</row>
    <row r="546" spans="1:39" ht="16">
      <c r="A546" s="30">
        <v>44438</v>
      </c>
      <c r="B546" s="20">
        <f>B543+C546</f>
        <v>812227</v>
      </c>
      <c r="C546" s="20">
        <v>521</v>
      </c>
      <c r="D546" s="20">
        <v>30057</v>
      </c>
      <c r="E546" s="20">
        <v>777234</v>
      </c>
      <c r="F546" s="20">
        <v>6568905</v>
      </c>
      <c r="G546" s="17">
        <f t="shared" ref="G546:G550" si="968">F546/9.8</f>
        <v>670296.42857142852</v>
      </c>
      <c r="H546" s="20"/>
      <c r="I546" s="19">
        <f>(B546-B543)/B543</f>
        <v>6.4185801263018881E-4</v>
      </c>
      <c r="J546" s="19">
        <f t="shared" ref="J546:J550" si="969">B546/F546</f>
        <v>0.1236472440992829</v>
      </c>
      <c r="K546" s="19">
        <f>(F546-F543)/F543</f>
        <v>4.1062102627895079E-3</v>
      </c>
      <c r="L546" s="20">
        <v>4936</v>
      </c>
      <c r="M546" s="19">
        <f t="shared" ref="M546:M550" si="970">D546/B546</f>
        <v>3.7005664672560751E-2</v>
      </c>
      <c r="N546" s="19">
        <f t="shared" ref="N546:N550" si="971">E546/B546</f>
        <v>0.95691721649243378</v>
      </c>
      <c r="O546" s="20">
        <v>1270</v>
      </c>
      <c r="P546" s="28">
        <f>F546-F543</f>
        <v>26863</v>
      </c>
      <c r="Q546" s="29">
        <f t="shared" ref="Q546:Q550" si="972">C546/P546</f>
        <v>1.9394706473588208E-2</v>
      </c>
      <c r="R546" s="20">
        <f t="shared" ref="R546:S546" si="973">D546-D543</f>
        <v>0</v>
      </c>
      <c r="S546" s="20">
        <f t="shared" si="973"/>
        <v>1948</v>
      </c>
      <c r="T546" s="20">
        <v>98</v>
      </c>
      <c r="U546" s="20">
        <v>7</v>
      </c>
      <c r="V546" s="19">
        <f t="shared" ref="V546:V550" si="974">L546/B546</f>
        <v>6.0771188350054852E-3</v>
      </c>
      <c r="W546" s="20">
        <f t="shared" ref="W546:X546" si="975">T546-T543</f>
        <v>16</v>
      </c>
      <c r="X546" s="20">
        <f t="shared" si="975"/>
        <v>-1</v>
      </c>
      <c r="Y546" s="19">
        <f t="shared" ref="Y546:Y550" si="976">T546/L546</f>
        <v>1.9854132901134521E-2</v>
      </c>
      <c r="Z546" s="19">
        <f t="shared" ref="Z546:Z550" si="977">U546/T546</f>
        <v>7.1428571428571425E-2</v>
      </c>
      <c r="AA546" s="21">
        <f t="shared" ref="AA546:AA550" si="978">(C540+C541+C542+C543+C544+C545+C546)/(C533+C534+C535+C536+C537+C538+C539)</f>
        <v>1.7925445705024312</v>
      </c>
      <c r="AB546" s="26">
        <f t="shared" ref="AB546:AB550" si="979">SUM(AA540:AA546)/5</f>
        <v>1.5303607685514526</v>
      </c>
      <c r="AC546" s="23">
        <f t="shared" ref="AC546:AC550" si="980">SUM(C540:C546)/7</f>
        <v>158</v>
      </c>
      <c r="AD546" s="23">
        <f t="shared" ref="AD546:AD550" si="981">SUM(R540:R546)/7</f>
        <v>0.7142857142857143</v>
      </c>
      <c r="AE546" s="23">
        <f t="shared" ref="AE546:AE550" si="982">SUM(P540:P546)/7</f>
        <v>10923.428571428571</v>
      </c>
      <c r="AF546" s="25">
        <f t="shared" ref="AF546:AF550" si="983">SUM(Q540:Q546)/5</f>
        <v>1.3836585550925424E-2</v>
      </c>
      <c r="AG546" s="20">
        <v>5740136</v>
      </c>
      <c r="AH546" s="21">
        <f>AG546-AG543</f>
        <v>14800</v>
      </c>
      <c r="AI546" s="21">
        <f t="shared" ref="AI546:AI550" si="984">(SUM(AH540:AH546))/5</f>
        <v>8177</v>
      </c>
      <c r="AJ546" s="20">
        <v>5506788</v>
      </c>
      <c r="AK546" s="20">
        <f>AJ546-AJ543</f>
        <v>1447</v>
      </c>
      <c r="AL546" s="21">
        <f t="shared" ref="AL546:AL550" si="985">(SUM(AK540:AK546))/5</f>
        <v>848.4</v>
      </c>
      <c r="AM546" s="26">
        <f t="shared" ref="AM546:AM550" si="986">SUM(S540:S546)/7</f>
        <v>814.85714285714289</v>
      </c>
    </row>
    <row r="547" spans="1:39" ht="16">
      <c r="A547" s="30">
        <v>44439</v>
      </c>
      <c r="B547" s="20">
        <f t="shared" ref="B547:B550" si="987">B546+C547</f>
        <v>812337</v>
      </c>
      <c r="C547" s="20">
        <v>110</v>
      </c>
      <c r="D547" s="20">
        <v>30058</v>
      </c>
      <c r="E547" s="20">
        <v>777445</v>
      </c>
      <c r="F547" s="20">
        <v>6574523</v>
      </c>
      <c r="G547" s="17">
        <f t="shared" si="968"/>
        <v>670869.69387755101</v>
      </c>
      <c r="H547" s="20"/>
      <c r="I547" s="19">
        <f t="shared" ref="I547:I550" si="988">(B547-B546)/B546</f>
        <v>1.3543011990490344E-4</v>
      </c>
      <c r="J547" s="19">
        <f t="shared" si="969"/>
        <v>0.12355831746272695</v>
      </c>
      <c r="K547" s="19">
        <f t="shared" ref="K547:K550" si="989">(F547-F546)/F546</f>
        <v>8.5524147479678876E-4</v>
      </c>
      <c r="L547" s="20">
        <v>4834</v>
      </c>
      <c r="M547" s="19">
        <f t="shared" si="970"/>
        <v>3.7001884685789271E-2</v>
      </c>
      <c r="N547" s="19">
        <f t="shared" si="971"/>
        <v>0.95704738304422921</v>
      </c>
      <c r="O547" s="20">
        <v>1344</v>
      </c>
      <c r="P547" s="28">
        <f t="shared" ref="P547:P550" si="990">F547-F546</f>
        <v>5618</v>
      </c>
      <c r="Q547" s="29">
        <f t="shared" si="972"/>
        <v>1.9579921680313278E-2</v>
      </c>
      <c r="R547" s="20">
        <f t="shared" ref="R547:S547" si="991">D547-D546</f>
        <v>1</v>
      </c>
      <c r="S547" s="20">
        <f t="shared" si="991"/>
        <v>211</v>
      </c>
      <c r="T547" s="20">
        <v>119</v>
      </c>
      <c r="U547" s="20">
        <v>13</v>
      </c>
      <c r="V547" s="19">
        <f t="shared" si="974"/>
        <v>5.9507322699815469E-3</v>
      </c>
      <c r="W547" s="20">
        <f t="shared" ref="W547:X547" si="992">T547-T546</f>
        <v>21</v>
      </c>
      <c r="X547" s="20">
        <f t="shared" si="992"/>
        <v>6</v>
      </c>
      <c r="Y547" s="19">
        <f t="shared" si="976"/>
        <v>2.4617294166321888E-2</v>
      </c>
      <c r="Z547" s="19">
        <f t="shared" si="977"/>
        <v>0.1092436974789916</v>
      </c>
      <c r="AA547" s="21">
        <f t="shared" si="978"/>
        <v>1.7339449541284404</v>
      </c>
      <c r="AB547" s="26">
        <f t="shared" si="979"/>
        <v>1.6171099979457295</v>
      </c>
      <c r="AC547" s="23">
        <f t="shared" si="980"/>
        <v>162</v>
      </c>
      <c r="AD547" s="23">
        <f t="shared" si="981"/>
        <v>0.5714285714285714</v>
      </c>
      <c r="AE547" s="23">
        <f t="shared" si="982"/>
        <v>10050.571428571429</v>
      </c>
      <c r="AF547" s="25">
        <f t="shared" si="983"/>
        <v>1.6354206994764343E-2</v>
      </c>
      <c r="AG547" s="20">
        <v>5754566</v>
      </c>
      <c r="AH547" s="21">
        <f t="shared" ref="AH547:AH550" si="993">AG547-AG546</f>
        <v>14430</v>
      </c>
      <c r="AI547" s="21">
        <f t="shared" si="984"/>
        <v>10136.6</v>
      </c>
      <c r="AJ547" s="20">
        <v>5507371</v>
      </c>
      <c r="AK547" s="20">
        <f t="shared" ref="AK547:AK550" si="994">AJ547-AJ546</f>
        <v>583</v>
      </c>
      <c r="AL547" s="21">
        <f t="shared" si="985"/>
        <v>801.2</v>
      </c>
      <c r="AM547" s="26">
        <f t="shared" si="986"/>
        <v>743.42857142857144</v>
      </c>
    </row>
    <row r="548" spans="1:39" ht="16">
      <c r="A548" s="30">
        <v>44440</v>
      </c>
      <c r="B548" s="20">
        <f t="shared" si="987"/>
        <v>812531</v>
      </c>
      <c r="C548" s="20">
        <v>194</v>
      </c>
      <c r="D548" s="20">
        <v>30059</v>
      </c>
      <c r="E548" s="20">
        <v>777646</v>
      </c>
      <c r="F548" s="20">
        <v>6584218</v>
      </c>
      <c r="G548" s="17">
        <f t="shared" si="968"/>
        <v>671858.97959183669</v>
      </c>
      <c r="H548" s="20"/>
      <c r="I548" s="19">
        <f t="shared" si="988"/>
        <v>2.388171411618577E-4</v>
      </c>
      <c r="J548" s="19">
        <f t="shared" si="969"/>
        <v>0.12340584713325106</v>
      </c>
      <c r="K548" s="19">
        <f t="shared" si="989"/>
        <v>1.4746316957138944E-3</v>
      </c>
      <c r="L548" s="20">
        <v>4826</v>
      </c>
      <c r="M548" s="19">
        <f t="shared" si="970"/>
        <v>3.699428083359281E-2</v>
      </c>
      <c r="N548" s="19">
        <f t="shared" si="971"/>
        <v>0.95706625347217522</v>
      </c>
      <c r="O548" s="20">
        <v>1437</v>
      </c>
      <c r="P548" s="28">
        <f t="shared" si="990"/>
        <v>9695</v>
      </c>
      <c r="Q548" s="29">
        <f t="shared" si="972"/>
        <v>2.0010314595152141E-2</v>
      </c>
      <c r="R548" s="20">
        <f t="shared" ref="R548:S548" si="995">D548-D547</f>
        <v>1</v>
      </c>
      <c r="S548" s="20">
        <f t="shared" si="995"/>
        <v>201</v>
      </c>
      <c r="T548" s="20">
        <v>132</v>
      </c>
      <c r="U548" s="20">
        <v>13</v>
      </c>
      <c r="V548" s="19">
        <f t="shared" si="974"/>
        <v>5.9394656942319737E-3</v>
      </c>
      <c r="W548" s="20">
        <f t="shared" ref="W548:X548" si="996">T548-T547</f>
        <v>13</v>
      </c>
      <c r="X548" s="20">
        <f t="shared" si="996"/>
        <v>0</v>
      </c>
      <c r="Y548" s="19">
        <f t="shared" si="976"/>
        <v>2.7351844177372565E-2</v>
      </c>
      <c r="Z548" s="19">
        <f t="shared" si="977"/>
        <v>9.8484848484848481E-2</v>
      </c>
      <c r="AA548" s="21">
        <f t="shared" si="978"/>
        <v>1.7584683357879234</v>
      </c>
      <c r="AB548" s="26">
        <f t="shared" si="979"/>
        <v>1.713540507208577</v>
      </c>
      <c r="AC548" s="23">
        <f t="shared" si="980"/>
        <v>170.57142857142858</v>
      </c>
      <c r="AD548" s="23">
        <f t="shared" si="981"/>
        <v>0.5714285714285714</v>
      </c>
      <c r="AE548" s="23">
        <f t="shared" si="982"/>
        <v>10100.428571428571</v>
      </c>
      <c r="AF548" s="25">
        <f t="shared" si="983"/>
        <v>1.7488732999606883E-2</v>
      </c>
      <c r="AG548" s="20">
        <v>5772010</v>
      </c>
      <c r="AH548" s="21">
        <f t="shared" si="993"/>
        <v>17444</v>
      </c>
      <c r="AI548" s="21">
        <f t="shared" si="984"/>
        <v>12562.6</v>
      </c>
      <c r="AJ548" s="20">
        <v>5509130</v>
      </c>
      <c r="AK548" s="20">
        <f t="shared" si="994"/>
        <v>1759</v>
      </c>
      <c r="AL548" s="21">
        <f t="shared" si="985"/>
        <v>985</v>
      </c>
      <c r="AM548" s="26">
        <f t="shared" si="986"/>
        <v>582.42857142857144</v>
      </c>
    </row>
    <row r="549" spans="1:39" ht="16">
      <c r="A549" s="30">
        <v>44441</v>
      </c>
      <c r="B549" s="20">
        <f t="shared" si="987"/>
        <v>812793</v>
      </c>
      <c r="C549" s="20">
        <v>262</v>
      </c>
      <c r="D549" s="20">
        <v>30060</v>
      </c>
      <c r="E549" s="20">
        <v>777909</v>
      </c>
      <c r="F549" s="20">
        <v>6595169</v>
      </c>
      <c r="G549" s="17">
        <f t="shared" si="968"/>
        <v>672976.42857142852</v>
      </c>
      <c r="H549" s="20"/>
      <c r="I549" s="19">
        <f t="shared" si="988"/>
        <v>3.2244923578300395E-4</v>
      </c>
      <c r="J549" s="19">
        <f t="shared" si="969"/>
        <v>0.12324066297618758</v>
      </c>
      <c r="K549" s="19">
        <f t="shared" si="989"/>
        <v>1.6632195349546447E-3</v>
      </c>
      <c r="L549" s="20">
        <v>4824</v>
      </c>
      <c r="M549" s="19">
        <f t="shared" si="970"/>
        <v>3.6983586226751464E-2</v>
      </c>
      <c r="N549" s="19">
        <f t="shared" si="971"/>
        <v>0.95708132328895545</v>
      </c>
      <c r="O549" s="20">
        <v>1750</v>
      </c>
      <c r="P549" s="28">
        <f t="shared" si="990"/>
        <v>10951</v>
      </c>
      <c r="Q549" s="29">
        <f t="shared" si="972"/>
        <v>2.3924755730070312E-2</v>
      </c>
      <c r="R549" s="20">
        <f t="shared" ref="R549:S549" si="997">D549-D548</f>
        <v>1</v>
      </c>
      <c r="S549" s="20">
        <f t="shared" si="997"/>
        <v>263</v>
      </c>
      <c r="T549" s="20">
        <v>138</v>
      </c>
      <c r="U549" s="20">
        <v>16</v>
      </c>
      <c r="V549" s="19">
        <f t="shared" si="974"/>
        <v>5.9350904842930489E-3</v>
      </c>
      <c r="W549" s="20">
        <f t="shared" ref="W549:X549" si="998">T549-T548</f>
        <v>6</v>
      </c>
      <c r="X549" s="20">
        <f t="shared" si="998"/>
        <v>3</v>
      </c>
      <c r="Y549" s="19">
        <f t="shared" si="976"/>
        <v>2.8606965174129355E-2</v>
      </c>
      <c r="Z549" s="19">
        <f t="shared" si="977"/>
        <v>0.11594202898550725</v>
      </c>
      <c r="AA549" s="21">
        <f t="shared" si="978"/>
        <v>1.7336956521739131</v>
      </c>
      <c r="AB549" s="26">
        <f t="shared" si="979"/>
        <v>1.8015801648841332</v>
      </c>
      <c r="AC549" s="23">
        <f t="shared" si="980"/>
        <v>182.28571428571428</v>
      </c>
      <c r="AD549" s="23">
        <f t="shared" si="981"/>
        <v>0.5714285714285714</v>
      </c>
      <c r="AE549" s="23">
        <f t="shared" si="982"/>
        <v>9034.8571428571431</v>
      </c>
      <c r="AF549" s="25">
        <f t="shared" si="983"/>
        <v>2.0318225155941425E-2</v>
      </c>
      <c r="AG549" s="20">
        <v>5781121</v>
      </c>
      <c r="AH549" s="21">
        <f t="shared" si="993"/>
        <v>9111</v>
      </c>
      <c r="AI549" s="21">
        <f t="shared" si="984"/>
        <v>13119.2</v>
      </c>
      <c r="AJ549" s="20">
        <v>5510678</v>
      </c>
      <c r="AK549" s="20">
        <f t="shared" si="994"/>
        <v>1548</v>
      </c>
      <c r="AL549" s="21">
        <f t="shared" si="985"/>
        <v>1155.8</v>
      </c>
      <c r="AM549" s="26">
        <f t="shared" si="986"/>
        <v>472.71428571428572</v>
      </c>
    </row>
    <row r="550" spans="1:39" ht="16">
      <c r="A550" s="30">
        <v>44442</v>
      </c>
      <c r="B550" s="20">
        <f t="shared" si="987"/>
        <v>813040</v>
      </c>
      <c r="C550" s="20">
        <v>247</v>
      </c>
      <c r="D550" s="20">
        <v>30061</v>
      </c>
      <c r="E550" s="20">
        <v>777988</v>
      </c>
      <c r="F550" s="20">
        <v>6606051</v>
      </c>
      <c r="G550" s="17">
        <f t="shared" si="968"/>
        <v>674086.83673469385</v>
      </c>
      <c r="H550" s="20"/>
      <c r="I550" s="19">
        <f t="shared" si="988"/>
        <v>3.0389041244203627E-4</v>
      </c>
      <c r="J550" s="19">
        <f t="shared" si="969"/>
        <v>0.12307504135223903</v>
      </c>
      <c r="K550" s="19">
        <f t="shared" si="989"/>
        <v>1.6499956255859403E-3</v>
      </c>
      <c r="L550" s="20">
        <v>4991</v>
      </c>
      <c r="M550" s="19">
        <f t="shared" si="970"/>
        <v>3.6973580635639082E-2</v>
      </c>
      <c r="N550" s="19">
        <f t="shared" si="971"/>
        <v>0.95688773000098393</v>
      </c>
      <c r="O550" s="20">
        <v>1874</v>
      </c>
      <c r="P550" s="28">
        <f t="shared" si="990"/>
        <v>10882</v>
      </c>
      <c r="Q550" s="29">
        <f t="shared" si="972"/>
        <v>2.2698033449733503E-2</v>
      </c>
      <c r="R550" s="20">
        <f t="shared" ref="R550:S550" si="999">D550-D549</f>
        <v>1</v>
      </c>
      <c r="S550" s="20">
        <f t="shared" si="999"/>
        <v>79</v>
      </c>
      <c r="T550" s="20">
        <v>149</v>
      </c>
      <c r="U550" s="20">
        <v>19</v>
      </c>
      <c r="V550" s="19">
        <f t="shared" si="974"/>
        <v>6.1386893633769554E-3</v>
      </c>
      <c r="W550" s="20">
        <f t="shared" ref="W550:X550" si="1000">T550-T549</f>
        <v>11</v>
      </c>
      <c r="X550" s="20">
        <f t="shared" si="1000"/>
        <v>3</v>
      </c>
      <c r="Y550" s="19">
        <f t="shared" si="976"/>
        <v>2.9853736726106993E-2</v>
      </c>
      <c r="Z550" s="19">
        <f t="shared" si="977"/>
        <v>0.12751677852348994</v>
      </c>
      <c r="AA550" s="21">
        <f t="shared" si="978"/>
        <v>1.4421621621621621</v>
      </c>
      <c r="AB550" s="26">
        <f t="shared" si="979"/>
        <v>1.6921631349509743</v>
      </c>
      <c r="AC550" s="23">
        <f t="shared" si="980"/>
        <v>190.57142857142858</v>
      </c>
      <c r="AD550" s="23">
        <f t="shared" si="981"/>
        <v>0.5714285714285714</v>
      </c>
      <c r="AE550" s="23">
        <f t="shared" si="982"/>
        <v>9144.1428571428569</v>
      </c>
      <c r="AF550" s="25">
        <f t="shared" si="983"/>
        <v>2.1121546385771489E-2</v>
      </c>
      <c r="AG550" s="20">
        <v>5799584</v>
      </c>
      <c r="AH550" s="21">
        <f t="shared" si="993"/>
        <v>18463</v>
      </c>
      <c r="AI550" s="21">
        <f t="shared" si="984"/>
        <v>14849.6</v>
      </c>
      <c r="AJ550" s="20">
        <v>5512118</v>
      </c>
      <c r="AK550" s="20">
        <f t="shared" si="994"/>
        <v>1440</v>
      </c>
      <c r="AL550" s="21">
        <f t="shared" si="985"/>
        <v>1355.4</v>
      </c>
      <c r="AM550" s="26">
        <f t="shared" si="986"/>
        <v>386</v>
      </c>
    </row>
    <row r="551" spans="1:39" ht="13">
      <c r="A551" s="30">
        <v>44443</v>
      </c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8"/>
      <c r="Q551" s="28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</row>
    <row r="552" spans="1:39" ht="13">
      <c r="A552" s="30">
        <v>44444</v>
      </c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8"/>
      <c r="Q552" s="28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</row>
    <row r="553" spans="1:39" ht="16">
      <c r="A553" s="30">
        <v>44445</v>
      </c>
      <c r="B553" s="20">
        <f>B550+C553</f>
        <v>813688</v>
      </c>
      <c r="C553" s="20">
        <v>648</v>
      </c>
      <c r="D553" s="20">
        <v>30070</v>
      </c>
      <c r="E553" s="20">
        <v>778236</v>
      </c>
      <c r="F553" s="20">
        <v>6634089</v>
      </c>
      <c r="G553" s="17">
        <f t="shared" ref="G553:G557" si="1001">F553/9.8</f>
        <v>676947.85714285704</v>
      </c>
      <c r="H553" s="20"/>
      <c r="I553" s="19">
        <f>(B553-B550)/B550</f>
        <v>7.9700875725671554E-4</v>
      </c>
      <c r="J553" s="19">
        <f t="shared" ref="J553:J557" si="1002">B553/F553</f>
        <v>0.12265256013297379</v>
      </c>
      <c r="K553" s="19">
        <f>(F553-F550)/F550</f>
        <v>4.2442905754133597E-3</v>
      </c>
      <c r="L553" s="20">
        <v>5382</v>
      </c>
      <c r="M553" s="19">
        <f t="shared" ref="M553:M557" si="1003">D553/B553</f>
        <v>3.6955196586406586E-2</v>
      </c>
      <c r="N553" s="19">
        <f t="shared" ref="N553:N557" si="1004">E553/B553</f>
        <v>0.95643047457993724</v>
      </c>
      <c r="O553" s="20">
        <v>1799</v>
      </c>
      <c r="P553" s="28">
        <f>F553-F550</f>
        <v>28038</v>
      </c>
      <c r="Q553" s="29">
        <f t="shared" ref="Q553:Q557" si="1005">C553/P553</f>
        <v>2.3111491547185961E-2</v>
      </c>
      <c r="R553" s="20">
        <f t="shared" ref="R553:S553" si="1006">D553-D550</f>
        <v>9</v>
      </c>
      <c r="S553" s="20">
        <f t="shared" si="1006"/>
        <v>248</v>
      </c>
      <c r="T553" s="20">
        <v>194</v>
      </c>
      <c r="U553" s="20">
        <v>23</v>
      </c>
      <c r="V553" s="19">
        <f t="shared" ref="V553:V557" si="1007">L553/B553</f>
        <v>6.6143288336561433E-3</v>
      </c>
      <c r="W553" s="20">
        <f t="shared" ref="W553:X553" si="1008">T553-T550</f>
        <v>45</v>
      </c>
      <c r="X553" s="20">
        <f t="shared" si="1008"/>
        <v>4</v>
      </c>
      <c r="Y553" s="19">
        <f t="shared" ref="Y553:Y557" si="1009">T553/L553</f>
        <v>3.6046079524340392E-2</v>
      </c>
      <c r="Z553" s="19">
        <f t="shared" ref="Z553:Z557" si="1010">U553/T553</f>
        <v>0.11855670103092783</v>
      </c>
      <c r="AA553" s="21">
        <f t="shared" ref="AA553:AA557" si="1011">(C547+C548+C549+C550+C551+C552+C553)/(C540+C541+C542+C543+C544+C545+C546)</f>
        <v>1.3209764918625677</v>
      </c>
      <c r="AB553" s="26">
        <f t="shared" ref="AB553:AB557" si="1012">SUM(AA547:AA553)/5</f>
        <v>1.5978495192230011</v>
      </c>
      <c r="AC553" s="23">
        <f t="shared" ref="AC553:AC557" si="1013">SUM(C547:C553)/7</f>
        <v>208.71428571428572</v>
      </c>
      <c r="AD553" s="23">
        <f t="shared" ref="AD553:AD557" si="1014">SUM(R547:R553)/7</f>
        <v>1.8571428571428572</v>
      </c>
      <c r="AE553" s="23">
        <f t="shared" ref="AE553:AE557" si="1015">SUM(P547:P553)/7</f>
        <v>9312</v>
      </c>
      <c r="AF553" s="25">
        <f t="shared" ref="AF553:AF557" si="1016">SUM(Q547:Q553)/5</f>
        <v>2.1864903400491041E-2</v>
      </c>
      <c r="AG553" s="20">
        <v>5817481</v>
      </c>
      <c r="AH553" s="21">
        <f>AG553-AG550</f>
        <v>17897</v>
      </c>
      <c r="AI553" s="21">
        <f t="shared" ref="AI553:AI557" si="1017">(SUM(AH547:AH553))/5</f>
        <v>15469</v>
      </c>
      <c r="AJ553" s="20">
        <v>5519838</v>
      </c>
      <c r="AK553" s="20">
        <f>AJ553-AJ550</f>
        <v>7720</v>
      </c>
      <c r="AL553" s="21">
        <f t="shared" ref="AL553:AL557" si="1018">(SUM(AK547:AK553))/5</f>
        <v>2610</v>
      </c>
      <c r="AM553" s="26">
        <f t="shared" ref="AM553:AM557" si="1019">SUM(S547:S553)/7</f>
        <v>143.14285714285714</v>
      </c>
    </row>
    <row r="554" spans="1:39" ht="16">
      <c r="A554" s="30">
        <v>44446</v>
      </c>
      <c r="B554" s="20">
        <f t="shared" ref="B554:B557" si="1020">B553+C554</f>
        <v>813818</v>
      </c>
      <c r="C554" s="20">
        <v>130</v>
      </c>
      <c r="D554" s="20">
        <v>30074</v>
      </c>
      <c r="E554" s="20">
        <v>778258</v>
      </c>
      <c r="F554" s="20">
        <v>6640890</v>
      </c>
      <c r="G554" s="17">
        <f t="shared" si="1001"/>
        <v>677641.83673469385</v>
      </c>
      <c r="H554" s="20"/>
      <c r="I554" s="19">
        <f t="shared" ref="I554:I557" si="1021">(B554-B553)/B553</f>
        <v>1.5976639694821601E-4</v>
      </c>
      <c r="J554" s="19">
        <f t="shared" si="1002"/>
        <v>0.1225465261433332</v>
      </c>
      <c r="K554" s="19">
        <f t="shared" ref="K554:K557" si="1022">(F554-F553)/F553</f>
        <v>1.02515959614048E-3</v>
      </c>
      <c r="L554" s="20">
        <v>5486</v>
      </c>
      <c r="M554" s="19">
        <f t="shared" si="1003"/>
        <v>3.6954208434809746E-2</v>
      </c>
      <c r="N554" s="19">
        <f t="shared" si="1004"/>
        <v>0.95630472660963506</v>
      </c>
      <c r="O554" s="20">
        <v>1955</v>
      </c>
      <c r="P554" s="28">
        <f t="shared" ref="P554:P557" si="1023">F554-F553</f>
        <v>6801</v>
      </c>
      <c r="Q554" s="29">
        <f t="shared" si="1005"/>
        <v>1.9114836053521541E-2</v>
      </c>
      <c r="R554" s="20">
        <f t="shared" ref="R554:S554" si="1024">D554-D553</f>
        <v>4</v>
      </c>
      <c r="S554" s="20">
        <f t="shared" si="1024"/>
        <v>22</v>
      </c>
      <c r="T554" s="20">
        <v>210</v>
      </c>
      <c r="U554" s="20">
        <v>24</v>
      </c>
      <c r="V554" s="19">
        <f t="shared" si="1007"/>
        <v>6.7410649555551729E-3</v>
      </c>
      <c r="W554" s="20">
        <f t="shared" ref="W554:X554" si="1025">T554-T553</f>
        <v>16</v>
      </c>
      <c r="X554" s="20">
        <f t="shared" si="1025"/>
        <v>1</v>
      </c>
      <c r="Y554" s="19">
        <f t="shared" si="1009"/>
        <v>3.8279256288734964E-2</v>
      </c>
      <c r="Z554" s="19">
        <f t="shared" si="1010"/>
        <v>0.11428571428571428</v>
      </c>
      <c r="AA554" s="21">
        <f t="shared" si="1011"/>
        <v>1.3059964726631392</v>
      </c>
      <c r="AB554" s="26">
        <f t="shared" si="1012"/>
        <v>1.5122598229299411</v>
      </c>
      <c r="AC554" s="23">
        <f t="shared" si="1013"/>
        <v>211.57142857142858</v>
      </c>
      <c r="AD554" s="23">
        <f t="shared" si="1014"/>
        <v>2.2857142857142856</v>
      </c>
      <c r="AE554" s="23">
        <f t="shared" si="1015"/>
        <v>9481</v>
      </c>
      <c r="AF554" s="25">
        <f t="shared" si="1016"/>
        <v>2.1771886275132692E-2</v>
      </c>
      <c r="AG554" s="20">
        <v>5821254</v>
      </c>
      <c r="AH554" s="21">
        <f t="shared" ref="AH554:AH557" si="1026">AG554-AG553</f>
        <v>3773</v>
      </c>
      <c r="AI554" s="21">
        <f t="shared" si="1017"/>
        <v>13337.6</v>
      </c>
      <c r="AJ554" s="20">
        <v>5524203</v>
      </c>
      <c r="AK554" s="20">
        <f t="shared" ref="AK554:AK557" si="1027">AJ554-AJ553</f>
        <v>4365</v>
      </c>
      <c r="AL554" s="21">
        <f t="shared" si="1018"/>
        <v>3366.4</v>
      </c>
      <c r="AM554" s="26">
        <f t="shared" si="1019"/>
        <v>116.14285714285714</v>
      </c>
    </row>
    <row r="555" spans="1:39" ht="16">
      <c r="A555" s="30">
        <v>44447</v>
      </c>
      <c r="B555" s="20">
        <f t="shared" si="1020"/>
        <v>814064</v>
      </c>
      <c r="C555" s="20">
        <v>246</v>
      </c>
      <c r="D555" s="20">
        <v>30077</v>
      </c>
      <c r="E555" s="20">
        <v>778401</v>
      </c>
      <c r="F555" s="20">
        <v>6651684</v>
      </c>
      <c r="G555" s="17">
        <f t="shared" si="1001"/>
        <v>678743.26530612237</v>
      </c>
      <c r="H555" s="20"/>
      <c r="I555" s="19">
        <f t="shared" si="1021"/>
        <v>3.022788879085987E-4</v>
      </c>
      <c r="J555" s="19">
        <f t="shared" si="1002"/>
        <v>0.12238464725624368</v>
      </c>
      <c r="K555" s="19">
        <f t="shared" si="1022"/>
        <v>1.6253845493601009E-3</v>
      </c>
      <c r="L555" s="20">
        <v>5586</v>
      </c>
      <c r="M555" s="19">
        <f t="shared" si="1003"/>
        <v>3.694672654729849E-2</v>
      </c>
      <c r="N555" s="19">
        <f t="shared" si="1004"/>
        <v>0.95619140509837064</v>
      </c>
      <c r="O555" s="20">
        <v>2212</v>
      </c>
      <c r="P555" s="28">
        <f t="shared" si="1023"/>
        <v>10794</v>
      </c>
      <c r="Q555" s="29">
        <f t="shared" si="1005"/>
        <v>2.2790439132851583E-2</v>
      </c>
      <c r="R555" s="20">
        <f t="shared" ref="R555:S555" si="1028">D555-D554</f>
        <v>3</v>
      </c>
      <c r="S555" s="20">
        <f t="shared" si="1028"/>
        <v>143</v>
      </c>
      <c r="T555" s="20">
        <v>208</v>
      </c>
      <c r="U555" s="20">
        <v>26</v>
      </c>
      <c r="V555" s="19">
        <f t="shared" si="1007"/>
        <v>6.8618683543308634E-3</v>
      </c>
      <c r="W555" s="20">
        <f t="shared" ref="W555:X555" si="1029">T555-T554</f>
        <v>-2</v>
      </c>
      <c r="X555" s="20">
        <f t="shared" si="1029"/>
        <v>2</v>
      </c>
      <c r="Y555" s="19">
        <f t="shared" si="1009"/>
        <v>3.7235947010383103E-2</v>
      </c>
      <c r="Z555" s="19">
        <f t="shared" si="1010"/>
        <v>0.125</v>
      </c>
      <c r="AA555" s="21">
        <f t="shared" si="1011"/>
        <v>1.2839195979899498</v>
      </c>
      <c r="AB555" s="26">
        <f t="shared" si="1012"/>
        <v>1.4173500753703465</v>
      </c>
      <c r="AC555" s="23">
        <f t="shared" si="1013"/>
        <v>219</v>
      </c>
      <c r="AD555" s="23">
        <f t="shared" si="1014"/>
        <v>2.5714285714285716</v>
      </c>
      <c r="AE555" s="23">
        <f t="shared" si="1015"/>
        <v>9638</v>
      </c>
      <c r="AF555" s="25">
        <f t="shared" si="1016"/>
        <v>2.2327911182672584E-2</v>
      </c>
      <c r="AG555" s="20">
        <v>5825831</v>
      </c>
      <c r="AH555" s="21">
        <f t="shared" si="1026"/>
        <v>4577</v>
      </c>
      <c r="AI555" s="21">
        <f t="shared" si="1017"/>
        <v>10764.2</v>
      </c>
      <c r="AJ555" s="20">
        <v>5530279</v>
      </c>
      <c r="AK555" s="20">
        <f t="shared" si="1027"/>
        <v>6076</v>
      </c>
      <c r="AL555" s="21">
        <f t="shared" si="1018"/>
        <v>4229.8</v>
      </c>
      <c r="AM555" s="26">
        <f t="shared" si="1019"/>
        <v>107.85714285714286</v>
      </c>
    </row>
    <row r="556" spans="1:39" ht="16">
      <c r="A556" s="30">
        <v>44448</v>
      </c>
      <c r="B556" s="20">
        <f t="shared" si="1020"/>
        <v>814409</v>
      </c>
      <c r="C556" s="20">
        <v>345</v>
      </c>
      <c r="D556" s="20">
        <v>30080</v>
      </c>
      <c r="E556" s="20">
        <v>778531</v>
      </c>
      <c r="F556" s="20">
        <v>6664898</v>
      </c>
      <c r="G556" s="17">
        <f t="shared" si="1001"/>
        <v>680091.63265306118</v>
      </c>
      <c r="H556" s="20"/>
      <c r="I556" s="19">
        <f t="shared" si="1021"/>
        <v>4.2379960297961832E-4</v>
      </c>
      <c r="J556" s="19">
        <f t="shared" si="1002"/>
        <v>0.12219376800665216</v>
      </c>
      <c r="K556" s="19">
        <f t="shared" si="1022"/>
        <v>1.9865646052939375E-3</v>
      </c>
      <c r="L556" s="20">
        <v>5798</v>
      </c>
      <c r="M556" s="19">
        <f t="shared" si="1003"/>
        <v>3.6934758825111214E-2</v>
      </c>
      <c r="N556" s="19">
        <f t="shared" si="1004"/>
        <v>0.95594596818060706</v>
      </c>
      <c r="O556" s="20">
        <v>2563</v>
      </c>
      <c r="P556" s="28">
        <f t="shared" si="1023"/>
        <v>13214</v>
      </c>
      <c r="Q556" s="29">
        <f t="shared" si="1005"/>
        <v>2.610867261994854E-2</v>
      </c>
      <c r="R556" s="20">
        <f t="shared" ref="R556:S556" si="1030">D556-D555</f>
        <v>3</v>
      </c>
      <c r="S556" s="20">
        <f t="shared" si="1030"/>
        <v>130</v>
      </c>
      <c r="T556" s="20">
        <v>215</v>
      </c>
      <c r="U556" s="20">
        <v>26</v>
      </c>
      <c r="V556" s="19">
        <f t="shared" si="1007"/>
        <v>7.1192729942817431E-3</v>
      </c>
      <c r="W556" s="20">
        <f t="shared" ref="W556:X556" si="1031">T556-T555</f>
        <v>7</v>
      </c>
      <c r="X556" s="20">
        <f t="shared" si="1031"/>
        <v>0</v>
      </c>
      <c r="Y556" s="19">
        <f t="shared" si="1009"/>
        <v>3.7081752328389096E-2</v>
      </c>
      <c r="Z556" s="19">
        <f t="shared" si="1010"/>
        <v>0.12093023255813953</v>
      </c>
      <c r="AA556" s="21">
        <f t="shared" si="1011"/>
        <v>1.2664576802507836</v>
      </c>
      <c r="AB556" s="26">
        <f t="shared" si="1012"/>
        <v>1.3239024809857205</v>
      </c>
      <c r="AC556" s="23">
        <f t="shared" si="1013"/>
        <v>230.85714285714286</v>
      </c>
      <c r="AD556" s="23">
        <f t="shared" si="1014"/>
        <v>2.8571428571428572</v>
      </c>
      <c r="AE556" s="23">
        <f t="shared" si="1015"/>
        <v>9961.2857142857138</v>
      </c>
      <c r="AF556" s="25">
        <f t="shared" si="1016"/>
        <v>2.2764694560648228E-2</v>
      </c>
      <c r="AG556" s="20">
        <v>5830217</v>
      </c>
      <c r="AH556" s="21">
        <f t="shared" si="1026"/>
        <v>4386</v>
      </c>
      <c r="AI556" s="21">
        <f t="shared" si="1017"/>
        <v>9819.2000000000007</v>
      </c>
      <c r="AJ556" s="20">
        <v>5535463</v>
      </c>
      <c r="AK556" s="20">
        <f t="shared" si="1027"/>
        <v>5184</v>
      </c>
      <c r="AL556" s="21">
        <f t="shared" si="1018"/>
        <v>4957</v>
      </c>
      <c r="AM556" s="26">
        <f t="shared" si="1019"/>
        <v>88.857142857142861</v>
      </c>
    </row>
    <row r="557" spans="1:39" ht="16">
      <c r="A557" s="30">
        <v>44449</v>
      </c>
      <c r="B557" s="20">
        <f t="shared" si="1020"/>
        <v>814732</v>
      </c>
      <c r="C557" s="20">
        <v>323</v>
      </c>
      <c r="D557" s="20">
        <v>30086</v>
      </c>
      <c r="E557" s="20">
        <v>778640</v>
      </c>
      <c r="F557" s="20">
        <v>6679227</v>
      </c>
      <c r="G557" s="17">
        <f t="shared" si="1001"/>
        <v>681553.77551020402</v>
      </c>
      <c r="H557" s="20"/>
      <c r="I557" s="19">
        <f t="shared" si="1021"/>
        <v>3.9660661903294288E-4</v>
      </c>
      <c r="J557" s="19">
        <f t="shared" si="1002"/>
        <v>0.12197998361187605</v>
      </c>
      <c r="K557" s="19">
        <f t="shared" si="1022"/>
        <v>2.1499203738751891E-3</v>
      </c>
      <c r="L557" s="20">
        <v>6006</v>
      </c>
      <c r="M557" s="19">
        <f t="shared" si="1003"/>
        <v>3.6927480447558218E-2</v>
      </c>
      <c r="N557" s="19">
        <f t="shared" si="1004"/>
        <v>0.95570077031465561</v>
      </c>
      <c r="O557" s="20">
        <v>2868</v>
      </c>
      <c r="P557" s="28">
        <f t="shared" si="1023"/>
        <v>14329</v>
      </c>
      <c r="Q557" s="29">
        <f t="shared" si="1005"/>
        <v>2.2541698653081164E-2</v>
      </c>
      <c r="R557" s="20">
        <f t="shared" ref="R557:S557" si="1032">D557-D556</f>
        <v>6</v>
      </c>
      <c r="S557" s="20">
        <f t="shared" si="1032"/>
        <v>109</v>
      </c>
      <c r="T557" s="20">
        <v>220</v>
      </c>
      <c r="U557" s="20">
        <v>30</v>
      </c>
      <c r="V557" s="19">
        <f t="shared" si="1007"/>
        <v>7.3717492377861678E-3</v>
      </c>
      <c r="W557" s="20">
        <f t="shared" ref="W557:X557" si="1033">T557-T556</f>
        <v>5</v>
      </c>
      <c r="X557" s="20">
        <f t="shared" si="1033"/>
        <v>4</v>
      </c>
      <c r="Y557" s="19">
        <f t="shared" si="1009"/>
        <v>3.6630036630036632E-2</v>
      </c>
      <c r="Z557" s="19">
        <f t="shared" si="1010"/>
        <v>0.13636363636363635</v>
      </c>
      <c r="AA557" s="21">
        <f t="shared" si="1011"/>
        <v>1.2683658170914542</v>
      </c>
      <c r="AB557" s="26">
        <f t="shared" si="1012"/>
        <v>1.2891432119715789</v>
      </c>
      <c r="AC557" s="23">
        <f t="shared" si="1013"/>
        <v>241.71428571428572</v>
      </c>
      <c r="AD557" s="23">
        <f t="shared" si="1014"/>
        <v>3.5714285714285716</v>
      </c>
      <c r="AE557" s="23">
        <f t="shared" si="1015"/>
        <v>10453.714285714286</v>
      </c>
      <c r="AF557" s="25">
        <f t="shared" si="1016"/>
        <v>2.2733427601317757E-2</v>
      </c>
      <c r="AG557" s="20">
        <v>5834961</v>
      </c>
      <c r="AH557" s="21">
        <f t="shared" si="1026"/>
        <v>4744</v>
      </c>
      <c r="AI557" s="21">
        <f t="shared" si="1017"/>
        <v>7075.4</v>
      </c>
      <c r="AJ557" s="20">
        <v>5541598</v>
      </c>
      <c r="AK557" s="20">
        <f t="shared" si="1027"/>
        <v>6135</v>
      </c>
      <c r="AL557" s="21">
        <f t="shared" si="1018"/>
        <v>5896</v>
      </c>
      <c r="AM557" s="26">
        <f t="shared" si="1019"/>
        <v>93.142857142857139</v>
      </c>
    </row>
    <row r="558" spans="1:39" ht="13">
      <c r="A558" s="30">
        <v>44450</v>
      </c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8"/>
      <c r="Q558" s="28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</row>
    <row r="559" spans="1:39" ht="13">
      <c r="A559" s="30">
        <v>44451</v>
      </c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8"/>
      <c r="Q559" s="28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</row>
    <row r="560" spans="1:39" ht="16">
      <c r="A560" s="30">
        <v>44452</v>
      </c>
      <c r="B560" s="20">
        <f>B557+C560</f>
        <v>815605</v>
      </c>
      <c r="C560" s="20">
        <v>873</v>
      </c>
      <c r="D560" s="20">
        <v>30098</v>
      </c>
      <c r="E560" s="20">
        <v>779005</v>
      </c>
      <c r="F560" s="20">
        <v>6715858</v>
      </c>
      <c r="G560" s="17">
        <f t="shared" ref="G560:G564" si="1034">F560/9.8</f>
        <v>685291.63265306118</v>
      </c>
      <c r="H560" s="20"/>
      <c r="I560" s="19">
        <f>(B560-B557)/B557</f>
        <v>1.0715179961017856E-3</v>
      </c>
      <c r="J560" s="19">
        <f t="shared" ref="J560:J564" si="1035">B560/F560</f>
        <v>0.12144464638769908</v>
      </c>
      <c r="K560" s="19">
        <f>(F560-F557)/F557</f>
        <v>5.4843172720436062E-3</v>
      </c>
      <c r="L560" s="20">
        <v>6502</v>
      </c>
      <c r="M560" s="19">
        <f t="shared" ref="M560:M564" si="1036">D560/B560</f>
        <v>3.690266734509965E-2</v>
      </c>
      <c r="N560" s="19">
        <f t="shared" ref="N560:N564" si="1037">E560/B560</f>
        <v>0.95512533640671649</v>
      </c>
      <c r="O560" s="20">
        <v>2630</v>
      </c>
      <c r="P560" s="28">
        <f>F560-F557</f>
        <v>36631</v>
      </c>
      <c r="Q560" s="29">
        <f t="shared" ref="Q560:Q564" si="1038">C560/P560</f>
        <v>2.3832273211214543E-2</v>
      </c>
      <c r="R560" s="20">
        <f t="shared" ref="R560:S560" si="1039">D560-D557</f>
        <v>12</v>
      </c>
      <c r="S560" s="20">
        <f t="shared" si="1039"/>
        <v>365</v>
      </c>
      <c r="T560" s="20">
        <v>266</v>
      </c>
      <c r="U560" s="20">
        <v>34</v>
      </c>
      <c r="V560" s="19">
        <f t="shared" ref="V560:V564" si="1040">L560/B560</f>
        <v>7.9719962481838644E-3</v>
      </c>
      <c r="W560" s="20">
        <f t="shared" ref="W560:X560" si="1041">T560-T557</f>
        <v>46</v>
      </c>
      <c r="X560" s="20">
        <f t="shared" si="1041"/>
        <v>4</v>
      </c>
      <c r="Y560" s="19">
        <f t="shared" ref="Y560:Y564" si="1042">T560/L560</f>
        <v>4.091048908028299E-2</v>
      </c>
      <c r="Z560" s="19">
        <f t="shared" ref="Z560:Z564" si="1043">U560/T560</f>
        <v>0.12781954887218044</v>
      </c>
      <c r="AA560" s="21">
        <f t="shared" ref="AA560:AA564" si="1044">(C554+C555+C556+C557+C558+C559+C560)/(C547+C548+C549+C550+C551+C552+C553)</f>
        <v>1.3121149897330595</v>
      </c>
      <c r="AB560" s="26">
        <f t="shared" ref="AB560:AB564" si="1045">SUM(AA554:AA560)/5</f>
        <v>1.2873709115456773</v>
      </c>
      <c r="AC560" s="23">
        <f t="shared" ref="AC560:AC564" si="1046">SUM(C554:C560)/7</f>
        <v>273.85714285714283</v>
      </c>
      <c r="AD560" s="23">
        <f t="shared" ref="AD560:AD564" si="1047">SUM(R554:R560)/7</f>
        <v>4</v>
      </c>
      <c r="AE560" s="23">
        <f t="shared" ref="AE560:AE564" si="1048">SUM(P554:P560)/7</f>
        <v>11681.285714285714</v>
      </c>
      <c r="AF560" s="25">
        <f t="shared" ref="AF560:AF564" si="1049">SUM(Q554:Q560)/5</f>
        <v>2.2877583934123476E-2</v>
      </c>
      <c r="AG560" s="20">
        <v>5840588</v>
      </c>
      <c r="AH560" s="21">
        <f>AG560-AG557</f>
        <v>5627</v>
      </c>
      <c r="AI560" s="21">
        <f t="shared" ref="AI560:AI564" si="1050">(SUM(AH554:AH560))/5</f>
        <v>4621.3999999999996</v>
      </c>
      <c r="AJ560" s="20">
        <v>5545538</v>
      </c>
      <c r="AK560" s="20">
        <f>AJ560-AJ557</f>
        <v>3940</v>
      </c>
      <c r="AL560" s="21">
        <f t="shared" ref="AL560:AL564" si="1051">(SUM(AK554:AK560))/5</f>
        <v>5140</v>
      </c>
      <c r="AM560" s="26">
        <f t="shared" ref="AM560:AM564" si="1052">SUM(S554:S560)/7</f>
        <v>109.85714285714286</v>
      </c>
    </row>
    <row r="561" spans="1:39" ht="16">
      <c r="A561" s="30">
        <v>44453</v>
      </c>
      <c r="B561" s="20">
        <f t="shared" ref="B561:B564" si="1053">B560+C561</f>
        <v>815851</v>
      </c>
      <c r="C561" s="20">
        <v>246</v>
      </c>
      <c r="D561" s="20">
        <v>30102</v>
      </c>
      <c r="E561" s="20">
        <v>779114</v>
      </c>
      <c r="F561" s="20">
        <v>6724821</v>
      </c>
      <c r="G561" s="17">
        <f t="shared" si="1034"/>
        <v>686206.22448979586</v>
      </c>
      <c r="H561" s="20"/>
      <c r="I561" s="19">
        <f t="shared" ref="I561:I564" si="1054">(B561-B560)/B560</f>
        <v>3.0161659136469245E-4</v>
      </c>
      <c r="J561" s="19">
        <f t="shared" si="1035"/>
        <v>0.12131936299865825</v>
      </c>
      <c r="K561" s="19">
        <f t="shared" ref="K561:K564" si="1055">(F561-F560)/F560</f>
        <v>1.3346023694961984E-3</v>
      </c>
      <c r="L561" s="20">
        <v>6635</v>
      </c>
      <c r="M561" s="19">
        <f t="shared" si="1036"/>
        <v>3.689644310051713E-2</v>
      </c>
      <c r="N561" s="19">
        <f t="shared" si="1037"/>
        <v>0.95497094444941544</v>
      </c>
      <c r="O561" s="20">
        <v>2842</v>
      </c>
      <c r="P561" s="28">
        <f t="shared" ref="P561:P564" si="1056">F561-F560</f>
        <v>8963</v>
      </c>
      <c r="Q561" s="29">
        <f t="shared" si="1038"/>
        <v>2.7446167577819928E-2</v>
      </c>
      <c r="R561" s="20">
        <f t="shared" ref="R561:S561" si="1057">D561-D560</f>
        <v>4</v>
      </c>
      <c r="S561" s="20">
        <f t="shared" si="1057"/>
        <v>109</v>
      </c>
      <c r="T561" s="20">
        <v>300</v>
      </c>
      <c r="U561" s="20">
        <v>43</v>
      </c>
      <c r="V561" s="19">
        <f t="shared" si="1040"/>
        <v>8.1326124500674755E-3</v>
      </c>
      <c r="W561" s="20">
        <f t="shared" ref="W561:X561" si="1058">T561-T560</f>
        <v>34</v>
      </c>
      <c r="X561" s="20">
        <f t="shared" si="1058"/>
        <v>9</v>
      </c>
      <c r="Y561" s="19">
        <f t="shared" si="1042"/>
        <v>4.5214770158251698E-2</v>
      </c>
      <c r="Z561" s="19">
        <f t="shared" si="1043"/>
        <v>0.14333333333333334</v>
      </c>
      <c r="AA561" s="21">
        <f t="shared" si="1044"/>
        <v>1.3727211343686698</v>
      </c>
      <c r="AB561" s="26">
        <f t="shared" si="1045"/>
        <v>1.3007158438867834</v>
      </c>
      <c r="AC561" s="23">
        <f t="shared" si="1046"/>
        <v>290.42857142857144</v>
      </c>
      <c r="AD561" s="23">
        <f t="shared" si="1047"/>
        <v>4</v>
      </c>
      <c r="AE561" s="23">
        <f t="shared" si="1048"/>
        <v>11990.142857142857</v>
      </c>
      <c r="AF561" s="25">
        <f t="shared" si="1049"/>
        <v>2.4543850238983152E-2</v>
      </c>
      <c r="AG561" s="20">
        <v>5843502</v>
      </c>
      <c r="AH561" s="21">
        <f t="shared" ref="AH561:AH564" si="1059">AG561-AG560</f>
        <v>2914</v>
      </c>
      <c r="AI561" s="21">
        <f t="shared" si="1050"/>
        <v>4449.6000000000004</v>
      </c>
      <c r="AJ561" s="20">
        <v>5549383</v>
      </c>
      <c r="AK561" s="20">
        <f t="shared" ref="AK561:AK564" si="1060">AJ561-AJ560</f>
        <v>3845</v>
      </c>
      <c r="AL561" s="21">
        <f t="shared" si="1051"/>
        <v>5036</v>
      </c>
      <c r="AM561" s="26">
        <f t="shared" si="1052"/>
        <v>122.28571428571429</v>
      </c>
    </row>
    <row r="562" spans="1:39" ht="16">
      <c r="A562" s="30">
        <v>44454</v>
      </c>
      <c r="B562" s="20">
        <f t="shared" si="1053"/>
        <v>816222</v>
      </c>
      <c r="C562" s="20">
        <v>371</v>
      </c>
      <c r="D562" s="20">
        <v>30114</v>
      </c>
      <c r="E562" s="20">
        <v>779250</v>
      </c>
      <c r="F562" s="20">
        <v>6737713</v>
      </c>
      <c r="G562" s="17">
        <f t="shared" si="1034"/>
        <v>687521.73469387752</v>
      </c>
      <c r="H562" s="20"/>
      <c r="I562" s="19">
        <f t="shared" si="1054"/>
        <v>4.5473989735870889E-4</v>
      </c>
      <c r="J562" s="19">
        <f t="shared" si="1035"/>
        <v>0.12114229264440322</v>
      </c>
      <c r="K562" s="19">
        <f t="shared" si="1055"/>
        <v>1.9170770493370753E-3</v>
      </c>
      <c r="L562" s="20">
        <v>6858</v>
      </c>
      <c r="M562" s="19">
        <f t="shared" si="1036"/>
        <v>3.6894374324632266E-2</v>
      </c>
      <c r="N562" s="19">
        <f t="shared" si="1037"/>
        <v>0.95470349978314728</v>
      </c>
      <c r="O562" s="20">
        <v>3286</v>
      </c>
      <c r="P562" s="28">
        <f t="shared" si="1056"/>
        <v>12892</v>
      </c>
      <c r="Q562" s="29">
        <f t="shared" si="1038"/>
        <v>2.8777536456717344E-2</v>
      </c>
      <c r="R562" s="20">
        <f t="shared" ref="R562:S562" si="1061">D562-D561</f>
        <v>12</v>
      </c>
      <c r="S562" s="20">
        <f t="shared" si="1061"/>
        <v>136</v>
      </c>
      <c r="T562" s="20">
        <v>307</v>
      </c>
      <c r="U562" s="20">
        <v>40</v>
      </c>
      <c r="V562" s="19">
        <f t="shared" si="1040"/>
        <v>8.4021258922204987E-3</v>
      </c>
      <c r="W562" s="20">
        <f t="shared" ref="W562:X562" si="1062">T562-T561</f>
        <v>7</v>
      </c>
      <c r="X562" s="20">
        <f t="shared" si="1062"/>
        <v>-3</v>
      </c>
      <c r="Y562" s="19">
        <f t="shared" si="1042"/>
        <v>4.4765237678623504E-2</v>
      </c>
      <c r="Z562" s="19">
        <f t="shared" si="1043"/>
        <v>0.13029315960912052</v>
      </c>
      <c r="AA562" s="21">
        <f t="shared" si="1044"/>
        <v>1.4076973255055447</v>
      </c>
      <c r="AB562" s="26">
        <f t="shared" si="1045"/>
        <v>1.3254713893899024</v>
      </c>
      <c r="AC562" s="23">
        <f t="shared" si="1046"/>
        <v>308.28571428571428</v>
      </c>
      <c r="AD562" s="23">
        <f t="shared" si="1047"/>
        <v>5.2857142857142856</v>
      </c>
      <c r="AE562" s="23">
        <f t="shared" si="1048"/>
        <v>12289.857142857143</v>
      </c>
      <c r="AF562" s="25">
        <f t="shared" si="1049"/>
        <v>2.5741269703756304E-2</v>
      </c>
      <c r="AG562" s="20">
        <v>5847002</v>
      </c>
      <c r="AH562" s="21">
        <f t="shared" si="1059"/>
        <v>3500</v>
      </c>
      <c r="AI562" s="21">
        <f t="shared" si="1050"/>
        <v>4234.2</v>
      </c>
      <c r="AJ562" s="20">
        <v>5553346</v>
      </c>
      <c r="AK562" s="20">
        <f t="shared" si="1060"/>
        <v>3963</v>
      </c>
      <c r="AL562" s="21">
        <f t="shared" si="1051"/>
        <v>4613.3999999999996</v>
      </c>
      <c r="AM562" s="26">
        <f t="shared" si="1052"/>
        <v>121.28571428571429</v>
      </c>
    </row>
    <row r="563" spans="1:39" ht="16">
      <c r="A563" s="30">
        <v>44455</v>
      </c>
      <c r="B563" s="20">
        <f t="shared" si="1053"/>
        <v>816680</v>
      </c>
      <c r="C563" s="20">
        <v>458</v>
      </c>
      <c r="D563" s="20">
        <v>30118</v>
      </c>
      <c r="E563" s="20">
        <v>779433</v>
      </c>
      <c r="F563" s="20">
        <v>6753395</v>
      </c>
      <c r="G563" s="17">
        <f t="shared" si="1034"/>
        <v>689121.93877551018</v>
      </c>
      <c r="H563" s="20"/>
      <c r="I563" s="19">
        <f t="shared" si="1054"/>
        <v>5.611218516531042E-4</v>
      </c>
      <c r="J563" s="19">
        <f t="shared" si="1035"/>
        <v>0.12092880691859428</v>
      </c>
      <c r="K563" s="19">
        <f t="shared" si="1055"/>
        <v>2.3274959915923995E-3</v>
      </c>
      <c r="L563" s="20">
        <v>7129</v>
      </c>
      <c r="M563" s="19">
        <f t="shared" si="1036"/>
        <v>3.6878581574178379E-2</v>
      </c>
      <c r="N563" s="19">
        <f t="shared" si="1037"/>
        <v>0.95439217318900915</v>
      </c>
      <c r="O563" s="20">
        <v>3931</v>
      </c>
      <c r="P563" s="28">
        <f t="shared" si="1056"/>
        <v>15682</v>
      </c>
      <c r="Q563" s="29">
        <f t="shared" si="1038"/>
        <v>2.9205458487437826E-2</v>
      </c>
      <c r="R563" s="20">
        <f t="shared" ref="R563:S563" si="1063">D563-D562</f>
        <v>4</v>
      </c>
      <c r="S563" s="20">
        <f t="shared" si="1063"/>
        <v>183</v>
      </c>
      <c r="T563" s="20">
        <v>343</v>
      </c>
      <c r="U563" s="20">
        <v>40</v>
      </c>
      <c r="V563" s="19">
        <f t="shared" si="1040"/>
        <v>8.7292452368124603E-3</v>
      </c>
      <c r="W563" s="20">
        <f t="shared" ref="W563:X563" si="1064">T563-T562</f>
        <v>36</v>
      </c>
      <c r="X563" s="20">
        <f t="shared" si="1064"/>
        <v>0</v>
      </c>
      <c r="Y563" s="19">
        <f t="shared" si="1042"/>
        <v>4.8113339879365967E-2</v>
      </c>
      <c r="Z563" s="19">
        <f t="shared" si="1043"/>
        <v>0.11661807580174927</v>
      </c>
      <c r="AA563" s="21">
        <f t="shared" si="1044"/>
        <v>1.4053217821782178</v>
      </c>
      <c r="AB563" s="26">
        <f t="shared" si="1045"/>
        <v>1.3532442097753892</v>
      </c>
      <c r="AC563" s="23">
        <f t="shared" si="1046"/>
        <v>324.42857142857144</v>
      </c>
      <c r="AD563" s="23">
        <f t="shared" si="1047"/>
        <v>5.4285714285714288</v>
      </c>
      <c r="AE563" s="23">
        <f t="shared" si="1048"/>
        <v>12642.428571428571</v>
      </c>
      <c r="AF563" s="25">
        <f t="shared" si="1049"/>
        <v>2.6360626877254163E-2</v>
      </c>
      <c r="AG563" s="20">
        <v>5850887</v>
      </c>
      <c r="AH563" s="21">
        <f t="shared" si="1059"/>
        <v>3885</v>
      </c>
      <c r="AI563" s="21">
        <f t="shared" si="1050"/>
        <v>4134</v>
      </c>
      <c r="AJ563" s="20">
        <v>5558919</v>
      </c>
      <c r="AK563" s="20">
        <f t="shared" si="1060"/>
        <v>5573</v>
      </c>
      <c r="AL563" s="21">
        <f t="shared" si="1051"/>
        <v>4691.2</v>
      </c>
      <c r="AM563" s="26">
        <f t="shared" si="1052"/>
        <v>128.85714285714286</v>
      </c>
    </row>
    <row r="564" spans="1:39" ht="16">
      <c r="A564" s="30">
        <v>44456</v>
      </c>
      <c r="B564" s="20">
        <f t="shared" si="1053"/>
        <v>817159</v>
      </c>
      <c r="C564" s="20">
        <v>479</v>
      </c>
      <c r="D564" s="20">
        <v>30123</v>
      </c>
      <c r="E564" s="20">
        <v>779777</v>
      </c>
      <c r="F564" s="20">
        <v>6768975</v>
      </c>
      <c r="G564" s="17">
        <f t="shared" si="1034"/>
        <v>690711.73469387752</v>
      </c>
      <c r="H564" s="20"/>
      <c r="I564" s="19">
        <f t="shared" si="1054"/>
        <v>5.8652103639124256E-4</v>
      </c>
      <c r="J564" s="19">
        <f t="shared" si="1035"/>
        <v>0.12072123179654232</v>
      </c>
      <c r="K564" s="19">
        <f t="shared" si="1055"/>
        <v>2.3069878187193258E-3</v>
      </c>
      <c r="L564" s="20">
        <v>7259</v>
      </c>
      <c r="M564" s="19">
        <f t="shared" si="1036"/>
        <v>3.686308294958509E-2</v>
      </c>
      <c r="N564" s="19">
        <f t="shared" si="1037"/>
        <v>0.95425370093213191</v>
      </c>
      <c r="O564" s="20">
        <v>4605</v>
      </c>
      <c r="P564" s="28">
        <f t="shared" si="1056"/>
        <v>15580</v>
      </c>
      <c r="Q564" s="29">
        <f t="shared" si="1038"/>
        <v>3.074454428754814E-2</v>
      </c>
      <c r="R564" s="20">
        <f t="shared" ref="R564:S564" si="1065">D564-D563</f>
        <v>5</v>
      </c>
      <c r="S564" s="20">
        <f t="shared" si="1065"/>
        <v>344</v>
      </c>
      <c r="T564" s="20">
        <v>353</v>
      </c>
      <c r="U564" s="20">
        <v>41</v>
      </c>
      <c r="V564" s="19">
        <f t="shared" si="1040"/>
        <v>8.8832161182829782E-3</v>
      </c>
      <c r="W564" s="20">
        <f t="shared" ref="W564:X564" si="1066">T564-T563</f>
        <v>10</v>
      </c>
      <c r="X564" s="20">
        <f t="shared" si="1066"/>
        <v>1</v>
      </c>
      <c r="Y564" s="19">
        <f t="shared" si="1042"/>
        <v>4.8629287780686044E-2</v>
      </c>
      <c r="Z564" s="19">
        <f t="shared" si="1043"/>
        <v>0.11614730878186968</v>
      </c>
      <c r="AA564" s="21">
        <f t="shared" si="1044"/>
        <v>1.4343971631205674</v>
      </c>
      <c r="AB564" s="26">
        <f t="shared" si="1045"/>
        <v>1.386450478981212</v>
      </c>
      <c r="AC564" s="23">
        <f t="shared" si="1046"/>
        <v>346.71428571428572</v>
      </c>
      <c r="AD564" s="23">
        <f t="shared" si="1047"/>
        <v>5.2857142857142856</v>
      </c>
      <c r="AE564" s="23">
        <f t="shared" si="1048"/>
        <v>12821.142857142857</v>
      </c>
      <c r="AF564" s="25">
        <f t="shared" si="1049"/>
        <v>2.8001196004147556E-2</v>
      </c>
      <c r="AG564" s="20">
        <v>5855039</v>
      </c>
      <c r="AH564" s="21">
        <f t="shared" si="1059"/>
        <v>4152</v>
      </c>
      <c r="AI564" s="21">
        <f t="shared" si="1050"/>
        <v>4015.6</v>
      </c>
      <c r="AJ564" s="20">
        <v>5564586</v>
      </c>
      <c r="AK564" s="20">
        <f t="shared" si="1060"/>
        <v>5667</v>
      </c>
      <c r="AL564" s="21">
        <f t="shared" si="1051"/>
        <v>4597.6000000000004</v>
      </c>
      <c r="AM564" s="26">
        <f t="shared" si="1052"/>
        <v>162.42857142857142</v>
      </c>
    </row>
    <row r="565" spans="1:39" ht="13">
      <c r="A565" s="30">
        <v>44457</v>
      </c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8"/>
      <c r="Q565" s="28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</row>
    <row r="566" spans="1:39" ht="13">
      <c r="A566" s="30">
        <v>44458</v>
      </c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8"/>
      <c r="Q566" s="28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</row>
    <row r="567" spans="1:39" ht="16">
      <c r="A567" s="30">
        <v>44459</v>
      </c>
      <c r="B567" s="20">
        <f>B564+C567</f>
        <v>818231</v>
      </c>
      <c r="C567" s="20">
        <v>1072</v>
      </c>
      <c r="D567" s="20">
        <v>30136</v>
      </c>
      <c r="E567" s="20">
        <v>780465</v>
      </c>
      <c r="F567" s="20">
        <v>6805886</v>
      </c>
      <c r="G567" s="17">
        <f t="shared" ref="G567:G571" si="1067">F567/9.8</f>
        <v>694478.16326530604</v>
      </c>
      <c r="H567" s="20"/>
      <c r="I567" s="19">
        <f>(B567-B564)/B564</f>
        <v>1.3118621957293501E-3</v>
      </c>
      <c r="J567" s="19">
        <f t="shared" ref="J567:J571" si="1068">B567/F567</f>
        <v>0.12022402373474959</v>
      </c>
      <c r="K567" s="19">
        <f>(F567-F564)/F564</f>
        <v>5.4529673990522933E-3</v>
      </c>
      <c r="L567" s="20">
        <v>7630</v>
      </c>
      <c r="M567" s="19">
        <f t="shared" ref="M567:M571" si="1069">D567/B567</f>
        <v>3.6830674956094309E-2</v>
      </c>
      <c r="N567" s="19">
        <f t="shared" ref="N567:N571" si="1070">E567/B567</f>
        <v>0.95384433002416191</v>
      </c>
      <c r="O567" s="20">
        <v>4031</v>
      </c>
      <c r="P567" s="28">
        <f>F567-F564</f>
        <v>36911</v>
      </c>
      <c r="Q567" s="29">
        <f t="shared" ref="Q567:Q571" si="1071">C567/P567</f>
        <v>2.9042832759881877E-2</v>
      </c>
      <c r="R567" s="20">
        <f t="shared" ref="R567:S567" si="1072">D567-D564</f>
        <v>13</v>
      </c>
      <c r="S567" s="20">
        <f t="shared" si="1072"/>
        <v>688</v>
      </c>
      <c r="T567" s="20">
        <v>380</v>
      </c>
      <c r="U567" s="20">
        <v>45</v>
      </c>
      <c r="V567" s="19">
        <f t="shared" ref="V567:V571" si="1073">L567/B567</f>
        <v>9.3249950197438133E-3</v>
      </c>
      <c r="W567" s="20">
        <f t="shared" ref="W567:X567" si="1074">T567-T564</f>
        <v>27</v>
      </c>
      <c r="X567" s="20">
        <f t="shared" si="1074"/>
        <v>4</v>
      </c>
      <c r="Y567" s="19">
        <f t="shared" ref="Y567:Y571" si="1075">T567/L567</f>
        <v>4.9803407601572737E-2</v>
      </c>
      <c r="Z567" s="19">
        <f t="shared" ref="Z567:Z571" si="1076">U567/T567</f>
        <v>0.11842105263157894</v>
      </c>
      <c r="AA567" s="21">
        <f t="shared" ref="AA567:AA571" si="1077">(C561+C562+C563+C564+C565+C566+C567)/(C554+C555+C556+C557+C558+C559+C560)</f>
        <v>1.369848721961398</v>
      </c>
      <c r="AB567" s="26">
        <f t="shared" ref="AB567:AB571" si="1078">SUM(AA561:AA567)/5</f>
        <v>1.3979972254268795</v>
      </c>
      <c r="AC567" s="23">
        <f t="shared" ref="AC567:AC571" si="1079">SUM(C561:C567)/7</f>
        <v>375.14285714285717</v>
      </c>
      <c r="AD567" s="23">
        <f t="shared" ref="AD567:AD571" si="1080">SUM(R561:R567)/7</f>
        <v>5.4285714285714288</v>
      </c>
      <c r="AE567" s="23">
        <f t="shared" ref="AE567:AE571" si="1081">SUM(P561:P567)/7</f>
        <v>12861.142857142857</v>
      </c>
      <c r="AF567" s="25">
        <f t="shared" ref="AF567:AF571" si="1082">SUM(Q561:Q567)/5</f>
        <v>2.9043307913881024E-2</v>
      </c>
      <c r="AG567" s="20">
        <v>5859814</v>
      </c>
      <c r="AH567" s="21">
        <f>AG567-AG564</f>
        <v>4775</v>
      </c>
      <c r="AI567" s="21">
        <f t="shared" ref="AI567:AI571" si="1083">(SUM(AH561:AH567))/5</f>
        <v>3845.2</v>
      </c>
      <c r="AJ567" s="20">
        <v>5571043</v>
      </c>
      <c r="AK567" s="20">
        <f>AJ567-AJ564</f>
        <v>6457</v>
      </c>
      <c r="AL567" s="21">
        <f t="shared" ref="AL567:AL571" si="1084">(SUM(AK561:AK567))/5</f>
        <v>5101</v>
      </c>
      <c r="AM567" s="26">
        <f t="shared" ref="AM567:AM571" si="1085">SUM(S561:S567)/7</f>
        <v>208.57142857142858</v>
      </c>
    </row>
    <row r="568" spans="1:39" ht="16">
      <c r="A568" s="30">
        <v>44460</v>
      </c>
      <c r="B568" s="20">
        <f t="shared" ref="B568:B571" si="1086">B567+C568</f>
        <v>818520</v>
      </c>
      <c r="C568" s="20">
        <v>289</v>
      </c>
      <c r="D568" s="20">
        <v>30141</v>
      </c>
      <c r="E568" s="20">
        <v>780740</v>
      </c>
      <c r="F568" s="20">
        <v>6815778</v>
      </c>
      <c r="G568" s="17">
        <f t="shared" si="1067"/>
        <v>695487.55102040817</v>
      </c>
      <c r="H568" s="20"/>
      <c r="I568" s="19">
        <f t="shared" ref="I568:I571" si="1087">(B568-B567)/B567</f>
        <v>3.5320099091821258E-4</v>
      </c>
      <c r="J568" s="19">
        <f t="shared" si="1068"/>
        <v>0.1200919396142304</v>
      </c>
      <c r="K568" s="19">
        <f t="shared" ref="K568:K571" si="1088">(F568-F567)/F567</f>
        <v>1.4534477950409396E-3</v>
      </c>
      <c r="L568" s="20">
        <v>7639</v>
      </c>
      <c r="M568" s="19">
        <f t="shared" si="1069"/>
        <v>3.6823779504471486E-2</v>
      </c>
      <c r="N568" s="19">
        <f t="shared" si="1070"/>
        <v>0.95384352245516302</v>
      </c>
      <c r="O568" s="20">
        <v>4302</v>
      </c>
      <c r="P568" s="28">
        <f t="shared" ref="P568:P571" si="1089">F568-F567</f>
        <v>9892</v>
      </c>
      <c r="Q568" s="29">
        <f t="shared" si="1071"/>
        <v>2.9215527699150829E-2</v>
      </c>
      <c r="R568" s="20">
        <f t="shared" ref="R568:S568" si="1090">D568-D567</f>
        <v>5</v>
      </c>
      <c r="S568" s="20">
        <f t="shared" si="1090"/>
        <v>275</v>
      </c>
      <c r="T568" s="20">
        <v>401</v>
      </c>
      <c r="U568" s="20">
        <v>45</v>
      </c>
      <c r="V568" s="19">
        <f t="shared" si="1073"/>
        <v>9.3326980403655377E-3</v>
      </c>
      <c r="W568" s="20">
        <f t="shared" ref="W568:X568" si="1091">T568-T567</f>
        <v>21</v>
      </c>
      <c r="X568" s="20">
        <f t="shared" si="1091"/>
        <v>0</v>
      </c>
      <c r="Y568" s="19">
        <f t="shared" si="1075"/>
        <v>5.2493781908626781E-2</v>
      </c>
      <c r="Z568" s="19">
        <f t="shared" si="1076"/>
        <v>0.11221945137157108</v>
      </c>
      <c r="AA568" s="21">
        <f t="shared" si="1077"/>
        <v>1.3128381701918348</v>
      </c>
      <c r="AB568" s="26">
        <f t="shared" si="1078"/>
        <v>1.3860206325915125</v>
      </c>
      <c r="AC568" s="23">
        <f t="shared" si="1079"/>
        <v>381.28571428571428</v>
      </c>
      <c r="AD568" s="23">
        <f t="shared" si="1080"/>
        <v>5.5714285714285712</v>
      </c>
      <c r="AE568" s="23">
        <f t="shared" si="1081"/>
        <v>12993.857142857143</v>
      </c>
      <c r="AF568" s="25">
        <f t="shared" si="1082"/>
        <v>2.9397179938147205E-2</v>
      </c>
      <c r="AG568" s="20">
        <v>5862458</v>
      </c>
      <c r="AH568" s="21">
        <f t="shared" ref="AH568:AH571" si="1092">AG568-AG567</f>
        <v>2644</v>
      </c>
      <c r="AI568" s="21">
        <f t="shared" si="1083"/>
        <v>3791.2</v>
      </c>
      <c r="AJ568" s="20">
        <v>5579231</v>
      </c>
      <c r="AK568" s="20">
        <f t="shared" ref="AK568:AK571" si="1093">AJ568-AJ567</f>
        <v>8188</v>
      </c>
      <c r="AL568" s="21">
        <f t="shared" si="1084"/>
        <v>5969.6</v>
      </c>
      <c r="AM568" s="26">
        <f t="shared" si="1085"/>
        <v>232.28571428571428</v>
      </c>
    </row>
    <row r="569" spans="1:39" ht="16">
      <c r="A569" s="30">
        <v>44461</v>
      </c>
      <c r="B569" s="20">
        <f t="shared" si="1086"/>
        <v>819021</v>
      </c>
      <c r="C569" s="20">
        <v>501</v>
      </c>
      <c r="D569" s="20">
        <v>30143</v>
      </c>
      <c r="E569" s="20">
        <v>781138</v>
      </c>
      <c r="F569" s="20">
        <v>6829896</v>
      </c>
      <c r="G569" s="17">
        <f t="shared" si="1067"/>
        <v>696928.16326530604</v>
      </c>
      <c r="H569" s="20"/>
      <c r="I569" s="19">
        <f t="shared" si="1087"/>
        <v>6.1208034012608125E-4</v>
      </c>
      <c r="J569" s="19">
        <f t="shared" si="1068"/>
        <v>0.11991705290973684</v>
      </c>
      <c r="K569" s="19">
        <f t="shared" si="1088"/>
        <v>2.07137028230673E-3</v>
      </c>
      <c r="L569" s="20">
        <v>7740</v>
      </c>
      <c r="M569" s="19">
        <f t="shared" si="1069"/>
        <v>3.6803696120123901E-2</v>
      </c>
      <c r="N569" s="19">
        <f t="shared" si="1070"/>
        <v>0.95374599674489424</v>
      </c>
      <c r="O569" s="20">
        <v>4825</v>
      </c>
      <c r="P569" s="28">
        <f t="shared" si="1089"/>
        <v>14118</v>
      </c>
      <c r="Q569" s="29">
        <f t="shared" si="1071"/>
        <v>3.5486612834679132E-2</v>
      </c>
      <c r="R569" s="20">
        <f t="shared" ref="R569:S569" si="1094">D569-D568</f>
        <v>2</v>
      </c>
      <c r="S569" s="20">
        <f t="shared" si="1094"/>
        <v>398</v>
      </c>
      <c r="T569" s="20">
        <v>406</v>
      </c>
      <c r="U569" s="20">
        <v>46</v>
      </c>
      <c r="V569" s="19">
        <f t="shared" si="1073"/>
        <v>9.4503071349818866E-3</v>
      </c>
      <c r="W569" s="20">
        <f t="shared" ref="W569:X569" si="1095">T569-T568</f>
        <v>5</v>
      </c>
      <c r="X569" s="20">
        <f t="shared" si="1095"/>
        <v>1</v>
      </c>
      <c r="Y569" s="19">
        <f t="shared" si="1075"/>
        <v>5.2454780361757103E-2</v>
      </c>
      <c r="Z569" s="19">
        <f t="shared" si="1076"/>
        <v>0.11330049261083744</v>
      </c>
      <c r="AA569" s="21">
        <f t="shared" si="1077"/>
        <v>1.2970342910101946</v>
      </c>
      <c r="AB569" s="26">
        <f t="shared" si="1078"/>
        <v>1.3638880256924426</v>
      </c>
      <c r="AC569" s="23">
        <f t="shared" si="1079"/>
        <v>399.85714285714283</v>
      </c>
      <c r="AD569" s="23">
        <f t="shared" si="1080"/>
        <v>4.1428571428571432</v>
      </c>
      <c r="AE569" s="23">
        <f t="shared" si="1081"/>
        <v>13169</v>
      </c>
      <c r="AF569" s="25">
        <f t="shared" si="1082"/>
        <v>3.0738995213739562E-2</v>
      </c>
      <c r="AG569" s="20">
        <v>5865865</v>
      </c>
      <c r="AH569" s="21">
        <f t="shared" si="1092"/>
        <v>3407</v>
      </c>
      <c r="AI569" s="21">
        <f t="shared" si="1083"/>
        <v>3772.6</v>
      </c>
      <c r="AJ569" s="20">
        <v>5591911</v>
      </c>
      <c r="AK569" s="20">
        <f t="shared" si="1093"/>
        <v>12680</v>
      </c>
      <c r="AL569" s="21">
        <f t="shared" si="1084"/>
        <v>7713</v>
      </c>
      <c r="AM569" s="26">
        <f t="shared" si="1085"/>
        <v>269.71428571428572</v>
      </c>
    </row>
    <row r="570" spans="1:39" ht="16">
      <c r="A570" s="30">
        <v>44462</v>
      </c>
      <c r="B570" s="20">
        <f t="shared" si="1086"/>
        <v>819547</v>
      </c>
      <c r="C570" s="20">
        <v>526</v>
      </c>
      <c r="D570" s="20">
        <v>30145</v>
      </c>
      <c r="E570" s="20">
        <v>781442</v>
      </c>
      <c r="F570" s="20">
        <v>6844088</v>
      </c>
      <c r="G570" s="17">
        <f t="shared" si="1067"/>
        <v>698376.32653061219</v>
      </c>
      <c r="H570" s="20"/>
      <c r="I570" s="19">
        <f t="shared" si="1087"/>
        <v>6.422301748062626E-4</v>
      </c>
      <c r="J570" s="19">
        <f t="shared" si="1068"/>
        <v>0.11974524582384095</v>
      </c>
      <c r="K570" s="19">
        <f t="shared" si="1088"/>
        <v>2.077923294878868E-3</v>
      </c>
      <c r="L570" s="20">
        <v>7960</v>
      </c>
      <c r="M570" s="19">
        <f t="shared" si="1069"/>
        <v>3.67825152187733E-2</v>
      </c>
      <c r="N570" s="19">
        <f t="shared" si="1070"/>
        <v>0.95350480204307986</v>
      </c>
      <c r="O570" s="20">
        <v>5495</v>
      </c>
      <c r="P570" s="28">
        <f t="shared" si="1089"/>
        <v>14192</v>
      </c>
      <c r="Q570" s="29">
        <f t="shared" si="1071"/>
        <v>3.7063134160090189E-2</v>
      </c>
      <c r="R570" s="20">
        <f t="shared" ref="R570:S570" si="1096">D570-D569</f>
        <v>2</v>
      </c>
      <c r="S570" s="20">
        <f t="shared" si="1096"/>
        <v>304</v>
      </c>
      <c r="T570" s="20">
        <v>411</v>
      </c>
      <c r="U570" s="20">
        <v>48</v>
      </c>
      <c r="V570" s="19">
        <f t="shared" si="1073"/>
        <v>9.7126827381468061E-3</v>
      </c>
      <c r="W570" s="20">
        <f t="shared" ref="W570:X570" si="1097">T570-T569</f>
        <v>5</v>
      </c>
      <c r="X570" s="20">
        <f t="shared" si="1097"/>
        <v>2</v>
      </c>
      <c r="Y570" s="19">
        <f t="shared" si="1075"/>
        <v>5.1633165829145726E-2</v>
      </c>
      <c r="Z570" s="19">
        <f t="shared" si="1076"/>
        <v>0.11678832116788321</v>
      </c>
      <c r="AA570" s="21">
        <f t="shared" si="1077"/>
        <v>1.2624394539850285</v>
      </c>
      <c r="AB570" s="26">
        <f t="shared" si="1078"/>
        <v>1.3353115600538046</v>
      </c>
      <c r="AC570" s="23">
        <f t="shared" si="1079"/>
        <v>409.57142857142856</v>
      </c>
      <c r="AD570" s="23">
        <f t="shared" si="1080"/>
        <v>3.8571428571428572</v>
      </c>
      <c r="AE570" s="23">
        <f t="shared" si="1081"/>
        <v>12956.142857142857</v>
      </c>
      <c r="AF570" s="25">
        <f t="shared" si="1082"/>
        <v>3.2310530348270035E-2</v>
      </c>
      <c r="AG570" s="20">
        <v>5869259</v>
      </c>
      <c r="AH570" s="21">
        <f t="shared" si="1092"/>
        <v>3394</v>
      </c>
      <c r="AI570" s="21">
        <f t="shared" si="1083"/>
        <v>3674.4</v>
      </c>
      <c r="AJ570" s="20">
        <v>5600425</v>
      </c>
      <c r="AK570" s="20">
        <f t="shared" si="1093"/>
        <v>8514</v>
      </c>
      <c r="AL570" s="21">
        <f t="shared" si="1084"/>
        <v>8301.2000000000007</v>
      </c>
      <c r="AM570" s="26">
        <f t="shared" si="1085"/>
        <v>287</v>
      </c>
    </row>
    <row r="571" spans="1:39" ht="16">
      <c r="A571" s="30">
        <v>44463</v>
      </c>
      <c r="B571" s="20">
        <f t="shared" si="1086"/>
        <v>820078</v>
      </c>
      <c r="C571" s="20">
        <v>531</v>
      </c>
      <c r="D571" s="20">
        <v>30151</v>
      </c>
      <c r="E571" s="20">
        <v>781794</v>
      </c>
      <c r="F571" s="20">
        <v>6858523</v>
      </c>
      <c r="G571" s="17">
        <f t="shared" si="1067"/>
        <v>699849.28571428568</v>
      </c>
      <c r="H571" s="20"/>
      <c r="I571" s="19">
        <f t="shared" si="1087"/>
        <v>6.4791891130099922E-4</v>
      </c>
      <c r="J571" s="19">
        <f t="shared" si="1068"/>
        <v>0.11957064225052537</v>
      </c>
      <c r="K571" s="19">
        <f t="shared" si="1088"/>
        <v>2.1091195788248192E-3</v>
      </c>
      <c r="L571" s="20">
        <v>8133</v>
      </c>
      <c r="M571" s="19">
        <f t="shared" si="1069"/>
        <v>3.6766014940042287E-2</v>
      </c>
      <c r="N571" s="19">
        <f t="shared" si="1070"/>
        <v>0.95331663573464964</v>
      </c>
      <c r="O571" s="20">
        <v>5839</v>
      </c>
      <c r="P571" s="28">
        <f t="shared" si="1089"/>
        <v>14435</v>
      </c>
      <c r="Q571" s="29">
        <f t="shared" si="1071"/>
        <v>3.6785590578455145E-2</v>
      </c>
      <c r="R571" s="20">
        <f t="shared" ref="R571:S571" si="1098">D571-D570</f>
        <v>6</v>
      </c>
      <c r="S571" s="20">
        <f t="shared" si="1098"/>
        <v>352</v>
      </c>
      <c r="T571" s="20">
        <v>438</v>
      </c>
      <c r="U571" s="20">
        <v>54</v>
      </c>
      <c r="V571" s="19">
        <f t="shared" si="1073"/>
        <v>9.9173493253080797E-3</v>
      </c>
      <c r="W571" s="20">
        <f t="shared" ref="W571:X571" si="1099">T571-T570</f>
        <v>27</v>
      </c>
      <c r="X571" s="20">
        <f t="shared" si="1099"/>
        <v>6</v>
      </c>
      <c r="Y571" s="19">
        <f t="shared" si="1075"/>
        <v>5.3854666174843233E-2</v>
      </c>
      <c r="Z571" s="19">
        <f t="shared" si="1076"/>
        <v>0.12328767123287671</v>
      </c>
      <c r="AA571" s="21">
        <f t="shared" si="1077"/>
        <v>1.2027194066749074</v>
      </c>
      <c r="AB571" s="26">
        <f t="shared" si="1078"/>
        <v>1.2889760087646727</v>
      </c>
      <c r="AC571" s="23">
        <f t="shared" si="1079"/>
        <v>417</v>
      </c>
      <c r="AD571" s="23">
        <f t="shared" si="1080"/>
        <v>4</v>
      </c>
      <c r="AE571" s="23">
        <f t="shared" si="1081"/>
        <v>12792.571428571429</v>
      </c>
      <c r="AF571" s="25">
        <f t="shared" si="1082"/>
        <v>3.3518739606451436E-2</v>
      </c>
      <c r="AG571" s="20">
        <v>5873523</v>
      </c>
      <c r="AH571" s="21">
        <f t="shared" si="1092"/>
        <v>4264</v>
      </c>
      <c r="AI571" s="21">
        <f t="shared" si="1083"/>
        <v>3696.8</v>
      </c>
      <c r="AJ571" s="20">
        <v>5615273</v>
      </c>
      <c r="AK571" s="20">
        <f t="shared" si="1093"/>
        <v>14848</v>
      </c>
      <c r="AL571" s="21">
        <f t="shared" si="1084"/>
        <v>10137.4</v>
      </c>
      <c r="AM571" s="26">
        <f t="shared" si="1085"/>
        <v>288.14285714285717</v>
      </c>
    </row>
    <row r="572" spans="1:39" ht="13">
      <c r="A572" s="30">
        <v>44464</v>
      </c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8"/>
      <c r="Q572" s="28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</row>
    <row r="573" spans="1:39" ht="13">
      <c r="A573" s="30">
        <v>44465</v>
      </c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8"/>
      <c r="Q573" s="28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</row>
    <row r="574" spans="1:39" ht="16">
      <c r="A574" s="30">
        <v>44466</v>
      </c>
      <c r="B574" s="20">
        <f>B571+C574</f>
        <v>821261</v>
      </c>
      <c r="C574" s="20">
        <v>1183</v>
      </c>
      <c r="D574" s="20">
        <v>30171</v>
      </c>
      <c r="E574" s="20">
        <v>783167</v>
      </c>
      <c r="F574" s="20">
        <v>6893915</v>
      </c>
      <c r="G574" s="17">
        <f t="shared" ref="G574:G578" si="1100">F574/9.8</f>
        <v>703460.7142857142</v>
      </c>
      <c r="H574" s="20"/>
      <c r="I574" s="19">
        <f>(B574-B571)/B571</f>
        <v>1.4425457090666985E-3</v>
      </c>
      <c r="J574" s="19">
        <f t="shared" ref="J574:J578" si="1101">B574/F574</f>
        <v>0.11912839076199808</v>
      </c>
      <c r="K574" s="19">
        <f>(F574-F571)/F571</f>
        <v>5.1602947165154947E-3</v>
      </c>
      <c r="L574" s="20">
        <v>7923</v>
      </c>
      <c r="M574" s="19">
        <f t="shared" ref="M574:M578" si="1102">D574/B574</f>
        <v>3.6737407474603079E-2</v>
      </c>
      <c r="N574" s="19">
        <f t="shared" ref="N574:N578" si="1103">E574/B574</f>
        <v>0.95361523315973851</v>
      </c>
      <c r="O574" s="20">
        <v>4125</v>
      </c>
      <c r="P574" s="28">
        <f>F574-F571</f>
        <v>35392</v>
      </c>
      <c r="Q574" s="29">
        <f t="shared" ref="Q574:Q578" si="1104">C574/P574</f>
        <v>3.3425632911392403E-2</v>
      </c>
      <c r="R574" s="20">
        <f t="shared" ref="R574:S574" si="1105">D574-D571</f>
        <v>20</v>
      </c>
      <c r="S574" s="20">
        <f t="shared" si="1105"/>
        <v>1373</v>
      </c>
      <c r="T574" s="20">
        <v>478</v>
      </c>
      <c r="U574" s="20">
        <v>71</v>
      </c>
      <c r="V574" s="19">
        <f t="shared" ref="V574:V578" si="1106">L574/B574</f>
        <v>9.6473593656584197E-3</v>
      </c>
      <c r="W574" s="20">
        <f t="shared" ref="W574:X574" si="1107">T574-T571</f>
        <v>40</v>
      </c>
      <c r="X574" s="20">
        <f t="shared" si="1107"/>
        <v>17</v>
      </c>
      <c r="Y574" s="19">
        <f t="shared" ref="Y574:Y578" si="1108">T574/L574</f>
        <v>6.033068282216332E-2</v>
      </c>
      <c r="Z574" s="19">
        <f t="shared" ref="Z574:Z578" si="1109">U574/T574</f>
        <v>0.14853556485355648</v>
      </c>
      <c r="AA574" s="21">
        <f t="shared" ref="AA574:AA578" si="1110">(C568+C569+C570+C571+C572+C573+C574)/(C561+C562+C563+C564+C565+C566+C567)</f>
        <v>1.1538461538461537</v>
      </c>
      <c r="AB574" s="26">
        <f t="shared" ref="AB574:AB578" si="1111">SUM(AA568:AA574)/5</f>
        <v>1.2457754951416238</v>
      </c>
      <c r="AC574" s="23">
        <f t="shared" ref="AC574:AC578" si="1112">SUM(C568:C574)/7</f>
        <v>432.85714285714283</v>
      </c>
      <c r="AD574" s="23">
        <f t="shared" ref="AD574:AD578" si="1113">SUM(R568:R574)/7</f>
        <v>5</v>
      </c>
      <c r="AE574" s="23">
        <f t="shared" ref="AE574:AE578" si="1114">SUM(P568:P574)/7</f>
        <v>12575.571428571429</v>
      </c>
      <c r="AF574" s="25">
        <f t="shared" ref="AF574:AF578" si="1115">SUM(Q568:Q574)/5</f>
        <v>3.4395299636753543E-2</v>
      </c>
      <c r="AG574" s="20">
        <v>5879178</v>
      </c>
      <c r="AH574" s="21">
        <f>AG574-AG571</f>
        <v>5655</v>
      </c>
      <c r="AI574" s="21">
        <f t="shared" ref="AI574:AI578" si="1116">(SUM(AH568:AH574))/5</f>
        <v>3872.8</v>
      </c>
      <c r="AJ574" s="20">
        <v>5630587</v>
      </c>
      <c r="AK574" s="20">
        <f>AJ574-AJ571</f>
        <v>15314</v>
      </c>
      <c r="AL574" s="21">
        <f t="shared" ref="AL574:AL578" si="1117">(SUM(AK568:AK574))/5</f>
        <v>11908.8</v>
      </c>
      <c r="AM574" s="26">
        <f t="shared" ref="AM574:AM578" si="1118">SUM(S568:S574)/7</f>
        <v>386</v>
      </c>
    </row>
    <row r="575" spans="1:39" ht="16">
      <c r="A575" s="30">
        <v>44467</v>
      </c>
      <c r="B575" s="20">
        <f t="shared" ref="B575:B578" si="1119">B574+C575</f>
        <v>821526</v>
      </c>
      <c r="C575" s="20">
        <v>265</v>
      </c>
      <c r="D575" s="20">
        <v>30179</v>
      </c>
      <c r="E575" s="20">
        <v>783815</v>
      </c>
      <c r="F575" s="20">
        <v>6901433</v>
      </c>
      <c r="G575" s="17">
        <f t="shared" si="1100"/>
        <v>704227.85714285704</v>
      </c>
      <c r="H575" s="20"/>
      <c r="I575" s="19">
        <f t="shared" ref="I575:I578" si="1120">(B575-B574)/B574</f>
        <v>3.2267452125450983E-4</v>
      </c>
      <c r="J575" s="19">
        <f t="shared" si="1101"/>
        <v>0.1190370173846504</v>
      </c>
      <c r="K575" s="19">
        <f t="shared" ref="K575:K578" si="1121">(F575-F574)/F574</f>
        <v>1.0905269357106956E-3</v>
      </c>
      <c r="L575" s="20">
        <v>7532</v>
      </c>
      <c r="M575" s="19">
        <f t="shared" si="1102"/>
        <v>3.6735295048482948E-2</v>
      </c>
      <c r="N575" s="19">
        <f t="shared" si="1103"/>
        <v>0.95409640108773186</v>
      </c>
      <c r="O575" s="20">
        <v>4520</v>
      </c>
      <c r="P575" s="28">
        <f t="shared" ref="P575:P578" si="1122">F575-F574</f>
        <v>7518</v>
      </c>
      <c r="Q575" s="29">
        <f t="shared" si="1104"/>
        <v>3.52487363660548E-2</v>
      </c>
      <c r="R575" s="20">
        <f t="shared" ref="R575:S575" si="1123">D575-D574</f>
        <v>8</v>
      </c>
      <c r="S575" s="20">
        <f t="shared" si="1123"/>
        <v>648</v>
      </c>
      <c r="T575" s="20">
        <v>513</v>
      </c>
      <c r="U575" s="20">
        <v>74</v>
      </c>
      <c r="V575" s="19">
        <f t="shared" si="1106"/>
        <v>9.1683038637852005E-3</v>
      </c>
      <c r="W575" s="20">
        <f t="shared" ref="W575:X575" si="1124">T575-T574</f>
        <v>35</v>
      </c>
      <c r="X575" s="20">
        <f t="shared" si="1124"/>
        <v>3</v>
      </c>
      <c r="Y575" s="19">
        <f t="shared" si="1108"/>
        <v>6.8109399893786504E-2</v>
      </c>
      <c r="Z575" s="19">
        <f t="shared" si="1109"/>
        <v>0.14424951267056529</v>
      </c>
      <c r="AA575" s="21">
        <f t="shared" si="1110"/>
        <v>1.1262645185462721</v>
      </c>
      <c r="AB575" s="26">
        <f t="shared" si="1111"/>
        <v>1.2084607648125112</v>
      </c>
      <c r="AC575" s="23">
        <f t="shared" si="1112"/>
        <v>429.42857142857144</v>
      </c>
      <c r="AD575" s="23">
        <f t="shared" si="1113"/>
        <v>5.4285714285714288</v>
      </c>
      <c r="AE575" s="23">
        <f t="shared" si="1114"/>
        <v>12236.428571428571</v>
      </c>
      <c r="AF575" s="25">
        <f t="shared" si="1115"/>
        <v>3.5601941370134338E-2</v>
      </c>
      <c r="AG575" s="20">
        <v>5881493</v>
      </c>
      <c r="AH575" s="21">
        <f t="shared" ref="AH575:AH578" si="1125">AG575-AG574</f>
        <v>2315</v>
      </c>
      <c r="AI575" s="21">
        <f t="shared" si="1116"/>
        <v>3807</v>
      </c>
      <c r="AJ575" s="20">
        <v>5635553</v>
      </c>
      <c r="AK575" s="20">
        <f t="shared" ref="AK575:AK578" si="1126">AJ575-AJ574</f>
        <v>4966</v>
      </c>
      <c r="AL575" s="21">
        <f t="shared" si="1117"/>
        <v>11264.4</v>
      </c>
      <c r="AM575" s="26">
        <f t="shared" si="1118"/>
        <v>439.28571428571428</v>
      </c>
    </row>
    <row r="576" spans="1:39" ht="16">
      <c r="A576" s="30">
        <v>44468</v>
      </c>
      <c r="B576" s="20">
        <f t="shared" si="1119"/>
        <v>822072</v>
      </c>
      <c r="C576" s="20">
        <v>546</v>
      </c>
      <c r="D576" s="20">
        <v>30185</v>
      </c>
      <c r="E576" s="20">
        <v>784539</v>
      </c>
      <c r="F576" s="20">
        <v>6914466</v>
      </c>
      <c r="G576" s="17">
        <f t="shared" si="1100"/>
        <v>705557.75510204071</v>
      </c>
      <c r="H576" s="33"/>
      <c r="I576" s="34">
        <f t="shared" si="1120"/>
        <v>6.6461682283944755E-4</v>
      </c>
      <c r="J576" s="34">
        <f t="shared" si="1101"/>
        <v>0.11889161071874531</v>
      </c>
      <c r="K576" s="34">
        <f t="shared" si="1121"/>
        <v>1.8884483845601342E-3</v>
      </c>
      <c r="L576" s="20">
        <v>7348</v>
      </c>
      <c r="M576" s="19">
        <f t="shared" si="1102"/>
        <v>3.671819499995134E-2</v>
      </c>
      <c r="N576" s="19">
        <f t="shared" si="1103"/>
        <v>0.95434341517531307</v>
      </c>
      <c r="O576" s="20">
        <v>5048</v>
      </c>
      <c r="P576" s="28">
        <f t="shared" si="1122"/>
        <v>13033</v>
      </c>
      <c r="Q576" s="29">
        <f t="shared" si="1104"/>
        <v>4.1893654569170567E-2</v>
      </c>
      <c r="R576" s="20">
        <f t="shared" ref="R576:S576" si="1127">D576-D575</f>
        <v>6</v>
      </c>
      <c r="S576" s="20">
        <f t="shared" si="1127"/>
        <v>724</v>
      </c>
      <c r="T576" s="20">
        <v>529</v>
      </c>
      <c r="U576" s="20">
        <v>81</v>
      </c>
      <c r="V576" s="19">
        <f t="shared" si="1106"/>
        <v>8.9383898247355469E-3</v>
      </c>
      <c r="W576" s="20">
        <f t="shared" ref="W576:X576" si="1128">T576-T575</f>
        <v>16</v>
      </c>
      <c r="X576" s="20">
        <f t="shared" si="1128"/>
        <v>7</v>
      </c>
      <c r="Y576" s="19">
        <f t="shared" si="1108"/>
        <v>7.1992378878606419E-2</v>
      </c>
      <c r="Z576" s="19">
        <f t="shared" si="1109"/>
        <v>0.15311909262759923</v>
      </c>
      <c r="AA576" s="21">
        <f t="shared" si="1110"/>
        <v>1.090032154340836</v>
      </c>
      <c r="AB576" s="26">
        <f t="shared" si="1111"/>
        <v>1.1670603374786395</v>
      </c>
      <c r="AC576" s="23">
        <f t="shared" si="1112"/>
        <v>435.85714285714283</v>
      </c>
      <c r="AD576" s="23">
        <f t="shared" si="1113"/>
        <v>6</v>
      </c>
      <c r="AE576" s="23">
        <f t="shared" si="1114"/>
        <v>12081.428571428571</v>
      </c>
      <c r="AF576" s="25">
        <f t="shared" si="1115"/>
        <v>3.6883349717032624E-2</v>
      </c>
      <c r="AG576" s="20">
        <v>5884183</v>
      </c>
      <c r="AH576" s="21">
        <f t="shared" si="1125"/>
        <v>2690</v>
      </c>
      <c r="AI576" s="21">
        <f t="shared" si="1116"/>
        <v>3663.6</v>
      </c>
      <c r="AJ576" s="20">
        <v>5640410</v>
      </c>
      <c r="AK576" s="20">
        <f t="shared" si="1126"/>
        <v>4857</v>
      </c>
      <c r="AL576" s="21">
        <f t="shared" si="1117"/>
        <v>9699.7999999999993</v>
      </c>
      <c r="AM576" s="26">
        <f t="shared" si="1118"/>
        <v>485.85714285714283</v>
      </c>
    </row>
    <row r="577" spans="1:39" ht="16">
      <c r="A577" s="30">
        <v>44469</v>
      </c>
      <c r="B577" s="20">
        <f t="shared" si="1119"/>
        <v>822705</v>
      </c>
      <c r="C577" s="20">
        <v>633</v>
      </c>
      <c r="D577" s="20">
        <v>30190</v>
      </c>
      <c r="E577" s="20">
        <v>785090</v>
      </c>
      <c r="F577" s="20">
        <v>6932779</v>
      </c>
      <c r="G577" s="17">
        <f t="shared" si="1100"/>
        <v>707426.42857142852</v>
      </c>
      <c r="H577" s="33"/>
      <c r="I577" s="34">
        <f t="shared" si="1120"/>
        <v>7.7000554695939047E-4</v>
      </c>
      <c r="J577" s="34">
        <f t="shared" si="1101"/>
        <v>0.11866886280379052</v>
      </c>
      <c r="K577" s="34">
        <f t="shared" si="1121"/>
        <v>2.6485053220306528E-3</v>
      </c>
      <c r="L577" s="20">
        <v>7425</v>
      </c>
      <c r="M577" s="19">
        <f t="shared" si="1102"/>
        <v>3.6696021052503629E-2</v>
      </c>
      <c r="N577" s="19">
        <f t="shared" si="1103"/>
        <v>0.95427887274296375</v>
      </c>
      <c r="O577" s="20">
        <v>5395</v>
      </c>
      <c r="P577" s="28">
        <f t="shared" si="1122"/>
        <v>18313</v>
      </c>
      <c r="Q577" s="29">
        <f t="shared" si="1104"/>
        <v>3.4565609130126143E-2</v>
      </c>
      <c r="R577" s="20">
        <f t="shared" ref="R577:S577" si="1129">D577-D576</f>
        <v>5</v>
      </c>
      <c r="S577" s="20">
        <f t="shared" si="1129"/>
        <v>551</v>
      </c>
      <c r="T577" s="20">
        <v>539</v>
      </c>
      <c r="U577" s="20">
        <v>87</v>
      </c>
      <c r="V577" s="19">
        <f t="shared" si="1106"/>
        <v>9.0251062045326094E-3</v>
      </c>
      <c r="W577" s="20">
        <f t="shared" ref="W577:X577" si="1130">T577-T576</f>
        <v>10</v>
      </c>
      <c r="X577" s="20">
        <f t="shared" si="1130"/>
        <v>6</v>
      </c>
      <c r="Y577" s="19">
        <f t="shared" si="1108"/>
        <v>7.2592592592592597E-2</v>
      </c>
      <c r="Z577" s="19">
        <f t="shared" si="1109"/>
        <v>0.16141001855287571</v>
      </c>
      <c r="AA577" s="21">
        <f t="shared" si="1110"/>
        <v>1.1014998256016741</v>
      </c>
      <c r="AB577" s="26">
        <f t="shared" si="1111"/>
        <v>1.1348724118019689</v>
      </c>
      <c r="AC577" s="23">
        <f t="shared" si="1112"/>
        <v>451.14285714285717</v>
      </c>
      <c r="AD577" s="23">
        <f t="shared" si="1113"/>
        <v>6.4285714285714288</v>
      </c>
      <c r="AE577" s="23">
        <f t="shared" si="1114"/>
        <v>12670.142857142857</v>
      </c>
      <c r="AF577" s="25">
        <f t="shared" si="1115"/>
        <v>3.6383844711039816E-2</v>
      </c>
      <c r="AG577" s="20">
        <v>5887540</v>
      </c>
      <c r="AH577" s="21">
        <f t="shared" si="1125"/>
        <v>3357</v>
      </c>
      <c r="AI577" s="21">
        <f t="shared" si="1116"/>
        <v>3656.2</v>
      </c>
      <c r="AJ577" s="20">
        <v>5645518</v>
      </c>
      <c r="AK577" s="20">
        <f t="shared" si="1126"/>
        <v>5108</v>
      </c>
      <c r="AL577" s="21">
        <f t="shared" si="1117"/>
        <v>9018.6</v>
      </c>
      <c r="AM577" s="26">
        <f t="shared" si="1118"/>
        <v>521.14285714285711</v>
      </c>
    </row>
    <row r="578" spans="1:39" ht="16">
      <c r="A578" s="30">
        <v>44470</v>
      </c>
      <c r="B578" s="20">
        <f t="shared" si="1119"/>
        <v>823384</v>
      </c>
      <c r="C578" s="20">
        <v>679</v>
      </c>
      <c r="D578" s="20">
        <v>30199</v>
      </c>
      <c r="E578" s="20">
        <v>785646</v>
      </c>
      <c r="F578" s="20">
        <v>6947933</v>
      </c>
      <c r="G578" s="17">
        <f t="shared" si="1100"/>
        <v>708972.75510204071</v>
      </c>
      <c r="H578" s="33"/>
      <c r="I578" s="34">
        <f t="shared" si="1120"/>
        <v>8.2532621048857127E-4</v>
      </c>
      <c r="J578" s="34">
        <f t="shared" si="1101"/>
        <v>0.11850776338804649</v>
      </c>
      <c r="K578" s="34">
        <f t="shared" si="1121"/>
        <v>2.1858478396614115E-3</v>
      </c>
      <c r="L578" s="20">
        <v>7539</v>
      </c>
      <c r="M578" s="19">
        <f t="shared" si="1102"/>
        <v>3.6676690341323127E-2</v>
      </c>
      <c r="N578" s="19">
        <f t="shared" si="1103"/>
        <v>0.95416719295006946</v>
      </c>
      <c r="O578" s="20">
        <v>6476</v>
      </c>
      <c r="P578" s="28">
        <f t="shared" si="1122"/>
        <v>15154</v>
      </c>
      <c r="Q578" s="29">
        <f t="shared" si="1104"/>
        <v>4.4806651709119703E-2</v>
      </c>
      <c r="R578" s="20">
        <f t="shared" ref="R578:S578" si="1131">D578-D577</f>
        <v>9</v>
      </c>
      <c r="S578" s="20">
        <f t="shared" si="1131"/>
        <v>556</v>
      </c>
      <c r="T578" s="20">
        <v>533</v>
      </c>
      <c r="U578" s="20">
        <v>84</v>
      </c>
      <c r="V578" s="19">
        <f t="shared" si="1106"/>
        <v>9.156116708607406E-3</v>
      </c>
      <c r="W578" s="20">
        <f t="shared" ref="W578:X578" si="1132">T578-T577</f>
        <v>-6</v>
      </c>
      <c r="X578" s="20">
        <f t="shared" si="1132"/>
        <v>-3</v>
      </c>
      <c r="Y578" s="19">
        <f t="shared" si="1108"/>
        <v>7.0699031701817211E-2</v>
      </c>
      <c r="Z578" s="19">
        <f t="shared" si="1109"/>
        <v>0.1575984990619137</v>
      </c>
      <c r="AA578" s="21">
        <f t="shared" si="1110"/>
        <v>1.1325796505652621</v>
      </c>
      <c r="AB578" s="26">
        <f t="shared" si="1111"/>
        <v>1.1208444605800394</v>
      </c>
      <c r="AC578" s="23">
        <f t="shared" si="1112"/>
        <v>472.28571428571428</v>
      </c>
      <c r="AD578" s="23">
        <f t="shared" si="1113"/>
        <v>6.8571428571428568</v>
      </c>
      <c r="AE578" s="23">
        <f t="shared" si="1114"/>
        <v>12772.857142857143</v>
      </c>
      <c r="AF578" s="25">
        <f t="shared" si="1115"/>
        <v>3.7988056937172728E-2</v>
      </c>
      <c r="AG578" s="20">
        <v>5891228</v>
      </c>
      <c r="AH578" s="21">
        <f t="shared" si="1125"/>
        <v>3688</v>
      </c>
      <c r="AI578" s="21">
        <f t="shared" si="1116"/>
        <v>3541</v>
      </c>
      <c r="AJ578" s="20">
        <v>5651539</v>
      </c>
      <c r="AK578" s="20">
        <f t="shared" si="1126"/>
        <v>6021</v>
      </c>
      <c r="AL578" s="21">
        <f t="shared" si="1117"/>
        <v>7253.2</v>
      </c>
      <c r="AM578" s="26">
        <f t="shared" si="1118"/>
        <v>550.28571428571433</v>
      </c>
    </row>
    <row r="579" spans="1:39" ht="13">
      <c r="A579" s="30">
        <v>44471</v>
      </c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8"/>
      <c r="Q579" s="28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</row>
    <row r="580" spans="1:39" ht="13">
      <c r="A580" s="30">
        <v>44472</v>
      </c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8"/>
      <c r="Q580" s="28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</row>
    <row r="581" spans="1:39" ht="16">
      <c r="A581" s="30">
        <v>44473</v>
      </c>
      <c r="B581" s="20">
        <f>B578+C581</f>
        <v>824876</v>
      </c>
      <c r="C581" s="20">
        <v>1492</v>
      </c>
      <c r="D581" s="20">
        <v>30230</v>
      </c>
      <c r="E581" s="20">
        <v>786737</v>
      </c>
      <c r="F581" s="20">
        <v>6980188</v>
      </c>
      <c r="G581" s="17">
        <f t="shared" ref="G581:G585" si="1133">F581/9.8</f>
        <v>712264.08163265302</v>
      </c>
      <c r="H581" s="20"/>
      <c r="I581" s="19">
        <f>(B581-B578)/B578</f>
        <v>1.8120342391885196E-3</v>
      </c>
      <c r="J581" s="19">
        <f t="shared" ref="J581:J585" si="1134">B581/F581</f>
        <v>0.11817389445671091</v>
      </c>
      <c r="K581" s="19">
        <f>(F581-F578)/F578</f>
        <v>4.6423878871601097E-3</v>
      </c>
      <c r="L581" s="20">
        <v>7909</v>
      </c>
      <c r="M581" s="19">
        <f t="shared" ref="M581:M585" si="1135">D581/B581</f>
        <v>3.6647932537739007E-2</v>
      </c>
      <c r="N581" s="19">
        <f t="shared" ref="N581:N585" si="1136">E581/B581</f>
        <v>0.9537639596739389</v>
      </c>
      <c r="O581" s="20">
        <v>5458</v>
      </c>
      <c r="P581" s="28">
        <f>F581-F578</f>
        <v>32255</v>
      </c>
      <c r="Q581" s="29">
        <f t="shared" ref="Q581:Q585" si="1137">C581/P581</f>
        <v>4.625639435746396E-2</v>
      </c>
      <c r="R581" s="20">
        <f t="shared" ref="R581:S581" si="1138">D581-D578</f>
        <v>31</v>
      </c>
      <c r="S581" s="20">
        <f t="shared" si="1138"/>
        <v>1091</v>
      </c>
      <c r="T581" s="20">
        <v>560</v>
      </c>
      <c r="U581" s="20">
        <v>87</v>
      </c>
      <c r="V581" s="19">
        <f t="shared" ref="V581:V585" si="1139">L581/B581</f>
        <v>9.5881077883221231E-3</v>
      </c>
      <c r="W581" s="20">
        <f t="shared" ref="W581:X581" si="1140">T581-T578</f>
        <v>27</v>
      </c>
      <c r="X581" s="20">
        <f t="shared" si="1140"/>
        <v>3</v>
      </c>
      <c r="Y581" s="19">
        <f t="shared" ref="Y581:Y585" si="1141">T581/L581</f>
        <v>7.0805411556454673E-2</v>
      </c>
      <c r="Z581" s="19">
        <f t="shared" ref="Z581:Z585" si="1142">U581/T581</f>
        <v>0.15535714285714286</v>
      </c>
      <c r="AA581" s="21">
        <f t="shared" ref="AA581:AA585" si="1143">(C575+C576+C577+C578+C579+C580+C581)/(C568+C569+C570+C571+C572+C573+C574)</f>
        <v>1.193069306930693</v>
      </c>
      <c r="AB581" s="26">
        <f t="shared" ref="AB581:AB585" si="1144">SUM(AA575:AA581)/5</f>
        <v>1.1286890911969474</v>
      </c>
      <c r="AC581" s="23">
        <f t="shared" ref="AC581:AC585" si="1145">SUM(C575:C581)/7</f>
        <v>516.42857142857144</v>
      </c>
      <c r="AD581" s="23">
        <f t="shared" ref="AD581:AD585" si="1146">SUM(R575:R581)/7</f>
        <v>8.4285714285714288</v>
      </c>
      <c r="AE581" s="23">
        <f t="shared" ref="AE581:AE585" si="1147">SUM(P575:P581)/7</f>
        <v>12324.714285714286</v>
      </c>
      <c r="AF581" s="25">
        <f t="shared" ref="AF581:AF585" si="1148">SUM(Q575:Q581)/5</f>
        <v>4.0554209226387035E-2</v>
      </c>
      <c r="AG581" s="20">
        <v>5895282</v>
      </c>
      <c r="AH581" s="21">
        <f>AG581-AG578</f>
        <v>4054</v>
      </c>
      <c r="AI581" s="21">
        <f t="shared" ref="AI581:AI585" si="1149">(SUM(AH575:AH581))/5</f>
        <v>3220.8</v>
      </c>
      <c r="AJ581" s="20">
        <v>5657967</v>
      </c>
      <c r="AK581" s="20">
        <f>AJ581-AJ578</f>
        <v>6428</v>
      </c>
      <c r="AL581" s="21">
        <f t="shared" ref="AL581:AL585" si="1150">(SUM(AK575:AK581))/5</f>
        <v>5476</v>
      </c>
      <c r="AM581" s="26">
        <f t="shared" ref="AM581:AM585" si="1151">SUM(S575:S581)/7</f>
        <v>510</v>
      </c>
    </row>
    <row r="582" spans="1:39" ht="16">
      <c r="A582" s="30">
        <v>44474</v>
      </c>
      <c r="B582" s="20">
        <f t="shared" ref="B582:B585" si="1152">B581+C582</f>
        <v>825170</v>
      </c>
      <c r="C582" s="20">
        <v>294</v>
      </c>
      <c r="D582" s="20">
        <v>30246</v>
      </c>
      <c r="E582" s="20">
        <v>786883</v>
      </c>
      <c r="F582" s="20">
        <v>6988310</v>
      </c>
      <c r="G582" s="17">
        <f t="shared" si="1133"/>
        <v>713092.85714285704</v>
      </c>
      <c r="H582" s="20"/>
      <c r="I582" s="19">
        <f t="shared" ref="I582:I585" si="1153">(B582-B581)/B581</f>
        <v>3.5641720694989308E-4</v>
      </c>
      <c r="J582" s="19">
        <f t="shared" si="1134"/>
        <v>0.1180786198666058</v>
      </c>
      <c r="K582" s="19">
        <f t="shared" ref="K582:K585" si="1154">(F582-F581)/F581</f>
        <v>1.1635789752367702E-3</v>
      </c>
      <c r="L582" s="20">
        <v>8041</v>
      </c>
      <c r="M582" s="19">
        <f t="shared" si="1135"/>
        <v>3.665426518172013E-2</v>
      </c>
      <c r="N582" s="19">
        <f t="shared" si="1136"/>
        <v>0.95360107614188594</v>
      </c>
      <c r="O582" s="20">
        <v>5715</v>
      </c>
      <c r="P582" s="28">
        <f t="shared" ref="P582:P585" si="1155">F582-F581</f>
        <v>8122</v>
      </c>
      <c r="Q582" s="29">
        <f t="shared" si="1137"/>
        <v>3.6197980792908153E-2</v>
      </c>
      <c r="R582" s="20">
        <f t="shared" ref="R582:S582" si="1156">D582-D581</f>
        <v>16</v>
      </c>
      <c r="S582" s="20">
        <f t="shared" si="1156"/>
        <v>146</v>
      </c>
      <c r="T582" s="20">
        <v>585</v>
      </c>
      <c r="U582" s="20">
        <v>86</v>
      </c>
      <c r="V582" s="19">
        <f t="shared" si="1139"/>
        <v>9.7446586763939545E-3</v>
      </c>
      <c r="W582" s="20">
        <f t="shared" ref="W582:X582" si="1157">T582-T581</f>
        <v>25</v>
      </c>
      <c r="X582" s="20">
        <f t="shared" si="1157"/>
        <v>-1</v>
      </c>
      <c r="Y582" s="19">
        <f t="shared" si="1141"/>
        <v>7.2752145255565226E-2</v>
      </c>
      <c r="Z582" s="19">
        <f t="shared" si="1142"/>
        <v>0.14700854700854701</v>
      </c>
      <c r="AA582" s="21">
        <f t="shared" si="1143"/>
        <v>1.2122421823020626</v>
      </c>
      <c r="AB582" s="26">
        <f t="shared" si="1144"/>
        <v>1.1458846239481055</v>
      </c>
      <c r="AC582" s="23">
        <f t="shared" si="1145"/>
        <v>520.57142857142856</v>
      </c>
      <c r="AD582" s="23">
        <f t="shared" si="1146"/>
        <v>9.5714285714285712</v>
      </c>
      <c r="AE582" s="23">
        <f t="shared" si="1147"/>
        <v>12411</v>
      </c>
      <c r="AF582" s="25">
        <f t="shared" si="1148"/>
        <v>4.07440581117577E-2</v>
      </c>
      <c r="AG582" s="20">
        <v>5897432</v>
      </c>
      <c r="AH582" s="21">
        <f t="shared" ref="AH582:AH585" si="1158">AG582-AG581</f>
        <v>2150</v>
      </c>
      <c r="AI582" s="21">
        <f t="shared" si="1149"/>
        <v>3187.8</v>
      </c>
      <c r="AJ582" s="20">
        <v>5661324</v>
      </c>
      <c r="AK582" s="20">
        <f t="shared" ref="AK582:AK585" si="1159">AJ582-AJ581</f>
        <v>3357</v>
      </c>
      <c r="AL582" s="21">
        <f t="shared" si="1150"/>
        <v>5154.2</v>
      </c>
      <c r="AM582" s="26">
        <f t="shared" si="1151"/>
        <v>438.28571428571428</v>
      </c>
    </row>
    <row r="583" spans="1:39" ht="16">
      <c r="A583" s="30">
        <v>44475</v>
      </c>
      <c r="B583" s="20">
        <f t="shared" si="1152"/>
        <v>825799</v>
      </c>
      <c r="C583" s="20">
        <v>629</v>
      </c>
      <c r="D583" s="20">
        <v>30253</v>
      </c>
      <c r="E583" s="20">
        <v>787230</v>
      </c>
      <c r="F583" s="20">
        <v>7000417</v>
      </c>
      <c r="G583" s="17">
        <f t="shared" si="1133"/>
        <v>714328.26530612237</v>
      </c>
      <c r="H583" s="20"/>
      <c r="I583" s="19">
        <f t="shared" si="1153"/>
        <v>7.6226716918937915E-4</v>
      </c>
      <c r="J583" s="19">
        <f t="shared" si="1134"/>
        <v>0.11796425841489157</v>
      </c>
      <c r="K583" s="19">
        <f t="shared" si="1154"/>
        <v>1.73246464452779E-3</v>
      </c>
      <c r="L583" s="20">
        <v>8316</v>
      </c>
      <c r="M583" s="19">
        <f t="shared" si="1135"/>
        <v>3.6634822759533496E-2</v>
      </c>
      <c r="N583" s="19">
        <f t="shared" si="1136"/>
        <v>0.953294930122221</v>
      </c>
      <c r="O583" s="20">
        <v>6097</v>
      </c>
      <c r="P583" s="28">
        <f t="shared" si="1155"/>
        <v>12107</v>
      </c>
      <c r="Q583" s="29">
        <f t="shared" si="1137"/>
        <v>5.1953415379532498E-2</v>
      </c>
      <c r="R583" s="20">
        <f t="shared" ref="R583:S583" si="1160">D583-D582</f>
        <v>7</v>
      </c>
      <c r="S583" s="20">
        <f t="shared" si="1160"/>
        <v>347</v>
      </c>
      <c r="T583" s="20">
        <v>574</v>
      </c>
      <c r="U583" s="20">
        <v>79</v>
      </c>
      <c r="V583" s="19">
        <f t="shared" si="1139"/>
        <v>1.007024711824548E-2</v>
      </c>
      <c r="W583" s="20">
        <f t="shared" ref="W583:X583" si="1161">T583-T582</f>
        <v>-11</v>
      </c>
      <c r="X583" s="20">
        <f t="shared" si="1161"/>
        <v>-7</v>
      </c>
      <c r="Y583" s="19">
        <f t="shared" si="1141"/>
        <v>6.9023569023569029E-2</v>
      </c>
      <c r="Z583" s="19">
        <f t="shared" si="1142"/>
        <v>0.13763066202090593</v>
      </c>
      <c r="AA583" s="21">
        <f t="shared" si="1143"/>
        <v>1.2215666994428056</v>
      </c>
      <c r="AB583" s="26">
        <f t="shared" si="1144"/>
        <v>1.1721915329684993</v>
      </c>
      <c r="AC583" s="23">
        <f t="shared" si="1145"/>
        <v>532.42857142857144</v>
      </c>
      <c r="AD583" s="23">
        <f t="shared" si="1146"/>
        <v>9.7142857142857135</v>
      </c>
      <c r="AE583" s="23">
        <f t="shared" si="1147"/>
        <v>12278.714285714286</v>
      </c>
      <c r="AF583" s="25">
        <f t="shared" si="1148"/>
        <v>4.2756010273830088E-2</v>
      </c>
      <c r="AG583" s="20">
        <v>5900019</v>
      </c>
      <c r="AH583" s="21">
        <f t="shared" si="1158"/>
        <v>2587</v>
      </c>
      <c r="AI583" s="21">
        <f t="shared" si="1149"/>
        <v>3167.2</v>
      </c>
      <c r="AJ583" s="20">
        <v>5665141</v>
      </c>
      <c r="AK583" s="20">
        <f t="shared" si="1159"/>
        <v>3817</v>
      </c>
      <c r="AL583" s="21">
        <f t="shared" si="1150"/>
        <v>4946.2</v>
      </c>
      <c r="AM583" s="26">
        <f t="shared" si="1151"/>
        <v>384.42857142857144</v>
      </c>
    </row>
    <row r="584" spans="1:39" ht="16">
      <c r="A584" s="30">
        <v>44476</v>
      </c>
      <c r="B584" s="20">
        <f t="shared" si="1152"/>
        <v>826636</v>
      </c>
      <c r="C584" s="20">
        <v>837</v>
      </c>
      <c r="D584" s="20">
        <v>30259</v>
      </c>
      <c r="E584" s="20">
        <v>787655</v>
      </c>
      <c r="F584" s="20">
        <v>7016611</v>
      </c>
      <c r="G584" s="17">
        <f t="shared" si="1133"/>
        <v>715980.7142857142</v>
      </c>
      <c r="H584" s="20"/>
      <c r="I584" s="19">
        <f t="shared" si="1153"/>
        <v>1.0135638333299024E-3</v>
      </c>
      <c r="J584" s="19">
        <f t="shared" si="1134"/>
        <v>0.11781129094943414</v>
      </c>
      <c r="K584" s="19">
        <f t="shared" si="1154"/>
        <v>2.313290765392976E-3</v>
      </c>
      <c r="L584" s="20">
        <v>8722</v>
      </c>
      <c r="M584" s="19">
        <f t="shared" si="1135"/>
        <v>3.6604986959193647E-2</v>
      </c>
      <c r="N584" s="19">
        <f t="shared" si="1136"/>
        <v>0.95284381517378869</v>
      </c>
      <c r="O584" s="20">
        <v>7083</v>
      </c>
      <c r="P584" s="28">
        <f t="shared" si="1155"/>
        <v>16194</v>
      </c>
      <c r="Q584" s="29">
        <f t="shared" si="1137"/>
        <v>5.1685809559095963E-2</v>
      </c>
      <c r="R584" s="20">
        <f t="shared" ref="R584:S584" si="1162">D584-D583</f>
        <v>6</v>
      </c>
      <c r="S584" s="20">
        <f t="shared" si="1162"/>
        <v>425</v>
      </c>
      <c r="T584" s="20">
        <v>627</v>
      </c>
      <c r="U584" s="20">
        <v>92</v>
      </c>
      <c r="V584" s="19">
        <f t="shared" si="1139"/>
        <v>1.0551197867017647E-2</v>
      </c>
      <c r="W584" s="20">
        <f t="shared" ref="W584:X584" si="1163">T584-T583</f>
        <v>53</v>
      </c>
      <c r="X584" s="20">
        <f t="shared" si="1163"/>
        <v>13</v>
      </c>
      <c r="Y584" s="19">
        <f t="shared" si="1141"/>
        <v>7.1887181839027745E-2</v>
      </c>
      <c r="Z584" s="19">
        <f t="shared" si="1142"/>
        <v>0.14673046251993621</v>
      </c>
      <c r="AA584" s="21">
        <f t="shared" si="1143"/>
        <v>1.2447751741608613</v>
      </c>
      <c r="AB584" s="26">
        <f t="shared" si="1144"/>
        <v>1.200846602680337</v>
      </c>
      <c r="AC584" s="23">
        <f t="shared" si="1145"/>
        <v>561.57142857142856</v>
      </c>
      <c r="AD584" s="23">
        <f t="shared" si="1146"/>
        <v>9.8571428571428577</v>
      </c>
      <c r="AE584" s="23">
        <f t="shared" si="1147"/>
        <v>11976</v>
      </c>
      <c r="AF584" s="25">
        <f t="shared" si="1148"/>
        <v>4.6180050359624053E-2</v>
      </c>
      <c r="AG584" s="20">
        <v>5902806</v>
      </c>
      <c r="AH584" s="21">
        <f t="shared" si="1158"/>
        <v>2787</v>
      </c>
      <c r="AI584" s="21">
        <f t="shared" si="1149"/>
        <v>3053.2</v>
      </c>
      <c r="AJ584" s="20">
        <v>5669473</v>
      </c>
      <c r="AK584" s="20">
        <f t="shared" si="1159"/>
        <v>4332</v>
      </c>
      <c r="AL584" s="21">
        <f t="shared" si="1150"/>
        <v>4791</v>
      </c>
      <c r="AM584" s="26">
        <f t="shared" si="1151"/>
        <v>366.42857142857144</v>
      </c>
    </row>
    <row r="585" spans="1:39" ht="16">
      <c r="A585" s="30">
        <v>44477</v>
      </c>
      <c r="B585" s="20">
        <f t="shared" si="1152"/>
        <v>827410</v>
      </c>
      <c r="C585" s="20">
        <v>774</v>
      </c>
      <c r="D585" s="20">
        <v>30275</v>
      </c>
      <c r="E585" s="20">
        <v>788014</v>
      </c>
      <c r="F585" s="20">
        <v>7032329</v>
      </c>
      <c r="G585" s="17">
        <f t="shared" si="1133"/>
        <v>717584.59183673467</v>
      </c>
      <c r="H585" s="20"/>
      <c r="I585" s="19">
        <f t="shared" si="1153"/>
        <v>9.3632505721986459E-4</v>
      </c>
      <c r="J585" s="19">
        <f t="shared" si="1134"/>
        <v>0.11765803334855351</v>
      </c>
      <c r="K585" s="19">
        <f t="shared" si="1154"/>
        <v>2.2401127837926313E-3</v>
      </c>
      <c r="L585" s="20">
        <v>9121</v>
      </c>
      <c r="M585" s="19">
        <f t="shared" si="1135"/>
        <v>3.6590082305024113E-2</v>
      </c>
      <c r="N585" s="19">
        <f t="shared" si="1136"/>
        <v>0.95238636226296514</v>
      </c>
      <c r="O585" s="20">
        <v>8006</v>
      </c>
      <c r="P585" s="28">
        <f t="shared" si="1155"/>
        <v>15718</v>
      </c>
      <c r="Q585" s="29">
        <f t="shared" si="1137"/>
        <v>4.9242906222165671E-2</v>
      </c>
      <c r="R585" s="20">
        <f t="shared" ref="R585:S585" si="1164">D585-D584</f>
        <v>16</v>
      </c>
      <c r="S585" s="20">
        <f t="shared" si="1164"/>
        <v>359</v>
      </c>
      <c r="T585" s="20">
        <v>650</v>
      </c>
      <c r="U585" s="20">
        <v>100</v>
      </c>
      <c r="V585" s="19">
        <f t="shared" si="1139"/>
        <v>1.1023555432010732E-2</v>
      </c>
      <c r="W585" s="20">
        <f t="shared" ref="W585:X585" si="1165">T585-T584</f>
        <v>23</v>
      </c>
      <c r="X585" s="20">
        <f t="shared" si="1165"/>
        <v>8</v>
      </c>
      <c r="Y585" s="19">
        <f t="shared" si="1141"/>
        <v>7.1264115776778866E-2</v>
      </c>
      <c r="Z585" s="19">
        <f t="shared" si="1142"/>
        <v>0.15384615384615385</v>
      </c>
      <c r="AA585" s="21">
        <f t="shared" si="1143"/>
        <v>1.2177858439201452</v>
      </c>
      <c r="AB585" s="26">
        <f t="shared" si="1144"/>
        <v>1.2178878413513137</v>
      </c>
      <c r="AC585" s="23">
        <f t="shared" si="1145"/>
        <v>575.14285714285711</v>
      </c>
      <c r="AD585" s="23">
        <f t="shared" si="1146"/>
        <v>10.857142857142858</v>
      </c>
      <c r="AE585" s="23">
        <f t="shared" si="1147"/>
        <v>12056.571428571429</v>
      </c>
      <c r="AF585" s="25">
        <f t="shared" si="1148"/>
        <v>4.7067301262233255E-2</v>
      </c>
      <c r="AG585" s="20">
        <v>5905837</v>
      </c>
      <c r="AH585" s="21">
        <f t="shared" si="1158"/>
        <v>3031</v>
      </c>
      <c r="AI585" s="21">
        <f t="shared" si="1149"/>
        <v>2921.8</v>
      </c>
      <c r="AJ585" s="20">
        <v>5674182</v>
      </c>
      <c r="AK585" s="20">
        <f t="shared" si="1159"/>
        <v>4709</v>
      </c>
      <c r="AL585" s="21">
        <f t="shared" si="1150"/>
        <v>4528.6000000000004</v>
      </c>
      <c r="AM585" s="26">
        <f t="shared" si="1151"/>
        <v>338.28571428571428</v>
      </c>
    </row>
    <row r="586" spans="1:39" ht="13">
      <c r="A586" s="30">
        <v>44478</v>
      </c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8"/>
      <c r="Q586" s="28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</row>
    <row r="587" spans="1:39" ht="13">
      <c r="A587" s="30">
        <v>44479</v>
      </c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8"/>
      <c r="Q587" s="28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</row>
    <row r="588" spans="1:39" ht="16">
      <c r="A588" s="30">
        <v>44480</v>
      </c>
      <c r="B588" s="20">
        <f>B585+C588</f>
        <v>829456</v>
      </c>
      <c r="C588" s="20">
        <v>2046</v>
      </c>
      <c r="D588" s="20">
        <v>30303</v>
      </c>
      <c r="E588" s="20">
        <v>789010</v>
      </c>
      <c r="F588" s="20">
        <v>7071702</v>
      </c>
      <c r="G588" s="17">
        <f t="shared" ref="G588:G592" si="1166">F588/9.8</f>
        <v>721602.24489795917</v>
      </c>
      <c r="H588" s="20"/>
      <c r="I588" s="19">
        <f>(B588-B585)/B585</f>
        <v>2.472776495328797E-3</v>
      </c>
      <c r="J588" s="19">
        <f t="shared" ref="J588:J592" si="1167">B588/F588</f>
        <v>0.11729227277959393</v>
      </c>
      <c r="K588" s="19">
        <f>(F588-F585)/F585</f>
        <v>5.598856367499302E-3</v>
      </c>
      <c r="L588" s="20">
        <v>10143</v>
      </c>
      <c r="M588" s="19">
        <f t="shared" ref="M588:M592" si="1168">D588/B588</f>
        <v>3.6533583457109241E-2</v>
      </c>
      <c r="N588" s="19">
        <f t="shared" ref="N588:N592" si="1169">E588/B588</f>
        <v>0.95123791979321382</v>
      </c>
      <c r="O588" s="20">
        <v>5339</v>
      </c>
      <c r="P588" s="28">
        <f>F588-F585</f>
        <v>39373</v>
      </c>
      <c r="Q588" s="29">
        <f t="shared" ref="Q588:Q592" si="1170">C588/P588</f>
        <v>5.1964544230818074E-2</v>
      </c>
      <c r="R588" s="20">
        <f t="shared" ref="R588:S588" si="1171">D588-D585</f>
        <v>28</v>
      </c>
      <c r="S588" s="20">
        <f t="shared" si="1171"/>
        <v>996</v>
      </c>
      <c r="T588" s="20">
        <v>715</v>
      </c>
      <c r="U588" s="20">
        <v>109</v>
      </c>
      <c r="V588" s="19">
        <f t="shared" ref="V588:V592" si="1172">L588/B588</f>
        <v>1.2228496749676897E-2</v>
      </c>
      <c r="W588" s="20">
        <f t="shared" ref="W588:X588" si="1173">T588-T585</f>
        <v>65</v>
      </c>
      <c r="X588" s="20">
        <f t="shared" si="1173"/>
        <v>9</v>
      </c>
      <c r="Y588" s="19">
        <f t="shared" ref="Y588:Y592" si="1174">T588/L588</f>
        <v>7.0491964901902793E-2</v>
      </c>
      <c r="Z588" s="19">
        <f t="shared" ref="Z588:Z592" si="1175">U588/T588</f>
        <v>0.15244755244755245</v>
      </c>
      <c r="AA588" s="21">
        <f t="shared" ref="AA588:AA592" si="1176">(C582+C583+C584+C585+C586+C587+C588)/(C575+C576+C577+C578+C579+C580+C581)</f>
        <v>1.2669432918395573</v>
      </c>
      <c r="AB588" s="26">
        <f t="shared" ref="AB588:AB592" si="1177">SUM(AA582:AA588)/5</f>
        <v>1.2326626383330865</v>
      </c>
      <c r="AC588" s="23">
        <f t="shared" ref="AC588:AC592" si="1178">SUM(C582:C588)/7</f>
        <v>654.28571428571433</v>
      </c>
      <c r="AD588" s="23">
        <f t="shared" ref="AD588:AD592" si="1179">SUM(R582:R588)/7</f>
        <v>10.428571428571429</v>
      </c>
      <c r="AE588" s="23">
        <f t="shared" ref="AE588:AE592" si="1180">SUM(P582:P588)/7</f>
        <v>13073.428571428571</v>
      </c>
      <c r="AF588" s="25">
        <f t="shared" ref="AF588:AF592" si="1181">SUM(Q582:Q588)/5</f>
        <v>4.8208931236904076E-2</v>
      </c>
      <c r="AG588" s="20">
        <v>5909819</v>
      </c>
      <c r="AH588" s="21">
        <f>AG588-AG585</f>
        <v>3982</v>
      </c>
      <c r="AI588" s="21">
        <f t="shared" ref="AI588:AI592" si="1182">(SUM(AH582:AH588))/5</f>
        <v>2907.4</v>
      </c>
      <c r="AJ588" s="20">
        <v>5679589</v>
      </c>
      <c r="AK588" s="20">
        <f>AJ588-AJ585</f>
        <v>5407</v>
      </c>
      <c r="AL588" s="21">
        <f t="shared" ref="AL588:AL592" si="1183">(SUM(AK582:AK588))/5</f>
        <v>4324.3999999999996</v>
      </c>
      <c r="AM588" s="26">
        <f t="shared" ref="AM588:AM592" si="1184">SUM(S582:S588)/7</f>
        <v>324.71428571428572</v>
      </c>
    </row>
    <row r="589" spans="1:39" ht="16">
      <c r="A589" s="30">
        <v>44481</v>
      </c>
      <c r="B589" s="20">
        <f t="shared" ref="B589:B592" si="1185">B588+C589</f>
        <v>829911</v>
      </c>
      <c r="C589" s="20">
        <v>455</v>
      </c>
      <c r="D589" s="20">
        <v>30320</v>
      </c>
      <c r="E589" s="20">
        <v>789322</v>
      </c>
      <c r="F589" s="20">
        <v>7079804</v>
      </c>
      <c r="G589" s="17">
        <f t="shared" si="1166"/>
        <v>722428.97959183669</v>
      </c>
      <c r="H589" s="20"/>
      <c r="I589" s="19">
        <f t="shared" ref="I589:I592" si="1186">(B589-B588)/B588</f>
        <v>5.4855230416079941E-4</v>
      </c>
      <c r="J589" s="19">
        <f t="shared" si="1167"/>
        <v>0.11722231293408687</v>
      </c>
      <c r="K589" s="19">
        <f t="shared" ref="K589:K592" si="1187">(F589-F588)/F588</f>
        <v>1.1456930736051944E-3</v>
      </c>
      <c r="L589" s="20">
        <v>10269</v>
      </c>
      <c r="M589" s="19">
        <f t="shared" si="1168"/>
        <v>3.6534037987205857E-2</v>
      </c>
      <c r="N589" s="19">
        <f t="shared" si="1169"/>
        <v>0.95109234604674475</v>
      </c>
      <c r="O589" s="20">
        <v>6692</v>
      </c>
      <c r="P589" s="28">
        <f t="shared" ref="P589:P592" si="1188">F589-F588</f>
        <v>8102</v>
      </c>
      <c r="Q589" s="29">
        <f t="shared" si="1170"/>
        <v>5.615897309306344E-2</v>
      </c>
      <c r="R589" s="20">
        <f t="shared" ref="R589:S589" si="1189">D589-D588</f>
        <v>17</v>
      </c>
      <c r="S589" s="20">
        <f t="shared" si="1189"/>
        <v>312</v>
      </c>
      <c r="T589" s="20">
        <v>733</v>
      </c>
      <c r="U589" s="20">
        <v>110</v>
      </c>
      <c r="V589" s="19">
        <f t="shared" si="1172"/>
        <v>1.2373615966049372E-2</v>
      </c>
      <c r="W589" s="20">
        <f t="shared" ref="W589:X589" si="1190">T589-T588</f>
        <v>18</v>
      </c>
      <c r="X589" s="20">
        <f t="shared" si="1190"/>
        <v>1</v>
      </c>
      <c r="Y589" s="19">
        <f t="shared" si="1174"/>
        <v>7.1379881195832121E-2</v>
      </c>
      <c r="Z589" s="19">
        <f t="shared" si="1175"/>
        <v>0.15006821282401092</v>
      </c>
      <c r="AA589" s="21">
        <f t="shared" si="1176"/>
        <v>1.3010428100987925</v>
      </c>
      <c r="AB589" s="26">
        <f t="shared" si="1177"/>
        <v>1.2504227638924323</v>
      </c>
      <c r="AC589" s="23">
        <f t="shared" si="1178"/>
        <v>677.28571428571433</v>
      </c>
      <c r="AD589" s="23">
        <f t="shared" si="1179"/>
        <v>10.571428571428571</v>
      </c>
      <c r="AE589" s="23">
        <f t="shared" si="1180"/>
        <v>13070.571428571429</v>
      </c>
      <c r="AF589" s="25">
        <f t="shared" si="1181"/>
        <v>5.2201129696935133E-2</v>
      </c>
      <c r="AG589" s="20">
        <v>5911737</v>
      </c>
      <c r="AH589" s="21">
        <f t="shared" ref="AH589:AH592" si="1191">AG589-AG588</f>
        <v>1918</v>
      </c>
      <c r="AI589" s="21">
        <f t="shared" si="1182"/>
        <v>2861</v>
      </c>
      <c r="AJ589" s="20">
        <v>5682396</v>
      </c>
      <c r="AK589" s="20">
        <f t="shared" ref="AK589:AK592" si="1192">AJ589-AJ588</f>
        <v>2807</v>
      </c>
      <c r="AL589" s="21">
        <f t="shared" si="1183"/>
        <v>4214.3999999999996</v>
      </c>
      <c r="AM589" s="26">
        <f t="shared" si="1184"/>
        <v>348.42857142857144</v>
      </c>
    </row>
    <row r="590" spans="1:39" ht="16">
      <c r="A590" s="30">
        <v>44482</v>
      </c>
      <c r="B590" s="20">
        <f t="shared" si="1185"/>
        <v>830725</v>
      </c>
      <c r="C590" s="20">
        <v>814</v>
      </c>
      <c r="D590" s="20">
        <v>30330</v>
      </c>
      <c r="E590" s="20">
        <v>789705</v>
      </c>
      <c r="F590" s="20">
        <v>7093879</v>
      </c>
      <c r="G590" s="17">
        <f t="shared" si="1166"/>
        <v>723865.20408163255</v>
      </c>
      <c r="H590" s="20"/>
      <c r="I590" s="19">
        <f t="shared" si="1186"/>
        <v>9.8082806469609396E-4</v>
      </c>
      <c r="J590" s="19">
        <f t="shared" si="1167"/>
        <v>0.11710447838199665</v>
      </c>
      <c r="K590" s="19">
        <f t="shared" si="1187"/>
        <v>1.9880493866779362E-3</v>
      </c>
      <c r="L590" s="20">
        <v>10690</v>
      </c>
      <c r="M590" s="19">
        <f t="shared" si="1168"/>
        <v>3.6510277167534383E-2</v>
      </c>
      <c r="N590" s="19">
        <f t="shared" si="1169"/>
        <v>0.95062144512323576</v>
      </c>
      <c r="O590" s="20">
        <v>8112</v>
      </c>
      <c r="P590" s="28">
        <f t="shared" si="1188"/>
        <v>14075</v>
      </c>
      <c r="Q590" s="29">
        <f t="shared" si="1170"/>
        <v>5.7833037300177623E-2</v>
      </c>
      <c r="R590" s="20">
        <f t="shared" ref="R590:S590" si="1193">D590-D589</f>
        <v>10</v>
      </c>
      <c r="S590" s="20">
        <f t="shared" si="1193"/>
        <v>383</v>
      </c>
      <c r="T590" s="20">
        <v>737</v>
      </c>
      <c r="U590" s="20">
        <v>116</v>
      </c>
      <c r="V590" s="19">
        <f t="shared" si="1172"/>
        <v>1.2868277709229889E-2</v>
      </c>
      <c r="W590" s="20">
        <f t="shared" ref="W590:X590" si="1194">T590-T589</f>
        <v>4</v>
      </c>
      <c r="X590" s="20">
        <f t="shared" si="1194"/>
        <v>6</v>
      </c>
      <c r="Y590" s="19">
        <f t="shared" si="1174"/>
        <v>6.8942937324602438E-2</v>
      </c>
      <c r="Z590" s="19">
        <f t="shared" si="1175"/>
        <v>0.15739484396200815</v>
      </c>
      <c r="AA590" s="21">
        <f t="shared" si="1176"/>
        <v>1.3217064663268043</v>
      </c>
      <c r="AB590" s="26">
        <f t="shared" si="1177"/>
        <v>1.2704507172692323</v>
      </c>
      <c r="AC590" s="23">
        <f t="shared" si="1178"/>
        <v>703.71428571428567</v>
      </c>
      <c r="AD590" s="23">
        <f t="shared" si="1179"/>
        <v>11</v>
      </c>
      <c r="AE590" s="23">
        <f t="shared" si="1180"/>
        <v>13351.714285714286</v>
      </c>
      <c r="AF590" s="25">
        <f t="shared" si="1181"/>
        <v>5.3377054081064156E-2</v>
      </c>
      <c r="AG590" s="20">
        <v>5913862</v>
      </c>
      <c r="AH590" s="21">
        <f t="shared" si="1191"/>
        <v>2125</v>
      </c>
      <c r="AI590" s="21">
        <f t="shared" si="1182"/>
        <v>2768.6</v>
      </c>
      <c r="AJ590" s="20">
        <v>5685596</v>
      </c>
      <c r="AK590" s="20">
        <f t="shared" si="1192"/>
        <v>3200</v>
      </c>
      <c r="AL590" s="21">
        <f t="shared" si="1183"/>
        <v>4091</v>
      </c>
      <c r="AM590" s="26">
        <f t="shared" si="1184"/>
        <v>353.57142857142856</v>
      </c>
    </row>
    <row r="591" spans="1:39" ht="16">
      <c r="A591" s="30">
        <v>44483</v>
      </c>
      <c r="B591" s="20">
        <f t="shared" si="1185"/>
        <v>831866</v>
      </c>
      <c r="C591" s="20">
        <v>1141</v>
      </c>
      <c r="D591" s="20">
        <v>30341</v>
      </c>
      <c r="E591" s="20">
        <v>790127</v>
      </c>
      <c r="F591" s="20">
        <v>7110156</v>
      </c>
      <c r="G591" s="17">
        <f t="shared" si="1166"/>
        <v>725526.12244897953</v>
      </c>
      <c r="H591" s="20"/>
      <c r="I591" s="19">
        <f t="shared" si="1186"/>
        <v>1.3734990520328629E-3</v>
      </c>
      <c r="J591" s="19">
        <f t="shared" si="1167"/>
        <v>0.11699687039215455</v>
      </c>
      <c r="K591" s="19">
        <f t="shared" si="1187"/>
        <v>2.2945133403036617E-3</v>
      </c>
      <c r="L591" s="20">
        <v>11398</v>
      </c>
      <c r="M591" s="19">
        <f t="shared" si="1168"/>
        <v>3.6473422402165737E-2</v>
      </c>
      <c r="N591" s="19">
        <f t="shared" si="1169"/>
        <v>0.94982485159869501</v>
      </c>
      <c r="O591" s="20">
        <v>9604</v>
      </c>
      <c r="P591" s="28">
        <f t="shared" si="1188"/>
        <v>16277</v>
      </c>
      <c r="Q591" s="29">
        <f t="shared" si="1170"/>
        <v>7.0098912576027517E-2</v>
      </c>
      <c r="R591" s="20">
        <f t="shared" ref="R591:S591" si="1195">D591-D590</f>
        <v>11</v>
      </c>
      <c r="S591" s="20">
        <f t="shared" si="1195"/>
        <v>422</v>
      </c>
      <c r="T591" s="20">
        <v>742</v>
      </c>
      <c r="U591" s="20">
        <v>113</v>
      </c>
      <c r="V591" s="19">
        <f t="shared" si="1172"/>
        <v>1.3701725999139285E-2</v>
      </c>
      <c r="W591" s="20">
        <f t="shared" ref="W591:X591" si="1196">T591-T590</f>
        <v>5</v>
      </c>
      <c r="X591" s="20">
        <f t="shared" si="1196"/>
        <v>-3</v>
      </c>
      <c r="Y591" s="19">
        <f t="shared" si="1174"/>
        <v>6.5099140200035099E-2</v>
      </c>
      <c r="Z591" s="19">
        <f t="shared" si="1175"/>
        <v>0.15229110512129379</v>
      </c>
      <c r="AA591" s="21">
        <f t="shared" si="1176"/>
        <v>1.3304502671076062</v>
      </c>
      <c r="AB591" s="26">
        <f t="shared" si="1177"/>
        <v>1.2875857358585812</v>
      </c>
      <c r="AC591" s="23">
        <f t="shared" si="1178"/>
        <v>747.14285714285711</v>
      </c>
      <c r="AD591" s="23">
        <f t="shared" si="1179"/>
        <v>11.714285714285714</v>
      </c>
      <c r="AE591" s="23">
        <f t="shared" si="1180"/>
        <v>13363.571428571429</v>
      </c>
      <c r="AF591" s="25">
        <f t="shared" si="1181"/>
        <v>5.7059674684450466E-2</v>
      </c>
      <c r="AG591" s="20">
        <v>5916769</v>
      </c>
      <c r="AH591" s="21">
        <f t="shared" si="1191"/>
        <v>2907</v>
      </c>
      <c r="AI591" s="21">
        <f t="shared" si="1182"/>
        <v>2792.6</v>
      </c>
      <c r="AJ591" s="20">
        <v>5689371</v>
      </c>
      <c r="AK591" s="20">
        <f t="shared" si="1192"/>
        <v>3775</v>
      </c>
      <c r="AL591" s="21">
        <f t="shared" si="1183"/>
        <v>3979.6</v>
      </c>
      <c r="AM591" s="26">
        <f t="shared" si="1184"/>
        <v>353.14285714285717</v>
      </c>
    </row>
    <row r="592" spans="1:39" ht="16">
      <c r="A592" s="30">
        <v>44484</v>
      </c>
      <c r="B592" s="20">
        <f t="shared" si="1185"/>
        <v>833115</v>
      </c>
      <c r="C592" s="20">
        <v>1249</v>
      </c>
      <c r="D592" s="20">
        <v>30351</v>
      </c>
      <c r="E592" s="20">
        <v>790646</v>
      </c>
      <c r="F592" s="20">
        <v>7127710</v>
      </c>
      <c r="G592" s="17">
        <f t="shared" si="1166"/>
        <v>727317.3469387755</v>
      </c>
      <c r="H592" s="20"/>
      <c r="I592" s="19">
        <f t="shared" si="1186"/>
        <v>1.5014437421411622E-3</v>
      </c>
      <c r="J592" s="19">
        <f t="shared" si="1167"/>
        <v>0.11688396413434329</v>
      </c>
      <c r="K592" s="19">
        <f t="shared" si="1187"/>
        <v>2.4688628491414252E-3</v>
      </c>
      <c r="L592" s="20">
        <v>12118</v>
      </c>
      <c r="M592" s="19">
        <f t="shared" si="1168"/>
        <v>3.6430744855152047E-2</v>
      </c>
      <c r="N592" s="19">
        <f t="shared" si="1169"/>
        <v>0.94902384424719277</v>
      </c>
      <c r="O592" s="20">
        <v>10990</v>
      </c>
      <c r="P592" s="28">
        <f t="shared" si="1188"/>
        <v>17554</v>
      </c>
      <c r="Q592" s="29">
        <f t="shared" si="1170"/>
        <v>7.1151874216702743E-2</v>
      </c>
      <c r="R592" s="20">
        <f t="shared" ref="R592:S592" si="1197">D592-D591</f>
        <v>10</v>
      </c>
      <c r="S592" s="20">
        <f t="shared" si="1197"/>
        <v>519</v>
      </c>
      <c r="T592" s="20">
        <v>800</v>
      </c>
      <c r="U592" s="20">
        <v>124</v>
      </c>
      <c r="V592" s="19">
        <f t="shared" si="1172"/>
        <v>1.4545410897655186E-2</v>
      </c>
      <c r="W592" s="20">
        <f t="shared" ref="W592:X592" si="1198">T592-T591</f>
        <v>58</v>
      </c>
      <c r="X592" s="20">
        <f t="shared" si="1198"/>
        <v>11</v>
      </c>
      <c r="Y592" s="19">
        <f t="shared" si="1174"/>
        <v>6.6017494636078561E-2</v>
      </c>
      <c r="Z592" s="19">
        <f t="shared" si="1175"/>
        <v>0.155</v>
      </c>
      <c r="AA592" s="21">
        <f t="shared" si="1176"/>
        <v>1.4170392449080973</v>
      </c>
      <c r="AB592" s="26">
        <f t="shared" si="1177"/>
        <v>1.3274364160561716</v>
      </c>
      <c r="AC592" s="23">
        <f t="shared" si="1178"/>
        <v>815</v>
      </c>
      <c r="AD592" s="23">
        <f t="shared" si="1179"/>
        <v>10.857142857142858</v>
      </c>
      <c r="AE592" s="23">
        <f t="shared" si="1180"/>
        <v>13625.857142857143</v>
      </c>
      <c r="AF592" s="25">
        <f t="shared" si="1181"/>
        <v>6.1441468283357878E-2</v>
      </c>
      <c r="AG592" s="20">
        <v>5919930</v>
      </c>
      <c r="AH592" s="21">
        <f t="shared" si="1191"/>
        <v>3161</v>
      </c>
      <c r="AI592" s="21">
        <f t="shared" si="1182"/>
        <v>2818.6</v>
      </c>
      <c r="AJ592" s="20">
        <v>5694336</v>
      </c>
      <c r="AK592" s="20">
        <f t="shared" si="1192"/>
        <v>4965</v>
      </c>
      <c r="AL592" s="21">
        <f t="shared" si="1183"/>
        <v>4030.8</v>
      </c>
      <c r="AM592" s="26">
        <f t="shared" si="1184"/>
        <v>376</v>
      </c>
    </row>
    <row r="593" spans="1:39" ht="13">
      <c r="A593" s="30">
        <v>44485</v>
      </c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8"/>
      <c r="Q593" s="28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</row>
    <row r="594" spans="1:39" ht="13">
      <c r="A594" s="30">
        <v>44486</v>
      </c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8"/>
      <c r="Q594" s="28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</row>
    <row r="595" spans="1:39" ht="16">
      <c r="A595" s="30">
        <v>44487</v>
      </c>
      <c r="B595" s="20">
        <f>B592+C595</f>
        <v>836389</v>
      </c>
      <c r="C595" s="20">
        <v>3274</v>
      </c>
      <c r="D595" s="20">
        <v>30402</v>
      </c>
      <c r="E595" s="20">
        <v>791998</v>
      </c>
      <c r="F595" s="20">
        <v>7172353</v>
      </c>
      <c r="G595" s="17">
        <f t="shared" ref="G595:G599" si="1199">F595/9.8</f>
        <v>731872.75510204071</v>
      </c>
      <c r="H595" s="20"/>
      <c r="I595" s="19">
        <f>(B595-B592)/B592</f>
        <v>3.9298296153592238E-3</v>
      </c>
      <c r="J595" s="19">
        <f t="shared" ref="J595:J599" si="1200">B595/F595</f>
        <v>0.11661291629120876</v>
      </c>
      <c r="K595" s="19">
        <f>(F595-F592)/F592</f>
        <v>6.2633019581324152E-3</v>
      </c>
      <c r="L595" s="20">
        <v>13989</v>
      </c>
      <c r="M595" s="19">
        <f t="shared" ref="M595:M599" si="1201">D595/B595</f>
        <v>3.6349115064880096E-2</v>
      </c>
      <c r="N595" s="19">
        <f t="shared" ref="N595:N599" si="1202">E595/B595</f>
        <v>0.94692541389233953</v>
      </c>
      <c r="O595" s="20">
        <v>9262</v>
      </c>
      <c r="P595" s="28">
        <f>F595-F592</f>
        <v>44643</v>
      </c>
      <c r="Q595" s="29">
        <f t="shared" ref="Q595:Q599" si="1203">C595/P595</f>
        <v>7.3337365320430975E-2</v>
      </c>
      <c r="R595" s="20">
        <f t="shared" ref="R595:S595" si="1204">D595-D592</f>
        <v>51</v>
      </c>
      <c r="S595" s="20">
        <f t="shared" si="1204"/>
        <v>1352</v>
      </c>
      <c r="T595" s="20">
        <v>908</v>
      </c>
      <c r="U595" s="20">
        <v>126</v>
      </c>
      <c r="V595" s="19">
        <f t="shared" ref="V595:V599" si="1205">L595/B595</f>
        <v>1.6725471042780334E-2</v>
      </c>
      <c r="W595" s="20">
        <f t="shared" ref="W595:X595" si="1206">T595-T592</f>
        <v>108</v>
      </c>
      <c r="X595" s="20">
        <f t="shared" si="1206"/>
        <v>2</v>
      </c>
      <c r="Y595" s="19">
        <f t="shared" ref="Y595:Y599" si="1207">T595/L595</f>
        <v>6.4908142111659156E-2</v>
      </c>
      <c r="Z595" s="19">
        <f t="shared" ref="Z595:Z599" si="1208">U595/T595</f>
        <v>0.13876651982378854</v>
      </c>
      <c r="AA595" s="21">
        <f t="shared" ref="AA595:AA599" si="1209">(C589+C590+C591+C592+C593+C594+C595)/(C582+C583+C584+C585+C586+C587+C588)</f>
        <v>1.5137554585152839</v>
      </c>
      <c r="AB595" s="26">
        <f t="shared" ref="AB595:AB599" si="1210">SUM(AA589:AA595)/5</f>
        <v>1.3767988493913168</v>
      </c>
      <c r="AC595" s="23">
        <f t="shared" ref="AC595:AC599" si="1211">SUM(C589:C595)/7</f>
        <v>990.42857142857144</v>
      </c>
      <c r="AD595" s="23">
        <f t="shared" ref="AD595:AD599" si="1212">SUM(R589:R595)/7</f>
        <v>14.142857142857142</v>
      </c>
      <c r="AE595" s="23">
        <f t="shared" ref="AE595:AE599" si="1213">SUM(P589:P595)/7</f>
        <v>14378.714285714286</v>
      </c>
      <c r="AF595" s="25">
        <f t="shared" ref="AF595:AF599" si="1214">SUM(Q589:Q595)/5</f>
        <v>6.5716032501280469E-2</v>
      </c>
      <c r="AG595" s="20">
        <v>5924063</v>
      </c>
      <c r="AH595" s="21">
        <f>AG595-AG592</f>
        <v>4133</v>
      </c>
      <c r="AI595" s="21">
        <f t="shared" ref="AI595:AI599" si="1215">(SUM(AH589:AH595))/5</f>
        <v>2848.8</v>
      </c>
      <c r="AJ595" s="20">
        <v>5700021</v>
      </c>
      <c r="AK595" s="20">
        <f>AJ595-AJ592</f>
        <v>5685</v>
      </c>
      <c r="AL595" s="21">
        <f t="shared" ref="AL595:AL599" si="1216">(SUM(AK589:AK595))/5</f>
        <v>4086.4</v>
      </c>
      <c r="AM595" s="26">
        <f t="shared" ref="AM595:AM599" si="1217">SUM(S589:S595)/7</f>
        <v>426.85714285714283</v>
      </c>
    </row>
    <row r="596" spans="1:39" ht="16">
      <c r="A596" s="30">
        <v>44488</v>
      </c>
      <c r="B596" s="20">
        <f t="shared" ref="B596:B599" si="1218">B595+C596</f>
        <v>837248</v>
      </c>
      <c r="C596" s="20">
        <v>859</v>
      </c>
      <c r="D596" s="20">
        <v>30418</v>
      </c>
      <c r="E596" s="20">
        <v>792242</v>
      </c>
      <c r="F596" s="20">
        <v>7182085</v>
      </c>
      <c r="G596" s="17">
        <f t="shared" si="1199"/>
        <v>732865.81632653053</v>
      </c>
      <c r="H596" s="20"/>
      <c r="I596" s="19">
        <f t="shared" ref="I596:I599" si="1219">(B596-B595)/B595</f>
        <v>1.0270340714667457E-3</v>
      </c>
      <c r="J596" s="19">
        <f t="shared" si="1200"/>
        <v>0.11657450447885259</v>
      </c>
      <c r="K596" s="19">
        <f t="shared" ref="K596:K599" si="1220">(F596-F595)/F595</f>
        <v>1.356876885451678E-3</v>
      </c>
      <c r="L596" s="20">
        <v>14588</v>
      </c>
      <c r="M596" s="19">
        <f t="shared" si="1201"/>
        <v>3.6330931814707229E-2</v>
      </c>
      <c r="N596" s="19">
        <f t="shared" si="1202"/>
        <v>0.94624531799419054</v>
      </c>
      <c r="O596" s="20">
        <v>9982</v>
      </c>
      <c r="P596" s="28">
        <f t="shared" ref="P596:P599" si="1221">F596-F595</f>
        <v>9732</v>
      </c>
      <c r="Q596" s="29">
        <f t="shared" si="1203"/>
        <v>8.8265515824085497E-2</v>
      </c>
      <c r="R596" s="20">
        <f t="shared" ref="R596:S596" si="1222">D596-D595</f>
        <v>16</v>
      </c>
      <c r="S596" s="20">
        <f t="shared" si="1222"/>
        <v>244</v>
      </c>
      <c r="T596" s="20">
        <v>999</v>
      </c>
      <c r="U596" s="20">
        <v>144</v>
      </c>
      <c r="V596" s="19">
        <f t="shared" si="1205"/>
        <v>1.7423750191102278E-2</v>
      </c>
      <c r="W596" s="20">
        <f t="shared" ref="W596:X596" si="1223">T596-T595</f>
        <v>91</v>
      </c>
      <c r="X596" s="20">
        <f t="shared" si="1223"/>
        <v>18</v>
      </c>
      <c r="Y596" s="19">
        <f t="shared" si="1207"/>
        <v>6.8480943241020012E-2</v>
      </c>
      <c r="Z596" s="19">
        <f t="shared" si="1208"/>
        <v>0.14414414414414414</v>
      </c>
      <c r="AA596" s="21">
        <f t="shared" si="1209"/>
        <v>1.5475638051044083</v>
      </c>
      <c r="AB596" s="26">
        <f t="shared" si="1210"/>
        <v>1.4261030483924402</v>
      </c>
      <c r="AC596" s="23">
        <f t="shared" si="1211"/>
        <v>1048.1428571428571</v>
      </c>
      <c r="AD596" s="23">
        <f t="shared" si="1212"/>
        <v>14</v>
      </c>
      <c r="AE596" s="23">
        <f t="shared" si="1213"/>
        <v>14611.571428571429</v>
      </c>
      <c r="AF596" s="25">
        <f t="shared" si="1214"/>
        <v>7.2137341047484871E-2</v>
      </c>
      <c r="AG596" s="20">
        <v>5926446</v>
      </c>
      <c r="AH596" s="21">
        <f t="shared" ref="AH596:AH599" si="1224">AG596-AG595</f>
        <v>2383</v>
      </c>
      <c r="AI596" s="21">
        <f t="shared" si="1215"/>
        <v>2941.8</v>
      </c>
      <c r="AJ596" s="20">
        <v>5703088</v>
      </c>
      <c r="AK596" s="20">
        <f t="shared" ref="AK596:AK599" si="1225">AJ596-AJ595</f>
        <v>3067</v>
      </c>
      <c r="AL596" s="21">
        <f t="shared" si="1216"/>
        <v>4138.3999999999996</v>
      </c>
      <c r="AM596" s="26">
        <f t="shared" si="1217"/>
        <v>417.14285714285717</v>
      </c>
    </row>
    <row r="597" spans="1:39" ht="16">
      <c r="A597" s="30">
        <v>44489</v>
      </c>
      <c r="B597" s="20">
        <f t="shared" si="1218"/>
        <v>838916</v>
      </c>
      <c r="C597" s="20">
        <v>1668</v>
      </c>
      <c r="D597" s="20">
        <v>30448</v>
      </c>
      <c r="E597" s="20">
        <v>792757</v>
      </c>
      <c r="F597" s="20">
        <v>7197609</v>
      </c>
      <c r="G597" s="17">
        <f t="shared" si="1199"/>
        <v>734449.89795918367</v>
      </c>
      <c r="H597" s="20"/>
      <c r="I597" s="19">
        <f t="shared" si="1219"/>
        <v>1.9922412475156703E-3</v>
      </c>
      <c r="J597" s="19">
        <f t="shared" si="1200"/>
        <v>0.11655481702326426</v>
      </c>
      <c r="K597" s="19">
        <f t="shared" si="1220"/>
        <v>2.1614893168209509E-3</v>
      </c>
      <c r="L597" s="20">
        <v>15711</v>
      </c>
      <c r="M597" s="19">
        <f t="shared" si="1201"/>
        <v>3.629445617916454E-2</v>
      </c>
      <c r="N597" s="19">
        <f t="shared" si="1202"/>
        <v>0.94497780469081527</v>
      </c>
      <c r="O597" s="20">
        <v>12638</v>
      </c>
      <c r="P597" s="28">
        <f t="shared" si="1221"/>
        <v>15524</v>
      </c>
      <c r="Q597" s="29">
        <f t="shared" si="1203"/>
        <v>0.10744653439835095</v>
      </c>
      <c r="R597" s="20">
        <f t="shared" ref="R597:S597" si="1226">D597-D596</f>
        <v>30</v>
      </c>
      <c r="S597" s="20">
        <f t="shared" si="1226"/>
        <v>515</v>
      </c>
      <c r="T597" s="20">
        <v>1058</v>
      </c>
      <c r="U597" s="20">
        <v>145</v>
      </c>
      <c r="V597" s="19">
        <f t="shared" si="1205"/>
        <v>1.8727739130020168E-2</v>
      </c>
      <c r="W597" s="20">
        <f t="shared" ref="W597:X597" si="1227">T597-T596</f>
        <v>59</v>
      </c>
      <c r="X597" s="20">
        <f t="shared" si="1227"/>
        <v>1</v>
      </c>
      <c r="Y597" s="19">
        <f t="shared" si="1207"/>
        <v>6.7341353192031064E-2</v>
      </c>
      <c r="Z597" s="19">
        <f t="shared" si="1208"/>
        <v>0.13705103969754254</v>
      </c>
      <c r="AA597" s="21">
        <f t="shared" si="1209"/>
        <v>1.6628095818107997</v>
      </c>
      <c r="AB597" s="26">
        <f t="shared" si="1210"/>
        <v>1.4943236714892392</v>
      </c>
      <c r="AC597" s="23">
        <f t="shared" si="1211"/>
        <v>1170.1428571428571</v>
      </c>
      <c r="AD597" s="23">
        <f t="shared" si="1212"/>
        <v>16.857142857142858</v>
      </c>
      <c r="AE597" s="23">
        <f t="shared" si="1213"/>
        <v>14818.571428571429</v>
      </c>
      <c r="AF597" s="25">
        <f t="shared" si="1214"/>
        <v>8.2060040467119538E-2</v>
      </c>
      <c r="AG597" s="20">
        <v>5929164</v>
      </c>
      <c r="AH597" s="21">
        <f t="shared" si="1224"/>
        <v>2718</v>
      </c>
      <c r="AI597" s="21">
        <f t="shared" si="1215"/>
        <v>3060.4</v>
      </c>
      <c r="AJ597" s="20">
        <v>5706773</v>
      </c>
      <c r="AK597" s="20">
        <f t="shared" si="1225"/>
        <v>3685</v>
      </c>
      <c r="AL597" s="21">
        <f t="shared" si="1216"/>
        <v>4235.3999999999996</v>
      </c>
      <c r="AM597" s="26">
        <f t="shared" si="1217"/>
        <v>436</v>
      </c>
    </row>
    <row r="598" spans="1:39" ht="16">
      <c r="A598" s="30">
        <v>44490</v>
      </c>
      <c r="B598" s="20">
        <f t="shared" si="1218"/>
        <v>841277</v>
      </c>
      <c r="C598" s="20">
        <v>2361</v>
      </c>
      <c r="D598" s="20">
        <v>30468</v>
      </c>
      <c r="E598" s="20">
        <v>793288</v>
      </c>
      <c r="F598" s="20">
        <v>7217103</v>
      </c>
      <c r="G598" s="17">
        <f t="shared" si="1199"/>
        <v>736439.08163265302</v>
      </c>
      <c r="H598" s="20"/>
      <c r="I598" s="19">
        <f t="shared" si="1219"/>
        <v>2.8143461323898934E-3</v>
      </c>
      <c r="J598" s="19">
        <f t="shared" si="1200"/>
        <v>0.11656713226900045</v>
      </c>
      <c r="K598" s="19">
        <f t="shared" si="1220"/>
        <v>2.7083994143055007E-3</v>
      </c>
      <c r="L598" s="20">
        <v>17521</v>
      </c>
      <c r="M598" s="19">
        <f t="shared" si="1201"/>
        <v>3.621637106446509E-2</v>
      </c>
      <c r="N598" s="19">
        <f t="shared" si="1202"/>
        <v>0.9429569571021198</v>
      </c>
      <c r="O598" s="20">
        <v>15854</v>
      </c>
      <c r="P598" s="28">
        <f t="shared" si="1221"/>
        <v>19494</v>
      </c>
      <c r="Q598" s="29">
        <f t="shared" si="1203"/>
        <v>0.12111418898122499</v>
      </c>
      <c r="R598" s="20">
        <f t="shared" ref="R598:S598" si="1228">D598-D597</f>
        <v>20</v>
      </c>
      <c r="S598" s="20">
        <f t="shared" si="1228"/>
        <v>531</v>
      </c>
      <c r="T598" s="20">
        <v>1105</v>
      </c>
      <c r="U598" s="20">
        <v>155</v>
      </c>
      <c r="V598" s="19">
        <f t="shared" si="1205"/>
        <v>2.0826671833415154E-2</v>
      </c>
      <c r="W598" s="20">
        <f t="shared" ref="W598:X598" si="1229">T598-T597</f>
        <v>47</v>
      </c>
      <c r="X598" s="20">
        <f t="shared" si="1229"/>
        <v>10</v>
      </c>
      <c r="Y598" s="19">
        <f t="shared" si="1207"/>
        <v>6.3067176531019925E-2</v>
      </c>
      <c r="Z598" s="19">
        <f t="shared" si="1208"/>
        <v>0.14027149321266968</v>
      </c>
      <c r="AA598" s="21">
        <f t="shared" si="1209"/>
        <v>1.7994263862332696</v>
      </c>
      <c r="AB598" s="26">
        <f t="shared" si="1210"/>
        <v>1.5881188953143719</v>
      </c>
      <c r="AC598" s="23">
        <f t="shared" si="1211"/>
        <v>1344.4285714285713</v>
      </c>
      <c r="AD598" s="23">
        <f t="shared" si="1212"/>
        <v>18.142857142857142</v>
      </c>
      <c r="AE598" s="23">
        <f t="shared" si="1213"/>
        <v>15278.142857142857</v>
      </c>
      <c r="AF598" s="25">
        <f t="shared" si="1214"/>
        <v>9.2263095748159024E-2</v>
      </c>
      <c r="AG598" s="20">
        <v>5932239</v>
      </c>
      <c r="AH598" s="21">
        <f t="shared" si="1224"/>
        <v>3075</v>
      </c>
      <c r="AI598" s="21">
        <f t="shared" si="1215"/>
        <v>3094</v>
      </c>
      <c r="AJ598" s="20">
        <v>5710977</v>
      </c>
      <c r="AK598" s="20">
        <f t="shared" si="1225"/>
        <v>4204</v>
      </c>
      <c r="AL598" s="21">
        <f t="shared" si="1216"/>
        <v>4321.2</v>
      </c>
      <c r="AM598" s="26">
        <f t="shared" si="1217"/>
        <v>451.57142857142856</v>
      </c>
    </row>
    <row r="599" spans="1:39" ht="16">
      <c r="A599" s="30">
        <v>44491</v>
      </c>
      <c r="B599" s="20">
        <f t="shared" si="1218"/>
        <v>843825</v>
      </c>
      <c r="C599" s="20">
        <v>2548</v>
      </c>
      <c r="D599" s="20">
        <v>30492</v>
      </c>
      <c r="E599" s="20">
        <v>793842</v>
      </c>
      <c r="F599" s="20">
        <v>7236933</v>
      </c>
      <c r="G599" s="17">
        <f t="shared" si="1199"/>
        <v>738462.55102040817</v>
      </c>
      <c r="H599" s="20"/>
      <c r="I599" s="19">
        <f t="shared" si="1219"/>
        <v>3.0287289442121916E-3</v>
      </c>
      <c r="J599" s="19">
        <f t="shared" si="1200"/>
        <v>0.11659980823368131</v>
      </c>
      <c r="K599" s="19">
        <f t="shared" si="1220"/>
        <v>2.7476398771085851E-3</v>
      </c>
      <c r="L599" s="20">
        <v>19491</v>
      </c>
      <c r="M599" s="19">
        <f t="shared" si="1201"/>
        <v>3.6135454626255441E-2</v>
      </c>
      <c r="N599" s="19">
        <f t="shared" si="1202"/>
        <v>0.94076615411963382</v>
      </c>
      <c r="O599" s="20">
        <v>17984</v>
      </c>
      <c r="P599" s="28">
        <f t="shared" si="1221"/>
        <v>19830</v>
      </c>
      <c r="Q599" s="29">
        <f t="shared" si="1203"/>
        <v>0.12849218356026224</v>
      </c>
      <c r="R599" s="20">
        <f t="shared" ref="R599:S599" si="1230">D599-D598</f>
        <v>24</v>
      </c>
      <c r="S599" s="20">
        <f t="shared" si="1230"/>
        <v>554</v>
      </c>
      <c r="T599" s="20">
        <v>1233</v>
      </c>
      <c r="U599" s="20">
        <v>169</v>
      </c>
      <c r="V599" s="19">
        <f t="shared" si="1205"/>
        <v>2.3098391254110746E-2</v>
      </c>
      <c r="W599" s="20">
        <f t="shared" ref="W599:X599" si="1231">T599-T598</f>
        <v>128</v>
      </c>
      <c r="X599" s="20">
        <f t="shared" si="1231"/>
        <v>14</v>
      </c>
      <c r="Y599" s="19">
        <f t="shared" si="1207"/>
        <v>6.3259966138217633E-2</v>
      </c>
      <c r="Z599" s="19">
        <f t="shared" si="1208"/>
        <v>0.13706407137064072</v>
      </c>
      <c r="AA599" s="21">
        <f t="shared" si="1209"/>
        <v>1.8773006134969326</v>
      </c>
      <c r="AB599" s="26">
        <f t="shared" si="1210"/>
        <v>1.680171169032139</v>
      </c>
      <c r="AC599" s="23">
        <f t="shared" si="1211"/>
        <v>1530</v>
      </c>
      <c r="AD599" s="23">
        <f t="shared" si="1212"/>
        <v>20.142857142857142</v>
      </c>
      <c r="AE599" s="23">
        <f t="shared" si="1213"/>
        <v>15603.285714285714</v>
      </c>
      <c r="AF599" s="25">
        <f t="shared" si="1214"/>
        <v>0.10373115761687093</v>
      </c>
      <c r="AG599" s="20">
        <v>5935182</v>
      </c>
      <c r="AH599" s="21">
        <f t="shared" si="1224"/>
        <v>2943</v>
      </c>
      <c r="AI599" s="21">
        <f t="shared" si="1215"/>
        <v>3050.4</v>
      </c>
      <c r="AJ599" s="20">
        <v>5714861</v>
      </c>
      <c r="AK599" s="20">
        <f t="shared" si="1225"/>
        <v>3884</v>
      </c>
      <c r="AL599" s="21">
        <f t="shared" si="1216"/>
        <v>4105</v>
      </c>
      <c r="AM599" s="26">
        <f t="shared" si="1217"/>
        <v>456.57142857142856</v>
      </c>
    </row>
    <row r="600" spans="1:39" ht="13">
      <c r="A600" s="30">
        <v>44492</v>
      </c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8"/>
      <c r="Q600" s="28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</row>
    <row r="601" spans="1:39" ht="13">
      <c r="A601" s="30">
        <v>44493</v>
      </c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8"/>
      <c r="Q601" s="28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</row>
    <row r="602" spans="1:39" ht="16">
      <c r="A602" s="30">
        <v>44494</v>
      </c>
      <c r="B602" s="20">
        <f>B599+C602</f>
        <v>850513</v>
      </c>
      <c r="C602" s="20">
        <v>6688</v>
      </c>
      <c r="D602" s="20">
        <v>30567</v>
      </c>
      <c r="E602" s="20">
        <v>795562</v>
      </c>
      <c r="F602" s="20">
        <v>7290223</v>
      </c>
      <c r="G602" s="17">
        <f t="shared" ref="G602:G606" si="1232">F602/9.8</f>
        <v>743900.30612244888</v>
      </c>
      <c r="H602" s="20"/>
      <c r="I602" s="19">
        <f>(B602-B599)/B599</f>
        <v>7.9258140017183665E-3</v>
      </c>
      <c r="J602" s="19">
        <f t="shared" ref="J602:J606" si="1233">B602/F602</f>
        <v>0.11666488117030165</v>
      </c>
      <c r="K602" s="19">
        <f>(F602-F599)/F599</f>
        <v>7.3636166038845464E-3</v>
      </c>
      <c r="L602" s="20">
        <v>24384</v>
      </c>
      <c r="M602" s="19">
        <f t="shared" ref="M602:M606" si="1234">D602/B602</f>
        <v>3.5939485933783495E-2</v>
      </c>
      <c r="N602" s="19">
        <f t="shared" ref="N602:N606" si="1235">E602/B602</f>
        <v>0.93539075828353002</v>
      </c>
      <c r="O602" s="20">
        <v>16603</v>
      </c>
      <c r="P602" s="28">
        <f>F602-F599</f>
        <v>53290</v>
      </c>
      <c r="Q602" s="29">
        <f t="shared" ref="Q602:Q606" si="1236">C602/P602</f>
        <v>0.12550197035091012</v>
      </c>
      <c r="R602" s="20">
        <f t="shared" ref="R602:S602" si="1237">D602-D599</f>
        <v>75</v>
      </c>
      <c r="S602" s="20">
        <f t="shared" si="1237"/>
        <v>1720</v>
      </c>
      <c r="T602" s="20">
        <v>1588</v>
      </c>
      <c r="U602" s="20">
        <v>191</v>
      </c>
      <c r="V602" s="19">
        <f t="shared" ref="V602:V606" si="1238">L602/B602</f>
        <v>2.8669755782686449E-2</v>
      </c>
      <c r="W602" s="20">
        <f t="shared" ref="W602:X602" si="1239">T602-T599</f>
        <v>355</v>
      </c>
      <c r="X602" s="20">
        <f t="shared" si="1239"/>
        <v>22</v>
      </c>
      <c r="Y602" s="19">
        <f t="shared" ref="Y602:Y606" si="1240">T602/L602</f>
        <v>6.5124671916010499E-2</v>
      </c>
      <c r="Z602" s="19">
        <f t="shared" ref="Z602:Z606" si="1241">U602/T602</f>
        <v>0.12027707808564232</v>
      </c>
      <c r="AA602" s="21">
        <f t="shared" ref="AA602:AA606" si="1242">(C596+C597+C598+C599+C600+C601+C602)/(C589+C590+C591+C592+C593+C594+C595)</f>
        <v>2.0372133275638253</v>
      </c>
      <c r="AB602" s="26">
        <f t="shared" ref="AB602:AB606" si="1243">SUM(AA596:AA602)/5</f>
        <v>1.7848627428418471</v>
      </c>
      <c r="AC602" s="23">
        <f t="shared" ref="AC602:AC606" si="1244">SUM(C596:C602)/7</f>
        <v>2017.7142857142858</v>
      </c>
      <c r="AD602" s="23">
        <f t="shared" ref="AD602:AD606" si="1245">SUM(R596:R602)/7</f>
        <v>23.571428571428573</v>
      </c>
      <c r="AE602" s="23">
        <f t="shared" ref="AE602:AE606" si="1246">SUM(P596:P602)/7</f>
        <v>16838.571428571428</v>
      </c>
      <c r="AF602" s="25">
        <f t="shared" ref="AF602:AF606" si="1247">SUM(Q596:Q602)/5</f>
        <v>0.11416407862296676</v>
      </c>
      <c r="AG602" s="20">
        <v>5938665</v>
      </c>
      <c r="AH602" s="21">
        <f>AG602-AG599</f>
        <v>3483</v>
      </c>
      <c r="AI602" s="21">
        <f t="shared" ref="AI602:AI606" si="1248">(SUM(AH596:AH602))/5</f>
        <v>2920.4</v>
      </c>
      <c r="AJ602" s="20">
        <v>5718873</v>
      </c>
      <c r="AK602" s="20">
        <f>AJ602-AJ599</f>
        <v>4012</v>
      </c>
      <c r="AL602" s="21">
        <f t="shared" ref="AL602:AL606" si="1249">(SUM(AK596:AK602))/5</f>
        <v>3770.4</v>
      </c>
      <c r="AM602" s="26">
        <f t="shared" ref="AM602:AM606" si="1250">SUM(S596:S602)/7</f>
        <v>509.14285714285717</v>
      </c>
    </row>
    <row r="603" spans="1:39" ht="16">
      <c r="A603" s="30">
        <v>44495</v>
      </c>
      <c r="B603" s="20">
        <f t="shared" ref="B603:B606" si="1251">B602+C603</f>
        <v>852214</v>
      </c>
      <c r="C603" s="20">
        <v>1701</v>
      </c>
      <c r="D603" s="20">
        <v>30611</v>
      </c>
      <c r="E603" s="20">
        <v>795828</v>
      </c>
      <c r="F603" s="20">
        <v>7301452</v>
      </c>
      <c r="G603" s="17">
        <f t="shared" si="1232"/>
        <v>745046.12244897953</v>
      </c>
      <c r="H603" s="20"/>
      <c r="I603" s="19">
        <f t="shared" ref="I603:I606" si="1252">(B603-B602)/B602</f>
        <v>1.9999694302144707E-3</v>
      </c>
      <c r="J603" s="19">
        <f t="shared" si="1233"/>
        <v>0.1167184280606104</v>
      </c>
      <c r="K603" s="19">
        <f t="shared" ref="K603:K606" si="1253">(F603-F602)/F602</f>
        <v>1.5402821011099386E-3</v>
      </c>
      <c r="L603" s="20">
        <v>25775</v>
      </c>
      <c r="M603" s="19">
        <f t="shared" si="1234"/>
        <v>3.5919381751531892E-2</v>
      </c>
      <c r="N603" s="19">
        <f t="shared" si="1235"/>
        <v>0.93383586751684433</v>
      </c>
      <c r="O603" s="20">
        <v>16742</v>
      </c>
      <c r="P603" s="28">
        <f t="shared" ref="P603:P606" si="1254">F603-F602</f>
        <v>11229</v>
      </c>
      <c r="Q603" s="29">
        <f t="shared" si="1236"/>
        <v>0.15148276783328882</v>
      </c>
      <c r="R603" s="20">
        <f t="shared" ref="R603:S603" si="1255">D603-D602</f>
        <v>44</v>
      </c>
      <c r="S603" s="20">
        <f t="shared" si="1255"/>
        <v>266</v>
      </c>
      <c r="T603" s="20">
        <v>1685</v>
      </c>
      <c r="U603" s="20">
        <v>197</v>
      </c>
      <c r="V603" s="19">
        <f t="shared" si="1238"/>
        <v>3.0244750731623748E-2</v>
      </c>
      <c r="W603" s="20">
        <f t="shared" ref="W603:X603" si="1256">T603-T602</f>
        <v>97</v>
      </c>
      <c r="X603" s="20">
        <f t="shared" si="1256"/>
        <v>6</v>
      </c>
      <c r="Y603" s="19">
        <f t="shared" si="1240"/>
        <v>6.537342386032978E-2</v>
      </c>
      <c r="Z603" s="19">
        <f t="shared" si="1241"/>
        <v>0.11691394658753709</v>
      </c>
      <c r="AA603" s="21">
        <f t="shared" si="1242"/>
        <v>2.0397982826768435</v>
      </c>
      <c r="AB603" s="26">
        <f t="shared" si="1243"/>
        <v>1.8833096383563341</v>
      </c>
      <c r="AC603" s="23">
        <f t="shared" si="1244"/>
        <v>2138</v>
      </c>
      <c r="AD603" s="23">
        <f t="shared" si="1245"/>
        <v>27.571428571428573</v>
      </c>
      <c r="AE603" s="23">
        <f t="shared" si="1246"/>
        <v>17052.428571428572</v>
      </c>
      <c r="AF603" s="25">
        <f t="shared" si="1247"/>
        <v>0.12680752902480744</v>
      </c>
      <c r="AG603" s="20">
        <v>5941073</v>
      </c>
      <c r="AH603" s="21">
        <f t="shared" ref="AH603:AH606" si="1257">AG603-AG602</f>
        <v>2408</v>
      </c>
      <c r="AI603" s="21">
        <f t="shared" si="1248"/>
        <v>2925.4</v>
      </c>
      <c r="AJ603" s="20">
        <v>5721531</v>
      </c>
      <c r="AK603" s="20">
        <f t="shared" ref="AK603:AK606" si="1258">AJ603-AJ602</f>
        <v>2658</v>
      </c>
      <c r="AL603" s="21">
        <f t="shared" si="1249"/>
        <v>3688.6</v>
      </c>
      <c r="AM603" s="26">
        <f t="shared" si="1250"/>
        <v>512.28571428571433</v>
      </c>
    </row>
    <row r="604" spans="1:39" ht="16">
      <c r="A604" s="30">
        <v>44496</v>
      </c>
      <c r="B604" s="20">
        <f t="shared" si="1251"/>
        <v>855339</v>
      </c>
      <c r="C604" s="20">
        <v>3125</v>
      </c>
      <c r="D604" s="20">
        <v>30647</v>
      </c>
      <c r="E604" s="20">
        <v>796435</v>
      </c>
      <c r="F604" s="20">
        <v>7320374</v>
      </c>
      <c r="G604" s="17">
        <f t="shared" si="1232"/>
        <v>746976.93877551018</v>
      </c>
      <c r="H604" s="20"/>
      <c r="I604" s="19">
        <f t="shared" si="1252"/>
        <v>3.6669193418554496E-3</v>
      </c>
      <c r="J604" s="19">
        <f t="shared" si="1233"/>
        <v>0.11684362028497451</v>
      </c>
      <c r="K604" s="19">
        <f t="shared" si="1253"/>
        <v>2.5915393266983059E-3</v>
      </c>
      <c r="L604" s="20">
        <v>28257</v>
      </c>
      <c r="M604" s="19">
        <f t="shared" si="1234"/>
        <v>3.5830238069350283E-2</v>
      </c>
      <c r="N604" s="19">
        <f t="shared" si="1235"/>
        <v>0.93113373761748264</v>
      </c>
      <c r="O604" s="20">
        <v>19379</v>
      </c>
      <c r="P604" s="28">
        <f t="shared" si="1254"/>
        <v>18922</v>
      </c>
      <c r="Q604" s="29">
        <f t="shared" si="1236"/>
        <v>0.16515167529859423</v>
      </c>
      <c r="R604" s="20">
        <f t="shared" ref="R604:S604" si="1259">D604-D603</f>
        <v>36</v>
      </c>
      <c r="S604" s="20">
        <f t="shared" si="1259"/>
        <v>607</v>
      </c>
      <c r="T604" s="20">
        <v>1798</v>
      </c>
      <c r="U604" s="20">
        <v>197</v>
      </c>
      <c r="V604" s="19">
        <f t="shared" si="1238"/>
        <v>3.3036024313167059E-2</v>
      </c>
      <c r="W604" s="20">
        <f t="shared" ref="W604:X604" si="1260">T604-T603</f>
        <v>113</v>
      </c>
      <c r="X604" s="20">
        <f t="shared" si="1260"/>
        <v>0</v>
      </c>
      <c r="Y604" s="19">
        <f t="shared" si="1240"/>
        <v>6.3630250911278621E-2</v>
      </c>
      <c r="Z604" s="19">
        <f t="shared" si="1241"/>
        <v>0.10956618464961068</v>
      </c>
      <c r="AA604" s="21">
        <f t="shared" si="1242"/>
        <v>2.0050054938346968</v>
      </c>
      <c r="AB604" s="26">
        <f t="shared" si="1243"/>
        <v>1.9517488207611133</v>
      </c>
      <c r="AC604" s="23">
        <f t="shared" si="1244"/>
        <v>2346.1428571428573</v>
      </c>
      <c r="AD604" s="23">
        <f t="shared" si="1245"/>
        <v>28.428571428571427</v>
      </c>
      <c r="AE604" s="23">
        <f t="shared" si="1246"/>
        <v>17537.857142857141</v>
      </c>
      <c r="AF604" s="25">
        <f t="shared" si="1247"/>
        <v>0.13834855720485609</v>
      </c>
      <c r="AG604" s="20">
        <v>5943832</v>
      </c>
      <c r="AH604" s="21">
        <f t="shared" si="1257"/>
        <v>2759</v>
      </c>
      <c r="AI604" s="21">
        <f t="shared" si="1248"/>
        <v>2933.6</v>
      </c>
      <c r="AJ604" s="20">
        <v>5724539</v>
      </c>
      <c r="AK604" s="20">
        <f t="shared" si="1258"/>
        <v>3008</v>
      </c>
      <c r="AL604" s="21">
        <f t="shared" si="1249"/>
        <v>3553.2</v>
      </c>
      <c r="AM604" s="26">
        <f t="shared" si="1250"/>
        <v>525.42857142857144</v>
      </c>
    </row>
    <row r="605" spans="1:39" ht="16">
      <c r="A605" s="30">
        <v>44497</v>
      </c>
      <c r="B605" s="20">
        <f t="shared" si="1251"/>
        <v>859378</v>
      </c>
      <c r="C605" s="20">
        <v>4039</v>
      </c>
      <c r="D605" s="20">
        <v>30692</v>
      </c>
      <c r="E605" s="20">
        <v>797142</v>
      </c>
      <c r="F605" s="20">
        <v>7348118</v>
      </c>
      <c r="G605" s="17">
        <f t="shared" si="1232"/>
        <v>749807.95918367337</v>
      </c>
      <c r="H605" s="20"/>
      <c r="I605" s="19">
        <f t="shared" si="1252"/>
        <v>4.7221043352401798E-3</v>
      </c>
      <c r="J605" s="19">
        <f t="shared" si="1233"/>
        <v>0.1169521229789723</v>
      </c>
      <c r="K605" s="19">
        <f t="shared" si="1253"/>
        <v>3.7899702938674991E-3</v>
      </c>
      <c r="L605" s="20">
        <v>31544</v>
      </c>
      <c r="M605" s="19">
        <f t="shared" si="1234"/>
        <v>3.571420259769275E-2</v>
      </c>
      <c r="N605" s="19">
        <f t="shared" si="1235"/>
        <v>0.927580180083735</v>
      </c>
      <c r="O605" s="20">
        <v>22710</v>
      </c>
      <c r="P605" s="28">
        <f t="shared" si="1254"/>
        <v>27744</v>
      </c>
      <c r="Q605" s="29">
        <f t="shared" si="1236"/>
        <v>0.14558102652825836</v>
      </c>
      <c r="R605" s="20">
        <f t="shared" ref="R605:S605" si="1261">D605-D604</f>
        <v>45</v>
      </c>
      <c r="S605" s="20">
        <f t="shared" si="1261"/>
        <v>707</v>
      </c>
      <c r="T605" s="20">
        <v>1970</v>
      </c>
      <c r="U605" s="20">
        <v>204</v>
      </c>
      <c r="V605" s="19">
        <f t="shared" si="1238"/>
        <v>3.6705617318572269E-2</v>
      </c>
      <c r="W605" s="20">
        <f t="shared" ref="W605:X605" si="1262">T605-T604</f>
        <v>172</v>
      </c>
      <c r="X605" s="20">
        <f t="shared" si="1262"/>
        <v>7</v>
      </c>
      <c r="Y605" s="19">
        <f t="shared" si="1240"/>
        <v>6.2452447375095102E-2</v>
      </c>
      <c r="Z605" s="19">
        <f t="shared" si="1241"/>
        <v>0.10355329949238579</v>
      </c>
      <c r="AA605" s="21">
        <f t="shared" si="1242"/>
        <v>1.9233875252364254</v>
      </c>
      <c r="AB605" s="26">
        <f t="shared" si="1243"/>
        <v>1.9765410485617445</v>
      </c>
      <c r="AC605" s="23">
        <f t="shared" si="1244"/>
        <v>2585.8571428571427</v>
      </c>
      <c r="AD605" s="23">
        <f t="shared" si="1245"/>
        <v>32</v>
      </c>
      <c r="AE605" s="23">
        <f t="shared" si="1246"/>
        <v>18716.428571428572</v>
      </c>
      <c r="AF605" s="25">
        <f t="shared" si="1247"/>
        <v>0.14324192471426272</v>
      </c>
      <c r="AG605" s="20">
        <v>5947085</v>
      </c>
      <c r="AH605" s="21">
        <f t="shared" si="1257"/>
        <v>3253</v>
      </c>
      <c r="AI605" s="21">
        <f t="shared" si="1248"/>
        <v>2969.2</v>
      </c>
      <c r="AJ605" s="20">
        <v>5728025</v>
      </c>
      <c r="AK605" s="20">
        <f t="shared" si="1258"/>
        <v>3486</v>
      </c>
      <c r="AL605" s="21">
        <f t="shared" si="1249"/>
        <v>3409.6</v>
      </c>
      <c r="AM605" s="26">
        <f t="shared" si="1250"/>
        <v>550.57142857142856</v>
      </c>
    </row>
    <row r="606" spans="1:39" ht="16">
      <c r="A606" s="30">
        <v>44498</v>
      </c>
      <c r="B606" s="20">
        <f t="shared" si="1251"/>
        <v>863419</v>
      </c>
      <c r="C606" s="20">
        <v>4041</v>
      </c>
      <c r="D606" s="20">
        <v>30729</v>
      </c>
      <c r="E606" s="20">
        <v>797910</v>
      </c>
      <c r="F606" s="20">
        <v>7371187</v>
      </c>
      <c r="G606" s="17">
        <f t="shared" si="1232"/>
        <v>752161.93877551018</v>
      </c>
      <c r="H606" s="20"/>
      <c r="I606" s="19">
        <f t="shared" si="1252"/>
        <v>4.702238130368709E-3</v>
      </c>
      <c r="J606" s="19">
        <f t="shared" si="1233"/>
        <v>0.11713432314225647</v>
      </c>
      <c r="K606" s="19">
        <f t="shared" si="1253"/>
        <v>3.1394433241273478E-3</v>
      </c>
      <c r="L606" s="20">
        <v>34780</v>
      </c>
      <c r="M606" s="19">
        <f t="shared" si="1234"/>
        <v>3.5589904785509698E-2</v>
      </c>
      <c r="N606" s="19">
        <f t="shared" si="1235"/>
        <v>0.92412837799492487</v>
      </c>
      <c r="O606" s="20">
        <v>24231</v>
      </c>
      <c r="P606" s="28">
        <f t="shared" si="1254"/>
        <v>23069</v>
      </c>
      <c r="Q606" s="29">
        <f t="shared" si="1236"/>
        <v>0.17517014174866705</v>
      </c>
      <c r="R606" s="20">
        <f t="shared" ref="R606:S606" si="1263">D606-D605</f>
        <v>37</v>
      </c>
      <c r="S606" s="20">
        <f t="shared" si="1263"/>
        <v>768</v>
      </c>
      <c r="T606" s="20">
        <v>2130</v>
      </c>
      <c r="U606" s="20">
        <v>230</v>
      </c>
      <c r="V606" s="19">
        <f t="shared" si="1238"/>
        <v>4.0281717219565472E-2</v>
      </c>
      <c r="W606" s="20">
        <f t="shared" ref="W606:X606" si="1264">T606-T605</f>
        <v>160</v>
      </c>
      <c r="X606" s="20">
        <f t="shared" si="1264"/>
        <v>26</v>
      </c>
      <c r="Y606" s="19">
        <f t="shared" si="1240"/>
        <v>6.1242093156986775E-2</v>
      </c>
      <c r="Z606" s="19">
        <f t="shared" si="1241"/>
        <v>0.107981220657277</v>
      </c>
      <c r="AA606" s="21">
        <f t="shared" si="1242"/>
        <v>1.8295051353874883</v>
      </c>
      <c r="AB606" s="26">
        <f t="shared" si="1243"/>
        <v>1.966981952939856</v>
      </c>
      <c r="AC606" s="23">
        <f t="shared" si="1244"/>
        <v>2799.1428571428573</v>
      </c>
      <c r="AD606" s="23">
        <f t="shared" si="1245"/>
        <v>33.857142857142854</v>
      </c>
      <c r="AE606" s="23">
        <f t="shared" si="1246"/>
        <v>19179.142857142859</v>
      </c>
      <c r="AF606" s="25">
        <f t="shared" si="1247"/>
        <v>0.15257751635194372</v>
      </c>
      <c r="AG606" s="20">
        <v>5950259</v>
      </c>
      <c r="AH606" s="21">
        <f t="shared" si="1257"/>
        <v>3174</v>
      </c>
      <c r="AI606" s="21">
        <f t="shared" si="1248"/>
        <v>3015.4</v>
      </c>
      <c r="AJ606" s="20">
        <v>5731651</v>
      </c>
      <c r="AK606" s="20">
        <f t="shared" si="1258"/>
        <v>3626</v>
      </c>
      <c r="AL606" s="21">
        <f t="shared" si="1249"/>
        <v>3358</v>
      </c>
      <c r="AM606" s="26">
        <f t="shared" si="1250"/>
        <v>581.14285714285711</v>
      </c>
    </row>
    <row r="607" spans="1:39" ht="13">
      <c r="A607" s="30">
        <v>44499</v>
      </c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8"/>
      <c r="Q607" s="28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</row>
    <row r="608" spans="1:39" ht="13">
      <c r="A608" s="30">
        <v>44500</v>
      </c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8"/>
      <c r="Q608" s="28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</row>
    <row r="609" spans="1:39" ht="16">
      <c r="A609" s="30">
        <v>44501</v>
      </c>
      <c r="B609" s="20">
        <f>B606+C609</f>
        <v>874630</v>
      </c>
      <c r="C609" s="20">
        <v>11211</v>
      </c>
      <c r="D609" s="20">
        <v>30881</v>
      </c>
      <c r="E609" s="20">
        <v>800207</v>
      </c>
      <c r="F609" s="20">
        <v>7452355</v>
      </c>
      <c r="G609" s="17">
        <f t="shared" ref="G609:G613" si="1265">F609/9.8</f>
        <v>760444.38775510201</v>
      </c>
      <c r="H609" s="20"/>
      <c r="I609" s="19">
        <f>(B609-B606)/B606</f>
        <v>1.2984425869710998E-2</v>
      </c>
      <c r="J609" s="19">
        <f t="shared" ref="J609:J613" si="1266">B609/F609</f>
        <v>0.11736290072064469</v>
      </c>
      <c r="K609" s="19">
        <f>(F609-F606)/F606</f>
        <v>1.1011523652839089E-2</v>
      </c>
      <c r="L609" s="20">
        <v>43542</v>
      </c>
      <c r="M609" s="19">
        <f t="shared" ref="M609:M613" si="1267">D609/B609</f>
        <v>3.530750145775928E-2</v>
      </c>
      <c r="N609" s="19">
        <f t="shared" ref="N609:N613" si="1268">E609/B609</f>
        <v>0.9149091615883288</v>
      </c>
      <c r="O609" s="20">
        <v>20156</v>
      </c>
      <c r="P609" s="28">
        <f>F609-F606</f>
        <v>81168</v>
      </c>
      <c r="Q609" s="29">
        <f t="shared" ref="Q609:Q613" si="1269">C609/P609</f>
        <v>0.13812093435836784</v>
      </c>
      <c r="R609" s="20">
        <f t="shared" ref="R609:S609" si="1270">D609-D606</f>
        <v>152</v>
      </c>
      <c r="S609" s="20">
        <f t="shared" si="1270"/>
        <v>2297</v>
      </c>
      <c r="T609" s="20">
        <v>2605</v>
      </c>
      <c r="U609" s="20">
        <v>299</v>
      </c>
      <c r="V609" s="19">
        <f t="shared" ref="V609:V613" si="1271">L609/B609</f>
        <v>4.978333695391194E-2</v>
      </c>
      <c r="W609" s="20">
        <f t="shared" ref="W609:X609" si="1272">T609-T606</f>
        <v>475</v>
      </c>
      <c r="X609" s="20">
        <f t="shared" si="1272"/>
        <v>69</v>
      </c>
      <c r="Y609" s="19">
        <f t="shared" ref="Y609:Y613" si="1273">T609/L609</f>
        <v>5.9827293188186116E-2</v>
      </c>
      <c r="Z609" s="19">
        <f t="shared" ref="Z609:Z613" si="1274">U609/T609</f>
        <v>0.11477927063339731</v>
      </c>
      <c r="AA609" s="21">
        <f t="shared" ref="AA609:AA613" si="1275">(C603+C604+C605+C606+C607+C608+C609)/(C596+C597+C598+C599+C600+C601+C602)</f>
        <v>1.7075191163976211</v>
      </c>
      <c r="AB609" s="26">
        <f t="shared" ref="AB609:AB613" si="1276">SUM(AA603:AA609)/5</f>
        <v>1.901043110706615</v>
      </c>
      <c r="AC609" s="23">
        <f t="shared" ref="AC609:AC613" si="1277">SUM(C603:C609)/7</f>
        <v>3445.2857142857142</v>
      </c>
      <c r="AD609" s="23">
        <f t="shared" ref="AD609:AD613" si="1278">SUM(R603:R609)/7</f>
        <v>44.857142857142854</v>
      </c>
      <c r="AE609" s="23">
        <f t="shared" ref="AE609:AE613" si="1279">SUM(P603:P609)/7</f>
        <v>23161.714285714286</v>
      </c>
      <c r="AF609" s="25">
        <f t="shared" ref="AF609:AF613" si="1280">SUM(Q603:Q609)/5</f>
        <v>0.15510130915343526</v>
      </c>
      <c r="AG609" s="20">
        <v>5955207</v>
      </c>
      <c r="AH609" s="21">
        <f>AG609-AG606</f>
        <v>4948</v>
      </c>
      <c r="AI609" s="21">
        <f t="shared" ref="AI609:AI613" si="1281">(SUM(AH603:AH609))/5</f>
        <v>3308.4</v>
      </c>
      <c r="AJ609" s="20">
        <v>5736378</v>
      </c>
      <c r="AK609" s="20">
        <f>AJ609-AJ606</f>
        <v>4727</v>
      </c>
      <c r="AL609" s="21">
        <f t="shared" ref="AL609:AL613" si="1282">(SUM(AK603:AK609))/5</f>
        <v>3501</v>
      </c>
      <c r="AM609" s="26">
        <f t="shared" ref="AM609:AM613" si="1283">SUM(S603:S609)/7</f>
        <v>663.57142857142856</v>
      </c>
    </row>
    <row r="610" spans="1:39" ht="16">
      <c r="A610" s="30">
        <v>44502</v>
      </c>
      <c r="B610" s="20">
        <f t="shared" ref="B610:B613" si="1284">B609+C610</f>
        <v>876497</v>
      </c>
      <c r="C610" s="20">
        <v>1867</v>
      </c>
      <c r="D610" s="20">
        <v>30920</v>
      </c>
      <c r="E610" s="20">
        <v>800796</v>
      </c>
      <c r="F610" s="20">
        <v>7464487</v>
      </c>
      <c r="G610" s="17">
        <f t="shared" si="1265"/>
        <v>761682.3469387755</v>
      </c>
      <c r="H610" s="20"/>
      <c r="I610" s="19">
        <f t="shared" ref="I610:I613" si="1285">(B610-B609)/B609</f>
        <v>2.1346169237277477E-3</v>
      </c>
      <c r="J610" s="19">
        <f t="shared" si="1266"/>
        <v>0.1174222689382405</v>
      </c>
      <c r="K610" s="19">
        <f t="shared" ref="K610:K613" si="1286">(F610-F609)/F609</f>
        <v>1.6279417714266161E-3</v>
      </c>
      <c r="L610" s="20">
        <v>44781</v>
      </c>
      <c r="M610" s="19">
        <f t="shared" si="1267"/>
        <v>3.5276789310174479E-2</v>
      </c>
      <c r="N610" s="19">
        <f t="shared" si="1268"/>
        <v>0.91363233416657441</v>
      </c>
      <c r="O610" s="20">
        <v>17549</v>
      </c>
      <c r="P610" s="28">
        <f t="shared" ref="P610:P613" si="1287">F610-F609</f>
        <v>12132</v>
      </c>
      <c r="Q610" s="29">
        <f t="shared" si="1269"/>
        <v>0.1538905374216947</v>
      </c>
      <c r="R610" s="20">
        <f t="shared" ref="R610:S610" si="1288">D610-D609</f>
        <v>39</v>
      </c>
      <c r="S610" s="20">
        <f t="shared" si="1288"/>
        <v>589</v>
      </c>
      <c r="T610" s="20">
        <v>2839</v>
      </c>
      <c r="U610" s="20">
        <v>312</v>
      </c>
      <c r="V610" s="19">
        <f t="shared" si="1271"/>
        <v>5.1090876523251075E-2</v>
      </c>
      <c r="W610" s="20">
        <f t="shared" ref="W610:X610" si="1289">T610-T609</f>
        <v>234</v>
      </c>
      <c r="X610" s="20">
        <f t="shared" si="1289"/>
        <v>13</v>
      </c>
      <c r="Y610" s="19">
        <f t="shared" si="1273"/>
        <v>6.3397423014224782E-2</v>
      </c>
      <c r="Z610" s="19">
        <f t="shared" si="1274"/>
        <v>0.10989785135611131</v>
      </c>
      <c r="AA610" s="21">
        <f t="shared" si="1275"/>
        <v>1.6225444340505144</v>
      </c>
      <c r="AB610" s="26">
        <f t="shared" si="1276"/>
        <v>1.8175923409813493</v>
      </c>
      <c r="AC610" s="23">
        <f t="shared" si="1277"/>
        <v>3469</v>
      </c>
      <c r="AD610" s="23">
        <f t="shared" si="1278"/>
        <v>44.142857142857146</v>
      </c>
      <c r="AE610" s="23">
        <f t="shared" si="1279"/>
        <v>23290.714285714286</v>
      </c>
      <c r="AF610" s="25">
        <f t="shared" si="1280"/>
        <v>0.15558286307111641</v>
      </c>
      <c r="AG610" s="20">
        <v>5955250</v>
      </c>
      <c r="AH610" s="21">
        <f t="shared" ref="AH610:AH613" si="1290">AG610-AG609</f>
        <v>43</v>
      </c>
      <c r="AI610" s="21">
        <f t="shared" si="1281"/>
        <v>2835.4</v>
      </c>
      <c r="AJ610" s="20">
        <v>5736452</v>
      </c>
      <c r="AK610" s="20">
        <f t="shared" ref="AK610:AK613" si="1291">AJ610-AJ609</f>
        <v>74</v>
      </c>
      <c r="AL610" s="21">
        <f t="shared" si="1282"/>
        <v>2984.2</v>
      </c>
      <c r="AM610" s="26">
        <f t="shared" si="1283"/>
        <v>709.71428571428567</v>
      </c>
    </row>
    <row r="611" spans="1:39" ht="16">
      <c r="A611" s="30">
        <v>44503</v>
      </c>
      <c r="B611" s="20">
        <f t="shared" si="1284"/>
        <v>879092</v>
      </c>
      <c r="C611" s="20">
        <v>2595</v>
      </c>
      <c r="D611" s="20">
        <v>30994</v>
      </c>
      <c r="E611" s="20">
        <v>801690</v>
      </c>
      <c r="F611" s="20">
        <v>7477324</v>
      </c>
      <c r="G611" s="17">
        <f t="shared" si="1265"/>
        <v>762992.24489795917</v>
      </c>
      <c r="H611" s="20"/>
      <c r="I611" s="19">
        <f t="shared" si="1285"/>
        <v>2.9606490381598569E-3</v>
      </c>
      <c r="J611" s="19">
        <f t="shared" si="1266"/>
        <v>0.11756772877569568</v>
      </c>
      <c r="K611" s="19">
        <f t="shared" si="1286"/>
        <v>1.7197430982196097E-3</v>
      </c>
      <c r="L611" s="20">
        <v>46408</v>
      </c>
      <c r="M611" s="19">
        <f t="shared" si="1267"/>
        <v>3.5256833186970191E-2</v>
      </c>
      <c r="N611" s="19">
        <f t="shared" si="1268"/>
        <v>0.91195233263412701</v>
      </c>
      <c r="O611" s="20">
        <v>19192</v>
      </c>
      <c r="P611" s="28">
        <f t="shared" si="1287"/>
        <v>12837</v>
      </c>
      <c r="Q611" s="29">
        <f t="shared" si="1269"/>
        <v>0.20215003505491938</v>
      </c>
      <c r="R611" s="20">
        <f t="shared" ref="R611:S611" si="1292">D611-D610</f>
        <v>74</v>
      </c>
      <c r="S611" s="20">
        <f t="shared" si="1292"/>
        <v>894</v>
      </c>
      <c r="T611" s="20">
        <v>3172</v>
      </c>
      <c r="U611" s="20">
        <v>350</v>
      </c>
      <c r="V611" s="19">
        <f t="shared" si="1271"/>
        <v>5.2790834178902776E-2</v>
      </c>
      <c r="W611" s="20">
        <f t="shared" ref="W611:X611" si="1293">T611-T610</f>
        <v>333</v>
      </c>
      <c r="X611" s="20">
        <f t="shared" si="1293"/>
        <v>38</v>
      </c>
      <c r="Y611" s="19">
        <f t="shared" si="1273"/>
        <v>6.8350284433718322E-2</v>
      </c>
      <c r="Z611" s="19">
        <f t="shared" si="1274"/>
        <v>0.11034047919293821</v>
      </c>
      <c r="AA611" s="21">
        <f t="shared" si="1275"/>
        <v>1.4463252755282225</v>
      </c>
      <c r="AB611" s="26">
        <f t="shared" si="1276"/>
        <v>1.7058562973200544</v>
      </c>
      <c r="AC611" s="23">
        <f t="shared" si="1277"/>
        <v>3393.2857142857142</v>
      </c>
      <c r="AD611" s="23">
        <f t="shared" si="1278"/>
        <v>49.571428571428569</v>
      </c>
      <c r="AE611" s="23">
        <f t="shared" si="1279"/>
        <v>22421.428571428572</v>
      </c>
      <c r="AF611" s="25">
        <f t="shared" si="1280"/>
        <v>0.16298253502238144</v>
      </c>
      <c r="AG611" s="20">
        <v>5958890</v>
      </c>
      <c r="AH611" s="21">
        <f t="shared" si="1290"/>
        <v>3640</v>
      </c>
      <c r="AI611" s="21">
        <f t="shared" si="1281"/>
        <v>3011.6</v>
      </c>
      <c r="AJ611" s="20">
        <v>5740424</v>
      </c>
      <c r="AK611" s="20">
        <f t="shared" si="1291"/>
        <v>3972</v>
      </c>
      <c r="AL611" s="21">
        <f t="shared" si="1282"/>
        <v>3177</v>
      </c>
      <c r="AM611" s="26">
        <f t="shared" si="1283"/>
        <v>750.71428571428567</v>
      </c>
    </row>
    <row r="612" spans="1:39" ht="16">
      <c r="A612" s="30">
        <v>44504</v>
      </c>
      <c r="B612" s="20">
        <f t="shared" si="1284"/>
        <v>885360</v>
      </c>
      <c r="C612" s="20">
        <v>6268</v>
      </c>
      <c r="D612" s="20">
        <v>31101</v>
      </c>
      <c r="E612" s="20">
        <v>803151</v>
      </c>
      <c r="F612" s="20">
        <v>7498823</v>
      </c>
      <c r="G612" s="17">
        <f t="shared" si="1265"/>
        <v>765186.0204081632</v>
      </c>
      <c r="H612" s="20"/>
      <c r="I612" s="19">
        <f t="shared" si="1285"/>
        <v>7.1300842232667342E-3</v>
      </c>
      <c r="J612" s="19">
        <f t="shared" si="1266"/>
        <v>0.11806652857388419</v>
      </c>
      <c r="K612" s="19">
        <f t="shared" si="1286"/>
        <v>2.87522648476915E-3</v>
      </c>
      <c r="L612" s="20">
        <v>51108</v>
      </c>
      <c r="M612" s="19">
        <f t="shared" si="1267"/>
        <v>3.5128083491461098E-2</v>
      </c>
      <c r="N612" s="19">
        <f t="shared" si="1268"/>
        <v>0.90714624559501222</v>
      </c>
      <c r="O612" s="20">
        <v>22587</v>
      </c>
      <c r="P612" s="28">
        <f t="shared" si="1287"/>
        <v>21499</v>
      </c>
      <c r="Q612" s="29">
        <f t="shared" si="1269"/>
        <v>0.29154844411367969</v>
      </c>
      <c r="R612" s="20">
        <f t="shared" ref="R612:S612" si="1294">D612-D611</f>
        <v>107</v>
      </c>
      <c r="S612" s="20">
        <f t="shared" si="1294"/>
        <v>1461</v>
      </c>
      <c r="T612" s="20">
        <v>3366</v>
      </c>
      <c r="U612" s="20">
        <v>349</v>
      </c>
      <c r="V612" s="19">
        <f t="shared" si="1271"/>
        <v>5.7725670913526698E-2</v>
      </c>
      <c r="W612" s="20">
        <f t="shared" ref="W612:X612" si="1295">T612-T611</f>
        <v>194</v>
      </c>
      <c r="X612" s="20">
        <f t="shared" si="1295"/>
        <v>-1</v>
      </c>
      <c r="Y612" s="19">
        <f t="shared" si="1273"/>
        <v>6.5860530640995535E-2</v>
      </c>
      <c r="Z612" s="19">
        <f t="shared" si="1274"/>
        <v>0.10368389780154486</v>
      </c>
      <c r="AA612" s="21">
        <f t="shared" si="1275"/>
        <v>1.4353903099276284</v>
      </c>
      <c r="AB612" s="26">
        <f t="shared" si="1276"/>
        <v>1.6082568542582947</v>
      </c>
      <c r="AC612" s="23">
        <f t="shared" si="1277"/>
        <v>3711.7142857142858</v>
      </c>
      <c r="AD612" s="23">
        <f t="shared" si="1278"/>
        <v>58.428571428571431</v>
      </c>
      <c r="AE612" s="23">
        <f t="shared" si="1279"/>
        <v>21529.285714285714</v>
      </c>
      <c r="AF612" s="25">
        <f t="shared" si="1280"/>
        <v>0.19217601853946573</v>
      </c>
      <c r="AG612" s="20">
        <v>5962878</v>
      </c>
      <c r="AH612" s="21">
        <f t="shared" si="1290"/>
        <v>3988</v>
      </c>
      <c r="AI612" s="21">
        <f t="shared" si="1281"/>
        <v>3158.6</v>
      </c>
      <c r="AJ612" s="20">
        <v>5744219</v>
      </c>
      <c r="AK612" s="20">
        <f t="shared" si="1291"/>
        <v>3795</v>
      </c>
      <c r="AL612" s="21">
        <f t="shared" si="1282"/>
        <v>3238.8</v>
      </c>
      <c r="AM612" s="26">
        <f t="shared" si="1283"/>
        <v>858.42857142857144</v>
      </c>
    </row>
    <row r="613" spans="1:39" ht="16">
      <c r="A613" s="30">
        <v>44505</v>
      </c>
      <c r="B613" s="20">
        <f t="shared" si="1284"/>
        <v>892164</v>
      </c>
      <c r="C613" s="20">
        <v>6804</v>
      </c>
      <c r="D613" s="20">
        <v>31184</v>
      </c>
      <c r="E613" s="20">
        <v>804720</v>
      </c>
      <c r="F613" s="20">
        <v>7531508</v>
      </c>
      <c r="G613" s="17">
        <f t="shared" si="1265"/>
        <v>768521.22448979586</v>
      </c>
      <c r="H613" s="20"/>
      <c r="I613" s="19">
        <f t="shared" si="1285"/>
        <v>7.6850094876660339E-3</v>
      </c>
      <c r="J613" s="19">
        <f t="shared" si="1266"/>
        <v>0.11845755192718377</v>
      </c>
      <c r="K613" s="19">
        <f t="shared" si="1286"/>
        <v>4.3586840228126466E-3</v>
      </c>
      <c r="L613" s="20">
        <v>56260</v>
      </c>
      <c r="M613" s="19">
        <f t="shared" si="1267"/>
        <v>3.4953214879775464E-2</v>
      </c>
      <c r="N613" s="19">
        <f t="shared" si="1268"/>
        <v>0.90198663026080406</v>
      </c>
      <c r="O613" s="20">
        <v>25516</v>
      </c>
      <c r="P613" s="28">
        <f t="shared" si="1287"/>
        <v>32685</v>
      </c>
      <c r="Q613" s="29">
        <f t="shared" si="1269"/>
        <v>0.20816888480954565</v>
      </c>
      <c r="R613" s="20">
        <f t="shared" ref="R613:S613" si="1296">D613-D612</f>
        <v>83</v>
      </c>
      <c r="S613" s="20">
        <f t="shared" si="1296"/>
        <v>1569</v>
      </c>
      <c r="T613" s="20">
        <v>3629</v>
      </c>
      <c r="U613" s="20">
        <v>366</v>
      </c>
      <c r="V613" s="19">
        <f t="shared" si="1271"/>
        <v>6.3060154859420459E-2</v>
      </c>
      <c r="W613" s="20">
        <f t="shared" ref="W613:X613" si="1297">T613-T612</f>
        <v>263</v>
      </c>
      <c r="X613" s="20">
        <f t="shared" si="1297"/>
        <v>17</v>
      </c>
      <c r="Y613" s="19">
        <f t="shared" si="1273"/>
        <v>6.4504088162104511E-2</v>
      </c>
      <c r="Z613" s="19">
        <f t="shared" si="1274"/>
        <v>0.10085422981537613</v>
      </c>
      <c r="AA613" s="21">
        <f t="shared" si="1275"/>
        <v>1.4670307236909257</v>
      </c>
      <c r="AB613" s="26">
        <f t="shared" si="1276"/>
        <v>1.5357619719189823</v>
      </c>
      <c r="AC613" s="23">
        <f t="shared" si="1277"/>
        <v>4106.4285714285716</v>
      </c>
      <c r="AD613" s="23">
        <f t="shared" si="1278"/>
        <v>65</v>
      </c>
      <c r="AE613" s="23">
        <f t="shared" si="1279"/>
        <v>22903</v>
      </c>
      <c r="AF613" s="25">
        <f t="shared" si="1280"/>
        <v>0.19877576715164144</v>
      </c>
      <c r="AG613" s="20">
        <v>5967747</v>
      </c>
      <c r="AH613" s="21">
        <f t="shared" si="1290"/>
        <v>4869</v>
      </c>
      <c r="AI613" s="21">
        <f t="shared" si="1281"/>
        <v>3497.6</v>
      </c>
      <c r="AJ613" s="20">
        <v>5748682</v>
      </c>
      <c r="AK613" s="20">
        <f t="shared" si="1291"/>
        <v>4463</v>
      </c>
      <c r="AL613" s="21">
        <f t="shared" si="1282"/>
        <v>3406.2</v>
      </c>
      <c r="AM613" s="26">
        <f t="shared" si="1283"/>
        <v>972.85714285714289</v>
      </c>
    </row>
    <row r="614" spans="1:39" ht="13">
      <c r="A614" s="30">
        <v>44506</v>
      </c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8"/>
      <c r="Q614" s="28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</row>
    <row r="615" spans="1:39" ht="13">
      <c r="A615" s="30">
        <v>44507</v>
      </c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8"/>
      <c r="Q615" s="28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</row>
    <row r="616" spans="1:39" ht="16">
      <c r="A616" s="30">
        <v>44508</v>
      </c>
      <c r="B616" s="20">
        <f>B613+C616</f>
        <v>909998</v>
      </c>
      <c r="C616" s="20">
        <v>17834</v>
      </c>
      <c r="D616" s="20">
        <v>31398</v>
      </c>
      <c r="E616" s="20">
        <v>810014</v>
      </c>
      <c r="F616" s="20">
        <v>7628027</v>
      </c>
      <c r="G616" s="17">
        <f t="shared" ref="G616:G620" si="1298">F616/9.8</f>
        <v>778370.10204081621</v>
      </c>
      <c r="H616" s="20"/>
      <c r="I616" s="19">
        <f>(B616-B613)/B613</f>
        <v>1.9989598324971641E-2</v>
      </c>
      <c r="J616" s="19">
        <f t="shared" ref="J616:J620" si="1299">B616/F616</f>
        <v>0.11929664118913055</v>
      </c>
      <c r="K616" s="19">
        <f>(F616-F613)/F613</f>
        <v>1.2815361810675897E-2</v>
      </c>
      <c r="L616" s="20">
        <v>68586</v>
      </c>
      <c r="M616" s="19">
        <f t="shared" ref="M616:M620" si="1300">D616/B616</f>
        <v>3.450337253488469E-2</v>
      </c>
      <c r="N616" s="19">
        <f t="shared" ref="N616:N620" si="1301">E616/B616</f>
        <v>0.89012723104885949</v>
      </c>
      <c r="O616" s="20">
        <v>25467</v>
      </c>
      <c r="P616" s="28">
        <f>F616-F613</f>
        <v>96519</v>
      </c>
      <c r="Q616" s="29">
        <f t="shared" ref="Q616:Q620" si="1302">C616/P616</f>
        <v>0.18477191019384784</v>
      </c>
      <c r="R616" s="20">
        <f t="shared" ref="R616:S616" si="1303">D616-D613</f>
        <v>214</v>
      </c>
      <c r="S616" s="20">
        <f t="shared" si="1303"/>
        <v>5294</v>
      </c>
      <c r="T616" s="20">
        <v>3980</v>
      </c>
      <c r="U616" s="20">
        <v>434</v>
      </c>
      <c r="V616" s="19">
        <f t="shared" ref="V616:V620" si="1304">L616/B616</f>
        <v>7.5369396416255854E-2</v>
      </c>
      <c r="W616" s="20">
        <f t="shared" ref="W616:X616" si="1305">T616-T613</f>
        <v>351</v>
      </c>
      <c r="X616" s="20">
        <f t="shared" si="1305"/>
        <v>68</v>
      </c>
      <c r="Y616" s="19">
        <f t="shared" ref="Y616:Y620" si="1306">T616/L616</f>
        <v>5.8029335432887179E-2</v>
      </c>
      <c r="Z616" s="19">
        <f t="shared" ref="Z616:Z620" si="1307">U616/T616</f>
        <v>0.10904522613065326</v>
      </c>
      <c r="AA616" s="21">
        <f t="shared" ref="AA616:AA620" si="1308">(C610+C611+C612+C613+C614+C615+C616)/(C603+C604+C605+C606+C607+C608+C609)</f>
        <v>1.4665173943691172</v>
      </c>
      <c r="AB616" s="26">
        <f t="shared" ref="AB616:AB620" si="1309">SUM(AA610:AA616)/5</f>
        <v>1.4875616275132815</v>
      </c>
      <c r="AC616" s="23">
        <f t="shared" ref="AC616:AC620" si="1310">SUM(C610:C616)/7</f>
        <v>5052.5714285714284</v>
      </c>
      <c r="AD616" s="23">
        <f t="shared" ref="AD616:AD620" si="1311">SUM(R610:R616)/7</f>
        <v>73.857142857142861</v>
      </c>
      <c r="AE616" s="23">
        <f t="shared" ref="AE616:AE620" si="1312">SUM(P610:P616)/7</f>
        <v>25096</v>
      </c>
      <c r="AF616" s="25">
        <f t="shared" ref="AF616:AF620" si="1313">SUM(Q610:Q616)/5</f>
        <v>0.20810596231873743</v>
      </c>
      <c r="AG616" s="20">
        <v>5974514</v>
      </c>
      <c r="AH616" s="21">
        <f>AG616-AG613</f>
        <v>6767</v>
      </c>
      <c r="AI616" s="21">
        <f t="shared" ref="AI616:AI620" si="1314">(SUM(AH610:AH616))/5</f>
        <v>3861.4</v>
      </c>
      <c r="AJ616" s="20">
        <v>5754475</v>
      </c>
      <c r="AK616" s="20">
        <f>AJ616-AJ613</f>
        <v>5793</v>
      </c>
      <c r="AL616" s="21">
        <f t="shared" ref="AL616:AL620" si="1315">(SUM(AK610:AK616))/5</f>
        <v>3619.4</v>
      </c>
      <c r="AM616" s="26">
        <f t="shared" ref="AM616:AM620" si="1316">SUM(S610:S616)/7</f>
        <v>1401</v>
      </c>
    </row>
    <row r="617" spans="1:39" ht="16">
      <c r="A617" s="30">
        <v>44509</v>
      </c>
      <c r="B617" s="20">
        <f t="shared" ref="B617:B620" si="1317">B616+C617</f>
        <v>914586</v>
      </c>
      <c r="C617" s="20">
        <v>4588</v>
      </c>
      <c r="D617" s="20">
        <v>31521</v>
      </c>
      <c r="E617" s="20">
        <v>811266</v>
      </c>
      <c r="F617" s="20">
        <v>7647898</v>
      </c>
      <c r="G617" s="17">
        <f t="shared" si="1298"/>
        <v>780397.75510204071</v>
      </c>
      <c r="H617" s="20"/>
      <c r="I617" s="19">
        <f t="shared" ref="I617:I620" si="1318">(B617-B616)/B616</f>
        <v>5.0417693225699401E-3</v>
      </c>
      <c r="J617" s="19">
        <f t="shared" si="1299"/>
        <v>0.11958658444451012</v>
      </c>
      <c r="K617" s="19">
        <f t="shared" ref="K617:K620" si="1319">(F617-F616)/F616</f>
        <v>2.6049986451280259E-3</v>
      </c>
      <c r="L617" s="20">
        <v>71799</v>
      </c>
      <c r="M617" s="19">
        <f t="shared" si="1300"/>
        <v>3.4464774225715242E-2</v>
      </c>
      <c r="N617" s="19">
        <f t="shared" si="1301"/>
        <v>0.88703085330411791</v>
      </c>
      <c r="O617" s="20">
        <v>27751</v>
      </c>
      <c r="P617" s="28">
        <f t="shared" ref="P617:P620" si="1320">F617-F616</f>
        <v>19871</v>
      </c>
      <c r="Q617" s="29">
        <f t="shared" si="1302"/>
        <v>0.23088923556942278</v>
      </c>
      <c r="R617" s="20">
        <f t="shared" ref="R617:S617" si="1321">D617-D616</f>
        <v>123</v>
      </c>
      <c r="S617" s="20">
        <f t="shared" si="1321"/>
        <v>1252</v>
      </c>
      <c r="T617" s="20">
        <v>4522</v>
      </c>
      <c r="U617" s="20">
        <v>452</v>
      </c>
      <c r="V617" s="19">
        <f t="shared" si="1304"/>
        <v>7.8504372470166825E-2</v>
      </c>
      <c r="W617" s="20">
        <f t="shared" ref="W617:X617" si="1322">T617-T616</f>
        <v>542</v>
      </c>
      <c r="X617" s="20">
        <f t="shared" si="1322"/>
        <v>18</v>
      </c>
      <c r="Y617" s="19">
        <f t="shared" si="1306"/>
        <v>6.2981378570732188E-2</v>
      </c>
      <c r="Z617" s="19">
        <f t="shared" si="1307"/>
        <v>9.9955771782397174E-2</v>
      </c>
      <c r="AA617" s="21">
        <f t="shared" si="1308"/>
        <v>1.5685458963060577</v>
      </c>
      <c r="AB617" s="26">
        <f t="shared" si="1309"/>
        <v>1.4767619199643902</v>
      </c>
      <c r="AC617" s="23">
        <f t="shared" si="1310"/>
        <v>5441.2857142857147</v>
      </c>
      <c r="AD617" s="23">
        <f t="shared" si="1311"/>
        <v>85.857142857142861</v>
      </c>
      <c r="AE617" s="23">
        <f t="shared" si="1312"/>
        <v>26201.571428571428</v>
      </c>
      <c r="AF617" s="25">
        <f t="shared" si="1313"/>
        <v>0.22350570194828306</v>
      </c>
      <c r="AG617" s="20">
        <v>5977908</v>
      </c>
      <c r="AH617" s="21">
        <f t="shared" ref="AH617:AH620" si="1323">AG617-AG616</f>
        <v>3394</v>
      </c>
      <c r="AI617" s="21">
        <f t="shared" si="1314"/>
        <v>4531.6000000000004</v>
      </c>
      <c r="AJ617" s="20">
        <v>5757501</v>
      </c>
      <c r="AK617" s="20">
        <f t="shared" ref="AK617:AK620" si="1324">AJ617-AJ616</f>
        <v>3026</v>
      </c>
      <c r="AL617" s="21">
        <f t="shared" si="1315"/>
        <v>4209.8</v>
      </c>
      <c r="AM617" s="26">
        <f t="shared" si="1316"/>
        <v>1495.7142857142858</v>
      </c>
    </row>
    <row r="618" spans="1:39" ht="16">
      <c r="A618" s="30">
        <v>44510</v>
      </c>
      <c r="B618" s="20">
        <f t="shared" si="1317"/>
        <v>923020</v>
      </c>
      <c r="C618" s="20">
        <v>8434</v>
      </c>
      <c r="D618" s="20">
        <v>31619</v>
      </c>
      <c r="E618" s="20">
        <v>813376</v>
      </c>
      <c r="F618" s="20">
        <v>7677571</v>
      </c>
      <c r="G618" s="17">
        <f t="shared" si="1298"/>
        <v>783425.61224489787</v>
      </c>
      <c r="H618" s="20"/>
      <c r="I618" s="19">
        <f t="shared" si="1318"/>
        <v>9.2216587614505369E-3</v>
      </c>
      <c r="J618" s="19">
        <f t="shared" si="1299"/>
        <v>0.12022291946241852</v>
      </c>
      <c r="K618" s="19">
        <f t="shared" si="1319"/>
        <v>3.8798896114984795E-3</v>
      </c>
      <c r="L618" s="20">
        <v>78025</v>
      </c>
      <c r="M618" s="19">
        <f t="shared" si="1300"/>
        <v>3.4256029121795845E-2</v>
      </c>
      <c r="N618" s="19">
        <f t="shared" si="1301"/>
        <v>0.88121167471994111</v>
      </c>
      <c r="O618" s="20">
        <v>32950</v>
      </c>
      <c r="P618" s="28">
        <f t="shared" si="1320"/>
        <v>29673</v>
      </c>
      <c r="Q618" s="29">
        <f t="shared" si="1302"/>
        <v>0.28423145620597851</v>
      </c>
      <c r="R618" s="20">
        <f t="shared" ref="R618:S618" si="1325">D618-D617</f>
        <v>98</v>
      </c>
      <c r="S618" s="20">
        <f t="shared" si="1325"/>
        <v>2110</v>
      </c>
      <c r="T618" s="20">
        <v>4830</v>
      </c>
      <c r="U618" s="20">
        <v>463</v>
      </c>
      <c r="V618" s="19">
        <f t="shared" si="1304"/>
        <v>8.453229615826309E-2</v>
      </c>
      <c r="W618" s="20">
        <f t="shared" ref="W618:X618" si="1326">T618-T617</f>
        <v>308</v>
      </c>
      <c r="X618" s="20">
        <f t="shared" si="1326"/>
        <v>11</v>
      </c>
      <c r="Y618" s="19">
        <f t="shared" si="1306"/>
        <v>6.1903236142262098E-2</v>
      </c>
      <c r="Z618" s="19">
        <f t="shared" si="1307"/>
        <v>9.5859213250517591E-2</v>
      </c>
      <c r="AA618" s="21">
        <f t="shared" si="1308"/>
        <v>1.8493663958236854</v>
      </c>
      <c r="AB618" s="26">
        <f t="shared" si="1309"/>
        <v>1.5573701440234831</v>
      </c>
      <c r="AC618" s="23">
        <f t="shared" si="1310"/>
        <v>6275.4285714285716</v>
      </c>
      <c r="AD618" s="23">
        <f t="shared" si="1311"/>
        <v>89.285714285714292</v>
      </c>
      <c r="AE618" s="23">
        <f t="shared" si="1312"/>
        <v>28606.714285714286</v>
      </c>
      <c r="AF618" s="25">
        <f t="shared" si="1313"/>
        <v>0.23992198617849486</v>
      </c>
      <c r="AG618" s="20">
        <v>5981915</v>
      </c>
      <c r="AH618" s="21">
        <f t="shared" si="1323"/>
        <v>4007</v>
      </c>
      <c r="AI618" s="21">
        <f t="shared" si="1314"/>
        <v>4605</v>
      </c>
      <c r="AJ618" s="20">
        <v>5760912</v>
      </c>
      <c r="AK618" s="20">
        <f t="shared" si="1324"/>
        <v>3411</v>
      </c>
      <c r="AL618" s="21">
        <f t="shared" si="1315"/>
        <v>4097.6000000000004</v>
      </c>
      <c r="AM618" s="26">
        <f t="shared" si="1316"/>
        <v>1669.4285714285713</v>
      </c>
    </row>
    <row r="619" spans="1:39" ht="16">
      <c r="A619" s="30">
        <v>44511</v>
      </c>
      <c r="B619" s="20">
        <f t="shared" si="1317"/>
        <v>931414</v>
      </c>
      <c r="C619" s="20">
        <v>8394</v>
      </c>
      <c r="D619" s="20">
        <v>31751</v>
      </c>
      <c r="E619" s="20">
        <v>815845</v>
      </c>
      <c r="F619" s="20">
        <v>7715195</v>
      </c>
      <c r="G619" s="17">
        <f t="shared" si="1298"/>
        <v>787264.79591836734</v>
      </c>
      <c r="H619" s="20"/>
      <c r="I619" s="19">
        <f t="shared" si="1318"/>
        <v>9.0940608004160262E-3</v>
      </c>
      <c r="J619" s="19">
        <f t="shared" si="1299"/>
        <v>0.12072462199594437</v>
      </c>
      <c r="K619" s="19">
        <f t="shared" si="1319"/>
        <v>4.9005082466837494E-3</v>
      </c>
      <c r="L619" s="20">
        <v>83818</v>
      </c>
      <c r="M619" s="19">
        <f t="shared" si="1300"/>
        <v>3.4089030227159998E-2</v>
      </c>
      <c r="N619" s="19">
        <f t="shared" si="1301"/>
        <v>0.87592091164616381</v>
      </c>
      <c r="O619" s="20">
        <v>39655</v>
      </c>
      <c r="P619" s="28">
        <f t="shared" si="1320"/>
        <v>37624</v>
      </c>
      <c r="Q619" s="29">
        <f t="shared" si="1302"/>
        <v>0.2231022751435254</v>
      </c>
      <c r="R619" s="20">
        <f t="shared" ref="R619:S619" si="1327">D619-D618</f>
        <v>132</v>
      </c>
      <c r="S619" s="20">
        <f t="shared" si="1327"/>
        <v>2469</v>
      </c>
      <c r="T619" s="20">
        <v>4990</v>
      </c>
      <c r="U619" s="20">
        <v>488</v>
      </c>
      <c r="V619" s="19">
        <f t="shared" si="1304"/>
        <v>8.9990058126676209E-2</v>
      </c>
      <c r="W619" s="20">
        <f t="shared" ref="W619:X619" si="1328">T619-T618</f>
        <v>160</v>
      </c>
      <c r="X619" s="20">
        <f t="shared" si="1328"/>
        <v>25</v>
      </c>
      <c r="Y619" s="19">
        <f t="shared" si="1306"/>
        <v>5.9533751700112145E-2</v>
      </c>
      <c r="Z619" s="19">
        <f t="shared" si="1307"/>
        <v>9.7795591182364736E-2</v>
      </c>
      <c r="AA619" s="21">
        <f t="shared" si="1308"/>
        <v>1.7725348318066354</v>
      </c>
      <c r="AB619" s="26">
        <f t="shared" si="1309"/>
        <v>1.6247990483992845</v>
      </c>
      <c r="AC619" s="23">
        <f t="shared" si="1310"/>
        <v>6579.1428571428569</v>
      </c>
      <c r="AD619" s="23">
        <f t="shared" si="1311"/>
        <v>92.857142857142861</v>
      </c>
      <c r="AE619" s="23">
        <f t="shared" si="1312"/>
        <v>30910.285714285714</v>
      </c>
      <c r="AF619" s="25">
        <f t="shared" si="1313"/>
        <v>0.22623275238446405</v>
      </c>
      <c r="AG619" s="20">
        <v>5986727</v>
      </c>
      <c r="AH619" s="21">
        <f t="shared" si="1323"/>
        <v>4812</v>
      </c>
      <c r="AI619" s="21">
        <f t="shared" si="1314"/>
        <v>4769.8</v>
      </c>
      <c r="AJ619" s="20">
        <v>5764573</v>
      </c>
      <c r="AK619" s="20">
        <f t="shared" si="1324"/>
        <v>3661</v>
      </c>
      <c r="AL619" s="21">
        <f t="shared" si="1315"/>
        <v>4070.8</v>
      </c>
      <c r="AM619" s="26">
        <f t="shared" si="1316"/>
        <v>1813.4285714285713</v>
      </c>
    </row>
    <row r="620" spans="1:39" ht="16">
      <c r="A620" s="30">
        <v>44512</v>
      </c>
      <c r="B620" s="20">
        <f t="shared" si="1317"/>
        <v>939784</v>
      </c>
      <c r="C620" s="20">
        <v>8370</v>
      </c>
      <c r="D620" s="20">
        <v>31867</v>
      </c>
      <c r="E620" s="20">
        <v>818336</v>
      </c>
      <c r="F620" s="20">
        <v>7752519</v>
      </c>
      <c r="G620" s="17">
        <f t="shared" si="1298"/>
        <v>791073.3673469387</v>
      </c>
      <c r="H620" s="20"/>
      <c r="I620" s="19">
        <f t="shared" si="1318"/>
        <v>8.9863369028165777E-3</v>
      </c>
      <c r="J620" s="19">
        <f t="shared" si="1299"/>
        <v>0.12122305021116363</v>
      </c>
      <c r="K620" s="19">
        <f t="shared" si="1319"/>
        <v>4.8377260717324712E-3</v>
      </c>
      <c r="L620" s="20">
        <v>89581</v>
      </c>
      <c r="M620" s="19">
        <f t="shared" si="1300"/>
        <v>3.3908855651937041E-2</v>
      </c>
      <c r="N620" s="19">
        <f t="shared" si="1301"/>
        <v>0.870770304665753</v>
      </c>
      <c r="O620" s="20">
        <v>47575</v>
      </c>
      <c r="P620" s="28">
        <f t="shared" si="1320"/>
        <v>37324</v>
      </c>
      <c r="Q620" s="29">
        <f t="shared" si="1302"/>
        <v>0.22425249169435216</v>
      </c>
      <c r="R620" s="20">
        <f t="shared" ref="R620:S620" si="1329">D620-D619</f>
        <v>116</v>
      </c>
      <c r="S620" s="20">
        <f t="shared" si="1329"/>
        <v>2491</v>
      </c>
      <c r="T620" s="20">
        <v>5147</v>
      </c>
      <c r="U620" s="20">
        <v>509</v>
      </c>
      <c r="V620" s="19">
        <f t="shared" si="1304"/>
        <v>9.5320839682309977E-2</v>
      </c>
      <c r="W620" s="20">
        <f t="shared" ref="W620:X620" si="1330">T620-T619</f>
        <v>157</v>
      </c>
      <c r="X620" s="20">
        <f t="shared" si="1330"/>
        <v>21</v>
      </c>
      <c r="Y620" s="19">
        <f t="shared" si="1306"/>
        <v>5.7456380259206755E-2</v>
      </c>
      <c r="Z620" s="19">
        <f t="shared" si="1307"/>
        <v>9.889255877210025E-2</v>
      </c>
      <c r="AA620" s="21">
        <f t="shared" si="1308"/>
        <v>1.6566359366846408</v>
      </c>
      <c r="AB620" s="26">
        <f t="shared" si="1309"/>
        <v>1.6627200909980275</v>
      </c>
      <c r="AC620" s="23">
        <f t="shared" si="1310"/>
        <v>6802.8571428571431</v>
      </c>
      <c r="AD620" s="23">
        <f t="shared" si="1311"/>
        <v>97.571428571428569</v>
      </c>
      <c r="AE620" s="23">
        <f t="shared" si="1312"/>
        <v>31573</v>
      </c>
      <c r="AF620" s="25">
        <f t="shared" si="1313"/>
        <v>0.22944947376142535</v>
      </c>
      <c r="AG620" s="20">
        <v>5992142</v>
      </c>
      <c r="AH620" s="21">
        <f t="shared" si="1323"/>
        <v>5415</v>
      </c>
      <c r="AI620" s="21">
        <f t="shared" si="1314"/>
        <v>4879</v>
      </c>
      <c r="AJ620" s="20">
        <v>5768941</v>
      </c>
      <c r="AK620" s="20">
        <f t="shared" si="1324"/>
        <v>4368</v>
      </c>
      <c r="AL620" s="21">
        <f t="shared" si="1315"/>
        <v>4051.8</v>
      </c>
      <c r="AM620" s="26">
        <f t="shared" si="1316"/>
        <v>1945.1428571428571</v>
      </c>
    </row>
    <row r="621" spans="1:39" ht="13">
      <c r="A621" s="30">
        <v>44513</v>
      </c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8"/>
      <c r="Q621" s="28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</row>
    <row r="622" spans="1:39" ht="13">
      <c r="A622" s="30">
        <v>44514</v>
      </c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8"/>
      <c r="Q622" s="28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</row>
    <row r="623" spans="1:39" ht="16">
      <c r="A623" s="30">
        <v>44515</v>
      </c>
      <c r="B623" s="20">
        <f>B620+C623</f>
        <v>960844</v>
      </c>
      <c r="C623" s="20">
        <v>21060</v>
      </c>
      <c r="D623" s="20">
        <v>32171</v>
      </c>
      <c r="E623" s="20">
        <v>825775</v>
      </c>
      <c r="F623" s="20">
        <v>7854966</v>
      </c>
      <c r="G623" s="17">
        <f t="shared" ref="G623:G627" si="1331">F623/9.8</f>
        <v>801527.14285714284</v>
      </c>
      <c r="H623" s="20"/>
      <c r="I623" s="19">
        <f>(B623-B620)/B620</f>
        <v>2.2409404714274769E-2</v>
      </c>
      <c r="J623" s="19">
        <f t="shared" ref="J623:J627" si="1332">B623/F623</f>
        <v>0.12232312654185899</v>
      </c>
      <c r="K623" s="19">
        <f>(F623-F620)/F620</f>
        <v>1.3214672547077923E-2</v>
      </c>
      <c r="L623" s="20">
        <v>102898</v>
      </c>
      <c r="M623" s="19">
        <f t="shared" ref="M623:M627" si="1333">D623/B623</f>
        <v>3.3482022055609441E-2</v>
      </c>
      <c r="N623" s="19">
        <f t="shared" ref="N623:N627" si="1334">E623/B623</f>
        <v>0.8594267123487267</v>
      </c>
      <c r="O623" s="20">
        <v>42931</v>
      </c>
      <c r="P623" s="28">
        <f>F623-F620</f>
        <v>102447</v>
      </c>
      <c r="Q623" s="29">
        <f t="shared" ref="Q623:Q627" si="1335">C623/P623</f>
        <v>0.2055697092154968</v>
      </c>
      <c r="R623" s="20">
        <f t="shared" ref="R623:S623" si="1336">D623-D620</f>
        <v>304</v>
      </c>
      <c r="S623" s="20">
        <f t="shared" si="1336"/>
        <v>7439</v>
      </c>
      <c r="T623" s="20">
        <v>5286</v>
      </c>
      <c r="U623" s="20">
        <v>519</v>
      </c>
      <c r="V623" s="19">
        <f t="shared" ref="V623:V627" si="1337">L623/B623</f>
        <v>0.10709126559566381</v>
      </c>
      <c r="W623" s="20">
        <f t="shared" ref="W623:X623" si="1338">T623-T620</f>
        <v>139</v>
      </c>
      <c r="X623" s="20">
        <f t="shared" si="1338"/>
        <v>10</v>
      </c>
      <c r="Y623" s="19">
        <f t="shared" ref="Y623:Y627" si="1339">T623/L623</f>
        <v>5.1371260860269392E-2</v>
      </c>
      <c r="Z623" s="19">
        <f t="shared" ref="Z623:Z627" si="1340">U623/T623</f>
        <v>9.8183881952326899E-2</v>
      </c>
      <c r="AA623" s="21">
        <f t="shared" ref="AA623:AA627" si="1341">(C617+C618+C619+C620+C621+C622+C623)/(C610+C611+C612+C613+C614+C615+C616)</f>
        <v>1.4376272336575435</v>
      </c>
      <c r="AB623" s="26">
        <f t="shared" ref="AB623:AB627" si="1342">SUM(AA617:AA623)/5</f>
        <v>1.6569420588557127</v>
      </c>
      <c r="AC623" s="23">
        <f t="shared" ref="AC623:AC627" si="1343">SUM(C617:C623)/7</f>
        <v>7263.7142857142853</v>
      </c>
      <c r="AD623" s="23">
        <f t="shared" ref="AD623:AD627" si="1344">SUM(R617:R623)/7</f>
        <v>110.42857142857143</v>
      </c>
      <c r="AE623" s="23">
        <f t="shared" ref="AE623:AE627" si="1345">SUM(P617:P623)/7</f>
        <v>32419.857142857141</v>
      </c>
      <c r="AF623" s="25">
        <f t="shared" ref="AF623:AF627" si="1346">SUM(Q617:Q623)/5</f>
        <v>0.23360903356575516</v>
      </c>
      <c r="AG623" s="20">
        <v>5999516</v>
      </c>
      <c r="AH623" s="21">
        <f>AG623-AG620</f>
        <v>7374</v>
      </c>
      <c r="AI623" s="21">
        <f t="shared" ref="AI623:AI627" si="1347">(SUM(AH617:AH623))/5</f>
        <v>5000.3999999999996</v>
      </c>
      <c r="AJ623" s="20">
        <v>5774158</v>
      </c>
      <c r="AK623" s="20">
        <f>AJ623-AJ620</f>
        <v>5217</v>
      </c>
      <c r="AL623" s="21">
        <f t="shared" ref="AL623:AL627" si="1348">(SUM(AK617:AK623))/5</f>
        <v>3936.6</v>
      </c>
      <c r="AM623" s="26">
        <f t="shared" ref="AM623:AM627" si="1349">SUM(S617:S623)/7</f>
        <v>2251.5714285714284</v>
      </c>
    </row>
    <row r="624" spans="1:39" ht="16">
      <c r="A624" s="30">
        <v>44516</v>
      </c>
      <c r="B624" s="20">
        <f t="shared" ref="B624:B627" si="1350">B623+C624</f>
        <v>966167</v>
      </c>
      <c r="C624" s="20">
        <v>5323</v>
      </c>
      <c r="D624" s="20">
        <v>32336</v>
      </c>
      <c r="E624" s="20">
        <v>827237</v>
      </c>
      <c r="F624" s="20">
        <v>7876457</v>
      </c>
      <c r="G624" s="17">
        <f t="shared" si="1331"/>
        <v>803720.10204081621</v>
      </c>
      <c r="H624" s="20"/>
      <c r="I624" s="19">
        <f t="shared" ref="I624:I627" si="1351">(B624-B623)/B623</f>
        <v>5.5399211526532925E-3</v>
      </c>
      <c r="J624" s="19">
        <f t="shared" si="1332"/>
        <v>0.12266517801087469</v>
      </c>
      <c r="K624" s="19">
        <f t="shared" ref="K624:K627" si="1352">(F624-F623)/F623</f>
        <v>2.7359761964596664E-3</v>
      </c>
      <c r="L624" s="20">
        <v>106594</v>
      </c>
      <c r="M624" s="19">
        <f t="shared" si="1333"/>
        <v>3.3468334149272333E-2</v>
      </c>
      <c r="N624" s="19">
        <f t="shared" si="1334"/>
        <v>0.85620498319648675</v>
      </c>
      <c r="O624" s="20">
        <v>41353</v>
      </c>
      <c r="P624" s="28">
        <f t="shared" ref="P624:P627" si="1353">F624-F623</f>
        <v>21491</v>
      </c>
      <c r="Q624" s="29">
        <f t="shared" si="1335"/>
        <v>0.24768507747429155</v>
      </c>
      <c r="R624" s="20">
        <f t="shared" ref="R624:S624" si="1354">D624-D623</f>
        <v>165</v>
      </c>
      <c r="S624" s="20">
        <f t="shared" si="1354"/>
        <v>1462</v>
      </c>
      <c r="T624" s="20">
        <v>5811</v>
      </c>
      <c r="U624" s="20">
        <v>545</v>
      </c>
      <c r="V624" s="19">
        <f t="shared" si="1337"/>
        <v>0.11032668265424093</v>
      </c>
      <c r="W624" s="20">
        <f t="shared" ref="W624:X624" si="1355">T624-T623</f>
        <v>525</v>
      </c>
      <c r="X624" s="20">
        <f t="shared" si="1355"/>
        <v>26</v>
      </c>
      <c r="Y624" s="19">
        <f t="shared" si="1339"/>
        <v>5.451526352327523E-2</v>
      </c>
      <c r="Z624" s="19">
        <f t="shared" si="1340"/>
        <v>9.3787644123214595E-2</v>
      </c>
      <c r="AA624" s="21">
        <f t="shared" si="1341"/>
        <v>1.3542230040169079</v>
      </c>
      <c r="AB624" s="26">
        <f t="shared" si="1342"/>
        <v>1.6140774803978828</v>
      </c>
      <c r="AC624" s="23">
        <f t="shared" si="1343"/>
        <v>7368.7142857142853</v>
      </c>
      <c r="AD624" s="23">
        <f t="shared" si="1344"/>
        <v>116.42857142857143</v>
      </c>
      <c r="AE624" s="23">
        <f t="shared" si="1345"/>
        <v>32651.285714285714</v>
      </c>
      <c r="AF624" s="25">
        <f t="shared" si="1346"/>
        <v>0.23696820194672888</v>
      </c>
      <c r="AG624" s="20">
        <v>6003414</v>
      </c>
      <c r="AH624" s="21">
        <f t="shared" ref="AH624:AH627" si="1356">AG624-AG623</f>
        <v>3898</v>
      </c>
      <c r="AI624" s="21">
        <f t="shared" si="1347"/>
        <v>5101.2</v>
      </c>
      <c r="AJ624" s="20">
        <v>5777331</v>
      </c>
      <c r="AK624" s="20">
        <f t="shared" ref="AK624:AK627" si="1357">AJ624-AJ623</f>
        <v>3173</v>
      </c>
      <c r="AL624" s="21">
        <f t="shared" si="1348"/>
        <v>3966</v>
      </c>
      <c r="AM624" s="26">
        <f t="shared" si="1349"/>
        <v>2281.5714285714284</v>
      </c>
    </row>
    <row r="625" spans="1:39" ht="16">
      <c r="A625" s="30">
        <v>44517</v>
      </c>
      <c r="B625" s="20">
        <f t="shared" si="1350"/>
        <v>976432</v>
      </c>
      <c r="C625" s="20">
        <v>10265</v>
      </c>
      <c r="D625" s="20">
        <v>32514</v>
      </c>
      <c r="E625" s="20">
        <v>828535</v>
      </c>
      <c r="F625" s="20">
        <v>7909782</v>
      </c>
      <c r="G625" s="17">
        <f t="shared" si="1331"/>
        <v>807120.61224489787</v>
      </c>
      <c r="H625" s="20"/>
      <c r="I625" s="19">
        <f t="shared" si="1351"/>
        <v>1.0624457262564339E-2</v>
      </c>
      <c r="J625" s="19">
        <f t="shared" si="1332"/>
        <v>0.12344613290227215</v>
      </c>
      <c r="K625" s="19">
        <f t="shared" si="1352"/>
        <v>4.230963236389153E-3</v>
      </c>
      <c r="L625" s="20">
        <v>115383</v>
      </c>
      <c r="M625" s="19">
        <f t="shared" si="1333"/>
        <v>3.3298785783341799E-2</v>
      </c>
      <c r="N625" s="19">
        <f t="shared" si="1334"/>
        <v>0.8485332311927507</v>
      </c>
      <c r="O625" s="20">
        <v>46530</v>
      </c>
      <c r="P625" s="28">
        <f t="shared" si="1353"/>
        <v>33325</v>
      </c>
      <c r="Q625" s="29">
        <f t="shared" si="1335"/>
        <v>0.30802700675168793</v>
      </c>
      <c r="R625" s="20">
        <f t="shared" ref="R625:S625" si="1358">D625-D624</f>
        <v>178</v>
      </c>
      <c r="S625" s="20">
        <f t="shared" si="1358"/>
        <v>1298</v>
      </c>
      <c r="T625" s="20">
        <v>5852</v>
      </c>
      <c r="U625" s="20">
        <v>565</v>
      </c>
      <c r="V625" s="19">
        <f t="shared" si="1337"/>
        <v>0.11816798302390745</v>
      </c>
      <c r="W625" s="20">
        <f t="shared" ref="W625:X625" si="1359">T625-T624</f>
        <v>41</v>
      </c>
      <c r="X625" s="20">
        <f t="shared" si="1359"/>
        <v>20</v>
      </c>
      <c r="Y625" s="19">
        <f t="shared" si="1339"/>
        <v>5.0718043385940735E-2</v>
      </c>
      <c r="Z625" s="19">
        <f t="shared" si="1340"/>
        <v>9.6548188653451814E-2</v>
      </c>
      <c r="AA625" s="21">
        <f t="shared" si="1341"/>
        <v>1.2158987433982882</v>
      </c>
      <c r="AB625" s="26">
        <f t="shared" si="1342"/>
        <v>1.487383949912803</v>
      </c>
      <c r="AC625" s="23">
        <f t="shared" si="1343"/>
        <v>7630.2857142857147</v>
      </c>
      <c r="AD625" s="23">
        <f t="shared" si="1344"/>
        <v>127.85714285714286</v>
      </c>
      <c r="AE625" s="23">
        <f t="shared" si="1345"/>
        <v>33173</v>
      </c>
      <c r="AF625" s="25">
        <f t="shared" si="1346"/>
        <v>0.24172731205587078</v>
      </c>
      <c r="AG625" s="20">
        <v>6008226</v>
      </c>
      <c r="AH625" s="21">
        <f t="shared" si="1356"/>
        <v>4812</v>
      </c>
      <c r="AI625" s="21">
        <f t="shared" si="1347"/>
        <v>5262.2</v>
      </c>
      <c r="AJ625" s="20">
        <v>5780925</v>
      </c>
      <c r="AK625" s="20">
        <f t="shared" si="1357"/>
        <v>3594</v>
      </c>
      <c r="AL625" s="21">
        <f t="shared" si="1348"/>
        <v>4002.6</v>
      </c>
      <c r="AM625" s="26">
        <f t="shared" si="1349"/>
        <v>2165.5714285714284</v>
      </c>
    </row>
    <row r="626" spans="1:39" ht="16">
      <c r="A626" s="30">
        <v>44518</v>
      </c>
      <c r="B626" s="20">
        <f t="shared" si="1350"/>
        <v>987199</v>
      </c>
      <c r="C626" s="20">
        <v>10767</v>
      </c>
      <c r="D626" s="20">
        <v>32645</v>
      </c>
      <c r="E626" s="20">
        <v>833416</v>
      </c>
      <c r="F626" s="20">
        <v>7954654</v>
      </c>
      <c r="G626" s="17">
        <f t="shared" si="1331"/>
        <v>811699.38775510201</v>
      </c>
      <c r="H626" s="20"/>
      <c r="I626" s="19">
        <f t="shared" si="1351"/>
        <v>1.1026881544234519E-2</v>
      </c>
      <c r="J626" s="19">
        <f t="shared" si="1332"/>
        <v>0.12410332366436051</v>
      </c>
      <c r="K626" s="19">
        <f t="shared" si="1352"/>
        <v>5.672975563675459E-3</v>
      </c>
      <c r="L626" s="20">
        <v>121138</v>
      </c>
      <c r="M626" s="19">
        <f t="shared" si="1333"/>
        <v>3.3068307403066655E-2</v>
      </c>
      <c r="N626" s="19">
        <f t="shared" si="1334"/>
        <v>0.84422289730844546</v>
      </c>
      <c r="O626" s="20">
        <v>54312</v>
      </c>
      <c r="P626" s="28">
        <f t="shared" si="1353"/>
        <v>44872</v>
      </c>
      <c r="Q626" s="29">
        <f t="shared" si="1335"/>
        <v>0.23994918880370833</v>
      </c>
      <c r="R626" s="20">
        <f t="shared" ref="R626:S626" si="1360">D626-D625</f>
        <v>131</v>
      </c>
      <c r="S626" s="20">
        <f t="shared" si="1360"/>
        <v>4881</v>
      </c>
      <c r="T626" s="20">
        <v>5969</v>
      </c>
      <c r="U626" s="20">
        <v>606</v>
      </c>
      <c r="V626" s="19">
        <f t="shared" si="1337"/>
        <v>0.12270879528848794</v>
      </c>
      <c r="W626" s="20">
        <f t="shared" ref="W626:X626" si="1361">T626-T625</f>
        <v>117</v>
      </c>
      <c r="X626" s="20">
        <f t="shared" si="1361"/>
        <v>41</v>
      </c>
      <c r="Y626" s="19">
        <f t="shared" si="1339"/>
        <v>4.9274381284155261E-2</v>
      </c>
      <c r="Z626" s="19">
        <f t="shared" si="1340"/>
        <v>0.10152454347461887</v>
      </c>
      <c r="AA626" s="21">
        <f t="shared" si="1341"/>
        <v>1.211295435792765</v>
      </c>
      <c r="AB626" s="26">
        <f t="shared" si="1342"/>
        <v>1.3751360707100291</v>
      </c>
      <c r="AC626" s="23">
        <f t="shared" si="1343"/>
        <v>7969.2857142857147</v>
      </c>
      <c r="AD626" s="23">
        <f t="shared" si="1344"/>
        <v>127.71428571428571</v>
      </c>
      <c r="AE626" s="23">
        <f t="shared" si="1345"/>
        <v>34208.428571428572</v>
      </c>
      <c r="AF626" s="25">
        <f t="shared" si="1346"/>
        <v>0.24509669478790735</v>
      </c>
      <c r="AG626" s="20">
        <v>6013007</v>
      </c>
      <c r="AH626" s="21">
        <f t="shared" si="1356"/>
        <v>4781</v>
      </c>
      <c r="AI626" s="21">
        <f t="shared" si="1347"/>
        <v>5256</v>
      </c>
      <c r="AJ626" s="20">
        <v>5784958</v>
      </c>
      <c r="AK626" s="20">
        <f t="shared" si="1357"/>
        <v>4033</v>
      </c>
      <c r="AL626" s="21">
        <f t="shared" si="1348"/>
        <v>4077</v>
      </c>
      <c r="AM626" s="26">
        <f t="shared" si="1349"/>
        <v>2510.1428571428573</v>
      </c>
    </row>
    <row r="627" spans="1:39" ht="16">
      <c r="A627" s="30">
        <v>44519</v>
      </c>
      <c r="B627" s="20">
        <f t="shared" si="1350"/>
        <v>998488</v>
      </c>
      <c r="C627" s="20">
        <v>11289</v>
      </c>
      <c r="D627" s="20">
        <v>32780</v>
      </c>
      <c r="E627" s="20">
        <v>837584</v>
      </c>
      <c r="F627" s="20">
        <v>8006581</v>
      </c>
      <c r="G627" s="17">
        <f t="shared" si="1331"/>
        <v>816998.06122448971</v>
      </c>
      <c r="H627" s="20"/>
      <c r="I627" s="19">
        <f t="shared" si="1351"/>
        <v>1.1435384355130019E-2</v>
      </c>
      <c r="J627" s="19">
        <f t="shared" si="1332"/>
        <v>0.12470841174279008</v>
      </c>
      <c r="K627" s="19">
        <f t="shared" si="1352"/>
        <v>6.5278766367462366E-3</v>
      </c>
      <c r="L627" s="20">
        <v>128124</v>
      </c>
      <c r="M627" s="19">
        <f t="shared" si="1333"/>
        <v>3.2829638413280883E-2</v>
      </c>
      <c r="N627" s="19">
        <f t="shared" si="1334"/>
        <v>0.83885234474525483</v>
      </c>
      <c r="O627" s="20">
        <v>59177</v>
      </c>
      <c r="P627" s="28">
        <f t="shared" si="1353"/>
        <v>51927</v>
      </c>
      <c r="Q627" s="29">
        <f t="shared" si="1335"/>
        <v>0.21740135189785662</v>
      </c>
      <c r="R627" s="20">
        <f t="shared" ref="R627:S627" si="1362">D627-D626</f>
        <v>135</v>
      </c>
      <c r="S627" s="20">
        <f t="shared" si="1362"/>
        <v>4168</v>
      </c>
      <c r="T627" s="20">
        <v>6122</v>
      </c>
      <c r="U627" s="20">
        <v>613</v>
      </c>
      <c r="V627" s="19">
        <f t="shared" si="1337"/>
        <v>0.12831801684146429</v>
      </c>
      <c r="W627" s="20">
        <f t="shared" ref="W627:X627" si="1363">T627-T626</f>
        <v>153</v>
      </c>
      <c r="X627" s="20">
        <f t="shared" si="1363"/>
        <v>7</v>
      </c>
      <c r="Y627" s="19">
        <f t="shared" si="1339"/>
        <v>4.7781836346039774E-2</v>
      </c>
      <c r="Z627" s="19">
        <f t="shared" si="1340"/>
        <v>0.10013067624959164</v>
      </c>
      <c r="AA627" s="21">
        <f t="shared" si="1341"/>
        <v>1.2327593448131038</v>
      </c>
      <c r="AB627" s="26">
        <f t="shared" si="1342"/>
        <v>1.2903607523357219</v>
      </c>
      <c r="AC627" s="23">
        <f t="shared" si="1343"/>
        <v>8386.2857142857138</v>
      </c>
      <c r="AD627" s="23">
        <f t="shared" si="1344"/>
        <v>130.42857142857142</v>
      </c>
      <c r="AE627" s="23">
        <f t="shared" si="1345"/>
        <v>36294.571428571428</v>
      </c>
      <c r="AF627" s="25">
        <f t="shared" si="1346"/>
        <v>0.24372646682860824</v>
      </c>
      <c r="AG627" s="20">
        <v>6017807</v>
      </c>
      <c r="AH627" s="21">
        <f t="shared" si="1356"/>
        <v>4800</v>
      </c>
      <c r="AI627" s="21">
        <f t="shared" si="1347"/>
        <v>5133</v>
      </c>
      <c r="AJ627" s="20">
        <v>5788775</v>
      </c>
      <c r="AK627" s="20">
        <f t="shared" si="1357"/>
        <v>3817</v>
      </c>
      <c r="AL627" s="21">
        <f t="shared" si="1348"/>
        <v>3966.8</v>
      </c>
      <c r="AM627" s="26">
        <f t="shared" si="1349"/>
        <v>2749.7142857142858</v>
      </c>
    </row>
    <row r="628" spans="1:39" ht="13">
      <c r="A628" s="30">
        <v>44520</v>
      </c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8"/>
      <c r="Q628" s="28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</row>
    <row r="629" spans="1:39" ht="13">
      <c r="A629" s="30">
        <v>44521</v>
      </c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8"/>
      <c r="Q629" s="28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</row>
    <row r="630" spans="1:39" ht="16">
      <c r="A630" s="30">
        <v>44522</v>
      </c>
      <c r="B630" s="20">
        <f>B627+C630</f>
        <v>1025697</v>
      </c>
      <c r="C630" s="20">
        <v>27209</v>
      </c>
      <c r="D630" s="20">
        <v>33172</v>
      </c>
      <c r="E630" s="20">
        <v>847992</v>
      </c>
      <c r="F630" s="20">
        <v>8134310</v>
      </c>
      <c r="G630" s="17">
        <f t="shared" ref="G630:G634" si="1364">F630/9.8</f>
        <v>830031.63265306118</v>
      </c>
      <c r="H630" s="20"/>
      <c r="I630" s="19">
        <f>(B630-B627)/B627</f>
        <v>2.7250202305886501E-2</v>
      </c>
      <c r="J630" s="19">
        <f t="shared" ref="J630:J634" si="1365">B630/F630</f>
        <v>0.12609514513216241</v>
      </c>
      <c r="K630" s="19">
        <f>(F630-F627)/F627</f>
        <v>1.595300166200779E-2</v>
      </c>
      <c r="L630" s="20">
        <v>144533</v>
      </c>
      <c r="M630" s="19">
        <f t="shared" ref="M630:M634" si="1366">D630/B630</f>
        <v>3.2340934993472729E-2</v>
      </c>
      <c r="N630" s="19">
        <f t="shared" ref="N630:N634" si="1367">E630/B630</f>
        <v>0.82674708027809385</v>
      </c>
      <c r="O630" s="20">
        <v>50429</v>
      </c>
      <c r="P630" s="28">
        <f>F630-F627</f>
        <v>127729</v>
      </c>
      <c r="Q630" s="29">
        <f t="shared" ref="Q630:Q634" si="1368">C630/P630</f>
        <v>0.21302131857291609</v>
      </c>
      <c r="R630" s="20">
        <f t="shared" ref="R630:S630" si="1369">D630-D627</f>
        <v>392</v>
      </c>
      <c r="S630" s="20">
        <f t="shared" si="1369"/>
        <v>10408</v>
      </c>
      <c r="T630" s="20">
        <v>6451</v>
      </c>
      <c r="U630" s="20">
        <v>649</v>
      </c>
      <c r="V630" s="19">
        <f t="shared" ref="V630:V634" si="1370">L630/B630</f>
        <v>0.14091198472843344</v>
      </c>
      <c r="W630" s="20">
        <f t="shared" ref="W630:X630" si="1371">T630-T627</f>
        <v>329</v>
      </c>
      <c r="X630" s="20">
        <f t="shared" si="1371"/>
        <v>36</v>
      </c>
      <c r="Y630" s="19">
        <f t="shared" ref="Y630:Y634" si="1372">T630/L630</f>
        <v>4.4633405519846681E-2</v>
      </c>
      <c r="Z630" s="19">
        <f t="shared" ref="Z630:Z634" si="1373">U630/T630</f>
        <v>0.10060455743295613</v>
      </c>
      <c r="AA630" s="21">
        <f t="shared" ref="AA630:AA634" si="1374">(C624+C625+C626+C627+C628+C629+C630)/(C617+C618+C619+C620+C621+C622+C623)</f>
        <v>1.2754788970617157</v>
      </c>
      <c r="AB630" s="26">
        <f t="shared" ref="AB630:AB634" si="1375">SUM(AA624:AA630)/5</f>
        <v>1.2579310850165561</v>
      </c>
      <c r="AC630" s="23">
        <f t="shared" ref="AC630:AC634" si="1376">SUM(C624:C630)/7</f>
        <v>9264.7142857142862</v>
      </c>
      <c r="AD630" s="23">
        <f t="shared" ref="AD630:AD634" si="1377">SUM(R624:R630)/7</f>
        <v>143</v>
      </c>
      <c r="AE630" s="23">
        <f t="shared" ref="AE630:AE634" si="1378">SUM(P624:P630)/7</f>
        <v>39906.285714285717</v>
      </c>
      <c r="AF630" s="25">
        <f t="shared" ref="AF630:AF634" si="1379">SUM(Q624:Q630)/5</f>
        <v>0.24521678870009214</v>
      </c>
      <c r="AG630" s="20">
        <v>6024568</v>
      </c>
      <c r="AH630" s="21">
        <f>AG630-AG627</f>
        <v>6761</v>
      </c>
      <c r="AI630" s="21">
        <f t="shared" ref="AI630:AI634" si="1380">(SUM(AH624:AH630))/5</f>
        <v>5010.3999999999996</v>
      </c>
      <c r="AJ630" s="20">
        <v>5794499</v>
      </c>
      <c r="AK630" s="20">
        <f>AJ630-AJ627</f>
        <v>5724</v>
      </c>
      <c r="AL630" s="21">
        <f t="shared" ref="AL630:AL634" si="1381">(SUM(AK624:AK630))/5</f>
        <v>4068.2</v>
      </c>
      <c r="AM630" s="26">
        <f t="shared" ref="AM630:AM634" si="1382">SUM(S624:S630)/7</f>
        <v>3173.8571428571427</v>
      </c>
    </row>
    <row r="631" spans="1:39" ht="16">
      <c r="A631" s="30">
        <v>44523</v>
      </c>
      <c r="B631" s="20">
        <f t="shared" ref="B631:B634" si="1383">B630+C631</f>
        <v>1032215</v>
      </c>
      <c r="C631" s="20">
        <v>6518</v>
      </c>
      <c r="D631" s="20">
        <v>33343</v>
      </c>
      <c r="E631" s="20">
        <v>851314</v>
      </c>
      <c r="F631" s="20">
        <v>8157875</v>
      </c>
      <c r="G631" s="17">
        <f t="shared" si="1364"/>
        <v>832436.22448979586</v>
      </c>
      <c r="H631" s="20"/>
      <c r="I631" s="19">
        <f t="shared" ref="I631:I634" si="1384">(B631-B630)/B630</f>
        <v>6.3547031920732928E-3</v>
      </c>
      <c r="J631" s="19">
        <f t="shared" si="1365"/>
        <v>0.12652988676585508</v>
      </c>
      <c r="K631" s="19">
        <f t="shared" ref="K631:K634" si="1385">(F631-F630)/F630</f>
        <v>2.8969881895329784E-3</v>
      </c>
      <c r="L631" s="20">
        <v>147558</v>
      </c>
      <c r="M631" s="19">
        <f t="shared" si="1366"/>
        <v>3.2302378864868267E-2</v>
      </c>
      <c r="N631" s="19">
        <f t="shared" si="1367"/>
        <v>0.82474484482399502</v>
      </c>
      <c r="O631" s="20">
        <v>49737</v>
      </c>
      <c r="P631" s="28">
        <f t="shared" ref="P631:P634" si="1386">F631-F630</f>
        <v>23565</v>
      </c>
      <c r="Q631" s="29">
        <f t="shared" si="1368"/>
        <v>0.27659664757054953</v>
      </c>
      <c r="R631" s="20">
        <f t="shared" ref="R631:S631" si="1387">D631-D630</f>
        <v>171</v>
      </c>
      <c r="S631" s="20">
        <f t="shared" si="1387"/>
        <v>3322</v>
      </c>
      <c r="T631" s="20">
        <v>6830</v>
      </c>
      <c r="U631" s="20">
        <v>663</v>
      </c>
      <c r="V631" s="19">
        <f t="shared" si="1370"/>
        <v>0.14295277631113673</v>
      </c>
      <c r="W631" s="20">
        <f t="shared" ref="W631:X631" si="1388">T631-T630</f>
        <v>379</v>
      </c>
      <c r="X631" s="20">
        <f t="shared" si="1388"/>
        <v>14</v>
      </c>
      <c r="Y631" s="19">
        <f t="shared" si="1372"/>
        <v>4.6286883801623768E-2</v>
      </c>
      <c r="Z631" s="19">
        <f t="shared" si="1373"/>
        <v>9.7071742313323578E-2</v>
      </c>
      <c r="AA631" s="21">
        <f t="shared" si="1374"/>
        <v>1.2804714914406468</v>
      </c>
      <c r="AB631" s="26">
        <f t="shared" si="1375"/>
        <v>1.2431807825013039</v>
      </c>
      <c r="AC631" s="23">
        <f t="shared" si="1376"/>
        <v>9435.4285714285706</v>
      </c>
      <c r="AD631" s="23">
        <f t="shared" si="1377"/>
        <v>143.85714285714286</v>
      </c>
      <c r="AE631" s="23">
        <f t="shared" si="1378"/>
        <v>40202.571428571428</v>
      </c>
      <c r="AF631" s="25">
        <f t="shared" si="1379"/>
        <v>0.25099910271934367</v>
      </c>
      <c r="AG631" s="20">
        <v>6043116</v>
      </c>
      <c r="AH631" s="21">
        <f t="shared" ref="AH631:AH634" si="1389">AG631-AG630</f>
        <v>18548</v>
      </c>
      <c r="AI631" s="21">
        <f t="shared" si="1380"/>
        <v>7940.4</v>
      </c>
      <c r="AJ631" s="20">
        <v>5801593</v>
      </c>
      <c r="AK631" s="20">
        <f t="shared" ref="AK631:AK634" si="1390">AJ631-AJ630</f>
        <v>7094</v>
      </c>
      <c r="AL631" s="21">
        <f t="shared" si="1381"/>
        <v>4852.3999999999996</v>
      </c>
      <c r="AM631" s="26">
        <f t="shared" si="1382"/>
        <v>3439.5714285714284</v>
      </c>
    </row>
    <row r="632" spans="1:39" ht="16">
      <c r="A632" s="30">
        <v>44524</v>
      </c>
      <c r="B632" s="20">
        <f t="shared" si="1383"/>
        <v>1044852</v>
      </c>
      <c r="C632" s="20">
        <v>12637</v>
      </c>
      <c r="D632" s="20">
        <v>33519</v>
      </c>
      <c r="E632" s="20">
        <v>856330</v>
      </c>
      <c r="F632" s="20">
        <v>8196724</v>
      </c>
      <c r="G632" s="17">
        <f t="shared" si="1364"/>
        <v>836400.40816326521</v>
      </c>
      <c r="H632" s="20"/>
      <c r="I632" s="19">
        <f t="shared" si="1384"/>
        <v>1.2242604496156323E-2</v>
      </c>
      <c r="J632" s="19">
        <f t="shared" si="1365"/>
        <v>0.12747190218921609</v>
      </c>
      <c r="K632" s="19">
        <f t="shared" si="1385"/>
        <v>4.7621470051943671E-3</v>
      </c>
      <c r="L632" s="20">
        <v>155003</v>
      </c>
      <c r="M632" s="19">
        <f t="shared" si="1366"/>
        <v>3.2080141493723513E-2</v>
      </c>
      <c r="N632" s="19">
        <f t="shared" si="1367"/>
        <v>0.8195706186139281</v>
      </c>
      <c r="O632" s="20">
        <v>54978</v>
      </c>
      <c r="P632" s="28">
        <f t="shared" si="1386"/>
        <v>38849</v>
      </c>
      <c r="Q632" s="29">
        <f t="shared" si="1368"/>
        <v>0.32528507812298901</v>
      </c>
      <c r="R632" s="20">
        <f t="shared" ref="R632:S632" si="1391">D632-D631</f>
        <v>176</v>
      </c>
      <c r="S632" s="20">
        <f t="shared" si="1391"/>
        <v>5016</v>
      </c>
      <c r="T632" s="20">
        <v>6840</v>
      </c>
      <c r="U632" s="20">
        <v>664</v>
      </c>
      <c r="V632" s="19">
        <f t="shared" si="1370"/>
        <v>0.14834923989234838</v>
      </c>
      <c r="W632" s="20">
        <f t="shared" ref="W632:X632" si="1392">T632-T631</f>
        <v>10</v>
      </c>
      <c r="X632" s="20">
        <f t="shared" si="1392"/>
        <v>1</v>
      </c>
      <c r="Y632" s="19">
        <f t="shared" si="1372"/>
        <v>4.4128178164293597E-2</v>
      </c>
      <c r="Z632" s="19">
        <f t="shared" si="1373"/>
        <v>9.7076023391812871E-2</v>
      </c>
      <c r="AA632" s="21">
        <f t="shared" si="1374"/>
        <v>1.2809855463191793</v>
      </c>
      <c r="AB632" s="26">
        <f t="shared" si="1375"/>
        <v>1.2561981430854821</v>
      </c>
      <c r="AC632" s="23">
        <f t="shared" si="1376"/>
        <v>9774.2857142857138</v>
      </c>
      <c r="AD632" s="23">
        <f t="shared" si="1377"/>
        <v>143.57142857142858</v>
      </c>
      <c r="AE632" s="23">
        <f t="shared" si="1378"/>
        <v>40991.714285714283</v>
      </c>
      <c r="AF632" s="25">
        <f t="shared" si="1379"/>
        <v>0.25445071699360394</v>
      </c>
      <c r="AG632" s="20">
        <v>6057367</v>
      </c>
      <c r="AH632" s="21">
        <f t="shared" si="1389"/>
        <v>14251</v>
      </c>
      <c r="AI632" s="21">
        <f t="shared" si="1380"/>
        <v>9828.2000000000007</v>
      </c>
      <c r="AJ632" s="20">
        <v>5808536</v>
      </c>
      <c r="AK632" s="20">
        <f t="shared" si="1390"/>
        <v>6943</v>
      </c>
      <c r="AL632" s="21">
        <f t="shared" si="1381"/>
        <v>5522.2</v>
      </c>
      <c r="AM632" s="26">
        <f t="shared" si="1382"/>
        <v>3970.7142857142858</v>
      </c>
    </row>
    <row r="633" spans="1:39" ht="16">
      <c r="A633" s="30">
        <v>44525</v>
      </c>
      <c r="B633" s="20">
        <f t="shared" si="1383"/>
        <v>1057017</v>
      </c>
      <c r="C633" s="20">
        <v>12165</v>
      </c>
      <c r="D633" s="20">
        <v>33704</v>
      </c>
      <c r="E633" s="20">
        <v>857451</v>
      </c>
      <c r="F633" s="20">
        <v>8249524</v>
      </c>
      <c r="G633" s="17">
        <f t="shared" si="1364"/>
        <v>841788.16326530604</v>
      </c>
      <c r="H633" s="20"/>
      <c r="I633" s="19">
        <f t="shared" si="1384"/>
        <v>1.1642797257410619E-2</v>
      </c>
      <c r="J633" s="19">
        <f t="shared" si="1365"/>
        <v>0.12813066547839608</v>
      </c>
      <c r="K633" s="19">
        <f t="shared" si="1385"/>
        <v>6.4415978871558933E-3</v>
      </c>
      <c r="L633" s="20">
        <v>165862</v>
      </c>
      <c r="M633" s="19">
        <f t="shared" si="1366"/>
        <v>3.1885958314766934E-2</v>
      </c>
      <c r="N633" s="19">
        <f t="shared" si="1367"/>
        <v>0.81119887381186873</v>
      </c>
      <c r="O633" s="20">
        <v>64002</v>
      </c>
      <c r="P633" s="28">
        <f t="shared" si="1386"/>
        <v>52800</v>
      </c>
      <c r="Q633" s="29">
        <f t="shared" si="1368"/>
        <v>0.23039772727272728</v>
      </c>
      <c r="R633" s="20">
        <f t="shared" ref="R633:S633" si="1393">D633-D632</f>
        <v>185</v>
      </c>
      <c r="S633" s="20">
        <f t="shared" si="1393"/>
        <v>1121</v>
      </c>
      <c r="T633" s="20">
        <v>6858</v>
      </c>
      <c r="U633" s="20">
        <v>680</v>
      </c>
      <c r="V633" s="19">
        <f t="shared" si="1370"/>
        <v>0.15691516787336438</v>
      </c>
      <c r="W633" s="20">
        <f t="shared" ref="W633:X633" si="1394">T633-T632</f>
        <v>18</v>
      </c>
      <c r="X633" s="20">
        <f t="shared" si="1394"/>
        <v>16</v>
      </c>
      <c r="Y633" s="19">
        <f t="shared" si="1372"/>
        <v>4.1347626339969371E-2</v>
      </c>
      <c r="Z633" s="19">
        <f t="shared" si="1373"/>
        <v>9.9154272382618841E-2</v>
      </c>
      <c r="AA633" s="21">
        <f t="shared" si="1374"/>
        <v>1.2515550775298019</v>
      </c>
      <c r="AB633" s="26">
        <f t="shared" si="1375"/>
        <v>1.2642500714328895</v>
      </c>
      <c r="AC633" s="23">
        <f t="shared" si="1376"/>
        <v>9974</v>
      </c>
      <c r="AD633" s="23">
        <f t="shared" si="1377"/>
        <v>151.28571428571428</v>
      </c>
      <c r="AE633" s="23">
        <f t="shared" si="1378"/>
        <v>42124.285714285717</v>
      </c>
      <c r="AF633" s="25">
        <f t="shared" si="1379"/>
        <v>0.25254042468740773</v>
      </c>
      <c r="AG633" s="20">
        <v>6072192</v>
      </c>
      <c r="AH633" s="21">
        <f t="shared" si="1389"/>
        <v>14825</v>
      </c>
      <c r="AI633" s="21">
        <f t="shared" si="1380"/>
        <v>11837</v>
      </c>
      <c r="AJ633" s="20">
        <v>5816050</v>
      </c>
      <c r="AK633" s="20">
        <f t="shared" si="1390"/>
        <v>7514</v>
      </c>
      <c r="AL633" s="21">
        <f t="shared" si="1381"/>
        <v>6218.4</v>
      </c>
      <c r="AM633" s="26">
        <f t="shared" si="1382"/>
        <v>3433.5714285714284</v>
      </c>
    </row>
    <row r="634" spans="1:39" ht="16">
      <c r="A634" s="30">
        <v>44526</v>
      </c>
      <c r="B634" s="20">
        <f t="shared" si="1383"/>
        <v>1068888</v>
      </c>
      <c r="C634" s="20">
        <v>11871</v>
      </c>
      <c r="D634" s="20">
        <v>33866</v>
      </c>
      <c r="E634" s="20">
        <v>862534</v>
      </c>
      <c r="F634" s="20">
        <v>8298820</v>
      </c>
      <c r="G634" s="17">
        <f t="shared" si="1364"/>
        <v>846818.3673469387</v>
      </c>
      <c r="H634" s="20"/>
      <c r="I634" s="19">
        <f t="shared" si="1384"/>
        <v>1.1230661380091333E-2</v>
      </c>
      <c r="J634" s="19">
        <f t="shared" si="1365"/>
        <v>0.12879999807201506</v>
      </c>
      <c r="K634" s="19">
        <f t="shared" si="1385"/>
        <v>5.975617502294678E-3</v>
      </c>
      <c r="L634" s="20">
        <v>172488</v>
      </c>
      <c r="M634" s="19">
        <f t="shared" si="1366"/>
        <v>3.1683394331305056E-2</v>
      </c>
      <c r="N634" s="19">
        <f t="shared" si="1367"/>
        <v>0.80694516170075814</v>
      </c>
      <c r="O634" s="20">
        <v>66834</v>
      </c>
      <c r="P634" s="28">
        <f t="shared" si="1386"/>
        <v>49296</v>
      </c>
      <c r="Q634" s="29">
        <f t="shared" si="1368"/>
        <v>0.2408106134371957</v>
      </c>
      <c r="R634" s="20">
        <f t="shared" ref="R634:S634" si="1395">D634-D633</f>
        <v>162</v>
      </c>
      <c r="S634" s="20">
        <f t="shared" si="1395"/>
        <v>5083</v>
      </c>
      <c r="T634" s="20">
        <v>6913</v>
      </c>
      <c r="U634" s="20">
        <v>695</v>
      </c>
      <c r="V634" s="19">
        <f t="shared" si="1370"/>
        <v>0.16137144396793676</v>
      </c>
      <c r="W634" s="20">
        <f t="shared" ref="W634:X634" si="1396">T634-T633</f>
        <v>55</v>
      </c>
      <c r="X634" s="20">
        <f t="shared" si="1396"/>
        <v>15</v>
      </c>
      <c r="Y634" s="19">
        <f t="shared" si="1372"/>
        <v>4.0078150364083298E-2</v>
      </c>
      <c r="Z634" s="19">
        <f t="shared" si="1373"/>
        <v>0.10053522349197165</v>
      </c>
      <c r="AA634" s="21">
        <f t="shared" si="1374"/>
        <v>1.1992368492777323</v>
      </c>
      <c r="AB634" s="26">
        <f t="shared" si="1375"/>
        <v>1.2575455723258151</v>
      </c>
      <c r="AC634" s="23">
        <f t="shared" si="1376"/>
        <v>10057.142857142857</v>
      </c>
      <c r="AD634" s="23">
        <f t="shared" si="1377"/>
        <v>155.14285714285714</v>
      </c>
      <c r="AE634" s="23">
        <f t="shared" si="1378"/>
        <v>41748.428571428572</v>
      </c>
      <c r="AF634" s="25">
        <f t="shared" si="1379"/>
        <v>0.25722227699527556</v>
      </c>
      <c r="AG634" s="20">
        <v>6087474</v>
      </c>
      <c r="AH634" s="21">
        <f t="shared" si="1389"/>
        <v>15282</v>
      </c>
      <c r="AI634" s="21">
        <f t="shared" si="1380"/>
        <v>13933.4</v>
      </c>
      <c r="AJ634" s="20">
        <v>5823818</v>
      </c>
      <c r="AK634" s="20">
        <f t="shared" si="1390"/>
        <v>7768</v>
      </c>
      <c r="AL634" s="21">
        <f t="shared" si="1381"/>
        <v>7008.6</v>
      </c>
      <c r="AM634" s="26">
        <f t="shared" si="1382"/>
        <v>3564.2857142857142</v>
      </c>
    </row>
    <row r="635" spans="1:39" ht="13">
      <c r="A635" s="30">
        <v>44527</v>
      </c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8"/>
      <c r="Q635" s="28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</row>
    <row r="636" spans="1:39" ht="13">
      <c r="A636" s="30">
        <v>44528</v>
      </c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8"/>
      <c r="Q636" s="28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</row>
    <row r="637" spans="1:39" ht="16">
      <c r="A637" s="30">
        <v>44529</v>
      </c>
      <c r="B637" s="20">
        <f>B634+C637</f>
        <v>1096718</v>
      </c>
      <c r="C637" s="20">
        <v>27830</v>
      </c>
      <c r="D637" s="20">
        <v>34326</v>
      </c>
      <c r="E637" s="20">
        <v>877251</v>
      </c>
      <c r="F637" s="20">
        <v>8423435</v>
      </c>
      <c r="G637" s="17">
        <f t="shared" ref="G637:G641" si="1397">F637/9.8</f>
        <v>859534.18367346935</v>
      </c>
      <c r="H637" s="20"/>
      <c r="I637" s="19">
        <f>(B637-B634)/B634</f>
        <v>2.603640418827791E-2</v>
      </c>
      <c r="J637" s="19">
        <f t="shared" ref="J637:J641" si="1398">B637/F637</f>
        <v>0.13019842855082278</v>
      </c>
      <c r="K637" s="19">
        <f>(F637-F634)/F634</f>
        <v>1.5015990225116342E-2</v>
      </c>
      <c r="L637" s="20">
        <v>185141</v>
      </c>
      <c r="M637" s="19">
        <f t="shared" ref="M637:M641" si="1399">D637/B637</f>
        <v>3.1298838899334193E-2</v>
      </c>
      <c r="N637" s="19">
        <f t="shared" ref="N637:N641" si="1400">E637/B637</f>
        <v>0.7998874824704254</v>
      </c>
      <c r="O637" s="20">
        <v>52452</v>
      </c>
      <c r="P637" s="28">
        <f>F637-F634</f>
        <v>124615</v>
      </c>
      <c r="Q637" s="29">
        <f t="shared" ref="Q637:Q641" si="1401">C637/P637</f>
        <v>0.22332784977731412</v>
      </c>
      <c r="R637" s="20">
        <f t="shared" ref="R637:S637" si="1402">D637-D634</f>
        <v>460</v>
      </c>
      <c r="S637" s="20">
        <f t="shared" si="1402"/>
        <v>14717</v>
      </c>
      <c r="T637" s="20">
        <v>7438</v>
      </c>
      <c r="U637" s="20">
        <v>538</v>
      </c>
      <c r="V637" s="19">
        <f t="shared" ref="V637:V641" si="1403">L637/B637</f>
        <v>0.16881367863024041</v>
      </c>
      <c r="W637" s="20">
        <f t="shared" ref="W637:X637" si="1404">T637-T634</f>
        <v>525</v>
      </c>
      <c r="X637" s="20">
        <f t="shared" si="1404"/>
        <v>-157</v>
      </c>
      <c r="Y637" s="19">
        <f t="shared" ref="Y637:Y641" si="1405">T637/L637</f>
        <v>4.017478570386894E-2</v>
      </c>
      <c r="Z637" s="19">
        <f t="shared" ref="Z637:Z641" si="1406">U637/T637</f>
        <v>7.233127184727077E-2</v>
      </c>
      <c r="AA637" s="21">
        <f t="shared" ref="AA637:AA641" si="1407">(C631+C632+C633+C634+C635+C636+C637)/(C624+C625+C626+C627+C628+C629+C630)</f>
        <v>1.0951073967279847</v>
      </c>
      <c r="AB637" s="26">
        <f t="shared" ref="AB637:AB641" si="1408">SUM(AA631:AA637)/5</f>
        <v>1.221471272259069</v>
      </c>
      <c r="AC637" s="23">
        <f t="shared" ref="AC637:AC641" si="1409">SUM(C631:C637)/7</f>
        <v>10145.857142857143</v>
      </c>
      <c r="AD637" s="23">
        <f t="shared" ref="AD637:AD641" si="1410">SUM(R631:R637)/7</f>
        <v>164.85714285714286</v>
      </c>
      <c r="AE637" s="23">
        <f t="shared" ref="AE637:AE641" si="1411">SUM(P631:P637)/7</f>
        <v>41303.571428571428</v>
      </c>
      <c r="AF637" s="25">
        <f t="shared" ref="AF637:AF641" si="1412">SUM(Q631:Q637)/5</f>
        <v>0.25928358323615514</v>
      </c>
      <c r="AG637" s="20">
        <v>6120959</v>
      </c>
      <c r="AH637" s="21">
        <f>AG637-AG634</f>
        <v>33485</v>
      </c>
      <c r="AI637" s="21">
        <f t="shared" ref="AI637:AI641" si="1413">(SUM(AH631:AH637))/5</f>
        <v>19278.2</v>
      </c>
      <c r="AJ637" s="20">
        <v>5839078</v>
      </c>
      <c r="AK637" s="20">
        <f>AJ637-AJ634</f>
        <v>15260</v>
      </c>
      <c r="AL637" s="21">
        <f t="shared" ref="AL637:AL641" si="1414">(SUM(AK631:AK637))/5</f>
        <v>8915.7999999999993</v>
      </c>
      <c r="AM637" s="26">
        <f t="shared" ref="AM637:AM641" si="1415">SUM(S631:S637)/7</f>
        <v>4179.8571428571431</v>
      </c>
    </row>
    <row r="638" spans="1:39" ht="16">
      <c r="A638" s="30">
        <v>44530</v>
      </c>
      <c r="B638" s="20">
        <f t="shared" ref="B638:B641" si="1416">B637+C638</f>
        <v>1103108</v>
      </c>
      <c r="C638" s="20">
        <v>6390</v>
      </c>
      <c r="D638" s="20">
        <v>34521</v>
      </c>
      <c r="E638" s="20">
        <v>882659</v>
      </c>
      <c r="F638" s="20">
        <v>8443744</v>
      </c>
      <c r="G638" s="17">
        <f t="shared" si="1397"/>
        <v>861606.53061224485</v>
      </c>
      <c r="H638" s="20"/>
      <c r="I638" s="19">
        <f t="shared" ref="I638:I641" si="1417">(B638-B637)/B637</f>
        <v>5.8264749917481063E-3</v>
      </c>
      <c r="J638" s="19">
        <f t="shared" si="1398"/>
        <v>0.13064204694031462</v>
      </c>
      <c r="K638" s="19">
        <f t="shared" ref="K638:K641" si="1418">(F638-F637)/F637</f>
        <v>2.411011659732639E-3</v>
      </c>
      <c r="L638" s="20">
        <v>185928</v>
      </c>
      <c r="M638" s="19">
        <f t="shared" si="1399"/>
        <v>3.1294306631807586E-2</v>
      </c>
      <c r="N638" s="19">
        <f t="shared" si="1400"/>
        <v>0.80015646700051124</v>
      </c>
      <c r="O638" s="20">
        <v>49607</v>
      </c>
      <c r="P638" s="28">
        <f t="shared" ref="P638:P641" si="1419">F638-F637</f>
        <v>20309</v>
      </c>
      <c r="Q638" s="29">
        <f t="shared" si="1401"/>
        <v>0.31463883007533605</v>
      </c>
      <c r="R638" s="20">
        <f t="shared" ref="R638:S638" si="1420">D638-D637</f>
        <v>195</v>
      </c>
      <c r="S638" s="20">
        <f t="shared" si="1420"/>
        <v>5408</v>
      </c>
      <c r="T638" s="20">
        <v>7596</v>
      </c>
      <c r="U638" s="20">
        <v>513</v>
      </c>
      <c r="V638" s="19">
        <f t="shared" si="1403"/>
        <v>0.16854922636768113</v>
      </c>
      <c r="W638" s="20">
        <f t="shared" ref="W638:X638" si="1421">T638-T637</f>
        <v>158</v>
      </c>
      <c r="X638" s="20">
        <f t="shared" si="1421"/>
        <v>-25</v>
      </c>
      <c r="Y638" s="19">
        <f t="shared" si="1405"/>
        <v>4.0854524331999487E-2</v>
      </c>
      <c r="Z638" s="19">
        <f t="shared" si="1406"/>
        <v>6.7535545023696686E-2</v>
      </c>
      <c r="AA638" s="21">
        <f t="shared" si="1407"/>
        <v>1.0733557412790697</v>
      </c>
      <c r="AB638" s="26">
        <f t="shared" si="1408"/>
        <v>1.1800481222267536</v>
      </c>
      <c r="AC638" s="23">
        <f t="shared" si="1409"/>
        <v>10127.571428571429</v>
      </c>
      <c r="AD638" s="23">
        <f t="shared" si="1410"/>
        <v>168.28571428571428</v>
      </c>
      <c r="AE638" s="23">
        <f t="shared" si="1411"/>
        <v>40838.428571428572</v>
      </c>
      <c r="AF638" s="25">
        <f t="shared" si="1412"/>
        <v>0.26689201973711241</v>
      </c>
      <c r="AG638" s="20">
        <v>6126420</v>
      </c>
      <c r="AH638" s="21">
        <f t="shared" ref="AH638:AH641" si="1422">AG638-AG637</f>
        <v>5461</v>
      </c>
      <c r="AI638" s="21">
        <f t="shared" si="1413"/>
        <v>16660.8</v>
      </c>
      <c r="AJ638" s="20">
        <v>5842885</v>
      </c>
      <c r="AK638" s="20">
        <f t="shared" ref="AK638:AK641" si="1423">AJ638-AJ637</f>
        <v>3807</v>
      </c>
      <c r="AL638" s="21">
        <f t="shared" si="1414"/>
        <v>8258.4</v>
      </c>
      <c r="AM638" s="26">
        <f t="shared" si="1415"/>
        <v>4477.8571428571431</v>
      </c>
    </row>
    <row r="639" spans="1:39" ht="16">
      <c r="A639" s="30">
        <v>44531</v>
      </c>
      <c r="B639" s="20">
        <f t="shared" si="1416"/>
        <v>1114260</v>
      </c>
      <c r="C639" s="20">
        <v>11152</v>
      </c>
      <c r="D639" s="20">
        <v>34713</v>
      </c>
      <c r="E639" s="20">
        <v>891691</v>
      </c>
      <c r="F639" s="20">
        <v>8474664</v>
      </c>
      <c r="G639" s="17">
        <f t="shared" si="1397"/>
        <v>864761.63265306118</v>
      </c>
      <c r="H639" s="20"/>
      <c r="I639" s="19">
        <f t="shared" si="1417"/>
        <v>1.0109617553313003E-2</v>
      </c>
      <c r="J639" s="19">
        <f t="shared" si="1398"/>
        <v>0.1314813189053867</v>
      </c>
      <c r="K639" s="19">
        <f t="shared" si="1418"/>
        <v>3.661882690901098E-3</v>
      </c>
      <c r="L639" s="20">
        <v>187856</v>
      </c>
      <c r="M639" s="19">
        <f t="shared" si="1399"/>
        <v>3.1153411232566906E-2</v>
      </c>
      <c r="N639" s="19">
        <f t="shared" si="1400"/>
        <v>0.80025398022005634</v>
      </c>
      <c r="O639" s="20">
        <v>53551</v>
      </c>
      <c r="P639" s="28">
        <f t="shared" si="1419"/>
        <v>30920</v>
      </c>
      <c r="Q639" s="29">
        <f t="shared" si="1401"/>
        <v>0.36067270375161709</v>
      </c>
      <c r="R639" s="20">
        <f t="shared" ref="R639:S639" si="1424">D639-D638</f>
        <v>192</v>
      </c>
      <c r="S639" s="20">
        <f t="shared" si="1424"/>
        <v>9032</v>
      </c>
      <c r="T639" s="20">
        <v>7546</v>
      </c>
      <c r="U639" s="20">
        <v>562</v>
      </c>
      <c r="V639" s="19">
        <f t="shared" si="1403"/>
        <v>0.16859260854737673</v>
      </c>
      <c r="W639" s="20">
        <f t="shared" ref="W639:X639" si="1425">T639-T638</f>
        <v>-50</v>
      </c>
      <c r="X639" s="20">
        <f t="shared" si="1425"/>
        <v>49</v>
      </c>
      <c r="Y639" s="19">
        <f t="shared" si="1405"/>
        <v>4.0169065667319648E-2</v>
      </c>
      <c r="Z639" s="19">
        <f t="shared" si="1406"/>
        <v>7.4476543864298972E-2</v>
      </c>
      <c r="AA639" s="21">
        <f t="shared" si="1407"/>
        <v>1.0144402221572639</v>
      </c>
      <c r="AB639" s="26">
        <f t="shared" si="1408"/>
        <v>1.1267390573943705</v>
      </c>
      <c r="AC639" s="23">
        <f t="shared" si="1409"/>
        <v>9915.4285714285706</v>
      </c>
      <c r="AD639" s="23">
        <f t="shared" si="1410"/>
        <v>170.57142857142858</v>
      </c>
      <c r="AE639" s="23">
        <f t="shared" si="1411"/>
        <v>39705.714285714283</v>
      </c>
      <c r="AF639" s="25">
        <f t="shared" si="1412"/>
        <v>0.27396954486283803</v>
      </c>
      <c r="AG639" s="20">
        <v>6132549</v>
      </c>
      <c r="AH639" s="21">
        <f t="shared" si="1422"/>
        <v>6129</v>
      </c>
      <c r="AI639" s="21">
        <f t="shared" si="1413"/>
        <v>15036.4</v>
      </c>
      <c r="AJ639" s="20">
        <v>5847405</v>
      </c>
      <c r="AK639" s="20">
        <f t="shared" si="1423"/>
        <v>4520</v>
      </c>
      <c r="AL639" s="21">
        <f t="shared" si="1414"/>
        <v>7773.8</v>
      </c>
      <c r="AM639" s="26">
        <f t="shared" si="1415"/>
        <v>5051.5714285714284</v>
      </c>
    </row>
    <row r="640" spans="1:39" ht="16">
      <c r="A640" s="30">
        <v>44532</v>
      </c>
      <c r="B640" s="20">
        <f t="shared" si="1416"/>
        <v>1124726</v>
      </c>
      <c r="C640" s="20">
        <v>10466</v>
      </c>
      <c r="D640" s="20">
        <v>34931</v>
      </c>
      <c r="E640" s="20">
        <v>902000</v>
      </c>
      <c r="F640" s="20">
        <v>8516699</v>
      </c>
      <c r="G640" s="17">
        <f t="shared" si="1397"/>
        <v>869050.91836734687</v>
      </c>
      <c r="H640" s="20"/>
      <c r="I640" s="19">
        <f t="shared" si="1417"/>
        <v>9.3927808590454649E-3</v>
      </c>
      <c r="J640" s="19">
        <f t="shared" si="1398"/>
        <v>0.13206125988484504</v>
      </c>
      <c r="K640" s="19">
        <f t="shared" si="1418"/>
        <v>4.9600786532657815E-3</v>
      </c>
      <c r="L640" s="20">
        <v>187795</v>
      </c>
      <c r="M640" s="19">
        <f t="shared" si="1399"/>
        <v>3.1057341965954374E-2</v>
      </c>
      <c r="N640" s="19">
        <f t="shared" si="1400"/>
        <v>0.80197310278236655</v>
      </c>
      <c r="O640" s="20">
        <v>59593</v>
      </c>
      <c r="P640" s="28">
        <f t="shared" si="1419"/>
        <v>42035</v>
      </c>
      <c r="Q640" s="29">
        <f t="shared" si="1401"/>
        <v>0.24898299036517188</v>
      </c>
      <c r="R640" s="20">
        <f t="shared" ref="R640:S640" si="1426">D640-D639</f>
        <v>218</v>
      </c>
      <c r="S640" s="20">
        <f t="shared" si="1426"/>
        <v>10309</v>
      </c>
      <c r="T640" s="20">
        <v>7450</v>
      </c>
      <c r="U640" s="20">
        <v>550</v>
      </c>
      <c r="V640" s="19">
        <f t="shared" si="1403"/>
        <v>0.16696955525167909</v>
      </c>
      <c r="W640" s="20">
        <f t="shared" ref="W640:X640" si="1427">T640-T639</f>
        <v>-96</v>
      </c>
      <c r="X640" s="20">
        <f t="shared" si="1427"/>
        <v>-12</v>
      </c>
      <c r="Y640" s="19">
        <f t="shared" si="1405"/>
        <v>3.9670917756063795E-2</v>
      </c>
      <c r="Z640" s="19">
        <f t="shared" si="1406"/>
        <v>7.3825503355704702E-2</v>
      </c>
      <c r="AA640" s="21">
        <f t="shared" si="1407"/>
        <v>0.96979289008565128</v>
      </c>
      <c r="AB640" s="26">
        <f t="shared" si="1408"/>
        <v>1.0703866199055403</v>
      </c>
      <c r="AC640" s="23">
        <f t="shared" si="1409"/>
        <v>9672.7142857142862</v>
      </c>
      <c r="AD640" s="23">
        <f t="shared" si="1410"/>
        <v>175.28571428571428</v>
      </c>
      <c r="AE640" s="23">
        <f t="shared" si="1411"/>
        <v>38167.857142857145</v>
      </c>
      <c r="AF640" s="25">
        <f t="shared" si="1412"/>
        <v>0.27768659748132696</v>
      </c>
      <c r="AG640" s="20">
        <v>6138885</v>
      </c>
      <c r="AH640" s="21">
        <f t="shared" si="1422"/>
        <v>6336</v>
      </c>
      <c r="AI640" s="21">
        <f t="shared" si="1413"/>
        <v>13338.6</v>
      </c>
      <c r="AJ640" s="20">
        <v>5852417</v>
      </c>
      <c r="AK640" s="20">
        <f t="shared" si="1423"/>
        <v>5012</v>
      </c>
      <c r="AL640" s="21">
        <f t="shared" si="1414"/>
        <v>7273.4</v>
      </c>
      <c r="AM640" s="26">
        <f t="shared" si="1415"/>
        <v>6364.1428571428569</v>
      </c>
    </row>
    <row r="641" spans="1:39" ht="16">
      <c r="A641" s="30">
        <v>44533</v>
      </c>
      <c r="B641" s="20">
        <f t="shared" si="1416"/>
        <v>1134869</v>
      </c>
      <c r="C641" s="20">
        <v>10143</v>
      </c>
      <c r="D641" s="20">
        <v>35122</v>
      </c>
      <c r="E641" s="20">
        <v>910745</v>
      </c>
      <c r="F641" s="20">
        <v>8559975</v>
      </c>
      <c r="G641" s="17">
        <f t="shared" si="1397"/>
        <v>873466.83673469385</v>
      </c>
      <c r="H641" s="20"/>
      <c r="I641" s="19">
        <f t="shared" si="1417"/>
        <v>9.0181964318420665E-3</v>
      </c>
      <c r="J641" s="19">
        <f t="shared" si="1398"/>
        <v>0.13257854140929151</v>
      </c>
      <c r="K641" s="19">
        <f t="shared" si="1418"/>
        <v>5.081311432985949E-3</v>
      </c>
      <c r="L641" s="20">
        <v>189002</v>
      </c>
      <c r="M641" s="19">
        <f t="shared" si="1399"/>
        <v>3.0948065371421724E-2</v>
      </c>
      <c r="N641" s="19">
        <f t="shared" si="1400"/>
        <v>0.80251112683490344</v>
      </c>
      <c r="O641" s="20">
        <v>60555</v>
      </c>
      <c r="P641" s="28">
        <f t="shared" si="1419"/>
        <v>43276</v>
      </c>
      <c r="Q641" s="29">
        <f t="shared" si="1401"/>
        <v>0.23437933265551344</v>
      </c>
      <c r="R641" s="20">
        <f t="shared" ref="R641:S641" si="1428">D641-D640</f>
        <v>191</v>
      </c>
      <c r="S641" s="20">
        <f t="shared" si="1428"/>
        <v>8745</v>
      </c>
      <c r="T641" s="20">
        <v>7463</v>
      </c>
      <c r="U641" s="20">
        <v>566</v>
      </c>
      <c r="V641" s="19">
        <f t="shared" si="1403"/>
        <v>0.16654080779367486</v>
      </c>
      <c r="W641" s="20">
        <f t="shared" ref="W641:X641" si="1429">T641-T640</f>
        <v>13</v>
      </c>
      <c r="X641" s="20">
        <f t="shared" si="1429"/>
        <v>16</v>
      </c>
      <c r="Y641" s="19">
        <f t="shared" si="1405"/>
        <v>3.9486354641749821E-2</v>
      </c>
      <c r="Z641" s="19">
        <f t="shared" si="1406"/>
        <v>7.5840814685783201E-2</v>
      </c>
      <c r="AA641" s="21">
        <f t="shared" si="1407"/>
        <v>0.93723011363636366</v>
      </c>
      <c r="AB641" s="26">
        <f t="shared" si="1408"/>
        <v>1.0179852727772667</v>
      </c>
      <c r="AC641" s="23">
        <f t="shared" si="1409"/>
        <v>9425.8571428571431</v>
      </c>
      <c r="AD641" s="23">
        <f t="shared" si="1410"/>
        <v>179.42857142857142</v>
      </c>
      <c r="AE641" s="23">
        <f t="shared" si="1411"/>
        <v>37307.857142857145</v>
      </c>
      <c r="AF641" s="25">
        <f t="shared" si="1412"/>
        <v>0.27640034132499053</v>
      </c>
      <c r="AG641" s="20">
        <v>6145984</v>
      </c>
      <c r="AH641" s="21">
        <f t="shared" si="1422"/>
        <v>7099</v>
      </c>
      <c r="AI641" s="21">
        <f t="shared" si="1413"/>
        <v>11702</v>
      </c>
      <c r="AJ641" s="20">
        <v>5858119</v>
      </c>
      <c r="AK641" s="20">
        <f t="shared" si="1423"/>
        <v>5702</v>
      </c>
      <c r="AL641" s="21">
        <f t="shared" si="1414"/>
        <v>6860.2</v>
      </c>
      <c r="AM641" s="26">
        <f t="shared" si="1415"/>
        <v>6887.2857142857147</v>
      </c>
    </row>
    <row r="642" spans="1:39" ht="13">
      <c r="A642" s="30">
        <v>44534</v>
      </c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8"/>
      <c r="Q642" s="28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</row>
    <row r="643" spans="1:39" ht="13">
      <c r="A643" s="30">
        <v>44535</v>
      </c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8"/>
      <c r="Q643" s="28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</row>
    <row r="644" spans="1:39" ht="16">
      <c r="A644" s="30">
        <v>44536</v>
      </c>
      <c r="B644" s="20">
        <f>B641+C644</f>
        <v>1157568</v>
      </c>
      <c r="C644" s="20">
        <v>22699</v>
      </c>
      <c r="D644" s="20">
        <v>35611</v>
      </c>
      <c r="E644" s="20">
        <v>932204</v>
      </c>
      <c r="F644" s="20">
        <v>8666739</v>
      </c>
      <c r="G644" s="17">
        <f t="shared" ref="G644:G648" si="1430">F644/9.8</f>
        <v>884361.12244897953</v>
      </c>
      <c r="H644" s="20"/>
      <c r="I644" s="19">
        <f>(B644-B641)/B641</f>
        <v>2.0001427477532648E-2</v>
      </c>
      <c r="J644" s="19">
        <f t="shared" ref="J644:J648" si="1431">B644/F644</f>
        <v>0.13356442371230978</v>
      </c>
      <c r="K644" s="19">
        <f>(F644-F641)/F641</f>
        <v>1.2472466333137654E-2</v>
      </c>
      <c r="L644" s="20">
        <v>189753</v>
      </c>
      <c r="M644" s="19">
        <f t="shared" ref="M644:M648" si="1432">D644/B644</f>
        <v>3.0763635484049315E-2</v>
      </c>
      <c r="N644" s="19">
        <f t="shared" ref="N644:N648" si="1433">E644/B644</f>
        <v>0.80531251727760267</v>
      </c>
      <c r="O644" s="20">
        <v>48217</v>
      </c>
      <c r="P644" s="28">
        <f>F644-F641</f>
        <v>106764</v>
      </c>
      <c r="Q644" s="29">
        <f t="shared" ref="Q644:Q648" si="1434">C644/P644</f>
        <v>0.21260911917874939</v>
      </c>
      <c r="R644" s="20">
        <f t="shared" ref="R644:S644" si="1435">D644-D641</f>
        <v>489</v>
      </c>
      <c r="S644" s="20">
        <f t="shared" si="1435"/>
        <v>21459</v>
      </c>
      <c r="T644" s="20">
        <v>7440</v>
      </c>
      <c r="U644" s="20">
        <v>586</v>
      </c>
      <c r="V644" s="19">
        <f t="shared" ref="V644:V648" si="1436">L644/B644</f>
        <v>0.16392384723834799</v>
      </c>
      <c r="W644" s="20">
        <f t="shared" ref="W644:X644" si="1437">T644-T641</f>
        <v>-23</v>
      </c>
      <c r="X644" s="20">
        <f t="shared" si="1437"/>
        <v>20</v>
      </c>
      <c r="Y644" s="19">
        <f t="shared" ref="Y644:Y648" si="1438">T644/L644</f>
        <v>3.9208866262983984E-2</v>
      </c>
      <c r="Z644" s="19">
        <f t="shared" ref="Z644:Z648" si="1439">U644/T644</f>
        <v>7.8763440860215056E-2</v>
      </c>
      <c r="AA644" s="21">
        <f t="shared" ref="AA644:AA648" si="1440">(C638+C639+C640+C641+C642+C643+C644)/(C631+C632+C633+C634+C635+C636+C637)</f>
        <v>0.85678883710451836</v>
      </c>
      <c r="AB644" s="26">
        <f t="shared" ref="AB644:AB648" si="1441">SUM(AA638:AA644)/5</f>
        <v>0.97032156085257326</v>
      </c>
      <c r="AC644" s="23">
        <f t="shared" ref="AC644:AC648" si="1442">SUM(C638:C644)/7</f>
        <v>8692.8571428571431</v>
      </c>
      <c r="AD644" s="23">
        <f t="shared" ref="AD644:AD648" si="1443">SUM(R638:R644)/7</f>
        <v>183.57142857142858</v>
      </c>
      <c r="AE644" s="23">
        <f t="shared" ref="AE644:AE648" si="1444">SUM(P638:P644)/7</f>
        <v>34757.714285714283</v>
      </c>
      <c r="AF644" s="25">
        <f t="shared" ref="AF644:AF648" si="1445">SUM(Q638:Q644)/5</f>
        <v>0.27425659520527756</v>
      </c>
      <c r="AG644" s="20">
        <v>6159926</v>
      </c>
      <c r="AH644" s="21">
        <f>AG644-AG641</f>
        <v>13942</v>
      </c>
      <c r="AI644" s="21">
        <f t="shared" ref="AI644:AI648" si="1446">(SUM(AH638:AH644))/5</f>
        <v>7793.4</v>
      </c>
      <c r="AJ644" s="20">
        <v>5867068</v>
      </c>
      <c r="AK644" s="20">
        <f>AJ644-AJ641</f>
        <v>8949</v>
      </c>
      <c r="AL644" s="21">
        <f t="shared" ref="AL644:AL648" si="1447">(SUM(AK638:AK644))/5</f>
        <v>5598</v>
      </c>
      <c r="AM644" s="26">
        <f t="shared" ref="AM644:AM648" si="1448">SUM(S638:S644)/7</f>
        <v>7850.4285714285716</v>
      </c>
    </row>
    <row r="645" spans="1:39" ht="16">
      <c r="A645" s="30">
        <v>44537</v>
      </c>
      <c r="B645" s="20">
        <f t="shared" ref="B645:B648" si="1449">B644+C645</f>
        <v>1161879</v>
      </c>
      <c r="C645" s="20">
        <v>4311</v>
      </c>
      <c r="D645" s="20">
        <v>35835</v>
      </c>
      <c r="E645" s="20">
        <v>938836</v>
      </c>
      <c r="F645" s="20">
        <v>8679620</v>
      </c>
      <c r="G645" s="17">
        <f t="shared" si="1430"/>
        <v>885675.51020408154</v>
      </c>
      <c r="H645" s="20"/>
      <c r="I645" s="19">
        <f t="shared" ref="I645:I648" si="1450">(B645-B644)/B644</f>
        <v>3.7241872615690827E-3</v>
      </c>
      <c r="J645" s="19">
        <f t="shared" si="1431"/>
        <v>0.1338628880066178</v>
      </c>
      <c r="K645" s="19">
        <f t="shared" ref="K645:K648" si="1451">(F645-F644)/F644</f>
        <v>1.486256826241104E-3</v>
      </c>
      <c r="L645" s="20">
        <v>187208</v>
      </c>
      <c r="M645" s="19">
        <f t="shared" si="1432"/>
        <v>3.0842282199781561E-2</v>
      </c>
      <c r="N645" s="19">
        <f t="shared" si="1433"/>
        <v>0.80803250596662823</v>
      </c>
      <c r="O645" s="20">
        <v>45198</v>
      </c>
      <c r="P645" s="28">
        <f t="shared" ref="P645:P648" si="1452">F645-F644</f>
        <v>12881</v>
      </c>
      <c r="Q645" s="29">
        <f t="shared" si="1434"/>
        <v>0.3346789845508889</v>
      </c>
      <c r="R645" s="20">
        <f t="shared" ref="R645:S645" si="1453">D645-D644</f>
        <v>224</v>
      </c>
      <c r="S645" s="20">
        <f t="shared" si="1453"/>
        <v>6632</v>
      </c>
      <c r="T645" s="20">
        <v>7568</v>
      </c>
      <c r="U645" s="20">
        <v>618</v>
      </c>
      <c r="V645" s="19">
        <f t="shared" si="1436"/>
        <v>0.16112521183359024</v>
      </c>
      <c r="W645" s="20">
        <f t="shared" ref="W645:X645" si="1454">T645-T644</f>
        <v>128</v>
      </c>
      <c r="X645" s="20">
        <f t="shared" si="1454"/>
        <v>32</v>
      </c>
      <c r="Y645" s="19">
        <f t="shared" si="1438"/>
        <v>4.0425622836630912E-2</v>
      </c>
      <c r="Z645" s="19">
        <f t="shared" si="1439"/>
        <v>8.165961945031712E-2</v>
      </c>
      <c r="AA645" s="21">
        <f t="shared" si="1440"/>
        <v>0.8290099163528134</v>
      </c>
      <c r="AB645" s="26">
        <f t="shared" si="1441"/>
        <v>0.92145239586732219</v>
      </c>
      <c r="AC645" s="23">
        <f t="shared" si="1442"/>
        <v>8395.8571428571431</v>
      </c>
      <c r="AD645" s="23">
        <f t="shared" si="1443"/>
        <v>187.71428571428572</v>
      </c>
      <c r="AE645" s="23">
        <f t="shared" si="1444"/>
        <v>33696.571428571428</v>
      </c>
      <c r="AF645" s="25">
        <f t="shared" si="1445"/>
        <v>0.27826462610038816</v>
      </c>
      <c r="AG645" s="20">
        <v>6162758</v>
      </c>
      <c r="AH645" s="21">
        <f t="shared" ref="AH645:AH648" si="1455">AG645-AG644</f>
        <v>2832</v>
      </c>
      <c r="AI645" s="21">
        <f t="shared" si="1446"/>
        <v>7267.6</v>
      </c>
      <c r="AJ645" s="20">
        <v>5870466</v>
      </c>
      <c r="AK645" s="20">
        <f t="shared" ref="AK645:AK648" si="1456">AJ645-AJ644</f>
        <v>3398</v>
      </c>
      <c r="AL645" s="21">
        <f t="shared" si="1447"/>
        <v>5516.2</v>
      </c>
      <c r="AM645" s="26">
        <f t="shared" si="1448"/>
        <v>8025.2857142857147</v>
      </c>
    </row>
    <row r="646" spans="1:39" ht="16">
      <c r="A646" s="30">
        <v>44538</v>
      </c>
      <c r="B646" s="20">
        <f t="shared" si="1449"/>
        <v>1168728</v>
      </c>
      <c r="C646" s="20">
        <v>6849</v>
      </c>
      <c r="D646" s="20">
        <v>36048</v>
      </c>
      <c r="E646" s="20">
        <v>948385</v>
      </c>
      <c r="F646" s="20">
        <v>8701776</v>
      </c>
      <c r="G646" s="17">
        <f t="shared" si="1430"/>
        <v>887936.32653061219</v>
      </c>
      <c r="H646" s="20"/>
      <c r="I646" s="19">
        <f t="shared" si="1450"/>
        <v>5.8947618469737386E-3</v>
      </c>
      <c r="J646" s="19">
        <f t="shared" si="1431"/>
        <v>0.13430913413537651</v>
      </c>
      <c r="K646" s="19">
        <f t="shared" si="1451"/>
        <v>2.5526463140091386E-3</v>
      </c>
      <c r="L646" s="20">
        <v>184295</v>
      </c>
      <c r="M646" s="19">
        <f t="shared" si="1432"/>
        <v>3.0843789145121876E-2</v>
      </c>
      <c r="N646" s="19">
        <f t="shared" si="1433"/>
        <v>0.81146768110287426</v>
      </c>
      <c r="O646" s="20">
        <v>47718</v>
      </c>
      <c r="P646" s="28">
        <f t="shared" si="1452"/>
        <v>22156</v>
      </c>
      <c r="Q646" s="29">
        <f t="shared" si="1434"/>
        <v>0.30912619606427155</v>
      </c>
      <c r="R646" s="20">
        <f t="shared" ref="R646:S646" si="1457">D646-D645</f>
        <v>213</v>
      </c>
      <c r="S646" s="20">
        <f t="shared" si="1457"/>
        <v>9549</v>
      </c>
      <c r="T646" s="20">
        <v>7206</v>
      </c>
      <c r="U646" s="20">
        <v>607</v>
      </c>
      <c r="V646" s="19">
        <f t="shared" si="1436"/>
        <v>0.1576885297520039</v>
      </c>
      <c r="W646" s="20">
        <f t="shared" ref="W646:X646" si="1458">T646-T645</f>
        <v>-362</v>
      </c>
      <c r="X646" s="20">
        <f t="shared" si="1458"/>
        <v>-11</v>
      </c>
      <c r="Y646" s="19">
        <f t="shared" si="1438"/>
        <v>3.910035540844841E-2</v>
      </c>
      <c r="Z646" s="19">
        <f t="shared" si="1439"/>
        <v>8.4235359422703299E-2</v>
      </c>
      <c r="AA646" s="21">
        <f t="shared" si="1440"/>
        <v>0.78475103734439833</v>
      </c>
      <c r="AB646" s="26">
        <f t="shared" si="1441"/>
        <v>0.87551455890474905</v>
      </c>
      <c r="AC646" s="23">
        <f t="shared" si="1442"/>
        <v>7781.1428571428569</v>
      </c>
      <c r="AD646" s="23">
        <f t="shared" si="1443"/>
        <v>190.71428571428572</v>
      </c>
      <c r="AE646" s="23">
        <f t="shared" si="1444"/>
        <v>32444.571428571428</v>
      </c>
      <c r="AF646" s="25">
        <f t="shared" si="1445"/>
        <v>0.26795532456291904</v>
      </c>
      <c r="AG646" s="20">
        <v>6166840</v>
      </c>
      <c r="AH646" s="21">
        <f t="shared" si="1455"/>
        <v>4082</v>
      </c>
      <c r="AI646" s="21">
        <f t="shared" si="1446"/>
        <v>6858.2</v>
      </c>
      <c r="AJ646" s="20">
        <v>5874429</v>
      </c>
      <c r="AK646" s="20">
        <f t="shared" si="1456"/>
        <v>3963</v>
      </c>
      <c r="AL646" s="21">
        <f t="shared" si="1447"/>
        <v>5404.8</v>
      </c>
      <c r="AM646" s="26">
        <f t="shared" si="1448"/>
        <v>8099.1428571428569</v>
      </c>
    </row>
    <row r="647" spans="1:39" ht="16">
      <c r="A647" s="30">
        <v>44539</v>
      </c>
      <c r="B647" s="20">
        <f t="shared" si="1449"/>
        <v>1176038</v>
      </c>
      <c r="C647" s="20">
        <v>7310</v>
      </c>
      <c r="D647" s="20">
        <v>36263</v>
      </c>
      <c r="E647" s="20">
        <v>955248</v>
      </c>
      <c r="F647" s="20">
        <v>8734938</v>
      </c>
      <c r="G647" s="17">
        <f t="shared" si="1430"/>
        <v>891320.20408163255</v>
      </c>
      <c r="H647" s="20"/>
      <c r="I647" s="19">
        <f t="shared" si="1450"/>
        <v>6.2546631893819604E-3</v>
      </c>
      <c r="J647" s="19">
        <f t="shared" si="1431"/>
        <v>0.1346361015956839</v>
      </c>
      <c r="K647" s="19">
        <f t="shared" si="1451"/>
        <v>3.8109461792627162E-3</v>
      </c>
      <c r="L647" s="20">
        <v>184527</v>
      </c>
      <c r="M647" s="19">
        <f t="shared" si="1432"/>
        <v>3.0834887988313305E-2</v>
      </c>
      <c r="N647" s="19">
        <f t="shared" si="1433"/>
        <v>0.81225946780631242</v>
      </c>
      <c r="O647" s="20">
        <v>53187</v>
      </c>
      <c r="P647" s="28">
        <f t="shared" si="1452"/>
        <v>33162</v>
      </c>
      <c r="Q647" s="29">
        <f t="shared" si="1434"/>
        <v>0.22043302575236717</v>
      </c>
      <c r="R647" s="20">
        <f t="shared" ref="R647:S647" si="1459">D647-D646</f>
        <v>215</v>
      </c>
      <c r="S647" s="20">
        <f t="shared" si="1459"/>
        <v>6863</v>
      </c>
      <c r="T647" s="20">
        <v>7119</v>
      </c>
      <c r="U647" s="20">
        <v>579</v>
      </c>
      <c r="V647" s="19">
        <f t="shared" si="1436"/>
        <v>0.15690564420537431</v>
      </c>
      <c r="W647" s="20">
        <f t="shared" ref="W647:X647" si="1460">T647-T646</f>
        <v>-87</v>
      </c>
      <c r="X647" s="20">
        <f t="shared" si="1460"/>
        <v>-28</v>
      </c>
      <c r="Y647" s="19">
        <f t="shared" si="1438"/>
        <v>3.8579720040969614E-2</v>
      </c>
      <c r="Z647" s="19">
        <f t="shared" si="1439"/>
        <v>8.1331647703329124E-2</v>
      </c>
      <c r="AA647" s="21">
        <f t="shared" si="1440"/>
        <v>0.75783130750712613</v>
      </c>
      <c r="AB647" s="26">
        <f t="shared" si="1441"/>
        <v>0.83312224238904398</v>
      </c>
      <c r="AC647" s="23">
        <f t="shared" si="1442"/>
        <v>7330.2857142857147</v>
      </c>
      <c r="AD647" s="23">
        <f t="shared" si="1443"/>
        <v>190.28571428571428</v>
      </c>
      <c r="AE647" s="23">
        <f t="shared" si="1444"/>
        <v>31177</v>
      </c>
      <c r="AF647" s="25">
        <f t="shared" si="1445"/>
        <v>0.26224533164035807</v>
      </c>
      <c r="AG647" s="20">
        <v>6171489</v>
      </c>
      <c r="AH647" s="21">
        <f t="shared" si="1455"/>
        <v>4649</v>
      </c>
      <c r="AI647" s="21">
        <f t="shared" si="1446"/>
        <v>6520.8</v>
      </c>
      <c r="AJ647" s="20">
        <v>5878951</v>
      </c>
      <c r="AK647" s="20">
        <f t="shared" si="1456"/>
        <v>4522</v>
      </c>
      <c r="AL647" s="21">
        <f t="shared" si="1447"/>
        <v>5306.8</v>
      </c>
      <c r="AM647" s="26">
        <f t="shared" si="1448"/>
        <v>7606.8571428571431</v>
      </c>
    </row>
    <row r="648" spans="1:39" ht="16">
      <c r="A648" s="30">
        <v>44540</v>
      </c>
      <c r="B648" s="20">
        <f t="shared" si="1449"/>
        <v>1182922</v>
      </c>
      <c r="C648" s="20">
        <v>6884</v>
      </c>
      <c r="D648" s="20">
        <v>36429</v>
      </c>
      <c r="E648" s="20">
        <v>968897</v>
      </c>
      <c r="F648" s="20">
        <v>8768881</v>
      </c>
      <c r="G648" s="17">
        <f t="shared" si="1430"/>
        <v>894783.77551020402</v>
      </c>
      <c r="H648" s="20"/>
      <c r="I648" s="19">
        <f t="shared" si="1450"/>
        <v>5.8535523511995362E-3</v>
      </c>
      <c r="J648" s="19">
        <f t="shared" si="1431"/>
        <v>0.13489999465154107</v>
      </c>
      <c r="K648" s="19">
        <f t="shared" si="1451"/>
        <v>3.8858890583997278E-3</v>
      </c>
      <c r="L648" s="20">
        <v>177596</v>
      </c>
      <c r="M648" s="19">
        <f t="shared" si="1432"/>
        <v>3.0795775207494661E-2</v>
      </c>
      <c r="N648" s="19">
        <f t="shared" si="1433"/>
        <v>0.81907091084619277</v>
      </c>
      <c r="O648" s="20">
        <v>55544</v>
      </c>
      <c r="P648" s="28">
        <f t="shared" si="1452"/>
        <v>33943</v>
      </c>
      <c r="Q648" s="29">
        <f t="shared" si="1434"/>
        <v>0.20281059423150577</v>
      </c>
      <c r="R648" s="20">
        <f t="shared" ref="R648:S648" si="1461">D648-D647</f>
        <v>166</v>
      </c>
      <c r="S648" s="20">
        <f t="shared" si="1461"/>
        <v>13649</v>
      </c>
      <c r="T648" s="20">
        <v>6939</v>
      </c>
      <c r="U648" s="20">
        <v>573</v>
      </c>
      <c r="V648" s="19">
        <f t="shared" si="1436"/>
        <v>0.1501333139463126</v>
      </c>
      <c r="W648" s="20">
        <f t="shared" ref="W648:X648" si="1462">T648-T647</f>
        <v>-180</v>
      </c>
      <c r="X648" s="20">
        <f t="shared" si="1462"/>
        <v>-6</v>
      </c>
      <c r="Y648" s="19">
        <f t="shared" si="1438"/>
        <v>3.9071825942025719E-2</v>
      </c>
      <c r="Z648" s="19">
        <f t="shared" si="1439"/>
        <v>8.25767401642888E-2</v>
      </c>
      <c r="AA648" s="21">
        <f t="shared" si="1440"/>
        <v>0.72828541549840109</v>
      </c>
      <c r="AB648" s="26">
        <f t="shared" si="1441"/>
        <v>0.79133330276145142</v>
      </c>
      <c r="AC648" s="23">
        <f t="shared" si="1442"/>
        <v>6864.7142857142853</v>
      </c>
      <c r="AD648" s="23">
        <f t="shared" si="1443"/>
        <v>186.71428571428572</v>
      </c>
      <c r="AE648" s="23">
        <f t="shared" si="1444"/>
        <v>29843.714285714286</v>
      </c>
      <c r="AF648" s="25">
        <f t="shared" si="1445"/>
        <v>0.2559315839555566</v>
      </c>
      <c r="AG648" s="20">
        <v>6176567</v>
      </c>
      <c r="AH648" s="21">
        <f t="shared" si="1455"/>
        <v>5078</v>
      </c>
      <c r="AI648" s="21">
        <f t="shared" si="1446"/>
        <v>6116.6</v>
      </c>
      <c r="AJ648" s="20">
        <v>5883873</v>
      </c>
      <c r="AK648" s="20">
        <f t="shared" si="1456"/>
        <v>4922</v>
      </c>
      <c r="AL648" s="21">
        <f t="shared" si="1447"/>
        <v>5150.8</v>
      </c>
      <c r="AM648" s="26">
        <f t="shared" si="1448"/>
        <v>8307.4285714285706</v>
      </c>
    </row>
    <row r="649" spans="1:39" ht="13">
      <c r="A649" s="30">
        <v>44541</v>
      </c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8"/>
      <c r="Q649" s="28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</row>
    <row r="650" spans="1:39" ht="13">
      <c r="A650" s="30">
        <v>44542</v>
      </c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8"/>
      <c r="Q650" s="28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</row>
    <row r="651" spans="1:39" ht="16">
      <c r="A651" s="30">
        <v>44543</v>
      </c>
      <c r="B651" s="20">
        <f>B648+C651</f>
        <v>1198939</v>
      </c>
      <c r="C651" s="20">
        <v>16017</v>
      </c>
      <c r="D651" s="20">
        <v>36884</v>
      </c>
      <c r="E651" s="20">
        <v>991639</v>
      </c>
      <c r="F651" s="20">
        <v>8853922</v>
      </c>
      <c r="G651" s="17">
        <f t="shared" ref="G651:G655" si="1463">F651/9.8</f>
        <v>903461.42857142852</v>
      </c>
      <c r="H651" s="20"/>
      <c r="I651" s="19">
        <f>(B651-B648)/B648</f>
        <v>1.3540199607412831E-2</v>
      </c>
      <c r="J651" s="19">
        <f t="shared" ref="J651:J655" si="1464">B651/F651</f>
        <v>0.13541332304486078</v>
      </c>
      <c r="K651" s="19">
        <f>(F651-F648)/F648</f>
        <v>9.6980447106078879E-3</v>
      </c>
      <c r="L651" s="20">
        <v>170416</v>
      </c>
      <c r="M651" s="19">
        <f t="shared" ref="M651:M655" si="1465">D651/B651</f>
        <v>3.076386705245221E-2</v>
      </c>
      <c r="N651" s="19">
        <f t="shared" ref="N651:N655" si="1466">E651/B651</f>
        <v>0.82709712504139077</v>
      </c>
      <c r="O651" s="20">
        <v>43047</v>
      </c>
      <c r="P651" s="28">
        <f>F651-F648</f>
        <v>85041</v>
      </c>
      <c r="Q651" s="29">
        <f t="shared" ref="Q651:Q655" si="1467">C651/P651</f>
        <v>0.18834444562034783</v>
      </c>
      <c r="R651" s="20">
        <f t="shared" ref="R651:S651" si="1468">D651-D648</f>
        <v>455</v>
      </c>
      <c r="S651" s="20">
        <f t="shared" si="1468"/>
        <v>22742</v>
      </c>
      <c r="T651" s="20">
        <v>6531</v>
      </c>
      <c r="U651" s="20">
        <v>565</v>
      </c>
      <c r="V651" s="19">
        <f t="shared" ref="V651:V655" si="1469">L651/B651</f>
        <v>0.14213900790615702</v>
      </c>
      <c r="W651" s="20">
        <f t="shared" ref="W651:X651" si="1470">T651-T648</f>
        <v>-408</v>
      </c>
      <c r="X651" s="20">
        <f t="shared" si="1470"/>
        <v>-8</v>
      </c>
      <c r="Y651" s="19">
        <f t="shared" ref="Y651:Y655" si="1471">T651/L651</f>
        <v>3.8323866303633464E-2</v>
      </c>
      <c r="Z651" s="19">
        <f t="shared" ref="Z651:Z655" si="1472">U651/T651</f>
        <v>8.6510488439748887E-2</v>
      </c>
      <c r="AA651" s="21">
        <f t="shared" ref="AA651:AA655" si="1473">(C645+C646+C647+C648+C649+C650+C651)/(C638+C639+C640+C641+C642+C643+C644)</f>
        <v>0.67988496302382906</v>
      </c>
      <c r="AB651" s="26">
        <f t="shared" ref="AB651:AB655" si="1474">SUM(AA645:AA651)/5</f>
        <v>0.75595252794531365</v>
      </c>
      <c r="AC651" s="23">
        <f t="shared" ref="AC651:AC655" si="1475">SUM(C645:C651)/7</f>
        <v>5910.1428571428569</v>
      </c>
      <c r="AD651" s="23">
        <f t="shared" ref="AD651:AD655" si="1476">SUM(R645:R651)/7</f>
        <v>181.85714285714286</v>
      </c>
      <c r="AE651" s="23">
        <f t="shared" ref="AE651:AE655" si="1477">SUM(P645:P651)/7</f>
        <v>26740.428571428572</v>
      </c>
      <c r="AF651" s="25">
        <f t="shared" ref="AF651:AF655" si="1478">SUM(Q645:Q651)/5</f>
        <v>0.25107864924387624</v>
      </c>
      <c r="AG651" s="20">
        <v>6190822</v>
      </c>
      <c r="AH651" s="21">
        <f>AG651-AG648</f>
        <v>14255</v>
      </c>
      <c r="AI651" s="21">
        <f t="shared" ref="AI651:AI655" si="1479">(SUM(AH645:AH651))/5</f>
        <v>6179.2</v>
      </c>
      <c r="AJ651" s="20">
        <v>5893531</v>
      </c>
      <c r="AK651" s="20">
        <f>AJ651-AJ648</f>
        <v>9658</v>
      </c>
      <c r="AL651" s="21">
        <f t="shared" ref="AL651:AL655" si="1480">(SUM(AK645:AK651))/5</f>
        <v>5292.6</v>
      </c>
      <c r="AM651" s="26">
        <f t="shared" ref="AM651:AM655" si="1481">SUM(S645:S651)/7</f>
        <v>8490.7142857142862</v>
      </c>
    </row>
    <row r="652" spans="1:39" ht="16">
      <c r="A652" s="30">
        <v>44544</v>
      </c>
      <c r="B652" s="20">
        <f t="shared" ref="B652:B655" si="1482">B651+C652</f>
        <v>1202514</v>
      </c>
      <c r="C652" s="20">
        <v>3575</v>
      </c>
      <c r="D652" s="20">
        <v>37079</v>
      </c>
      <c r="E652" s="20">
        <v>996517</v>
      </c>
      <c r="F652" s="20">
        <v>8868961</v>
      </c>
      <c r="G652" s="17">
        <f t="shared" si="1463"/>
        <v>904996.0204081632</v>
      </c>
      <c r="H652" s="20"/>
      <c r="I652" s="19">
        <f t="shared" ref="I652:I655" si="1483">(B652-B651)/B651</f>
        <v>2.9818030775544042E-3</v>
      </c>
      <c r="J652" s="19">
        <f t="shared" si="1464"/>
        <v>0.13558679534164148</v>
      </c>
      <c r="K652" s="19">
        <f t="shared" ref="K652:K655" si="1484">(F652-F651)/F651</f>
        <v>1.6985692894064348E-3</v>
      </c>
      <c r="L652" s="20">
        <v>168918</v>
      </c>
      <c r="M652" s="19">
        <f t="shared" si="1465"/>
        <v>3.0834568246190897E-2</v>
      </c>
      <c r="N652" s="19">
        <f t="shared" si="1466"/>
        <v>0.82869471789933424</v>
      </c>
      <c r="O652" s="20">
        <v>40518</v>
      </c>
      <c r="P652" s="28">
        <f t="shared" ref="P652:P655" si="1485">F652-F651</f>
        <v>15039</v>
      </c>
      <c r="Q652" s="29">
        <f t="shared" si="1467"/>
        <v>0.23771527362191636</v>
      </c>
      <c r="R652" s="20">
        <f t="shared" ref="R652:S652" si="1486">D652-D651</f>
        <v>195</v>
      </c>
      <c r="S652" s="20">
        <f t="shared" si="1486"/>
        <v>4878</v>
      </c>
      <c r="T652" s="20">
        <v>6507</v>
      </c>
      <c r="U652" s="20">
        <v>563</v>
      </c>
      <c r="V652" s="19">
        <f t="shared" si="1469"/>
        <v>0.14047071385447488</v>
      </c>
      <c r="W652" s="20">
        <f t="shared" ref="W652:X652" si="1487">T652-T651</f>
        <v>-24</v>
      </c>
      <c r="X652" s="20">
        <f t="shared" si="1487"/>
        <v>-2</v>
      </c>
      <c r="Y652" s="19">
        <f t="shared" si="1471"/>
        <v>3.8521649557773596E-2</v>
      </c>
      <c r="Z652" s="19">
        <f t="shared" si="1472"/>
        <v>8.6522206854157055E-2</v>
      </c>
      <c r="AA652" s="21">
        <f t="shared" si="1473"/>
        <v>0.69141243130115193</v>
      </c>
      <c r="AB652" s="26">
        <f t="shared" si="1474"/>
        <v>0.72843303093498135</v>
      </c>
      <c r="AC652" s="23">
        <f t="shared" si="1475"/>
        <v>5805</v>
      </c>
      <c r="AD652" s="23">
        <f t="shared" si="1476"/>
        <v>177.71428571428572</v>
      </c>
      <c r="AE652" s="23">
        <f t="shared" si="1477"/>
        <v>27048.714285714286</v>
      </c>
      <c r="AF652" s="25">
        <f t="shared" si="1478"/>
        <v>0.23168590705808173</v>
      </c>
      <c r="AG652" s="20">
        <v>6192253</v>
      </c>
      <c r="AH652" s="21">
        <f t="shared" ref="AH652:AH655" si="1488">AG652-AG651</f>
        <v>1431</v>
      </c>
      <c r="AI652" s="21">
        <f t="shared" si="1479"/>
        <v>5899</v>
      </c>
      <c r="AJ652" s="20">
        <v>5900371</v>
      </c>
      <c r="AK652" s="20">
        <f t="shared" ref="AK652:AK655" si="1489">AJ652-AJ651</f>
        <v>6840</v>
      </c>
      <c r="AL652" s="21">
        <f t="shared" si="1480"/>
        <v>5981</v>
      </c>
      <c r="AM652" s="26">
        <f t="shared" si="1481"/>
        <v>8240.1428571428569</v>
      </c>
    </row>
    <row r="653" spans="1:39" ht="16">
      <c r="A653" s="30">
        <v>44545</v>
      </c>
      <c r="B653" s="20">
        <f t="shared" si="1482"/>
        <v>1208020</v>
      </c>
      <c r="C653" s="20">
        <v>5506</v>
      </c>
      <c r="D653" s="20">
        <v>37232</v>
      </c>
      <c r="E653" s="20">
        <v>1005586</v>
      </c>
      <c r="F653" s="20">
        <v>8890023</v>
      </c>
      <c r="G653" s="17">
        <f t="shared" si="1463"/>
        <v>907145.20408163255</v>
      </c>
      <c r="H653" s="20"/>
      <c r="I653" s="19">
        <f t="shared" si="1483"/>
        <v>4.578740871208152E-3</v>
      </c>
      <c r="J653" s="19">
        <f t="shared" si="1464"/>
        <v>0.13588491278369022</v>
      </c>
      <c r="K653" s="19">
        <f t="shared" si="1484"/>
        <v>2.374799032265448E-3</v>
      </c>
      <c r="L653" s="20">
        <v>165202</v>
      </c>
      <c r="M653" s="19">
        <f t="shared" si="1465"/>
        <v>3.0820681776791776E-2</v>
      </c>
      <c r="N653" s="19">
        <f t="shared" si="1466"/>
        <v>0.8324249598516581</v>
      </c>
      <c r="O653" s="20">
        <v>42569</v>
      </c>
      <c r="P653" s="28">
        <f t="shared" si="1485"/>
        <v>21062</v>
      </c>
      <c r="Q653" s="29">
        <f t="shared" si="1467"/>
        <v>0.26141866869243185</v>
      </c>
      <c r="R653" s="20">
        <f t="shared" ref="R653:S653" si="1490">D653-D652</f>
        <v>153</v>
      </c>
      <c r="S653" s="20">
        <f t="shared" si="1490"/>
        <v>9069</v>
      </c>
      <c r="T653" s="20">
        <v>6337</v>
      </c>
      <c r="U653" s="20">
        <v>540</v>
      </c>
      <c r="V653" s="19">
        <f t="shared" si="1469"/>
        <v>0.13675435837155014</v>
      </c>
      <c r="W653" s="20">
        <f t="shared" ref="W653:X653" si="1491">T653-T652</f>
        <v>-170</v>
      </c>
      <c r="X653" s="20">
        <f t="shared" si="1491"/>
        <v>-23</v>
      </c>
      <c r="Y653" s="19">
        <f t="shared" si="1471"/>
        <v>3.8359099768767932E-2</v>
      </c>
      <c r="Z653" s="19">
        <f t="shared" si="1472"/>
        <v>8.5213823575824521E-2</v>
      </c>
      <c r="AA653" s="21">
        <f t="shared" si="1473"/>
        <v>0.72137768965264004</v>
      </c>
      <c r="AB653" s="26">
        <f t="shared" si="1474"/>
        <v>0.71575836139662974</v>
      </c>
      <c r="AC653" s="23">
        <f t="shared" si="1475"/>
        <v>5613.1428571428569</v>
      </c>
      <c r="AD653" s="23">
        <f t="shared" si="1476"/>
        <v>169.14285714285714</v>
      </c>
      <c r="AE653" s="23">
        <f t="shared" si="1477"/>
        <v>26892.428571428572</v>
      </c>
      <c r="AF653" s="25">
        <f t="shared" si="1478"/>
        <v>0.22214440158371379</v>
      </c>
      <c r="AG653" s="20">
        <v>6194221</v>
      </c>
      <c r="AH653" s="21">
        <f t="shared" si="1488"/>
        <v>1968</v>
      </c>
      <c r="AI653" s="21">
        <f t="shared" si="1479"/>
        <v>5476.2</v>
      </c>
      <c r="AJ653" s="20">
        <v>5906701</v>
      </c>
      <c r="AK653" s="20">
        <f t="shared" si="1489"/>
        <v>6330</v>
      </c>
      <c r="AL653" s="21">
        <f t="shared" si="1480"/>
        <v>6454.4</v>
      </c>
      <c r="AM653" s="26">
        <f t="shared" si="1481"/>
        <v>8171.5714285714284</v>
      </c>
    </row>
    <row r="654" spans="1:39" ht="16">
      <c r="A654" s="30">
        <v>44546</v>
      </c>
      <c r="B654" s="20">
        <f t="shared" si="1482"/>
        <v>1213318</v>
      </c>
      <c r="C654" s="20">
        <v>5298</v>
      </c>
      <c r="D654" s="20">
        <v>37376</v>
      </c>
      <c r="E654" s="20">
        <v>1016089</v>
      </c>
      <c r="F654" s="20">
        <v>8919775</v>
      </c>
      <c r="G654" s="17">
        <f t="shared" si="1463"/>
        <v>910181.12244897953</v>
      </c>
      <c r="H654" s="20"/>
      <c r="I654" s="19">
        <f t="shared" si="1483"/>
        <v>4.3856889786592938E-3</v>
      </c>
      <c r="J654" s="19">
        <f t="shared" si="1464"/>
        <v>0.13602562844914809</v>
      </c>
      <c r="K654" s="19">
        <f t="shared" si="1484"/>
        <v>3.3466730063578015E-3</v>
      </c>
      <c r="L654" s="20">
        <v>159853</v>
      </c>
      <c r="M654" s="19">
        <f t="shared" si="1465"/>
        <v>3.0804784895633295E-2</v>
      </c>
      <c r="N654" s="19">
        <f t="shared" si="1466"/>
        <v>0.83744657212701035</v>
      </c>
      <c r="O654" s="20">
        <v>45659</v>
      </c>
      <c r="P654" s="28">
        <f t="shared" si="1485"/>
        <v>29752</v>
      </c>
      <c r="Q654" s="29">
        <f t="shared" si="1467"/>
        <v>0.17807206238236084</v>
      </c>
      <c r="R654" s="20">
        <f t="shared" ref="R654:S654" si="1492">D654-D653</f>
        <v>144</v>
      </c>
      <c r="S654" s="20">
        <f t="shared" si="1492"/>
        <v>10503</v>
      </c>
      <c r="T654" s="20">
        <v>6109</v>
      </c>
      <c r="U654" s="20">
        <v>542</v>
      </c>
      <c r="V654" s="19">
        <f t="shared" si="1469"/>
        <v>0.13174864297735631</v>
      </c>
      <c r="W654" s="20">
        <f t="shared" ref="W654:X654" si="1493">T654-T653</f>
        <v>-228</v>
      </c>
      <c r="X654" s="20">
        <f t="shared" si="1493"/>
        <v>2</v>
      </c>
      <c r="Y654" s="19">
        <f t="shared" si="1471"/>
        <v>3.821636128192777E-2</v>
      </c>
      <c r="Z654" s="19">
        <f t="shared" si="1472"/>
        <v>8.8721558356523164E-2</v>
      </c>
      <c r="AA654" s="21">
        <f t="shared" si="1473"/>
        <v>0.72653570314936078</v>
      </c>
      <c r="AB654" s="26">
        <f t="shared" si="1474"/>
        <v>0.70949924052507651</v>
      </c>
      <c r="AC654" s="23">
        <f t="shared" si="1475"/>
        <v>5325.7142857142853</v>
      </c>
      <c r="AD654" s="23">
        <f t="shared" si="1476"/>
        <v>159</v>
      </c>
      <c r="AE654" s="23">
        <f t="shared" si="1477"/>
        <v>26405.285714285714</v>
      </c>
      <c r="AF654" s="25">
        <f t="shared" si="1478"/>
        <v>0.21367220890971256</v>
      </c>
      <c r="AG654" s="20">
        <v>6200040</v>
      </c>
      <c r="AH654" s="21">
        <f t="shared" si="1488"/>
        <v>5819</v>
      </c>
      <c r="AI654" s="21">
        <f t="shared" si="1479"/>
        <v>5710.2</v>
      </c>
      <c r="AJ654" s="20">
        <v>5914603</v>
      </c>
      <c r="AK654" s="20">
        <f t="shared" si="1489"/>
        <v>7902</v>
      </c>
      <c r="AL654" s="21">
        <f t="shared" si="1480"/>
        <v>7130.4</v>
      </c>
      <c r="AM654" s="26">
        <f t="shared" si="1481"/>
        <v>8691.5714285714294</v>
      </c>
    </row>
    <row r="655" spans="1:39" ht="16">
      <c r="A655" s="30">
        <v>44547</v>
      </c>
      <c r="B655" s="20">
        <f t="shared" si="1482"/>
        <v>1218295</v>
      </c>
      <c r="C655" s="20">
        <v>4977</v>
      </c>
      <c r="D655" s="20">
        <v>37530</v>
      </c>
      <c r="E655" s="20">
        <v>1026254</v>
      </c>
      <c r="F655" s="20">
        <v>8947845</v>
      </c>
      <c r="G655" s="17">
        <f t="shared" si="1463"/>
        <v>913045.40816326521</v>
      </c>
      <c r="H655" s="20"/>
      <c r="I655" s="19">
        <f t="shared" si="1483"/>
        <v>4.101974915067608E-3</v>
      </c>
      <c r="J655" s="19">
        <f t="shared" si="1464"/>
        <v>0.13615513008998256</v>
      </c>
      <c r="K655" s="19">
        <f t="shared" si="1484"/>
        <v>3.1469403656482365E-3</v>
      </c>
      <c r="L655" s="20">
        <v>154511</v>
      </c>
      <c r="M655" s="19">
        <f t="shared" si="1465"/>
        <v>3.0805346816657708E-2</v>
      </c>
      <c r="N655" s="19">
        <f t="shared" si="1466"/>
        <v>0.84236904854735517</v>
      </c>
      <c r="O655" s="20">
        <v>45852</v>
      </c>
      <c r="P655" s="28">
        <f t="shared" si="1485"/>
        <v>28070</v>
      </c>
      <c r="Q655" s="29">
        <f t="shared" si="1467"/>
        <v>0.17730673316708229</v>
      </c>
      <c r="R655" s="20">
        <f t="shared" ref="R655:S655" si="1494">D655-D654</f>
        <v>154</v>
      </c>
      <c r="S655" s="20">
        <f t="shared" si="1494"/>
        <v>10165</v>
      </c>
      <c r="T655" s="20">
        <v>5856</v>
      </c>
      <c r="U655" s="20">
        <v>519</v>
      </c>
      <c r="V655" s="19">
        <f t="shared" si="1469"/>
        <v>0.12682560463598719</v>
      </c>
      <c r="W655" s="20">
        <f t="shared" ref="W655:X655" si="1495">T655-T654</f>
        <v>-253</v>
      </c>
      <c r="X655" s="20">
        <f t="shared" si="1495"/>
        <v>-23</v>
      </c>
      <c r="Y655" s="19">
        <f t="shared" si="1471"/>
        <v>3.790021422422999E-2</v>
      </c>
      <c r="Z655" s="19">
        <f t="shared" si="1472"/>
        <v>8.8627049180327863E-2</v>
      </c>
      <c r="AA655" s="21">
        <f t="shared" si="1473"/>
        <v>0.73612469564855476</v>
      </c>
      <c r="AB655" s="26">
        <f t="shared" si="1474"/>
        <v>0.71106709655510725</v>
      </c>
      <c r="AC655" s="23">
        <f t="shared" si="1475"/>
        <v>5053.2857142857147</v>
      </c>
      <c r="AD655" s="23">
        <f t="shared" si="1476"/>
        <v>157.28571428571428</v>
      </c>
      <c r="AE655" s="23">
        <f t="shared" si="1477"/>
        <v>25566.285714285714</v>
      </c>
      <c r="AF655" s="25">
        <f t="shared" si="1478"/>
        <v>0.20857143669682782</v>
      </c>
      <c r="AG655" s="20">
        <v>6208430</v>
      </c>
      <c r="AH655" s="21">
        <f t="shared" si="1488"/>
        <v>8390</v>
      </c>
      <c r="AI655" s="21">
        <f t="shared" si="1479"/>
        <v>6372.6</v>
      </c>
      <c r="AJ655" s="20">
        <v>5923284</v>
      </c>
      <c r="AK655" s="20">
        <f t="shared" si="1489"/>
        <v>8681</v>
      </c>
      <c r="AL655" s="21">
        <f t="shared" si="1480"/>
        <v>7882.2</v>
      </c>
      <c r="AM655" s="26">
        <f t="shared" si="1481"/>
        <v>8193.8571428571431</v>
      </c>
    </row>
    <row r="656" spans="1:39" ht="13">
      <c r="A656" s="30">
        <v>44548</v>
      </c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8"/>
      <c r="Q656" s="28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</row>
    <row r="657" spans="1:39" ht="13">
      <c r="A657" s="30">
        <v>44549</v>
      </c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8"/>
      <c r="Q657" s="28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</row>
    <row r="658" spans="1:39" ht="16">
      <c r="A658" s="30">
        <v>44550</v>
      </c>
      <c r="B658" s="20">
        <f>B655+C658</f>
        <v>1228400</v>
      </c>
      <c r="C658" s="20">
        <v>10105</v>
      </c>
      <c r="D658" s="20">
        <v>37896</v>
      </c>
      <c r="E658" s="20">
        <v>1048633</v>
      </c>
      <c r="F658" s="20">
        <v>9014430</v>
      </c>
      <c r="G658" s="17">
        <f t="shared" ref="G658:G661" si="1496">F658/9.8</f>
        <v>919839.79591836734</v>
      </c>
      <c r="H658" s="20"/>
      <c r="I658" s="19">
        <f>(B658-B655)/B655</f>
        <v>8.2943786192999237E-3</v>
      </c>
      <c r="J658" s="19">
        <f t="shared" ref="J658:J661" si="1497">B658/F658</f>
        <v>0.13627040201099791</v>
      </c>
      <c r="K658" s="19">
        <f>(F658-F655)/F655</f>
        <v>7.4414565741807107E-3</v>
      </c>
      <c r="L658" s="20">
        <v>141871</v>
      </c>
      <c r="M658" s="19">
        <f t="shared" ref="M658:M661" si="1498">D658/B658</f>
        <v>3.0849886030608922E-2</v>
      </c>
      <c r="N658" s="19">
        <f t="shared" ref="N658:N661" si="1499">E658/B658</f>
        <v>0.85365760338651908</v>
      </c>
      <c r="O658" s="20">
        <v>33383</v>
      </c>
      <c r="P658" s="28">
        <f>F658-F655</f>
        <v>66585</v>
      </c>
      <c r="Q658" s="29">
        <f t="shared" ref="Q658:Q661" si="1500">C658/P658</f>
        <v>0.15176090711121124</v>
      </c>
      <c r="R658" s="20">
        <f t="shared" ref="R658:S658" si="1501">D658-D655</f>
        <v>366</v>
      </c>
      <c r="S658" s="20">
        <f t="shared" si="1501"/>
        <v>22379</v>
      </c>
      <c r="T658" s="20">
        <v>5537</v>
      </c>
      <c r="U658" s="20">
        <v>503</v>
      </c>
      <c r="V658" s="19">
        <f t="shared" ref="V658:V661" si="1502">L658/B658</f>
        <v>0.11549251058287203</v>
      </c>
      <c r="W658" s="20">
        <f t="shared" ref="W658:X658" si="1503">T658-T655</f>
        <v>-319</v>
      </c>
      <c r="X658" s="20">
        <f t="shared" si="1503"/>
        <v>-16</v>
      </c>
      <c r="Y658" s="19">
        <f t="shared" ref="Y658:Y661" si="1504">T658/L658</f>
        <v>3.902841313587696E-2</v>
      </c>
      <c r="Z658" s="19">
        <f t="shared" ref="Z658:Z661" si="1505">U658/T658</f>
        <v>9.0843417012822822E-2</v>
      </c>
      <c r="AA658" s="21">
        <f t="shared" ref="AA658:AA661" si="1506">(C652+C653+C654+C655+C656+C657+C658)/(C645+C646+C647+C648+C649+C650+C651)</f>
        <v>0.71211718353435982</v>
      </c>
      <c r="AB658" s="26">
        <f t="shared" ref="AB658:AB661" si="1507">SUM(AA652:AA658)/5</f>
        <v>0.7175135406572134</v>
      </c>
      <c r="AC658" s="23">
        <f t="shared" ref="AC658:AC661" si="1508">SUM(C652:C658)/7</f>
        <v>4208.7142857142853</v>
      </c>
      <c r="AD658" s="23">
        <f t="shared" ref="AD658:AD661" si="1509">SUM(R652:R658)/7</f>
        <v>144.57142857142858</v>
      </c>
      <c r="AE658" s="23">
        <f t="shared" ref="AE658:AE661" si="1510">SUM(P652:P658)/7</f>
        <v>22929.714285714286</v>
      </c>
      <c r="AF658" s="25">
        <f t="shared" ref="AF658:AF661" si="1511">SUM(Q652:Q658)/5</f>
        <v>0.20125472899500049</v>
      </c>
      <c r="AG658" s="20">
        <v>6226399</v>
      </c>
      <c r="AH658" s="21">
        <f>AG658-AG655</f>
        <v>17969</v>
      </c>
      <c r="AI658" s="21">
        <f t="shared" ref="AI658:AI661" si="1512">(SUM(AH652:AH658))/5</f>
        <v>7115.4</v>
      </c>
      <c r="AJ658" s="20">
        <v>5937305</v>
      </c>
      <c r="AK658" s="20">
        <f>AJ658-AJ655</f>
        <v>14021</v>
      </c>
      <c r="AL658" s="21">
        <f t="shared" ref="AL658:AL661" si="1513">(SUM(AK652:AK658))/5</f>
        <v>8754.7999999999993</v>
      </c>
      <c r="AM658" s="26">
        <f t="shared" ref="AM658:AM661" si="1514">SUM(S652:S658)/7</f>
        <v>8142</v>
      </c>
    </row>
    <row r="659" spans="1:39" ht="16">
      <c r="A659" s="30">
        <v>44551</v>
      </c>
      <c r="B659" s="20">
        <f t="shared" ref="B659:B661" si="1515">B658+C659</f>
        <v>1230385</v>
      </c>
      <c r="C659" s="20">
        <v>1985</v>
      </c>
      <c r="D659" s="20">
        <v>38028</v>
      </c>
      <c r="E659" s="20">
        <v>1054288</v>
      </c>
      <c r="F659" s="20">
        <v>9021858</v>
      </c>
      <c r="G659" s="17">
        <f t="shared" si="1496"/>
        <v>920597.75510204071</v>
      </c>
      <c r="H659" s="20"/>
      <c r="I659" s="19">
        <f t="shared" ref="I659:I661" si="1516">(B659-B658)/B658</f>
        <v>1.6159231520677304E-3</v>
      </c>
      <c r="J659" s="19">
        <f t="shared" si="1497"/>
        <v>0.13637822719000897</v>
      </c>
      <c r="K659" s="19">
        <f t="shared" ref="K659:K661" si="1517">(F659-F658)/F658</f>
        <v>8.2401216715865568E-4</v>
      </c>
      <c r="L659" s="20">
        <v>138069</v>
      </c>
      <c r="M659" s="19">
        <f t="shared" si="1498"/>
        <v>3.0907398903595215E-2</v>
      </c>
      <c r="N659" s="19">
        <f t="shared" si="1499"/>
        <v>0.85687650613425881</v>
      </c>
      <c r="O659" s="20">
        <v>31543</v>
      </c>
      <c r="P659" s="28">
        <f t="shared" ref="P659:P661" si="1518">F659-F658</f>
        <v>7428</v>
      </c>
      <c r="Q659" s="29">
        <f t="shared" si="1500"/>
        <v>0.26723209477652127</v>
      </c>
      <c r="R659" s="20">
        <f t="shared" ref="R659:S659" si="1519">D659-D658</f>
        <v>132</v>
      </c>
      <c r="S659" s="20">
        <f t="shared" si="1519"/>
        <v>5655</v>
      </c>
      <c r="T659" s="20">
        <v>5527</v>
      </c>
      <c r="U659" s="20">
        <v>501</v>
      </c>
      <c r="V659" s="19">
        <f t="shared" si="1502"/>
        <v>0.11221609496214599</v>
      </c>
      <c r="W659" s="20">
        <f t="shared" ref="W659:X659" si="1520">T659-T658</f>
        <v>-10</v>
      </c>
      <c r="X659" s="20">
        <f t="shared" si="1520"/>
        <v>-2</v>
      </c>
      <c r="Y659" s="19">
        <f t="shared" si="1504"/>
        <v>4.0030709283039638E-2</v>
      </c>
      <c r="Z659" s="19">
        <f t="shared" si="1505"/>
        <v>9.0645920028948793E-2</v>
      </c>
      <c r="AA659" s="21">
        <f t="shared" si="1506"/>
        <v>0.68588655100283002</v>
      </c>
      <c r="AB659" s="26">
        <f t="shared" si="1507"/>
        <v>0.71640836459754909</v>
      </c>
      <c r="AC659" s="23">
        <f t="shared" si="1508"/>
        <v>3981.5714285714284</v>
      </c>
      <c r="AD659" s="23">
        <f t="shared" si="1509"/>
        <v>135.57142857142858</v>
      </c>
      <c r="AE659" s="23">
        <f t="shared" si="1510"/>
        <v>21842.428571428572</v>
      </c>
      <c r="AF659" s="25">
        <f t="shared" si="1511"/>
        <v>0.20715809322592152</v>
      </c>
      <c r="AG659" s="20">
        <v>6232575</v>
      </c>
      <c r="AH659" s="21">
        <f t="shared" ref="AH659:AH661" si="1521">AG659-AG658</f>
        <v>6176</v>
      </c>
      <c r="AI659" s="21">
        <f t="shared" si="1512"/>
        <v>8064.4</v>
      </c>
      <c r="AJ659" s="20">
        <v>5945349</v>
      </c>
      <c r="AK659" s="20">
        <f t="shared" ref="AK659:AK661" si="1522">AJ659-AJ658</f>
        <v>8044</v>
      </c>
      <c r="AL659" s="21">
        <f t="shared" si="1513"/>
        <v>8995.6</v>
      </c>
      <c r="AM659" s="26">
        <f t="shared" si="1514"/>
        <v>8253</v>
      </c>
    </row>
    <row r="660" spans="1:39" ht="16">
      <c r="A660" s="30">
        <v>44552</v>
      </c>
      <c r="B660" s="20">
        <f t="shared" si="1515"/>
        <v>1233744</v>
      </c>
      <c r="C660" s="20">
        <v>3359</v>
      </c>
      <c r="D660" s="20">
        <v>38167</v>
      </c>
      <c r="E660" s="20">
        <v>1060360</v>
      </c>
      <c r="F660" s="20">
        <v>9037023</v>
      </c>
      <c r="G660" s="17">
        <f t="shared" si="1496"/>
        <v>922145.20408163255</v>
      </c>
      <c r="H660" s="20"/>
      <c r="I660" s="19">
        <f t="shared" si="1516"/>
        <v>2.7300397842951597E-3</v>
      </c>
      <c r="J660" s="19">
        <f t="shared" si="1497"/>
        <v>0.13652106451427642</v>
      </c>
      <c r="K660" s="19">
        <f t="shared" si="1517"/>
        <v>1.6809176114277126E-3</v>
      </c>
      <c r="L660" s="20">
        <v>135217</v>
      </c>
      <c r="M660" s="19">
        <f t="shared" si="1498"/>
        <v>3.0935915392496335E-2</v>
      </c>
      <c r="N660" s="19">
        <f t="shared" si="1499"/>
        <v>0.85946517267763811</v>
      </c>
      <c r="O660" s="20">
        <v>31081</v>
      </c>
      <c r="P660" s="28">
        <f t="shared" si="1518"/>
        <v>15165</v>
      </c>
      <c r="Q660" s="29">
        <f t="shared" si="1500"/>
        <v>0.22149686778766897</v>
      </c>
      <c r="R660" s="20">
        <f t="shared" ref="R660:S660" si="1523">D660-D659</f>
        <v>139</v>
      </c>
      <c r="S660" s="20">
        <f t="shared" si="1523"/>
        <v>6072</v>
      </c>
      <c r="T660" s="20">
        <v>5159</v>
      </c>
      <c r="U660" s="20">
        <v>464</v>
      </c>
      <c r="V660" s="19">
        <f t="shared" si="1502"/>
        <v>0.10959891192986551</v>
      </c>
      <c r="W660" s="20">
        <f t="shared" ref="W660:X660" si="1524">T660-T659</f>
        <v>-368</v>
      </c>
      <c r="X660" s="20">
        <f t="shared" si="1524"/>
        <v>-37</v>
      </c>
      <c r="Y660" s="19">
        <f t="shared" si="1504"/>
        <v>3.8153486617806931E-2</v>
      </c>
      <c r="Z660" s="19">
        <f t="shared" si="1505"/>
        <v>8.9939910835433221E-2</v>
      </c>
      <c r="AA660" s="21">
        <f t="shared" si="1506"/>
        <v>0.65468797719637584</v>
      </c>
      <c r="AB660" s="26">
        <f t="shared" si="1507"/>
        <v>0.70307042210629622</v>
      </c>
      <c r="AC660" s="23">
        <f t="shared" si="1508"/>
        <v>3674.8571428571427</v>
      </c>
      <c r="AD660" s="23">
        <f t="shared" si="1509"/>
        <v>133.57142857142858</v>
      </c>
      <c r="AE660" s="23">
        <f t="shared" si="1510"/>
        <v>21000</v>
      </c>
      <c r="AF660" s="25">
        <f t="shared" si="1511"/>
        <v>0.19917373304496891</v>
      </c>
      <c r="AG660" s="20">
        <v>6239410</v>
      </c>
      <c r="AH660" s="21">
        <f t="shared" si="1521"/>
        <v>6835</v>
      </c>
      <c r="AI660" s="21">
        <f t="shared" si="1512"/>
        <v>9037.7999999999993</v>
      </c>
      <c r="AJ660" s="20">
        <v>5951491</v>
      </c>
      <c r="AK660" s="20">
        <f t="shared" si="1522"/>
        <v>6142</v>
      </c>
      <c r="AL660" s="21">
        <f t="shared" si="1513"/>
        <v>8958</v>
      </c>
      <c r="AM660" s="26">
        <f t="shared" si="1514"/>
        <v>7824.8571428571431</v>
      </c>
    </row>
    <row r="661" spans="1:39" ht="16">
      <c r="A661" s="30">
        <v>44553</v>
      </c>
      <c r="B661" s="20">
        <f t="shared" si="1515"/>
        <v>1237330</v>
      </c>
      <c r="C661" s="20">
        <v>3586</v>
      </c>
      <c r="D661" s="20">
        <v>38307</v>
      </c>
      <c r="E661" s="20">
        <v>1071772</v>
      </c>
      <c r="F661" s="20">
        <v>9058668</v>
      </c>
      <c r="G661" s="17">
        <f t="shared" si="1496"/>
        <v>924353.87755102036</v>
      </c>
      <c r="H661" s="20"/>
      <c r="I661" s="19">
        <f t="shared" si="1516"/>
        <v>2.9065997484080978E-3</v>
      </c>
      <c r="J661" s="19">
        <f t="shared" si="1497"/>
        <v>0.13659072172641717</v>
      </c>
      <c r="K661" s="19">
        <f t="shared" si="1517"/>
        <v>2.3951471629539947E-3</v>
      </c>
      <c r="L661" s="20">
        <v>127251</v>
      </c>
      <c r="M661" s="19">
        <f t="shared" si="1498"/>
        <v>3.095940452425788E-2</v>
      </c>
      <c r="N661" s="19">
        <f t="shared" si="1499"/>
        <v>0.86619737660931195</v>
      </c>
      <c r="O661" s="20">
        <v>32319</v>
      </c>
      <c r="P661" s="28">
        <f t="shared" si="1518"/>
        <v>21645</v>
      </c>
      <c r="Q661" s="29">
        <f t="shared" si="1500"/>
        <v>0.16567336567336569</v>
      </c>
      <c r="R661" s="20">
        <f t="shared" ref="R661:S661" si="1525">D661-D660</f>
        <v>140</v>
      </c>
      <c r="S661" s="20">
        <f t="shared" si="1525"/>
        <v>11412</v>
      </c>
      <c r="T661" s="20">
        <v>4827</v>
      </c>
      <c r="U661" s="20">
        <v>454</v>
      </c>
      <c r="V661" s="19">
        <f t="shared" si="1502"/>
        <v>0.10284321886643014</v>
      </c>
      <c r="W661" s="20">
        <f t="shared" ref="W661:X661" si="1526">T661-T660</f>
        <v>-332</v>
      </c>
      <c r="X661" s="20">
        <f t="shared" si="1526"/>
        <v>-10</v>
      </c>
      <c r="Y661" s="19">
        <f t="shared" si="1504"/>
        <v>3.7932904260084402E-2</v>
      </c>
      <c r="Z661" s="19">
        <f t="shared" si="1505"/>
        <v>9.4054278019473789E-2</v>
      </c>
      <c r="AA661" s="21">
        <f t="shared" si="1506"/>
        <v>0.64409871244635197</v>
      </c>
      <c r="AB661" s="26">
        <f t="shared" si="1507"/>
        <v>0.68658302396569437</v>
      </c>
      <c r="AC661" s="23">
        <f t="shared" si="1508"/>
        <v>3430.2857142857142</v>
      </c>
      <c r="AD661" s="23">
        <f t="shared" si="1509"/>
        <v>133</v>
      </c>
      <c r="AE661" s="23">
        <f t="shared" si="1510"/>
        <v>19841.857142857141</v>
      </c>
      <c r="AF661" s="25">
        <f t="shared" si="1511"/>
        <v>0.19669399370316987</v>
      </c>
      <c r="AG661" s="20">
        <v>6245773</v>
      </c>
      <c r="AH661" s="21">
        <f t="shared" si="1521"/>
        <v>6363</v>
      </c>
      <c r="AI661" s="21">
        <f t="shared" si="1512"/>
        <v>9146.6</v>
      </c>
      <c r="AJ661" s="20">
        <v>5957571</v>
      </c>
      <c r="AK661" s="20">
        <f t="shared" si="1522"/>
        <v>6080</v>
      </c>
      <c r="AL661" s="21">
        <f t="shared" si="1513"/>
        <v>8593.6</v>
      </c>
      <c r="AM661" s="26">
        <f t="shared" si="1514"/>
        <v>7954.7142857142853</v>
      </c>
    </row>
    <row r="662" spans="1:39" ht="13">
      <c r="A662" s="30">
        <v>44554</v>
      </c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8"/>
      <c r="Q662" s="28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</row>
    <row r="663" spans="1:39" ht="13">
      <c r="A663" s="30">
        <v>44555</v>
      </c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8"/>
      <c r="Q663" s="28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</row>
    <row r="664" spans="1:39" ht="13">
      <c r="A664" s="30">
        <v>44556</v>
      </c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8"/>
      <c r="Q664" s="28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</row>
    <row r="665" spans="1:39" ht="16">
      <c r="A665" s="30">
        <v>44557</v>
      </c>
      <c r="B665" s="20">
        <f>B661+C665</f>
        <v>1245319</v>
      </c>
      <c r="C665" s="20">
        <v>7989</v>
      </c>
      <c r="D665" s="20">
        <v>38743</v>
      </c>
      <c r="E665" s="20">
        <v>1087943</v>
      </c>
      <c r="F665" s="20">
        <v>9114949</v>
      </c>
      <c r="G665" s="17">
        <f t="shared" ref="G665:G669" si="1527">F665/9.8</f>
        <v>930096.83673469385</v>
      </c>
      <c r="H665" s="20"/>
      <c r="I665" s="19">
        <f>(B665-B661)/B661</f>
        <v>6.4566445491501864E-3</v>
      </c>
      <c r="J665" s="19">
        <f t="shared" ref="J665:J669" si="1528">B665/F665</f>
        <v>0.13662380338057845</v>
      </c>
      <c r="K665" s="19">
        <f>(F665-F661)/F661</f>
        <v>6.2129443313299485E-3</v>
      </c>
      <c r="L665" s="20">
        <v>118633</v>
      </c>
      <c r="M665" s="19">
        <f t="shared" ref="M665:M669" si="1529">D665/B665</f>
        <v>3.1110904113725076E-2</v>
      </c>
      <c r="N665" s="19">
        <f t="shared" ref="N665:N669" si="1530">E665/B665</f>
        <v>0.87362595447431546</v>
      </c>
      <c r="O665" s="20">
        <v>17751</v>
      </c>
      <c r="P665" s="28">
        <f>F665-F661</f>
        <v>56281</v>
      </c>
      <c r="Q665" s="29">
        <f t="shared" ref="Q665:Q669" si="1531">C665/P665</f>
        <v>0.14194843730566264</v>
      </c>
      <c r="R665" s="20">
        <f t="shared" ref="R665:S665" si="1532">D665-D661</f>
        <v>436</v>
      </c>
      <c r="S665" s="20">
        <f t="shared" si="1532"/>
        <v>16171</v>
      </c>
      <c r="T665" s="20">
        <v>4063</v>
      </c>
      <c r="U665" s="20">
        <v>409</v>
      </c>
      <c r="V665" s="19">
        <f t="shared" ref="V665:V669" si="1533">L665/B665</f>
        <v>9.5263141411959504E-2</v>
      </c>
      <c r="W665" s="20">
        <f t="shared" ref="W665:X665" si="1534">T665-T661</f>
        <v>-764</v>
      </c>
      <c r="X665" s="20">
        <f t="shared" si="1534"/>
        <v>-45</v>
      </c>
      <c r="Y665" s="19">
        <f t="shared" ref="Y665:Y669" si="1535">T665/L665</f>
        <v>3.4248480608262459E-2</v>
      </c>
      <c r="Z665" s="19">
        <f t="shared" ref="Z665:Z669" si="1536">U665/T665</f>
        <v>0.10066453359586512</v>
      </c>
      <c r="AA665" s="21">
        <f t="shared" ref="AA665:AA669" si="1537">(C659+C660+C661+C662+C663+C664+C665)/(C652+C653+C654+C655+C656+C657+C658)</f>
        <v>0.5742846475000849</v>
      </c>
      <c r="AB665" s="26">
        <f t="shared" ref="AB665:AB669" si="1538">SUM(AA659:AA665)/5</f>
        <v>0.51179157762912852</v>
      </c>
      <c r="AC665" s="23">
        <f t="shared" ref="AC665:AC669" si="1539">SUM(C659:C665)/7</f>
        <v>2417</v>
      </c>
      <c r="AD665" s="23">
        <f t="shared" ref="AD665:AD669" si="1540">SUM(R659:R665)/7</f>
        <v>121</v>
      </c>
      <c r="AE665" s="23">
        <f t="shared" ref="AE665:AE669" si="1541">SUM(P659:P665)/7</f>
        <v>14359.857142857143</v>
      </c>
      <c r="AF665" s="25">
        <f t="shared" ref="AF665:AF669" si="1542">SUM(Q659:Q665)/5</f>
        <v>0.15927015310864373</v>
      </c>
      <c r="AG665" s="20"/>
      <c r="AH665" s="20"/>
      <c r="AI665" s="20"/>
      <c r="AJ665" s="20"/>
      <c r="AK665" s="20"/>
      <c r="AL665" s="20"/>
      <c r="AM665" s="20"/>
    </row>
    <row r="666" spans="1:39" ht="16">
      <c r="A666" s="30">
        <v>44558</v>
      </c>
      <c r="B666" s="20">
        <f t="shared" ref="B666:B669" si="1543">B665+C666</f>
        <v>1246689</v>
      </c>
      <c r="C666" s="20">
        <v>1370</v>
      </c>
      <c r="D666" s="20">
        <v>38894</v>
      </c>
      <c r="E666" s="20">
        <v>1091017</v>
      </c>
      <c r="F666" s="20">
        <v>9119505</v>
      </c>
      <c r="G666" s="17">
        <f t="shared" si="1527"/>
        <v>930561.73469387752</v>
      </c>
      <c r="H666" s="20"/>
      <c r="I666" s="19">
        <f t="shared" ref="I666:I669" si="1544">(B666-B665)/B665</f>
        <v>1.100119728358758E-3</v>
      </c>
      <c r="J666" s="19">
        <f t="shared" si="1528"/>
        <v>0.13670577514898014</v>
      </c>
      <c r="K666" s="19">
        <f t="shared" ref="K666:K669" si="1545">(F666-F665)/F665</f>
        <v>4.9983823277563043E-4</v>
      </c>
      <c r="L666" s="20">
        <v>116778</v>
      </c>
      <c r="M666" s="19">
        <f t="shared" si="1529"/>
        <v>3.1197836830195821E-2</v>
      </c>
      <c r="N666" s="19">
        <f t="shared" si="1530"/>
        <v>0.87513164871110594</v>
      </c>
      <c r="O666" s="20">
        <v>15775</v>
      </c>
      <c r="P666" s="28">
        <f t="shared" ref="P666:P669" si="1546">F666-F665</f>
        <v>4556</v>
      </c>
      <c r="Q666" s="29">
        <f t="shared" si="1531"/>
        <v>0.30070237050043896</v>
      </c>
      <c r="R666" s="20">
        <f t="shared" ref="R666:S666" si="1547">D666-D665</f>
        <v>151</v>
      </c>
      <c r="S666" s="20">
        <f t="shared" si="1547"/>
        <v>3074</v>
      </c>
      <c r="T666" s="20">
        <v>4019</v>
      </c>
      <c r="U666" s="20">
        <v>374</v>
      </c>
      <c r="V666" s="19">
        <f t="shared" si="1533"/>
        <v>9.3670514458698201E-2</v>
      </c>
      <c r="W666" s="20">
        <f t="shared" ref="W666:X666" si="1548">T666-T665</f>
        <v>-44</v>
      </c>
      <c r="X666" s="20">
        <f t="shared" si="1548"/>
        <v>-35</v>
      </c>
      <c r="Y666" s="19">
        <f t="shared" si="1535"/>
        <v>3.4415728990049493E-2</v>
      </c>
      <c r="Z666" s="19">
        <f t="shared" si="1536"/>
        <v>9.3057974620552375E-2</v>
      </c>
      <c r="AA666" s="21">
        <f t="shared" si="1537"/>
        <v>0.58498080442036526</v>
      </c>
      <c r="AB666" s="26">
        <f t="shared" si="1538"/>
        <v>0.49161042831263557</v>
      </c>
      <c r="AC666" s="23">
        <f t="shared" si="1539"/>
        <v>2329.1428571428573</v>
      </c>
      <c r="AD666" s="23">
        <f t="shared" si="1540"/>
        <v>123.71428571428571</v>
      </c>
      <c r="AE666" s="23">
        <f t="shared" si="1541"/>
        <v>13949.571428571429</v>
      </c>
      <c r="AF666" s="25">
        <f t="shared" si="1542"/>
        <v>0.16596420825342725</v>
      </c>
      <c r="AG666" s="20">
        <v>6252653</v>
      </c>
      <c r="AH666" s="20">
        <f>AG666-AG661</f>
        <v>6880</v>
      </c>
      <c r="AI666" s="21">
        <f t="shared" ref="AI666:AI669" si="1549">(SUM(AH660:AH666))/5</f>
        <v>4015.6</v>
      </c>
      <c r="AJ666" s="20">
        <v>5968354</v>
      </c>
      <c r="AK666" s="20">
        <f>AJ666-AJ661</f>
        <v>10783</v>
      </c>
      <c r="AL666" s="21">
        <f t="shared" ref="AL666:AL669" si="1550">(SUM(AK660:AK666))/5</f>
        <v>4601</v>
      </c>
      <c r="AM666" s="26">
        <f t="shared" ref="AM666:AM669" si="1551">SUM(S660:S666)/7</f>
        <v>5247</v>
      </c>
    </row>
    <row r="667" spans="1:39" ht="16">
      <c r="A667" s="30">
        <v>44559</v>
      </c>
      <c r="B667" s="20">
        <f t="shared" si="1543"/>
        <v>1249694</v>
      </c>
      <c r="C667" s="20">
        <v>3005</v>
      </c>
      <c r="D667" s="20">
        <v>39009</v>
      </c>
      <c r="E667" s="20">
        <v>1097628</v>
      </c>
      <c r="F667" s="20">
        <v>9135056</v>
      </c>
      <c r="G667" s="17">
        <f t="shared" si="1527"/>
        <v>932148.57142857136</v>
      </c>
      <c r="H667" s="20"/>
      <c r="I667" s="19">
        <f t="shared" si="1544"/>
        <v>2.4103846267994663E-3</v>
      </c>
      <c r="J667" s="19">
        <f t="shared" si="1528"/>
        <v>0.13680200756295308</v>
      </c>
      <c r="K667" s="19">
        <f t="shared" si="1545"/>
        <v>1.7052460632457573E-3</v>
      </c>
      <c r="L667" s="20">
        <v>113057</v>
      </c>
      <c r="M667" s="19">
        <f t="shared" si="1529"/>
        <v>3.121484139317305E-2</v>
      </c>
      <c r="N667" s="19">
        <f t="shared" si="1530"/>
        <v>0.87831741210248271</v>
      </c>
      <c r="O667" s="20">
        <v>15599</v>
      </c>
      <c r="P667" s="28">
        <f t="shared" si="1546"/>
        <v>15551</v>
      </c>
      <c r="Q667" s="29">
        <f t="shared" si="1531"/>
        <v>0.19323516172593402</v>
      </c>
      <c r="R667" s="20">
        <f t="shared" ref="R667:S667" si="1552">D667-D666</f>
        <v>115</v>
      </c>
      <c r="S667" s="20">
        <f t="shared" si="1552"/>
        <v>6611</v>
      </c>
      <c r="T667" s="20">
        <v>3854</v>
      </c>
      <c r="U667" s="20">
        <v>357</v>
      </c>
      <c r="V667" s="19">
        <f t="shared" si="1533"/>
        <v>9.0467746504344262E-2</v>
      </c>
      <c r="W667" s="20">
        <f t="shared" ref="W667:X667" si="1553">T667-T666</f>
        <v>-165</v>
      </c>
      <c r="X667" s="20">
        <f t="shared" si="1553"/>
        <v>-17</v>
      </c>
      <c r="Y667" s="19">
        <f t="shared" si="1535"/>
        <v>3.4088999354308001E-2</v>
      </c>
      <c r="Z667" s="19">
        <f t="shared" si="1536"/>
        <v>9.2631032693305651E-2</v>
      </c>
      <c r="AA667" s="21">
        <f t="shared" si="1537"/>
        <v>0.62004353910744825</v>
      </c>
      <c r="AB667" s="26">
        <f t="shared" si="1538"/>
        <v>0.48468154069485009</v>
      </c>
      <c r="AC667" s="23">
        <f t="shared" si="1539"/>
        <v>2278.5714285714284</v>
      </c>
      <c r="AD667" s="23">
        <f t="shared" si="1540"/>
        <v>120.28571428571429</v>
      </c>
      <c r="AE667" s="23">
        <f t="shared" si="1541"/>
        <v>14004.714285714286</v>
      </c>
      <c r="AF667" s="25">
        <f t="shared" si="1542"/>
        <v>0.16031186704108027</v>
      </c>
      <c r="AG667" s="20">
        <v>6257771</v>
      </c>
      <c r="AH667" s="21">
        <f t="shared" ref="AH667:AH669" si="1554">AG667-AG666</f>
        <v>5118</v>
      </c>
      <c r="AI667" s="21">
        <f t="shared" si="1549"/>
        <v>3672.2</v>
      </c>
      <c r="AJ667" s="20">
        <v>5973555</v>
      </c>
      <c r="AK667" s="20">
        <f t="shared" ref="AK667:AK669" si="1555">AJ667-AJ666</f>
        <v>5201</v>
      </c>
      <c r="AL667" s="21">
        <f t="shared" si="1550"/>
        <v>4412.8</v>
      </c>
      <c r="AM667" s="26">
        <f t="shared" si="1551"/>
        <v>5324</v>
      </c>
    </row>
    <row r="668" spans="1:39" ht="17.25" customHeight="1">
      <c r="A668" s="30">
        <v>44560</v>
      </c>
      <c r="B668" s="20">
        <f t="shared" si="1543"/>
        <v>1253055</v>
      </c>
      <c r="C668" s="20">
        <v>3361</v>
      </c>
      <c r="D668" s="20">
        <v>39104</v>
      </c>
      <c r="E668" s="20">
        <v>1106531</v>
      </c>
      <c r="F668" s="20">
        <v>9152694</v>
      </c>
      <c r="G668" s="17">
        <f t="shared" si="1527"/>
        <v>933948.3673469387</v>
      </c>
      <c r="H668" s="20"/>
      <c r="I668" s="19">
        <f t="shared" si="1544"/>
        <v>2.6894583794112798E-3</v>
      </c>
      <c r="J668" s="19">
        <f t="shared" si="1528"/>
        <v>0.13690559304178637</v>
      </c>
      <c r="K668" s="19">
        <f t="shared" si="1545"/>
        <v>1.9308037082640763E-3</v>
      </c>
      <c r="L668" s="20">
        <v>107420</v>
      </c>
      <c r="M668" s="19">
        <f t="shared" si="1529"/>
        <v>3.1206930262438599E-2</v>
      </c>
      <c r="N668" s="19">
        <f t="shared" si="1530"/>
        <v>0.88306658526561088</v>
      </c>
      <c r="O668" s="20">
        <v>16380</v>
      </c>
      <c r="P668" s="28">
        <f t="shared" si="1546"/>
        <v>17638</v>
      </c>
      <c r="Q668" s="29">
        <f t="shared" si="1531"/>
        <v>0.19055448463544619</v>
      </c>
      <c r="R668" s="20">
        <f t="shared" ref="R668:S668" si="1556">D668-D667</f>
        <v>95</v>
      </c>
      <c r="S668" s="20">
        <f t="shared" si="1556"/>
        <v>8903</v>
      </c>
      <c r="T668" s="20">
        <v>3697</v>
      </c>
      <c r="U668" s="20">
        <v>342</v>
      </c>
      <c r="V668" s="19">
        <f t="shared" si="1533"/>
        <v>8.5726484471950554E-2</v>
      </c>
      <c r="W668" s="20">
        <f t="shared" ref="W668:X668" si="1557">T668-T667</f>
        <v>-157</v>
      </c>
      <c r="X668" s="20">
        <f t="shared" si="1557"/>
        <v>-15</v>
      </c>
      <c r="Y668" s="19">
        <f t="shared" si="1535"/>
        <v>3.441630981195308E-2</v>
      </c>
      <c r="Z668" s="19">
        <f t="shared" si="1536"/>
        <v>9.2507438463619154E-2</v>
      </c>
      <c r="AA668" s="21">
        <f t="shared" si="1537"/>
        <v>0.65488089288688989</v>
      </c>
      <c r="AB668" s="26">
        <f t="shared" si="1538"/>
        <v>0.4868379767829577</v>
      </c>
      <c r="AC668" s="23">
        <f t="shared" si="1539"/>
        <v>2246.4285714285716</v>
      </c>
      <c r="AD668" s="23">
        <f t="shared" si="1540"/>
        <v>113.85714285714286</v>
      </c>
      <c r="AE668" s="23">
        <f t="shared" si="1541"/>
        <v>13432.285714285714</v>
      </c>
      <c r="AF668" s="25">
        <f t="shared" si="1542"/>
        <v>0.16528809083349635</v>
      </c>
      <c r="AG668" s="20">
        <v>6262698</v>
      </c>
      <c r="AH668" s="21">
        <f t="shared" si="1554"/>
        <v>4927</v>
      </c>
      <c r="AI668" s="21">
        <f t="shared" si="1549"/>
        <v>3385</v>
      </c>
      <c r="AJ668" s="20">
        <v>5978673</v>
      </c>
      <c r="AK668" s="20">
        <f t="shared" si="1555"/>
        <v>5118</v>
      </c>
      <c r="AL668" s="21">
        <f t="shared" si="1550"/>
        <v>4220.3999999999996</v>
      </c>
      <c r="AM668" s="26">
        <f t="shared" si="1551"/>
        <v>4965.5714285714284</v>
      </c>
    </row>
    <row r="669" spans="1:39" ht="16">
      <c r="A669" s="30">
        <v>44561</v>
      </c>
      <c r="B669" s="20">
        <f t="shared" si="1543"/>
        <v>1256415</v>
      </c>
      <c r="C669" s="20">
        <v>3360</v>
      </c>
      <c r="D669" s="20">
        <v>39186</v>
      </c>
      <c r="E669" s="20">
        <v>1111676</v>
      </c>
      <c r="F669" s="20">
        <v>9169355</v>
      </c>
      <c r="G669" s="17">
        <f t="shared" si="1527"/>
        <v>935648.46938775503</v>
      </c>
      <c r="H669" s="20"/>
      <c r="I669" s="19">
        <f t="shared" si="1544"/>
        <v>2.6814465446448879E-3</v>
      </c>
      <c r="J669" s="19">
        <f t="shared" si="1528"/>
        <v>0.13702326935755024</v>
      </c>
      <c r="K669" s="19">
        <f t="shared" si="1545"/>
        <v>1.8203383615796617E-3</v>
      </c>
      <c r="L669" s="20">
        <v>105553</v>
      </c>
      <c r="M669" s="19">
        <f t="shared" si="1529"/>
        <v>3.1188739389453324E-2</v>
      </c>
      <c r="N669" s="19">
        <f t="shared" si="1530"/>
        <v>0.88480000636732292</v>
      </c>
      <c r="O669" s="20">
        <v>16422</v>
      </c>
      <c r="P669" s="28">
        <f t="shared" si="1546"/>
        <v>16661</v>
      </c>
      <c r="Q669" s="29">
        <f t="shared" si="1531"/>
        <v>0.20166856731288638</v>
      </c>
      <c r="R669" s="20">
        <f t="shared" ref="R669:S669" si="1558">D669-D668</f>
        <v>82</v>
      </c>
      <c r="S669" s="20">
        <f t="shared" si="1558"/>
        <v>5145</v>
      </c>
      <c r="T669" s="20">
        <v>3492</v>
      </c>
      <c r="U669" s="20">
        <v>334</v>
      </c>
      <c r="V669" s="19">
        <f t="shared" si="1533"/>
        <v>8.4011254243223782E-2</v>
      </c>
      <c r="W669" s="20">
        <f t="shared" ref="W669:X669" si="1559">T669-T668</f>
        <v>-205</v>
      </c>
      <c r="X669" s="20">
        <f t="shared" si="1559"/>
        <v>-8</v>
      </c>
      <c r="Y669" s="19">
        <f t="shared" si="1535"/>
        <v>3.3082906217729482E-2</v>
      </c>
      <c r="Z669" s="19">
        <f t="shared" si="1536"/>
        <v>9.5647193585337908E-2</v>
      </c>
      <c r="AA669" s="21">
        <f t="shared" si="1537"/>
        <v>1.0026267402153928</v>
      </c>
      <c r="AB669" s="26">
        <f t="shared" si="1538"/>
        <v>0.68736332482603624</v>
      </c>
      <c r="AC669" s="23">
        <f t="shared" si="1539"/>
        <v>2726.4285714285716</v>
      </c>
      <c r="AD669" s="23">
        <f t="shared" si="1540"/>
        <v>125.57142857142857</v>
      </c>
      <c r="AE669" s="23">
        <f t="shared" si="1541"/>
        <v>15812.428571428571</v>
      </c>
      <c r="AF669" s="25">
        <f t="shared" si="1542"/>
        <v>0.20562180429607363</v>
      </c>
      <c r="AG669" s="20">
        <v>6266064</v>
      </c>
      <c r="AH669" s="21">
        <f t="shared" si="1554"/>
        <v>3366</v>
      </c>
      <c r="AI669" s="21">
        <f t="shared" si="1549"/>
        <v>4058.2</v>
      </c>
      <c r="AJ669" s="20">
        <v>5981569</v>
      </c>
      <c r="AK669" s="20">
        <f t="shared" si="1555"/>
        <v>2896</v>
      </c>
      <c r="AL669" s="21">
        <f t="shared" si="1550"/>
        <v>4799.6000000000004</v>
      </c>
      <c r="AM669" s="26">
        <f t="shared" si="1551"/>
        <v>5700.5714285714284</v>
      </c>
    </row>
    <row r="670" spans="1:39" ht="13">
      <c r="A670" s="30">
        <v>44562</v>
      </c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8"/>
      <c r="Q670" s="28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</row>
    <row r="671" spans="1:39" ht="13">
      <c r="A671" s="30">
        <v>44563</v>
      </c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8"/>
      <c r="Q671" s="28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</row>
    <row r="672" spans="1:39" ht="16">
      <c r="A672" s="30">
        <v>44564</v>
      </c>
      <c r="B672" s="20">
        <f>B669+C672</f>
        <v>1262280</v>
      </c>
      <c r="C672" s="20">
        <v>5865</v>
      </c>
      <c r="D672" s="20">
        <v>39434</v>
      </c>
      <c r="E672" s="20">
        <v>1121823</v>
      </c>
      <c r="F672" s="20">
        <v>9203581</v>
      </c>
      <c r="G672" s="17">
        <f t="shared" ref="G672:G676" si="1560">F672/9.8</f>
        <v>939140.91836734687</v>
      </c>
      <c r="H672" s="20"/>
      <c r="I672" s="19">
        <f>(B672-B669)/B669</f>
        <v>4.6680436002435504E-3</v>
      </c>
      <c r="J672" s="19">
        <f t="shared" ref="J672:J676" si="1561">B672/F672</f>
        <v>0.13715096330439205</v>
      </c>
      <c r="K672" s="19">
        <f>(F672-F669)/F669</f>
        <v>3.732650769874217E-3</v>
      </c>
      <c r="L672" s="20">
        <v>101023</v>
      </c>
      <c r="M672" s="19">
        <f t="shared" ref="M672:M676" si="1562">D672/B672</f>
        <v>3.1240295338593654E-2</v>
      </c>
      <c r="N672" s="19">
        <f t="shared" ref="N672:N676" si="1563">E672/B672</f>
        <v>0.88872754064074533</v>
      </c>
      <c r="O672" s="20">
        <v>12946</v>
      </c>
      <c r="P672" s="28">
        <f>F672-F669</f>
        <v>34226</v>
      </c>
      <c r="Q672" s="29">
        <f t="shared" ref="Q672:Q676" si="1564">C672/P672</f>
        <v>0.17136095366095949</v>
      </c>
      <c r="R672" s="20">
        <f t="shared" ref="R672:S672" si="1565">D672-D669</f>
        <v>248</v>
      </c>
      <c r="S672" s="20">
        <f t="shared" si="1565"/>
        <v>10147</v>
      </c>
      <c r="T672" s="20">
        <v>3313</v>
      </c>
      <c r="U672" s="20">
        <v>318</v>
      </c>
      <c r="V672" s="19">
        <f t="shared" ref="V672:V676" si="1566">L672/B672</f>
        <v>8.0032164020661031E-2</v>
      </c>
      <c r="W672" s="20">
        <f t="shared" ref="W672:X672" si="1567">T672-T669</f>
        <v>-179</v>
      </c>
      <c r="X672" s="20">
        <f t="shared" si="1567"/>
        <v>-16</v>
      </c>
      <c r="Y672" s="19">
        <f t="shared" ref="Y672:Y676" si="1568">T672/L672</f>
        <v>3.279451214079962E-2</v>
      </c>
      <c r="Z672" s="19">
        <f t="shared" ref="Z672:Z676" si="1569">U672/T672</f>
        <v>9.5985511620887407E-2</v>
      </c>
      <c r="AA672" s="21">
        <f t="shared" ref="AA672:AA676" si="1570">(C666+C667+C668+C669+C670+C671+C672)/(C659+C660+C661+C662+C663+C664+C665)</f>
        <v>1.0024824162184527</v>
      </c>
      <c r="AB672" s="26">
        <f t="shared" ref="AB672:AB676" si="1571">SUM(AA666:AA672)/5</f>
        <v>0.77300287856970984</v>
      </c>
      <c r="AC672" s="23">
        <f t="shared" ref="AC672:AC676" si="1572">SUM(C666:C672)/7</f>
        <v>2423</v>
      </c>
      <c r="AD672" s="23">
        <f t="shared" ref="AD672:AD676" si="1573">SUM(R666:R672)/7</f>
        <v>98.714285714285708</v>
      </c>
      <c r="AE672" s="23">
        <f t="shared" ref="AE672:AE676" si="1574">SUM(P666:P672)/7</f>
        <v>12661.714285714286</v>
      </c>
      <c r="AF672" s="25">
        <f t="shared" ref="AF672:AF676" si="1575">SUM(Q666:Q672)/5</f>
        <v>0.21150430756713301</v>
      </c>
      <c r="AG672" s="20">
        <v>6266483</v>
      </c>
      <c r="AH672" s="21">
        <f>AG672-AG669</f>
        <v>419</v>
      </c>
      <c r="AI672" s="21">
        <f t="shared" ref="AI672:AI676" si="1576">(SUM(AH666:AH672))/5</f>
        <v>4142</v>
      </c>
      <c r="AJ672" s="20">
        <v>5982104</v>
      </c>
      <c r="AK672" s="20">
        <f>AJ672-AJ669</f>
        <v>535</v>
      </c>
      <c r="AL672" s="21">
        <f t="shared" ref="AL672:AL676" si="1577">(SUM(AK666:AK672))/5</f>
        <v>4906.6000000000004</v>
      </c>
      <c r="AM672" s="26">
        <f t="shared" ref="AM672:AM676" si="1578">SUM(S666:S672)/7</f>
        <v>4840</v>
      </c>
    </row>
    <row r="673" spans="1:39" ht="16">
      <c r="A673" s="30">
        <v>44565</v>
      </c>
      <c r="B673" s="20">
        <f t="shared" ref="B673:B676" si="1579">B672+C673</f>
        <v>1264709</v>
      </c>
      <c r="C673" s="20">
        <v>2429</v>
      </c>
      <c r="D673" s="20">
        <v>39517</v>
      </c>
      <c r="E673" s="20">
        <v>1124945</v>
      </c>
      <c r="F673" s="20">
        <v>9211426</v>
      </c>
      <c r="G673" s="17">
        <f t="shared" si="1560"/>
        <v>939941.42857142852</v>
      </c>
      <c r="H673" s="20"/>
      <c r="I673" s="19">
        <f t="shared" ref="I673:I676" si="1580">(B673-B672)/B672</f>
        <v>1.9242957188579397E-3</v>
      </c>
      <c r="J673" s="19">
        <f t="shared" si="1561"/>
        <v>0.13729785160299829</v>
      </c>
      <c r="K673" s="19">
        <f t="shared" ref="K673:K676" si="1581">(F673-F672)/F672</f>
        <v>8.5238560947092229E-4</v>
      </c>
      <c r="L673" s="20">
        <v>100247</v>
      </c>
      <c r="M673" s="19">
        <f t="shared" si="1562"/>
        <v>3.124592297516662E-2</v>
      </c>
      <c r="N673" s="19">
        <f t="shared" si="1563"/>
        <v>0.88948920265452369</v>
      </c>
      <c r="O673" s="20">
        <v>13266</v>
      </c>
      <c r="P673" s="28">
        <f t="shared" ref="P673:P676" si="1582">F673-F672</f>
        <v>7845</v>
      </c>
      <c r="Q673" s="29">
        <f t="shared" si="1564"/>
        <v>0.30962396430847672</v>
      </c>
      <c r="R673" s="20">
        <f t="shared" ref="R673:S673" si="1583">D673-D672</f>
        <v>83</v>
      </c>
      <c r="S673" s="20">
        <f t="shared" si="1583"/>
        <v>3122</v>
      </c>
      <c r="T673" s="20">
        <v>3335</v>
      </c>
      <c r="U673" s="20">
        <v>316</v>
      </c>
      <c r="V673" s="19">
        <f t="shared" si="1566"/>
        <v>7.9264874370309699E-2</v>
      </c>
      <c r="W673" s="20">
        <f t="shared" ref="W673:X673" si="1584">T673-T672</f>
        <v>22</v>
      </c>
      <c r="X673" s="20">
        <f t="shared" si="1584"/>
        <v>-2</v>
      </c>
      <c r="Y673" s="19">
        <f t="shared" si="1568"/>
        <v>3.3267828463694672E-2</v>
      </c>
      <c r="Z673" s="19">
        <f t="shared" si="1569"/>
        <v>9.4752623688155915E-2</v>
      </c>
      <c r="AA673" s="21">
        <f t="shared" si="1570"/>
        <v>1.1052502453385673</v>
      </c>
      <c r="AB673" s="26">
        <f t="shared" si="1571"/>
        <v>0.8770567667533502</v>
      </c>
      <c r="AC673" s="23">
        <f t="shared" si="1572"/>
        <v>2574.2857142857142</v>
      </c>
      <c r="AD673" s="23">
        <f t="shared" si="1573"/>
        <v>89</v>
      </c>
      <c r="AE673" s="23">
        <f t="shared" si="1574"/>
        <v>13131.571428571429</v>
      </c>
      <c r="AF673" s="25">
        <f t="shared" si="1575"/>
        <v>0.21328862632874057</v>
      </c>
      <c r="AG673" s="20">
        <v>6268108</v>
      </c>
      <c r="AH673" s="21">
        <f t="shared" ref="AH673:AH676" si="1585">AG673-AG672</f>
        <v>1625</v>
      </c>
      <c r="AI673" s="21">
        <f t="shared" si="1576"/>
        <v>3091</v>
      </c>
      <c r="AJ673" s="20">
        <v>5986342</v>
      </c>
      <c r="AK673" s="20">
        <f t="shared" ref="AK673:AK676" si="1586">AJ673-AJ672</f>
        <v>4238</v>
      </c>
      <c r="AL673" s="21">
        <f t="shared" si="1577"/>
        <v>3597.6</v>
      </c>
      <c r="AM673" s="26">
        <f t="shared" si="1578"/>
        <v>4846.8571428571431</v>
      </c>
    </row>
    <row r="674" spans="1:39" ht="16">
      <c r="A674" s="30">
        <v>44566</v>
      </c>
      <c r="B674" s="20">
        <f t="shared" si="1579"/>
        <v>1269979</v>
      </c>
      <c r="C674" s="20">
        <v>5270</v>
      </c>
      <c r="D674" s="20">
        <v>39599</v>
      </c>
      <c r="E674" s="20">
        <v>1128923</v>
      </c>
      <c r="F674" s="20">
        <v>9229190</v>
      </c>
      <c r="G674" s="17">
        <f t="shared" si="1560"/>
        <v>941754.08163265302</v>
      </c>
      <c r="H674" s="20"/>
      <c r="I674" s="19">
        <f t="shared" si="1580"/>
        <v>4.1669664721291615E-3</v>
      </c>
      <c r="J674" s="19">
        <f t="shared" si="1561"/>
        <v>0.13760460018701534</v>
      </c>
      <c r="K674" s="19">
        <f t="shared" si="1581"/>
        <v>1.928474483755284E-3</v>
      </c>
      <c r="L674" s="20">
        <v>101457</v>
      </c>
      <c r="M674" s="19">
        <f t="shared" si="1562"/>
        <v>3.1180830549166563E-2</v>
      </c>
      <c r="N674" s="19">
        <f t="shared" si="1563"/>
        <v>0.8889304468814051</v>
      </c>
      <c r="O674" s="20">
        <v>14894</v>
      </c>
      <c r="P674" s="28">
        <f t="shared" si="1582"/>
        <v>17764</v>
      </c>
      <c r="Q674" s="29">
        <f t="shared" si="1564"/>
        <v>0.29666741724836748</v>
      </c>
      <c r="R674" s="20">
        <f t="shared" ref="R674:S674" si="1587">D674-D673</f>
        <v>82</v>
      </c>
      <c r="S674" s="20">
        <f t="shared" si="1587"/>
        <v>3978</v>
      </c>
      <c r="T674" s="20">
        <v>3090</v>
      </c>
      <c r="U674" s="20">
        <v>307</v>
      </c>
      <c r="V674" s="19">
        <f t="shared" si="1566"/>
        <v>7.9888722569428319E-2</v>
      </c>
      <c r="W674" s="20">
        <f t="shared" ref="W674:X674" si="1588">T674-T673</f>
        <v>-245</v>
      </c>
      <c r="X674" s="20">
        <f t="shared" si="1588"/>
        <v>-9</v>
      </c>
      <c r="Y674" s="19">
        <f t="shared" si="1568"/>
        <v>3.0456252402495637E-2</v>
      </c>
      <c r="Z674" s="19">
        <f t="shared" si="1569"/>
        <v>9.9352750809061488E-2</v>
      </c>
      <c r="AA674" s="21">
        <f t="shared" si="1570"/>
        <v>1.2717868338557994</v>
      </c>
      <c r="AB674" s="26">
        <f t="shared" si="1571"/>
        <v>1.0074054257030203</v>
      </c>
      <c r="AC674" s="23">
        <f t="shared" si="1572"/>
        <v>2897.8571428571427</v>
      </c>
      <c r="AD674" s="23">
        <f t="shared" si="1573"/>
        <v>84.285714285714292</v>
      </c>
      <c r="AE674" s="23">
        <f t="shared" si="1574"/>
        <v>13447.714285714286</v>
      </c>
      <c r="AF674" s="25">
        <f t="shared" si="1575"/>
        <v>0.23397507743322726</v>
      </c>
      <c r="AG674" s="20">
        <v>6269955</v>
      </c>
      <c r="AH674" s="21">
        <f t="shared" si="1585"/>
        <v>1847</v>
      </c>
      <c r="AI674" s="21">
        <f t="shared" si="1576"/>
        <v>2436.8000000000002</v>
      </c>
      <c r="AJ674" s="20">
        <v>5990568</v>
      </c>
      <c r="AK674" s="20">
        <f t="shared" si="1586"/>
        <v>4226</v>
      </c>
      <c r="AL674" s="21">
        <f t="shared" si="1577"/>
        <v>3402.6</v>
      </c>
      <c r="AM674" s="26">
        <f t="shared" si="1578"/>
        <v>4470.7142857142853</v>
      </c>
    </row>
    <row r="675" spans="1:39" ht="16">
      <c r="A675" s="30">
        <v>44567</v>
      </c>
      <c r="B675" s="20">
        <f t="shared" si="1579"/>
        <v>1276433</v>
      </c>
      <c r="C675" s="20">
        <v>6454</v>
      </c>
      <c r="D675" s="20">
        <v>39679</v>
      </c>
      <c r="E675" s="20">
        <v>1133345</v>
      </c>
      <c r="F675" s="20">
        <v>9256170</v>
      </c>
      <c r="G675" s="17">
        <f t="shared" si="1560"/>
        <v>944507.14285714284</v>
      </c>
      <c r="H675" s="20"/>
      <c r="I675" s="19">
        <f t="shared" si="1580"/>
        <v>5.0819737964171059E-3</v>
      </c>
      <c r="J675" s="19">
        <f t="shared" si="1561"/>
        <v>0.13790077321397512</v>
      </c>
      <c r="K675" s="19">
        <f t="shared" si="1581"/>
        <v>2.923333466967307E-3</v>
      </c>
      <c r="L675" s="20">
        <v>103409</v>
      </c>
      <c r="M675" s="19">
        <f t="shared" si="1562"/>
        <v>3.1085846260634126E-2</v>
      </c>
      <c r="N675" s="19">
        <f t="shared" si="1563"/>
        <v>0.88790010913224593</v>
      </c>
      <c r="O675" s="20">
        <v>17424</v>
      </c>
      <c r="P675" s="28">
        <f t="shared" si="1582"/>
        <v>26980</v>
      </c>
      <c r="Q675" s="29">
        <f t="shared" si="1564"/>
        <v>0.23921423276501111</v>
      </c>
      <c r="R675" s="20">
        <f t="shared" ref="R675:S675" si="1589">D675-D674</f>
        <v>80</v>
      </c>
      <c r="S675" s="20">
        <f t="shared" si="1589"/>
        <v>4422</v>
      </c>
      <c r="T675" s="20">
        <v>3101</v>
      </c>
      <c r="U675" s="20">
        <v>307</v>
      </c>
      <c r="V675" s="19">
        <f t="shared" si="1566"/>
        <v>8.101404460712E-2</v>
      </c>
      <c r="W675" s="20">
        <f t="shared" ref="W675:X675" si="1590">T675-T674</f>
        <v>11</v>
      </c>
      <c r="X675" s="20">
        <f t="shared" si="1590"/>
        <v>0</v>
      </c>
      <c r="Y675" s="19">
        <f t="shared" si="1568"/>
        <v>2.9987718670521909E-2</v>
      </c>
      <c r="Z675" s="19">
        <f t="shared" si="1569"/>
        <v>9.9000322476620439E-2</v>
      </c>
      <c r="AA675" s="21">
        <f t="shared" si="1570"/>
        <v>1.4866772655007949</v>
      </c>
      <c r="AB675" s="26">
        <f t="shared" si="1571"/>
        <v>1.1737647002258014</v>
      </c>
      <c r="AC675" s="23">
        <f t="shared" si="1572"/>
        <v>3339.7142857142858</v>
      </c>
      <c r="AD675" s="23">
        <f t="shared" si="1573"/>
        <v>82.142857142857139</v>
      </c>
      <c r="AE675" s="23">
        <f t="shared" si="1574"/>
        <v>14782.285714285714</v>
      </c>
      <c r="AF675" s="25">
        <f t="shared" si="1575"/>
        <v>0.24370702705914024</v>
      </c>
      <c r="AG675" s="20">
        <v>6272718</v>
      </c>
      <c r="AH675" s="21">
        <f t="shared" si="1585"/>
        <v>2763</v>
      </c>
      <c r="AI675" s="21">
        <f t="shared" si="1576"/>
        <v>2004</v>
      </c>
      <c r="AJ675" s="20">
        <v>5996472</v>
      </c>
      <c r="AK675" s="20">
        <f t="shared" si="1586"/>
        <v>5904</v>
      </c>
      <c r="AL675" s="21">
        <f t="shared" si="1577"/>
        <v>3559.8</v>
      </c>
      <c r="AM675" s="26">
        <f t="shared" si="1578"/>
        <v>3830.5714285714284</v>
      </c>
    </row>
    <row r="676" spans="1:39" ht="16">
      <c r="A676" s="30">
        <v>44568</v>
      </c>
      <c r="B676" s="20">
        <f t="shared" si="1579"/>
        <v>1282957</v>
      </c>
      <c r="C676" s="20">
        <v>6524</v>
      </c>
      <c r="D676" s="20">
        <v>39780</v>
      </c>
      <c r="E676" s="20">
        <v>1137648</v>
      </c>
      <c r="F676" s="20">
        <v>9285125</v>
      </c>
      <c r="G676" s="17">
        <f t="shared" si="1560"/>
        <v>947461.73469387752</v>
      </c>
      <c r="H676" s="20"/>
      <c r="I676" s="19">
        <f t="shared" si="1580"/>
        <v>5.1111182490581174E-3</v>
      </c>
      <c r="J676" s="19">
        <f t="shared" si="1561"/>
        <v>0.13817336869455177</v>
      </c>
      <c r="K676" s="19">
        <f t="shared" si="1581"/>
        <v>3.128183687205399E-3</v>
      </c>
      <c r="L676" s="20">
        <v>105529</v>
      </c>
      <c r="M676" s="19">
        <f t="shared" si="1562"/>
        <v>3.1006495151435318E-2</v>
      </c>
      <c r="N676" s="19">
        <f t="shared" si="1563"/>
        <v>0.88673899437003734</v>
      </c>
      <c r="O676" s="20">
        <v>20298</v>
      </c>
      <c r="P676" s="28">
        <f t="shared" si="1582"/>
        <v>28955</v>
      </c>
      <c r="Q676" s="29">
        <f t="shared" si="1564"/>
        <v>0.22531514418925919</v>
      </c>
      <c r="R676" s="20">
        <f t="shared" ref="R676:S676" si="1591">D676-D675</f>
        <v>101</v>
      </c>
      <c r="S676" s="20">
        <f t="shared" si="1591"/>
        <v>4303</v>
      </c>
      <c r="T676" s="20">
        <v>3070</v>
      </c>
      <c r="U676" s="20">
        <v>291</v>
      </c>
      <c r="V676" s="19">
        <f t="shared" si="1566"/>
        <v>8.2254510478527346E-2</v>
      </c>
      <c r="W676" s="20">
        <f t="shared" ref="W676:X676" si="1592">T676-T675</f>
        <v>-31</v>
      </c>
      <c r="X676" s="20">
        <f t="shared" si="1592"/>
        <v>-16</v>
      </c>
      <c r="Y676" s="19">
        <f t="shared" si="1568"/>
        <v>2.909152934264515E-2</v>
      </c>
      <c r="Z676" s="19">
        <f t="shared" si="1569"/>
        <v>9.4788273615635174E-2</v>
      </c>
      <c r="AA676" s="21">
        <f t="shared" si="1570"/>
        <v>1.3907257008121561</v>
      </c>
      <c r="AB676" s="26">
        <f t="shared" si="1571"/>
        <v>1.251384492345154</v>
      </c>
      <c r="AC676" s="23">
        <f t="shared" si="1572"/>
        <v>3791.7142857142858</v>
      </c>
      <c r="AD676" s="23">
        <f t="shared" si="1573"/>
        <v>84.857142857142861</v>
      </c>
      <c r="AE676" s="23">
        <f t="shared" si="1574"/>
        <v>16538.571428571428</v>
      </c>
      <c r="AF676" s="25">
        <f t="shared" si="1575"/>
        <v>0.24843634243441479</v>
      </c>
      <c r="AG676" s="20">
        <v>6278355</v>
      </c>
      <c r="AH676" s="21">
        <f t="shared" si="1585"/>
        <v>5637</v>
      </c>
      <c r="AI676" s="21">
        <f t="shared" si="1576"/>
        <v>2458.1999999999998</v>
      </c>
      <c r="AJ676" s="20">
        <v>6006178</v>
      </c>
      <c r="AK676" s="20">
        <f t="shared" si="1586"/>
        <v>9706</v>
      </c>
      <c r="AL676" s="21">
        <f t="shared" si="1577"/>
        <v>4921.8</v>
      </c>
      <c r="AM676" s="26">
        <f t="shared" si="1578"/>
        <v>3710.2857142857142</v>
      </c>
    </row>
    <row r="677" spans="1:39" ht="13">
      <c r="A677" s="30">
        <v>44569</v>
      </c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8"/>
      <c r="Q677" s="28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</row>
    <row r="678" spans="1:39" ht="13">
      <c r="A678" s="30">
        <v>44570</v>
      </c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8"/>
      <c r="Q678" s="28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</row>
    <row r="679" spans="1:39" ht="16">
      <c r="A679" s="30">
        <v>44571</v>
      </c>
      <c r="B679" s="20">
        <f>B676+C679</f>
        <v>1297612</v>
      </c>
      <c r="C679" s="20">
        <v>14655</v>
      </c>
      <c r="D679" s="20">
        <v>39947</v>
      </c>
      <c r="E679" s="20">
        <v>1145770</v>
      </c>
      <c r="F679" s="20">
        <v>9358739</v>
      </c>
      <c r="G679" s="17">
        <f t="shared" ref="G679:G683" si="1593">F679/9.8</f>
        <v>954973.3673469387</v>
      </c>
      <c r="H679" s="20"/>
      <c r="I679" s="19">
        <f>(B679-B676)/B676</f>
        <v>1.1422830227357581E-2</v>
      </c>
      <c r="J679" s="19">
        <f t="shared" ref="J679:J683" si="1594">B679/F679</f>
        <v>0.13865244024862752</v>
      </c>
      <c r="K679" s="19">
        <f>(F679-F676)/F676</f>
        <v>7.9281646719887994E-3</v>
      </c>
      <c r="L679" s="20">
        <v>111895</v>
      </c>
      <c r="M679" s="19">
        <f t="shared" ref="M679:M683" si="1595">D679/B679</f>
        <v>3.0785011236024326E-2</v>
      </c>
      <c r="N679" s="19">
        <f t="shared" ref="N679:N683" si="1596">E679/B679</f>
        <v>0.88298351124989594</v>
      </c>
      <c r="O679" s="20">
        <v>21527</v>
      </c>
      <c r="P679" s="28">
        <f>F679-F676</f>
        <v>73614</v>
      </c>
      <c r="Q679" s="29">
        <f t="shared" ref="Q679:Q683" si="1597">C679/P679</f>
        <v>0.19907897954193496</v>
      </c>
      <c r="R679" s="20">
        <f t="shared" ref="R679:S679" si="1598">D679-D676</f>
        <v>167</v>
      </c>
      <c r="S679" s="20">
        <f t="shared" si="1598"/>
        <v>8122</v>
      </c>
      <c r="T679" s="20">
        <v>2931</v>
      </c>
      <c r="U679" s="20">
        <v>281</v>
      </c>
      <c r="V679" s="19">
        <f t="shared" ref="V679:V683" si="1599">L679/B679</f>
        <v>8.623147751407971E-2</v>
      </c>
      <c r="W679" s="20">
        <f t="shared" ref="W679:X679" si="1600">T679-T676</f>
        <v>-139</v>
      </c>
      <c r="X679" s="20">
        <f t="shared" si="1600"/>
        <v>-10</v>
      </c>
      <c r="Y679" s="19">
        <f t="shared" ref="Y679:Y683" si="1601">T679/L679</f>
        <v>2.6194199919567451E-2</v>
      </c>
      <c r="Z679" s="19">
        <f t="shared" ref="Z679:Z683" si="1602">U679/T679</f>
        <v>9.5871716137836918E-2</v>
      </c>
      <c r="AA679" s="21">
        <f t="shared" ref="AA679:AA683" si="1603">(C673+C674+C675+C676+C677+C678+C679)/(C666+C667+C668+C669+C670+C671+C672)</f>
        <v>2.0831318908083252</v>
      </c>
      <c r="AB679" s="26">
        <f t="shared" ref="AB679:AB683" si="1604">SUM(AA673:AA679)/5</f>
        <v>1.4675143872631284</v>
      </c>
      <c r="AC679" s="23">
        <f t="shared" ref="AC679:AC683" si="1605">SUM(C673:C679)/7</f>
        <v>5047.4285714285716</v>
      </c>
      <c r="AD679" s="23">
        <f t="shared" ref="AD679:AD683" si="1606">SUM(R673:R679)/7</f>
        <v>73.285714285714292</v>
      </c>
      <c r="AE679" s="23">
        <f t="shared" ref="AE679:AE683" si="1607">SUM(P673:P679)/7</f>
        <v>22165.428571428572</v>
      </c>
      <c r="AF679" s="25">
        <f t="shared" ref="AF679:AF683" si="1608">SUM(Q673:Q679)/5</f>
        <v>0.25397994761060988</v>
      </c>
      <c r="AG679" s="20">
        <v>6292759</v>
      </c>
      <c r="AH679" s="21">
        <f>AG679-AG676</f>
        <v>14404</v>
      </c>
      <c r="AI679" s="21">
        <f t="shared" ref="AI679:AI683" si="1609">(SUM(AH673:AH679))/5</f>
        <v>5255.2</v>
      </c>
      <c r="AJ679" s="20">
        <v>6027578</v>
      </c>
      <c r="AK679" s="20">
        <f>AJ679-AJ676</f>
        <v>21400</v>
      </c>
      <c r="AL679" s="21">
        <f t="shared" ref="AL679:AL683" si="1610">(SUM(AK673:AK679))/5</f>
        <v>9094.7999999999993</v>
      </c>
      <c r="AM679" s="26">
        <f t="shared" ref="AM679:AM683" si="1611">SUM(S673:S679)/7</f>
        <v>3421</v>
      </c>
    </row>
    <row r="680" spans="1:39" ht="16">
      <c r="A680" s="30">
        <v>44572</v>
      </c>
      <c r="B680" s="20">
        <f t="shared" ref="B680:B683" si="1612">B679+C680</f>
        <v>1300994</v>
      </c>
      <c r="C680" s="20">
        <v>3382</v>
      </c>
      <c r="D680" s="20">
        <v>40016</v>
      </c>
      <c r="E680" s="20">
        <v>1147818</v>
      </c>
      <c r="F680" s="20">
        <v>9367973</v>
      </c>
      <c r="G680" s="17">
        <f t="shared" si="1593"/>
        <v>955915.61224489787</v>
      </c>
      <c r="H680" s="20"/>
      <c r="I680" s="19">
        <f t="shared" ref="I680:I683" si="1613">(B680-B679)/B679</f>
        <v>2.6063260820645925E-3</v>
      </c>
      <c r="J680" s="19">
        <f t="shared" si="1594"/>
        <v>0.13887678796683126</v>
      </c>
      <c r="K680" s="19">
        <f t="shared" ref="K680:K683" si="1614">(F680-F679)/F679</f>
        <v>9.8667138810046946E-4</v>
      </c>
      <c r="L680" s="20">
        <v>113160</v>
      </c>
      <c r="M680" s="19">
        <f t="shared" si="1595"/>
        <v>3.0758020405935768E-2</v>
      </c>
      <c r="N680" s="19">
        <f t="shared" si="1596"/>
        <v>0.8822623317248196</v>
      </c>
      <c r="O680" s="20">
        <v>25978</v>
      </c>
      <c r="P680" s="28">
        <f t="shared" ref="P680:P683" si="1615">F680-F679</f>
        <v>9234</v>
      </c>
      <c r="Q680" s="29">
        <f t="shared" si="1597"/>
        <v>0.36625514403292181</v>
      </c>
      <c r="R680" s="20">
        <f t="shared" ref="R680:S680" si="1616">D680-D679</f>
        <v>69</v>
      </c>
      <c r="S680" s="20">
        <f t="shared" si="1616"/>
        <v>2048</v>
      </c>
      <c r="T680" s="20">
        <v>2932</v>
      </c>
      <c r="U680" s="20">
        <v>274</v>
      </c>
      <c r="V680" s="19">
        <f t="shared" si="1599"/>
        <v>8.6979647869244586E-2</v>
      </c>
      <c r="W680" s="20">
        <f t="shared" ref="W680:X680" si="1617">T680-T679</f>
        <v>1</v>
      </c>
      <c r="X680" s="20">
        <f t="shared" si="1617"/>
        <v>-7</v>
      </c>
      <c r="Y680" s="19">
        <f t="shared" si="1601"/>
        <v>2.591021562389537E-2</v>
      </c>
      <c r="Z680" s="19">
        <f t="shared" si="1602"/>
        <v>9.345156889495225E-2</v>
      </c>
      <c r="AA680" s="21">
        <f t="shared" si="1603"/>
        <v>2.0135960044395116</v>
      </c>
      <c r="AB680" s="26">
        <f t="shared" si="1604"/>
        <v>1.6491835390833174</v>
      </c>
      <c r="AC680" s="23">
        <f t="shared" si="1605"/>
        <v>5183.5714285714284</v>
      </c>
      <c r="AD680" s="23">
        <f t="shared" si="1606"/>
        <v>71.285714285714292</v>
      </c>
      <c r="AE680" s="23">
        <f t="shared" si="1607"/>
        <v>22363.857142857141</v>
      </c>
      <c r="AF680" s="25">
        <f t="shared" si="1608"/>
        <v>0.26530618355549895</v>
      </c>
      <c r="AG680" s="20">
        <v>6294707</v>
      </c>
      <c r="AH680" s="21">
        <f t="shared" ref="AH680:AH683" si="1618">AG680-AG679</f>
        <v>1948</v>
      </c>
      <c r="AI680" s="21">
        <f t="shared" si="1609"/>
        <v>5319.8</v>
      </c>
      <c r="AJ680" s="20">
        <v>6033675</v>
      </c>
      <c r="AK680" s="20">
        <f t="shared" ref="AK680:AK683" si="1619">AJ680-AJ679</f>
        <v>6097</v>
      </c>
      <c r="AL680" s="21">
        <f t="shared" si="1610"/>
        <v>9466.6</v>
      </c>
      <c r="AM680" s="26">
        <f t="shared" si="1611"/>
        <v>3267.5714285714284</v>
      </c>
    </row>
    <row r="681" spans="1:39" ht="16">
      <c r="A681" s="30">
        <v>44573</v>
      </c>
      <c r="B681" s="20">
        <f t="shared" si="1612"/>
        <v>1308877</v>
      </c>
      <c r="C681" s="20">
        <v>7883</v>
      </c>
      <c r="D681" s="20">
        <v>40083</v>
      </c>
      <c r="E681" s="20">
        <v>1149849</v>
      </c>
      <c r="F681" s="20">
        <v>9386272</v>
      </c>
      <c r="G681" s="17">
        <f t="shared" si="1593"/>
        <v>957782.85714285704</v>
      </c>
      <c r="H681" s="20"/>
      <c r="I681" s="19">
        <f t="shared" si="1613"/>
        <v>6.0592131862253016E-3</v>
      </c>
      <c r="J681" s="19">
        <f t="shared" si="1594"/>
        <v>0.13944588437241112</v>
      </c>
      <c r="K681" s="19">
        <f t="shared" si="1614"/>
        <v>1.9533574659107151E-3</v>
      </c>
      <c r="L681" s="20">
        <v>118945</v>
      </c>
      <c r="M681" s="19">
        <f t="shared" si="1595"/>
        <v>3.0623962373851784E-2</v>
      </c>
      <c r="N681" s="19">
        <f t="shared" si="1596"/>
        <v>0.8785004244096275</v>
      </c>
      <c r="O681" s="20">
        <v>33421</v>
      </c>
      <c r="P681" s="28">
        <f t="shared" si="1615"/>
        <v>18299</v>
      </c>
      <c r="Q681" s="29">
        <f t="shared" si="1597"/>
        <v>0.43078856768129403</v>
      </c>
      <c r="R681" s="20">
        <f t="shared" ref="R681:S681" si="1620">D681-D680</f>
        <v>67</v>
      </c>
      <c r="S681" s="20">
        <f t="shared" si="1620"/>
        <v>2031</v>
      </c>
      <c r="T681" s="20">
        <v>2758</v>
      </c>
      <c r="U681" s="20">
        <v>257</v>
      </c>
      <c r="V681" s="19">
        <f t="shared" si="1599"/>
        <v>9.0875613216520726E-2</v>
      </c>
      <c r="W681" s="20">
        <f t="shared" ref="W681:X681" si="1621">T681-T680</f>
        <v>-174</v>
      </c>
      <c r="X681" s="20">
        <f t="shared" si="1621"/>
        <v>-17</v>
      </c>
      <c r="Y681" s="19">
        <f t="shared" si="1601"/>
        <v>2.3187187355500443E-2</v>
      </c>
      <c r="Z681" s="19">
        <f t="shared" si="1602"/>
        <v>9.3183466279912974E-2</v>
      </c>
      <c r="AA681" s="21">
        <f t="shared" si="1603"/>
        <v>1.9175745624845946</v>
      </c>
      <c r="AB681" s="26">
        <f t="shared" si="1604"/>
        <v>1.7783410848090764</v>
      </c>
      <c r="AC681" s="23">
        <f t="shared" si="1605"/>
        <v>5556.8571428571431</v>
      </c>
      <c r="AD681" s="23">
        <f t="shared" si="1606"/>
        <v>69.142857142857139</v>
      </c>
      <c r="AE681" s="23">
        <f t="shared" si="1607"/>
        <v>22440.285714285714</v>
      </c>
      <c r="AF681" s="25">
        <f t="shared" si="1608"/>
        <v>0.29213041364208425</v>
      </c>
      <c r="AG681" s="20">
        <v>6297101</v>
      </c>
      <c r="AH681" s="21">
        <f t="shared" si="1618"/>
        <v>2394</v>
      </c>
      <c r="AI681" s="21">
        <f t="shared" si="1609"/>
        <v>5429.2</v>
      </c>
      <c r="AJ681" s="20">
        <v>6039940</v>
      </c>
      <c r="AK681" s="20">
        <f t="shared" si="1619"/>
        <v>6265</v>
      </c>
      <c r="AL681" s="21">
        <f t="shared" si="1610"/>
        <v>9874.4</v>
      </c>
      <c r="AM681" s="26">
        <f t="shared" si="1611"/>
        <v>2989.4285714285716</v>
      </c>
    </row>
    <row r="682" spans="1:39" ht="16">
      <c r="A682" s="30">
        <v>44574</v>
      </c>
      <c r="B682" s="20">
        <f t="shared" si="1612"/>
        <v>1318093</v>
      </c>
      <c r="C682" s="20">
        <v>9216</v>
      </c>
      <c r="D682" s="20">
        <v>40164</v>
      </c>
      <c r="E682" s="20">
        <v>1155505</v>
      </c>
      <c r="F682" s="20">
        <v>9417820</v>
      </c>
      <c r="G682" s="17">
        <f t="shared" si="1593"/>
        <v>961002.04081632651</v>
      </c>
      <c r="H682" s="20"/>
      <c r="I682" s="19">
        <f t="shared" si="1613"/>
        <v>7.0411505435575691E-3</v>
      </c>
      <c r="J682" s="19">
        <f t="shared" si="1594"/>
        <v>0.13995733619882308</v>
      </c>
      <c r="K682" s="19">
        <f t="shared" si="1614"/>
        <v>3.3610788180866696E-3</v>
      </c>
      <c r="L682" s="20">
        <v>122424</v>
      </c>
      <c r="M682" s="19">
        <f t="shared" si="1595"/>
        <v>3.047129451412002E-2</v>
      </c>
      <c r="N682" s="19">
        <f t="shared" si="1596"/>
        <v>0.87664906800961695</v>
      </c>
      <c r="O682" s="20">
        <v>40560</v>
      </c>
      <c r="P682" s="28">
        <f t="shared" si="1615"/>
        <v>31548</v>
      </c>
      <c r="Q682" s="29">
        <f t="shared" si="1597"/>
        <v>0.29212628375808292</v>
      </c>
      <c r="R682" s="20">
        <f t="shared" ref="R682:S682" si="1622">D682-D681</f>
        <v>81</v>
      </c>
      <c r="S682" s="20">
        <f t="shared" si="1622"/>
        <v>5656</v>
      </c>
      <c r="T682" s="20">
        <v>2647</v>
      </c>
      <c r="U682" s="20">
        <v>249</v>
      </c>
      <c r="V682" s="19">
        <f t="shared" si="1599"/>
        <v>9.2879637476263058E-2</v>
      </c>
      <c r="W682" s="20">
        <f t="shared" ref="W682:X682" si="1623">T682-T681</f>
        <v>-111</v>
      </c>
      <c r="X682" s="20">
        <f t="shared" si="1623"/>
        <v>-8</v>
      </c>
      <c r="Y682" s="19">
        <f t="shared" si="1601"/>
        <v>2.1621577468470234E-2</v>
      </c>
      <c r="Z682" s="19">
        <f t="shared" si="1602"/>
        <v>9.4068757083490745E-2</v>
      </c>
      <c r="AA682" s="21">
        <f t="shared" si="1603"/>
        <v>1.7820172812045514</v>
      </c>
      <c r="AB682" s="26">
        <f t="shared" si="1604"/>
        <v>1.8374090879498275</v>
      </c>
      <c r="AC682" s="23">
        <f t="shared" si="1605"/>
        <v>5951.4285714285716</v>
      </c>
      <c r="AD682" s="23">
        <f t="shared" si="1606"/>
        <v>69.285714285714292</v>
      </c>
      <c r="AE682" s="23">
        <f t="shared" si="1607"/>
        <v>23092.857142857141</v>
      </c>
      <c r="AF682" s="25">
        <f t="shared" si="1608"/>
        <v>0.30271282384069859</v>
      </c>
      <c r="AG682" s="20">
        <v>6299590</v>
      </c>
      <c r="AH682" s="21">
        <f t="shared" si="1618"/>
        <v>2489</v>
      </c>
      <c r="AI682" s="21">
        <f t="shared" si="1609"/>
        <v>5374.4</v>
      </c>
      <c r="AJ682" s="20">
        <v>6045893</v>
      </c>
      <c r="AK682" s="20">
        <f t="shared" si="1619"/>
        <v>5953</v>
      </c>
      <c r="AL682" s="21">
        <f t="shared" si="1610"/>
        <v>9884.2000000000007</v>
      </c>
      <c r="AM682" s="26">
        <f t="shared" si="1611"/>
        <v>3165.7142857142858</v>
      </c>
    </row>
    <row r="683" spans="1:39" ht="16">
      <c r="A683" s="30">
        <v>44575</v>
      </c>
      <c r="B683" s="20">
        <f t="shared" si="1612"/>
        <v>1327014</v>
      </c>
      <c r="C683" s="20">
        <v>8921</v>
      </c>
      <c r="D683" s="20">
        <v>40237</v>
      </c>
      <c r="E683" s="20">
        <v>1158509</v>
      </c>
      <c r="F683" s="20">
        <v>9448157</v>
      </c>
      <c r="G683" s="17">
        <f t="shared" si="1593"/>
        <v>964097.65306122438</v>
      </c>
      <c r="H683" s="20"/>
      <c r="I683" s="19">
        <f t="shared" si="1613"/>
        <v>6.768111203078994E-3</v>
      </c>
      <c r="J683" s="19">
        <f t="shared" si="1594"/>
        <v>0.14045215379041648</v>
      </c>
      <c r="K683" s="19">
        <f t="shared" si="1614"/>
        <v>3.2212337887111879E-3</v>
      </c>
      <c r="L683" s="20">
        <v>128268</v>
      </c>
      <c r="M683" s="19">
        <f t="shared" si="1595"/>
        <v>3.0321458552811049E-2</v>
      </c>
      <c r="N683" s="19">
        <f t="shared" si="1596"/>
        <v>0.87301942556747703</v>
      </c>
      <c r="O683" s="20">
        <v>44692</v>
      </c>
      <c r="P683" s="28">
        <f t="shared" si="1615"/>
        <v>30337</v>
      </c>
      <c r="Q683" s="29">
        <f t="shared" si="1597"/>
        <v>0.29406335497906849</v>
      </c>
      <c r="R683" s="20">
        <f t="shared" ref="R683:S683" si="1624">D683-D682</f>
        <v>73</v>
      </c>
      <c r="S683" s="20">
        <f t="shared" si="1624"/>
        <v>3004</v>
      </c>
      <c r="T683" s="20">
        <v>2611</v>
      </c>
      <c r="U683" s="20">
        <v>243</v>
      </c>
      <c r="V683" s="19">
        <f t="shared" si="1599"/>
        <v>9.665911587971189E-2</v>
      </c>
      <c r="W683" s="20">
        <f t="shared" ref="W683:X683" si="1625">T683-T682</f>
        <v>-36</v>
      </c>
      <c r="X683" s="20">
        <f t="shared" si="1625"/>
        <v>-6</v>
      </c>
      <c r="Y683" s="19">
        <f t="shared" si="1601"/>
        <v>2.0355817507094521E-2</v>
      </c>
      <c r="Z683" s="19">
        <f t="shared" si="1602"/>
        <v>9.3067790118728455E-2</v>
      </c>
      <c r="AA683" s="21">
        <f t="shared" si="1603"/>
        <v>1.6598975209102556</v>
      </c>
      <c r="AB683" s="26">
        <f t="shared" si="1604"/>
        <v>1.8912434519694474</v>
      </c>
      <c r="AC683" s="23">
        <f t="shared" si="1605"/>
        <v>6293.8571428571431</v>
      </c>
      <c r="AD683" s="23">
        <f t="shared" si="1606"/>
        <v>65.285714285714292</v>
      </c>
      <c r="AE683" s="23">
        <f t="shared" si="1607"/>
        <v>23290.285714285714</v>
      </c>
      <c r="AF683" s="25">
        <f t="shared" si="1608"/>
        <v>0.31646246599866046</v>
      </c>
      <c r="AG683" s="20">
        <v>6304323</v>
      </c>
      <c r="AH683" s="21">
        <f t="shared" si="1618"/>
        <v>4733</v>
      </c>
      <c r="AI683" s="21">
        <f t="shared" si="1609"/>
        <v>5193.6000000000004</v>
      </c>
      <c r="AJ683" s="20">
        <v>6050416</v>
      </c>
      <c r="AK683" s="20">
        <f t="shared" si="1619"/>
        <v>4523</v>
      </c>
      <c r="AL683" s="21">
        <f t="shared" si="1610"/>
        <v>8847.6</v>
      </c>
      <c r="AM683" s="26">
        <f t="shared" si="1611"/>
        <v>2980.1428571428573</v>
      </c>
    </row>
    <row r="684" spans="1:39" ht="13">
      <c r="A684" s="30">
        <v>44576</v>
      </c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8"/>
      <c r="Q684" s="28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</row>
    <row r="685" spans="1:39" ht="13">
      <c r="A685" s="30">
        <v>44577</v>
      </c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8"/>
      <c r="Q685" s="28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</row>
    <row r="686" spans="1:39" ht="16">
      <c r="A686" s="30">
        <v>44578</v>
      </c>
      <c r="B686" s="20">
        <f>B683+C686</f>
        <v>1348233</v>
      </c>
      <c r="C686" s="20">
        <v>21219</v>
      </c>
      <c r="D686" s="20">
        <v>40507</v>
      </c>
      <c r="E686" s="20">
        <v>1169775</v>
      </c>
      <c r="F686" s="20">
        <v>9530346</v>
      </c>
      <c r="G686" s="17">
        <f t="shared" ref="G686:G690" si="1626">F686/9.8</f>
        <v>972484.28571428568</v>
      </c>
      <c r="H686" s="20"/>
      <c r="I686" s="19">
        <f>(B686-B683)/B683</f>
        <v>1.5990034769791425E-2</v>
      </c>
      <c r="J686" s="19">
        <f t="shared" ref="J686:J690" si="1627">B686/F686</f>
        <v>0.14146737169878199</v>
      </c>
      <c r="K686" s="19">
        <f>(F686-F683)/F683</f>
        <v>8.6989452016938331E-3</v>
      </c>
      <c r="L686" s="20">
        <v>137951</v>
      </c>
      <c r="M686" s="19">
        <f t="shared" ref="M686:M690" si="1628">D686/B686</f>
        <v>3.0044510110641114E-2</v>
      </c>
      <c r="N686" s="19">
        <f t="shared" ref="N686:N690" si="1629">E686/B686</f>
        <v>0.86763563864702908</v>
      </c>
      <c r="O686" s="20">
        <v>39669</v>
      </c>
      <c r="P686" s="28">
        <f>F686-F683</f>
        <v>82189</v>
      </c>
      <c r="Q686" s="29">
        <f t="shared" ref="Q686:Q690" si="1630">C686/P686</f>
        <v>0.25817323486111282</v>
      </c>
      <c r="R686" s="20">
        <f t="shared" ref="R686:S686" si="1631">D686-D683</f>
        <v>270</v>
      </c>
      <c r="S686" s="20">
        <f t="shared" si="1631"/>
        <v>11266</v>
      </c>
      <c r="T686" s="20">
        <v>2630</v>
      </c>
      <c r="U686" s="20">
        <v>228</v>
      </c>
      <c r="V686" s="19">
        <f t="shared" ref="V686:V690" si="1632">L686/B686</f>
        <v>0.10231985124232977</v>
      </c>
      <c r="W686" s="20">
        <f t="shared" ref="W686:X686" si="1633">T686-T683</f>
        <v>19</v>
      </c>
      <c r="X686" s="20">
        <f t="shared" si="1633"/>
        <v>-15</v>
      </c>
      <c r="Y686" s="19">
        <f t="shared" ref="Y686:Y690" si="1634">T686/L686</f>
        <v>1.9064740378830165E-2</v>
      </c>
      <c r="Z686" s="19">
        <f t="shared" ref="Z686:Z690" si="1635">U686/T686</f>
        <v>8.6692015209125478E-2</v>
      </c>
      <c r="AA686" s="21">
        <f t="shared" ref="AA686:AA690" si="1636">(C680+C681+C682+C683+C684+C685+C686)/(C673+C674+C675+C676+C677+C678+C679)</f>
        <v>1.4327238763726933</v>
      </c>
      <c r="AB686" s="26">
        <f t="shared" ref="AB686:AB690" si="1637">SUM(AA680:AA686)/5</f>
        <v>1.7611618490823211</v>
      </c>
      <c r="AC686" s="23">
        <f t="shared" ref="AC686:AC690" si="1638">SUM(C680:C686)/7</f>
        <v>7231.5714285714284</v>
      </c>
      <c r="AD686" s="23">
        <f t="shared" ref="AD686:AD690" si="1639">SUM(R680:R686)/7</f>
        <v>80</v>
      </c>
      <c r="AE686" s="23">
        <f t="shared" ref="AE686:AE690" si="1640">SUM(P680:P686)/7</f>
        <v>24515.285714285714</v>
      </c>
      <c r="AF686" s="25">
        <f t="shared" ref="AF686:AF690" si="1641">SUM(Q680:Q686)/5</f>
        <v>0.32828131706249603</v>
      </c>
      <c r="AG686" s="20">
        <v>6319414</v>
      </c>
      <c r="AH686" s="21">
        <f>AG686-AG683</f>
        <v>15091</v>
      </c>
      <c r="AI686" s="21">
        <f t="shared" ref="AI686:AI690" si="1642">(SUM(AH680:AH686))/5</f>
        <v>5331</v>
      </c>
      <c r="AJ686" s="20">
        <v>6059382</v>
      </c>
      <c r="AK686" s="20">
        <f>AJ686-AJ683</f>
        <v>8966</v>
      </c>
      <c r="AL686" s="21">
        <f t="shared" ref="AL686:AL690" si="1643">(SUM(AK680:AK686))/5</f>
        <v>6360.8</v>
      </c>
      <c r="AM686" s="26">
        <f t="shared" ref="AM686:AM690" si="1644">SUM(S680:S686)/7</f>
        <v>3429.2857142857142</v>
      </c>
    </row>
    <row r="687" spans="1:39" ht="16">
      <c r="A687" s="30">
        <v>44579</v>
      </c>
      <c r="B687" s="20">
        <f t="shared" ref="B687:B690" si="1645">B686+C687</f>
        <v>1355084</v>
      </c>
      <c r="C687" s="20">
        <v>6851</v>
      </c>
      <c r="D687" s="20">
        <v>40601</v>
      </c>
      <c r="E687" s="20">
        <v>1176855</v>
      </c>
      <c r="F687" s="20">
        <v>9546334</v>
      </c>
      <c r="G687" s="17">
        <f t="shared" si="1626"/>
        <v>974115.7142857142</v>
      </c>
      <c r="H687" s="20"/>
      <c r="I687" s="19">
        <f t="shared" ref="I687:I690" si="1646">(B687-B686)/B686</f>
        <v>5.0814658890562681E-3</v>
      </c>
      <c r="J687" s="19">
        <f t="shared" si="1627"/>
        <v>0.1419481028005096</v>
      </c>
      <c r="K687" s="19">
        <f t="shared" ref="K687:K690" si="1647">(F687-F686)/F686</f>
        <v>1.6775886206020223E-3</v>
      </c>
      <c r="L687" s="20">
        <v>137628</v>
      </c>
      <c r="M687" s="19">
        <f t="shared" si="1628"/>
        <v>2.9961980216724571E-2</v>
      </c>
      <c r="N687" s="19">
        <f t="shared" si="1629"/>
        <v>0.86847383630830266</v>
      </c>
      <c r="O687" s="20">
        <v>37207</v>
      </c>
      <c r="P687" s="28">
        <f t="shared" ref="P687:P690" si="1648">F687-F686</f>
        <v>15988</v>
      </c>
      <c r="Q687" s="29">
        <f t="shared" si="1630"/>
        <v>0.42850888166124596</v>
      </c>
      <c r="R687" s="20">
        <f t="shared" ref="R687:S687" si="1649">D687-D686</f>
        <v>94</v>
      </c>
      <c r="S687" s="20">
        <f t="shared" si="1649"/>
        <v>7080</v>
      </c>
      <c r="T687" s="20">
        <v>2689</v>
      </c>
      <c r="U687" s="20">
        <v>217</v>
      </c>
      <c r="V687" s="19">
        <f t="shared" si="1632"/>
        <v>0.10156418347497277</v>
      </c>
      <c r="W687" s="20">
        <f t="shared" ref="W687:X687" si="1650">T687-T686</f>
        <v>59</v>
      </c>
      <c r="X687" s="20">
        <f t="shared" si="1650"/>
        <v>-11</v>
      </c>
      <c r="Y687" s="19">
        <f t="shared" si="1634"/>
        <v>1.9538175371290725E-2</v>
      </c>
      <c r="Z687" s="19">
        <f t="shared" si="1635"/>
        <v>8.0699144663443662E-2</v>
      </c>
      <c r="AA687" s="21">
        <f t="shared" si="1636"/>
        <v>1.4906986357999172</v>
      </c>
      <c r="AB687" s="26">
        <f t="shared" si="1637"/>
        <v>1.6565823753544024</v>
      </c>
      <c r="AC687" s="23">
        <f t="shared" si="1638"/>
        <v>7727.1428571428569</v>
      </c>
      <c r="AD687" s="23">
        <f t="shared" si="1639"/>
        <v>83.571428571428569</v>
      </c>
      <c r="AE687" s="23">
        <f t="shared" si="1640"/>
        <v>25480.142857142859</v>
      </c>
      <c r="AF687" s="25">
        <f t="shared" si="1641"/>
        <v>0.3407320645881608</v>
      </c>
      <c r="AG687" s="20">
        <v>6321039</v>
      </c>
      <c r="AH687" s="21">
        <f t="shared" ref="AH687:AH690" si="1651">AG687-AG686</f>
        <v>1625</v>
      </c>
      <c r="AI687" s="21">
        <f t="shared" si="1642"/>
        <v>5266.4</v>
      </c>
      <c r="AJ687" s="20">
        <v>6062346</v>
      </c>
      <c r="AK687" s="20">
        <f t="shared" ref="AK687:AK690" si="1652">AJ687-AJ686</f>
        <v>2964</v>
      </c>
      <c r="AL687" s="21">
        <f t="shared" si="1643"/>
        <v>5734.2</v>
      </c>
      <c r="AM687" s="26">
        <f t="shared" si="1644"/>
        <v>4148.1428571428569</v>
      </c>
    </row>
    <row r="688" spans="1:39" ht="16">
      <c r="A688" s="30">
        <v>44580</v>
      </c>
      <c r="B688" s="20">
        <f t="shared" si="1645"/>
        <v>1369974</v>
      </c>
      <c r="C688" s="20">
        <v>14890</v>
      </c>
      <c r="D688" s="20">
        <v>40686</v>
      </c>
      <c r="E688" s="20">
        <v>1181715</v>
      </c>
      <c r="F688" s="20">
        <v>9572149</v>
      </c>
      <c r="G688" s="17">
        <f t="shared" si="1626"/>
        <v>976749.89795918355</v>
      </c>
      <c r="H688" s="20"/>
      <c r="I688" s="19">
        <f t="shared" si="1646"/>
        <v>1.0988248698973644E-2</v>
      </c>
      <c r="J688" s="19">
        <f t="shared" si="1627"/>
        <v>0.14312083942696671</v>
      </c>
      <c r="K688" s="19">
        <f t="shared" si="1647"/>
        <v>2.7041794263640891E-3</v>
      </c>
      <c r="L688" s="20">
        <v>147573</v>
      </c>
      <c r="M688" s="19">
        <f t="shared" si="1628"/>
        <v>2.9698373837751667E-2</v>
      </c>
      <c r="N688" s="19">
        <f t="shared" si="1629"/>
        <v>0.86258206360120704</v>
      </c>
      <c r="O688" s="20">
        <v>38652</v>
      </c>
      <c r="P688" s="28">
        <f t="shared" si="1648"/>
        <v>25815</v>
      </c>
      <c r="Q688" s="29">
        <f t="shared" si="1630"/>
        <v>0.57679643618051524</v>
      </c>
      <c r="R688" s="20">
        <f t="shared" ref="R688:S688" si="1653">D688-D687</f>
        <v>85</v>
      </c>
      <c r="S688" s="20">
        <f t="shared" si="1653"/>
        <v>4860</v>
      </c>
      <c r="T688" s="20">
        <v>2645</v>
      </c>
      <c r="U688" s="20">
        <v>208</v>
      </c>
      <c r="V688" s="19">
        <f t="shared" si="1632"/>
        <v>0.1077195625610413</v>
      </c>
      <c r="W688" s="20">
        <f t="shared" ref="W688:X688" si="1654">T688-T687</f>
        <v>-44</v>
      </c>
      <c r="X688" s="20">
        <f t="shared" si="1654"/>
        <v>-9</v>
      </c>
      <c r="Y688" s="19">
        <f t="shared" si="1634"/>
        <v>1.7923332858991822E-2</v>
      </c>
      <c r="Z688" s="19">
        <f t="shared" si="1635"/>
        <v>7.8638941398865778E-2</v>
      </c>
      <c r="AA688" s="21">
        <f t="shared" si="1636"/>
        <v>1.5706977222479306</v>
      </c>
      <c r="AB688" s="26">
        <f t="shared" si="1637"/>
        <v>1.5872070073070697</v>
      </c>
      <c r="AC688" s="23">
        <f t="shared" si="1638"/>
        <v>8728.1428571428569</v>
      </c>
      <c r="AD688" s="23">
        <f t="shared" si="1639"/>
        <v>86.142857142857139</v>
      </c>
      <c r="AE688" s="23">
        <f t="shared" si="1640"/>
        <v>26553.857142857141</v>
      </c>
      <c r="AF688" s="25">
        <f t="shared" si="1641"/>
        <v>0.36993363828800507</v>
      </c>
      <c r="AG688" s="20">
        <v>6322905</v>
      </c>
      <c r="AH688" s="21">
        <f t="shared" si="1651"/>
        <v>1866</v>
      </c>
      <c r="AI688" s="21">
        <f t="shared" si="1642"/>
        <v>5160.8</v>
      </c>
      <c r="AJ688" s="20">
        <v>6066056</v>
      </c>
      <c r="AK688" s="20">
        <f t="shared" si="1652"/>
        <v>3710</v>
      </c>
      <c r="AL688" s="21">
        <f t="shared" si="1643"/>
        <v>5223.2</v>
      </c>
      <c r="AM688" s="26">
        <f t="shared" si="1644"/>
        <v>4552.2857142857147</v>
      </c>
    </row>
    <row r="689" spans="1:39" ht="16">
      <c r="A689" s="30">
        <v>44581</v>
      </c>
      <c r="B689" s="20">
        <f t="shared" si="1645"/>
        <v>1385500</v>
      </c>
      <c r="C689" s="20">
        <v>15526</v>
      </c>
      <c r="D689" s="20">
        <v>40757</v>
      </c>
      <c r="E689" s="20">
        <v>1186319</v>
      </c>
      <c r="F689" s="20">
        <v>9612654</v>
      </c>
      <c r="G689" s="17">
        <f t="shared" si="1626"/>
        <v>980883.06122448971</v>
      </c>
      <c r="H689" s="20"/>
      <c r="I689" s="19">
        <f t="shared" si="1646"/>
        <v>1.1333061795333343E-2</v>
      </c>
      <c r="J689" s="19">
        <f t="shared" si="1627"/>
        <v>0.14413293144640388</v>
      </c>
      <c r="K689" s="19">
        <f t="shared" si="1647"/>
        <v>4.2315471687705657E-3</v>
      </c>
      <c r="L689" s="20">
        <v>158424</v>
      </c>
      <c r="M689" s="19">
        <f t="shared" si="1628"/>
        <v>2.9416817033561891E-2</v>
      </c>
      <c r="N689" s="19">
        <f t="shared" si="1629"/>
        <v>0.85623890292313243</v>
      </c>
      <c r="O689" s="20">
        <v>34810</v>
      </c>
      <c r="P689" s="28">
        <f t="shared" si="1648"/>
        <v>40505</v>
      </c>
      <c r="Q689" s="29">
        <f t="shared" si="1630"/>
        <v>0.38331070238242193</v>
      </c>
      <c r="R689" s="20">
        <f t="shared" ref="R689:S689" si="1655">D689-D688</f>
        <v>71</v>
      </c>
      <c r="S689" s="20">
        <f t="shared" si="1655"/>
        <v>4604</v>
      </c>
      <c r="T689" s="20">
        <v>2673</v>
      </c>
      <c r="U689" s="20">
        <v>202</v>
      </c>
      <c r="V689" s="19">
        <f t="shared" si="1632"/>
        <v>0.11434428004330567</v>
      </c>
      <c r="W689" s="20">
        <f t="shared" ref="W689:X689" si="1656">T689-T688</f>
        <v>28</v>
      </c>
      <c r="X689" s="20">
        <f t="shared" si="1656"/>
        <v>-6</v>
      </c>
      <c r="Y689" s="19">
        <f t="shared" si="1634"/>
        <v>1.6872443569156188E-2</v>
      </c>
      <c r="Z689" s="19">
        <f t="shared" si="1635"/>
        <v>7.5570520014964462E-2</v>
      </c>
      <c r="AA689" s="21">
        <f t="shared" si="1636"/>
        <v>1.6180268843014882</v>
      </c>
      <c r="AB689" s="26">
        <f t="shared" si="1637"/>
        <v>1.5544089279264572</v>
      </c>
      <c r="AC689" s="23">
        <f t="shared" si="1638"/>
        <v>9629.5714285714294</v>
      </c>
      <c r="AD689" s="23">
        <f t="shared" si="1639"/>
        <v>84.714285714285708</v>
      </c>
      <c r="AE689" s="23">
        <f t="shared" si="1640"/>
        <v>27833.428571428572</v>
      </c>
      <c r="AF689" s="25">
        <f t="shared" si="1641"/>
        <v>0.38817052201287289</v>
      </c>
      <c r="AG689" s="20">
        <v>6325143</v>
      </c>
      <c r="AH689" s="21">
        <f t="shared" si="1651"/>
        <v>2238</v>
      </c>
      <c r="AI689" s="21">
        <f t="shared" si="1642"/>
        <v>5110.6000000000004</v>
      </c>
      <c r="AJ689" s="20">
        <v>6069677</v>
      </c>
      <c r="AK689" s="20">
        <f t="shared" si="1652"/>
        <v>3621</v>
      </c>
      <c r="AL689" s="21">
        <f t="shared" si="1643"/>
        <v>4756.8</v>
      </c>
      <c r="AM689" s="26">
        <f t="shared" si="1644"/>
        <v>4402</v>
      </c>
    </row>
    <row r="690" spans="1:39" ht="16">
      <c r="A690" s="30">
        <v>44582</v>
      </c>
      <c r="B690" s="20">
        <f t="shared" si="1645"/>
        <v>1401457</v>
      </c>
      <c r="C690" s="20">
        <v>15957</v>
      </c>
      <c r="D690" s="20">
        <v>40822</v>
      </c>
      <c r="E690" s="20">
        <v>1193210</v>
      </c>
      <c r="F690" s="20">
        <v>9661929</v>
      </c>
      <c r="G690" s="17">
        <f t="shared" si="1626"/>
        <v>985911.12244897953</v>
      </c>
      <c r="H690" s="20"/>
      <c r="I690" s="19">
        <f t="shared" si="1646"/>
        <v>1.1517141826055576E-2</v>
      </c>
      <c r="J690" s="19">
        <f t="shared" si="1627"/>
        <v>0.14504939955572019</v>
      </c>
      <c r="K690" s="19">
        <f t="shared" si="1647"/>
        <v>5.1260557178069658E-3</v>
      </c>
      <c r="L690" s="20">
        <v>167425</v>
      </c>
      <c r="M690" s="19">
        <f t="shared" si="1628"/>
        <v>2.9128257235148849E-2</v>
      </c>
      <c r="N690" s="19">
        <f t="shared" si="1629"/>
        <v>0.85140678593777763</v>
      </c>
      <c r="O690" s="20">
        <v>42534</v>
      </c>
      <c r="P690" s="28">
        <f t="shared" si="1648"/>
        <v>49275</v>
      </c>
      <c r="Q690" s="29">
        <f t="shared" si="1630"/>
        <v>0.32383561643835618</v>
      </c>
      <c r="R690" s="20">
        <f t="shared" ref="R690:S690" si="1657">D690-D689</f>
        <v>65</v>
      </c>
      <c r="S690" s="20">
        <f t="shared" si="1657"/>
        <v>6891</v>
      </c>
      <c r="T690" s="20">
        <v>2674</v>
      </c>
      <c r="U690" s="20">
        <v>201</v>
      </c>
      <c r="V690" s="19">
        <f t="shared" si="1632"/>
        <v>0.11946495682707353</v>
      </c>
      <c r="W690" s="20">
        <f t="shared" ref="W690:X690" si="1658">T690-T689</f>
        <v>1</v>
      </c>
      <c r="X690" s="20">
        <f t="shared" si="1658"/>
        <v>-1</v>
      </c>
      <c r="Y690" s="19">
        <f t="shared" si="1634"/>
        <v>1.5971330446468569E-2</v>
      </c>
      <c r="Z690" s="19">
        <f t="shared" si="1635"/>
        <v>7.5168287210172033E-2</v>
      </c>
      <c r="AA690" s="21">
        <f t="shared" si="1636"/>
        <v>1.6896974374106271</v>
      </c>
      <c r="AB690" s="26">
        <f t="shared" si="1637"/>
        <v>1.5603689112265315</v>
      </c>
      <c r="AC690" s="23">
        <f t="shared" si="1638"/>
        <v>10634.714285714286</v>
      </c>
      <c r="AD690" s="23">
        <f t="shared" si="1639"/>
        <v>83.571428571428569</v>
      </c>
      <c r="AE690" s="23">
        <f t="shared" si="1640"/>
        <v>30538.857142857141</v>
      </c>
      <c r="AF690" s="25">
        <f t="shared" si="1641"/>
        <v>0.39412497430473048</v>
      </c>
      <c r="AG690" s="20">
        <v>6329185</v>
      </c>
      <c r="AH690" s="21">
        <f t="shared" si="1651"/>
        <v>4042</v>
      </c>
      <c r="AI690" s="21">
        <f t="shared" si="1642"/>
        <v>4972.3999999999996</v>
      </c>
      <c r="AJ690" s="20">
        <v>6073498</v>
      </c>
      <c r="AK690" s="20">
        <f t="shared" si="1652"/>
        <v>3821</v>
      </c>
      <c r="AL690" s="21">
        <f t="shared" si="1643"/>
        <v>4616.3999999999996</v>
      </c>
      <c r="AM690" s="26">
        <f t="shared" si="1644"/>
        <v>4957.2857142857147</v>
      </c>
    </row>
    <row r="691" spans="1:39" ht="13">
      <c r="A691" s="30">
        <v>44583</v>
      </c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8"/>
      <c r="Q691" s="28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</row>
    <row r="692" spans="1:39" ht="13">
      <c r="A692" s="30">
        <v>44584</v>
      </c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8"/>
      <c r="Q692" s="28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</row>
    <row r="693" spans="1:39" ht="16">
      <c r="A693" s="30">
        <v>44585</v>
      </c>
      <c r="B693" s="20">
        <f>B690+C693</f>
        <v>1441385</v>
      </c>
      <c r="C693" s="20">
        <v>39928</v>
      </c>
      <c r="D693" s="20">
        <v>40944</v>
      </c>
      <c r="E693" s="20">
        <v>1209129</v>
      </c>
      <c r="F693" s="20">
        <v>9794753</v>
      </c>
      <c r="G693" s="17">
        <f t="shared" ref="G693:G697" si="1659">F693/9.8</f>
        <v>999464.59183673467</v>
      </c>
      <c r="H693" s="20"/>
      <c r="I693" s="19">
        <f>(B693-B690)/B690</f>
        <v>2.8490349686076704E-2</v>
      </c>
      <c r="J693" s="19">
        <f t="shared" ref="J693:J697" si="1660">B693/F693</f>
        <v>0.14715889211295069</v>
      </c>
      <c r="K693" s="19">
        <f>(F693-F690)/F690</f>
        <v>1.3747151319369041E-2</v>
      </c>
      <c r="L693" s="20">
        <v>191312</v>
      </c>
      <c r="M693" s="19">
        <f t="shared" ref="M693:M697" si="1661">D693/B693</f>
        <v>2.8406012272918061E-2</v>
      </c>
      <c r="N693" s="19">
        <f t="shared" ref="N693:N697" si="1662">E693/B693</f>
        <v>0.8388660906003601</v>
      </c>
      <c r="O693" s="20">
        <v>25782</v>
      </c>
      <c r="P693" s="28">
        <f>F693-F690</f>
        <v>132824</v>
      </c>
      <c r="Q693" s="29">
        <f t="shared" ref="Q693:Q697" si="1663">C693/P693</f>
        <v>0.30060832379690416</v>
      </c>
      <c r="R693" s="20">
        <f t="shared" ref="R693:S693" si="1664">D693-D690</f>
        <v>122</v>
      </c>
      <c r="S693" s="20">
        <f t="shared" si="1664"/>
        <v>15919</v>
      </c>
      <c r="T693" s="20">
        <v>2921</v>
      </c>
      <c r="U693" s="20">
        <v>176</v>
      </c>
      <c r="V693" s="19">
        <f t="shared" ref="V693:V697" si="1665">L693/B693</f>
        <v>0.13272789712672187</v>
      </c>
      <c r="W693" s="20">
        <f t="shared" ref="W693:X693" si="1666">T693-T690</f>
        <v>247</v>
      </c>
      <c r="X693" s="20">
        <f t="shared" si="1666"/>
        <v>-25</v>
      </c>
      <c r="Y693" s="19">
        <f t="shared" ref="Y693:Y697" si="1667">T693/L693</f>
        <v>1.5268252906247386E-2</v>
      </c>
      <c r="Z693" s="19">
        <f t="shared" ref="Z693:Z697" si="1668">U693/T693</f>
        <v>6.0253337897980146E-2</v>
      </c>
      <c r="AA693" s="21">
        <f t="shared" ref="AA693:AA697" si="1669">(C687+C688+C689+C690+C691+C692+C693)/(C680+C681+C682+C683+C684+C685+C686)</f>
        <v>1.840184903498548</v>
      </c>
      <c r="AB693" s="26">
        <f t="shared" ref="AB693:AB697" si="1670">SUM(AA687:AA693)/5</f>
        <v>1.6418611166517021</v>
      </c>
      <c r="AC693" s="23">
        <f t="shared" ref="AC693:AC697" si="1671">SUM(C687:C693)/7</f>
        <v>13307.428571428571</v>
      </c>
      <c r="AD693" s="23">
        <f t="shared" ref="AD693:AD697" si="1672">SUM(R687:R693)/7</f>
        <v>62.428571428571431</v>
      </c>
      <c r="AE693" s="23">
        <f t="shared" ref="AE693:AE697" si="1673">SUM(P687:P693)/7</f>
        <v>37772.428571428572</v>
      </c>
      <c r="AF693" s="25">
        <f t="shared" ref="AF693:AF697" si="1674">SUM(Q687:Q693)/5</f>
        <v>0.40261199209188875</v>
      </c>
      <c r="AG693" s="20">
        <v>6342496</v>
      </c>
      <c r="AH693" s="21">
        <f>AG693-AG690</f>
        <v>13311</v>
      </c>
      <c r="AI693" s="21">
        <f t="shared" ref="AI693:AI697" si="1675">(SUM(AH687:AH693))/5</f>
        <v>4616.3999999999996</v>
      </c>
      <c r="AJ693" s="20">
        <v>6080592</v>
      </c>
      <c r="AK693" s="20">
        <f>AJ693-AJ690</f>
        <v>7094</v>
      </c>
      <c r="AL693" s="21">
        <f t="shared" ref="AL693:AL697" si="1676">(SUM(AK687:AK693))/5</f>
        <v>4242</v>
      </c>
      <c r="AM693" s="26">
        <f t="shared" ref="AM693:AM697" si="1677">SUM(S687:S693)/7</f>
        <v>5622</v>
      </c>
    </row>
    <row r="694" spans="1:39" ht="16">
      <c r="A694" s="30">
        <v>44586</v>
      </c>
      <c r="B694" s="20">
        <f t="shared" ref="B694:B697" si="1678">B693+C694</f>
        <v>1451102</v>
      </c>
      <c r="C694" s="20">
        <v>9717</v>
      </c>
      <c r="D694" s="20">
        <v>41018</v>
      </c>
      <c r="E694" s="20">
        <v>1216454</v>
      </c>
      <c r="F694" s="20">
        <v>9812780</v>
      </c>
      <c r="G694" s="17">
        <f t="shared" si="1659"/>
        <v>1001304.081632653</v>
      </c>
      <c r="H694" s="20"/>
      <c r="I694" s="19">
        <f t="shared" ref="I694:I697" si="1679">(B694-B693)/B693</f>
        <v>6.7414327192249117E-3</v>
      </c>
      <c r="J694" s="19">
        <f t="shared" si="1660"/>
        <v>0.14787878664354037</v>
      </c>
      <c r="K694" s="19">
        <f t="shared" ref="K694:K697" si="1680">(F694-F693)/F693</f>
        <v>1.8404752013654658E-3</v>
      </c>
      <c r="L694" s="20">
        <v>193630</v>
      </c>
      <c r="M694" s="19">
        <f t="shared" si="1661"/>
        <v>2.8266793099313486E-2</v>
      </c>
      <c r="N694" s="19">
        <f t="shared" si="1662"/>
        <v>0.83829668762085641</v>
      </c>
      <c r="O694" s="20">
        <v>24128</v>
      </c>
      <c r="P694" s="28">
        <f t="shared" ref="P694:P697" si="1681">F694-F693</f>
        <v>18027</v>
      </c>
      <c r="Q694" s="29">
        <f t="shared" si="1663"/>
        <v>0.53902479613912468</v>
      </c>
      <c r="R694" s="20">
        <f t="shared" ref="R694:S694" si="1682">D694-D693</f>
        <v>74</v>
      </c>
      <c r="S694" s="20">
        <f t="shared" si="1682"/>
        <v>7325</v>
      </c>
      <c r="T694" s="20">
        <v>3115</v>
      </c>
      <c r="U694" s="20">
        <v>177</v>
      </c>
      <c r="V694" s="19">
        <f t="shared" si="1665"/>
        <v>0.13343651927983008</v>
      </c>
      <c r="W694" s="20">
        <f t="shared" ref="W694:X694" si="1683">T694-T693</f>
        <v>194</v>
      </c>
      <c r="X694" s="20">
        <f t="shared" si="1683"/>
        <v>1</v>
      </c>
      <c r="Y694" s="19">
        <f t="shared" si="1667"/>
        <v>1.6087383153436968E-2</v>
      </c>
      <c r="Z694" s="19">
        <f t="shared" si="1668"/>
        <v>5.6821829855537721E-2</v>
      </c>
      <c r="AA694" s="21">
        <f t="shared" si="1669"/>
        <v>1.7751525235718248</v>
      </c>
      <c r="AB694" s="26">
        <f t="shared" si="1670"/>
        <v>1.6987518942060837</v>
      </c>
      <c r="AC694" s="23">
        <f t="shared" si="1671"/>
        <v>13716.857142857143</v>
      </c>
      <c r="AD694" s="23">
        <f t="shared" si="1672"/>
        <v>59.571428571428569</v>
      </c>
      <c r="AE694" s="23">
        <f t="shared" si="1673"/>
        <v>38063.714285714283</v>
      </c>
      <c r="AF694" s="25">
        <f t="shared" si="1674"/>
        <v>0.42471517498746447</v>
      </c>
      <c r="AG694" s="20">
        <v>6344089</v>
      </c>
      <c r="AH694" s="21">
        <f t="shared" ref="AH694:AH697" si="1684">AG694-AG693</f>
        <v>1593</v>
      </c>
      <c r="AI694" s="21">
        <f t="shared" si="1675"/>
        <v>4610</v>
      </c>
      <c r="AJ694" s="20">
        <v>6082196</v>
      </c>
      <c r="AK694" s="20">
        <f t="shared" ref="AK694:AK697" si="1685">AJ694-AJ693</f>
        <v>1604</v>
      </c>
      <c r="AL694" s="21">
        <f t="shared" si="1676"/>
        <v>3970</v>
      </c>
      <c r="AM694" s="26">
        <f t="shared" si="1677"/>
        <v>5657</v>
      </c>
    </row>
    <row r="695" spans="1:39" ht="16">
      <c r="A695" s="30">
        <v>44587</v>
      </c>
      <c r="B695" s="20">
        <f t="shared" si="1678"/>
        <v>1471276</v>
      </c>
      <c r="C695" s="20">
        <v>20174</v>
      </c>
      <c r="D695" s="20">
        <v>41087</v>
      </c>
      <c r="E695" s="20">
        <v>1224813</v>
      </c>
      <c r="F695" s="20">
        <v>9839158</v>
      </c>
      <c r="G695" s="17">
        <f t="shared" si="1659"/>
        <v>1003995.7142857142</v>
      </c>
      <c r="H695" s="20"/>
      <c r="I695" s="19">
        <f t="shared" si="1679"/>
        <v>1.3902537519760843E-2</v>
      </c>
      <c r="J695" s="19">
        <f t="shared" si="1660"/>
        <v>0.14953271407980237</v>
      </c>
      <c r="K695" s="19">
        <f t="shared" si="1680"/>
        <v>2.6881271158631908E-3</v>
      </c>
      <c r="L695" s="20">
        <v>205376</v>
      </c>
      <c r="M695" s="19">
        <f t="shared" si="1661"/>
        <v>2.7926099521775657E-2</v>
      </c>
      <c r="N695" s="19">
        <f t="shared" si="1662"/>
        <v>0.83248350411479555</v>
      </c>
      <c r="O695" s="20">
        <v>24297</v>
      </c>
      <c r="P695" s="28">
        <f t="shared" si="1681"/>
        <v>26378</v>
      </c>
      <c r="Q695" s="29">
        <f t="shared" si="1663"/>
        <v>0.76480400333611342</v>
      </c>
      <c r="R695" s="20">
        <f t="shared" ref="R695:S695" si="1686">D695-D694</f>
        <v>69</v>
      </c>
      <c r="S695" s="20">
        <f t="shared" si="1686"/>
        <v>8359</v>
      </c>
      <c r="T695" s="20">
        <v>3145</v>
      </c>
      <c r="U695" s="20">
        <v>164</v>
      </c>
      <c r="V695" s="19">
        <f t="shared" si="1665"/>
        <v>0.13959039636342876</v>
      </c>
      <c r="W695" s="20">
        <f t="shared" ref="W695:X695" si="1687">T695-T694</f>
        <v>30</v>
      </c>
      <c r="X695" s="20">
        <f t="shared" si="1687"/>
        <v>-13</v>
      </c>
      <c r="Y695" s="19">
        <f t="shared" si="1667"/>
        <v>1.531337644125896E-2</v>
      </c>
      <c r="Z695" s="19">
        <f t="shared" si="1668"/>
        <v>5.2146263910969791E-2</v>
      </c>
      <c r="AA695" s="21">
        <f t="shared" si="1669"/>
        <v>1.6580519501775866</v>
      </c>
      <c r="AB695" s="26">
        <f t="shared" si="1670"/>
        <v>1.7162227397920149</v>
      </c>
      <c r="AC695" s="23">
        <f t="shared" si="1671"/>
        <v>14471.714285714286</v>
      </c>
      <c r="AD695" s="23">
        <f t="shared" si="1672"/>
        <v>57.285714285714285</v>
      </c>
      <c r="AE695" s="23">
        <f t="shared" si="1673"/>
        <v>38144.142857142855</v>
      </c>
      <c r="AF695" s="25">
        <f t="shared" si="1674"/>
        <v>0.46231668841858403</v>
      </c>
      <c r="AG695" s="20">
        <v>6345766</v>
      </c>
      <c r="AH695" s="21">
        <f t="shared" si="1684"/>
        <v>1677</v>
      </c>
      <c r="AI695" s="21">
        <f t="shared" si="1675"/>
        <v>4572.2</v>
      </c>
      <c r="AJ695" s="20">
        <v>6083949</v>
      </c>
      <c r="AK695" s="20">
        <f t="shared" si="1685"/>
        <v>1753</v>
      </c>
      <c r="AL695" s="21">
        <f t="shared" si="1676"/>
        <v>3578.6</v>
      </c>
      <c r="AM695" s="26">
        <f t="shared" si="1677"/>
        <v>6156.8571428571431</v>
      </c>
    </row>
    <row r="696" spans="1:39" ht="16">
      <c r="A696" s="30">
        <v>44588</v>
      </c>
      <c r="B696" s="20">
        <f t="shared" si="1678"/>
        <v>1490489</v>
      </c>
      <c r="C696" s="20">
        <v>19213</v>
      </c>
      <c r="D696" s="20">
        <v>41151</v>
      </c>
      <c r="E696" s="20">
        <v>1233499</v>
      </c>
      <c r="F696" s="20">
        <v>9887968</v>
      </c>
      <c r="G696" s="17">
        <f t="shared" si="1659"/>
        <v>1008976.3265306122</v>
      </c>
      <c r="H696" s="20"/>
      <c r="I696" s="19">
        <f t="shared" si="1679"/>
        <v>1.3058732691894654E-2</v>
      </c>
      <c r="J696" s="19">
        <f t="shared" si="1660"/>
        <v>0.15073764397295783</v>
      </c>
      <c r="K696" s="19">
        <f t="shared" si="1680"/>
        <v>4.960790344051798E-3</v>
      </c>
      <c r="L696" s="20">
        <v>215839</v>
      </c>
      <c r="M696" s="19">
        <f t="shared" si="1661"/>
        <v>2.7609059845460113E-2</v>
      </c>
      <c r="N696" s="19">
        <f t="shared" si="1662"/>
        <v>0.82758007606899475</v>
      </c>
      <c r="O696" s="20">
        <v>26734</v>
      </c>
      <c r="P696" s="28">
        <f t="shared" si="1681"/>
        <v>48810</v>
      </c>
      <c r="Q696" s="29">
        <f t="shared" si="1663"/>
        <v>0.39362835484531861</v>
      </c>
      <c r="R696" s="20">
        <f t="shared" ref="R696:S696" si="1688">D696-D695</f>
        <v>64</v>
      </c>
      <c r="S696" s="20">
        <f t="shared" si="1688"/>
        <v>8686</v>
      </c>
      <c r="T696" s="20">
        <v>3267</v>
      </c>
      <c r="U696" s="20">
        <v>157</v>
      </c>
      <c r="V696" s="19">
        <f t="shared" si="1665"/>
        <v>0.14481086408554508</v>
      </c>
      <c r="W696" s="20">
        <f t="shared" ref="W696:X696" si="1689">T696-T695</f>
        <v>122</v>
      </c>
      <c r="X696" s="20">
        <f t="shared" si="1689"/>
        <v>-7</v>
      </c>
      <c r="Y696" s="19">
        <f t="shared" si="1667"/>
        <v>1.5136282136221906E-2</v>
      </c>
      <c r="Z696" s="19">
        <f t="shared" si="1668"/>
        <v>4.8056320783593509E-2</v>
      </c>
      <c r="AA696" s="21">
        <f t="shared" si="1669"/>
        <v>1.5575385345735606</v>
      </c>
      <c r="AB696" s="26">
        <f t="shared" si="1670"/>
        <v>1.7041250698464296</v>
      </c>
      <c r="AC696" s="23">
        <f t="shared" si="1671"/>
        <v>14998.428571428571</v>
      </c>
      <c r="AD696" s="23">
        <f t="shared" si="1672"/>
        <v>56.285714285714285</v>
      </c>
      <c r="AE696" s="23">
        <f t="shared" si="1673"/>
        <v>39330.571428571428</v>
      </c>
      <c r="AF696" s="25">
        <f t="shared" si="1674"/>
        <v>0.46438021891116338</v>
      </c>
      <c r="AG696" s="20">
        <v>6347426</v>
      </c>
      <c r="AH696" s="21">
        <f t="shared" si="1684"/>
        <v>1660</v>
      </c>
      <c r="AI696" s="21">
        <f t="shared" si="1675"/>
        <v>4456.6000000000004</v>
      </c>
      <c r="AJ696" s="20">
        <v>6085866</v>
      </c>
      <c r="AK696" s="20">
        <f t="shared" si="1685"/>
        <v>1917</v>
      </c>
      <c r="AL696" s="21">
        <f t="shared" si="1676"/>
        <v>3237.8</v>
      </c>
      <c r="AM696" s="26">
        <f t="shared" si="1677"/>
        <v>6740</v>
      </c>
    </row>
    <row r="697" spans="1:39" ht="16">
      <c r="A697" s="30">
        <v>44589</v>
      </c>
      <c r="B697" s="20">
        <f t="shared" si="1678"/>
        <v>1508358</v>
      </c>
      <c r="C697" s="20">
        <v>17869</v>
      </c>
      <c r="D697" s="20">
        <v>41229</v>
      </c>
      <c r="E697" s="20">
        <v>1241328</v>
      </c>
      <c r="F697" s="20">
        <v>9936724</v>
      </c>
      <c r="G697" s="17">
        <f t="shared" si="1659"/>
        <v>1013951.4285714285</v>
      </c>
      <c r="H697" s="20"/>
      <c r="I697" s="19">
        <f t="shared" si="1679"/>
        <v>1.1988682908763499E-2</v>
      </c>
      <c r="J697" s="19">
        <f t="shared" si="1660"/>
        <v>0.1517963063077932</v>
      </c>
      <c r="K697" s="19">
        <f t="shared" si="1680"/>
        <v>4.9308412001333336E-3</v>
      </c>
      <c r="L697" s="20">
        <v>225801</v>
      </c>
      <c r="M697" s="19">
        <f t="shared" si="1661"/>
        <v>2.7333696642309054E-2</v>
      </c>
      <c r="N697" s="19">
        <f t="shared" si="1662"/>
        <v>0.82296643104621048</v>
      </c>
      <c r="O697" s="20">
        <v>29596</v>
      </c>
      <c r="P697" s="28">
        <f t="shared" si="1681"/>
        <v>48756</v>
      </c>
      <c r="Q697" s="29">
        <f t="shared" si="1663"/>
        <v>0.36649848223808351</v>
      </c>
      <c r="R697" s="20">
        <f t="shared" ref="R697:S697" si="1690">D697-D696</f>
        <v>78</v>
      </c>
      <c r="S697" s="20">
        <f t="shared" si="1690"/>
        <v>7829</v>
      </c>
      <c r="T697" s="20">
        <v>3463</v>
      </c>
      <c r="U697" s="20">
        <v>145</v>
      </c>
      <c r="V697" s="19">
        <f t="shared" si="1665"/>
        <v>0.14969987231148044</v>
      </c>
      <c r="W697" s="20">
        <f t="shared" ref="W697:X697" si="1691">T697-T696</f>
        <v>196</v>
      </c>
      <c r="X697" s="20">
        <f t="shared" si="1691"/>
        <v>-12</v>
      </c>
      <c r="Y697" s="19">
        <f t="shared" si="1667"/>
        <v>1.5336513124388289E-2</v>
      </c>
      <c r="Z697" s="19">
        <f t="shared" si="1668"/>
        <v>4.1871209933583599E-2</v>
      </c>
      <c r="AA697" s="21">
        <f t="shared" si="1669"/>
        <v>1.4360114449981864</v>
      </c>
      <c r="AB697" s="26">
        <f t="shared" si="1670"/>
        <v>1.6533878713639414</v>
      </c>
      <c r="AC697" s="23">
        <f t="shared" si="1671"/>
        <v>15271.571428571429</v>
      </c>
      <c r="AD697" s="23">
        <f t="shared" si="1672"/>
        <v>58.142857142857146</v>
      </c>
      <c r="AE697" s="23">
        <f t="shared" si="1673"/>
        <v>39256.428571428572</v>
      </c>
      <c r="AF697" s="25">
        <f t="shared" si="1674"/>
        <v>0.47291279207110887</v>
      </c>
      <c r="AG697" s="20">
        <v>6351476</v>
      </c>
      <c r="AH697" s="21">
        <f t="shared" si="1684"/>
        <v>4050</v>
      </c>
      <c r="AI697" s="21">
        <f t="shared" si="1675"/>
        <v>4458.2</v>
      </c>
      <c r="AJ697" s="20">
        <v>6089784</v>
      </c>
      <c r="AK697" s="20">
        <f t="shared" si="1685"/>
        <v>3918</v>
      </c>
      <c r="AL697" s="21">
        <f t="shared" si="1676"/>
        <v>3257.2</v>
      </c>
      <c r="AM697" s="26">
        <f t="shared" si="1677"/>
        <v>6874</v>
      </c>
    </row>
    <row r="698" spans="1:39" ht="13">
      <c r="A698" s="30">
        <v>44590</v>
      </c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8"/>
      <c r="Q698" s="28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</row>
    <row r="699" spans="1:39" ht="13">
      <c r="A699" s="30">
        <v>44591</v>
      </c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8"/>
      <c r="Q699" s="28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</row>
    <row r="700" spans="1:39" ht="16">
      <c r="A700" s="30">
        <v>44592</v>
      </c>
      <c r="B700" s="20">
        <f>B697+C700</f>
        <v>1553405</v>
      </c>
      <c r="C700" s="20">
        <v>45047</v>
      </c>
      <c r="D700" s="20">
        <v>41405</v>
      </c>
      <c r="E700" s="20">
        <v>1280399</v>
      </c>
      <c r="F700" s="20">
        <v>10071349</v>
      </c>
      <c r="G700" s="17">
        <f t="shared" ref="G700:G704" si="1692">F700/9.8</f>
        <v>1027688.6734693877</v>
      </c>
      <c r="H700" s="20"/>
      <c r="I700" s="19">
        <f>(B700-B697)/B697</f>
        <v>2.9864925965851608E-2</v>
      </c>
      <c r="J700" s="19">
        <f t="shared" ref="J700:J704" si="1693">B700/F700</f>
        <v>0.15424001293173337</v>
      </c>
      <c r="K700" s="19">
        <f>(F700-F697)/F697</f>
        <v>1.3548227766012218E-2</v>
      </c>
      <c r="L700" s="20">
        <v>231601</v>
      </c>
      <c r="M700" s="19">
        <f t="shared" ref="M700:M704" si="1694">D700/B700</f>
        <v>2.6654349638375055E-2</v>
      </c>
      <c r="N700" s="19">
        <f t="shared" ref="N700:N704" si="1695">E700/B700</f>
        <v>0.82425317286863375</v>
      </c>
      <c r="O700" s="20">
        <v>24157</v>
      </c>
      <c r="P700" s="28">
        <f>F700-F697</f>
        <v>134625</v>
      </c>
      <c r="Q700" s="29">
        <f t="shared" ref="Q700:Q704" si="1696">C700/P700</f>
        <v>0.33461095636026</v>
      </c>
      <c r="R700" s="20">
        <f t="shared" ref="R700:S700" si="1697">D700-D697</f>
        <v>176</v>
      </c>
      <c r="S700" s="20">
        <f t="shared" si="1697"/>
        <v>39071</v>
      </c>
      <c r="T700" s="20">
        <v>3903</v>
      </c>
      <c r="U700" s="20">
        <v>150</v>
      </c>
      <c r="V700" s="19">
        <f t="shared" ref="V700:V704" si="1698">L700/B700</f>
        <v>0.1490924774929912</v>
      </c>
      <c r="W700" s="20">
        <f t="shared" ref="W700:X700" si="1699">T700-T697</f>
        <v>440</v>
      </c>
      <c r="X700" s="20">
        <f t="shared" si="1699"/>
        <v>5</v>
      </c>
      <c r="Y700" s="19">
        <f t="shared" ref="Y700:Y704" si="1700">T700/L700</f>
        <v>1.6852258841714846E-2</v>
      </c>
      <c r="Z700" s="19">
        <f t="shared" ref="Z700:Z704" si="1701">U700/T700</f>
        <v>3.843197540353574E-2</v>
      </c>
      <c r="AA700" s="21">
        <f t="shared" ref="AA700:AA704" si="1702">(C694+C695+C696+C697+C698+C699+C700)/(C687+C688+C689+C690+C691+C692+C693)</f>
        <v>1.2025506698728958</v>
      </c>
      <c r="AB700" s="26">
        <f t="shared" ref="AB700:AB704" si="1703">SUM(AA694:AA700)/5</f>
        <v>1.5258610246388109</v>
      </c>
      <c r="AC700" s="23">
        <f t="shared" ref="AC700:AC704" si="1704">SUM(C694:C700)/7</f>
        <v>16002.857142857143</v>
      </c>
      <c r="AD700" s="23">
        <f t="shared" ref="AD700:AD704" si="1705">SUM(R694:R700)/7</f>
        <v>65.857142857142861</v>
      </c>
      <c r="AE700" s="23">
        <f t="shared" ref="AE700:AE704" si="1706">SUM(P694:P700)/7</f>
        <v>39513.714285714283</v>
      </c>
      <c r="AF700" s="25">
        <f t="shared" ref="AF700:AF704" si="1707">SUM(Q694:Q700)/5</f>
        <v>0.47971331858378008</v>
      </c>
      <c r="AG700" s="20">
        <v>6363112</v>
      </c>
      <c r="AH700" s="21">
        <f>AG700-AG697</f>
        <v>11636</v>
      </c>
      <c r="AI700" s="21">
        <f t="shared" ref="AI700:AI704" si="1708">(SUM(AH694:AH700))/5</f>
        <v>4123.2</v>
      </c>
      <c r="AJ700" s="20">
        <v>6101699</v>
      </c>
      <c r="AK700" s="20">
        <f>AJ700-AJ697</f>
        <v>11915</v>
      </c>
      <c r="AL700" s="21">
        <f t="shared" ref="AL700:AL704" si="1709">(SUM(AK694:AK700))/5</f>
        <v>4221.3999999999996</v>
      </c>
      <c r="AM700" s="26">
        <f t="shared" ref="AM700:AM704" si="1710">SUM(S694:S700)/7</f>
        <v>10181.428571428571</v>
      </c>
    </row>
    <row r="701" spans="1:39" ht="16">
      <c r="A701" s="30">
        <v>44593</v>
      </c>
      <c r="B701" s="20">
        <f t="shared" ref="B701:B704" si="1711">B700+C701</f>
        <v>1562827</v>
      </c>
      <c r="C701" s="20">
        <v>9422</v>
      </c>
      <c r="D701" s="20">
        <v>41471</v>
      </c>
      <c r="E701" s="20">
        <v>1291499</v>
      </c>
      <c r="F701" s="20">
        <v>10089540</v>
      </c>
      <c r="G701" s="17">
        <f t="shared" si="1692"/>
        <v>1029544.8979591836</v>
      </c>
      <c r="H701" s="20"/>
      <c r="I701" s="19">
        <f t="shared" ref="I701:I704" si="1712">(B701-B700)/B700</f>
        <v>6.0653853953090151E-3</v>
      </c>
      <c r="J701" s="19">
        <f t="shared" si="1693"/>
        <v>0.15489576333509752</v>
      </c>
      <c r="K701" s="19">
        <f t="shared" ref="K701:K704" si="1713">(F701-F700)/F700</f>
        <v>1.8062128519228159E-3</v>
      </c>
      <c r="L701" s="20">
        <v>229857</v>
      </c>
      <c r="M701" s="19">
        <f t="shared" si="1694"/>
        <v>2.65358865696587E-2</v>
      </c>
      <c r="N701" s="19">
        <f t="shared" si="1695"/>
        <v>0.82638641385130918</v>
      </c>
      <c r="O701" s="20">
        <v>23308</v>
      </c>
      <c r="P701" s="28">
        <f t="shared" ref="P701:P704" si="1714">F701-F700</f>
        <v>18191</v>
      </c>
      <c r="Q701" s="29">
        <f t="shared" si="1696"/>
        <v>0.5179484360397999</v>
      </c>
      <c r="R701" s="20">
        <f t="shared" ref="R701:S701" si="1715">D701-D700</f>
        <v>66</v>
      </c>
      <c r="S701" s="20">
        <f t="shared" si="1715"/>
        <v>11100</v>
      </c>
      <c r="T701" s="20">
        <v>4218</v>
      </c>
      <c r="U701" s="20">
        <v>169</v>
      </c>
      <c r="V701" s="19">
        <f t="shared" si="1698"/>
        <v>0.14707769957903211</v>
      </c>
      <c r="W701" s="20">
        <f t="shared" ref="W701:X701" si="1716">T701-T700</f>
        <v>315</v>
      </c>
      <c r="X701" s="20">
        <f t="shared" si="1716"/>
        <v>19</v>
      </c>
      <c r="Y701" s="19">
        <f t="shared" si="1700"/>
        <v>1.8350539683368354E-2</v>
      </c>
      <c r="Z701" s="19">
        <f t="shared" si="1701"/>
        <v>4.0066382171645328E-2</v>
      </c>
      <c r="AA701" s="21">
        <f t="shared" si="1702"/>
        <v>1.1635839113499553</v>
      </c>
      <c r="AB701" s="26">
        <f t="shared" si="1703"/>
        <v>1.4035473021944371</v>
      </c>
      <c r="AC701" s="23">
        <f t="shared" si="1704"/>
        <v>15960.714285714286</v>
      </c>
      <c r="AD701" s="23">
        <f t="shared" si="1705"/>
        <v>64.714285714285708</v>
      </c>
      <c r="AE701" s="23">
        <f t="shared" si="1706"/>
        <v>39537.142857142855</v>
      </c>
      <c r="AF701" s="25">
        <f t="shared" si="1707"/>
        <v>0.47549804656391503</v>
      </c>
      <c r="AG701" s="20">
        <v>6364167</v>
      </c>
      <c r="AH701" s="21">
        <f t="shared" ref="AH701:AH704" si="1717">AG701-AG700</f>
        <v>1055</v>
      </c>
      <c r="AI701" s="21">
        <f t="shared" si="1708"/>
        <v>4015.6</v>
      </c>
      <c r="AJ701" s="20">
        <v>6103465</v>
      </c>
      <c r="AK701" s="20">
        <f t="shared" ref="AK701:AK704" si="1718">AJ701-AJ700</f>
        <v>1766</v>
      </c>
      <c r="AL701" s="21">
        <f t="shared" si="1709"/>
        <v>4253.8</v>
      </c>
      <c r="AM701" s="26">
        <f t="shared" si="1710"/>
        <v>10720.714285714286</v>
      </c>
    </row>
    <row r="702" spans="1:39" ht="16">
      <c r="A702" s="30">
        <v>44594</v>
      </c>
      <c r="B702" s="20">
        <f t="shared" si="1711"/>
        <v>1582517</v>
      </c>
      <c r="C702" s="20">
        <v>19690</v>
      </c>
      <c r="D702" s="20">
        <v>41548</v>
      </c>
      <c r="E702" s="20">
        <v>1310420</v>
      </c>
      <c r="F702" s="20">
        <v>10116075</v>
      </c>
      <c r="G702" s="17">
        <f t="shared" si="1692"/>
        <v>1032252.551020408</v>
      </c>
      <c r="H702" s="20"/>
      <c r="I702" s="19">
        <f t="shared" si="1712"/>
        <v>1.2598963288962886E-2</v>
      </c>
      <c r="J702" s="19">
        <f t="shared" si="1693"/>
        <v>0.15643587063164321</v>
      </c>
      <c r="K702" s="19">
        <f t="shared" si="1713"/>
        <v>2.6299514150298232E-3</v>
      </c>
      <c r="L702" s="20">
        <v>230549</v>
      </c>
      <c r="M702" s="19">
        <f t="shared" si="1694"/>
        <v>2.6254378309996038E-2</v>
      </c>
      <c r="N702" s="19">
        <f t="shared" si="1695"/>
        <v>0.82806061483067794</v>
      </c>
      <c r="O702" s="20">
        <v>21859</v>
      </c>
      <c r="P702" s="28">
        <f t="shared" si="1714"/>
        <v>26535</v>
      </c>
      <c r="Q702" s="29">
        <f t="shared" si="1696"/>
        <v>0.74203881665724514</v>
      </c>
      <c r="R702" s="20">
        <f t="shared" ref="R702:S702" si="1719">D702-D701</f>
        <v>77</v>
      </c>
      <c r="S702" s="20">
        <f t="shared" si="1719"/>
        <v>18921</v>
      </c>
      <c r="T702" s="20">
        <v>4341</v>
      </c>
      <c r="U702" s="20">
        <v>163</v>
      </c>
      <c r="V702" s="19">
        <f t="shared" si="1698"/>
        <v>0.14568500685932601</v>
      </c>
      <c r="W702" s="20">
        <f t="shared" ref="W702:X702" si="1720">T702-T701</f>
        <v>123</v>
      </c>
      <c r="X702" s="20">
        <f t="shared" si="1720"/>
        <v>-6</v>
      </c>
      <c r="Y702" s="19">
        <f t="shared" si="1700"/>
        <v>1.8828969112856704E-2</v>
      </c>
      <c r="Z702" s="19">
        <f t="shared" si="1701"/>
        <v>3.7548951854411428E-2</v>
      </c>
      <c r="AA702" s="21">
        <f t="shared" si="1702"/>
        <v>1.0981125742828375</v>
      </c>
      <c r="AB702" s="26">
        <f t="shared" si="1703"/>
        <v>1.2915594270154873</v>
      </c>
      <c r="AC702" s="23">
        <f t="shared" si="1704"/>
        <v>15891.571428571429</v>
      </c>
      <c r="AD702" s="23">
        <f t="shared" si="1705"/>
        <v>65.857142857142861</v>
      </c>
      <c r="AE702" s="23">
        <f t="shared" si="1706"/>
        <v>39559.571428571428</v>
      </c>
      <c r="AF702" s="25">
        <f t="shared" si="1707"/>
        <v>0.47094500922814148</v>
      </c>
      <c r="AG702" s="20">
        <v>6365250</v>
      </c>
      <c r="AH702" s="21">
        <f t="shared" si="1717"/>
        <v>1083</v>
      </c>
      <c r="AI702" s="21">
        <f t="shared" si="1708"/>
        <v>3896.8</v>
      </c>
      <c r="AJ702" s="20">
        <v>6105342</v>
      </c>
      <c r="AK702" s="20">
        <f t="shared" si="1718"/>
        <v>1877</v>
      </c>
      <c r="AL702" s="21">
        <f t="shared" si="1709"/>
        <v>4278.6000000000004</v>
      </c>
      <c r="AM702" s="26">
        <f t="shared" si="1710"/>
        <v>12229.571428571429</v>
      </c>
    </row>
    <row r="703" spans="1:39" ht="16">
      <c r="A703" s="30">
        <v>44595</v>
      </c>
      <c r="B703" s="20">
        <f t="shared" si="1711"/>
        <v>1600411</v>
      </c>
      <c r="C703" s="20">
        <v>17894</v>
      </c>
      <c r="D703" s="20">
        <v>41636</v>
      </c>
      <c r="E703" s="20">
        <v>1330876</v>
      </c>
      <c r="F703" s="20">
        <v>10161911</v>
      </c>
      <c r="G703" s="17">
        <f t="shared" si="1692"/>
        <v>1036929.6938775509</v>
      </c>
      <c r="H703" s="20"/>
      <c r="I703" s="19">
        <f t="shared" si="1712"/>
        <v>1.1307303491842426E-2</v>
      </c>
      <c r="J703" s="19">
        <f t="shared" si="1693"/>
        <v>0.15749114512024362</v>
      </c>
      <c r="K703" s="19">
        <f t="shared" si="1713"/>
        <v>4.5310063438636031E-3</v>
      </c>
      <c r="L703" s="20">
        <v>227899</v>
      </c>
      <c r="M703" s="19">
        <f t="shared" si="1694"/>
        <v>2.60158171869601E-2</v>
      </c>
      <c r="N703" s="19">
        <f t="shared" si="1695"/>
        <v>0.83158388688905538</v>
      </c>
      <c r="O703" s="20">
        <v>23192</v>
      </c>
      <c r="P703" s="28">
        <f t="shared" si="1714"/>
        <v>45836</v>
      </c>
      <c r="Q703" s="29">
        <f t="shared" si="1696"/>
        <v>0.39039183174797104</v>
      </c>
      <c r="R703" s="20">
        <f t="shared" ref="R703:S703" si="1721">D703-D702</f>
        <v>88</v>
      </c>
      <c r="S703" s="20">
        <f t="shared" si="1721"/>
        <v>20456</v>
      </c>
      <c r="T703" s="20">
        <v>4451</v>
      </c>
      <c r="U703" s="20">
        <v>163</v>
      </c>
      <c r="V703" s="19">
        <f t="shared" si="1698"/>
        <v>0.14240029592398454</v>
      </c>
      <c r="W703" s="20">
        <f t="shared" ref="W703:X703" si="1722">T703-T702</f>
        <v>110</v>
      </c>
      <c r="X703" s="20">
        <f t="shared" si="1722"/>
        <v>0</v>
      </c>
      <c r="Y703" s="19">
        <f t="shared" si="1700"/>
        <v>1.9530581529537207E-2</v>
      </c>
      <c r="Z703" s="19">
        <f t="shared" si="1701"/>
        <v>3.662098404852842E-2</v>
      </c>
      <c r="AA703" s="21">
        <f t="shared" si="1702"/>
        <v>1.0469858747106839</v>
      </c>
      <c r="AB703" s="26">
        <f t="shared" si="1703"/>
        <v>1.1894488950429118</v>
      </c>
      <c r="AC703" s="23">
        <f t="shared" si="1704"/>
        <v>15703.142857142857</v>
      </c>
      <c r="AD703" s="23">
        <f t="shared" si="1705"/>
        <v>69.285714285714292</v>
      </c>
      <c r="AE703" s="23">
        <f t="shared" si="1706"/>
        <v>39134.714285714283</v>
      </c>
      <c r="AF703" s="25">
        <f t="shared" si="1707"/>
        <v>0.47029770460867193</v>
      </c>
      <c r="AG703" s="20">
        <v>6366402</v>
      </c>
      <c r="AH703" s="21">
        <f t="shared" si="1717"/>
        <v>1152</v>
      </c>
      <c r="AI703" s="21">
        <f t="shared" si="1708"/>
        <v>3795.2</v>
      </c>
      <c r="AJ703" s="20">
        <v>6107843</v>
      </c>
      <c r="AK703" s="20">
        <f t="shared" si="1718"/>
        <v>2501</v>
      </c>
      <c r="AL703" s="21">
        <f t="shared" si="1709"/>
        <v>4395.3999999999996</v>
      </c>
      <c r="AM703" s="26">
        <f t="shared" si="1710"/>
        <v>13911</v>
      </c>
    </row>
    <row r="704" spans="1:39" ht="16">
      <c r="A704" s="30">
        <v>44596</v>
      </c>
      <c r="B704" s="20">
        <f t="shared" si="1711"/>
        <v>1616846</v>
      </c>
      <c r="C704" s="20">
        <v>16435</v>
      </c>
      <c r="D704" s="20">
        <v>41741</v>
      </c>
      <c r="E704" s="20">
        <v>1347698</v>
      </c>
      <c r="F704" s="20">
        <v>10207444</v>
      </c>
      <c r="G704" s="17">
        <f t="shared" si="1692"/>
        <v>1041575.9183673469</v>
      </c>
      <c r="H704" s="20"/>
      <c r="I704" s="19">
        <f t="shared" si="1712"/>
        <v>1.0269237089722577E-2</v>
      </c>
      <c r="J704" s="19">
        <f t="shared" si="1693"/>
        <v>0.1583987137230437</v>
      </c>
      <c r="K704" s="19">
        <f t="shared" si="1713"/>
        <v>4.4807517011318052E-3</v>
      </c>
      <c r="L704" s="20">
        <v>227407</v>
      </c>
      <c r="M704" s="19">
        <f t="shared" si="1694"/>
        <v>2.5816311510187116E-2</v>
      </c>
      <c r="N704" s="19">
        <f t="shared" si="1695"/>
        <v>0.83353516661450755</v>
      </c>
      <c r="O704" s="20">
        <v>25718</v>
      </c>
      <c r="P704" s="28">
        <f t="shared" si="1714"/>
        <v>45533</v>
      </c>
      <c r="Q704" s="29">
        <f t="shared" si="1696"/>
        <v>0.36094700546856129</v>
      </c>
      <c r="R704" s="20">
        <f t="shared" ref="R704:S704" si="1723">D704-D703</f>
        <v>105</v>
      </c>
      <c r="S704" s="20">
        <f t="shared" si="1723"/>
        <v>16822</v>
      </c>
      <c r="T704" s="20">
        <v>4588</v>
      </c>
      <c r="U704" s="20">
        <v>168</v>
      </c>
      <c r="V704" s="19">
        <f t="shared" si="1698"/>
        <v>0.14064852187530538</v>
      </c>
      <c r="W704" s="20">
        <f t="shared" ref="W704:X704" si="1724">T704-T703</f>
        <v>137</v>
      </c>
      <c r="X704" s="20">
        <f t="shared" si="1724"/>
        <v>5</v>
      </c>
      <c r="Y704" s="19">
        <f t="shared" si="1700"/>
        <v>2.0175280444313499E-2</v>
      </c>
      <c r="Z704" s="19">
        <f t="shared" si="1701"/>
        <v>3.6617262423714034E-2</v>
      </c>
      <c r="AA704" s="21">
        <f t="shared" si="1702"/>
        <v>1.0148455112674344</v>
      </c>
      <c r="AB704" s="26">
        <f t="shared" si="1703"/>
        <v>1.1052157082967615</v>
      </c>
      <c r="AC704" s="23">
        <f t="shared" si="1704"/>
        <v>15498.285714285714</v>
      </c>
      <c r="AD704" s="23">
        <f t="shared" si="1705"/>
        <v>73.142857142857139</v>
      </c>
      <c r="AE704" s="23">
        <f t="shared" si="1706"/>
        <v>38674.285714285717</v>
      </c>
      <c r="AF704" s="25">
        <f t="shared" si="1707"/>
        <v>0.46918740925476748</v>
      </c>
      <c r="AG704" s="20">
        <v>6369089</v>
      </c>
      <c r="AH704" s="21">
        <f t="shared" si="1717"/>
        <v>2687</v>
      </c>
      <c r="AI704" s="21">
        <f t="shared" si="1708"/>
        <v>3522.6</v>
      </c>
      <c r="AJ704" s="20">
        <v>6111632</v>
      </c>
      <c r="AK704" s="20">
        <f t="shared" si="1718"/>
        <v>3789</v>
      </c>
      <c r="AL704" s="21">
        <f t="shared" si="1709"/>
        <v>4369.6000000000004</v>
      </c>
      <c r="AM704" s="26">
        <f t="shared" si="1710"/>
        <v>15195.714285714286</v>
      </c>
    </row>
    <row r="705" spans="1:39" ht="13">
      <c r="A705" s="30">
        <v>44597</v>
      </c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8"/>
      <c r="Q705" s="28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</row>
    <row r="706" spans="1:39" ht="13">
      <c r="A706" s="30">
        <v>44598</v>
      </c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8"/>
      <c r="Q706" s="28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</row>
    <row r="707" spans="1:39" ht="16">
      <c r="A707" s="30">
        <v>44599</v>
      </c>
      <c r="B707" s="20">
        <f>B704+C707</f>
        <v>1650562</v>
      </c>
      <c r="C707" s="20">
        <v>33716</v>
      </c>
      <c r="D707" s="20">
        <v>41975</v>
      </c>
      <c r="E707" s="20">
        <v>1377097</v>
      </c>
      <c r="F707" s="20">
        <v>10320134</v>
      </c>
      <c r="G707" s="17">
        <f t="shared" ref="G707:G711" si="1725">F707/9.8</f>
        <v>1053074.8979591837</v>
      </c>
      <c r="H707" s="20"/>
      <c r="I707" s="19">
        <f>(B707-B704)/B704</f>
        <v>2.0852944559964275E-2</v>
      </c>
      <c r="J707" s="19">
        <f t="shared" ref="J707:J711" si="1726">B707/F707</f>
        <v>0.15993610160488225</v>
      </c>
      <c r="K707" s="19">
        <f>(F707-F704)/F704</f>
        <v>1.1039982193387492E-2</v>
      </c>
      <c r="L707" s="20">
        <v>231490</v>
      </c>
      <c r="M707" s="19">
        <f t="shared" ref="M707:M711" si="1727">D707/B707</f>
        <v>2.5430732077922551E-2</v>
      </c>
      <c r="N707" s="19">
        <f t="shared" ref="N707:N711" si="1728">E707/B707</f>
        <v>0.83432006795261249</v>
      </c>
      <c r="O707" s="20">
        <v>22859</v>
      </c>
      <c r="P707" s="28">
        <f>F707-F704</f>
        <v>112690</v>
      </c>
      <c r="Q707" s="29">
        <f t="shared" ref="Q707:Q711" si="1729">C707/P707</f>
        <v>0.29919247493122725</v>
      </c>
      <c r="R707" s="20">
        <f t="shared" ref="R707:S707" si="1730">D707-D704</f>
        <v>234</v>
      </c>
      <c r="S707" s="20">
        <f t="shared" si="1730"/>
        <v>29399</v>
      </c>
      <c r="T707" s="20">
        <v>4919</v>
      </c>
      <c r="U707" s="20">
        <v>168</v>
      </c>
      <c r="V707" s="19">
        <f t="shared" ref="V707:V711" si="1731">L707/B707</f>
        <v>0.14024919996946494</v>
      </c>
      <c r="W707" s="20">
        <f t="shared" ref="W707:X707" si="1732">T707-T704</f>
        <v>331</v>
      </c>
      <c r="X707" s="20">
        <f t="shared" si="1732"/>
        <v>0</v>
      </c>
      <c r="Y707" s="19">
        <f t="shared" ref="Y707:Y711" si="1733">T707/L707</f>
        <v>2.1249298025832648E-2</v>
      </c>
      <c r="Z707" s="19">
        <f t="shared" ref="Z707:Z711" si="1734">U707/T707</f>
        <v>3.4153283187639764E-2</v>
      </c>
      <c r="AA707" s="21">
        <f t="shared" ref="AA707:AA711" si="1735">(C701+C702+C703+C704+C705+C706+C707)/(C694+C695+C696+C697+C698+C699+C700)</f>
        <v>0.86731833601142649</v>
      </c>
      <c r="AB707" s="26">
        <f t="shared" ref="AB707:AB711" si="1736">SUM(AA701:AA707)/5</f>
        <v>1.0381692415244677</v>
      </c>
      <c r="AC707" s="23">
        <f t="shared" ref="AC707:AC711" si="1737">SUM(C701:C707)/7</f>
        <v>13879.571428571429</v>
      </c>
      <c r="AD707" s="23">
        <f t="shared" ref="AD707:AD711" si="1738">SUM(R701:R707)/7</f>
        <v>81.428571428571431</v>
      </c>
      <c r="AE707" s="23">
        <f t="shared" ref="AE707:AE711" si="1739">SUM(P701:P707)/7</f>
        <v>35540.714285714283</v>
      </c>
      <c r="AF707" s="25">
        <f t="shared" ref="AF707:AF711" si="1740">SUM(Q701:Q707)/5</f>
        <v>0.46210371296896097</v>
      </c>
      <c r="AG707" s="20">
        <v>6374293</v>
      </c>
      <c r="AH707" s="21">
        <f>AG707-AG704</f>
        <v>5204</v>
      </c>
      <c r="AI707" s="21">
        <f t="shared" ref="AI707:AI711" si="1741">(SUM(AH701:AH707))/5</f>
        <v>2236.1999999999998</v>
      </c>
      <c r="AJ707" s="20">
        <v>6120914</v>
      </c>
      <c r="AK707" s="20">
        <f>AJ707-AJ704</f>
        <v>9282</v>
      </c>
      <c r="AL707" s="21">
        <f t="shared" ref="AL707:AL711" si="1742">(SUM(AK701:AK707))/5</f>
        <v>3843</v>
      </c>
      <c r="AM707" s="26">
        <f t="shared" ref="AM707:AM711" si="1743">SUM(S701:S707)/7</f>
        <v>13814</v>
      </c>
    </row>
    <row r="708" spans="1:39" ht="16">
      <c r="A708" s="30">
        <v>44600</v>
      </c>
      <c r="B708" s="20">
        <f t="shared" ref="B708:B711" si="1744">B707+C708</f>
        <v>1657615</v>
      </c>
      <c r="C708" s="20">
        <v>7053</v>
      </c>
      <c r="D708" s="20">
        <v>42069</v>
      </c>
      <c r="E708" s="20">
        <v>1384170</v>
      </c>
      <c r="F708" s="20">
        <v>10332848</v>
      </c>
      <c r="G708" s="17">
        <f t="shared" si="1725"/>
        <v>1054372.2448979591</v>
      </c>
      <c r="H708" s="20"/>
      <c r="I708" s="19">
        <f t="shared" ref="I708:I711" si="1745">(B708-B707)/B707</f>
        <v>4.2730900141891067E-3</v>
      </c>
      <c r="J708" s="19">
        <f t="shared" si="1726"/>
        <v>0.16042188949261618</v>
      </c>
      <c r="K708" s="19">
        <f t="shared" ref="K708:K711" si="1746">(F708-F707)/F707</f>
        <v>1.2319607477964919E-3</v>
      </c>
      <c r="L708" s="20">
        <v>231376</v>
      </c>
      <c r="M708" s="19">
        <f t="shared" si="1727"/>
        <v>2.5379234623238808E-2</v>
      </c>
      <c r="N708" s="19">
        <f t="shared" si="1728"/>
        <v>0.83503708641632712</v>
      </c>
      <c r="O708" s="20">
        <v>23288</v>
      </c>
      <c r="P708" s="28">
        <f t="shared" ref="P708:P711" si="1747">F708-F707</f>
        <v>12714</v>
      </c>
      <c r="Q708" s="29">
        <f t="shared" si="1729"/>
        <v>0.55474280320906089</v>
      </c>
      <c r="R708" s="20">
        <f t="shared" ref="R708:S708" si="1748">D708-D707</f>
        <v>94</v>
      </c>
      <c r="S708" s="20">
        <f t="shared" si="1748"/>
        <v>7073</v>
      </c>
      <c r="T708" s="20">
        <v>5167</v>
      </c>
      <c r="U708" s="20">
        <v>176</v>
      </c>
      <c r="V708" s="19">
        <f t="shared" si="1731"/>
        <v>0.13958367896043411</v>
      </c>
      <c r="W708" s="20">
        <f t="shared" ref="W708:X708" si="1749">T708-T707</f>
        <v>248</v>
      </c>
      <c r="X708" s="20">
        <f t="shared" si="1749"/>
        <v>8</v>
      </c>
      <c r="Y708" s="19">
        <f t="shared" si="1733"/>
        <v>2.2331616070811147E-2</v>
      </c>
      <c r="Z708" s="19">
        <f t="shared" si="1734"/>
        <v>3.4062318560092897E-2</v>
      </c>
      <c r="AA708" s="21">
        <f t="shared" si="1735"/>
        <v>0.8484045647795927</v>
      </c>
      <c r="AB708" s="26">
        <f t="shared" si="1736"/>
        <v>0.97513337221039487</v>
      </c>
      <c r="AC708" s="23">
        <f t="shared" si="1737"/>
        <v>13541.142857142857</v>
      </c>
      <c r="AD708" s="23">
        <f t="shared" si="1738"/>
        <v>85.428571428571431</v>
      </c>
      <c r="AE708" s="23">
        <f t="shared" si="1739"/>
        <v>34758.285714285717</v>
      </c>
      <c r="AF708" s="25">
        <f t="shared" si="1740"/>
        <v>0.46946258640281313</v>
      </c>
      <c r="AG708" s="20">
        <v>6375020</v>
      </c>
      <c r="AH708" s="21">
        <f t="shared" ref="AH708:AH711" si="1750">AG708-AG707</f>
        <v>727</v>
      </c>
      <c r="AI708" s="21">
        <f t="shared" si="1741"/>
        <v>2170.6</v>
      </c>
      <c r="AJ708" s="20">
        <v>6123154</v>
      </c>
      <c r="AK708" s="20">
        <f t="shared" ref="AK708:AK711" si="1751">AJ708-AJ707</f>
        <v>2240</v>
      </c>
      <c r="AL708" s="21">
        <f t="shared" si="1742"/>
        <v>3937.8</v>
      </c>
      <c r="AM708" s="26">
        <f t="shared" si="1743"/>
        <v>13238.714285714286</v>
      </c>
    </row>
    <row r="709" spans="1:39" ht="16">
      <c r="A709" s="30">
        <v>44601</v>
      </c>
      <c r="B709" s="20">
        <f t="shared" si="1744"/>
        <v>1671547</v>
      </c>
      <c r="C709" s="20">
        <v>13932</v>
      </c>
      <c r="D709" s="20">
        <v>42170</v>
      </c>
      <c r="E709" s="20">
        <v>1400137</v>
      </c>
      <c r="F709" s="20">
        <v>10354374</v>
      </c>
      <c r="G709" s="17">
        <f t="shared" si="1725"/>
        <v>1056568.775510204</v>
      </c>
      <c r="H709" s="20"/>
      <c r="I709" s="19">
        <f t="shared" si="1745"/>
        <v>8.4048467225501695E-3</v>
      </c>
      <c r="J709" s="19">
        <f t="shared" si="1726"/>
        <v>0.16143390223300799</v>
      </c>
      <c r="K709" s="19">
        <f t="shared" si="1746"/>
        <v>2.0832591363000789E-3</v>
      </c>
      <c r="L709" s="20">
        <v>229240</v>
      </c>
      <c r="M709" s="19">
        <f t="shared" si="1727"/>
        <v>2.5228126998522924E-2</v>
      </c>
      <c r="N709" s="19">
        <f t="shared" si="1728"/>
        <v>0.83762945343445327</v>
      </c>
      <c r="O709" s="20">
        <v>22242</v>
      </c>
      <c r="P709" s="28">
        <f t="shared" si="1747"/>
        <v>21526</v>
      </c>
      <c r="Q709" s="29">
        <f t="shared" si="1729"/>
        <v>0.6472173185914708</v>
      </c>
      <c r="R709" s="20">
        <f t="shared" ref="R709:S709" si="1752">D709-D708</f>
        <v>101</v>
      </c>
      <c r="S709" s="20">
        <f t="shared" si="1752"/>
        <v>15967</v>
      </c>
      <c r="T709" s="20">
        <v>5108</v>
      </c>
      <c r="U709" s="20">
        <v>193</v>
      </c>
      <c r="V709" s="19">
        <f t="shared" si="1731"/>
        <v>0.13714241956702383</v>
      </c>
      <c r="W709" s="20">
        <f t="shared" ref="W709:X709" si="1753">T709-T708</f>
        <v>-59</v>
      </c>
      <c r="X709" s="20">
        <f t="shared" si="1753"/>
        <v>17</v>
      </c>
      <c r="Y709" s="19">
        <f t="shared" si="1733"/>
        <v>2.2282324201709999E-2</v>
      </c>
      <c r="Z709" s="19">
        <f t="shared" si="1734"/>
        <v>3.7783868441660144E-2</v>
      </c>
      <c r="AA709" s="21">
        <f t="shared" si="1735"/>
        <v>0.80033440907579045</v>
      </c>
      <c r="AB709" s="26">
        <f t="shared" si="1736"/>
        <v>0.91557773916898566</v>
      </c>
      <c r="AC709" s="23">
        <f t="shared" si="1737"/>
        <v>12718.571428571429</v>
      </c>
      <c r="AD709" s="23">
        <f t="shared" si="1738"/>
        <v>88.857142857142861</v>
      </c>
      <c r="AE709" s="23">
        <f t="shared" si="1739"/>
        <v>34042.714285714283</v>
      </c>
      <c r="AF709" s="25">
        <f t="shared" si="1740"/>
        <v>0.4504982867896582</v>
      </c>
      <c r="AG709" s="20">
        <v>6375808</v>
      </c>
      <c r="AH709" s="21">
        <f t="shared" si="1750"/>
        <v>788</v>
      </c>
      <c r="AI709" s="21">
        <f t="shared" si="1741"/>
        <v>2111.6</v>
      </c>
      <c r="AJ709" s="20">
        <v>6125019</v>
      </c>
      <c r="AK709" s="20">
        <f t="shared" si="1751"/>
        <v>1865</v>
      </c>
      <c r="AL709" s="21">
        <f t="shared" si="1742"/>
        <v>3935.4</v>
      </c>
      <c r="AM709" s="26">
        <f t="shared" si="1743"/>
        <v>12816.714285714286</v>
      </c>
    </row>
    <row r="710" spans="1:39" ht="16">
      <c r="A710" s="30">
        <v>44602</v>
      </c>
      <c r="B710" s="20">
        <f t="shared" si="1744"/>
        <v>1684432</v>
      </c>
      <c r="C710" s="20">
        <v>12885</v>
      </c>
      <c r="D710" s="20">
        <v>42269</v>
      </c>
      <c r="E710" s="20">
        <v>1410550</v>
      </c>
      <c r="F710" s="20">
        <v>10391977</v>
      </c>
      <c r="G710" s="17">
        <f t="shared" si="1725"/>
        <v>1060405.8163265307</v>
      </c>
      <c r="H710" s="20"/>
      <c r="I710" s="19">
        <f t="shared" si="1745"/>
        <v>7.7084281806015622E-3</v>
      </c>
      <c r="J710" s="19">
        <f t="shared" si="1726"/>
        <v>0.16208965820459378</v>
      </c>
      <c r="K710" s="19">
        <f t="shared" si="1746"/>
        <v>3.6316053486188543E-3</v>
      </c>
      <c r="L710" s="20">
        <v>231613</v>
      </c>
      <c r="M710" s="19">
        <f t="shared" si="1727"/>
        <v>2.5093918899664693E-2</v>
      </c>
      <c r="N710" s="19">
        <f t="shared" si="1728"/>
        <v>0.83740394388137962</v>
      </c>
      <c r="O710" s="20">
        <v>23046</v>
      </c>
      <c r="P710" s="28">
        <f t="shared" si="1747"/>
        <v>37603</v>
      </c>
      <c r="Q710" s="29">
        <f t="shared" si="1729"/>
        <v>0.34265883041246709</v>
      </c>
      <c r="R710" s="20">
        <f t="shared" ref="R710:S710" si="1754">D710-D709</f>
        <v>99</v>
      </c>
      <c r="S710" s="20">
        <f t="shared" si="1754"/>
        <v>10413</v>
      </c>
      <c r="T710" s="20">
        <v>5198</v>
      </c>
      <c r="U710" s="20">
        <v>198</v>
      </c>
      <c r="V710" s="19">
        <f t="shared" si="1731"/>
        <v>0.13750213721895571</v>
      </c>
      <c r="W710" s="20">
        <f t="shared" ref="W710:X710" si="1755">T710-T709</f>
        <v>90</v>
      </c>
      <c r="X710" s="20">
        <f t="shared" si="1755"/>
        <v>5</v>
      </c>
      <c r="Y710" s="19">
        <f t="shared" si="1733"/>
        <v>2.2442609007266433E-2</v>
      </c>
      <c r="Z710" s="19">
        <f t="shared" si="1734"/>
        <v>3.8091573682185458E-2</v>
      </c>
      <c r="AA710" s="21">
        <f t="shared" si="1735"/>
        <v>0.76436928003493387</v>
      </c>
      <c r="AB710" s="26">
        <f t="shared" si="1736"/>
        <v>0.85905442023383549</v>
      </c>
      <c r="AC710" s="23">
        <f t="shared" si="1737"/>
        <v>12003</v>
      </c>
      <c r="AD710" s="23">
        <f t="shared" si="1738"/>
        <v>90.428571428571431</v>
      </c>
      <c r="AE710" s="23">
        <f t="shared" si="1739"/>
        <v>32866.571428571428</v>
      </c>
      <c r="AF710" s="25">
        <f t="shared" si="1740"/>
        <v>0.44095168652255745</v>
      </c>
      <c r="AG710" s="20">
        <v>6376902</v>
      </c>
      <c r="AH710" s="21">
        <f t="shared" si="1750"/>
        <v>1094</v>
      </c>
      <c r="AI710" s="21">
        <f t="shared" si="1741"/>
        <v>2100</v>
      </c>
      <c r="AJ710" s="20">
        <v>6127609</v>
      </c>
      <c r="AK710" s="20">
        <f t="shared" si="1751"/>
        <v>2590</v>
      </c>
      <c r="AL710" s="21">
        <f t="shared" si="1742"/>
        <v>3953.2</v>
      </c>
      <c r="AM710" s="26">
        <f t="shared" si="1743"/>
        <v>11382</v>
      </c>
    </row>
    <row r="711" spans="1:39" ht="16">
      <c r="A711" s="30">
        <v>44603</v>
      </c>
      <c r="B711" s="20">
        <f t="shared" si="1744"/>
        <v>1695991</v>
      </c>
      <c r="C711" s="20">
        <v>11559</v>
      </c>
      <c r="D711" s="20">
        <v>42360</v>
      </c>
      <c r="E711" s="20">
        <v>1423921</v>
      </c>
      <c r="F711" s="20">
        <v>10429713</v>
      </c>
      <c r="G711" s="17">
        <f t="shared" si="1725"/>
        <v>1064256.4285714284</v>
      </c>
      <c r="H711" s="20"/>
      <c r="I711" s="19">
        <f t="shared" si="1745"/>
        <v>6.8622538636169345E-3</v>
      </c>
      <c r="J711" s="19">
        <f t="shared" si="1726"/>
        <v>0.16261147358513126</v>
      </c>
      <c r="K711" s="19">
        <f t="shared" si="1746"/>
        <v>3.6312628482530322E-3</v>
      </c>
      <c r="L711" s="20">
        <v>229710</v>
      </c>
      <c r="M711" s="19">
        <f t="shared" si="1727"/>
        <v>2.4976547634981555E-2</v>
      </c>
      <c r="N711" s="19">
        <f t="shared" si="1728"/>
        <v>0.83958051664189259</v>
      </c>
      <c r="O711" s="20">
        <v>24341</v>
      </c>
      <c r="P711" s="28">
        <f t="shared" si="1747"/>
        <v>37736</v>
      </c>
      <c r="Q711" s="29">
        <f t="shared" si="1729"/>
        <v>0.306312274750901</v>
      </c>
      <c r="R711" s="20">
        <f t="shared" ref="R711:S711" si="1756">D711-D710</f>
        <v>91</v>
      </c>
      <c r="S711" s="20">
        <f t="shared" si="1756"/>
        <v>13371</v>
      </c>
      <c r="T711" s="20">
        <v>5152</v>
      </c>
      <c r="U711" s="20">
        <v>209</v>
      </c>
      <c r="V711" s="19">
        <f t="shared" si="1731"/>
        <v>0.13544293572312588</v>
      </c>
      <c r="W711" s="20">
        <f t="shared" ref="W711:X711" si="1757">T711-T710</f>
        <v>-46</v>
      </c>
      <c r="X711" s="20">
        <f t="shared" si="1757"/>
        <v>11</v>
      </c>
      <c r="Y711" s="19">
        <f t="shared" si="1733"/>
        <v>2.2428279134560969E-2</v>
      </c>
      <c r="Z711" s="19">
        <f t="shared" si="1734"/>
        <v>4.05667701863354E-2</v>
      </c>
      <c r="AA711" s="21">
        <f t="shared" si="1735"/>
        <v>0.72952768969839987</v>
      </c>
      <c r="AB711" s="26">
        <f t="shared" si="1736"/>
        <v>0.80199085592002872</v>
      </c>
      <c r="AC711" s="23">
        <f t="shared" si="1737"/>
        <v>11306.428571428571</v>
      </c>
      <c r="AD711" s="23">
        <f t="shared" si="1738"/>
        <v>88.428571428571431</v>
      </c>
      <c r="AE711" s="23">
        <f t="shared" si="1739"/>
        <v>31752.714285714286</v>
      </c>
      <c r="AF711" s="25">
        <f t="shared" si="1740"/>
        <v>0.43002474037902544</v>
      </c>
      <c r="AG711" s="20">
        <v>6379065</v>
      </c>
      <c r="AH711" s="21">
        <f t="shared" si="1750"/>
        <v>2163</v>
      </c>
      <c r="AI711" s="21">
        <f t="shared" si="1741"/>
        <v>1995.2</v>
      </c>
      <c r="AJ711" s="20">
        <v>6131361</v>
      </c>
      <c r="AK711" s="20">
        <f t="shared" si="1751"/>
        <v>3752</v>
      </c>
      <c r="AL711" s="21">
        <f t="shared" si="1742"/>
        <v>3945.8</v>
      </c>
      <c r="AM711" s="26">
        <f t="shared" si="1743"/>
        <v>10889</v>
      </c>
    </row>
    <row r="712" spans="1:39" ht="13">
      <c r="A712" s="30">
        <v>44604</v>
      </c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8"/>
      <c r="Q712" s="28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</row>
    <row r="713" spans="1:39" ht="13">
      <c r="A713" s="30">
        <v>44605</v>
      </c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8"/>
      <c r="Q713" s="28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</row>
    <row r="714" spans="1:39" ht="16">
      <c r="A714" s="30">
        <v>44606</v>
      </c>
      <c r="B714" s="20">
        <f>B711+C714</f>
        <v>1717072</v>
      </c>
      <c r="C714" s="20">
        <v>21081</v>
      </c>
      <c r="D714" s="20">
        <v>42631</v>
      </c>
      <c r="E714" s="20">
        <v>1450631</v>
      </c>
      <c r="F714" s="20">
        <v>10513080</v>
      </c>
      <c r="G714" s="17">
        <f t="shared" ref="G714:G718" si="1758">F714/9.8</f>
        <v>1072763.2653061224</v>
      </c>
      <c r="H714" s="20"/>
      <c r="I714" s="19">
        <f>(B714-B711)/B711</f>
        <v>1.2429900866219219E-2</v>
      </c>
      <c r="J714" s="19">
        <f t="shared" ref="J714:J718" si="1759">B714/F714</f>
        <v>0.16332720763087505</v>
      </c>
      <c r="K714" s="19">
        <f>(F714-F711)/F711</f>
        <v>7.9932209064621437E-3</v>
      </c>
      <c r="L714" s="20">
        <v>223810</v>
      </c>
      <c r="M714" s="19">
        <f t="shared" ref="M714:M718" si="1760">D714/B714</f>
        <v>2.4827729996179541E-2</v>
      </c>
      <c r="N714" s="19">
        <f t="shared" ref="N714:N718" si="1761">E714/B714</f>
        <v>0.84482828908746987</v>
      </c>
      <c r="O714" s="20">
        <v>20046</v>
      </c>
      <c r="P714" s="28">
        <f>F714-F711</f>
        <v>83367</v>
      </c>
      <c r="Q714" s="29">
        <f t="shared" ref="Q714:Q718" si="1762">C714/P714</f>
        <v>0.25286984058440393</v>
      </c>
      <c r="R714" s="20">
        <f t="shared" ref="R714:S714" si="1763">D714-D711</f>
        <v>271</v>
      </c>
      <c r="S714" s="20">
        <f t="shared" si="1763"/>
        <v>26710</v>
      </c>
      <c r="T714" s="20">
        <v>5186</v>
      </c>
      <c r="U714" s="20">
        <v>199</v>
      </c>
      <c r="V714" s="19">
        <f t="shared" ref="V714:V718" si="1764">L714/B714</f>
        <v>0.13034398091635063</v>
      </c>
      <c r="W714" s="20">
        <f t="shared" ref="W714:X714" si="1765">T714-T711</f>
        <v>34</v>
      </c>
      <c r="X714" s="20">
        <f t="shared" si="1765"/>
        <v>-10</v>
      </c>
      <c r="Y714" s="19">
        <f t="shared" ref="Y714:Y718" si="1766">T714/L714</f>
        <v>2.3171440060765828E-2</v>
      </c>
      <c r="Z714" s="19">
        <f t="shared" ref="Z714:Z718" si="1767">U714/T714</f>
        <v>3.8372541457770921E-2</v>
      </c>
      <c r="AA714" s="21">
        <f t="shared" ref="AA714:AA718" si="1768">(C708+C709+C710+C711+C712+C713+C714)/(C701+C702+C703+C704+C705+C706+C707)</f>
        <v>0.68456210051771871</v>
      </c>
      <c r="AB714" s="26">
        <f t="shared" ref="AB714:AB718" si="1769">SUM(AA708:AA714)/5</f>
        <v>0.76543960882128714</v>
      </c>
      <c r="AC714" s="23">
        <f t="shared" ref="AC714:AC718" si="1770">SUM(C708:C714)/7</f>
        <v>9501.4285714285706</v>
      </c>
      <c r="AD714" s="23">
        <f t="shared" ref="AD714:AD718" si="1771">SUM(R708:R714)/7</f>
        <v>93.714285714285708</v>
      </c>
      <c r="AE714" s="23">
        <f t="shared" ref="AE714:AE718" si="1772">SUM(P708:P714)/7</f>
        <v>27563.714285714286</v>
      </c>
      <c r="AF714" s="25">
        <f t="shared" ref="AF714:AF718" si="1773">SUM(Q708:Q714)/5</f>
        <v>0.42076021350966075</v>
      </c>
      <c r="AG714" s="20">
        <v>6383007</v>
      </c>
      <c r="AH714" s="21">
        <f>AG714-AG711</f>
        <v>3942</v>
      </c>
      <c r="AI714" s="21">
        <f t="shared" ref="AI714:AI718" si="1774">(SUM(AH708:AH714))/5</f>
        <v>1742.8</v>
      </c>
      <c r="AJ714" s="20">
        <v>6140331</v>
      </c>
      <c r="AK714" s="20">
        <f>AJ714-AJ711</f>
        <v>8970</v>
      </c>
      <c r="AL714" s="21">
        <f t="shared" ref="AL714:AL718" si="1775">(SUM(AK708:AK714))/5</f>
        <v>3883.4</v>
      </c>
      <c r="AM714" s="26">
        <f t="shared" ref="AM714:AM718" si="1776">SUM(S708:S714)/7</f>
        <v>10504.857142857143</v>
      </c>
    </row>
    <row r="715" spans="1:39" ht="16">
      <c r="A715" s="30">
        <v>44607</v>
      </c>
      <c r="B715" s="20">
        <f t="shared" ref="B715:B718" si="1777">B714+C715</f>
        <v>1721483</v>
      </c>
      <c r="C715" s="20">
        <v>4411</v>
      </c>
      <c r="D715" s="20">
        <v>42754</v>
      </c>
      <c r="E715" s="20">
        <v>1468444</v>
      </c>
      <c r="F715" s="20">
        <v>10520765</v>
      </c>
      <c r="G715" s="17">
        <f t="shared" si="1758"/>
        <v>1073547.4489795917</v>
      </c>
      <c r="H715" s="20"/>
      <c r="I715" s="19">
        <f t="shared" ref="I715:I718" si="1778">(B715-B714)/B714</f>
        <v>2.5689080015281829E-3</v>
      </c>
      <c r="J715" s="19">
        <f t="shared" si="1759"/>
        <v>0.1636271696972606</v>
      </c>
      <c r="K715" s="19">
        <f t="shared" ref="K715:K718" si="1779">(F715-F714)/F714</f>
        <v>7.3099415204678359E-4</v>
      </c>
      <c r="L715" s="20">
        <v>210285</v>
      </c>
      <c r="M715" s="19">
        <f t="shared" si="1760"/>
        <v>2.4835563290488492E-2</v>
      </c>
      <c r="N715" s="19">
        <f t="shared" si="1761"/>
        <v>0.85301103757632224</v>
      </c>
      <c r="O715" s="20">
        <v>18572</v>
      </c>
      <c r="P715" s="28">
        <f t="shared" ref="P715:P718" si="1780">F715-F714</f>
        <v>7685</v>
      </c>
      <c r="Q715" s="29">
        <f t="shared" si="1762"/>
        <v>0.57397527651268709</v>
      </c>
      <c r="R715" s="20">
        <f t="shared" ref="R715:S715" si="1781">D715-D714</f>
        <v>123</v>
      </c>
      <c r="S715" s="20">
        <f t="shared" si="1781"/>
        <v>17813</v>
      </c>
      <c r="T715" s="20">
        <v>5291</v>
      </c>
      <c r="U715" s="20">
        <v>211</v>
      </c>
      <c r="V715" s="19">
        <f t="shared" si="1764"/>
        <v>0.12215339913318923</v>
      </c>
      <c r="W715" s="20">
        <f t="shared" ref="W715:X715" si="1782">T715-T714</f>
        <v>105</v>
      </c>
      <c r="X715" s="20">
        <f t="shared" si="1782"/>
        <v>12</v>
      </c>
      <c r="Y715" s="19">
        <f t="shared" si="1766"/>
        <v>2.5161090900444636E-2</v>
      </c>
      <c r="Z715" s="19">
        <f t="shared" si="1767"/>
        <v>3.9879039879039881E-2</v>
      </c>
      <c r="AA715" s="21">
        <f t="shared" si="1768"/>
        <v>0.67379837110182728</v>
      </c>
      <c r="AB715" s="26">
        <f t="shared" si="1769"/>
        <v>0.73051837008573395</v>
      </c>
      <c r="AC715" s="23">
        <f t="shared" si="1770"/>
        <v>9124</v>
      </c>
      <c r="AD715" s="23">
        <f t="shared" si="1771"/>
        <v>97.857142857142861</v>
      </c>
      <c r="AE715" s="23">
        <f t="shared" si="1772"/>
        <v>26845.285714285714</v>
      </c>
      <c r="AF715" s="25">
        <f t="shared" si="1773"/>
        <v>0.42460670817038598</v>
      </c>
      <c r="AG715" s="20">
        <v>6383559</v>
      </c>
      <c r="AH715" s="21">
        <f t="shared" ref="AH715:AH718" si="1783">AG715-AG714</f>
        <v>552</v>
      </c>
      <c r="AI715" s="21">
        <f t="shared" si="1774"/>
        <v>1707.8</v>
      </c>
      <c r="AJ715" s="20">
        <v>6142438</v>
      </c>
      <c r="AK715" s="20">
        <f t="shared" ref="AK715:AK718" si="1784">AJ715-AJ714</f>
        <v>2107</v>
      </c>
      <c r="AL715" s="21">
        <f t="shared" si="1775"/>
        <v>3856.8</v>
      </c>
      <c r="AM715" s="26">
        <f t="shared" si="1776"/>
        <v>12039.142857142857</v>
      </c>
    </row>
    <row r="716" spans="1:39" ht="16">
      <c r="A716" s="30">
        <v>44608</v>
      </c>
      <c r="B716" s="20">
        <f t="shared" si="1777"/>
        <v>1730366</v>
      </c>
      <c r="C716" s="20">
        <v>8883</v>
      </c>
      <c r="D716" s="20">
        <v>42851</v>
      </c>
      <c r="E716" s="20">
        <v>1478480</v>
      </c>
      <c r="F716" s="20">
        <v>10538698</v>
      </c>
      <c r="G716" s="17">
        <f t="shared" si="1758"/>
        <v>1075377.3469387754</v>
      </c>
      <c r="H716" s="20"/>
      <c r="I716" s="19">
        <f t="shared" si="1778"/>
        <v>5.1600858097349787E-3</v>
      </c>
      <c r="J716" s="19">
        <f t="shared" si="1759"/>
        <v>0.16419162974401583</v>
      </c>
      <c r="K716" s="19">
        <f t="shared" si="1779"/>
        <v>1.704533843308923E-3</v>
      </c>
      <c r="L716" s="20">
        <v>209035</v>
      </c>
      <c r="M716" s="19">
        <f t="shared" si="1760"/>
        <v>2.4764125046377473E-2</v>
      </c>
      <c r="N716" s="19">
        <f t="shared" si="1761"/>
        <v>0.85443195254645554</v>
      </c>
      <c r="O716" s="20">
        <v>18079</v>
      </c>
      <c r="P716" s="28">
        <f t="shared" si="1780"/>
        <v>17933</v>
      </c>
      <c r="Q716" s="29">
        <f t="shared" si="1762"/>
        <v>0.4953437796241566</v>
      </c>
      <c r="R716" s="20">
        <f t="shared" ref="R716:S716" si="1785">D716-D715</f>
        <v>97</v>
      </c>
      <c r="S716" s="20">
        <f t="shared" si="1785"/>
        <v>10036</v>
      </c>
      <c r="T716" s="20">
        <v>5166</v>
      </c>
      <c r="U716" s="20">
        <v>203</v>
      </c>
      <c r="V716" s="19">
        <f t="shared" si="1764"/>
        <v>0.12080392240716704</v>
      </c>
      <c r="W716" s="20">
        <f t="shared" ref="W716:X716" si="1786">T716-T715</f>
        <v>-125</v>
      </c>
      <c r="X716" s="20">
        <f t="shared" si="1786"/>
        <v>-8</v>
      </c>
      <c r="Y716" s="19">
        <f t="shared" si="1766"/>
        <v>2.4713564714043103E-2</v>
      </c>
      <c r="Z716" s="19">
        <f t="shared" si="1767"/>
        <v>3.9295392953929538E-2</v>
      </c>
      <c r="AA716" s="21">
        <f t="shared" si="1768"/>
        <v>0.66066494440076384</v>
      </c>
      <c r="AB716" s="26">
        <f t="shared" si="1769"/>
        <v>0.70258447715072869</v>
      </c>
      <c r="AC716" s="23">
        <f t="shared" si="1770"/>
        <v>8402.7142857142862</v>
      </c>
      <c r="AD716" s="23">
        <f t="shared" si="1771"/>
        <v>97.285714285714292</v>
      </c>
      <c r="AE716" s="23">
        <f t="shared" si="1772"/>
        <v>26332</v>
      </c>
      <c r="AF716" s="25">
        <f t="shared" si="1773"/>
        <v>0.39423200037692319</v>
      </c>
      <c r="AG716" s="20">
        <v>6384088</v>
      </c>
      <c r="AH716" s="21">
        <f t="shared" si="1783"/>
        <v>529</v>
      </c>
      <c r="AI716" s="21">
        <f t="shared" si="1774"/>
        <v>1656</v>
      </c>
      <c r="AJ716" s="20">
        <v>6144019</v>
      </c>
      <c r="AK716" s="20">
        <f t="shared" si="1784"/>
        <v>1581</v>
      </c>
      <c r="AL716" s="21">
        <f t="shared" si="1775"/>
        <v>3800</v>
      </c>
      <c r="AM716" s="26">
        <f t="shared" si="1776"/>
        <v>11191.857142857143</v>
      </c>
    </row>
    <row r="717" spans="1:39" ht="16">
      <c r="A717" s="30">
        <v>44609</v>
      </c>
      <c r="B717" s="20">
        <f t="shared" si="1777"/>
        <v>1738944</v>
      </c>
      <c r="C717" s="20">
        <v>8578</v>
      </c>
      <c r="D717" s="20">
        <v>42966</v>
      </c>
      <c r="E717" s="20">
        <v>1493240</v>
      </c>
      <c r="F717" s="20">
        <v>10570027</v>
      </c>
      <c r="G717" s="17">
        <f t="shared" si="1758"/>
        <v>1078574.1836734693</v>
      </c>
      <c r="H717" s="20"/>
      <c r="I717" s="19">
        <f t="shared" si="1778"/>
        <v>4.9573327261400188E-3</v>
      </c>
      <c r="J717" s="19">
        <f t="shared" si="1759"/>
        <v>0.16451651448004817</v>
      </c>
      <c r="K717" s="19">
        <f t="shared" si="1779"/>
        <v>2.97275811490186E-3</v>
      </c>
      <c r="L717" s="20">
        <v>202738</v>
      </c>
      <c r="M717" s="19">
        <f t="shared" si="1760"/>
        <v>2.4708098708181518E-2</v>
      </c>
      <c r="N717" s="19">
        <f t="shared" si="1761"/>
        <v>0.85870505318170109</v>
      </c>
      <c r="O717" s="20">
        <v>18627</v>
      </c>
      <c r="P717" s="28">
        <f t="shared" si="1780"/>
        <v>31329</v>
      </c>
      <c r="Q717" s="29">
        <f t="shared" si="1762"/>
        <v>0.27380382393309716</v>
      </c>
      <c r="R717" s="20">
        <f t="shared" ref="R717:S717" si="1787">D717-D716</f>
        <v>115</v>
      </c>
      <c r="S717" s="20">
        <f t="shared" si="1787"/>
        <v>14760</v>
      </c>
      <c r="T717" s="20">
        <v>5062</v>
      </c>
      <c r="U717" s="20">
        <v>206</v>
      </c>
      <c r="V717" s="19">
        <f t="shared" si="1764"/>
        <v>0.11658684811011741</v>
      </c>
      <c r="W717" s="20">
        <f t="shared" ref="W717:X717" si="1788">T717-T716</f>
        <v>-104</v>
      </c>
      <c r="X717" s="20">
        <f t="shared" si="1788"/>
        <v>3</v>
      </c>
      <c r="Y717" s="19">
        <f t="shared" si="1766"/>
        <v>2.4968185539957975E-2</v>
      </c>
      <c r="Z717" s="19">
        <f t="shared" si="1767"/>
        <v>4.0695377321216912E-2</v>
      </c>
      <c r="AA717" s="21">
        <f t="shared" si="1768"/>
        <v>0.64879018340652927</v>
      </c>
      <c r="AB717" s="26">
        <f t="shared" si="1769"/>
        <v>0.67946865782504773</v>
      </c>
      <c r="AC717" s="23">
        <f t="shared" si="1770"/>
        <v>7787.4285714285716</v>
      </c>
      <c r="AD717" s="23">
        <f t="shared" si="1771"/>
        <v>99.571428571428569</v>
      </c>
      <c r="AE717" s="23">
        <f t="shared" si="1772"/>
        <v>25435.714285714286</v>
      </c>
      <c r="AF717" s="25">
        <f t="shared" si="1773"/>
        <v>0.38046099908104913</v>
      </c>
      <c r="AG717" s="20">
        <v>6384828</v>
      </c>
      <c r="AH717" s="21">
        <f t="shared" si="1783"/>
        <v>740</v>
      </c>
      <c r="AI717" s="21">
        <f t="shared" si="1774"/>
        <v>1585.2</v>
      </c>
      <c r="AJ717" s="20">
        <v>6146028</v>
      </c>
      <c r="AK717" s="20">
        <f t="shared" si="1784"/>
        <v>2009</v>
      </c>
      <c r="AL717" s="21">
        <f t="shared" si="1775"/>
        <v>3683.8</v>
      </c>
      <c r="AM717" s="26">
        <f t="shared" si="1776"/>
        <v>11812.857142857143</v>
      </c>
    </row>
    <row r="718" spans="1:39" ht="16">
      <c r="A718" s="30">
        <v>44610</v>
      </c>
      <c r="B718" s="20">
        <f t="shared" si="1777"/>
        <v>1746424</v>
      </c>
      <c r="C718" s="20">
        <v>7480</v>
      </c>
      <c r="D718" s="20">
        <v>43066</v>
      </c>
      <c r="E718" s="20">
        <v>1504055</v>
      </c>
      <c r="F718" s="20">
        <v>10597050</v>
      </c>
      <c r="G718" s="17">
        <f t="shared" si="1758"/>
        <v>1081331.6326530611</v>
      </c>
      <c r="H718" s="20"/>
      <c r="I718" s="19">
        <f t="shared" si="1778"/>
        <v>4.3014611166317029E-3</v>
      </c>
      <c r="J718" s="19">
        <f t="shared" si="1759"/>
        <v>0.16480284607508694</v>
      </c>
      <c r="K718" s="19">
        <f t="shared" si="1779"/>
        <v>2.5565686823694964E-3</v>
      </c>
      <c r="L718" s="20">
        <v>199303</v>
      </c>
      <c r="M718" s="19">
        <f t="shared" si="1760"/>
        <v>2.4659532851128936E-2</v>
      </c>
      <c r="N718" s="19">
        <f t="shared" si="1761"/>
        <v>0.86121984122985029</v>
      </c>
      <c r="O718" s="20">
        <v>19612</v>
      </c>
      <c r="P718" s="28">
        <f t="shared" si="1780"/>
        <v>27023</v>
      </c>
      <c r="Q718" s="29">
        <f t="shared" si="1762"/>
        <v>0.27680124338526441</v>
      </c>
      <c r="R718" s="20">
        <f t="shared" ref="R718:S718" si="1789">D718-D717</f>
        <v>100</v>
      </c>
      <c r="S718" s="20">
        <f t="shared" si="1789"/>
        <v>10815</v>
      </c>
      <c r="T718" s="20">
        <v>4919</v>
      </c>
      <c r="U718" s="20">
        <v>201</v>
      </c>
      <c r="V718" s="19">
        <f t="shared" si="1764"/>
        <v>0.11412062591902081</v>
      </c>
      <c r="W718" s="20">
        <f t="shared" ref="W718:X718" si="1790">T718-T717</f>
        <v>-143</v>
      </c>
      <c r="X718" s="20">
        <f t="shared" si="1790"/>
        <v>-5</v>
      </c>
      <c r="Y718" s="19">
        <f t="shared" si="1766"/>
        <v>2.4681013331460139E-2</v>
      </c>
      <c r="Z718" s="19">
        <f t="shared" si="1767"/>
        <v>4.0861963813783292E-2</v>
      </c>
      <c r="AA718" s="21">
        <f t="shared" si="1768"/>
        <v>0.63722281887674526</v>
      </c>
      <c r="AB718" s="26">
        <f t="shared" si="1769"/>
        <v>0.66100768366071683</v>
      </c>
      <c r="AC718" s="23">
        <f t="shared" si="1770"/>
        <v>7204.7142857142853</v>
      </c>
      <c r="AD718" s="23">
        <f t="shared" si="1771"/>
        <v>100.85714285714286</v>
      </c>
      <c r="AE718" s="23">
        <f t="shared" si="1772"/>
        <v>23905.285714285714</v>
      </c>
      <c r="AF718" s="25">
        <f t="shared" si="1773"/>
        <v>0.37455879280792181</v>
      </c>
      <c r="AG718" s="20">
        <v>6386416</v>
      </c>
      <c r="AH718" s="21">
        <f t="shared" si="1783"/>
        <v>1588</v>
      </c>
      <c r="AI718" s="21">
        <f t="shared" si="1774"/>
        <v>1470.2</v>
      </c>
      <c r="AJ718" s="20">
        <v>6149334</v>
      </c>
      <c r="AK718" s="20">
        <f t="shared" si="1784"/>
        <v>3306</v>
      </c>
      <c r="AL718" s="21">
        <f t="shared" si="1775"/>
        <v>3594.6</v>
      </c>
      <c r="AM718" s="26">
        <f t="shared" si="1776"/>
        <v>11447.714285714286</v>
      </c>
    </row>
    <row r="719" spans="1:39" ht="13">
      <c r="A719" s="30">
        <v>44611</v>
      </c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8"/>
      <c r="Q719" s="28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</row>
    <row r="720" spans="1:39" ht="13">
      <c r="A720" s="30">
        <v>44612</v>
      </c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8"/>
      <c r="Q720" s="28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</row>
    <row r="721" spans="1:39" ht="16">
      <c r="A721" s="30">
        <v>44613</v>
      </c>
      <c r="B721" s="20">
        <f>B718+C721</f>
        <v>1759685</v>
      </c>
      <c r="C721" s="20">
        <v>13261</v>
      </c>
      <c r="D721" s="20">
        <v>43299</v>
      </c>
      <c r="E721" s="20">
        <v>1526826</v>
      </c>
      <c r="F721" s="20">
        <v>10662822</v>
      </c>
      <c r="G721" s="17">
        <f t="shared" ref="G721:G725" si="1791">F721/9.8</f>
        <v>1088043.0612244897</v>
      </c>
      <c r="H721" s="20"/>
      <c r="I721" s="19">
        <f>(B721-B718)/B718</f>
        <v>7.5932305098876333E-3</v>
      </c>
      <c r="J721" s="19">
        <f t="shared" ref="J721:J725" si="1792">B721/F721</f>
        <v>0.16502995173322785</v>
      </c>
      <c r="K721" s="19">
        <f>(F721-F718)/F718</f>
        <v>6.2066329780457773E-3</v>
      </c>
      <c r="L721" s="20">
        <v>189560</v>
      </c>
      <c r="M721" s="19">
        <f t="shared" ref="M721:M725" si="1793">D721/B721</f>
        <v>2.4606108479642664E-2</v>
      </c>
      <c r="N721" s="19">
        <f t="shared" ref="N721:N725" si="1794">E721/B721</f>
        <v>0.8676700659493034</v>
      </c>
      <c r="O721" s="20">
        <v>16290</v>
      </c>
      <c r="P721" s="28">
        <f>F721-F718</f>
        <v>65772</v>
      </c>
      <c r="Q721" s="29">
        <f t="shared" ref="Q721:Q725" si="1795">C721/P721</f>
        <v>0.20162075047132519</v>
      </c>
      <c r="R721" s="20">
        <f t="shared" ref="R721:S721" si="1796">D721-D718</f>
        <v>233</v>
      </c>
      <c r="S721" s="20">
        <f t="shared" si="1796"/>
        <v>22771</v>
      </c>
      <c r="T721" s="20">
        <v>4741</v>
      </c>
      <c r="U721" s="20">
        <v>176</v>
      </c>
      <c r="V721" s="19">
        <f t="shared" ref="V721:V725" si="1797">L721/B721</f>
        <v>0.10772382557105391</v>
      </c>
      <c r="W721" s="20">
        <f t="shared" ref="W721:X721" si="1798">T721-T718</f>
        <v>-178</v>
      </c>
      <c r="X721" s="20">
        <f t="shared" si="1798"/>
        <v>-25</v>
      </c>
      <c r="Y721" s="19">
        <f t="shared" ref="Y721:Y725" si="1799">T721/L721</f>
        <v>2.5010550749103185E-2</v>
      </c>
      <c r="Z721" s="19">
        <f t="shared" ref="Z721:Z725" si="1800">U721/T721</f>
        <v>3.7122969837587005E-2</v>
      </c>
      <c r="AA721" s="21">
        <f t="shared" ref="AA721:AA725" si="1801">(C715+C716+C717+C718+C719+C720+C721)/(C708+C709+C710+C711+C712+C713+C714)</f>
        <v>0.64070064651932035</v>
      </c>
      <c r="AB721" s="26">
        <f t="shared" ref="AB721:AB725" si="1802">SUM(AA715:AA721)/5</f>
        <v>0.65223539286103716</v>
      </c>
      <c r="AC721" s="23">
        <f t="shared" ref="AC721:AC725" si="1803">SUM(C715:C721)/7</f>
        <v>6087.5714285714284</v>
      </c>
      <c r="AD721" s="23">
        <f t="shared" ref="AD721:AD725" si="1804">SUM(R715:R721)/7</f>
        <v>95.428571428571431</v>
      </c>
      <c r="AE721" s="23">
        <f t="shared" ref="AE721:AE725" si="1805">SUM(P715:P721)/7</f>
        <v>21391.714285714286</v>
      </c>
      <c r="AF721" s="25">
        <f t="shared" ref="AF721:AF725" si="1806">SUM(Q715:Q721)/5</f>
        <v>0.36430897478530611</v>
      </c>
      <c r="AG721" s="20">
        <v>6389336</v>
      </c>
      <c r="AH721" s="21">
        <f>AG721-AG718</f>
        <v>2920</v>
      </c>
      <c r="AI721" s="21">
        <f t="shared" ref="AI721:AI725" si="1807">(SUM(AH715:AH721))/5</f>
        <v>1265.8</v>
      </c>
      <c r="AJ721" s="20">
        <v>6156649</v>
      </c>
      <c r="AK721" s="20">
        <f>AJ721-AJ718</f>
        <v>7315</v>
      </c>
      <c r="AL721" s="21">
        <f t="shared" ref="AL721:AL725" si="1808">(SUM(AK715:AK721))/5</f>
        <v>3263.6</v>
      </c>
      <c r="AM721" s="26">
        <f t="shared" ref="AM721:AM725" si="1809">SUM(S715:S721)/7</f>
        <v>10885</v>
      </c>
    </row>
    <row r="722" spans="1:39" ht="16">
      <c r="A722" s="30">
        <v>44614</v>
      </c>
      <c r="B722" s="20">
        <f t="shared" ref="B722:B725" si="1810">B721+C722</f>
        <v>1762878</v>
      </c>
      <c r="C722" s="20">
        <v>3193</v>
      </c>
      <c r="D722" s="20">
        <v>43430</v>
      </c>
      <c r="E722" s="20">
        <v>1535456</v>
      </c>
      <c r="F722" s="20">
        <v>10669050</v>
      </c>
      <c r="G722" s="17">
        <f t="shared" si="1791"/>
        <v>1088678.5714285714</v>
      </c>
      <c r="H722" s="20"/>
      <c r="I722" s="19">
        <f t="shared" ref="I722:I725" si="1811">(B722-B721)/B721</f>
        <v>1.8145293049608312E-3</v>
      </c>
      <c r="J722" s="19">
        <f t="shared" si="1792"/>
        <v>0.16523289327540877</v>
      </c>
      <c r="K722" s="19">
        <f t="shared" ref="K722:K725" si="1812">(F722-F721)/F721</f>
        <v>5.840855263268954E-4</v>
      </c>
      <c r="L722" s="20">
        <v>183992</v>
      </c>
      <c r="M722" s="19">
        <f t="shared" si="1793"/>
        <v>2.4635851147952383E-2</v>
      </c>
      <c r="N722" s="19">
        <f t="shared" si="1794"/>
        <v>0.87099390882409333</v>
      </c>
      <c r="O722" s="20">
        <v>15314</v>
      </c>
      <c r="P722" s="28">
        <f t="shared" ref="P722:P725" si="1813">F722-F721</f>
        <v>6228</v>
      </c>
      <c r="Q722" s="29">
        <f t="shared" si="1795"/>
        <v>0.51268464996788699</v>
      </c>
      <c r="R722" s="20">
        <f t="shared" ref="R722:S722" si="1814">D722-D721</f>
        <v>131</v>
      </c>
      <c r="S722" s="20">
        <f t="shared" si="1814"/>
        <v>8630</v>
      </c>
      <c r="T722" s="20">
        <v>4740</v>
      </c>
      <c r="U722" s="20">
        <v>177</v>
      </c>
      <c r="V722" s="19">
        <f t="shared" si="1797"/>
        <v>0.10437024002795429</v>
      </c>
      <c r="W722" s="20">
        <f t="shared" ref="W722:X722" si="1815">T722-T721</f>
        <v>-1</v>
      </c>
      <c r="X722" s="20">
        <f t="shared" si="1815"/>
        <v>1</v>
      </c>
      <c r="Y722" s="19">
        <f t="shared" si="1799"/>
        <v>2.5761989651723986E-2</v>
      </c>
      <c r="Z722" s="19">
        <f t="shared" si="1800"/>
        <v>3.7341772151898732E-2</v>
      </c>
      <c r="AA722" s="21">
        <f t="shared" si="1801"/>
        <v>0.64813365065447481</v>
      </c>
      <c r="AB722" s="26">
        <f t="shared" si="1802"/>
        <v>0.64710244877156664</v>
      </c>
      <c r="AC722" s="23">
        <f t="shared" si="1803"/>
        <v>5913.5714285714284</v>
      </c>
      <c r="AD722" s="23">
        <f t="shared" si="1804"/>
        <v>96.571428571428569</v>
      </c>
      <c r="AE722" s="23">
        <f t="shared" si="1805"/>
        <v>21183.571428571428</v>
      </c>
      <c r="AF722" s="25">
        <f t="shared" si="1806"/>
        <v>0.35205084947634607</v>
      </c>
      <c r="AG722" s="20">
        <v>6389711</v>
      </c>
      <c r="AH722" s="21">
        <f t="shared" ref="AH722:AH725" si="1816">AG722-AG721</f>
        <v>375</v>
      </c>
      <c r="AI722" s="21">
        <f t="shared" si="1807"/>
        <v>1230.4000000000001</v>
      </c>
      <c r="AJ722" s="20">
        <v>6158184</v>
      </c>
      <c r="AK722" s="20">
        <f t="shared" ref="AK722:AK725" si="1817">AJ722-AJ721</f>
        <v>1535</v>
      </c>
      <c r="AL722" s="21">
        <f t="shared" si="1808"/>
        <v>3149.2</v>
      </c>
      <c r="AM722" s="26">
        <f t="shared" si="1809"/>
        <v>9573.1428571428569</v>
      </c>
    </row>
    <row r="723" spans="1:39" ht="16">
      <c r="A723" s="30">
        <v>44615</v>
      </c>
      <c r="B723" s="20">
        <f t="shared" si="1810"/>
        <v>1769164</v>
      </c>
      <c r="C723" s="20">
        <v>6286</v>
      </c>
      <c r="D723" s="20">
        <v>43562</v>
      </c>
      <c r="E723" s="20">
        <v>1546872</v>
      </c>
      <c r="F723" s="20">
        <v>10686340</v>
      </c>
      <c r="G723" s="17">
        <f t="shared" si="1791"/>
        <v>1090442.857142857</v>
      </c>
      <c r="H723" s="20"/>
      <c r="I723" s="19">
        <f t="shared" si="1811"/>
        <v>3.5657600809585236E-3</v>
      </c>
      <c r="J723" s="19">
        <f t="shared" si="1792"/>
        <v>0.16555378174379629</v>
      </c>
      <c r="K723" s="19">
        <f t="shared" si="1812"/>
        <v>1.6205754026834629E-3</v>
      </c>
      <c r="L723" s="20">
        <v>178730</v>
      </c>
      <c r="M723" s="19">
        <f t="shared" si="1793"/>
        <v>2.4622929247938574E-2</v>
      </c>
      <c r="N723" s="19">
        <f t="shared" si="1794"/>
        <v>0.87435195380416963</v>
      </c>
      <c r="O723" s="20">
        <v>14632</v>
      </c>
      <c r="P723" s="28">
        <f t="shared" si="1813"/>
        <v>17290</v>
      </c>
      <c r="Q723" s="29">
        <f t="shared" si="1795"/>
        <v>0.36356275303643726</v>
      </c>
      <c r="R723" s="20">
        <f t="shared" ref="R723:S723" si="1818">D723-D722</f>
        <v>132</v>
      </c>
      <c r="S723" s="20">
        <f t="shared" si="1818"/>
        <v>11416</v>
      </c>
      <c r="T723" s="20">
        <v>4463</v>
      </c>
      <c r="U723" s="20">
        <v>170</v>
      </c>
      <c r="V723" s="19">
        <f t="shared" si="1797"/>
        <v>0.10102511694789178</v>
      </c>
      <c r="W723" s="20">
        <f t="shared" ref="W723:X723" si="1819">T723-T722</f>
        <v>-277</v>
      </c>
      <c r="X723" s="20">
        <f t="shared" si="1819"/>
        <v>-7</v>
      </c>
      <c r="Y723" s="19">
        <f t="shared" si="1799"/>
        <v>2.4970626084037374E-2</v>
      </c>
      <c r="Z723" s="19">
        <f t="shared" si="1800"/>
        <v>3.8090970199417429E-2</v>
      </c>
      <c r="AA723" s="21">
        <f t="shared" si="1801"/>
        <v>0.65961679049286792</v>
      </c>
      <c r="AB723" s="26">
        <f t="shared" si="1802"/>
        <v>0.64689281798998755</v>
      </c>
      <c r="AC723" s="23">
        <f t="shared" si="1803"/>
        <v>5542.5714285714284</v>
      </c>
      <c r="AD723" s="23">
        <f t="shared" si="1804"/>
        <v>101.57142857142857</v>
      </c>
      <c r="AE723" s="23">
        <f t="shared" si="1805"/>
        <v>21091.714285714286</v>
      </c>
      <c r="AF723" s="25">
        <f t="shared" si="1806"/>
        <v>0.32569464415880223</v>
      </c>
      <c r="AG723" s="20">
        <v>6390100</v>
      </c>
      <c r="AH723" s="21">
        <f t="shared" si="1816"/>
        <v>389</v>
      </c>
      <c r="AI723" s="21">
        <f t="shared" si="1807"/>
        <v>1202.4000000000001</v>
      </c>
      <c r="AJ723" s="20">
        <v>6159543</v>
      </c>
      <c r="AK723" s="20">
        <f t="shared" si="1817"/>
        <v>1359</v>
      </c>
      <c r="AL723" s="21">
        <f t="shared" si="1808"/>
        <v>3104.8</v>
      </c>
      <c r="AM723" s="26">
        <f t="shared" si="1809"/>
        <v>9770.2857142857138</v>
      </c>
    </row>
    <row r="724" spans="1:39" ht="16">
      <c r="A724" s="30">
        <v>44616</v>
      </c>
      <c r="B724" s="20">
        <f t="shared" si="1810"/>
        <v>1774676</v>
      </c>
      <c r="C724" s="20">
        <v>5512</v>
      </c>
      <c r="D724" s="20">
        <v>43664</v>
      </c>
      <c r="E724" s="20">
        <v>1557214</v>
      </c>
      <c r="F724" s="20">
        <v>10711279</v>
      </c>
      <c r="G724" s="17">
        <f t="shared" si="1791"/>
        <v>1092987.6530612244</v>
      </c>
      <c r="H724" s="20"/>
      <c r="I724" s="19">
        <f t="shared" si="1811"/>
        <v>3.1155958407473811E-3</v>
      </c>
      <c r="J724" s="19">
        <f t="shared" si="1792"/>
        <v>0.16568292171271051</v>
      </c>
      <c r="K724" s="19">
        <f t="shared" si="1812"/>
        <v>2.3337269822970258E-3</v>
      </c>
      <c r="L724" s="20">
        <v>173798</v>
      </c>
      <c r="M724" s="19">
        <f t="shared" si="1793"/>
        <v>2.4603927702859563E-2</v>
      </c>
      <c r="N724" s="19">
        <f t="shared" si="1794"/>
        <v>0.8774638300174229</v>
      </c>
      <c r="O724" s="20">
        <v>14566</v>
      </c>
      <c r="P724" s="28">
        <f t="shared" si="1813"/>
        <v>24939</v>
      </c>
      <c r="Q724" s="29">
        <f t="shared" si="1795"/>
        <v>0.22101928706042745</v>
      </c>
      <c r="R724" s="20">
        <f t="shared" ref="R724:S724" si="1820">D724-D723</f>
        <v>102</v>
      </c>
      <c r="S724" s="20">
        <f t="shared" si="1820"/>
        <v>10342</v>
      </c>
      <c r="T724" s="20">
        <v>4199</v>
      </c>
      <c r="U724" s="20">
        <v>165</v>
      </c>
      <c r="V724" s="19">
        <f t="shared" si="1797"/>
        <v>9.7932242279717543E-2</v>
      </c>
      <c r="W724" s="20">
        <f t="shared" ref="W724:X724" si="1821">T724-T723</f>
        <v>-264</v>
      </c>
      <c r="X724" s="20">
        <f t="shared" si="1821"/>
        <v>-5</v>
      </c>
      <c r="Y724" s="19">
        <f t="shared" si="1799"/>
        <v>2.4160231993463677E-2</v>
      </c>
      <c r="Z724" s="19">
        <f t="shared" si="1800"/>
        <v>3.9295070254822574E-2</v>
      </c>
      <c r="AA724" s="21">
        <f t="shared" si="1801"/>
        <v>0.65548869973583801</v>
      </c>
      <c r="AB724" s="26">
        <f t="shared" si="1802"/>
        <v>0.64823252125584929</v>
      </c>
      <c r="AC724" s="23">
        <f t="shared" si="1803"/>
        <v>5104.5714285714284</v>
      </c>
      <c r="AD724" s="23">
        <f t="shared" si="1804"/>
        <v>99.714285714285708</v>
      </c>
      <c r="AE724" s="23">
        <f t="shared" si="1805"/>
        <v>20178.857142857141</v>
      </c>
      <c r="AF724" s="25">
        <f t="shared" si="1806"/>
        <v>0.31513773678426826</v>
      </c>
      <c r="AG724" s="20">
        <v>6390568</v>
      </c>
      <c r="AH724" s="21">
        <f t="shared" si="1816"/>
        <v>468</v>
      </c>
      <c r="AI724" s="21">
        <f t="shared" si="1807"/>
        <v>1148</v>
      </c>
      <c r="AJ724" s="20">
        <v>6161000</v>
      </c>
      <c r="AK724" s="20">
        <f t="shared" si="1817"/>
        <v>1457</v>
      </c>
      <c r="AL724" s="21">
        <f t="shared" si="1808"/>
        <v>2994.4</v>
      </c>
      <c r="AM724" s="26">
        <f t="shared" si="1809"/>
        <v>9139.1428571428569</v>
      </c>
    </row>
    <row r="725" spans="1:39" ht="16">
      <c r="A725" s="30">
        <v>44617</v>
      </c>
      <c r="B725" s="20">
        <f t="shared" si="1810"/>
        <v>1779174</v>
      </c>
      <c r="C725" s="20">
        <v>4498</v>
      </c>
      <c r="D725" s="20">
        <v>43752</v>
      </c>
      <c r="E725" s="20">
        <v>1566509</v>
      </c>
      <c r="F725" s="20">
        <v>10733913</v>
      </c>
      <c r="G725" s="17">
        <f t="shared" si="1791"/>
        <v>1095297.2448979591</v>
      </c>
      <c r="H725" s="20"/>
      <c r="I725" s="19">
        <f t="shared" si="1811"/>
        <v>2.5345471511419551E-3</v>
      </c>
      <c r="J725" s="19">
        <f t="shared" si="1792"/>
        <v>0.16575260112505105</v>
      </c>
      <c r="K725" s="19">
        <f t="shared" si="1812"/>
        <v>2.1130996587802446E-3</v>
      </c>
      <c r="L725" s="20">
        <v>168913</v>
      </c>
      <c r="M725" s="19">
        <f t="shared" si="1793"/>
        <v>2.4591186696748042E-2</v>
      </c>
      <c r="N725" s="19">
        <f t="shared" si="1794"/>
        <v>0.88046981352020659</v>
      </c>
      <c r="O725" s="20">
        <v>14999</v>
      </c>
      <c r="P725" s="28">
        <f t="shared" si="1813"/>
        <v>22634</v>
      </c>
      <c r="Q725" s="29">
        <f t="shared" si="1795"/>
        <v>0.19872757798003005</v>
      </c>
      <c r="R725" s="20">
        <f t="shared" ref="R725:S725" si="1822">D725-D724</f>
        <v>88</v>
      </c>
      <c r="S725" s="20">
        <f t="shared" si="1822"/>
        <v>9295</v>
      </c>
      <c r="T725" s="20">
        <v>3997</v>
      </c>
      <c r="U725" s="20">
        <v>148</v>
      </c>
      <c r="V725" s="19">
        <f t="shared" si="1797"/>
        <v>9.4938999783045389E-2</v>
      </c>
      <c r="W725" s="20">
        <f t="shared" ref="W725:X725" si="1823">T725-T724</f>
        <v>-202</v>
      </c>
      <c r="X725" s="20">
        <f t="shared" si="1823"/>
        <v>-17</v>
      </c>
      <c r="Y725" s="19">
        <f t="shared" si="1799"/>
        <v>2.3663069153943155E-2</v>
      </c>
      <c r="Z725" s="19">
        <f t="shared" si="1800"/>
        <v>3.7027770828121094E-2</v>
      </c>
      <c r="AA725" s="21">
        <f t="shared" si="1801"/>
        <v>0.64937640037277178</v>
      </c>
      <c r="AB725" s="26">
        <f t="shared" si="1802"/>
        <v>0.65066323755505451</v>
      </c>
      <c r="AC725" s="23">
        <f t="shared" si="1803"/>
        <v>4678.5714285714284</v>
      </c>
      <c r="AD725" s="23">
        <f t="shared" si="1804"/>
        <v>98</v>
      </c>
      <c r="AE725" s="23">
        <f t="shared" si="1805"/>
        <v>19551.857142857141</v>
      </c>
      <c r="AF725" s="25">
        <f t="shared" si="1806"/>
        <v>0.29952300370322138</v>
      </c>
      <c r="AG725" s="20">
        <v>6391940</v>
      </c>
      <c r="AH725" s="21">
        <f t="shared" si="1816"/>
        <v>1372</v>
      </c>
      <c r="AI725" s="21">
        <f t="shared" si="1807"/>
        <v>1104.8</v>
      </c>
      <c r="AJ725" s="20">
        <v>6163700</v>
      </c>
      <c r="AK725" s="20">
        <f t="shared" si="1817"/>
        <v>2700</v>
      </c>
      <c r="AL725" s="21">
        <f t="shared" si="1808"/>
        <v>2873.2</v>
      </c>
      <c r="AM725" s="26">
        <f t="shared" si="1809"/>
        <v>8922</v>
      </c>
    </row>
    <row r="726" spans="1:39" ht="13">
      <c r="A726" s="30">
        <v>44618</v>
      </c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8"/>
      <c r="Q726" s="28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</row>
    <row r="727" spans="1:39" ht="13">
      <c r="A727" s="30">
        <v>44619</v>
      </c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8"/>
      <c r="Q727" s="28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</row>
    <row r="728" spans="1:39" ht="16">
      <c r="A728" s="30">
        <v>44620</v>
      </c>
      <c r="B728" s="20">
        <f>B725+C728</f>
        <v>1787544</v>
      </c>
      <c r="C728" s="20">
        <v>8370</v>
      </c>
      <c r="D728" s="20">
        <v>43949</v>
      </c>
      <c r="E728" s="20">
        <v>1588843</v>
      </c>
      <c r="F728" s="20">
        <v>10784987</v>
      </c>
      <c r="G728" s="17">
        <f t="shared" ref="G728:G732" si="1824">F728/9.8</f>
        <v>1100508.8775510204</v>
      </c>
      <c r="H728" s="20"/>
      <c r="I728" s="19">
        <f>(B728-B725)/B725</f>
        <v>4.7044302580860559E-3</v>
      </c>
      <c r="J728" s="19">
        <f t="shared" ref="J728:J732" si="1825">B728/F728</f>
        <v>0.16574373246810589</v>
      </c>
      <c r="K728" s="19">
        <f>(F728-F725)/F725</f>
        <v>4.7581902331423776E-3</v>
      </c>
      <c r="L728" s="20">
        <v>154752</v>
      </c>
      <c r="M728" s="19">
        <f t="shared" ref="M728:M732" si="1826">D728/B728</f>
        <v>2.4586247946903686E-2</v>
      </c>
      <c r="N728" s="19">
        <f t="shared" ref="N728:N732" si="1827">E728/B728</f>
        <v>0.88884133761182937</v>
      </c>
      <c r="O728" s="20">
        <v>11624</v>
      </c>
      <c r="P728" s="28">
        <f>F728-F725</f>
        <v>51074</v>
      </c>
      <c r="Q728" s="29">
        <f t="shared" ref="Q728:Q732" si="1828">C728/P728</f>
        <v>0.1638798605944316</v>
      </c>
      <c r="R728" s="20">
        <f t="shared" ref="R728:S728" si="1829">D728-D725</f>
        <v>197</v>
      </c>
      <c r="S728" s="20">
        <f t="shared" si="1829"/>
        <v>22334</v>
      </c>
      <c r="T728" s="20">
        <v>3615</v>
      </c>
      <c r="U728" s="20">
        <v>132</v>
      </c>
      <c r="V728" s="19">
        <f t="shared" ref="V728:V732" si="1830">L728/B728</f>
        <v>8.6572414441266898E-2</v>
      </c>
      <c r="W728" s="20">
        <f t="shared" ref="W728:X728" si="1831">T728-T725</f>
        <v>-382</v>
      </c>
      <c r="X728" s="20">
        <f t="shared" si="1831"/>
        <v>-16</v>
      </c>
      <c r="Y728" s="19">
        <f t="shared" ref="Y728:Y732" si="1832">T728/L728</f>
        <v>2.3359956575682381E-2</v>
      </c>
      <c r="Z728" s="19">
        <f t="shared" ref="Z728:Z732" si="1833">U728/T728</f>
        <v>3.6514522821576766E-2</v>
      </c>
      <c r="AA728" s="21">
        <f t="shared" ref="AA728:AA732" si="1834">(C722+C723+C724+C725+C726+C727+C728)/(C715+C716+C717+C718+C719+C720+C721)</f>
        <v>0.65376762959660195</v>
      </c>
      <c r="AB728" s="26">
        <f t="shared" ref="AB728:AB732" si="1835">SUM(AA722:AA728)/5</f>
        <v>0.65327663417051096</v>
      </c>
      <c r="AC728" s="23">
        <f t="shared" ref="AC728:AC732" si="1836">SUM(C722:C728)/7</f>
        <v>3979.8571428571427</v>
      </c>
      <c r="AD728" s="23">
        <f t="shared" ref="AD728:AD732" si="1837">SUM(R722:R728)/7</f>
        <v>92.857142857142861</v>
      </c>
      <c r="AE728" s="23">
        <f t="shared" ref="AE728:AE732" si="1838">SUM(P722:P728)/7</f>
        <v>17452.142857142859</v>
      </c>
      <c r="AF728" s="25">
        <f t="shared" ref="AF728:AF732" si="1839">SUM(Q722:Q728)/5</f>
        <v>0.29197482572784267</v>
      </c>
      <c r="AG728" s="20">
        <v>6394379</v>
      </c>
      <c r="AH728" s="21">
        <f>AG728-AG725</f>
        <v>2439</v>
      </c>
      <c r="AI728" s="21">
        <f t="shared" ref="AI728:AI732" si="1840">(SUM(AH722:AH728))/5</f>
        <v>1008.6</v>
      </c>
      <c r="AJ728" s="20">
        <v>6168926</v>
      </c>
      <c r="AK728" s="20">
        <f>AJ728-AJ725</f>
        <v>5226</v>
      </c>
      <c r="AL728" s="21">
        <f t="shared" ref="AL728:AL732" si="1841">(SUM(AK722:AK728))/5</f>
        <v>2455.4</v>
      </c>
      <c r="AM728" s="26">
        <f t="shared" ref="AM728:AM732" si="1842">SUM(S722:S728)/7</f>
        <v>8859.5714285714294</v>
      </c>
    </row>
    <row r="729" spans="1:39" ht="16">
      <c r="A729" s="30">
        <v>44621</v>
      </c>
      <c r="B729" s="20">
        <f t="shared" ref="B729:B732" si="1843">B728+C729</f>
        <v>1789581</v>
      </c>
      <c r="C729" s="20">
        <v>2037</v>
      </c>
      <c r="D729" s="20">
        <v>44051</v>
      </c>
      <c r="E729" s="20">
        <v>1595008</v>
      </c>
      <c r="F729" s="20">
        <v>10789819</v>
      </c>
      <c r="G729" s="17">
        <f t="shared" si="1824"/>
        <v>1101001.9387755101</v>
      </c>
      <c r="H729" s="20"/>
      <c r="I729" s="19">
        <f t="shared" ref="I729:I732" si="1844">(B729-B728)/B728</f>
        <v>1.1395523690605658E-3</v>
      </c>
      <c r="J729" s="19">
        <f t="shared" si="1825"/>
        <v>0.16585829660349261</v>
      </c>
      <c r="K729" s="19">
        <f t="shared" ref="K729:K732" si="1845">(F729-F728)/F728</f>
        <v>4.480302108848161E-4</v>
      </c>
      <c r="L729" s="20">
        <v>150522</v>
      </c>
      <c r="M729" s="19">
        <f t="shared" si="1826"/>
        <v>2.4615259102549702E-2</v>
      </c>
      <c r="N729" s="19">
        <f t="shared" si="1827"/>
        <v>0.89127454974097287</v>
      </c>
      <c r="O729" s="20">
        <v>10799</v>
      </c>
      <c r="P729" s="28">
        <f t="shared" ref="P729:P732" si="1846">F729-F728</f>
        <v>4832</v>
      </c>
      <c r="Q729" s="29">
        <f t="shared" si="1828"/>
        <v>0.42156456953642385</v>
      </c>
      <c r="R729" s="20">
        <f t="shared" ref="R729:S729" si="1847">D729-D728</f>
        <v>102</v>
      </c>
      <c r="S729" s="20">
        <f t="shared" si="1847"/>
        <v>6165</v>
      </c>
      <c r="T729" s="20">
        <v>3610</v>
      </c>
      <c r="U729" s="20">
        <v>136</v>
      </c>
      <c r="V729" s="19">
        <f t="shared" si="1830"/>
        <v>8.4110191156477415E-2</v>
      </c>
      <c r="W729" s="20">
        <f t="shared" ref="W729:X729" si="1848">T729-T728</f>
        <v>-5</v>
      </c>
      <c r="X729" s="20">
        <f t="shared" si="1848"/>
        <v>4</v>
      </c>
      <c r="Y729" s="19">
        <f t="shared" si="1832"/>
        <v>2.3983205112873867E-2</v>
      </c>
      <c r="Z729" s="19">
        <f t="shared" si="1833"/>
        <v>3.7673130193905814E-2</v>
      </c>
      <c r="AA729" s="21">
        <f t="shared" si="1834"/>
        <v>0.6450779079598985</v>
      </c>
      <c r="AB729" s="26">
        <f t="shared" si="1835"/>
        <v>0.65266548563159565</v>
      </c>
      <c r="AC729" s="23">
        <f t="shared" si="1836"/>
        <v>3814.7142857142858</v>
      </c>
      <c r="AD729" s="23">
        <f t="shared" si="1837"/>
        <v>88.714285714285708</v>
      </c>
      <c r="AE729" s="23">
        <f t="shared" si="1838"/>
        <v>17252.714285714286</v>
      </c>
      <c r="AF729" s="25">
        <f t="shared" si="1839"/>
        <v>0.27375080964155007</v>
      </c>
      <c r="AG729" s="20">
        <v>6394782</v>
      </c>
      <c r="AH729" s="21">
        <f t="shared" ref="AH729:AH732" si="1849">AG729-AG728</f>
        <v>403</v>
      </c>
      <c r="AI729" s="21">
        <f t="shared" si="1840"/>
        <v>1014.2</v>
      </c>
      <c r="AJ729" s="20">
        <v>6169995</v>
      </c>
      <c r="AK729" s="20">
        <f t="shared" ref="AK729:AK732" si="1850">AJ729-AJ728</f>
        <v>1069</v>
      </c>
      <c r="AL729" s="21">
        <f t="shared" si="1841"/>
        <v>2362.1999999999998</v>
      </c>
      <c r="AM729" s="26">
        <f t="shared" si="1842"/>
        <v>8507.4285714285706</v>
      </c>
    </row>
    <row r="730" spans="1:39" ht="16">
      <c r="A730" s="30">
        <v>44622</v>
      </c>
      <c r="B730" s="20">
        <f t="shared" si="1843"/>
        <v>1793120</v>
      </c>
      <c r="C730" s="20">
        <v>3539</v>
      </c>
      <c r="D730" s="20">
        <v>44134</v>
      </c>
      <c r="E730" s="20">
        <v>1606084</v>
      </c>
      <c r="F730" s="20">
        <v>10800452</v>
      </c>
      <c r="G730" s="17">
        <f t="shared" si="1824"/>
        <v>1102086.9387755101</v>
      </c>
      <c r="H730" s="20"/>
      <c r="I730" s="19">
        <f t="shared" si="1844"/>
        <v>1.9775578752791855E-3</v>
      </c>
      <c r="J730" s="19">
        <f t="shared" si="1825"/>
        <v>0.16602268127296896</v>
      </c>
      <c r="K730" s="19">
        <f t="shared" si="1845"/>
        <v>9.8546602125577833E-4</v>
      </c>
      <c r="L730" s="20">
        <v>142902</v>
      </c>
      <c r="M730" s="19">
        <f t="shared" si="1826"/>
        <v>2.4612965111091283E-2</v>
      </c>
      <c r="N730" s="19">
        <f t="shared" si="1827"/>
        <v>0.89569242437762109</v>
      </c>
      <c r="O730" s="20">
        <v>9800</v>
      </c>
      <c r="P730" s="28">
        <f t="shared" si="1846"/>
        <v>10633</v>
      </c>
      <c r="Q730" s="29">
        <f t="shared" si="1828"/>
        <v>0.33283175021160538</v>
      </c>
      <c r="R730" s="20">
        <f t="shared" ref="R730:S730" si="1851">D730-D729</f>
        <v>83</v>
      </c>
      <c r="S730" s="20">
        <f t="shared" si="1851"/>
        <v>11076</v>
      </c>
      <c r="T730" s="20">
        <v>3313</v>
      </c>
      <c r="U730" s="20">
        <v>133</v>
      </c>
      <c r="V730" s="19">
        <f t="shared" si="1830"/>
        <v>7.9694610511287595E-2</v>
      </c>
      <c r="W730" s="20">
        <f t="shared" ref="W730:X730" si="1852">T730-T729</f>
        <v>-297</v>
      </c>
      <c r="X730" s="20">
        <f t="shared" si="1852"/>
        <v>-3</v>
      </c>
      <c r="Y730" s="19">
        <f t="shared" si="1832"/>
        <v>2.3183720311822087E-2</v>
      </c>
      <c r="Z730" s="19">
        <f t="shared" si="1833"/>
        <v>4.0144883791125865E-2</v>
      </c>
      <c r="AA730" s="21">
        <f t="shared" si="1834"/>
        <v>0.6174545079643281</v>
      </c>
      <c r="AB730" s="26">
        <f t="shared" si="1835"/>
        <v>0.64423302912588765</v>
      </c>
      <c r="AC730" s="23">
        <f t="shared" si="1836"/>
        <v>3422.2857142857142</v>
      </c>
      <c r="AD730" s="23">
        <f t="shared" si="1837"/>
        <v>81.714285714285708</v>
      </c>
      <c r="AE730" s="23">
        <f t="shared" si="1838"/>
        <v>16301.714285714286</v>
      </c>
      <c r="AF730" s="25">
        <f t="shared" si="1839"/>
        <v>0.26760460907658368</v>
      </c>
      <c r="AG730" s="20">
        <v>6395085</v>
      </c>
      <c r="AH730" s="21">
        <f t="shared" si="1849"/>
        <v>303</v>
      </c>
      <c r="AI730" s="21">
        <f t="shared" si="1840"/>
        <v>997</v>
      </c>
      <c r="AJ730" s="20">
        <v>6170630</v>
      </c>
      <c r="AK730" s="20">
        <f t="shared" si="1850"/>
        <v>635</v>
      </c>
      <c r="AL730" s="21">
        <f t="shared" si="1841"/>
        <v>2217.4</v>
      </c>
      <c r="AM730" s="26">
        <f t="shared" si="1842"/>
        <v>8458.8571428571431</v>
      </c>
    </row>
    <row r="731" spans="1:39" ht="16">
      <c r="A731" s="30">
        <v>44623</v>
      </c>
      <c r="B731" s="20">
        <f t="shared" si="1843"/>
        <v>1796982</v>
      </c>
      <c r="C731" s="20">
        <v>3862</v>
      </c>
      <c r="D731" s="20">
        <v>44211</v>
      </c>
      <c r="E731" s="20">
        <v>1610315</v>
      </c>
      <c r="F731" s="20">
        <v>10818978</v>
      </c>
      <c r="G731" s="17">
        <f t="shared" si="1824"/>
        <v>1103977.3469387754</v>
      </c>
      <c r="H731" s="20"/>
      <c r="I731" s="19">
        <f t="shared" si="1844"/>
        <v>2.1537878111894354E-3</v>
      </c>
      <c r="J731" s="19">
        <f t="shared" si="1825"/>
        <v>0.16609535577205167</v>
      </c>
      <c r="K731" s="19">
        <f t="shared" si="1845"/>
        <v>1.7152985819482371E-3</v>
      </c>
      <c r="L731" s="20">
        <v>142456</v>
      </c>
      <c r="M731" s="19">
        <f t="shared" si="1826"/>
        <v>2.4602917558439651E-2</v>
      </c>
      <c r="N731" s="19">
        <f t="shared" si="1827"/>
        <v>0.89612194223425723</v>
      </c>
      <c r="O731" s="20">
        <v>9646</v>
      </c>
      <c r="P731" s="28">
        <f t="shared" si="1846"/>
        <v>18526</v>
      </c>
      <c r="Q731" s="29">
        <f t="shared" si="1828"/>
        <v>0.20846378063262441</v>
      </c>
      <c r="R731" s="20">
        <f t="shared" ref="R731:S731" si="1853">D731-D730</f>
        <v>77</v>
      </c>
      <c r="S731" s="20">
        <f t="shared" si="1853"/>
        <v>4231</v>
      </c>
      <c r="T731" s="20">
        <v>3120</v>
      </c>
      <c r="U731" s="20">
        <v>126</v>
      </c>
      <c r="V731" s="19">
        <f t="shared" si="1830"/>
        <v>7.9275140207303127E-2</v>
      </c>
      <c r="W731" s="20">
        <f t="shared" ref="W731:X731" si="1854">T731-T730</f>
        <v>-193</v>
      </c>
      <c r="X731" s="20">
        <f t="shared" si="1854"/>
        <v>-7</v>
      </c>
      <c r="Y731" s="19">
        <f t="shared" si="1832"/>
        <v>2.1901499410344246E-2</v>
      </c>
      <c r="Z731" s="19">
        <f t="shared" si="1833"/>
        <v>4.0384615384615387E-2</v>
      </c>
      <c r="AA731" s="21">
        <f t="shared" si="1834"/>
        <v>0.62425836784954658</v>
      </c>
      <c r="AB731" s="26">
        <f t="shared" si="1835"/>
        <v>0.63798696274862932</v>
      </c>
      <c r="AC731" s="23">
        <f t="shared" si="1836"/>
        <v>3186.5714285714284</v>
      </c>
      <c r="AD731" s="23">
        <f t="shared" si="1837"/>
        <v>78.142857142857139</v>
      </c>
      <c r="AE731" s="23">
        <f t="shared" si="1838"/>
        <v>15385.571428571429</v>
      </c>
      <c r="AF731" s="25">
        <f t="shared" si="1839"/>
        <v>0.26509350779102309</v>
      </c>
      <c r="AG731" s="20">
        <v>6395509</v>
      </c>
      <c r="AH731" s="21">
        <f t="shared" si="1849"/>
        <v>424</v>
      </c>
      <c r="AI731" s="21">
        <f t="shared" si="1840"/>
        <v>988.2</v>
      </c>
      <c r="AJ731" s="20">
        <v>6171552</v>
      </c>
      <c r="AK731" s="20">
        <f t="shared" si="1850"/>
        <v>922</v>
      </c>
      <c r="AL731" s="21">
        <f t="shared" si="1841"/>
        <v>2110.4</v>
      </c>
      <c r="AM731" s="26">
        <f t="shared" si="1842"/>
        <v>7585.8571428571431</v>
      </c>
    </row>
    <row r="732" spans="1:39" ht="16">
      <c r="A732" s="30">
        <v>44624</v>
      </c>
      <c r="B732" s="20">
        <f t="shared" si="1843"/>
        <v>1800046</v>
      </c>
      <c r="C732" s="20">
        <v>3064</v>
      </c>
      <c r="D732" s="20">
        <v>44286</v>
      </c>
      <c r="E732" s="20">
        <v>1618574</v>
      </c>
      <c r="F732" s="20">
        <v>10836962</v>
      </c>
      <c r="G732" s="17">
        <f t="shared" si="1824"/>
        <v>1105812.4489795917</v>
      </c>
      <c r="H732" s="20"/>
      <c r="I732" s="19">
        <f t="shared" si="1844"/>
        <v>1.7050810748243444E-3</v>
      </c>
      <c r="J732" s="19">
        <f t="shared" si="1825"/>
        <v>0.16610245565131629</v>
      </c>
      <c r="K732" s="19">
        <f t="shared" si="1845"/>
        <v>1.6622642175628788E-3</v>
      </c>
      <c r="L732" s="20">
        <v>137186</v>
      </c>
      <c r="M732" s="19">
        <f t="shared" si="1826"/>
        <v>2.4602704597549173E-2</v>
      </c>
      <c r="N732" s="19">
        <f t="shared" si="1827"/>
        <v>0.89918479861070222</v>
      </c>
      <c r="O732" s="20">
        <v>9718</v>
      </c>
      <c r="P732" s="28">
        <f t="shared" si="1846"/>
        <v>17984</v>
      </c>
      <c r="Q732" s="29">
        <f t="shared" si="1828"/>
        <v>0.17037366548042704</v>
      </c>
      <c r="R732" s="20">
        <f t="shared" ref="R732:S732" si="1855">D732-D731</f>
        <v>75</v>
      </c>
      <c r="S732" s="20">
        <f t="shared" si="1855"/>
        <v>8259</v>
      </c>
      <c r="T732" s="20">
        <v>2961</v>
      </c>
      <c r="U732" s="20">
        <v>127</v>
      </c>
      <c r="V732" s="19">
        <f t="shared" si="1830"/>
        <v>7.6212496791748657E-2</v>
      </c>
      <c r="W732" s="20">
        <f t="shared" ref="W732:X732" si="1856">T732-T731</f>
        <v>-159</v>
      </c>
      <c r="X732" s="20">
        <f t="shared" si="1856"/>
        <v>1</v>
      </c>
      <c r="Y732" s="19">
        <f t="shared" si="1832"/>
        <v>2.1583835085212777E-2</v>
      </c>
      <c r="Z732" s="19">
        <f t="shared" si="1833"/>
        <v>4.2890915231340761E-2</v>
      </c>
      <c r="AA732" s="21">
        <f t="shared" si="1834"/>
        <v>0.63731297709923662</v>
      </c>
      <c r="AB732" s="26">
        <f t="shared" si="1835"/>
        <v>0.63557427809392242</v>
      </c>
      <c r="AC732" s="23">
        <f t="shared" si="1836"/>
        <v>2981.7142857142858</v>
      </c>
      <c r="AD732" s="23">
        <f t="shared" si="1837"/>
        <v>76.285714285714292</v>
      </c>
      <c r="AE732" s="23">
        <f t="shared" si="1838"/>
        <v>14721.285714285714</v>
      </c>
      <c r="AF732" s="25">
        <f t="shared" si="1839"/>
        <v>0.25942272529110244</v>
      </c>
      <c r="AG732" s="20">
        <v>6396404</v>
      </c>
      <c r="AH732" s="21">
        <f t="shared" si="1849"/>
        <v>895</v>
      </c>
      <c r="AI732" s="21">
        <f t="shared" si="1840"/>
        <v>892.8</v>
      </c>
      <c r="AJ732" s="20">
        <v>6173237</v>
      </c>
      <c r="AK732" s="20">
        <f t="shared" si="1850"/>
        <v>1685</v>
      </c>
      <c r="AL732" s="21">
        <f t="shared" si="1841"/>
        <v>1907.4</v>
      </c>
      <c r="AM732" s="26">
        <f t="shared" si="1842"/>
        <v>7437.8571428571431</v>
      </c>
    </row>
    <row r="733" spans="1:39" ht="13">
      <c r="A733" s="30">
        <v>44625</v>
      </c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8"/>
      <c r="Q733" s="28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</row>
    <row r="734" spans="1:39" ht="13">
      <c r="A734" s="30">
        <v>44626</v>
      </c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8"/>
      <c r="Q734" s="28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</row>
    <row r="735" spans="1:39" ht="16">
      <c r="A735" s="30">
        <v>44627</v>
      </c>
      <c r="B735" s="20">
        <f>B732+C735</f>
        <v>1805898</v>
      </c>
      <c r="C735" s="20">
        <v>5852</v>
      </c>
      <c r="D735" s="20">
        <v>44436</v>
      </c>
      <c r="E735" s="20">
        <v>1632325</v>
      </c>
      <c r="F735" s="20">
        <v>10878929</v>
      </c>
      <c r="G735" s="17">
        <f t="shared" ref="G735:G739" si="1857">F735/9.8</f>
        <v>1110094.7959183673</v>
      </c>
      <c r="H735" s="20"/>
      <c r="I735" s="19">
        <f>(B735-B732)/B732</f>
        <v>3.2510280292836961E-3</v>
      </c>
      <c r="J735" s="19">
        <f t="shared" ref="J735:J739" si="1858">B735/F735</f>
        <v>0.16599961264569335</v>
      </c>
      <c r="K735" s="19">
        <f>(F735-F732)/F732</f>
        <v>3.8725797875825345E-3</v>
      </c>
      <c r="L735" s="20">
        <v>129137</v>
      </c>
      <c r="M735" s="19">
        <f t="shared" ref="M735:M739" si="1859">D735/B735</f>
        <v>2.460604087274032E-2</v>
      </c>
      <c r="N735" s="19">
        <f t="shared" ref="N735:N739" si="1860">E735/B735</f>
        <v>0.9038854907641517</v>
      </c>
      <c r="O735" s="20">
        <v>7342</v>
      </c>
      <c r="P735" s="28">
        <f>F735-F732</f>
        <v>41967</v>
      </c>
      <c r="Q735" s="29">
        <f t="shared" ref="Q735:Q739" si="1861">C735/P735</f>
        <v>0.13944289560845427</v>
      </c>
      <c r="R735" s="20">
        <f t="shared" ref="R735:S735" si="1862">D735-D732</f>
        <v>150</v>
      </c>
      <c r="S735" s="20">
        <f t="shared" si="1862"/>
        <v>13751</v>
      </c>
      <c r="T735" s="20">
        <v>2745</v>
      </c>
      <c r="U735" s="20">
        <v>117</v>
      </c>
      <c r="V735" s="19">
        <f t="shared" ref="V735:V739" si="1863">L735/B735</f>
        <v>7.1508468363107994E-2</v>
      </c>
      <c r="W735" s="20">
        <f t="shared" ref="W735:X735" si="1864">T735-T732</f>
        <v>-216</v>
      </c>
      <c r="X735" s="20">
        <f t="shared" si="1864"/>
        <v>-10</v>
      </c>
      <c r="Y735" s="19">
        <f t="shared" ref="Y735:Y739" si="1865">T735/L735</f>
        <v>2.1256495040151157E-2</v>
      </c>
      <c r="Z735" s="19">
        <f t="shared" ref="Z735:Z739" si="1866">U735/T735</f>
        <v>4.2622950819672129E-2</v>
      </c>
      <c r="AA735" s="21">
        <f t="shared" ref="AA735:AA739" si="1867">(C729+C730+C731+C732+C733+C734+C735)/(C722+C723+C724+C725+C726+C727+C728)</f>
        <v>0.65881761728705268</v>
      </c>
      <c r="AB735" s="26">
        <f t="shared" ref="AB735:AB739" si="1868">SUM(AA729:AA735)/5</f>
        <v>0.63658427563201248</v>
      </c>
      <c r="AC735" s="23">
        <f t="shared" ref="AC735:AC739" si="1869">SUM(C729:C735)/7</f>
        <v>2622</v>
      </c>
      <c r="AD735" s="23">
        <f t="shared" ref="AD735:AD739" si="1870">SUM(R729:R735)/7</f>
        <v>69.571428571428569</v>
      </c>
      <c r="AE735" s="23">
        <f t="shared" ref="AE735:AE739" si="1871">SUM(P729:P735)/7</f>
        <v>13420.285714285714</v>
      </c>
      <c r="AF735" s="25">
        <f t="shared" ref="AF735:AF739" si="1872">SUM(Q729:Q735)/5</f>
        <v>0.25453533229390701</v>
      </c>
      <c r="AG735" s="20">
        <v>6397455</v>
      </c>
      <c r="AH735" s="21">
        <f>AG735-AG732</f>
        <v>1051</v>
      </c>
      <c r="AI735" s="21">
        <f t="shared" ref="AI735:AI739" si="1873">(SUM(AH729:AH735))/5</f>
        <v>615.20000000000005</v>
      </c>
      <c r="AJ735" s="20">
        <v>6175674</v>
      </c>
      <c r="AK735" s="20">
        <f>AJ735-AJ732</f>
        <v>2437</v>
      </c>
      <c r="AL735" s="21">
        <f t="shared" ref="AL735:AL739" si="1874">(SUM(AK729:AK735))/5</f>
        <v>1349.6</v>
      </c>
      <c r="AM735" s="26">
        <f t="shared" ref="AM735:AM739" si="1875">SUM(S729:S735)/7</f>
        <v>6211.7142857142853</v>
      </c>
    </row>
    <row r="736" spans="1:39" ht="16">
      <c r="A736" s="30">
        <v>44628</v>
      </c>
      <c r="B736" s="20">
        <f t="shared" ref="B736:B739" si="1876">B735+C736</f>
        <v>1807285</v>
      </c>
      <c r="C736" s="20">
        <v>1387</v>
      </c>
      <c r="D736" s="20">
        <v>44495</v>
      </c>
      <c r="E736" s="20">
        <v>1636781</v>
      </c>
      <c r="F736" s="20">
        <v>10882684</v>
      </c>
      <c r="G736" s="17">
        <f t="shared" si="1857"/>
        <v>1110477.9591836734</v>
      </c>
      <c r="H736" s="20"/>
      <c r="I736" s="19">
        <f t="shared" ref="I736:I739" si="1877">(B736-B735)/B735</f>
        <v>7.6803894793615142E-4</v>
      </c>
      <c r="J736" s="19">
        <f t="shared" si="1858"/>
        <v>0.1660697857256537</v>
      </c>
      <c r="K736" s="19">
        <f t="shared" ref="K736:K739" si="1878">(F736-F735)/F735</f>
        <v>3.4516265341928422E-4</v>
      </c>
      <c r="L736" s="20">
        <v>126009</v>
      </c>
      <c r="M736" s="19">
        <f t="shared" si="1859"/>
        <v>2.4619802632124984E-2</v>
      </c>
      <c r="N736" s="19">
        <f t="shared" si="1860"/>
        <v>0.90565738109927318</v>
      </c>
      <c r="O736" s="20">
        <v>7342</v>
      </c>
      <c r="P736" s="28">
        <f t="shared" ref="P736:P739" si="1879">F736-F735</f>
        <v>3755</v>
      </c>
      <c r="Q736" s="29">
        <f t="shared" si="1861"/>
        <v>0.36937416777629828</v>
      </c>
      <c r="R736" s="20">
        <f t="shared" ref="R736:S736" si="1880">D736-D735</f>
        <v>59</v>
      </c>
      <c r="S736" s="20">
        <f t="shared" si="1880"/>
        <v>4456</v>
      </c>
      <c r="T736" s="20">
        <v>2766</v>
      </c>
      <c r="U736" s="20">
        <v>114</v>
      </c>
      <c r="V736" s="19">
        <f t="shared" si="1863"/>
        <v>6.97228162686018E-2</v>
      </c>
      <c r="W736" s="20">
        <f t="shared" ref="W736:X736" si="1881">T736-T735</f>
        <v>21</v>
      </c>
      <c r="X736" s="20">
        <f t="shared" si="1881"/>
        <v>-3</v>
      </c>
      <c r="Y736" s="19">
        <f t="shared" si="1865"/>
        <v>2.1950813037164011E-2</v>
      </c>
      <c r="Z736" s="19">
        <f t="shared" si="1866"/>
        <v>4.1214750542299353E-2</v>
      </c>
      <c r="AA736" s="21">
        <f t="shared" si="1867"/>
        <v>0.66299666704115645</v>
      </c>
      <c r="AB736" s="26">
        <f t="shared" si="1868"/>
        <v>0.64016802744826395</v>
      </c>
      <c r="AC736" s="23">
        <f t="shared" si="1869"/>
        <v>2529.1428571428573</v>
      </c>
      <c r="AD736" s="23">
        <f t="shared" si="1870"/>
        <v>63.428571428571431</v>
      </c>
      <c r="AE736" s="23">
        <f t="shared" si="1871"/>
        <v>13266.428571428571</v>
      </c>
      <c r="AF736" s="25">
        <f t="shared" si="1872"/>
        <v>0.24409725194188187</v>
      </c>
      <c r="AG736" s="20">
        <v>6397623</v>
      </c>
      <c r="AH736" s="21">
        <f t="shared" ref="AH736:AH739" si="1882">AG736-AG735</f>
        <v>168</v>
      </c>
      <c r="AI736" s="21">
        <f t="shared" si="1873"/>
        <v>568.20000000000005</v>
      </c>
      <c r="AJ736" s="20">
        <v>6176191</v>
      </c>
      <c r="AK736" s="20">
        <f t="shared" ref="AK736:AK739" si="1883">AJ736-AJ735</f>
        <v>517</v>
      </c>
      <c r="AL736" s="21">
        <f t="shared" si="1874"/>
        <v>1239.2</v>
      </c>
      <c r="AM736" s="26">
        <f t="shared" si="1875"/>
        <v>5967.5714285714284</v>
      </c>
    </row>
    <row r="737" spans="1:39" ht="16">
      <c r="A737" s="30">
        <v>44629</v>
      </c>
      <c r="B737" s="20">
        <f t="shared" si="1876"/>
        <v>1809917</v>
      </c>
      <c r="C737" s="20">
        <v>2632</v>
      </c>
      <c r="D737" s="20">
        <v>44549</v>
      </c>
      <c r="E737" s="20">
        <v>1641256</v>
      </c>
      <c r="F737" s="20">
        <v>10892581</v>
      </c>
      <c r="G737" s="17">
        <f t="shared" si="1857"/>
        <v>1111487.857142857</v>
      </c>
      <c r="H737" s="20"/>
      <c r="I737" s="19">
        <f t="shared" si="1877"/>
        <v>1.456328138616765E-3</v>
      </c>
      <c r="J737" s="19">
        <f t="shared" si="1858"/>
        <v>0.16616052705965648</v>
      </c>
      <c r="K737" s="19">
        <f t="shared" si="1878"/>
        <v>9.0942638782859082E-4</v>
      </c>
      <c r="L737" s="20">
        <v>124112</v>
      </c>
      <c r="M737" s="19">
        <f t="shared" si="1859"/>
        <v>2.4613835883081931E-2</v>
      </c>
      <c r="N737" s="19">
        <f t="shared" si="1860"/>
        <v>0.90681285384909915</v>
      </c>
      <c r="O737" s="20">
        <v>7342</v>
      </c>
      <c r="P737" s="28">
        <f t="shared" si="1879"/>
        <v>9897</v>
      </c>
      <c r="Q737" s="29">
        <f t="shared" si="1861"/>
        <v>0.2659391734869152</v>
      </c>
      <c r="R737" s="20">
        <f t="shared" ref="R737:S737" si="1884">D737-D736</f>
        <v>54</v>
      </c>
      <c r="S737" s="20">
        <f t="shared" si="1884"/>
        <v>4475</v>
      </c>
      <c r="T737" s="20">
        <v>2617</v>
      </c>
      <c r="U737" s="20">
        <v>118</v>
      </c>
      <c r="V737" s="19">
        <f t="shared" si="1863"/>
        <v>6.8573310267818904E-2</v>
      </c>
      <c r="W737" s="20">
        <f t="shared" ref="W737:X737" si="1885">T737-T736</f>
        <v>-149</v>
      </c>
      <c r="X737" s="20">
        <f t="shared" si="1885"/>
        <v>4</v>
      </c>
      <c r="Y737" s="19">
        <f t="shared" si="1865"/>
        <v>2.1085793476859609E-2</v>
      </c>
      <c r="Z737" s="19">
        <f t="shared" si="1866"/>
        <v>4.5089797478028278E-2</v>
      </c>
      <c r="AA737" s="21">
        <f t="shared" si="1867"/>
        <v>0.70116046084488226</v>
      </c>
      <c r="AB737" s="26">
        <f t="shared" si="1868"/>
        <v>0.65690921802437485</v>
      </c>
      <c r="AC737" s="23">
        <f t="shared" si="1869"/>
        <v>2399.5714285714284</v>
      </c>
      <c r="AD737" s="23">
        <f t="shared" si="1870"/>
        <v>59.285714285714285</v>
      </c>
      <c r="AE737" s="23">
        <f t="shared" si="1871"/>
        <v>13161.285714285714</v>
      </c>
      <c r="AF737" s="25">
        <f t="shared" si="1872"/>
        <v>0.23071873659694386</v>
      </c>
      <c r="AG737" s="20">
        <v>6397806</v>
      </c>
      <c r="AH737" s="21">
        <f t="shared" si="1882"/>
        <v>183</v>
      </c>
      <c r="AI737" s="21">
        <f t="shared" si="1873"/>
        <v>544.20000000000005</v>
      </c>
      <c r="AJ737" s="20">
        <v>6176649</v>
      </c>
      <c r="AK737" s="20">
        <f t="shared" si="1883"/>
        <v>458</v>
      </c>
      <c r="AL737" s="21">
        <f t="shared" si="1874"/>
        <v>1203.8</v>
      </c>
      <c r="AM737" s="26">
        <f t="shared" si="1875"/>
        <v>5024.5714285714284</v>
      </c>
    </row>
    <row r="738" spans="1:39" ht="16">
      <c r="A738" s="30">
        <v>44630</v>
      </c>
      <c r="B738" s="20">
        <f t="shared" si="1876"/>
        <v>1812294</v>
      </c>
      <c r="C738" s="20">
        <v>2377</v>
      </c>
      <c r="D738" s="20">
        <v>44603</v>
      </c>
      <c r="E738" s="20">
        <v>1646037</v>
      </c>
      <c r="F738" s="20">
        <v>10907123</v>
      </c>
      <c r="G738" s="17">
        <f t="shared" si="1857"/>
        <v>1112971.7346938774</v>
      </c>
      <c r="H738" s="20"/>
      <c r="I738" s="19">
        <f t="shared" si="1877"/>
        <v>1.3133198925696593E-3</v>
      </c>
      <c r="J738" s="19">
        <f t="shared" si="1858"/>
        <v>0.16615692332432669</v>
      </c>
      <c r="K738" s="19">
        <f t="shared" si="1878"/>
        <v>1.3350371229738846E-3</v>
      </c>
      <c r="L738" s="20">
        <v>121654</v>
      </c>
      <c r="M738" s="19">
        <f t="shared" si="1859"/>
        <v>2.4611348931244049E-2</v>
      </c>
      <c r="N738" s="19">
        <f t="shared" si="1860"/>
        <v>0.90826157345331382</v>
      </c>
      <c r="O738" s="20">
        <v>7342</v>
      </c>
      <c r="P738" s="28">
        <f t="shared" si="1879"/>
        <v>14542</v>
      </c>
      <c r="Q738" s="29">
        <f t="shared" si="1861"/>
        <v>0.16345757117315363</v>
      </c>
      <c r="R738" s="20">
        <f t="shared" ref="R738:S738" si="1886">D738-D737</f>
        <v>54</v>
      </c>
      <c r="S738" s="20">
        <f t="shared" si="1886"/>
        <v>4781</v>
      </c>
      <c r="T738" s="20">
        <v>2499</v>
      </c>
      <c r="U738" s="20">
        <v>117</v>
      </c>
      <c r="V738" s="19">
        <f t="shared" si="1863"/>
        <v>6.712707761544208E-2</v>
      </c>
      <c r="W738" s="20">
        <f t="shared" ref="W738:X738" si="1887">T738-T737</f>
        <v>-118</v>
      </c>
      <c r="X738" s="20">
        <f t="shared" si="1887"/>
        <v>-1</v>
      </c>
      <c r="Y738" s="19">
        <f t="shared" si="1865"/>
        <v>2.0541864632482285E-2</v>
      </c>
      <c r="Z738" s="19">
        <f t="shared" si="1866"/>
        <v>4.6818727490996401E-2</v>
      </c>
      <c r="AA738" s="21">
        <f t="shared" si="1867"/>
        <v>0.68645207567470634</v>
      </c>
      <c r="AB738" s="26">
        <f t="shared" si="1868"/>
        <v>0.66934795958940685</v>
      </c>
      <c r="AC738" s="23">
        <f t="shared" si="1869"/>
        <v>2187.4285714285716</v>
      </c>
      <c r="AD738" s="23">
        <f t="shared" si="1870"/>
        <v>56</v>
      </c>
      <c r="AE738" s="23">
        <f t="shared" si="1871"/>
        <v>12592.142857142857</v>
      </c>
      <c r="AF738" s="25">
        <f t="shared" si="1872"/>
        <v>0.22171749470504967</v>
      </c>
      <c r="AG738" s="20">
        <v>6398091</v>
      </c>
      <c r="AH738" s="21">
        <f t="shared" si="1882"/>
        <v>285</v>
      </c>
      <c r="AI738" s="21">
        <f t="shared" si="1873"/>
        <v>516.4</v>
      </c>
      <c r="AJ738" s="20">
        <v>6177402</v>
      </c>
      <c r="AK738" s="20">
        <f t="shared" si="1883"/>
        <v>753</v>
      </c>
      <c r="AL738" s="21">
        <f t="shared" si="1874"/>
        <v>1170</v>
      </c>
      <c r="AM738" s="26">
        <f t="shared" si="1875"/>
        <v>5103.1428571428569</v>
      </c>
    </row>
    <row r="739" spans="1:39" ht="16">
      <c r="A739" s="30">
        <v>44631</v>
      </c>
      <c r="B739" s="20">
        <f t="shared" si="1876"/>
        <v>1814362</v>
      </c>
      <c r="C739" s="20">
        <v>2068</v>
      </c>
      <c r="D739" s="20">
        <v>44653</v>
      </c>
      <c r="E739" s="20">
        <v>1650643</v>
      </c>
      <c r="F739" s="20">
        <v>10921558</v>
      </c>
      <c r="G739" s="17">
        <f t="shared" si="1857"/>
        <v>1114444.693877551</v>
      </c>
      <c r="H739" s="20"/>
      <c r="I739" s="19">
        <f t="shared" si="1877"/>
        <v>1.1410952086140548E-3</v>
      </c>
      <c r="J739" s="19">
        <f t="shared" si="1858"/>
        <v>0.16612666434587448</v>
      </c>
      <c r="K739" s="19">
        <f t="shared" si="1878"/>
        <v>1.3234470721564247E-3</v>
      </c>
      <c r="L739" s="20">
        <v>119066</v>
      </c>
      <c r="M739" s="19">
        <f t="shared" si="1859"/>
        <v>2.4610854945154276E-2</v>
      </c>
      <c r="N739" s="19">
        <f t="shared" si="1860"/>
        <v>0.90976497523647426</v>
      </c>
      <c r="O739" s="20">
        <v>7342</v>
      </c>
      <c r="P739" s="28">
        <f t="shared" si="1879"/>
        <v>14435</v>
      </c>
      <c r="Q739" s="29">
        <f t="shared" si="1861"/>
        <v>0.14326290266712852</v>
      </c>
      <c r="R739" s="20">
        <f t="shared" ref="R739:S739" si="1888">D739-D738</f>
        <v>50</v>
      </c>
      <c r="S739" s="20">
        <f t="shared" si="1888"/>
        <v>4606</v>
      </c>
      <c r="T739" s="20">
        <v>2338</v>
      </c>
      <c r="U739" s="20">
        <v>109</v>
      </c>
      <c r="V739" s="19">
        <f t="shared" si="1863"/>
        <v>6.5624169818371422E-2</v>
      </c>
      <c r="W739" s="20">
        <f t="shared" ref="W739:X739" si="1889">T739-T738</f>
        <v>-161</v>
      </c>
      <c r="X739" s="20">
        <f t="shared" si="1889"/>
        <v>-8</v>
      </c>
      <c r="Y739" s="19">
        <f t="shared" si="1865"/>
        <v>1.9636168175633684E-2</v>
      </c>
      <c r="Z739" s="19">
        <f t="shared" si="1866"/>
        <v>4.662104362703165E-2</v>
      </c>
      <c r="AA739" s="21">
        <f t="shared" si="1867"/>
        <v>0.6858949789191261</v>
      </c>
      <c r="AB739" s="26">
        <f t="shared" si="1868"/>
        <v>0.67906435995338488</v>
      </c>
      <c r="AC739" s="23">
        <f t="shared" si="1869"/>
        <v>2045.1428571428571</v>
      </c>
      <c r="AD739" s="23">
        <f t="shared" si="1870"/>
        <v>52.428571428571431</v>
      </c>
      <c r="AE739" s="23">
        <f t="shared" si="1871"/>
        <v>12085.142857142857</v>
      </c>
      <c r="AF739" s="25">
        <f t="shared" si="1872"/>
        <v>0.21629534214238996</v>
      </c>
      <c r="AG739" s="20">
        <v>6398615</v>
      </c>
      <c r="AH739" s="21">
        <f t="shared" si="1882"/>
        <v>524</v>
      </c>
      <c r="AI739" s="21">
        <f t="shared" si="1873"/>
        <v>442.2</v>
      </c>
      <c r="AJ739" s="20">
        <v>6178638</v>
      </c>
      <c r="AK739" s="20">
        <f t="shared" si="1883"/>
        <v>1236</v>
      </c>
      <c r="AL739" s="21">
        <f t="shared" si="1874"/>
        <v>1080.2</v>
      </c>
      <c r="AM739" s="26">
        <f t="shared" si="1875"/>
        <v>4581.2857142857147</v>
      </c>
    </row>
    <row r="740" spans="1:39" ht="13">
      <c r="A740" s="30">
        <v>44632</v>
      </c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8"/>
      <c r="Q740" s="28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</row>
    <row r="741" spans="1:39" ht="13">
      <c r="A741" s="30">
        <v>44633</v>
      </c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8"/>
      <c r="Q741" s="28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</row>
    <row r="742" spans="1:39" ht="13">
      <c r="A742" s="30">
        <v>44634</v>
      </c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8"/>
      <c r="Q742" s="28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</row>
    <row r="743" spans="1:39" ht="13">
      <c r="A743" s="30">
        <v>44635</v>
      </c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8"/>
      <c r="Q743" s="28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</row>
    <row r="744" spans="1:39" ht="16">
      <c r="A744" s="30">
        <v>44636</v>
      </c>
      <c r="B744" s="20">
        <f>B739+C744</f>
        <v>1819264</v>
      </c>
      <c r="C744" s="20">
        <v>4902</v>
      </c>
      <c r="D744" s="20">
        <v>44831</v>
      </c>
      <c r="E744" s="20">
        <v>1663907</v>
      </c>
      <c r="F744" s="20">
        <v>10962084</v>
      </c>
      <c r="G744" s="17">
        <f t="shared" ref="G744:G746" si="1890">F744/9.8</f>
        <v>1118580</v>
      </c>
      <c r="H744" s="20"/>
      <c r="I744" s="19">
        <f>(B744-B739)/B739</f>
        <v>2.7017761615377748E-3</v>
      </c>
      <c r="J744" s="19">
        <f t="shared" ref="J744:J746" si="1891">B744/F744</f>
        <v>0.16595968430820271</v>
      </c>
      <c r="K744" s="19">
        <f>(F744-F739)/F739</f>
        <v>3.7106427489557807E-3</v>
      </c>
      <c r="L744" s="20">
        <v>110526</v>
      </c>
      <c r="M744" s="19">
        <f t="shared" ref="M744:M746" si="1892">D744/B744</f>
        <v>2.4642382853725463E-2</v>
      </c>
      <c r="N744" s="19">
        <f t="shared" ref="N744:N746" si="1893">E744/B744</f>
        <v>0.91460447741504258</v>
      </c>
      <c r="O744" s="20">
        <v>7342</v>
      </c>
      <c r="P744" s="28">
        <f>F744-F739</f>
        <v>40526</v>
      </c>
      <c r="Q744" s="29">
        <f t="shared" ref="Q744:Q746" si="1894">C744/P744</f>
        <v>0.12095938409909687</v>
      </c>
      <c r="R744" s="20">
        <f t="shared" ref="R744:S744" si="1895">D744-D739</f>
        <v>178</v>
      </c>
      <c r="S744" s="20">
        <f t="shared" si="1895"/>
        <v>13264</v>
      </c>
      <c r="T744" s="20">
        <v>2259</v>
      </c>
      <c r="U744" s="20">
        <v>101</v>
      </c>
      <c r="V744" s="19">
        <f t="shared" ref="V744:V746" si="1896">L744/B744</f>
        <v>6.0753139731231968E-2</v>
      </c>
      <c r="W744" s="20">
        <f t="shared" ref="W744:X744" si="1897">T744-T739</f>
        <v>-79</v>
      </c>
      <c r="X744" s="20">
        <f t="shared" si="1897"/>
        <v>-8</v>
      </c>
      <c r="Y744" s="19">
        <f t="shared" ref="Y744:Y746" si="1898">T744/L744</f>
        <v>2.0438629824656641E-2</v>
      </c>
      <c r="Z744" s="19">
        <f t="shared" ref="Z744:Z746" si="1899">U744/T744</f>
        <v>4.4710048694112436E-2</v>
      </c>
      <c r="AA744" s="21">
        <f t="shared" ref="AA744:AA746" si="1900">(C738+C739+C740+C741+C742+C743+C744)/(C731+C732+C733+C734+C735+C736+C737)</f>
        <v>0.55646841697922245</v>
      </c>
      <c r="AB744" s="26">
        <f t="shared" ref="AB744:AB746" si="1901">SUM(AA738:AA744)/5</f>
        <v>0.38576309431461098</v>
      </c>
      <c r="AC744" s="23">
        <f t="shared" ref="AC744:AC746" si="1902">SUM(C738:C744)/7</f>
        <v>1335.2857142857142</v>
      </c>
      <c r="AD744" s="23">
        <f t="shared" ref="AD744:AD746" si="1903">SUM(R738:R744)/7</f>
        <v>40.285714285714285</v>
      </c>
      <c r="AE744" s="23">
        <f t="shared" ref="AE744:AE746" si="1904">SUM(P738:P744)/7</f>
        <v>9929</v>
      </c>
      <c r="AF744" s="25">
        <f t="shared" ref="AF744:AF746" si="1905">SUM(Q738:Q744)/5</f>
        <v>8.5535971587875806E-2</v>
      </c>
      <c r="AG744" s="20">
        <v>6399413</v>
      </c>
      <c r="AH744" s="20">
        <f>AG744-AG739</f>
        <v>798</v>
      </c>
      <c r="AI744" s="21">
        <f t="shared" ref="AI744:AI746" si="1906">(SUM(AH738:AH744))/5</f>
        <v>321.39999999999998</v>
      </c>
      <c r="AJ744" s="20">
        <v>6180406</v>
      </c>
      <c r="AK744" s="20">
        <f>AJ744-AJ739</f>
        <v>1768</v>
      </c>
      <c r="AL744" s="21">
        <f t="shared" ref="AL744:AL746" si="1907">(SUM(AK738:AK744))/5</f>
        <v>751.4</v>
      </c>
      <c r="AM744" s="26">
        <f t="shared" ref="AM744:AM746" si="1908">SUM(S738:S744)/7</f>
        <v>3235.8571428571427</v>
      </c>
    </row>
    <row r="745" spans="1:39" ht="16">
      <c r="A745" s="30">
        <v>44637</v>
      </c>
      <c r="B745" s="20">
        <f t="shared" ref="B745:B746" si="1909">B744+C745</f>
        <v>1820767</v>
      </c>
      <c r="C745" s="20">
        <v>1503</v>
      </c>
      <c r="D745" s="20">
        <v>44895</v>
      </c>
      <c r="E745" s="20">
        <v>1667111</v>
      </c>
      <c r="F745" s="20">
        <v>10965815</v>
      </c>
      <c r="G745" s="17">
        <f t="shared" si="1890"/>
        <v>1118960.7142857143</v>
      </c>
      <c r="H745" s="20"/>
      <c r="I745" s="19">
        <f t="shared" ref="I745:I746" si="1910">(B745-B744)/B744</f>
        <v>8.2615827059734045E-4</v>
      </c>
      <c r="J745" s="19">
        <f t="shared" si="1891"/>
        <v>0.16604028063577581</v>
      </c>
      <c r="K745" s="19">
        <f t="shared" ref="K745:K746" si="1911">(F745-F744)/F744</f>
        <v>3.4035499089406723E-4</v>
      </c>
      <c r="L745" s="20">
        <v>108761</v>
      </c>
      <c r="M745" s="19">
        <f t="shared" si="1892"/>
        <v>2.4657191172731054E-2</v>
      </c>
      <c r="N745" s="19">
        <f t="shared" si="1893"/>
        <v>0.91560919107167471</v>
      </c>
      <c r="O745" s="20">
        <v>7342</v>
      </c>
      <c r="P745" s="28">
        <f t="shared" ref="P745:P746" si="1912">F745-F744</f>
        <v>3731</v>
      </c>
      <c r="Q745" s="29">
        <f t="shared" si="1894"/>
        <v>0.40284106137764675</v>
      </c>
      <c r="R745" s="20">
        <f t="shared" ref="R745:S745" si="1913">D745-D744</f>
        <v>64</v>
      </c>
      <c r="S745" s="20">
        <f t="shared" si="1913"/>
        <v>3204</v>
      </c>
      <c r="T745" s="20">
        <v>2287</v>
      </c>
      <c r="U745" s="20">
        <v>90</v>
      </c>
      <c r="V745" s="19">
        <f t="shared" si="1896"/>
        <v>5.9733617755594208E-2</v>
      </c>
      <c r="W745" s="20">
        <f t="shared" ref="W745:X745" si="1914">T745-T744</f>
        <v>28</v>
      </c>
      <c r="X745" s="20">
        <f t="shared" si="1914"/>
        <v>-11</v>
      </c>
      <c r="Y745" s="19">
        <f t="shared" si="1898"/>
        <v>2.1027758111823173E-2</v>
      </c>
      <c r="Z745" s="19">
        <f t="shared" si="1899"/>
        <v>3.9352864013992128E-2</v>
      </c>
      <c r="AA745" s="21">
        <f t="shared" si="1900"/>
        <v>0.55335684430512022</v>
      </c>
      <c r="AB745" s="26">
        <f t="shared" si="1901"/>
        <v>0.35914404804069372</v>
      </c>
      <c r="AC745" s="23">
        <f t="shared" si="1902"/>
        <v>1210.4285714285713</v>
      </c>
      <c r="AD745" s="23">
        <f t="shared" si="1903"/>
        <v>41.714285714285715</v>
      </c>
      <c r="AE745" s="23">
        <f t="shared" si="1904"/>
        <v>8384.5714285714294</v>
      </c>
      <c r="AF745" s="25">
        <f t="shared" si="1905"/>
        <v>0.13341266962877443</v>
      </c>
      <c r="AG745" s="20">
        <v>6399532</v>
      </c>
      <c r="AH745" s="21">
        <f t="shared" ref="AH745:AH746" si="1915">AG745-AG744</f>
        <v>119</v>
      </c>
      <c r="AI745" s="21">
        <f t="shared" si="1906"/>
        <v>288.2</v>
      </c>
      <c r="AJ745" s="20">
        <v>6180867</v>
      </c>
      <c r="AK745" s="20">
        <f t="shared" ref="AK745:AK746" si="1916">AJ745-AJ744</f>
        <v>461</v>
      </c>
      <c r="AL745" s="21">
        <f t="shared" si="1907"/>
        <v>693</v>
      </c>
      <c r="AM745" s="26">
        <f t="shared" si="1908"/>
        <v>3010.5714285714284</v>
      </c>
    </row>
    <row r="746" spans="1:39" ht="16">
      <c r="A746" s="30">
        <v>44638</v>
      </c>
      <c r="B746" s="20">
        <f t="shared" si="1909"/>
        <v>1824089</v>
      </c>
      <c r="C746" s="20">
        <v>3322</v>
      </c>
      <c r="D746" s="20">
        <v>44961</v>
      </c>
      <c r="E746" s="20">
        <v>1672699</v>
      </c>
      <c r="F746" s="20">
        <v>10975485</v>
      </c>
      <c r="G746" s="17">
        <f t="shared" si="1890"/>
        <v>1119947.4489795917</v>
      </c>
      <c r="H746" s="20"/>
      <c r="I746" s="19">
        <f t="shared" si="1910"/>
        <v>1.8245058263907463E-3</v>
      </c>
      <c r="J746" s="19">
        <f t="shared" si="1891"/>
        <v>0.16619666465764382</v>
      </c>
      <c r="K746" s="19">
        <f t="shared" si="1911"/>
        <v>8.8183140058445267E-4</v>
      </c>
      <c r="L746" s="20">
        <v>106429</v>
      </c>
      <c r="M746" s="19">
        <f t="shared" si="1892"/>
        <v>2.4648468358725917E-2</v>
      </c>
      <c r="N746" s="19">
        <f t="shared" si="1893"/>
        <v>0.91700514613047934</v>
      </c>
      <c r="O746" s="20">
        <v>7342</v>
      </c>
      <c r="P746" s="28">
        <f t="shared" si="1912"/>
        <v>9670</v>
      </c>
      <c r="Q746" s="29">
        <f t="shared" si="1894"/>
        <v>0.34353671147880044</v>
      </c>
      <c r="R746" s="20">
        <f t="shared" ref="R746:S746" si="1917">D746-D745</f>
        <v>66</v>
      </c>
      <c r="S746" s="20">
        <f t="shared" si="1917"/>
        <v>5588</v>
      </c>
      <c r="T746" s="20">
        <v>2205</v>
      </c>
      <c r="U746" s="20">
        <v>90</v>
      </c>
      <c r="V746" s="19">
        <f t="shared" si="1896"/>
        <v>5.8346385510794706E-2</v>
      </c>
      <c r="W746" s="20">
        <f t="shared" ref="W746:X746" si="1918">T746-T745</f>
        <v>-82</v>
      </c>
      <c r="X746" s="20">
        <f t="shared" si="1918"/>
        <v>0</v>
      </c>
      <c r="Y746" s="19">
        <f t="shared" si="1898"/>
        <v>2.0718037377030697E-2</v>
      </c>
      <c r="Z746" s="19">
        <f t="shared" si="1899"/>
        <v>4.0816326530612242E-2</v>
      </c>
      <c r="AA746" s="21">
        <f t="shared" si="1900"/>
        <v>0.67944956691813352</v>
      </c>
      <c r="AB746" s="26">
        <f t="shared" si="1901"/>
        <v>0.35785496564049524</v>
      </c>
      <c r="AC746" s="23">
        <f t="shared" si="1902"/>
        <v>1389.5714285714287</v>
      </c>
      <c r="AD746" s="23">
        <f t="shared" si="1903"/>
        <v>44</v>
      </c>
      <c r="AE746" s="23">
        <f t="shared" si="1904"/>
        <v>7703.8571428571431</v>
      </c>
      <c r="AF746" s="25">
        <f t="shared" si="1905"/>
        <v>0.17346743139110882</v>
      </c>
      <c r="AG746" s="20">
        <v>6399894</v>
      </c>
      <c r="AH746" s="21">
        <f t="shared" si="1915"/>
        <v>362</v>
      </c>
      <c r="AI746" s="21">
        <f t="shared" si="1906"/>
        <v>255.8</v>
      </c>
      <c r="AJ746" s="20">
        <v>6181814</v>
      </c>
      <c r="AK746" s="20">
        <f t="shared" si="1916"/>
        <v>947</v>
      </c>
      <c r="AL746" s="21">
        <f t="shared" si="1907"/>
        <v>635.20000000000005</v>
      </c>
      <c r="AM746" s="26">
        <f t="shared" si="1908"/>
        <v>3150.8571428571427</v>
      </c>
    </row>
    <row r="747" spans="1:39" ht="13">
      <c r="A747" s="30">
        <v>44639</v>
      </c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8"/>
      <c r="Q747" s="28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</row>
    <row r="748" spans="1:39" ht="13">
      <c r="A748" s="30">
        <v>44640</v>
      </c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8"/>
      <c r="Q748" s="28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</row>
    <row r="749" spans="1:39" ht="16">
      <c r="A749" s="30">
        <v>44641</v>
      </c>
      <c r="B749" s="20">
        <f>B746+C749</f>
        <v>1829928</v>
      </c>
      <c r="C749" s="20">
        <v>5839</v>
      </c>
      <c r="D749" s="20">
        <v>45095</v>
      </c>
      <c r="E749" s="20">
        <v>1681268</v>
      </c>
      <c r="F749" s="20">
        <v>11018428</v>
      </c>
      <c r="G749" s="17">
        <f t="shared" ref="G749:G753" si="1919">F749/9.8</f>
        <v>1124329.387755102</v>
      </c>
      <c r="H749" s="20"/>
      <c r="I749" s="19">
        <f>(B749-B746)/B746</f>
        <v>3.2010499487689472E-3</v>
      </c>
      <c r="J749" s="19">
        <f t="shared" ref="J749:J753" si="1920">B749/F749</f>
        <v>0.16607886351846199</v>
      </c>
      <c r="K749" s="19">
        <f>(F749-F746)/F746</f>
        <v>3.9126289179931455E-3</v>
      </c>
      <c r="L749" s="20">
        <v>103565</v>
      </c>
      <c r="M749" s="19">
        <f t="shared" ref="M749:M753" si="1921">D749/B749</f>
        <v>2.4643046065200378E-2</v>
      </c>
      <c r="N749" s="19">
        <f t="shared" ref="N749:N753" si="1922">E749/B749</f>
        <v>0.91876183106657749</v>
      </c>
      <c r="O749" s="20">
        <v>7342</v>
      </c>
      <c r="P749" s="28">
        <f>F749-F746</f>
        <v>42943</v>
      </c>
      <c r="Q749" s="29">
        <f t="shared" ref="Q749:Q753" si="1923">C749/P749</f>
        <v>0.13597093822043174</v>
      </c>
      <c r="R749" s="20">
        <f t="shared" ref="R749:S749" si="1924">D749-D746</f>
        <v>134</v>
      </c>
      <c r="S749" s="20">
        <f t="shared" si="1924"/>
        <v>8569</v>
      </c>
      <c r="T749" s="20">
        <v>2061</v>
      </c>
      <c r="U749" s="20">
        <v>74</v>
      </c>
      <c r="V749" s="19">
        <f t="shared" ref="V749:V753" si="1925">L749/B749</f>
        <v>5.6595122868222138E-2</v>
      </c>
      <c r="W749" s="20">
        <f t="shared" ref="W749:X749" si="1926">T749-T746</f>
        <v>-144</v>
      </c>
      <c r="X749" s="20">
        <f t="shared" si="1926"/>
        <v>-16</v>
      </c>
      <c r="Y749" s="19">
        <f t="shared" ref="Y749:Y753" si="1927">T749/L749</f>
        <v>1.9900545551103172E-2</v>
      </c>
      <c r="Z749" s="19">
        <f t="shared" ref="Z749:Z753" si="1928">U749/T749</f>
        <v>3.5904900533721494E-2</v>
      </c>
      <c r="AA749" s="21">
        <f t="shared" ref="AA749:AA753" si="1929">(C743+C744+C745+C746+C747+C748+C749)/(C736+C737+C738+C739+C740+C741+C742)</f>
        <v>1.8390831758034027</v>
      </c>
      <c r="AB749" s="26">
        <f t="shared" ref="AB749:AB753" si="1930">SUM(AA743:AA749)/5</f>
        <v>0.72567160080117576</v>
      </c>
      <c r="AC749" s="23">
        <f t="shared" ref="AC749:AC753" si="1931">SUM(C743:C749)/7</f>
        <v>2223.7142857142858</v>
      </c>
      <c r="AD749" s="23">
        <f t="shared" ref="AD749:AD753" si="1932">SUM(R743:R749)/7</f>
        <v>63.142857142857146</v>
      </c>
      <c r="AE749" s="23">
        <f t="shared" ref="AE749:AE753" si="1933">SUM(P743:P749)/7</f>
        <v>13838.571428571429</v>
      </c>
      <c r="AF749" s="25">
        <f t="shared" ref="AF749:AF753" si="1934">SUM(Q743:Q749)/5</f>
        <v>0.20066161903519517</v>
      </c>
      <c r="AG749" s="20">
        <v>6400547</v>
      </c>
      <c r="AH749" s="21">
        <f>AG749-AG746</f>
        <v>653</v>
      </c>
      <c r="AI749" s="21">
        <f t="shared" ref="AI749:AI753" si="1935">(SUM(AH743:AH749))/5</f>
        <v>386.4</v>
      </c>
      <c r="AJ749" s="20">
        <v>6183247</v>
      </c>
      <c r="AK749" s="20">
        <f>AJ749-AJ746</f>
        <v>1433</v>
      </c>
      <c r="AL749" s="21">
        <f t="shared" ref="AL749:AL753" si="1936">(SUM(AK743:AK749))/5</f>
        <v>921.8</v>
      </c>
      <c r="AM749" s="26">
        <f t="shared" ref="AM749:AM753" si="1937">SUM(S743:S749)/7</f>
        <v>4375</v>
      </c>
    </row>
    <row r="750" spans="1:39" ht="16">
      <c r="A750" s="30">
        <v>44642</v>
      </c>
      <c r="B750" s="20">
        <f t="shared" ref="B750:B753" si="1938">B749+C750</f>
        <v>1831423</v>
      </c>
      <c r="C750" s="20">
        <v>1495</v>
      </c>
      <c r="D750" s="20">
        <v>45143</v>
      </c>
      <c r="E750" s="20">
        <v>1683014</v>
      </c>
      <c r="F750" s="20">
        <v>11022242</v>
      </c>
      <c r="G750" s="17">
        <f t="shared" si="1919"/>
        <v>1124718.5714285714</v>
      </c>
      <c r="H750" s="20"/>
      <c r="I750" s="19">
        <f t="shared" ref="I750:I753" si="1939">(B750-B749)/B749</f>
        <v>8.1697203387237096E-4</v>
      </c>
      <c r="J750" s="19">
        <f t="shared" si="1920"/>
        <v>0.16615703048436062</v>
      </c>
      <c r="K750" s="19">
        <f t="shared" ref="K750:K753" si="1940">(F750-F749)/F749</f>
        <v>3.4614738145949674E-4</v>
      </c>
      <c r="L750" s="20">
        <v>103266</v>
      </c>
      <c r="M750" s="19">
        <f t="shared" si="1921"/>
        <v>2.464913894823861E-2</v>
      </c>
      <c r="N750" s="19">
        <f t="shared" si="1922"/>
        <v>0.91896519810005661</v>
      </c>
      <c r="O750" s="20">
        <v>7342</v>
      </c>
      <c r="P750" s="28">
        <f t="shared" ref="P750:P753" si="1941">F750-F749</f>
        <v>3814</v>
      </c>
      <c r="Q750" s="29">
        <f t="shared" si="1923"/>
        <v>0.39197692711064497</v>
      </c>
      <c r="R750" s="20">
        <f t="shared" ref="R750:S750" si="1942">D750-D749</f>
        <v>48</v>
      </c>
      <c r="S750" s="20">
        <f t="shared" si="1942"/>
        <v>1746</v>
      </c>
      <c r="T750" s="20">
        <v>2062</v>
      </c>
      <c r="U750" s="20">
        <v>78</v>
      </c>
      <c r="V750" s="19">
        <f t="shared" si="1925"/>
        <v>5.6385662951704767E-2</v>
      </c>
      <c r="W750" s="20">
        <f t="shared" ref="W750:X750" si="1943">T750-T749</f>
        <v>1</v>
      </c>
      <c r="X750" s="20">
        <f t="shared" si="1943"/>
        <v>4</v>
      </c>
      <c r="Y750" s="19">
        <f t="shared" si="1927"/>
        <v>1.9967850018399087E-2</v>
      </c>
      <c r="Z750" s="19">
        <f t="shared" si="1928"/>
        <v>3.7827352085354024E-2</v>
      </c>
      <c r="AA750" s="21">
        <f t="shared" si="1929"/>
        <v>2.4107672742687578</v>
      </c>
      <c r="AB750" s="26">
        <f t="shared" si="1930"/>
        <v>1.2078250556549273</v>
      </c>
      <c r="AC750" s="23">
        <f t="shared" si="1931"/>
        <v>2437.2857142857142</v>
      </c>
      <c r="AD750" s="23">
        <f t="shared" si="1932"/>
        <v>70</v>
      </c>
      <c r="AE750" s="23">
        <f t="shared" si="1933"/>
        <v>14383.428571428571</v>
      </c>
      <c r="AF750" s="25">
        <f t="shared" si="1934"/>
        <v>0.27905700445732418</v>
      </c>
      <c r="AG750" s="20">
        <v>6400633</v>
      </c>
      <c r="AH750" s="21">
        <f t="shared" ref="AH750:AH753" si="1944">AG750-AG749</f>
        <v>86</v>
      </c>
      <c r="AI750" s="21">
        <f t="shared" si="1935"/>
        <v>403.6</v>
      </c>
      <c r="AJ750" s="20">
        <v>6183487</v>
      </c>
      <c r="AK750" s="20">
        <f t="shared" ref="AK750:AK753" si="1945">AJ750-AJ749</f>
        <v>240</v>
      </c>
      <c r="AL750" s="21">
        <f t="shared" si="1936"/>
        <v>969.8</v>
      </c>
      <c r="AM750" s="26">
        <f t="shared" si="1937"/>
        <v>4624.4285714285716</v>
      </c>
    </row>
    <row r="751" spans="1:39" ht="16">
      <c r="A751" s="30">
        <v>44643</v>
      </c>
      <c r="B751" s="20">
        <f t="shared" si="1938"/>
        <v>1834268</v>
      </c>
      <c r="C751" s="20">
        <v>2845</v>
      </c>
      <c r="D751" s="20">
        <v>45185</v>
      </c>
      <c r="E751" s="20">
        <v>1686319</v>
      </c>
      <c r="F751" s="20">
        <v>11031587</v>
      </c>
      <c r="G751" s="17">
        <f t="shared" si="1919"/>
        <v>1125672.1428571427</v>
      </c>
      <c r="H751" s="20"/>
      <c r="I751" s="19">
        <f t="shared" si="1939"/>
        <v>1.5534368630294585E-3</v>
      </c>
      <c r="J751" s="19">
        <f t="shared" si="1920"/>
        <v>0.16627417251933019</v>
      </c>
      <c r="K751" s="19">
        <f t="shared" si="1940"/>
        <v>8.4783113998041415E-4</v>
      </c>
      <c r="L751" s="20">
        <v>102764</v>
      </c>
      <c r="M751" s="19">
        <f t="shared" si="1921"/>
        <v>2.4633804874751128E-2</v>
      </c>
      <c r="N751" s="19">
        <f t="shared" si="1922"/>
        <v>0.91934166653945881</v>
      </c>
      <c r="O751" s="20">
        <v>7342</v>
      </c>
      <c r="P751" s="28">
        <f t="shared" si="1941"/>
        <v>9345</v>
      </c>
      <c r="Q751" s="29">
        <f t="shared" si="1923"/>
        <v>0.30444087747458531</v>
      </c>
      <c r="R751" s="20">
        <f t="shared" ref="R751:S751" si="1946">D751-D750</f>
        <v>42</v>
      </c>
      <c r="S751" s="20">
        <f t="shared" si="1946"/>
        <v>3305</v>
      </c>
      <c r="T751" s="20">
        <v>2006</v>
      </c>
      <c r="U751" s="20">
        <v>77</v>
      </c>
      <c r="V751" s="19">
        <f t="shared" si="1925"/>
        <v>5.602452858579008E-2</v>
      </c>
      <c r="W751" s="20">
        <f t="shared" ref="W751:X751" si="1947">T751-T750</f>
        <v>-56</v>
      </c>
      <c r="X751" s="20">
        <f t="shared" si="1947"/>
        <v>-1</v>
      </c>
      <c r="Y751" s="19">
        <f t="shared" si="1927"/>
        <v>1.9520454633918494E-2</v>
      </c>
      <c r="Z751" s="19">
        <f t="shared" si="1928"/>
        <v>3.8384845463609173E-2</v>
      </c>
      <c r="AA751" s="21">
        <f t="shared" si="1929"/>
        <v>1.6052209265004815</v>
      </c>
      <c r="AB751" s="26">
        <f t="shared" si="1930"/>
        <v>1.4175755575591791</v>
      </c>
      <c r="AC751" s="23">
        <f t="shared" si="1931"/>
        <v>2143.4285714285716</v>
      </c>
      <c r="AD751" s="23">
        <f t="shared" si="1932"/>
        <v>50.571428571428569</v>
      </c>
      <c r="AE751" s="23">
        <f t="shared" si="1933"/>
        <v>9929</v>
      </c>
      <c r="AF751" s="25">
        <f t="shared" si="1934"/>
        <v>0.31575330313242184</v>
      </c>
      <c r="AG751" s="20">
        <v>6400731</v>
      </c>
      <c r="AH751" s="21">
        <f t="shared" si="1944"/>
        <v>98</v>
      </c>
      <c r="AI751" s="21">
        <f t="shared" si="1935"/>
        <v>263.60000000000002</v>
      </c>
      <c r="AJ751" s="20">
        <v>6183761</v>
      </c>
      <c r="AK751" s="20">
        <f t="shared" si="1945"/>
        <v>274</v>
      </c>
      <c r="AL751" s="21">
        <f t="shared" si="1936"/>
        <v>671</v>
      </c>
      <c r="AM751" s="26">
        <f t="shared" si="1937"/>
        <v>3201.7142857142858</v>
      </c>
    </row>
    <row r="752" spans="1:39" ht="16">
      <c r="A752" s="30">
        <v>44644</v>
      </c>
      <c r="B752" s="20">
        <f t="shared" si="1938"/>
        <v>1836919</v>
      </c>
      <c r="C752" s="20">
        <v>2651</v>
      </c>
      <c r="D752" s="20">
        <v>45220</v>
      </c>
      <c r="E752" s="20">
        <v>1689460</v>
      </c>
      <c r="F752" s="20">
        <v>11040273</v>
      </c>
      <c r="G752" s="17">
        <f t="shared" si="1919"/>
        <v>1126558.469387755</v>
      </c>
      <c r="H752" s="20"/>
      <c r="I752" s="19">
        <f t="shared" si="1939"/>
        <v>1.4452631785540609E-3</v>
      </c>
      <c r="J752" s="19">
        <f t="shared" si="1920"/>
        <v>0.16638347620570615</v>
      </c>
      <c r="K752" s="19">
        <f t="shared" si="1940"/>
        <v>7.8737537944449881E-4</v>
      </c>
      <c r="L752" s="20">
        <v>102239</v>
      </c>
      <c r="M752" s="19">
        <f t="shared" si="1921"/>
        <v>2.4617307567726177E-2</v>
      </c>
      <c r="N752" s="19">
        <f t="shared" si="1922"/>
        <v>0.91972482183482229</v>
      </c>
      <c r="O752" s="20">
        <v>8411</v>
      </c>
      <c r="P752" s="28">
        <f t="shared" si="1941"/>
        <v>8686</v>
      </c>
      <c r="Q752" s="29">
        <f t="shared" si="1923"/>
        <v>0.30520377619157263</v>
      </c>
      <c r="R752" s="20">
        <f t="shared" ref="R752:S752" si="1948">D752-D751</f>
        <v>35</v>
      </c>
      <c r="S752" s="20">
        <f t="shared" si="1948"/>
        <v>3141</v>
      </c>
      <c r="T752" s="20">
        <v>1971</v>
      </c>
      <c r="U752" s="20">
        <v>71</v>
      </c>
      <c r="V752" s="19">
        <f t="shared" si="1925"/>
        <v>5.5657870597451496E-2</v>
      </c>
      <c r="W752" s="20">
        <f t="shared" ref="W752:X752" si="1949">T752-T751</f>
        <v>-35</v>
      </c>
      <c r="X752" s="20">
        <f t="shared" si="1949"/>
        <v>-6</v>
      </c>
      <c r="Y752" s="19">
        <f t="shared" si="1927"/>
        <v>1.9278357573919932E-2</v>
      </c>
      <c r="Z752" s="19">
        <f t="shared" si="1928"/>
        <v>3.6022323693556568E-2</v>
      </c>
      <c r="AA752" s="21">
        <f t="shared" si="1929"/>
        <v>1.9062905700460286</v>
      </c>
      <c r="AB752" s="26">
        <f t="shared" si="1930"/>
        <v>1.6881623027073609</v>
      </c>
      <c r="AC752" s="23">
        <f t="shared" si="1931"/>
        <v>2307.4285714285716</v>
      </c>
      <c r="AD752" s="23">
        <f t="shared" si="1932"/>
        <v>46.428571428571431</v>
      </c>
      <c r="AE752" s="23">
        <f t="shared" si="1933"/>
        <v>10636.857142857143</v>
      </c>
      <c r="AF752" s="25">
        <f t="shared" si="1934"/>
        <v>0.29622584609520702</v>
      </c>
      <c r="AG752" s="20">
        <v>6400875</v>
      </c>
      <c r="AH752" s="21">
        <f t="shared" si="1944"/>
        <v>144</v>
      </c>
      <c r="AI752" s="21">
        <f t="shared" si="1935"/>
        <v>268.60000000000002</v>
      </c>
      <c r="AJ752" s="20">
        <v>6184076</v>
      </c>
      <c r="AK752" s="20">
        <f t="shared" si="1945"/>
        <v>315</v>
      </c>
      <c r="AL752" s="21">
        <f t="shared" si="1936"/>
        <v>641.79999999999995</v>
      </c>
      <c r="AM752" s="26">
        <f t="shared" si="1937"/>
        <v>3192.7142857142858</v>
      </c>
    </row>
    <row r="753" spans="1:39" ht="16">
      <c r="A753" s="30">
        <v>44645</v>
      </c>
      <c r="B753" s="20">
        <f t="shared" si="1938"/>
        <v>1839358</v>
      </c>
      <c r="C753" s="20">
        <v>2439</v>
      </c>
      <c r="D753" s="20">
        <v>45258</v>
      </c>
      <c r="E753" s="20">
        <v>1693393</v>
      </c>
      <c r="F753" s="20">
        <v>11053112</v>
      </c>
      <c r="G753" s="17">
        <f t="shared" si="1919"/>
        <v>1127868.5714285714</v>
      </c>
      <c r="H753" s="20"/>
      <c r="I753" s="19">
        <f t="shared" si="1939"/>
        <v>1.3277667659815158E-3</v>
      </c>
      <c r="J753" s="19">
        <f t="shared" si="1920"/>
        <v>0.16641087143602634</v>
      </c>
      <c r="K753" s="19">
        <f t="shared" si="1940"/>
        <v>1.1629241414591832E-3</v>
      </c>
      <c r="L753" s="20">
        <v>100707</v>
      </c>
      <c r="M753" s="19">
        <f t="shared" si="1921"/>
        <v>2.4605324249004273E-2</v>
      </c>
      <c r="N753" s="19">
        <f t="shared" si="1922"/>
        <v>0.92064350713672927</v>
      </c>
      <c r="O753" s="20">
        <v>8857</v>
      </c>
      <c r="P753" s="28">
        <f t="shared" si="1941"/>
        <v>12839</v>
      </c>
      <c r="Q753" s="29">
        <f t="shared" si="1923"/>
        <v>0.18996806604875768</v>
      </c>
      <c r="R753" s="20">
        <f t="shared" ref="R753:S753" si="1950">D753-D752</f>
        <v>38</v>
      </c>
      <c r="S753" s="20">
        <f t="shared" si="1950"/>
        <v>3933</v>
      </c>
      <c r="T753" s="20">
        <v>1953</v>
      </c>
      <c r="U753" s="20">
        <v>70</v>
      </c>
      <c r="V753" s="19">
        <f t="shared" si="1925"/>
        <v>5.4751168614266502E-2</v>
      </c>
      <c r="W753" s="20">
        <f t="shared" ref="W753:X753" si="1951">T753-T752</f>
        <v>-18</v>
      </c>
      <c r="X753" s="20">
        <f t="shared" si="1951"/>
        <v>-1</v>
      </c>
      <c r="Y753" s="19">
        <f t="shared" si="1927"/>
        <v>1.9392892251779915E-2</v>
      </c>
      <c r="Z753" s="19">
        <f t="shared" si="1928"/>
        <v>3.5842293906810034E-2</v>
      </c>
      <c r="AA753" s="21">
        <f t="shared" si="1929"/>
        <v>1.5697542921764163</v>
      </c>
      <c r="AB753" s="26">
        <f t="shared" si="1930"/>
        <v>1.8662232477590173</v>
      </c>
      <c r="AC753" s="23">
        <f t="shared" si="1931"/>
        <v>2181.2857142857142</v>
      </c>
      <c r="AD753" s="23">
        <f t="shared" si="1932"/>
        <v>42.428571428571431</v>
      </c>
      <c r="AE753" s="23">
        <f t="shared" si="1933"/>
        <v>11089.571428571429</v>
      </c>
      <c r="AF753" s="25">
        <f t="shared" si="1934"/>
        <v>0.26551211700919847</v>
      </c>
      <c r="AG753" s="20">
        <v>6401307</v>
      </c>
      <c r="AH753" s="21">
        <f t="shared" si="1944"/>
        <v>432</v>
      </c>
      <c r="AI753" s="21">
        <f t="shared" si="1935"/>
        <v>282.60000000000002</v>
      </c>
      <c r="AJ753" s="20">
        <v>6185041</v>
      </c>
      <c r="AK753" s="20">
        <f t="shared" si="1945"/>
        <v>965</v>
      </c>
      <c r="AL753" s="21">
        <f t="shared" si="1936"/>
        <v>645.4</v>
      </c>
      <c r="AM753" s="26">
        <f t="shared" si="1937"/>
        <v>2956.2857142857142</v>
      </c>
    </row>
    <row r="754" spans="1:39" ht="13">
      <c r="A754" s="30">
        <v>44646</v>
      </c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8"/>
      <c r="Q754" s="28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</row>
    <row r="755" spans="1:39" ht="13">
      <c r="A755" s="30">
        <v>44647</v>
      </c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8"/>
      <c r="Q755" s="28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</row>
    <row r="756" spans="1:39" ht="16">
      <c r="A756" s="30">
        <v>44648</v>
      </c>
      <c r="B756" s="20">
        <f>B753+C756</f>
        <v>1844581</v>
      </c>
      <c r="C756" s="20">
        <v>5223</v>
      </c>
      <c r="D756" s="20">
        <v>45342</v>
      </c>
      <c r="E756" s="20">
        <v>1699172</v>
      </c>
      <c r="F756" s="20">
        <v>11086534</v>
      </c>
      <c r="G756" s="17">
        <f t="shared" ref="G756:G760" si="1952">F756/9.8</f>
        <v>1131278.9795918367</v>
      </c>
      <c r="H756" s="20"/>
      <c r="I756" s="19">
        <f>(B756-B753)/B753</f>
        <v>2.8395777222269946E-3</v>
      </c>
      <c r="J756" s="19">
        <f t="shared" ref="J756:J760" si="1953">B756/F756</f>
        <v>0.16638031327013475</v>
      </c>
      <c r="K756" s="19">
        <f>(F756-F753)/F753</f>
        <v>3.0237638051618405E-3</v>
      </c>
      <c r="L756" s="20">
        <v>100067</v>
      </c>
      <c r="M756" s="19">
        <f t="shared" ref="M756:M760" si="1954">D756/B756</f>
        <v>2.4581192151496737E-2</v>
      </c>
      <c r="N756" s="19">
        <f t="shared" ref="N756:N760" si="1955">E756/B756</f>
        <v>0.92116963147728403</v>
      </c>
      <c r="O756" s="20">
        <v>8857</v>
      </c>
      <c r="P756" s="28">
        <f>F756-F753</f>
        <v>33422</v>
      </c>
      <c r="Q756" s="29">
        <f t="shared" ref="Q756:Q760" si="1956">C756/P756</f>
        <v>0.1562743103345102</v>
      </c>
      <c r="R756" s="20">
        <f t="shared" ref="R756:S756" si="1957">D756-D753</f>
        <v>84</v>
      </c>
      <c r="S756" s="20">
        <f t="shared" si="1957"/>
        <v>5779</v>
      </c>
      <c r="T756" s="20">
        <v>1887</v>
      </c>
      <c r="U756" s="20">
        <v>60</v>
      </c>
      <c r="V756" s="19">
        <f t="shared" ref="V756:V760" si="1958">L756/B756</f>
        <v>5.4249176371219267E-2</v>
      </c>
      <c r="W756" s="20">
        <f t="shared" ref="W756:X756" si="1959">T756-T753</f>
        <v>-66</v>
      </c>
      <c r="X756" s="20">
        <f t="shared" si="1959"/>
        <v>-10</v>
      </c>
      <c r="Y756" s="19">
        <f t="shared" ref="Y756:Y760" si="1960">T756/L756</f>
        <v>1.8857365565071404E-2</v>
      </c>
      <c r="Z756" s="19">
        <f t="shared" ref="Z756:Z760" si="1961">U756/T756</f>
        <v>3.1796502384737677E-2</v>
      </c>
      <c r="AA756" s="21">
        <f t="shared" ref="AA756:AA760" si="1962">(C750+C751+C752+C753+C754+C755+C756)/(C743+C744+C745+C746+C747+C748+C749)</f>
        <v>0.94134652447642297</v>
      </c>
      <c r="AB756" s="26">
        <f t="shared" ref="AB756:AB760" si="1963">SUM(AA750:AA756)/5</f>
        <v>1.6866759174936212</v>
      </c>
      <c r="AC756" s="23">
        <f t="shared" ref="AC756:AC760" si="1964">SUM(C750:C756)/7</f>
        <v>2093.2857142857142</v>
      </c>
      <c r="AD756" s="23">
        <f t="shared" ref="AD756:AD760" si="1965">SUM(R750:R756)/7</f>
        <v>35.285714285714285</v>
      </c>
      <c r="AE756" s="23">
        <f t="shared" ref="AE756:AE760" si="1966">SUM(P750:P756)/7</f>
        <v>9729.4285714285706</v>
      </c>
      <c r="AF756" s="25">
        <f t="shared" ref="AF756:AF760" si="1967">SUM(Q750:Q756)/5</f>
        <v>0.26957279143201418</v>
      </c>
      <c r="AG756" s="20">
        <v>6401980</v>
      </c>
      <c r="AH756" s="21">
        <f>AG756-AG753</f>
        <v>673</v>
      </c>
      <c r="AI756" s="21">
        <f t="shared" ref="AI756:AI760" si="1968">(SUM(AH750:AH756))/5</f>
        <v>286.60000000000002</v>
      </c>
      <c r="AJ756" s="20">
        <v>6186269</v>
      </c>
      <c r="AK756" s="20">
        <f>AJ756-AJ753</f>
        <v>1228</v>
      </c>
      <c r="AL756" s="21">
        <f t="shared" ref="AL756:AL760" si="1969">(SUM(AK750:AK756))/5</f>
        <v>604.4</v>
      </c>
      <c r="AM756" s="26">
        <f t="shared" ref="AM756:AM760" si="1970">SUM(S750:S756)/7</f>
        <v>2557.7142857142858</v>
      </c>
    </row>
    <row r="757" spans="1:39" ht="16">
      <c r="A757" s="30">
        <v>44649</v>
      </c>
      <c r="B757" s="20">
        <f t="shared" ref="B757:B760" si="1971">B756+C757</f>
        <v>1846311</v>
      </c>
      <c r="C757" s="20">
        <v>1730</v>
      </c>
      <c r="D757" s="20">
        <v>45390</v>
      </c>
      <c r="E757" s="20">
        <v>1700728</v>
      </c>
      <c r="F757" s="20">
        <v>11094272</v>
      </c>
      <c r="G757" s="17">
        <f t="shared" si="1952"/>
        <v>1132068.5714285714</v>
      </c>
      <c r="H757" s="20"/>
      <c r="I757" s="19">
        <f t="shared" ref="I757:I760" si="1972">(B757-B756)/B756</f>
        <v>9.3788237003417031E-4</v>
      </c>
      <c r="J757" s="19">
        <f t="shared" si="1953"/>
        <v>0.16642020314627223</v>
      </c>
      <c r="K757" s="19">
        <f t="shared" ref="K757:K760" si="1973">(F757-F756)/F756</f>
        <v>6.9796385416758748E-4</v>
      </c>
      <c r="L757" s="20">
        <v>100193</v>
      </c>
      <c r="M757" s="19">
        <f t="shared" si="1954"/>
        <v>2.4584157273612083E-2</v>
      </c>
      <c r="N757" s="19">
        <f t="shared" si="1955"/>
        <v>0.92114925383643387</v>
      </c>
      <c r="O757" s="20">
        <v>8234</v>
      </c>
      <c r="P757" s="28">
        <f t="shared" ref="P757:P760" si="1974">F757-F756</f>
        <v>7738</v>
      </c>
      <c r="Q757" s="29">
        <f t="shared" si="1956"/>
        <v>0.22357198242439907</v>
      </c>
      <c r="R757" s="20">
        <f t="shared" ref="R757:S757" si="1975">D757-D756</f>
        <v>48</v>
      </c>
      <c r="S757" s="20">
        <f t="shared" si="1975"/>
        <v>1556</v>
      </c>
      <c r="T757" s="20">
        <v>1896</v>
      </c>
      <c r="U757" s="20">
        <v>55</v>
      </c>
      <c r="V757" s="19">
        <f t="shared" si="1958"/>
        <v>5.4266588889954073E-2</v>
      </c>
      <c r="W757" s="20">
        <f t="shared" ref="W757:X757" si="1976">T757-T756</f>
        <v>9</v>
      </c>
      <c r="X757" s="20">
        <f t="shared" si="1976"/>
        <v>-5</v>
      </c>
      <c r="Y757" s="19">
        <f t="shared" si="1960"/>
        <v>1.8923477688062039E-2</v>
      </c>
      <c r="Z757" s="19">
        <f t="shared" si="1961"/>
        <v>2.90084388185654E-2</v>
      </c>
      <c r="AA757" s="21">
        <f t="shared" si="1962"/>
        <v>0.87263349158900416</v>
      </c>
      <c r="AB757" s="26">
        <f t="shared" si="1963"/>
        <v>1.3790491609576709</v>
      </c>
      <c r="AC757" s="23">
        <f t="shared" si="1964"/>
        <v>2126.8571428571427</v>
      </c>
      <c r="AD757" s="23">
        <f t="shared" si="1965"/>
        <v>35.285714285714285</v>
      </c>
      <c r="AE757" s="23">
        <f t="shared" si="1966"/>
        <v>10290</v>
      </c>
      <c r="AF757" s="25">
        <f t="shared" si="1967"/>
        <v>0.23589180249476499</v>
      </c>
      <c r="AG757" s="20">
        <v>6402100</v>
      </c>
      <c r="AH757" s="21">
        <f t="shared" ref="AH757:AH760" si="1977">AG757-AG756</f>
        <v>120</v>
      </c>
      <c r="AI757" s="21">
        <f t="shared" si="1968"/>
        <v>293.39999999999998</v>
      </c>
      <c r="AJ757" s="20">
        <v>6186486</v>
      </c>
      <c r="AK757" s="20">
        <f t="shared" ref="AK757:AK760" si="1978">AJ757-AJ756</f>
        <v>217</v>
      </c>
      <c r="AL757" s="21">
        <f t="shared" si="1969"/>
        <v>599.79999999999995</v>
      </c>
      <c r="AM757" s="26">
        <f t="shared" si="1970"/>
        <v>2530.5714285714284</v>
      </c>
    </row>
    <row r="758" spans="1:39" ht="16">
      <c r="A758" s="30">
        <v>44650</v>
      </c>
      <c r="B758" s="20">
        <f t="shared" si="1971"/>
        <v>1849217</v>
      </c>
      <c r="C758" s="20">
        <v>2906</v>
      </c>
      <c r="D758" s="20">
        <v>45430</v>
      </c>
      <c r="E758" s="20">
        <v>1703932</v>
      </c>
      <c r="F758" s="20">
        <v>11103060</v>
      </c>
      <c r="G758" s="17">
        <f t="shared" si="1952"/>
        <v>1132965.306122449</v>
      </c>
      <c r="H758" s="20"/>
      <c r="I758" s="19">
        <f t="shared" si="1972"/>
        <v>1.5739493508948384E-3</v>
      </c>
      <c r="J758" s="19">
        <f t="shared" si="1953"/>
        <v>0.16655021228382086</v>
      </c>
      <c r="K758" s="19">
        <f t="shared" si="1973"/>
        <v>7.9212047442139507E-4</v>
      </c>
      <c r="L758" s="20">
        <v>99855</v>
      </c>
      <c r="M758" s="19">
        <f t="shared" si="1954"/>
        <v>2.4567154638963411E-2</v>
      </c>
      <c r="N758" s="19">
        <f t="shared" si="1955"/>
        <v>0.92143431517231345</v>
      </c>
      <c r="O758" s="20">
        <v>8296</v>
      </c>
      <c r="P758" s="28">
        <f t="shared" si="1974"/>
        <v>8788</v>
      </c>
      <c r="Q758" s="29">
        <f t="shared" si="1956"/>
        <v>0.33067819754210287</v>
      </c>
      <c r="R758" s="20">
        <f t="shared" ref="R758:S758" si="1979">D758-D757</f>
        <v>40</v>
      </c>
      <c r="S758" s="20">
        <f t="shared" si="1979"/>
        <v>3204</v>
      </c>
      <c r="T758" s="20">
        <v>1873</v>
      </c>
      <c r="U758" s="20">
        <v>55</v>
      </c>
      <c r="V758" s="19">
        <f t="shared" si="1958"/>
        <v>5.3998530188723116E-2</v>
      </c>
      <c r="W758" s="20">
        <f t="shared" ref="W758:X758" si="1980">T758-T757</f>
        <v>-23</v>
      </c>
      <c r="X758" s="20">
        <f t="shared" si="1980"/>
        <v>0</v>
      </c>
      <c r="Y758" s="19">
        <f t="shared" si="1960"/>
        <v>1.8757197937008661E-2</v>
      </c>
      <c r="Z758" s="19">
        <f t="shared" si="1961"/>
        <v>2.9364655632674853E-2</v>
      </c>
      <c r="AA758" s="21">
        <f t="shared" si="1962"/>
        <v>0.99633431085043989</v>
      </c>
      <c r="AB758" s="26">
        <f t="shared" si="1963"/>
        <v>1.2572718378276622</v>
      </c>
      <c r="AC758" s="23">
        <f t="shared" si="1964"/>
        <v>2135.5714285714284</v>
      </c>
      <c r="AD758" s="23">
        <f t="shared" si="1965"/>
        <v>35</v>
      </c>
      <c r="AE758" s="23">
        <f t="shared" si="1966"/>
        <v>10210.428571428571</v>
      </c>
      <c r="AF758" s="25">
        <f t="shared" si="1967"/>
        <v>0.2411392665082685</v>
      </c>
      <c r="AG758" s="20">
        <v>6402207</v>
      </c>
      <c r="AH758" s="21">
        <f t="shared" si="1977"/>
        <v>107</v>
      </c>
      <c r="AI758" s="21">
        <f t="shared" si="1968"/>
        <v>295.2</v>
      </c>
      <c r="AJ758" s="20">
        <v>6186672</v>
      </c>
      <c r="AK758" s="20">
        <f t="shared" si="1978"/>
        <v>186</v>
      </c>
      <c r="AL758" s="21">
        <f t="shared" si="1969"/>
        <v>582.20000000000005</v>
      </c>
      <c r="AM758" s="26">
        <f t="shared" si="1970"/>
        <v>2516.1428571428573</v>
      </c>
    </row>
    <row r="759" spans="1:39" ht="16">
      <c r="A759" s="30">
        <v>44651</v>
      </c>
      <c r="B759" s="20">
        <f t="shared" si="1971"/>
        <v>1851871</v>
      </c>
      <c r="C759" s="20">
        <v>2654</v>
      </c>
      <c r="D759" s="20">
        <v>45470</v>
      </c>
      <c r="E759" s="20">
        <v>1706726</v>
      </c>
      <c r="F759" s="20">
        <v>11115682</v>
      </c>
      <c r="G759" s="17">
        <f t="shared" si="1952"/>
        <v>1134253.2653061224</v>
      </c>
      <c r="H759" s="20"/>
      <c r="I759" s="19">
        <f t="shared" si="1972"/>
        <v>1.4352020341582411E-3</v>
      </c>
      <c r="J759" s="19">
        <f t="shared" si="1953"/>
        <v>0.16659985415199896</v>
      </c>
      <c r="K759" s="19">
        <f t="shared" si="1973"/>
        <v>1.1368037279812953E-3</v>
      </c>
      <c r="L759" s="20">
        <v>99675</v>
      </c>
      <c r="M759" s="19">
        <f t="shared" si="1954"/>
        <v>2.4553546116333157E-2</v>
      </c>
      <c r="N759" s="19">
        <f t="shared" si="1955"/>
        <v>0.92162251042324217</v>
      </c>
      <c r="O759" s="20">
        <v>8412</v>
      </c>
      <c r="P759" s="28">
        <f t="shared" si="1974"/>
        <v>12622</v>
      </c>
      <c r="Q759" s="29">
        <f t="shared" si="1956"/>
        <v>0.21026778640469021</v>
      </c>
      <c r="R759" s="20">
        <f t="shared" ref="R759:S759" si="1981">D759-D758</f>
        <v>40</v>
      </c>
      <c r="S759" s="20">
        <f t="shared" si="1981"/>
        <v>2794</v>
      </c>
      <c r="T759" s="20">
        <v>1865</v>
      </c>
      <c r="U759" s="20">
        <v>52</v>
      </c>
      <c r="V759" s="19">
        <f t="shared" si="1958"/>
        <v>5.3823943460424621E-2</v>
      </c>
      <c r="W759" s="20">
        <f t="shared" ref="W759:X759" si="1982">T759-T758</f>
        <v>-8</v>
      </c>
      <c r="X759" s="20">
        <f t="shared" si="1982"/>
        <v>-3</v>
      </c>
      <c r="Y759" s="19">
        <f t="shared" si="1960"/>
        <v>1.8710810132932028E-2</v>
      </c>
      <c r="Z759" s="19">
        <f t="shared" si="1961"/>
        <v>2.7882037533512063E-2</v>
      </c>
      <c r="AA759" s="21">
        <f t="shared" si="1962"/>
        <v>0.9257057949479941</v>
      </c>
      <c r="AB759" s="26">
        <f t="shared" si="1963"/>
        <v>1.0611548828080557</v>
      </c>
      <c r="AC759" s="23">
        <f t="shared" si="1964"/>
        <v>2136</v>
      </c>
      <c r="AD759" s="23">
        <f t="shared" si="1965"/>
        <v>35.714285714285715</v>
      </c>
      <c r="AE759" s="23">
        <f t="shared" si="1966"/>
        <v>10772.714285714286</v>
      </c>
      <c r="AF759" s="25">
        <f t="shared" si="1967"/>
        <v>0.22215206855089203</v>
      </c>
      <c r="AG759" s="20">
        <v>6402359</v>
      </c>
      <c r="AH759" s="21">
        <f t="shared" si="1977"/>
        <v>152</v>
      </c>
      <c r="AI759" s="21">
        <f t="shared" si="1968"/>
        <v>296.8</v>
      </c>
      <c r="AJ759" s="20">
        <v>6186939</v>
      </c>
      <c r="AK759" s="20">
        <f t="shared" si="1978"/>
        <v>267</v>
      </c>
      <c r="AL759" s="21">
        <f t="shared" si="1969"/>
        <v>572.6</v>
      </c>
      <c r="AM759" s="26">
        <f t="shared" si="1970"/>
        <v>2466.5714285714284</v>
      </c>
    </row>
    <row r="760" spans="1:39" ht="16">
      <c r="A760" s="30">
        <v>44652</v>
      </c>
      <c r="B760" s="20">
        <f t="shared" si="1971"/>
        <v>1854198</v>
      </c>
      <c r="C760" s="20">
        <v>2327</v>
      </c>
      <c r="D760" s="20">
        <v>45510</v>
      </c>
      <c r="E760" s="20">
        <v>1709370</v>
      </c>
      <c r="F760" s="20">
        <v>11127382</v>
      </c>
      <c r="G760" s="17">
        <f t="shared" si="1952"/>
        <v>1135447.1428571427</v>
      </c>
      <c r="H760" s="20"/>
      <c r="I760" s="19">
        <f t="shared" si="1972"/>
        <v>1.2565670070971465E-3</v>
      </c>
      <c r="J760" s="19">
        <f t="shared" si="1953"/>
        <v>0.16663380478894316</v>
      </c>
      <c r="K760" s="19">
        <f t="shared" si="1973"/>
        <v>1.0525669949896011E-3</v>
      </c>
      <c r="L760" s="20">
        <v>99318</v>
      </c>
      <c r="M760" s="19">
        <f t="shared" si="1954"/>
        <v>2.4544304329958289E-2</v>
      </c>
      <c r="N760" s="19">
        <f t="shared" si="1955"/>
        <v>0.92189183679412878</v>
      </c>
      <c r="O760" s="20">
        <v>9191</v>
      </c>
      <c r="P760" s="28">
        <f t="shared" si="1974"/>
        <v>11700</v>
      </c>
      <c r="Q760" s="29">
        <f t="shared" si="1956"/>
        <v>0.19888888888888889</v>
      </c>
      <c r="R760" s="20">
        <f t="shared" ref="R760:S760" si="1983">D760-D759</f>
        <v>40</v>
      </c>
      <c r="S760" s="20">
        <f t="shared" si="1983"/>
        <v>2644</v>
      </c>
      <c r="T760" s="20">
        <v>1858</v>
      </c>
      <c r="U760" s="20">
        <v>56</v>
      </c>
      <c r="V760" s="19">
        <f t="shared" si="1958"/>
        <v>5.3563858875912931E-2</v>
      </c>
      <c r="W760" s="20">
        <f t="shared" ref="W760:X760" si="1984">T760-T759</f>
        <v>-7</v>
      </c>
      <c r="X760" s="20">
        <f t="shared" si="1984"/>
        <v>4</v>
      </c>
      <c r="Y760" s="19">
        <f t="shared" si="1960"/>
        <v>1.8707585734710729E-2</v>
      </c>
      <c r="Z760" s="19">
        <f t="shared" si="1961"/>
        <v>3.0139935414424113E-2</v>
      </c>
      <c r="AA760" s="21">
        <f t="shared" si="1962"/>
        <v>0.97190385748903008</v>
      </c>
      <c r="AB760" s="26">
        <f t="shared" si="1963"/>
        <v>0.94158479587057831</v>
      </c>
      <c r="AC760" s="23">
        <f t="shared" si="1964"/>
        <v>2120</v>
      </c>
      <c r="AD760" s="23">
        <f t="shared" si="1965"/>
        <v>36</v>
      </c>
      <c r="AE760" s="23">
        <f t="shared" si="1966"/>
        <v>10610</v>
      </c>
      <c r="AF760" s="25">
        <f t="shared" si="1967"/>
        <v>0.22393623311891825</v>
      </c>
      <c r="AG760" s="20">
        <v>6402762</v>
      </c>
      <c r="AH760" s="21">
        <f t="shared" si="1977"/>
        <v>403</v>
      </c>
      <c r="AI760" s="21">
        <f t="shared" si="1968"/>
        <v>291</v>
      </c>
      <c r="AJ760" s="20">
        <v>6187600</v>
      </c>
      <c r="AK760" s="20">
        <f t="shared" si="1978"/>
        <v>661</v>
      </c>
      <c r="AL760" s="21">
        <f t="shared" si="1969"/>
        <v>511.8</v>
      </c>
      <c r="AM760" s="26">
        <f t="shared" si="1970"/>
        <v>2282.4285714285716</v>
      </c>
    </row>
    <row r="761" spans="1:39" ht="13">
      <c r="A761" s="30">
        <v>44653</v>
      </c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8"/>
      <c r="Q761" s="28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</row>
    <row r="762" spans="1:39" ht="13">
      <c r="A762" s="30">
        <v>44654</v>
      </c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8"/>
      <c r="Q762" s="28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</row>
    <row r="763" spans="1:39" ht="13">
      <c r="A763" s="30">
        <v>44655</v>
      </c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8"/>
      <c r="Q763" s="28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</row>
    <row r="764" spans="1:39" ht="16">
      <c r="A764" s="30">
        <v>44656</v>
      </c>
      <c r="B764" s="20">
        <f>B760+C764</f>
        <v>1860159</v>
      </c>
      <c r="C764" s="20">
        <v>5961</v>
      </c>
      <c r="D764" s="20">
        <v>45611</v>
      </c>
      <c r="E764" s="20">
        <v>1717268</v>
      </c>
      <c r="F764" s="20">
        <v>11158930</v>
      </c>
      <c r="G764" s="17">
        <f t="shared" ref="G764:G767" si="1985">F764/9.8</f>
        <v>1138666.3265306121</v>
      </c>
      <c r="H764" s="20"/>
      <c r="I764" s="19">
        <f>(B764-B760)/B760</f>
        <v>3.2148670206741674E-3</v>
      </c>
      <c r="J764" s="19">
        <f t="shared" ref="J764:J767" si="1986">B764/F764</f>
        <v>0.16669689656624784</v>
      </c>
      <c r="K764" s="19">
        <f>(F764-F760)/F760</f>
        <v>2.8351682363380714E-3</v>
      </c>
      <c r="L764" s="20">
        <v>97280</v>
      </c>
      <c r="M764" s="19">
        <f t="shared" ref="M764:M767" si="1987">D764/B764</f>
        <v>2.4519946950771414E-2</v>
      </c>
      <c r="N764" s="19">
        <f t="shared" ref="N764:N767" si="1988">E764/B764</f>
        <v>0.92318344829662413</v>
      </c>
      <c r="O764" s="20">
        <v>7540</v>
      </c>
      <c r="P764" s="28">
        <f>F764-F760</f>
        <v>31548</v>
      </c>
      <c r="Q764" s="29">
        <f t="shared" ref="Q764:Q767" si="1989">C764/P764</f>
        <v>0.1889501711677444</v>
      </c>
      <c r="R764" s="20">
        <f t="shared" ref="R764:S764" si="1990">D764-D760</f>
        <v>101</v>
      </c>
      <c r="S764" s="20">
        <f t="shared" si="1990"/>
        <v>7898</v>
      </c>
      <c r="T764" s="20">
        <v>1833</v>
      </c>
      <c r="U764" s="20">
        <v>49</v>
      </c>
      <c r="V764" s="19">
        <f t="shared" ref="V764:V767" si="1991">L764/B764</f>
        <v>5.2296604752604482E-2</v>
      </c>
      <c r="W764" s="20">
        <f t="shared" ref="W764:X764" si="1992">T764-T760</f>
        <v>-25</v>
      </c>
      <c r="X764" s="20">
        <f t="shared" si="1992"/>
        <v>-7</v>
      </c>
      <c r="Y764" s="19">
        <f t="shared" ref="Y764:Y767" si="1993">T764/L764</f>
        <v>1.884251644736842E-2</v>
      </c>
      <c r="Z764" s="19">
        <f t="shared" ref="Z764:Z767" si="1994">U764/T764</f>
        <v>2.6732133115111838E-2</v>
      </c>
      <c r="AA764" s="21">
        <f t="shared" ref="AA764:AA767" si="1995">(C758+C759+C760+C761+C762+C763+C764)/(C751+C752+C753+C754+C755+C756+C757)</f>
        <v>0.9301450832885545</v>
      </c>
      <c r="AB764" s="26">
        <f t="shared" ref="AB764:AB767" si="1996">SUM(AA758:AA764)/5</f>
        <v>0.76481780931520371</v>
      </c>
      <c r="AC764" s="23">
        <f t="shared" ref="AC764:AC767" si="1997">SUM(C758:C764)/7</f>
        <v>1978.2857142857142</v>
      </c>
      <c r="AD764" s="23">
        <f t="shared" ref="AD764:AD767" si="1998">SUM(R758:R764)/7</f>
        <v>31.571428571428573</v>
      </c>
      <c r="AE764" s="23">
        <f t="shared" ref="AE764:AE767" si="1999">SUM(P758:P764)/7</f>
        <v>9236.8571428571431</v>
      </c>
      <c r="AF764" s="25">
        <f t="shared" ref="AF764:AF767" si="2000">SUM(Q758:Q764)/5</f>
        <v>0.18575700880068527</v>
      </c>
      <c r="AG764" s="20">
        <v>6403425</v>
      </c>
      <c r="AH764" s="21">
        <f>AG764-AG760</f>
        <v>663</v>
      </c>
      <c r="AI764" s="21">
        <f t="shared" ref="AI764:AI767" si="2001">(SUM(AH758:AH764))/5</f>
        <v>265</v>
      </c>
      <c r="AJ764" s="20">
        <v>6188501</v>
      </c>
      <c r="AK764" s="20">
        <f>AJ764-AJ760</f>
        <v>901</v>
      </c>
      <c r="AL764" s="21">
        <f t="shared" ref="AL764:AL767" si="2002">(SUM(AK758:AK764))/5</f>
        <v>403</v>
      </c>
      <c r="AM764" s="26">
        <f t="shared" ref="AM764:AM767" si="2003">SUM(S758:S764)/7</f>
        <v>2362.8571428571427</v>
      </c>
    </row>
    <row r="765" spans="1:39" ht="16">
      <c r="A765" s="30">
        <v>44657</v>
      </c>
      <c r="B765" s="20">
        <f t="shared" ref="B765:B767" si="2004">B764+C765</f>
        <v>1863039</v>
      </c>
      <c r="C765" s="20">
        <v>2880</v>
      </c>
      <c r="D765" s="20">
        <v>45647</v>
      </c>
      <c r="E765" s="20">
        <v>1720497</v>
      </c>
      <c r="F765" s="20">
        <v>11168674</v>
      </c>
      <c r="G765" s="17">
        <f t="shared" si="1985"/>
        <v>1139660.612244898</v>
      </c>
      <c r="H765" s="20"/>
      <c r="I765" s="19">
        <f t="shared" ref="I765:I767" si="2005">(B765-B764)/B764</f>
        <v>1.5482547459652642E-3</v>
      </c>
      <c r="J765" s="19">
        <f t="shared" si="1986"/>
        <v>0.1668093275889331</v>
      </c>
      <c r="K765" s="19">
        <f t="shared" ref="K765:K767" si="2006">(F765-F764)/F764</f>
        <v>8.7320200055023196E-4</v>
      </c>
      <c r="L765" s="20">
        <v>96895</v>
      </c>
      <c r="M765" s="19">
        <f t="shared" si="1987"/>
        <v>2.450136577924563E-2</v>
      </c>
      <c r="N765" s="19">
        <f t="shared" si="1988"/>
        <v>0.92348952437388587</v>
      </c>
      <c r="O765" s="20">
        <v>7340</v>
      </c>
      <c r="P765" s="28">
        <f t="shared" ref="P765:P767" si="2007">F765-F764</f>
        <v>9744</v>
      </c>
      <c r="Q765" s="29">
        <f t="shared" si="1989"/>
        <v>0.29556650246305421</v>
      </c>
      <c r="R765" s="20">
        <f t="shared" ref="R765:S765" si="2008">D765-D764</f>
        <v>36</v>
      </c>
      <c r="S765" s="20">
        <f t="shared" si="2008"/>
        <v>3229</v>
      </c>
      <c r="T765" s="20">
        <v>1785</v>
      </c>
      <c r="U765" s="20">
        <v>49</v>
      </c>
      <c r="V765" s="19">
        <f t="shared" si="1991"/>
        <v>5.2009109846868476E-2</v>
      </c>
      <c r="W765" s="20">
        <f t="shared" ref="W765:X765" si="2009">T765-T764</f>
        <v>-48</v>
      </c>
      <c r="X765" s="20">
        <f t="shared" si="2009"/>
        <v>0</v>
      </c>
      <c r="Y765" s="19">
        <f t="shared" si="1993"/>
        <v>1.8422003199339492E-2</v>
      </c>
      <c r="Z765" s="19">
        <f t="shared" si="1994"/>
        <v>2.7450980392156862E-2</v>
      </c>
      <c r="AA765" s="21">
        <f t="shared" si="1995"/>
        <v>0.92461034182888491</v>
      </c>
      <c r="AB765" s="26">
        <f t="shared" si="1996"/>
        <v>0.75047301551089274</v>
      </c>
      <c r="AC765" s="23">
        <f t="shared" si="1997"/>
        <v>1974.5714285714287</v>
      </c>
      <c r="AD765" s="23">
        <f t="shared" si="1998"/>
        <v>31</v>
      </c>
      <c r="AE765" s="23">
        <f t="shared" si="1999"/>
        <v>9373.4285714285706</v>
      </c>
      <c r="AF765" s="25">
        <f t="shared" si="2000"/>
        <v>0.17873466978487557</v>
      </c>
      <c r="AG765" s="20">
        <v>6403532</v>
      </c>
      <c r="AH765" s="21">
        <f t="shared" ref="AH765:AH767" si="2010">AG765-AG764</f>
        <v>107</v>
      </c>
      <c r="AI765" s="21">
        <f t="shared" si="2001"/>
        <v>265</v>
      </c>
      <c r="AJ765" s="20">
        <v>6188620</v>
      </c>
      <c r="AK765" s="20">
        <f t="shared" ref="AK765:AK767" si="2011">AJ765-AJ764</f>
        <v>119</v>
      </c>
      <c r="AL765" s="21">
        <f t="shared" si="2002"/>
        <v>389.6</v>
      </c>
      <c r="AM765" s="26">
        <f t="shared" si="2003"/>
        <v>2366.4285714285716</v>
      </c>
    </row>
    <row r="766" spans="1:39" ht="16">
      <c r="A766" s="30">
        <v>44658</v>
      </c>
      <c r="B766" s="20">
        <f t="shared" si="2004"/>
        <v>1865607</v>
      </c>
      <c r="C766" s="20">
        <v>2568</v>
      </c>
      <c r="D766" s="20">
        <v>45684</v>
      </c>
      <c r="E766" s="20">
        <v>1723020</v>
      </c>
      <c r="F766" s="20">
        <v>11180076</v>
      </c>
      <c r="G766" s="17">
        <f t="shared" si="1985"/>
        <v>1140824.081632653</v>
      </c>
      <c r="H766" s="20"/>
      <c r="I766" s="19">
        <f t="shared" si="2005"/>
        <v>1.3783930449121032E-3</v>
      </c>
      <c r="J766" s="19">
        <f t="shared" si="1986"/>
        <v>0.16686890142786148</v>
      </c>
      <c r="K766" s="19">
        <f t="shared" si="2006"/>
        <v>1.0208911102607167E-3</v>
      </c>
      <c r="L766" s="20">
        <v>96903</v>
      </c>
      <c r="M766" s="19">
        <f t="shared" si="1987"/>
        <v>2.4487472441945168E-2</v>
      </c>
      <c r="N766" s="19">
        <f t="shared" si="1988"/>
        <v>0.9235707198783023</v>
      </c>
      <c r="O766" s="20">
        <v>7799</v>
      </c>
      <c r="P766" s="28">
        <f t="shared" si="2007"/>
        <v>11402</v>
      </c>
      <c r="Q766" s="29">
        <f t="shared" si="1989"/>
        <v>0.22522364497456587</v>
      </c>
      <c r="R766" s="20">
        <f t="shared" ref="R766:S766" si="2012">D766-D765</f>
        <v>37</v>
      </c>
      <c r="S766" s="20">
        <f t="shared" si="2012"/>
        <v>2523</v>
      </c>
      <c r="T766" s="20">
        <v>1724</v>
      </c>
      <c r="U766" s="20">
        <v>51</v>
      </c>
      <c r="V766" s="19">
        <f t="shared" si="1991"/>
        <v>5.194180767975249E-2</v>
      </c>
      <c r="W766" s="20">
        <f t="shared" ref="W766:X766" si="2013">T766-T765</f>
        <v>-61</v>
      </c>
      <c r="X766" s="20">
        <f t="shared" si="2013"/>
        <v>2</v>
      </c>
      <c r="Y766" s="19">
        <f t="shared" si="1993"/>
        <v>1.7790986863151812E-2</v>
      </c>
      <c r="Z766" s="19">
        <f t="shared" si="1994"/>
        <v>2.9582366589327145E-2</v>
      </c>
      <c r="AA766" s="21">
        <f t="shared" si="1995"/>
        <v>0.91867308721241303</v>
      </c>
      <c r="AB766" s="26">
        <f t="shared" si="1996"/>
        <v>0.74906647396377646</v>
      </c>
      <c r="AC766" s="23">
        <f t="shared" si="1997"/>
        <v>1962.2857142857142</v>
      </c>
      <c r="AD766" s="23">
        <f t="shared" si="1998"/>
        <v>30.571428571428573</v>
      </c>
      <c r="AE766" s="23">
        <f t="shared" si="1999"/>
        <v>9199.1428571428569</v>
      </c>
      <c r="AF766" s="25">
        <f t="shared" si="2000"/>
        <v>0.18172584149885068</v>
      </c>
      <c r="AG766" s="20">
        <v>6403667</v>
      </c>
      <c r="AH766" s="21">
        <f t="shared" si="2010"/>
        <v>135</v>
      </c>
      <c r="AI766" s="21">
        <f t="shared" si="2001"/>
        <v>261.60000000000002</v>
      </c>
      <c r="AJ766" s="20">
        <v>6188807</v>
      </c>
      <c r="AK766" s="20">
        <f t="shared" si="2011"/>
        <v>187</v>
      </c>
      <c r="AL766" s="21">
        <f t="shared" si="2002"/>
        <v>373.6</v>
      </c>
      <c r="AM766" s="26">
        <f t="shared" si="2003"/>
        <v>2327.7142857142858</v>
      </c>
    </row>
    <row r="767" spans="1:39" ht="16">
      <c r="A767" s="30">
        <v>44659</v>
      </c>
      <c r="B767" s="20">
        <f t="shared" si="2004"/>
        <v>1868007</v>
      </c>
      <c r="C767" s="20">
        <v>2400</v>
      </c>
      <c r="D767" s="20">
        <v>45721</v>
      </c>
      <c r="E767" s="20">
        <v>1725324</v>
      </c>
      <c r="F767" s="20">
        <v>11191893</v>
      </c>
      <c r="G767" s="17">
        <f t="shared" si="1985"/>
        <v>1142029.8979591837</v>
      </c>
      <c r="H767" s="20"/>
      <c r="I767" s="19">
        <f t="shared" si="2005"/>
        <v>1.2864445727315561E-3</v>
      </c>
      <c r="J767" s="19">
        <f t="shared" si="1986"/>
        <v>0.16690715324029634</v>
      </c>
      <c r="K767" s="19">
        <f t="shared" si="2006"/>
        <v>1.0569695590620315E-3</v>
      </c>
      <c r="L767" s="20">
        <v>96962</v>
      </c>
      <c r="M767" s="19">
        <f t="shared" si="1987"/>
        <v>2.4475818345434466E-2</v>
      </c>
      <c r="N767" s="19">
        <f t="shared" si="1988"/>
        <v>0.92361752391720164</v>
      </c>
      <c r="O767" s="20">
        <v>8258</v>
      </c>
      <c r="P767" s="28">
        <f t="shared" si="2007"/>
        <v>11817</v>
      </c>
      <c r="Q767" s="29">
        <f t="shared" si="1989"/>
        <v>0.20309723280020309</v>
      </c>
      <c r="R767" s="20">
        <f t="shared" ref="R767:S767" si="2014">D767-D766</f>
        <v>37</v>
      </c>
      <c r="S767" s="20">
        <f t="shared" si="2014"/>
        <v>2304</v>
      </c>
      <c r="T767" s="20">
        <v>1688</v>
      </c>
      <c r="U767" s="20">
        <v>50</v>
      </c>
      <c r="V767" s="19">
        <f t="shared" si="1991"/>
        <v>5.1906657737363943E-2</v>
      </c>
      <c r="W767" s="20">
        <f t="shared" ref="W767:X767" si="2015">T767-T766</f>
        <v>-36</v>
      </c>
      <c r="X767" s="20">
        <f t="shared" si="2015"/>
        <v>-1</v>
      </c>
      <c r="Y767" s="19">
        <f t="shared" si="1993"/>
        <v>1.7408881829995258E-2</v>
      </c>
      <c r="Z767" s="19">
        <f t="shared" si="1994"/>
        <v>2.9620853080568721E-2</v>
      </c>
      <c r="AA767" s="21">
        <f t="shared" si="1995"/>
        <v>0.93052560646900273</v>
      </c>
      <c r="AB767" s="26">
        <f t="shared" si="1996"/>
        <v>0.74079082375977101</v>
      </c>
      <c r="AC767" s="23">
        <f t="shared" si="1997"/>
        <v>1972.7142857142858</v>
      </c>
      <c r="AD767" s="23">
        <f t="shared" si="1998"/>
        <v>30.142857142857142</v>
      </c>
      <c r="AE767" s="23">
        <f t="shared" si="1999"/>
        <v>9215.8571428571431</v>
      </c>
      <c r="AF767" s="25">
        <f t="shared" si="2000"/>
        <v>0.18256751028111354</v>
      </c>
      <c r="AG767" s="20">
        <v>6403956</v>
      </c>
      <c r="AH767" s="21">
        <f t="shared" si="2010"/>
        <v>289</v>
      </c>
      <c r="AI767" s="21">
        <f t="shared" si="2001"/>
        <v>238.8</v>
      </c>
      <c r="AJ767" s="20">
        <v>6189220</v>
      </c>
      <c r="AK767" s="20">
        <f t="shared" si="2011"/>
        <v>413</v>
      </c>
      <c r="AL767" s="21">
        <f t="shared" si="2002"/>
        <v>324</v>
      </c>
      <c r="AM767" s="26">
        <f t="shared" si="2003"/>
        <v>2279.1428571428573</v>
      </c>
    </row>
    <row r="768" spans="1:39" ht="13">
      <c r="A768" s="30">
        <v>44660</v>
      </c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8"/>
      <c r="Q768" s="28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</row>
    <row r="769" spans="1:39" ht="13">
      <c r="A769" s="30">
        <v>44661</v>
      </c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8"/>
      <c r="Q769" s="28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</row>
    <row r="770" spans="1:39" ht="16">
      <c r="A770" s="30">
        <v>44662</v>
      </c>
      <c r="B770" s="20">
        <f>B767+C770</f>
        <v>1872664</v>
      </c>
      <c r="C770" s="20">
        <v>4657</v>
      </c>
      <c r="D770" s="20">
        <v>45781</v>
      </c>
      <c r="E770" s="20">
        <v>1731816</v>
      </c>
      <c r="F770" s="20">
        <v>11221030</v>
      </c>
      <c r="G770" s="17">
        <f t="shared" ref="G770:G773" si="2016">F770/9.8</f>
        <v>1145003.0612244897</v>
      </c>
      <c r="H770" s="20"/>
      <c r="I770" s="19">
        <f>(B770-B767)/B767</f>
        <v>2.4930313430302992E-3</v>
      </c>
      <c r="J770" s="19">
        <f t="shared" ref="J770:J773" si="2017">B770/F770</f>
        <v>0.16688877937230362</v>
      </c>
      <c r="K770" s="19">
        <f>(F770-F767)/F767</f>
        <v>2.6034023020055676E-3</v>
      </c>
      <c r="L770" s="20">
        <v>95067</v>
      </c>
      <c r="M770" s="19">
        <f t="shared" ref="M770:M773" si="2018">D770/B770</f>
        <v>2.4446991024551119E-2</v>
      </c>
      <c r="N770" s="19">
        <f t="shared" ref="N770:N773" si="2019">E770/B770</f>
        <v>0.92478736174775611</v>
      </c>
      <c r="O770" s="20">
        <v>8258</v>
      </c>
      <c r="P770" s="28">
        <f>F770-F767</f>
        <v>29137</v>
      </c>
      <c r="Q770" s="29">
        <f t="shared" ref="Q770:Q773" si="2020">C770/P770</f>
        <v>0.15983114253354841</v>
      </c>
      <c r="R770" s="20">
        <f t="shared" ref="R770:S770" si="2021">D770-D767</f>
        <v>60</v>
      </c>
      <c r="S770" s="20">
        <f t="shared" si="2021"/>
        <v>6492</v>
      </c>
      <c r="T770" s="20">
        <v>1755</v>
      </c>
      <c r="U770" s="20">
        <v>48</v>
      </c>
      <c r="V770" s="19">
        <f t="shared" ref="V770:V773" si="2022">L770/B770</f>
        <v>5.0765647227692744E-2</v>
      </c>
      <c r="W770" s="20">
        <f t="shared" ref="W770:X770" si="2023">T770-T767</f>
        <v>67</v>
      </c>
      <c r="X770" s="20">
        <f t="shared" si="2023"/>
        <v>-2</v>
      </c>
      <c r="Y770" s="19">
        <f t="shared" ref="Y770:Y773" si="2024">T770/L770</f>
        <v>1.8460664583925021E-2</v>
      </c>
      <c r="Z770" s="19">
        <f t="shared" ref="Z770:Z773" si="2025">U770/T770</f>
        <v>2.735042735042735E-2</v>
      </c>
      <c r="AA770" s="21">
        <f t="shared" ref="AA770:AA773" si="2026">(C764+C765+C766+C767+C768+C769+C770)/(C757+C758+C759+C760+C761+C762+C763)</f>
        <v>1.9201414162420714</v>
      </c>
      <c r="AB770" s="26">
        <f t="shared" ref="AB770:AB773" si="2027">SUM(AA764:AA770)/5</f>
        <v>1.1248191070081854</v>
      </c>
      <c r="AC770" s="23">
        <f t="shared" ref="AC770:AC773" si="2028">SUM(C764:C770)/7</f>
        <v>2638</v>
      </c>
      <c r="AD770" s="23">
        <f t="shared" ref="AD770:AD773" si="2029">SUM(R764:R770)/7</f>
        <v>38.714285714285715</v>
      </c>
      <c r="AE770" s="23">
        <f t="shared" ref="AE770:AE773" si="2030">SUM(P764:P770)/7</f>
        <v>13378.285714285714</v>
      </c>
      <c r="AF770" s="25">
        <f t="shared" ref="AF770:AF773" si="2031">SUM(Q764:Q770)/5</f>
        <v>0.21453373878782322</v>
      </c>
      <c r="AG770" s="20">
        <v>6404348</v>
      </c>
      <c r="AH770" s="21">
        <f>AG770-AG767</f>
        <v>392</v>
      </c>
      <c r="AI770" s="21">
        <f t="shared" ref="AI770:AI773" si="2032">(SUM(AH764:AH770))/5</f>
        <v>317.2</v>
      </c>
      <c r="AJ770" s="20">
        <v>6189787</v>
      </c>
      <c r="AK770" s="20">
        <f>AJ770-AJ767</f>
        <v>567</v>
      </c>
      <c r="AL770" s="21">
        <f t="shared" ref="AL770:AL773" si="2033">(SUM(AK764:AK770))/5</f>
        <v>437.4</v>
      </c>
      <c r="AM770" s="26">
        <f t="shared" ref="AM770:AM773" si="2034">SUM(S764:S770)/7</f>
        <v>3206.5714285714284</v>
      </c>
    </row>
    <row r="771" spans="1:39" ht="16">
      <c r="A771" s="30">
        <v>44663</v>
      </c>
      <c r="B771" s="20">
        <f t="shared" ref="B771:B773" si="2035">B770+C771</f>
        <v>1874206</v>
      </c>
      <c r="C771" s="20">
        <v>1542</v>
      </c>
      <c r="D771" s="20">
        <v>45812</v>
      </c>
      <c r="E771" s="20">
        <v>1735929</v>
      </c>
      <c r="F771" s="20">
        <v>11225020</v>
      </c>
      <c r="G771" s="17">
        <f t="shared" si="2016"/>
        <v>1145410.2040816327</v>
      </c>
      <c r="H771" s="20"/>
      <c r="I771" s="19">
        <f t="shared" ref="I771:I773" si="2036">(B771-B770)/B770</f>
        <v>8.2342587885493612E-4</v>
      </c>
      <c r="J771" s="19">
        <f t="shared" si="2017"/>
        <v>0.16696682945776489</v>
      </c>
      <c r="K771" s="19">
        <f t="shared" ref="K771:K773" si="2037">(F771-F770)/F770</f>
        <v>3.5558233067730857E-4</v>
      </c>
      <c r="L771" s="20">
        <v>92465</v>
      </c>
      <c r="M771" s="19">
        <f t="shared" si="2018"/>
        <v>2.4443417639256303E-2</v>
      </c>
      <c r="N771" s="19">
        <f t="shared" si="2019"/>
        <v>0.92622102372951531</v>
      </c>
      <c r="O771" s="20">
        <v>8681</v>
      </c>
      <c r="P771" s="28">
        <f t="shared" ref="P771:P773" si="2038">F771-F770</f>
        <v>3990</v>
      </c>
      <c r="Q771" s="29">
        <f t="shared" si="2020"/>
        <v>0.38646616541353385</v>
      </c>
      <c r="R771" s="20">
        <f t="shared" ref="R771:S771" si="2039">D771-D770</f>
        <v>31</v>
      </c>
      <c r="S771" s="20">
        <f t="shared" si="2039"/>
        <v>4113</v>
      </c>
      <c r="T771" s="20">
        <v>1800</v>
      </c>
      <c r="U771" s="20">
        <v>51</v>
      </c>
      <c r="V771" s="19">
        <f t="shared" si="2022"/>
        <v>4.933555863122837E-2</v>
      </c>
      <c r="W771" s="20">
        <f t="shared" ref="W771:X771" si="2040">T771-T770</f>
        <v>45</v>
      </c>
      <c r="X771" s="20">
        <f t="shared" si="2040"/>
        <v>3</v>
      </c>
      <c r="Y771" s="19">
        <f t="shared" si="2024"/>
        <v>1.9466825285243065E-2</v>
      </c>
      <c r="Z771" s="19">
        <f t="shared" si="2025"/>
        <v>2.8333333333333332E-2</v>
      </c>
      <c r="AA771" s="21">
        <f t="shared" si="2026"/>
        <v>1.014370306181398</v>
      </c>
      <c r="AB771" s="26">
        <f t="shared" si="2027"/>
        <v>1.1416641515867541</v>
      </c>
      <c r="AC771" s="23">
        <f t="shared" si="2028"/>
        <v>2006.7142857142858</v>
      </c>
      <c r="AD771" s="23">
        <f t="shared" si="2029"/>
        <v>28.714285714285715</v>
      </c>
      <c r="AE771" s="23">
        <f t="shared" si="2030"/>
        <v>9441.4285714285706</v>
      </c>
      <c r="AF771" s="25">
        <f t="shared" si="2031"/>
        <v>0.2540369376369811</v>
      </c>
      <c r="AG771" s="20">
        <v>6404436</v>
      </c>
      <c r="AH771" s="21">
        <f t="shared" ref="AH771:AH773" si="2041">AG771-AG770</f>
        <v>88</v>
      </c>
      <c r="AI771" s="21">
        <f t="shared" si="2032"/>
        <v>202.2</v>
      </c>
      <c r="AJ771" s="20">
        <v>6189913</v>
      </c>
      <c r="AK771" s="20">
        <f t="shared" ref="AK771:AK773" si="2042">AJ771-AJ770</f>
        <v>126</v>
      </c>
      <c r="AL771" s="21">
        <f t="shared" si="2033"/>
        <v>282.39999999999998</v>
      </c>
      <c r="AM771" s="26">
        <f t="shared" si="2034"/>
        <v>2665.8571428571427</v>
      </c>
    </row>
    <row r="772" spans="1:39" ht="16">
      <c r="A772" s="30">
        <v>44664</v>
      </c>
      <c r="B772" s="20">
        <f t="shared" si="2035"/>
        <v>1876946</v>
      </c>
      <c r="C772" s="20">
        <v>2740</v>
      </c>
      <c r="D772" s="20">
        <v>45838</v>
      </c>
      <c r="E772" s="20">
        <v>1742051</v>
      </c>
      <c r="F772" s="20">
        <v>11233362</v>
      </c>
      <c r="G772" s="17">
        <f t="shared" si="2016"/>
        <v>1146261.4285714284</v>
      </c>
      <c r="H772" s="20"/>
      <c r="I772" s="19">
        <f t="shared" si="2036"/>
        <v>1.4619524214520708E-3</v>
      </c>
      <c r="J772" s="19">
        <f t="shared" si="2017"/>
        <v>0.16708675461540365</v>
      </c>
      <c r="K772" s="19">
        <f t="shared" si="2037"/>
        <v>7.4316125940087415E-4</v>
      </c>
      <c r="L772" s="20">
        <v>89057</v>
      </c>
      <c r="M772" s="19">
        <f t="shared" si="2018"/>
        <v>2.4421586982257347E-2</v>
      </c>
      <c r="N772" s="19">
        <f t="shared" si="2019"/>
        <v>0.92813059086409522</v>
      </c>
      <c r="O772" s="20">
        <v>5027</v>
      </c>
      <c r="P772" s="28">
        <f t="shared" si="2038"/>
        <v>8342</v>
      </c>
      <c r="Q772" s="29">
        <f t="shared" si="2020"/>
        <v>0.32845840326060899</v>
      </c>
      <c r="R772" s="20">
        <f t="shared" ref="R772:S772" si="2043">D772-D771</f>
        <v>26</v>
      </c>
      <c r="S772" s="20">
        <f t="shared" si="2043"/>
        <v>6122</v>
      </c>
      <c r="T772" s="20">
        <v>1717</v>
      </c>
      <c r="U772" s="20">
        <v>47</v>
      </c>
      <c r="V772" s="19">
        <f t="shared" si="2022"/>
        <v>4.744782215364747E-2</v>
      </c>
      <c r="W772" s="20">
        <f t="shared" ref="W772:X772" si="2044">T772-T771</f>
        <v>-83</v>
      </c>
      <c r="X772" s="20">
        <f t="shared" si="2044"/>
        <v>-4</v>
      </c>
      <c r="Y772" s="19">
        <f t="shared" si="2024"/>
        <v>1.9279787102642127E-2</v>
      </c>
      <c r="Z772" s="19">
        <f t="shared" si="2025"/>
        <v>2.7373325567850902E-2</v>
      </c>
      <c r="AA772" s="21">
        <f t="shared" si="2026"/>
        <v>1.0061496165533208</v>
      </c>
      <c r="AB772" s="26">
        <f t="shared" si="2027"/>
        <v>1.1579720065316412</v>
      </c>
      <c r="AC772" s="23">
        <f t="shared" si="2028"/>
        <v>1986.7142857142858</v>
      </c>
      <c r="AD772" s="23">
        <f t="shared" si="2029"/>
        <v>27.285714285714285</v>
      </c>
      <c r="AE772" s="23">
        <f t="shared" si="2030"/>
        <v>9241.1428571428569</v>
      </c>
      <c r="AF772" s="25">
        <f t="shared" si="2031"/>
        <v>0.26061531779649205</v>
      </c>
      <c r="AG772" s="20">
        <v>6404541</v>
      </c>
      <c r="AH772" s="21">
        <f t="shared" si="2041"/>
        <v>105</v>
      </c>
      <c r="AI772" s="21">
        <f t="shared" si="2032"/>
        <v>201.8</v>
      </c>
      <c r="AJ772" s="20">
        <v>6190140</v>
      </c>
      <c r="AK772" s="20">
        <f t="shared" si="2042"/>
        <v>227</v>
      </c>
      <c r="AL772" s="21">
        <f t="shared" si="2033"/>
        <v>304</v>
      </c>
      <c r="AM772" s="26">
        <f t="shared" si="2034"/>
        <v>3079.1428571428573</v>
      </c>
    </row>
    <row r="773" spans="1:39" ht="16">
      <c r="A773" s="30">
        <v>44665</v>
      </c>
      <c r="B773" s="20">
        <f t="shared" si="2035"/>
        <v>1879480</v>
      </c>
      <c r="C773" s="20">
        <v>2534</v>
      </c>
      <c r="D773" s="20">
        <v>45865</v>
      </c>
      <c r="E773" s="20">
        <v>1748707</v>
      </c>
      <c r="F773" s="20">
        <v>11244573</v>
      </c>
      <c r="G773" s="17">
        <f t="shared" si="2016"/>
        <v>1147405.4081632653</v>
      </c>
      <c r="H773" s="20"/>
      <c r="I773" s="19">
        <f t="shared" si="2036"/>
        <v>1.3500654787084977E-3</v>
      </c>
      <c r="J773" s="19">
        <f t="shared" si="2017"/>
        <v>0.1671455198876827</v>
      </c>
      <c r="K773" s="19">
        <f t="shared" si="2037"/>
        <v>9.9800932258748538E-4</v>
      </c>
      <c r="L773" s="20">
        <v>84908</v>
      </c>
      <c r="M773" s="19">
        <f t="shared" si="2018"/>
        <v>2.4403026368995679E-2</v>
      </c>
      <c r="N773" s="19">
        <f t="shared" si="2019"/>
        <v>0.93042064826441351</v>
      </c>
      <c r="O773" s="20">
        <v>3931</v>
      </c>
      <c r="P773" s="28">
        <f t="shared" si="2038"/>
        <v>11211</v>
      </c>
      <c r="Q773" s="29">
        <f t="shared" si="2020"/>
        <v>0.22602800820622604</v>
      </c>
      <c r="R773" s="20">
        <f t="shared" ref="R773:S773" si="2045">D773-D772</f>
        <v>27</v>
      </c>
      <c r="S773" s="20">
        <f t="shared" si="2045"/>
        <v>6656</v>
      </c>
      <c r="T773" s="20">
        <v>1648</v>
      </c>
      <c r="U773" s="20">
        <v>50</v>
      </c>
      <c r="V773" s="19">
        <f t="shared" si="2022"/>
        <v>4.5176325366590761E-2</v>
      </c>
      <c r="W773" s="20">
        <f t="shared" ref="W773:X773" si="2046">T773-T772</f>
        <v>-69</v>
      </c>
      <c r="X773" s="20">
        <f t="shared" si="2046"/>
        <v>3</v>
      </c>
      <c r="Y773" s="19">
        <f t="shared" si="2024"/>
        <v>1.9409242945305508E-2</v>
      </c>
      <c r="Z773" s="19">
        <f t="shared" si="2025"/>
        <v>3.0339805825242719E-2</v>
      </c>
      <c r="AA773" s="21">
        <f t="shared" si="2026"/>
        <v>1.0099737914967968</v>
      </c>
      <c r="AB773" s="26">
        <f t="shared" si="2027"/>
        <v>1.1762321473885178</v>
      </c>
      <c r="AC773" s="23">
        <f t="shared" si="2028"/>
        <v>1981.8571428571429</v>
      </c>
      <c r="AD773" s="23">
        <f t="shared" si="2029"/>
        <v>25.857142857142858</v>
      </c>
      <c r="AE773" s="23">
        <f t="shared" si="2030"/>
        <v>9213.8571428571431</v>
      </c>
      <c r="AF773" s="25">
        <f t="shared" si="2031"/>
        <v>0.26077619044282407</v>
      </c>
      <c r="AG773" s="20">
        <v>6404687</v>
      </c>
      <c r="AH773" s="21">
        <f t="shared" si="2041"/>
        <v>146</v>
      </c>
      <c r="AI773" s="21">
        <f t="shared" si="2032"/>
        <v>204</v>
      </c>
      <c r="AJ773" s="20">
        <v>6190310</v>
      </c>
      <c r="AK773" s="20">
        <f t="shared" si="2042"/>
        <v>170</v>
      </c>
      <c r="AL773" s="21">
        <f t="shared" si="2033"/>
        <v>300.60000000000002</v>
      </c>
      <c r="AM773" s="26">
        <f t="shared" si="2034"/>
        <v>3669.5714285714284</v>
      </c>
    </row>
    <row r="774" spans="1:39" ht="13">
      <c r="A774" s="30">
        <v>44666</v>
      </c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8"/>
      <c r="Q774" s="28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</row>
    <row r="775" spans="1:39" ht="13">
      <c r="A775" s="30">
        <v>44667</v>
      </c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8"/>
      <c r="Q775" s="28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</row>
    <row r="776" spans="1:39" ht="13">
      <c r="A776" s="30">
        <v>44668</v>
      </c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8"/>
      <c r="Q776" s="28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</row>
    <row r="777" spans="1:39" ht="13">
      <c r="A777" s="30">
        <v>44669</v>
      </c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8"/>
      <c r="Q777" s="28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</row>
    <row r="778" spans="1:39" ht="16">
      <c r="A778" s="30">
        <v>44670</v>
      </c>
      <c r="B778" s="20">
        <f>B773+C778</f>
        <v>1884458</v>
      </c>
      <c r="C778" s="20">
        <v>4978</v>
      </c>
      <c r="D778" s="20">
        <v>45971</v>
      </c>
      <c r="E778" s="20">
        <v>1760777</v>
      </c>
      <c r="F778" s="20">
        <v>11275271</v>
      </c>
      <c r="G778" s="17">
        <f t="shared" ref="G778:G781" si="2047">F778/9.8</f>
        <v>1150537.857142857</v>
      </c>
      <c r="H778" s="20"/>
      <c r="I778" s="19">
        <f>(B778-B773)/B773</f>
        <v>2.6486049332794179E-3</v>
      </c>
      <c r="J778" s="19">
        <f t="shared" ref="J778:J781" si="2048">B778/F778</f>
        <v>0.16713194742725029</v>
      </c>
      <c r="K778" s="19">
        <f>(F778-F773)/F773</f>
        <v>2.7300280766552895E-3</v>
      </c>
      <c r="L778" s="20">
        <v>77710</v>
      </c>
      <c r="M778" s="19">
        <f t="shared" ref="M778:M781" si="2049">D778/B778</f>
        <v>2.4394812725993361E-2</v>
      </c>
      <c r="N778" s="19">
        <f t="shared" ref="N778:N781" si="2050">E778/B778</f>
        <v>0.93436786598586963</v>
      </c>
      <c r="O778" s="20">
        <v>3609</v>
      </c>
      <c r="P778" s="28">
        <f>F778-F773</f>
        <v>30698</v>
      </c>
      <c r="Q778" s="29">
        <f t="shared" ref="Q778:Q781" si="2051">C778/P778</f>
        <v>0.1621604013290768</v>
      </c>
      <c r="R778" s="20">
        <f t="shared" ref="R778:S778" si="2052">D778-D773</f>
        <v>106</v>
      </c>
      <c r="S778" s="20">
        <f t="shared" si="2052"/>
        <v>12070</v>
      </c>
      <c r="T778" s="20">
        <v>1560</v>
      </c>
      <c r="U778" s="20">
        <v>49</v>
      </c>
      <c r="V778" s="19">
        <f t="shared" ref="V778:V781" si="2053">L778/B778</f>
        <v>4.1237321288136959E-2</v>
      </c>
      <c r="W778" s="20">
        <f t="shared" ref="W778:X778" si="2054">T778-T773</f>
        <v>-88</v>
      </c>
      <c r="X778" s="20">
        <f t="shared" si="2054"/>
        <v>-1</v>
      </c>
      <c r="Y778" s="19">
        <f t="shared" ref="Y778:Y781" si="2055">T778/L778</f>
        <v>2.0074636468922918E-2</v>
      </c>
      <c r="Z778" s="19">
        <f t="shared" ref="Z778:Z781" si="2056">U778/T778</f>
        <v>3.141025641025641E-2</v>
      </c>
      <c r="AA778" s="21">
        <f t="shared" ref="AA778:AA781" si="2057">(C772+C773+C774+C775+C776+C777+C778)/(C765+C766+C767+C768+C769+C770+C771)</f>
        <v>0.72983555207517614</v>
      </c>
      <c r="AB778" s="26">
        <f t="shared" ref="AB778:AB781" si="2058">SUM(AA772:AA778)/5</f>
        <v>0.54919179202505874</v>
      </c>
      <c r="AC778" s="23">
        <f t="shared" ref="AC778:AC781" si="2059">SUM(C772:C778)/7</f>
        <v>1464.5714285714287</v>
      </c>
      <c r="AD778" s="23">
        <f t="shared" ref="AD778:AD781" si="2060">SUM(R772:R778)/7</f>
        <v>22.714285714285715</v>
      </c>
      <c r="AE778" s="23">
        <f t="shared" ref="AE778:AE781" si="2061">SUM(P772:P778)/7</f>
        <v>7178.7142857142853</v>
      </c>
      <c r="AF778" s="25">
        <f t="shared" ref="AF778:AF781" si="2062">SUM(Q772:Q778)/5</f>
        <v>0.14332936255918238</v>
      </c>
      <c r="AG778" s="20">
        <v>6405123</v>
      </c>
      <c r="AH778" s="21">
        <f>AG778-AG773</f>
        <v>436</v>
      </c>
      <c r="AI778" s="21">
        <f t="shared" ref="AI778:AI781" si="2063">(SUM(AH772:AH778))/5</f>
        <v>137.4</v>
      </c>
      <c r="AJ778" s="20">
        <v>6190793</v>
      </c>
      <c r="AK778" s="20">
        <f>AJ778-AJ773</f>
        <v>483</v>
      </c>
      <c r="AL778" s="21">
        <f t="shared" ref="AL778:AL781" si="2064">(SUM(AK772:AK778))/5</f>
        <v>176</v>
      </c>
      <c r="AM778" s="26">
        <f t="shared" ref="AM778:AM781" si="2065">SUM(S772:S778)/7</f>
        <v>3549.7142857142858</v>
      </c>
    </row>
    <row r="779" spans="1:39" ht="16">
      <c r="A779" s="30">
        <v>44671</v>
      </c>
      <c r="B779" s="20">
        <f t="shared" ref="B779:B781" si="2066">B778+C779</f>
        <v>1885865</v>
      </c>
      <c r="C779" s="20">
        <v>1407</v>
      </c>
      <c r="D779" s="20">
        <v>46000</v>
      </c>
      <c r="E779" s="20">
        <v>1763911</v>
      </c>
      <c r="F779" s="20">
        <v>11278894</v>
      </c>
      <c r="G779" s="17">
        <f t="shared" si="2047"/>
        <v>1150907.551020408</v>
      </c>
      <c r="H779" s="20"/>
      <c r="I779" s="19">
        <f t="shared" ref="I779:I781" si="2067">(B779-B778)/B778</f>
        <v>7.4663378011077981E-4</v>
      </c>
      <c r="J779" s="19">
        <f t="shared" si="2048"/>
        <v>0.16720300767078758</v>
      </c>
      <c r="K779" s="19">
        <f t="shared" ref="K779:K781" si="2068">(F779-F778)/F778</f>
        <v>3.2132265379696863E-4</v>
      </c>
      <c r="L779" s="20">
        <v>75954</v>
      </c>
      <c r="M779" s="19">
        <f t="shared" si="2049"/>
        <v>2.4391989882626804E-2</v>
      </c>
      <c r="N779" s="19">
        <f t="shared" si="2050"/>
        <v>0.93533259273595937</v>
      </c>
      <c r="O779" s="20">
        <v>1715</v>
      </c>
      <c r="P779" s="28">
        <f t="shared" ref="P779:P781" si="2069">F779-F778</f>
        <v>3623</v>
      </c>
      <c r="Q779" s="29">
        <f t="shared" si="2051"/>
        <v>0.38835219431410434</v>
      </c>
      <c r="R779" s="20">
        <f t="shared" ref="R779:S779" si="2070">D779-D778</f>
        <v>29</v>
      </c>
      <c r="S779" s="20">
        <f t="shared" si="2070"/>
        <v>3134</v>
      </c>
      <c r="T779" s="20">
        <v>1603</v>
      </c>
      <c r="U779" s="20">
        <v>47</v>
      </c>
      <c r="V779" s="19">
        <f t="shared" si="2053"/>
        <v>4.0275417381413832E-2</v>
      </c>
      <c r="W779" s="20">
        <f t="shared" ref="W779:X779" si="2071">T779-T778</f>
        <v>43</v>
      </c>
      <c r="X779" s="20">
        <f t="shared" si="2071"/>
        <v>-2</v>
      </c>
      <c r="Y779" s="19">
        <f t="shared" si="2055"/>
        <v>2.1104879269031256E-2</v>
      </c>
      <c r="Z779" s="19">
        <f t="shared" si="2056"/>
        <v>2.9320024953212728E-2</v>
      </c>
      <c r="AA779" s="21">
        <f t="shared" si="2057"/>
        <v>0.64133170345868984</v>
      </c>
      <c r="AB779" s="26">
        <f t="shared" si="2058"/>
        <v>0.47622820940613247</v>
      </c>
      <c r="AC779" s="23">
        <f t="shared" si="2059"/>
        <v>1274.1428571428571</v>
      </c>
      <c r="AD779" s="23">
        <f t="shared" si="2060"/>
        <v>23.142857142857142</v>
      </c>
      <c r="AE779" s="23">
        <f t="shared" si="2061"/>
        <v>6504.5714285714284</v>
      </c>
      <c r="AF779" s="25">
        <f t="shared" si="2062"/>
        <v>0.15530812076988143</v>
      </c>
      <c r="AG779" s="20">
        <v>6405260</v>
      </c>
      <c r="AH779" s="21">
        <f t="shared" ref="AH779:AH781" si="2072">AG779-AG778</f>
        <v>137</v>
      </c>
      <c r="AI779" s="21">
        <f t="shared" si="2063"/>
        <v>143.80000000000001</v>
      </c>
      <c r="AJ779" s="20">
        <v>6191018</v>
      </c>
      <c r="AK779" s="20">
        <f t="shared" ref="AK779:AK781" si="2073">AJ779-AJ778</f>
        <v>225</v>
      </c>
      <c r="AL779" s="21">
        <f t="shared" si="2064"/>
        <v>175.6</v>
      </c>
      <c r="AM779" s="26">
        <f t="shared" si="2065"/>
        <v>3122.8571428571427</v>
      </c>
    </row>
    <row r="780" spans="1:39" ht="16">
      <c r="A780" s="30">
        <v>44672</v>
      </c>
      <c r="B780" s="20">
        <f t="shared" si="2066"/>
        <v>1888906</v>
      </c>
      <c r="C780" s="20">
        <v>3041</v>
      </c>
      <c r="D780" s="20">
        <v>46024</v>
      </c>
      <c r="E780" s="20">
        <v>1770066</v>
      </c>
      <c r="F780" s="20">
        <v>11285527</v>
      </c>
      <c r="G780" s="17">
        <f t="shared" si="2047"/>
        <v>1151584.387755102</v>
      </c>
      <c r="H780" s="20"/>
      <c r="I780" s="19">
        <f t="shared" si="2067"/>
        <v>1.6125226355014808E-3</v>
      </c>
      <c r="J780" s="19">
        <f t="shared" si="2048"/>
        <v>0.16737419528569644</v>
      </c>
      <c r="K780" s="19">
        <f t="shared" si="2068"/>
        <v>5.8808957686808658E-4</v>
      </c>
      <c r="L780" s="20">
        <v>72816</v>
      </c>
      <c r="M780" s="19">
        <f t="shared" si="2049"/>
        <v>2.4365426336726125E-2</v>
      </c>
      <c r="N780" s="19">
        <f t="shared" si="2050"/>
        <v>0.93708527581573675</v>
      </c>
      <c r="O780" s="20">
        <v>1652</v>
      </c>
      <c r="P780" s="28">
        <f t="shared" si="2069"/>
        <v>6633</v>
      </c>
      <c r="Q780" s="29">
        <f t="shared" si="2051"/>
        <v>0.45846524951002565</v>
      </c>
      <c r="R780" s="20">
        <f t="shared" ref="R780:S780" si="2074">D780-D779</f>
        <v>24</v>
      </c>
      <c r="S780" s="20">
        <f t="shared" si="2074"/>
        <v>6155</v>
      </c>
      <c r="T780" s="20">
        <v>1500</v>
      </c>
      <c r="U780" s="20">
        <v>48</v>
      </c>
      <c r="V780" s="19">
        <f t="shared" si="2053"/>
        <v>3.8549297847537148E-2</v>
      </c>
      <c r="W780" s="20">
        <f t="shared" ref="W780:X780" si="2075">T780-T779</f>
        <v>-103</v>
      </c>
      <c r="X780" s="20">
        <f t="shared" si="2075"/>
        <v>1</v>
      </c>
      <c r="Y780" s="19">
        <f t="shared" si="2055"/>
        <v>2.0599868160843769E-2</v>
      </c>
      <c r="Z780" s="19">
        <f t="shared" si="2056"/>
        <v>3.2000000000000001E-2</v>
      </c>
      <c r="AA780" s="21">
        <f t="shared" si="2057"/>
        <v>0.67944928998774601</v>
      </c>
      <c r="AB780" s="26">
        <f t="shared" si="2058"/>
        <v>0.41012330910432232</v>
      </c>
      <c r="AC780" s="23">
        <f t="shared" si="2059"/>
        <v>1346.5714285714287</v>
      </c>
      <c r="AD780" s="23">
        <f t="shared" si="2060"/>
        <v>22.714285714285715</v>
      </c>
      <c r="AE780" s="23">
        <f t="shared" si="2061"/>
        <v>5850.5714285714284</v>
      </c>
      <c r="AF780" s="25">
        <f t="shared" si="2062"/>
        <v>0.20179556903064136</v>
      </c>
      <c r="AG780" s="20">
        <v>6405342</v>
      </c>
      <c r="AH780" s="21">
        <f t="shared" si="2072"/>
        <v>82</v>
      </c>
      <c r="AI780" s="21">
        <f t="shared" si="2063"/>
        <v>131</v>
      </c>
      <c r="AJ780" s="20">
        <v>6191154</v>
      </c>
      <c r="AK780" s="20">
        <f t="shared" si="2073"/>
        <v>136</v>
      </c>
      <c r="AL780" s="21">
        <f t="shared" si="2064"/>
        <v>168.8</v>
      </c>
      <c r="AM780" s="26">
        <f t="shared" si="2065"/>
        <v>3051.2857142857142</v>
      </c>
    </row>
    <row r="781" spans="1:39" ht="16">
      <c r="A781" s="30">
        <v>44673</v>
      </c>
      <c r="B781" s="20">
        <f t="shared" si="2066"/>
        <v>1890953</v>
      </c>
      <c r="C781" s="20">
        <v>2047</v>
      </c>
      <c r="D781" s="20">
        <v>46048</v>
      </c>
      <c r="E781" s="20">
        <v>1776617</v>
      </c>
      <c r="F781" s="20">
        <v>11295119</v>
      </c>
      <c r="G781" s="17">
        <f t="shared" si="2047"/>
        <v>1152563.163265306</v>
      </c>
      <c r="H781" s="20"/>
      <c r="I781" s="19">
        <f t="shared" si="2067"/>
        <v>1.0836960653415257E-3</v>
      </c>
      <c r="J781" s="19">
        <f t="shared" si="2048"/>
        <v>0.16741328710215447</v>
      </c>
      <c r="K781" s="19">
        <f t="shared" si="2068"/>
        <v>8.4993815530280507E-4</v>
      </c>
      <c r="L781" s="20">
        <v>68288</v>
      </c>
      <c r="M781" s="19">
        <f t="shared" si="2049"/>
        <v>2.4351742216755255E-2</v>
      </c>
      <c r="N781" s="19">
        <f t="shared" si="2050"/>
        <v>0.9395352502151032</v>
      </c>
      <c r="O781" s="20">
        <v>1612</v>
      </c>
      <c r="P781" s="28">
        <f t="shared" si="2069"/>
        <v>9592</v>
      </c>
      <c r="Q781" s="29">
        <f t="shared" si="2051"/>
        <v>0.21340700583819849</v>
      </c>
      <c r="R781" s="20">
        <f t="shared" ref="R781:S781" si="2076">D781-D780</f>
        <v>24</v>
      </c>
      <c r="S781" s="20">
        <f t="shared" si="2076"/>
        <v>6551</v>
      </c>
      <c r="T781" s="20">
        <v>1449</v>
      </c>
      <c r="U781" s="20">
        <v>45</v>
      </c>
      <c r="V781" s="19">
        <f t="shared" si="2053"/>
        <v>3.6113007568141564E-2</v>
      </c>
      <c r="W781" s="20">
        <f t="shared" ref="W781:X781" si="2077">T781-T780</f>
        <v>-51</v>
      </c>
      <c r="X781" s="20">
        <f t="shared" si="2077"/>
        <v>-3</v>
      </c>
      <c r="Y781" s="19">
        <f t="shared" si="2055"/>
        <v>2.1218955014058107E-2</v>
      </c>
      <c r="Z781" s="19">
        <f t="shared" si="2056"/>
        <v>3.1055900621118012E-2</v>
      </c>
      <c r="AA781" s="21">
        <f t="shared" si="2057"/>
        <v>1</v>
      </c>
      <c r="AB781" s="26">
        <f t="shared" si="2058"/>
        <v>0.61012330910432233</v>
      </c>
      <c r="AC781" s="23">
        <f t="shared" si="2059"/>
        <v>1639</v>
      </c>
      <c r="AD781" s="23">
        <f t="shared" si="2060"/>
        <v>26.142857142857142</v>
      </c>
      <c r="AE781" s="23">
        <f t="shared" si="2061"/>
        <v>7220.8571428571431</v>
      </c>
      <c r="AF781" s="25">
        <f t="shared" si="2062"/>
        <v>0.24447697019828105</v>
      </c>
      <c r="AG781" s="20">
        <v>6405472</v>
      </c>
      <c r="AH781" s="21">
        <f t="shared" si="2072"/>
        <v>130</v>
      </c>
      <c r="AI781" s="21">
        <f t="shared" si="2063"/>
        <v>157</v>
      </c>
      <c r="AJ781" s="20">
        <v>6191345</v>
      </c>
      <c r="AK781" s="20">
        <f t="shared" si="2073"/>
        <v>191</v>
      </c>
      <c r="AL781" s="21">
        <f t="shared" si="2064"/>
        <v>207</v>
      </c>
      <c r="AM781" s="26">
        <f t="shared" si="2065"/>
        <v>3987.1428571428573</v>
      </c>
    </row>
    <row r="782" spans="1:39" ht="13">
      <c r="A782" s="30">
        <v>44674</v>
      </c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8"/>
      <c r="Q782" s="28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</row>
    <row r="783" spans="1:39" ht="13">
      <c r="A783" s="30">
        <v>44675</v>
      </c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8"/>
      <c r="Q783" s="28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</row>
    <row r="784" spans="1:39" ht="16">
      <c r="A784" s="30">
        <v>44676</v>
      </c>
      <c r="B784" s="20">
        <f>B781+C784</f>
        <v>1894278</v>
      </c>
      <c r="C784" s="20">
        <v>3325</v>
      </c>
      <c r="D784" s="20">
        <v>46101</v>
      </c>
      <c r="E784" s="20">
        <v>1788191</v>
      </c>
      <c r="F784" s="20">
        <v>11315178</v>
      </c>
      <c r="G784" s="17">
        <f t="shared" ref="G784:G788" si="2078">F784/9.8</f>
        <v>1154610</v>
      </c>
      <c r="H784" s="20"/>
      <c r="I784" s="19">
        <f>(B784-B781)/B781</f>
        <v>1.7583726300970991E-3</v>
      </c>
      <c r="J784" s="19">
        <f t="shared" ref="J784:J788" si="2079">B784/F784</f>
        <v>0.16741035801646248</v>
      </c>
      <c r="K784" s="19">
        <f>(F784-F781)/F781</f>
        <v>1.7758998377971937E-3</v>
      </c>
      <c r="L784" s="20">
        <v>59986</v>
      </c>
      <c r="M784" s="19">
        <f t="shared" ref="M784:M788" si="2080">D784/B784</f>
        <v>2.4336976937915131E-2</v>
      </c>
      <c r="N784" s="19">
        <f t="shared" ref="N784:N788" si="2081">E784/B784</f>
        <v>0.94399607660544016</v>
      </c>
      <c r="O784" s="20">
        <v>1757</v>
      </c>
      <c r="P784" s="28">
        <f>F784-F781</f>
        <v>20059</v>
      </c>
      <c r="Q784" s="29">
        <f t="shared" ref="Q784:Q788" si="2082">C784/P784</f>
        <v>0.16576100503514632</v>
      </c>
      <c r="R784" s="20">
        <f t="shared" ref="R784:S784" si="2083">D784-D781</f>
        <v>53</v>
      </c>
      <c r="S784" s="20">
        <f t="shared" si="2083"/>
        <v>11574</v>
      </c>
      <c r="T784" s="20">
        <v>1460</v>
      </c>
      <c r="U784" s="20">
        <v>40</v>
      </c>
      <c r="V784" s="19">
        <f t="shared" ref="V784:V788" si="2084">L784/B784</f>
        <v>3.1666946456644696E-2</v>
      </c>
      <c r="W784" s="20">
        <f t="shared" ref="W784:X784" si="2085">T784-T781</f>
        <v>11</v>
      </c>
      <c r="X784" s="20">
        <f t="shared" si="2085"/>
        <v>-5</v>
      </c>
      <c r="Y784" s="19">
        <f t="shared" ref="Y784:Y788" si="2086">T784/L784</f>
        <v>2.4339012436235121E-2</v>
      </c>
      <c r="Z784" s="19">
        <f t="shared" ref="Z784:Z788" si="2087">U784/T784</f>
        <v>2.7397260273972601E-2</v>
      </c>
      <c r="AA784" s="21">
        <f t="shared" ref="AA784:AA788" si="2088">(C778+C779+C780+C781+C782+C783+C784)/(C771+C772+C773+C774+C775+C776+C777)</f>
        <v>2.171068075117371</v>
      </c>
      <c r="AB784" s="26">
        <f t="shared" ref="AB784:AB788" si="2089">SUM(AA778:AA784)/5</f>
        <v>1.0443369241277964</v>
      </c>
      <c r="AC784" s="23">
        <f t="shared" ref="AC784:AC788" si="2090">SUM(C778:C784)/7</f>
        <v>2114</v>
      </c>
      <c r="AD784" s="23">
        <f t="shared" ref="AD784:AD788" si="2091">SUM(R778:R784)/7</f>
        <v>33.714285714285715</v>
      </c>
      <c r="AE784" s="23">
        <f t="shared" ref="AE784:AE788" si="2092">SUM(P778:P784)/7</f>
        <v>10086.428571428571</v>
      </c>
      <c r="AF784" s="25">
        <f t="shared" ref="AF784:AF788" si="2093">SUM(Q778:Q784)/5</f>
        <v>0.27762917120531033</v>
      </c>
      <c r="AG784" s="20">
        <v>6406103</v>
      </c>
      <c r="AH784" s="21">
        <f>AG784-AG781</f>
        <v>631</v>
      </c>
      <c r="AI784" s="21">
        <f t="shared" ref="AI784:AI788" si="2094">(SUM(AH778:AH784))/5</f>
        <v>283.2</v>
      </c>
      <c r="AJ784" s="20">
        <v>6192048</v>
      </c>
      <c r="AK784" s="20">
        <f>AJ784-AJ781</f>
        <v>703</v>
      </c>
      <c r="AL784" s="21">
        <f t="shared" ref="AL784:AL788" si="2095">(SUM(AK778:AK784))/5</f>
        <v>347.6</v>
      </c>
      <c r="AM784" s="26">
        <f t="shared" ref="AM784:AM788" si="2096">SUM(S778:S784)/7</f>
        <v>5640.5714285714284</v>
      </c>
    </row>
    <row r="785" spans="1:39" ht="16">
      <c r="A785" s="30">
        <v>44677</v>
      </c>
      <c r="B785" s="20">
        <f t="shared" ref="B785:B788" si="2097">B784+C785</f>
        <v>1895677</v>
      </c>
      <c r="C785" s="20">
        <v>1399</v>
      </c>
      <c r="D785" s="20">
        <v>46133</v>
      </c>
      <c r="E785" s="20">
        <v>1792616</v>
      </c>
      <c r="F785" s="20">
        <v>11317807</v>
      </c>
      <c r="G785" s="17">
        <f t="shared" si="2078"/>
        <v>1154878.2653061224</v>
      </c>
      <c r="H785" s="20"/>
      <c r="I785" s="19">
        <f t="shared" ref="I785:I788" si="2098">(B785-B784)/B784</f>
        <v>7.3853996087163548E-4</v>
      </c>
      <c r="J785" s="19">
        <f t="shared" si="2079"/>
        <v>0.16749508098167781</v>
      </c>
      <c r="K785" s="19">
        <f t="shared" ref="K785:K788" si="2099">(F785-F784)/F784</f>
        <v>2.3234278771398911E-4</v>
      </c>
      <c r="L785" s="20">
        <v>56928</v>
      </c>
      <c r="M785" s="19">
        <f t="shared" si="2080"/>
        <v>2.433589688538712E-2</v>
      </c>
      <c r="N785" s="19">
        <f t="shared" si="2081"/>
        <v>0.94563367071500048</v>
      </c>
      <c r="O785" s="20">
        <v>1915</v>
      </c>
      <c r="P785" s="28">
        <f t="shared" ref="P785:P788" si="2100">F785-F784</f>
        <v>2629</v>
      </c>
      <c r="Q785" s="29">
        <f t="shared" si="2082"/>
        <v>0.53214149866869531</v>
      </c>
      <c r="R785" s="20">
        <f t="shared" ref="R785:S785" si="2101">D785-D784</f>
        <v>32</v>
      </c>
      <c r="S785" s="20">
        <f t="shared" si="2101"/>
        <v>4425</v>
      </c>
      <c r="T785" s="20">
        <v>1499</v>
      </c>
      <c r="U785" s="20">
        <v>37</v>
      </c>
      <c r="V785" s="19">
        <f t="shared" si="2084"/>
        <v>3.0030432399612381E-2</v>
      </c>
      <c r="W785" s="20">
        <f t="shared" ref="W785:X785" si="2102">T785-T784</f>
        <v>39</v>
      </c>
      <c r="X785" s="20">
        <f t="shared" si="2102"/>
        <v>-3</v>
      </c>
      <c r="Y785" s="19">
        <f t="shared" si="2086"/>
        <v>2.6331506464305789E-2</v>
      </c>
      <c r="Z785" s="19">
        <f t="shared" si="2087"/>
        <v>2.4683122081387593E-2</v>
      </c>
      <c r="AA785" s="21">
        <f t="shared" si="2088"/>
        <v>1.0943230589153337</v>
      </c>
      <c r="AB785" s="26">
        <f t="shared" si="2089"/>
        <v>1.1172344254958282</v>
      </c>
      <c r="AC785" s="23">
        <f t="shared" si="2090"/>
        <v>1602.7142857142858</v>
      </c>
      <c r="AD785" s="23">
        <f t="shared" si="2091"/>
        <v>23.142857142857142</v>
      </c>
      <c r="AE785" s="23">
        <f t="shared" si="2092"/>
        <v>6076.5714285714284</v>
      </c>
      <c r="AF785" s="25">
        <f t="shared" si="2093"/>
        <v>0.35162539067323406</v>
      </c>
      <c r="AG785" s="20">
        <v>6406150</v>
      </c>
      <c r="AH785" s="21">
        <f t="shared" ref="AH785:AH788" si="2103">AG785-AG784</f>
        <v>47</v>
      </c>
      <c r="AI785" s="21">
        <f t="shared" si="2094"/>
        <v>205.4</v>
      </c>
      <c r="AJ785" s="20">
        <v>6192142</v>
      </c>
      <c r="AK785" s="20">
        <f t="shared" ref="AK785:AK788" si="2104">AJ785-AJ784</f>
        <v>94</v>
      </c>
      <c r="AL785" s="21">
        <f t="shared" si="2095"/>
        <v>269.8</v>
      </c>
      <c r="AM785" s="26">
        <f t="shared" si="2096"/>
        <v>4548.4285714285716</v>
      </c>
    </row>
    <row r="786" spans="1:39" ht="16">
      <c r="A786" s="30">
        <v>44678</v>
      </c>
      <c r="B786" s="20">
        <f t="shared" si="2097"/>
        <v>1897897</v>
      </c>
      <c r="C786" s="20">
        <v>2220</v>
      </c>
      <c r="D786" s="20">
        <v>46162</v>
      </c>
      <c r="E786" s="20">
        <v>1797144</v>
      </c>
      <c r="F786" s="20">
        <v>11324260</v>
      </c>
      <c r="G786" s="17">
        <f t="shared" si="2078"/>
        <v>1155536.7346938774</v>
      </c>
      <c r="H786" s="20"/>
      <c r="I786" s="19">
        <f t="shared" si="2098"/>
        <v>1.1710855805076499E-3</v>
      </c>
      <c r="J786" s="19">
        <f t="shared" si="2079"/>
        <v>0.16759567512579188</v>
      </c>
      <c r="K786" s="19">
        <f t="shared" si="2099"/>
        <v>5.7016346011201635E-4</v>
      </c>
      <c r="L786" s="20">
        <v>54591</v>
      </c>
      <c r="M786" s="19">
        <f t="shared" si="2080"/>
        <v>2.4322710874193909E-2</v>
      </c>
      <c r="N786" s="19">
        <f t="shared" si="2081"/>
        <v>0.94691334672008021</v>
      </c>
      <c r="O786" s="20">
        <v>1451</v>
      </c>
      <c r="P786" s="28">
        <f t="shared" si="2100"/>
        <v>6453</v>
      </c>
      <c r="Q786" s="29">
        <f t="shared" si="2082"/>
        <v>0.34402603440260343</v>
      </c>
      <c r="R786" s="20">
        <f t="shared" ref="R786:S786" si="2105">D786-D785</f>
        <v>29</v>
      </c>
      <c r="S786" s="20">
        <f t="shared" si="2105"/>
        <v>4528</v>
      </c>
      <c r="T786" s="20">
        <v>1451</v>
      </c>
      <c r="U786" s="20">
        <v>38</v>
      </c>
      <c r="V786" s="19">
        <f t="shared" si="2084"/>
        <v>2.8763942405725915E-2</v>
      </c>
      <c r="W786" s="20">
        <f t="shared" ref="W786:X786" si="2106">T786-T785</f>
        <v>-48</v>
      </c>
      <c r="X786" s="20">
        <f t="shared" si="2106"/>
        <v>1</v>
      </c>
      <c r="Y786" s="19">
        <f t="shared" si="2086"/>
        <v>2.6579472806872929E-2</v>
      </c>
      <c r="Z786" s="19">
        <f t="shared" si="2087"/>
        <v>2.6188835286009647E-2</v>
      </c>
      <c r="AA786" s="21">
        <f t="shared" si="2088"/>
        <v>1.3490301603318757</v>
      </c>
      <c r="AB786" s="26">
        <f t="shared" si="2089"/>
        <v>1.2587741168704651</v>
      </c>
      <c r="AC786" s="23">
        <f t="shared" si="2090"/>
        <v>1718.8571428571429</v>
      </c>
      <c r="AD786" s="23">
        <f t="shared" si="2091"/>
        <v>23.142857142857142</v>
      </c>
      <c r="AE786" s="23">
        <f t="shared" si="2092"/>
        <v>6480.8571428571431</v>
      </c>
      <c r="AF786" s="25">
        <f t="shared" si="2093"/>
        <v>0.34276015869093379</v>
      </c>
      <c r="AG786" s="20">
        <v>6406339</v>
      </c>
      <c r="AH786" s="21">
        <f t="shared" si="2103"/>
        <v>189</v>
      </c>
      <c r="AI786" s="21">
        <f t="shared" si="2094"/>
        <v>215.8</v>
      </c>
      <c r="AJ786" s="20">
        <v>6192374</v>
      </c>
      <c r="AK786" s="20">
        <f t="shared" si="2104"/>
        <v>232</v>
      </c>
      <c r="AL786" s="21">
        <f t="shared" si="2095"/>
        <v>271.2</v>
      </c>
      <c r="AM786" s="26">
        <f t="shared" si="2096"/>
        <v>4747.5714285714284</v>
      </c>
    </row>
    <row r="787" spans="1:39" ht="16">
      <c r="A787" s="30">
        <v>44679</v>
      </c>
      <c r="B787" s="20">
        <f t="shared" si="2097"/>
        <v>1899633</v>
      </c>
      <c r="C787" s="20">
        <v>1736</v>
      </c>
      <c r="D787" s="20">
        <v>46189</v>
      </c>
      <c r="E787" s="20">
        <v>1801813</v>
      </c>
      <c r="F787" s="20">
        <v>11331451</v>
      </c>
      <c r="G787" s="17">
        <f t="shared" si="2078"/>
        <v>1156270.5102040817</v>
      </c>
      <c r="H787" s="20"/>
      <c r="I787" s="19">
        <f t="shared" si="2098"/>
        <v>9.1469663527578152E-4</v>
      </c>
      <c r="J787" s="19">
        <f t="shared" si="2079"/>
        <v>0.16764251992088217</v>
      </c>
      <c r="K787" s="19">
        <f t="shared" si="2099"/>
        <v>6.3500838023853212E-4</v>
      </c>
      <c r="L787" s="20">
        <v>51631</v>
      </c>
      <c r="M787" s="19">
        <f t="shared" si="2080"/>
        <v>2.4314696575601709E-2</v>
      </c>
      <c r="N787" s="19">
        <f t="shared" si="2081"/>
        <v>0.94850584297072116</v>
      </c>
      <c r="O787" s="20">
        <v>2218</v>
      </c>
      <c r="P787" s="28">
        <f t="shared" si="2100"/>
        <v>7191</v>
      </c>
      <c r="Q787" s="29">
        <f t="shared" si="2082"/>
        <v>0.24141287720762064</v>
      </c>
      <c r="R787" s="20">
        <f t="shared" ref="R787:S787" si="2107">D787-D786</f>
        <v>27</v>
      </c>
      <c r="S787" s="20">
        <f t="shared" si="2107"/>
        <v>4669</v>
      </c>
      <c r="T787" s="20">
        <v>1437</v>
      </c>
      <c r="U787" s="20">
        <v>36</v>
      </c>
      <c r="V787" s="19">
        <f t="shared" si="2084"/>
        <v>2.7179460453677105E-2</v>
      </c>
      <c r="W787" s="20">
        <f t="shared" ref="W787:X787" si="2108">T787-T786</f>
        <v>-14</v>
      </c>
      <c r="X787" s="20">
        <f t="shared" si="2108"/>
        <v>-2</v>
      </c>
      <c r="Y787" s="19">
        <f t="shared" si="2086"/>
        <v>2.7832116364199803E-2</v>
      </c>
      <c r="Z787" s="19">
        <f t="shared" si="2087"/>
        <v>2.5052192066805846E-2</v>
      </c>
      <c r="AA787" s="21">
        <f t="shared" si="2088"/>
        <v>1.1380224909823891</v>
      </c>
      <c r="AB787" s="26">
        <f t="shared" si="2089"/>
        <v>1.3504887570693938</v>
      </c>
      <c r="AC787" s="23">
        <f t="shared" si="2090"/>
        <v>1532.4285714285713</v>
      </c>
      <c r="AD787" s="23">
        <f t="shared" si="2091"/>
        <v>23.571428571428573</v>
      </c>
      <c r="AE787" s="23">
        <f t="shared" si="2092"/>
        <v>6560.5714285714284</v>
      </c>
      <c r="AF787" s="25">
        <f t="shared" si="2093"/>
        <v>0.29934968423045288</v>
      </c>
      <c r="AG787" s="20">
        <v>6406412</v>
      </c>
      <c r="AH787" s="21">
        <f t="shared" si="2103"/>
        <v>73</v>
      </c>
      <c r="AI787" s="21">
        <f t="shared" si="2094"/>
        <v>214</v>
      </c>
      <c r="AJ787" s="20">
        <v>6192470</v>
      </c>
      <c r="AK787" s="20">
        <f t="shared" si="2104"/>
        <v>96</v>
      </c>
      <c r="AL787" s="21">
        <f t="shared" si="2095"/>
        <v>263.2</v>
      </c>
      <c r="AM787" s="26">
        <f t="shared" si="2096"/>
        <v>4535.2857142857147</v>
      </c>
    </row>
    <row r="788" spans="1:39" ht="16">
      <c r="A788" s="30">
        <v>44680</v>
      </c>
      <c r="B788" s="20">
        <f t="shared" si="2097"/>
        <v>1901017</v>
      </c>
      <c r="C788" s="20">
        <v>1384</v>
      </c>
      <c r="D788" s="20">
        <v>46201</v>
      </c>
      <c r="E788" s="20">
        <v>1804295</v>
      </c>
      <c r="F788" s="20">
        <v>11339446</v>
      </c>
      <c r="G788" s="17">
        <f t="shared" si="2078"/>
        <v>1157086.3265306121</v>
      </c>
      <c r="H788" s="20"/>
      <c r="I788" s="19">
        <f t="shared" si="2098"/>
        <v>7.2856178009120709E-4</v>
      </c>
      <c r="J788" s="19">
        <f t="shared" si="2079"/>
        <v>0.16764637355299369</v>
      </c>
      <c r="K788" s="19">
        <f t="shared" si="2099"/>
        <v>7.055583614137325E-4</v>
      </c>
      <c r="L788" s="20">
        <v>50521</v>
      </c>
      <c r="M788" s="19">
        <f t="shared" si="2080"/>
        <v>2.4303307124554908E-2</v>
      </c>
      <c r="N788" s="19">
        <f t="shared" si="2081"/>
        <v>0.94912091790867725</v>
      </c>
      <c r="O788" s="20">
        <v>2360</v>
      </c>
      <c r="P788" s="28">
        <f t="shared" si="2100"/>
        <v>7995</v>
      </c>
      <c r="Q788" s="29">
        <f t="shared" si="2082"/>
        <v>0.17310819262038774</v>
      </c>
      <c r="R788" s="20">
        <f t="shared" ref="R788:S788" si="2109">D788-D787</f>
        <v>12</v>
      </c>
      <c r="S788" s="20">
        <f t="shared" si="2109"/>
        <v>2482</v>
      </c>
      <c r="T788" s="20">
        <v>1427</v>
      </c>
      <c r="U788" s="20">
        <v>41</v>
      </c>
      <c r="V788" s="19">
        <f t="shared" si="2084"/>
        <v>2.6575774966767787E-2</v>
      </c>
      <c r="W788" s="20">
        <f t="shared" ref="W788:X788" si="2110">T788-T787</f>
        <v>-10</v>
      </c>
      <c r="X788" s="20">
        <f t="shared" si="2110"/>
        <v>5</v>
      </c>
      <c r="Y788" s="19">
        <f t="shared" si="2086"/>
        <v>2.8245680014251498E-2</v>
      </c>
      <c r="Z788" s="19">
        <f t="shared" si="2087"/>
        <v>2.8731604765241767E-2</v>
      </c>
      <c r="AA788" s="21">
        <f t="shared" si="2088"/>
        <v>0.87718992416978991</v>
      </c>
      <c r="AB788" s="26">
        <f t="shared" si="2089"/>
        <v>1.325926741903352</v>
      </c>
      <c r="AC788" s="23">
        <f t="shared" si="2090"/>
        <v>1437.7142857142858</v>
      </c>
      <c r="AD788" s="23">
        <f t="shared" si="2091"/>
        <v>21.857142857142858</v>
      </c>
      <c r="AE788" s="23">
        <f t="shared" si="2092"/>
        <v>6332.4285714285716</v>
      </c>
      <c r="AF788" s="25">
        <f t="shared" si="2093"/>
        <v>0.29128992158689071</v>
      </c>
      <c r="AG788" s="20">
        <v>6406501</v>
      </c>
      <c r="AH788" s="21">
        <f t="shared" si="2103"/>
        <v>89</v>
      </c>
      <c r="AI788" s="21">
        <f t="shared" si="2094"/>
        <v>205.8</v>
      </c>
      <c r="AJ788" s="20">
        <v>6192643</v>
      </c>
      <c r="AK788" s="20">
        <f t="shared" si="2104"/>
        <v>173</v>
      </c>
      <c r="AL788" s="21">
        <f t="shared" si="2095"/>
        <v>259.60000000000002</v>
      </c>
      <c r="AM788" s="26">
        <f t="shared" si="2096"/>
        <v>3954</v>
      </c>
    </row>
    <row r="789" spans="1:39" ht="13">
      <c r="A789" s="30">
        <v>44681</v>
      </c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8"/>
      <c r="Q789" s="28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</row>
    <row r="790" spans="1:39" ht="13">
      <c r="A790" s="30">
        <v>44682</v>
      </c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8"/>
      <c r="Q790" s="28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</row>
    <row r="791" spans="1:39" ht="16">
      <c r="A791" s="30">
        <v>44683</v>
      </c>
      <c r="B791" s="20">
        <f>B788+C791</f>
        <v>1903200</v>
      </c>
      <c r="C791" s="20">
        <v>2183</v>
      </c>
      <c r="D791" s="20">
        <v>46266</v>
      </c>
      <c r="E791" s="20">
        <v>1808061</v>
      </c>
      <c r="F791" s="20">
        <v>11355462</v>
      </c>
      <c r="G791" s="17">
        <f>F791/9.8</f>
        <v>1158720.612244898</v>
      </c>
      <c r="H791" s="20"/>
      <c r="I791" s="19">
        <f>(B791-B788)/B788</f>
        <v>1.1483327082293319E-3</v>
      </c>
      <c r="J791" s="19">
        <f>B791/F791</f>
        <v>0.16760216361078042</v>
      </c>
      <c r="K791" s="19">
        <f>(F791-F788)/F788</f>
        <v>1.4124146805761057E-3</v>
      </c>
      <c r="L791" s="20">
        <v>48873</v>
      </c>
      <c r="M791" s="19">
        <f>D791/B791</f>
        <v>2.4309583858764187E-2</v>
      </c>
      <c r="N791" s="19">
        <f>E791/B791</f>
        <v>0.95001103404791931</v>
      </c>
      <c r="O791" s="20">
        <v>2401</v>
      </c>
      <c r="P791" s="28">
        <f>F791-F788</f>
        <v>16016</v>
      </c>
      <c r="Q791" s="29">
        <f>C791/P791</f>
        <v>0.13630119880119881</v>
      </c>
      <c r="R791" s="20">
        <f t="shared" ref="R791:S791" si="2111">D791-D788</f>
        <v>65</v>
      </c>
      <c r="S791" s="20">
        <f t="shared" si="2111"/>
        <v>3766</v>
      </c>
      <c r="T791" s="20">
        <v>1310</v>
      </c>
      <c r="U791" s="20">
        <v>40</v>
      </c>
      <c r="V791" s="19">
        <f>L791/B791</f>
        <v>2.5679382093316518E-2</v>
      </c>
      <c r="W791" s="20">
        <f t="shared" ref="W791:X791" si="2112">T791-T788</f>
        <v>-117</v>
      </c>
      <c r="X791" s="20">
        <f t="shared" si="2112"/>
        <v>-1</v>
      </c>
      <c r="Y791" s="19">
        <f>T791/L791</f>
        <v>2.6804165899371842E-2</v>
      </c>
      <c r="Z791" s="19">
        <f>U791/T791</f>
        <v>3.0534351145038167E-2</v>
      </c>
      <c r="AA791" s="21">
        <f>(C785+C786+C787+C788+C789+C790+C791)/(C778+C779+C780+C781+C782+C783+C784)</f>
        <v>0.60291931342073257</v>
      </c>
      <c r="AB791" s="26"/>
      <c r="AC791" s="23">
        <f>SUM(C785:C791)/7</f>
        <v>1274.5714285714287</v>
      </c>
      <c r="AD791" s="23">
        <f>SUM(R785:R791)/7</f>
        <v>23.571428571428573</v>
      </c>
      <c r="AE791" s="23">
        <f>SUM(P785:P791)/7</f>
        <v>5754.8571428571431</v>
      </c>
      <c r="AF791" s="25">
        <f>SUM(Q785:Q791)/5</f>
        <v>0.28539796034010123</v>
      </c>
      <c r="AG791" s="20">
        <v>6407042</v>
      </c>
      <c r="AH791" s="21">
        <f>AG791-AG788</f>
        <v>541</v>
      </c>
      <c r="AI791" s="21">
        <f>(SUM(AH785:AH791))/5</f>
        <v>187.8</v>
      </c>
      <c r="AJ791" s="20">
        <v>6193238</v>
      </c>
      <c r="AK791" s="20">
        <f>AJ791-AJ788</f>
        <v>595</v>
      </c>
      <c r="AL791" s="21">
        <f>(SUM(AK785:AK791))/5</f>
        <v>238</v>
      </c>
      <c r="AM791" s="26">
        <f>SUM(S785:S791)/7</f>
        <v>2838.5714285714284</v>
      </c>
    </row>
    <row r="792" spans="1:39" ht="13">
      <c r="A792" s="30">
        <v>44684</v>
      </c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8"/>
      <c r="Q792" s="28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</row>
    <row r="793" spans="1:39" ht="13">
      <c r="A793" s="30">
        <v>44685</v>
      </c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8"/>
      <c r="Q793" s="28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</row>
    <row r="794" spans="1:39" ht="13">
      <c r="A794" s="30">
        <v>44686</v>
      </c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8"/>
      <c r="Q794" s="28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</row>
    <row r="795" spans="1:39" ht="13">
      <c r="A795" s="30">
        <v>44687</v>
      </c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8"/>
      <c r="Q795" s="28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</row>
    <row r="796" spans="1:39" ht="13">
      <c r="A796" s="30">
        <v>44688</v>
      </c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8"/>
      <c r="Q796" s="28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</row>
    <row r="797" spans="1:39" ht="13">
      <c r="A797" s="30">
        <v>44689</v>
      </c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8"/>
      <c r="Q797" s="28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</row>
    <row r="798" spans="1:39" ht="13">
      <c r="A798" s="30">
        <v>44690</v>
      </c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8"/>
      <c r="Q798" s="28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</row>
    <row r="799" spans="1:39" ht="13">
      <c r="A799" s="30">
        <v>44691</v>
      </c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8"/>
      <c r="Q799" s="28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</row>
    <row r="800" spans="1:39" ht="16">
      <c r="A800" s="30">
        <v>44692</v>
      </c>
      <c r="B800" s="20">
        <f>C800+B791</f>
        <v>1909948</v>
      </c>
      <c r="C800" s="20">
        <v>6748</v>
      </c>
      <c r="D800" s="20">
        <v>46343</v>
      </c>
      <c r="E800" s="20">
        <v>1821435</v>
      </c>
      <c r="F800" s="20">
        <v>11394556</v>
      </c>
      <c r="G800" s="17">
        <f>F800/9.8</f>
        <v>1162709.7959183673</v>
      </c>
      <c r="H800" s="20"/>
      <c r="I800" s="19">
        <f>(B800-B791)/B791</f>
        <v>3.5456073980664146E-3</v>
      </c>
      <c r="J800" s="19">
        <f>B800/F800</f>
        <v>0.16761934383402038</v>
      </c>
      <c r="K800" s="19">
        <f>(F800-F791)/F791</f>
        <v>3.4427485204917246E-3</v>
      </c>
      <c r="L800" s="20">
        <v>42170</v>
      </c>
      <c r="M800" s="19">
        <f>D800/B800</f>
        <v>2.4264011376225948E-2</v>
      </c>
      <c r="N800" s="19">
        <f>E800/B800</f>
        <v>0.95365685348501639</v>
      </c>
      <c r="O800" s="20">
        <v>1365</v>
      </c>
      <c r="P800" s="28">
        <f>F800-F791</f>
        <v>39094</v>
      </c>
      <c r="Q800" s="29">
        <f>C800/P800</f>
        <v>0.17260960761242133</v>
      </c>
      <c r="R800" s="20">
        <f t="shared" ref="R800:S800" si="2113">D800-D791</f>
        <v>77</v>
      </c>
      <c r="S800" s="20">
        <f t="shared" si="2113"/>
        <v>13374</v>
      </c>
      <c r="T800" s="20">
        <v>1015</v>
      </c>
      <c r="U800" s="20">
        <v>29</v>
      </c>
      <c r="V800" s="19">
        <f>L800/B800</f>
        <v>2.2079135138757703E-2</v>
      </c>
      <c r="W800" s="20">
        <f t="shared" ref="W800:X800" si="2114">T800-T791</f>
        <v>-295</v>
      </c>
      <c r="X800" s="20">
        <f t="shared" si="2114"/>
        <v>-11</v>
      </c>
      <c r="Y800" s="19">
        <f>T800/L800</f>
        <v>2.4069243538060232E-2</v>
      </c>
      <c r="Z800" s="19">
        <f>U800/T800</f>
        <v>2.8571428571428571E-2</v>
      </c>
      <c r="AA800" s="21">
        <f>(C794+C795+C796+C797+C798+C799+C800)/(C787+C788+C789+C790+C791+C792+C793)</f>
        <v>1.2724872713558364</v>
      </c>
      <c r="AB800" s="26"/>
      <c r="AC800" s="23">
        <f>SUM(C794:C800)/7</f>
        <v>964</v>
      </c>
      <c r="AD800" s="23">
        <f>SUM(R794:R800)/7</f>
        <v>11</v>
      </c>
      <c r="AE800" s="23">
        <f t="shared" ref="AE800:AF800" si="2115">SUM(P794:P800)/7</f>
        <v>5584.8571428571431</v>
      </c>
      <c r="AF800" s="25">
        <f t="shared" si="2115"/>
        <v>2.4658515373203047E-2</v>
      </c>
      <c r="AG800" s="20">
        <v>6407918</v>
      </c>
      <c r="AH800" s="20">
        <f>AG800-AG791</f>
        <v>876</v>
      </c>
      <c r="AI800" s="21">
        <f>(SUM(AH794:AH800))/7</f>
        <v>125.14285714285714</v>
      </c>
      <c r="AJ800" s="20">
        <v>6194102</v>
      </c>
      <c r="AK800" s="20">
        <f>AJ800-AJ791</f>
        <v>864</v>
      </c>
      <c r="AL800" s="21">
        <f>(SUM(AK794:AK800))/7</f>
        <v>123.42857142857143</v>
      </c>
      <c r="AM800" s="26">
        <f>SUM(S794:S800)/7</f>
        <v>1910.5714285714287</v>
      </c>
    </row>
    <row r="801" spans="1:39" ht="13">
      <c r="A801" s="30">
        <v>44693</v>
      </c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8"/>
      <c r="Q801" s="28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</row>
    <row r="802" spans="1:39" ht="13">
      <c r="A802" s="30">
        <v>44694</v>
      </c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8"/>
      <c r="Q802" s="28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</row>
    <row r="803" spans="1:39" ht="13">
      <c r="A803" s="30">
        <v>44695</v>
      </c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8"/>
      <c r="Q803" s="28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</row>
    <row r="804" spans="1:39" ht="13">
      <c r="A804" s="30">
        <v>44696</v>
      </c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8"/>
      <c r="Q804" s="28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</row>
    <row r="805" spans="1:39" ht="13">
      <c r="A805" s="30">
        <v>44697</v>
      </c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8"/>
      <c r="Q805" s="28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</row>
    <row r="806" spans="1:39" ht="13">
      <c r="A806" s="30">
        <v>44698</v>
      </c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8"/>
      <c r="Q806" s="28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</row>
    <row r="807" spans="1:39" ht="16">
      <c r="A807" s="30">
        <v>44699</v>
      </c>
      <c r="B807" s="20">
        <f>C807+B800</f>
        <v>1914697</v>
      </c>
      <c r="C807" s="20">
        <v>4749</v>
      </c>
      <c r="D807" s="20">
        <v>46446</v>
      </c>
      <c r="E807" s="20">
        <v>1830803</v>
      </c>
      <c r="F807" s="20">
        <v>11394556</v>
      </c>
      <c r="G807" s="17">
        <f>F807/9.8</f>
        <v>1162709.7959183673</v>
      </c>
      <c r="H807" s="20"/>
      <c r="I807" s="19">
        <f>(B807-B800)/B800</f>
        <v>2.4864551286213027E-3</v>
      </c>
      <c r="J807" s="19">
        <f>B807/F807</f>
        <v>0.16803612181115263</v>
      </c>
      <c r="K807" s="19">
        <f>(F807-F800)/F800</f>
        <v>0</v>
      </c>
      <c r="L807" s="20">
        <v>37448</v>
      </c>
      <c r="M807" s="19">
        <f>D807/B807</f>
        <v>2.4257624052265187E-2</v>
      </c>
      <c r="N807" s="19">
        <f>E807/B807</f>
        <v>0.95618418997888444</v>
      </c>
      <c r="O807" s="20">
        <v>694</v>
      </c>
      <c r="P807" s="28">
        <f>F807-F800</f>
        <v>0</v>
      </c>
      <c r="Q807" s="29"/>
      <c r="R807" s="20">
        <f t="shared" ref="R807:S807" si="2116">D807-D800</f>
        <v>103</v>
      </c>
      <c r="S807" s="20">
        <f t="shared" si="2116"/>
        <v>9368</v>
      </c>
      <c r="T807" s="20">
        <v>742</v>
      </c>
      <c r="U807" s="20">
        <v>21</v>
      </c>
      <c r="V807" s="19">
        <f>L807/B807</f>
        <v>1.9558185968850422E-2</v>
      </c>
      <c r="W807" s="20">
        <f t="shared" ref="W807:X807" si="2117">T807-T800</f>
        <v>-273</v>
      </c>
      <c r="X807" s="20">
        <f t="shared" si="2117"/>
        <v>-8</v>
      </c>
      <c r="Y807" s="19">
        <f>T807/L807</f>
        <v>1.9814142277291176E-2</v>
      </c>
      <c r="Z807" s="19">
        <f>U807/T807</f>
        <v>2.8301886792452831E-2</v>
      </c>
      <c r="AA807" s="21">
        <f>(C801+C802+C803+C804+C805+C806+C807)/(C794+C795+C796+C797+C798+C799+C800)</f>
        <v>0.7037640782454061</v>
      </c>
      <c r="AB807" s="26"/>
      <c r="AC807" s="23">
        <f>SUM(C801:C807)/7</f>
        <v>678.42857142857144</v>
      </c>
      <c r="AD807" s="23">
        <f>SUM(R801:R807)/7</f>
        <v>14.714285714285714</v>
      </c>
      <c r="AE807" s="23">
        <f t="shared" ref="AE807:AF807" si="2118">SUM(P801:P807)/7</f>
        <v>0</v>
      </c>
      <c r="AF807" s="25">
        <f t="shared" si="2118"/>
        <v>0</v>
      </c>
      <c r="AG807" s="20">
        <v>6408742</v>
      </c>
      <c r="AH807" s="20">
        <f>AG807-AG800</f>
        <v>824</v>
      </c>
      <c r="AI807" s="21">
        <f>(SUM(AH801:AH807))/7</f>
        <v>117.71428571428571</v>
      </c>
      <c r="AJ807" s="20">
        <v>6194964</v>
      </c>
      <c r="AK807" s="20">
        <f>AJ807-AJ800</f>
        <v>862</v>
      </c>
      <c r="AL807" s="21">
        <f>(SUM(AK801:AK807))/7</f>
        <v>123.14285714285714</v>
      </c>
      <c r="AM807" s="26">
        <f>SUM(S801:S807)/7</f>
        <v>1338.2857142857142</v>
      </c>
    </row>
    <row r="808" spans="1:39" ht="13">
      <c r="A808" s="30">
        <v>44700</v>
      </c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8"/>
      <c r="Q808" s="28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</row>
    <row r="809" spans="1:39" ht="13">
      <c r="A809" s="30">
        <v>44701</v>
      </c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8"/>
      <c r="Q809" s="28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</row>
    <row r="810" spans="1:39" ht="13">
      <c r="A810" s="30">
        <v>44702</v>
      </c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8"/>
      <c r="Q810" s="28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</row>
    <row r="811" spans="1:39" ht="13">
      <c r="A811" s="30">
        <v>44703</v>
      </c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8"/>
      <c r="Q811" s="28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</row>
    <row r="812" spans="1:39" ht="13">
      <c r="A812" s="30">
        <v>44704</v>
      </c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8"/>
      <c r="Q812" s="28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</row>
    <row r="813" spans="1:39" ht="13">
      <c r="A813" s="30">
        <v>44705</v>
      </c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8"/>
      <c r="Q813" s="28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</row>
    <row r="814" spans="1:39" ht="16">
      <c r="A814" s="30">
        <v>44706</v>
      </c>
      <c r="B814" s="20">
        <f>C814+B807</f>
        <v>1917777</v>
      </c>
      <c r="C814" s="20">
        <v>3080</v>
      </c>
      <c r="D814" s="20">
        <v>46507</v>
      </c>
      <c r="E814" s="20">
        <v>1841731</v>
      </c>
      <c r="F814" s="20">
        <v>11394556</v>
      </c>
      <c r="G814" s="17">
        <f>F814/9.8</f>
        <v>1162709.7959183673</v>
      </c>
      <c r="H814" s="20"/>
      <c r="I814" s="19">
        <f>(B814-B807)/B807</f>
        <v>1.6086096129048096E-3</v>
      </c>
      <c r="J814" s="19">
        <f>B814/F814</f>
        <v>0.16830642633201329</v>
      </c>
      <c r="K814" s="19">
        <f>(F814-F807)/F807</f>
        <v>0</v>
      </c>
      <c r="L814" s="20">
        <v>29539</v>
      </c>
      <c r="M814" s="19">
        <f>D814/B814</f>
        <v>2.4250473334490923E-2</v>
      </c>
      <c r="N814" s="19">
        <f>E814/B814</f>
        <v>0.96034679735965134</v>
      </c>
      <c r="O814" s="20">
        <v>523</v>
      </c>
      <c r="P814" s="28">
        <f>F814-F807</f>
        <v>0</v>
      </c>
      <c r="Q814" s="29"/>
      <c r="R814" s="20">
        <f t="shared" ref="R814:S814" si="2119">D814-D807</f>
        <v>61</v>
      </c>
      <c r="S814" s="20">
        <f t="shared" si="2119"/>
        <v>10928</v>
      </c>
      <c r="T814" s="20">
        <v>483</v>
      </c>
      <c r="U814" s="20">
        <v>18</v>
      </c>
      <c r="V814" s="19">
        <f>L814/B814</f>
        <v>1.5402729305857772E-2</v>
      </c>
      <c r="W814" s="20">
        <f t="shared" ref="W814:X814" si="2120">T814-T807</f>
        <v>-259</v>
      </c>
      <c r="X814" s="20">
        <f t="shared" si="2120"/>
        <v>-3</v>
      </c>
      <c r="Y814" s="19">
        <f>T814/L814</f>
        <v>1.6351264430075493E-2</v>
      </c>
      <c r="Z814" s="19">
        <f>U814/T814</f>
        <v>3.7267080745341616E-2</v>
      </c>
      <c r="AA814" s="21">
        <f>(C808+C809+C810+C811+C812+C813+C814)/(C801+C802+C803+C804+C805+C806+C807)</f>
        <v>0.64855759107180455</v>
      </c>
      <c r="AB814" s="26"/>
      <c r="AC814" s="23">
        <f>SUM(C808:C814)/7</f>
        <v>440</v>
      </c>
      <c r="AD814" s="23">
        <f>SUM(R808:R814)/7</f>
        <v>8.7142857142857135</v>
      </c>
      <c r="AE814" s="23">
        <f t="shared" ref="AE814:AF814" si="2121">SUM(P808:P814)/7</f>
        <v>0</v>
      </c>
      <c r="AF814" s="25">
        <f t="shared" si="2121"/>
        <v>0</v>
      </c>
      <c r="AG814" s="20">
        <v>6409451</v>
      </c>
      <c r="AH814" s="20">
        <f>AG814-AG807</f>
        <v>709</v>
      </c>
      <c r="AI814" s="21">
        <f>(SUM(AH808:AH814))/7</f>
        <v>101.28571428571429</v>
      </c>
      <c r="AJ814" s="20">
        <v>6195684</v>
      </c>
      <c r="AK814" s="20">
        <f>AJ814-AJ807</f>
        <v>720</v>
      </c>
      <c r="AL814" s="21">
        <f>(SUM(AK808:AK814))/7</f>
        <v>102.85714285714286</v>
      </c>
      <c r="AM814" s="26">
        <f>SUM(S808:S814)/7</f>
        <v>1561.1428571428571</v>
      </c>
    </row>
    <row r="815" spans="1:39" ht="13">
      <c r="A815" s="30">
        <v>44707</v>
      </c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8"/>
      <c r="Q815" s="28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</row>
    <row r="816" spans="1:39" ht="13">
      <c r="A816" s="30">
        <v>44708</v>
      </c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8"/>
      <c r="Q816" s="28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</row>
    <row r="817" spans="1:39" ht="13">
      <c r="A817" s="30">
        <v>44709</v>
      </c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8"/>
      <c r="Q817" s="28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</row>
    <row r="818" spans="1:39" ht="13">
      <c r="A818" s="30">
        <v>44710</v>
      </c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8"/>
      <c r="Q818" s="28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</row>
    <row r="819" spans="1:39" ht="13">
      <c r="A819" s="30">
        <v>44711</v>
      </c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8"/>
      <c r="Q819" s="28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</row>
    <row r="820" spans="1:39" ht="13">
      <c r="A820" s="30">
        <v>44712</v>
      </c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8"/>
      <c r="Q820" s="28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</row>
    <row r="821" spans="1:39" ht="16">
      <c r="A821" s="30">
        <v>44713</v>
      </c>
      <c r="B821" s="20">
        <f>C821+B814</f>
        <v>1919840</v>
      </c>
      <c r="C821" s="20">
        <v>2063</v>
      </c>
      <c r="D821" s="20">
        <v>46547</v>
      </c>
      <c r="E821" s="20">
        <v>1847746</v>
      </c>
      <c r="F821" s="20">
        <v>11394556</v>
      </c>
      <c r="G821" s="17">
        <f>F821/9.8</f>
        <v>1162709.7959183673</v>
      </c>
      <c r="H821" s="20"/>
      <c r="I821" s="19">
        <f>(B821-B814)/B814</f>
        <v>1.0757246541177625E-3</v>
      </c>
      <c r="J821" s="19">
        <f>B821/F821</f>
        <v>0.16848747770426509</v>
      </c>
      <c r="K821" s="19">
        <f>(F821-F814)/F814</f>
        <v>0</v>
      </c>
      <c r="L821" s="20">
        <v>25547</v>
      </c>
      <c r="M821" s="19">
        <f>D821/B821</f>
        <v>2.4245249604133677E-2</v>
      </c>
      <c r="N821" s="19">
        <f>E821/B821</f>
        <v>0.96244791232602722</v>
      </c>
      <c r="O821" s="20">
        <v>345</v>
      </c>
      <c r="P821" s="28">
        <f>F821-F814</f>
        <v>0</v>
      </c>
      <c r="Q821" s="29"/>
      <c r="R821" s="20">
        <f t="shared" ref="R821:S821" si="2122">D821-D814</f>
        <v>40</v>
      </c>
      <c r="S821" s="20">
        <f t="shared" si="2122"/>
        <v>6015</v>
      </c>
      <c r="T821" s="20">
        <v>362</v>
      </c>
      <c r="U821" s="20">
        <v>13</v>
      </c>
      <c r="V821" s="19">
        <f>L821/B821</f>
        <v>1.3306838069839153E-2</v>
      </c>
      <c r="W821" s="20">
        <f t="shared" ref="W821:X821" si="2123">T821-T814</f>
        <v>-121</v>
      </c>
      <c r="X821" s="20">
        <f t="shared" si="2123"/>
        <v>-5</v>
      </c>
      <c r="Y821" s="19">
        <f>T821/L821</f>
        <v>1.4169961247896035E-2</v>
      </c>
      <c r="Z821" s="19">
        <f>U821/T821</f>
        <v>3.591160220994475E-2</v>
      </c>
      <c r="AA821" s="21">
        <f>(C815+C816+C817+C818+C819+C820+C821)/(C808+C809+C810+C811+C812+C813+C814)</f>
        <v>0.66980519480519485</v>
      </c>
      <c r="AB821" s="26"/>
      <c r="AC821" s="23">
        <f>SUM(C815:C821)/7</f>
        <v>294.71428571428572</v>
      </c>
      <c r="AD821" s="23">
        <f>SUM(R815:R821)/7</f>
        <v>5.7142857142857144</v>
      </c>
      <c r="AE821" s="23">
        <f t="shared" ref="AE821:AF821" si="2124">SUM(P815:P821)/7</f>
        <v>0</v>
      </c>
      <c r="AF821" s="25">
        <f t="shared" si="2124"/>
        <v>0</v>
      </c>
      <c r="AG821" s="20">
        <v>6410059</v>
      </c>
      <c r="AH821" s="20">
        <f>AG821-AG814</f>
        <v>608</v>
      </c>
      <c r="AI821" s="21">
        <f>(SUM(AH815:AH821))/7</f>
        <v>86.857142857142861</v>
      </c>
      <c r="AJ821" s="20">
        <v>6196483</v>
      </c>
      <c r="AK821" s="20">
        <f>AJ821-AJ814</f>
        <v>799</v>
      </c>
      <c r="AL821" s="21">
        <f>(SUM(AK815:AK821))/7</f>
        <v>114.14285714285714</v>
      </c>
      <c r="AM821" s="26">
        <f>SUM(S815:S821)/7</f>
        <v>859.28571428571433</v>
      </c>
    </row>
    <row r="822" spans="1:39" ht="13">
      <c r="A822" s="30">
        <v>44714</v>
      </c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8"/>
      <c r="Q822" s="28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</row>
    <row r="823" spans="1:39" ht="13">
      <c r="A823" s="30">
        <v>44715</v>
      </c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8"/>
      <c r="Q823" s="28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</row>
    <row r="824" spans="1:39" ht="13">
      <c r="A824" s="30">
        <v>44716</v>
      </c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8"/>
      <c r="Q824" s="28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</row>
    <row r="825" spans="1:39" ht="13">
      <c r="A825" s="30">
        <v>44717</v>
      </c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8"/>
      <c r="Q825" s="28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</row>
    <row r="826" spans="1:39" ht="13">
      <c r="A826" s="30">
        <v>44718</v>
      </c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8"/>
      <c r="Q826" s="28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</row>
    <row r="827" spans="1:39" ht="13">
      <c r="A827" s="30">
        <v>44719</v>
      </c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8"/>
      <c r="Q827" s="28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</row>
    <row r="828" spans="1:39" ht="16">
      <c r="A828" s="30">
        <v>44720</v>
      </c>
      <c r="B828" s="20">
        <f>C828+B821</f>
        <v>1921486</v>
      </c>
      <c r="C828" s="20">
        <v>1646</v>
      </c>
      <c r="D828" s="20">
        <v>46571</v>
      </c>
      <c r="E828" s="20">
        <v>1853094</v>
      </c>
      <c r="F828" s="20">
        <v>11394556</v>
      </c>
      <c r="G828" s="17">
        <f>F828/9.8</f>
        <v>1162709.7959183673</v>
      </c>
      <c r="H828" s="20"/>
      <c r="I828" s="19">
        <f>(B828-B821)/B821</f>
        <v>8.5736311359279943E-4</v>
      </c>
      <c r="J828" s="19">
        <f>B828/F828</f>
        <v>0.168631932652751</v>
      </c>
      <c r="K828" s="19">
        <f>(F828-F821)/F821</f>
        <v>0</v>
      </c>
      <c r="L828" s="20">
        <v>21821</v>
      </c>
      <c r="M828" s="19">
        <f>D828/B828</f>
        <v>2.4236970761171303E-2</v>
      </c>
      <c r="N828" s="19">
        <f>E828/B828</f>
        <v>0.9644067143866778</v>
      </c>
      <c r="O828" s="20">
        <v>238</v>
      </c>
      <c r="P828" s="28">
        <f>F828-F821</f>
        <v>0</v>
      </c>
      <c r="Q828" s="29"/>
      <c r="R828" s="20">
        <f t="shared" ref="R828:S828" si="2125">D828-D821</f>
        <v>24</v>
      </c>
      <c r="S828" s="20">
        <f t="shared" si="2125"/>
        <v>5348</v>
      </c>
      <c r="T828" s="20">
        <v>292</v>
      </c>
      <c r="U828" s="20">
        <v>8</v>
      </c>
      <c r="V828" s="19">
        <f>L828/B828</f>
        <v>1.1356314852150887E-2</v>
      </c>
      <c r="W828" s="20">
        <f t="shared" ref="W828:X828" si="2126">T828-T821</f>
        <v>-70</v>
      </c>
      <c r="X828" s="20">
        <f t="shared" si="2126"/>
        <v>-5</v>
      </c>
      <c r="Y828" s="19">
        <f>T828/L828</f>
        <v>1.3381604876036846E-2</v>
      </c>
      <c r="Z828" s="19">
        <f>U828/T828</f>
        <v>2.7397260273972601E-2</v>
      </c>
      <c r="AA828" s="21">
        <f>(C822+C823+C824+C825+C826+C827+C828)/(C815+C816+C817+C818+C819+C820+C821)</f>
        <v>0.79786718371303922</v>
      </c>
      <c r="AB828" s="26"/>
      <c r="AC828" s="23">
        <f>SUM(C822:C828)/7</f>
        <v>235.14285714285714</v>
      </c>
      <c r="AD828" s="23">
        <f>SUM(R822:R828)/7</f>
        <v>3.4285714285714284</v>
      </c>
      <c r="AE828" s="23">
        <f t="shared" ref="AE828:AF828" si="2127">SUM(P822:P828)/7</f>
        <v>0</v>
      </c>
      <c r="AF828" s="25">
        <f t="shared" si="2127"/>
        <v>0</v>
      </c>
      <c r="AG828" s="20">
        <v>6410533</v>
      </c>
      <c r="AH828" s="20">
        <f>AG828-AG821</f>
        <v>474</v>
      </c>
      <c r="AI828" s="21">
        <f>(SUM(AH822:AH828))/7</f>
        <v>67.714285714285708</v>
      </c>
      <c r="AJ828" s="20">
        <v>6197127</v>
      </c>
      <c r="AK828" s="20">
        <f>AJ828-AJ821</f>
        <v>644</v>
      </c>
      <c r="AL828" s="21">
        <f>(SUM(AK822:AK828))/7</f>
        <v>92</v>
      </c>
      <c r="AM828" s="26">
        <f>SUM(S822:S828)/7</f>
        <v>764</v>
      </c>
    </row>
    <row r="829" spans="1:39" ht="13">
      <c r="A829" s="30">
        <v>44721</v>
      </c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8"/>
      <c r="Q829" s="28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</row>
    <row r="830" spans="1:39" ht="13">
      <c r="A830" s="30">
        <v>44722</v>
      </c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8"/>
      <c r="Q830" s="28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</row>
    <row r="831" spans="1:39" ht="13">
      <c r="A831" s="30">
        <v>44723</v>
      </c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8"/>
      <c r="Q831" s="28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</row>
    <row r="832" spans="1:39" ht="13">
      <c r="A832" s="30">
        <v>44724</v>
      </c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8"/>
      <c r="Q832" s="28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</row>
    <row r="833" spans="1:39" ht="13">
      <c r="A833" s="30">
        <v>44725</v>
      </c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8"/>
      <c r="Q833" s="28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</row>
    <row r="834" spans="1:39" ht="13">
      <c r="A834" s="30">
        <v>44726</v>
      </c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8"/>
      <c r="Q834" s="28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</row>
    <row r="835" spans="1:39" ht="16">
      <c r="A835" s="30">
        <v>44727</v>
      </c>
      <c r="B835" s="20">
        <f>C835+B828</f>
        <v>1923122</v>
      </c>
      <c r="C835" s="20">
        <v>1636</v>
      </c>
      <c r="D835" s="20">
        <v>46594</v>
      </c>
      <c r="E835" s="20">
        <v>1862334</v>
      </c>
      <c r="F835" s="20">
        <v>11394556</v>
      </c>
      <c r="G835" s="17">
        <f>F835/9.8</f>
        <v>1162709.7959183673</v>
      </c>
      <c r="H835" s="20"/>
      <c r="I835" s="19">
        <f>(B835-B828)/B828</f>
        <v>8.5142436634979386E-4</v>
      </c>
      <c r="J835" s="19">
        <f>B835/F835</f>
        <v>0.16877550998915622</v>
      </c>
      <c r="K835" s="19">
        <f>(F835-F828)/F828</f>
        <v>0</v>
      </c>
      <c r="L835" s="20">
        <v>14194</v>
      </c>
      <c r="M835" s="19">
        <f>D835/B835</f>
        <v>2.4228312088364647E-2</v>
      </c>
      <c r="N835" s="19">
        <f>E835/B835</f>
        <v>0.96839098091540732</v>
      </c>
      <c r="O835" s="20">
        <v>237</v>
      </c>
      <c r="P835" s="28">
        <f>F835-F828</f>
        <v>0</v>
      </c>
      <c r="Q835" s="29"/>
      <c r="R835" s="20">
        <f t="shared" ref="R835:S835" si="2128">D835-D828</f>
        <v>23</v>
      </c>
      <c r="S835" s="20">
        <f t="shared" si="2128"/>
        <v>9240</v>
      </c>
      <c r="T835" s="20">
        <v>232</v>
      </c>
      <c r="U835" s="20">
        <v>7</v>
      </c>
      <c r="V835" s="19">
        <f>L835/B835</f>
        <v>7.3807069962280088E-3</v>
      </c>
      <c r="W835" s="20">
        <f t="shared" ref="W835:X835" si="2129">T835-T828</f>
        <v>-60</v>
      </c>
      <c r="X835" s="20">
        <f t="shared" si="2129"/>
        <v>-1</v>
      </c>
      <c r="Y835" s="19">
        <f>T835/L835</f>
        <v>1.6344934479357476E-2</v>
      </c>
      <c r="Z835" s="19">
        <f>U835/T835</f>
        <v>3.017241379310345E-2</v>
      </c>
      <c r="AA835" s="21">
        <f>(C829+C830+C831+C832+C833+C834+C835)/(C822+C823+C824+C825+C826+C827+C828)</f>
        <v>0.99392466585662209</v>
      </c>
      <c r="AB835" s="26"/>
      <c r="AC835" s="23">
        <f>SUM(C829:C835)/7</f>
        <v>233.71428571428572</v>
      </c>
      <c r="AD835" s="23">
        <f>SUM(R829:R835)/7</f>
        <v>3.2857142857142856</v>
      </c>
      <c r="AE835" s="23">
        <f t="shared" ref="AE835:AF835" si="2130">SUM(P829:P835)/7</f>
        <v>0</v>
      </c>
      <c r="AF835" s="25">
        <f t="shared" si="2130"/>
        <v>0</v>
      </c>
      <c r="AG835" s="20">
        <v>6410946</v>
      </c>
      <c r="AH835" s="20">
        <f>AG835-AG828</f>
        <v>413</v>
      </c>
      <c r="AI835" s="21">
        <f>(SUM(AH829:AH835))/7</f>
        <v>59</v>
      </c>
      <c r="AJ835" s="20">
        <v>6197968</v>
      </c>
      <c r="AK835" s="20">
        <f>AJ835-AJ828</f>
        <v>841</v>
      </c>
      <c r="AL835" s="21">
        <f>(SUM(AK829:AK835))/7</f>
        <v>120.14285714285714</v>
      </c>
      <c r="AM835" s="26">
        <f>SUM(S829:S835)/7</f>
        <v>1320</v>
      </c>
    </row>
    <row r="836" spans="1:39" ht="13">
      <c r="A836" s="30">
        <v>44728</v>
      </c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8"/>
      <c r="Q836" s="28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</row>
    <row r="837" spans="1:39" ht="13">
      <c r="A837" s="30">
        <v>44729</v>
      </c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8"/>
      <c r="Q837" s="28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</row>
    <row r="838" spans="1:39" ht="13">
      <c r="A838" s="30">
        <v>44730</v>
      </c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8"/>
      <c r="Q838" s="28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</row>
    <row r="839" spans="1:39" ht="13">
      <c r="A839" s="30">
        <v>44731</v>
      </c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8"/>
      <c r="Q839" s="28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</row>
    <row r="840" spans="1:39" ht="13">
      <c r="A840" s="30">
        <v>44732</v>
      </c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8"/>
      <c r="Q840" s="28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</row>
    <row r="841" spans="1:39" ht="13">
      <c r="A841" s="30">
        <v>44733</v>
      </c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8"/>
      <c r="Q841" s="28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</row>
    <row r="842" spans="1:39" ht="16">
      <c r="A842" s="30">
        <v>44734</v>
      </c>
      <c r="B842" s="20">
        <f>C842+B835</f>
        <v>1925083</v>
      </c>
      <c r="C842" s="20">
        <v>1961</v>
      </c>
      <c r="D842" s="20">
        <v>46626</v>
      </c>
      <c r="E842" s="20">
        <v>1869244</v>
      </c>
      <c r="F842" s="20">
        <v>11394556</v>
      </c>
      <c r="G842" s="17">
        <f>F842/9.8</f>
        <v>1162709.7959183673</v>
      </c>
      <c r="H842" s="20"/>
      <c r="I842" s="19">
        <f>(B842-B835)/B835</f>
        <v>1.0196960983234553E-3</v>
      </c>
      <c r="J842" s="19">
        <f>B842/F842</f>
        <v>0.16894760971818473</v>
      </c>
      <c r="K842" s="19">
        <f>(F842-F835)/F835</f>
        <v>0</v>
      </c>
      <c r="L842" s="20">
        <v>9213</v>
      </c>
      <c r="M842" s="19">
        <f>D842/B842</f>
        <v>2.4220254399420701E-2</v>
      </c>
      <c r="N842" s="19">
        <f>E842/B842</f>
        <v>0.97099397792199094</v>
      </c>
      <c r="O842" s="20">
        <v>237</v>
      </c>
      <c r="P842" s="28">
        <f>F842-F835</f>
        <v>0</v>
      </c>
      <c r="Q842" s="29"/>
      <c r="R842" s="20">
        <f t="shared" ref="R842:S842" si="2131">D842-D835</f>
        <v>32</v>
      </c>
      <c r="S842" s="20">
        <f t="shared" si="2131"/>
        <v>6910</v>
      </c>
      <c r="T842" s="20">
        <v>197</v>
      </c>
      <c r="U842" s="20">
        <v>6</v>
      </c>
      <c r="V842" s="19">
        <f>L842/B842</f>
        <v>4.785767678588404E-3</v>
      </c>
      <c r="W842" s="20">
        <f t="shared" ref="W842:X842" si="2132">T842-T835</f>
        <v>-35</v>
      </c>
      <c r="X842" s="20">
        <f t="shared" si="2132"/>
        <v>-1</v>
      </c>
      <c r="Y842" s="19">
        <f>T842/L842</f>
        <v>2.1382828611744273E-2</v>
      </c>
      <c r="Z842" s="19">
        <f>U842/T842</f>
        <v>3.0456852791878174E-2</v>
      </c>
      <c r="AA842" s="21">
        <f>(C836+C837+C838+C839+C840+C841+C842)/(C829+C830+C831+C832+C833+C834+C835)</f>
        <v>1.1986552567237163</v>
      </c>
      <c r="AB842" s="26"/>
      <c r="AC842" s="23">
        <f>SUM(C836:C842)/7</f>
        <v>280.14285714285717</v>
      </c>
      <c r="AD842" s="23">
        <f>SUM(R836:R842)/7</f>
        <v>4.5714285714285712</v>
      </c>
      <c r="AE842" s="23">
        <f t="shared" ref="AE842:AF842" si="2133">SUM(P836:P842)/7</f>
        <v>0</v>
      </c>
      <c r="AF842" s="25">
        <f t="shared" si="2133"/>
        <v>0</v>
      </c>
      <c r="AG842" s="20">
        <v>6411384</v>
      </c>
      <c r="AH842" s="20">
        <f>AG842-AG835</f>
        <v>438</v>
      </c>
      <c r="AI842" s="21">
        <f>(SUM(AH836:AH842))/7</f>
        <v>62.571428571428569</v>
      </c>
      <c r="AJ842" s="20">
        <v>6198318</v>
      </c>
      <c r="AK842" s="20">
        <f>AJ842-AJ835</f>
        <v>350</v>
      </c>
      <c r="AL842" s="21">
        <f>(SUM(AK836:AK842))/7</f>
        <v>50</v>
      </c>
      <c r="AM842" s="26">
        <f>SUM(S836:S842)/7</f>
        <v>987.14285714285711</v>
      </c>
    </row>
    <row r="843" spans="1:39" ht="13">
      <c r="A843" s="30">
        <v>44735</v>
      </c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8"/>
      <c r="Q843" s="28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</row>
    <row r="844" spans="1:39" ht="13">
      <c r="A844" s="30">
        <v>44736</v>
      </c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8"/>
      <c r="Q844" s="28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</row>
    <row r="845" spans="1:39" ht="13">
      <c r="A845" s="30">
        <v>44737</v>
      </c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8"/>
      <c r="Q845" s="28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</row>
    <row r="846" spans="1:39" ht="13">
      <c r="A846" s="30">
        <v>44738</v>
      </c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8"/>
      <c r="Q846" s="28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</row>
    <row r="847" spans="1:39" ht="13">
      <c r="A847" s="30">
        <v>44739</v>
      </c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8"/>
      <c r="Q847" s="28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</row>
    <row r="848" spans="1:39" ht="13">
      <c r="A848" s="30">
        <v>44740</v>
      </c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8"/>
      <c r="Q848" s="28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</row>
    <row r="849" spans="1:39" ht="16">
      <c r="A849" s="30">
        <v>44741</v>
      </c>
      <c r="B849" s="20">
        <f>C849+B842</f>
        <v>1928125</v>
      </c>
      <c r="C849" s="20">
        <v>3042</v>
      </c>
      <c r="D849" s="20">
        <v>46647</v>
      </c>
      <c r="E849" s="20">
        <v>1871930</v>
      </c>
      <c r="F849" s="20">
        <v>11394556</v>
      </c>
      <c r="G849" s="17">
        <f>F849/9.8</f>
        <v>1162709.7959183673</v>
      </c>
      <c r="H849" s="20"/>
      <c r="I849" s="19">
        <f>(B849-B842)/B842</f>
        <v>1.580191607322905E-3</v>
      </c>
      <c r="J849" s="19">
        <f>B849/F849</f>
        <v>0.16921457931313866</v>
      </c>
      <c r="K849" s="19">
        <f>(F849-F842)/F842</f>
        <v>0</v>
      </c>
      <c r="L849" s="20">
        <v>9548</v>
      </c>
      <c r="M849" s="19">
        <f>D849/B849</f>
        <v>2.4192933549432739E-2</v>
      </c>
      <c r="N849" s="19">
        <f>E849/B849</f>
        <v>0.97085510534846031</v>
      </c>
      <c r="O849" s="20">
        <v>208</v>
      </c>
      <c r="P849" s="28">
        <f>F849-F842</f>
        <v>0</v>
      </c>
      <c r="Q849" s="29"/>
      <c r="R849" s="20">
        <f t="shared" ref="R849:S849" si="2134">D849-D842</f>
        <v>21</v>
      </c>
      <c r="S849" s="20">
        <f t="shared" si="2134"/>
        <v>2686</v>
      </c>
      <c r="T849" s="20">
        <v>233</v>
      </c>
      <c r="U849" s="20">
        <v>5</v>
      </c>
      <c r="V849" s="19">
        <f>L849/B849</f>
        <v>4.9519611021069691E-3</v>
      </c>
      <c r="W849" s="20">
        <f t="shared" ref="W849:X849" si="2135">T849-T842</f>
        <v>36</v>
      </c>
      <c r="X849" s="20">
        <f t="shared" si="2135"/>
        <v>-1</v>
      </c>
      <c r="Y849" s="19">
        <f>T849/L849</f>
        <v>2.440301633850021E-2</v>
      </c>
      <c r="Z849" s="19">
        <f>U849/T849</f>
        <v>2.1459227467811159E-2</v>
      </c>
      <c r="AA849" s="21">
        <f>(C843+C844+C845+C846+C847+C848+C849)/(C836+C837+C838+C839+C840+C841+C842)</f>
        <v>1.5512493625701174</v>
      </c>
      <c r="AB849" s="26"/>
      <c r="AC849" s="23">
        <f>SUM(C843:C849)/7</f>
        <v>434.57142857142856</v>
      </c>
      <c r="AD849" s="23">
        <f>SUM(R843:R849)/7</f>
        <v>3</v>
      </c>
      <c r="AE849" s="23">
        <f t="shared" ref="AE849:AF849" si="2136">SUM(P843:P849)/7</f>
        <v>0</v>
      </c>
      <c r="AF849" s="25">
        <f t="shared" si="2136"/>
        <v>0</v>
      </c>
      <c r="AG849" s="20">
        <v>6411804</v>
      </c>
      <c r="AH849" s="20">
        <f>AG849-AG842</f>
        <v>420</v>
      </c>
      <c r="AI849" s="21">
        <f>(SUM(AH843:AH849))/7</f>
        <v>60</v>
      </c>
      <c r="AJ849" s="20">
        <v>6198798</v>
      </c>
      <c r="AK849" s="20">
        <f>AJ849-AJ842</f>
        <v>480</v>
      </c>
      <c r="AL849" s="21">
        <f>(SUM(AK843:AK849))/7</f>
        <v>68.571428571428569</v>
      </c>
      <c r="AM849" s="26">
        <f>SUM(S843:S849)/7</f>
        <v>383.71428571428572</v>
      </c>
    </row>
    <row r="850" spans="1:39" ht="13">
      <c r="A850" s="30">
        <v>44742</v>
      </c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8"/>
      <c r="Q850" s="28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</row>
    <row r="851" spans="1:39" ht="13">
      <c r="A851" s="30">
        <v>44743</v>
      </c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8"/>
      <c r="Q851" s="28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</row>
    <row r="852" spans="1:39" ht="13">
      <c r="A852" s="30">
        <v>44744</v>
      </c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8"/>
      <c r="Q852" s="28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</row>
    <row r="853" spans="1:39" ht="13">
      <c r="A853" s="30">
        <v>44745</v>
      </c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8"/>
      <c r="Q853" s="28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</row>
    <row r="854" spans="1:39" ht="13">
      <c r="A854" s="30">
        <v>44746</v>
      </c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8"/>
      <c r="Q854" s="28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</row>
    <row r="855" spans="1:39" ht="13">
      <c r="A855" s="30">
        <v>44747</v>
      </c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8"/>
      <c r="Q855" s="28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</row>
    <row r="856" spans="1:39" ht="16">
      <c r="A856" s="30">
        <v>44748</v>
      </c>
      <c r="B856" s="20">
        <f>C856+B849</f>
        <v>1932788</v>
      </c>
      <c r="C856" s="20">
        <v>4663</v>
      </c>
      <c r="D856" s="20">
        <v>46661</v>
      </c>
      <c r="E856" s="20">
        <v>1874932</v>
      </c>
      <c r="F856" s="20">
        <v>11394556</v>
      </c>
      <c r="G856" s="17">
        <f>F856/9.8</f>
        <v>1162709.7959183673</v>
      </c>
      <c r="H856" s="20"/>
      <c r="I856" s="19">
        <f>(B856-B849)/B849</f>
        <v>2.4184116693679093E-3</v>
      </c>
      <c r="J856" s="19">
        <f>B856/F856</f>
        <v>0.16962380982637673</v>
      </c>
      <c r="K856" s="19">
        <f>(F856-F849)/F849</f>
        <v>0</v>
      </c>
      <c r="L856" s="20">
        <v>11195</v>
      </c>
      <c r="M856" s="19">
        <f>D856/B856</f>
        <v>2.4141809655275178E-2</v>
      </c>
      <c r="N856" s="19">
        <f>E856/B856</f>
        <v>0.97006603931729707</v>
      </c>
      <c r="O856" s="20">
        <v>428</v>
      </c>
      <c r="P856" s="28">
        <f>F856-F849</f>
        <v>0</v>
      </c>
      <c r="Q856" s="29"/>
      <c r="R856" s="20">
        <f t="shared" ref="R856:S856" si="2137">D856-D849</f>
        <v>14</v>
      </c>
      <c r="S856" s="20">
        <f t="shared" si="2137"/>
        <v>3002</v>
      </c>
      <c r="T856" s="20">
        <v>488</v>
      </c>
      <c r="U856" s="20">
        <v>10</v>
      </c>
      <c r="V856" s="19">
        <f>L856/B856</f>
        <v>5.7921510274277369E-3</v>
      </c>
      <c r="W856" s="20">
        <f t="shared" ref="W856:X856" si="2138">T856-T849</f>
        <v>255</v>
      </c>
      <c r="X856" s="20">
        <f t="shared" si="2138"/>
        <v>5</v>
      </c>
      <c r="Y856" s="19">
        <f>T856/L856</f>
        <v>4.3590888789638231E-2</v>
      </c>
      <c r="Z856" s="19">
        <f>U856/T856</f>
        <v>2.0491803278688523E-2</v>
      </c>
      <c r="AA856" s="21">
        <f>(C850+C851+C852+C853+C854+C855+C856)/(C843+C844+C845+C846+C847+C848+C849)</f>
        <v>1.5328731097961867</v>
      </c>
      <c r="AB856" s="26"/>
      <c r="AC856" s="23">
        <f>SUM(C850:C856)/7</f>
        <v>666.14285714285711</v>
      </c>
      <c r="AD856" s="23">
        <f>SUM(R850:R856)/7</f>
        <v>2</v>
      </c>
      <c r="AE856" s="23">
        <f t="shared" ref="AE856:AF856" si="2139">SUM(P850:P856)/7</f>
        <v>0</v>
      </c>
      <c r="AF856" s="25">
        <f t="shared" si="2139"/>
        <v>0</v>
      </c>
      <c r="AG856" s="20">
        <v>6411997</v>
      </c>
      <c r="AH856" s="20">
        <f>AG856-AG849</f>
        <v>193</v>
      </c>
      <c r="AI856" s="21">
        <f>(SUM(AH850:AH856))/7</f>
        <v>27.571428571428573</v>
      </c>
      <c r="AJ856" s="20">
        <v>6199038</v>
      </c>
      <c r="AK856" s="20">
        <f>AJ856-AJ849</f>
        <v>240</v>
      </c>
      <c r="AL856" s="21">
        <f>(SUM(AK850:AK856))/7</f>
        <v>34.285714285714285</v>
      </c>
      <c r="AM856" s="26">
        <f>SUM(S850:S856)/7</f>
        <v>428.85714285714283</v>
      </c>
    </row>
    <row r="857" spans="1:39" ht="13">
      <c r="A857" s="30">
        <v>44749</v>
      </c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8"/>
      <c r="Q857" s="28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</row>
    <row r="858" spans="1:39" ht="13">
      <c r="A858" s="30">
        <v>44750</v>
      </c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8"/>
      <c r="Q858" s="28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</row>
    <row r="859" spans="1:39" ht="13">
      <c r="A859" s="30">
        <v>44751</v>
      </c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8"/>
      <c r="Q859" s="28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</row>
    <row r="860" spans="1:39" ht="13">
      <c r="A860" s="30">
        <v>44752</v>
      </c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8"/>
      <c r="Q860" s="28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</row>
    <row r="861" spans="1:39" ht="13">
      <c r="A861" s="30">
        <v>44753</v>
      </c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8"/>
      <c r="Q861" s="28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</row>
    <row r="862" spans="1:39" ht="13">
      <c r="A862" s="30">
        <v>44754</v>
      </c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8"/>
      <c r="Q862" s="28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</row>
    <row r="863" spans="1:39" ht="16">
      <c r="A863" s="30">
        <v>44755</v>
      </c>
      <c r="B863" s="20">
        <f>C863+B856</f>
        <v>1940824</v>
      </c>
      <c r="C863" s="20">
        <v>8036</v>
      </c>
      <c r="D863" s="20">
        <v>46696</v>
      </c>
      <c r="E863" s="20">
        <v>1878221</v>
      </c>
      <c r="F863" s="20">
        <v>11394556</v>
      </c>
      <c r="G863" s="17">
        <f>F863/9.8</f>
        <v>1162709.7959183673</v>
      </c>
      <c r="H863" s="20"/>
      <c r="I863" s="19">
        <f>(B863-B856)/B856</f>
        <v>4.1577244891835008E-3</v>
      </c>
      <c r="J863" s="19">
        <f>B863/F863</f>
        <v>0.17032905889444047</v>
      </c>
      <c r="K863" s="19">
        <f>(F863-F856)/F856</f>
        <v>0</v>
      </c>
      <c r="L863" s="20">
        <v>15907</v>
      </c>
      <c r="M863" s="19">
        <f>D863/B863</f>
        <v>2.4059883843151157E-2</v>
      </c>
      <c r="N863" s="19">
        <f>E863/B863</f>
        <v>0.96774411280981687</v>
      </c>
      <c r="O863" s="20">
        <v>727</v>
      </c>
      <c r="P863" s="28">
        <f>F863-F856</f>
        <v>0</v>
      </c>
      <c r="Q863" s="29"/>
      <c r="R863" s="20">
        <f t="shared" ref="R863:S863" si="2140">D863-D856</f>
        <v>35</v>
      </c>
      <c r="S863" s="20">
        <f t="shared" si="2140"/>
        <v>3289</v>
      </c>
      <c r="T863" s="20">
        <v>628</v>
      </c>
      <c r="U863" s="20">
        <v>16</v>
      </c>
      <c r="V863" s="19">
        <f>L863/B863</f>
        <v>8.1960033470319816E-3</v>
      </c>
      <c r="W863" s="20">
        <f t="shared" ref="W863:X863" si="2141">T863-T856</f>
        <v>140</v>
      </c>
      <c r="X863" s="20">
        <f t="shared" si="2141"/>
        <v>6</v>
      </c>
      <c r="Y863" s="19">
        <f>T863/L863</f>
        <v>3.9479474445212798E-2</v>
      </c>
      <c r="Z863" s="19">
        <f>U863/T863</f>
        <v>2.5477707006369428E-2</v>
      </c>
      <c r="AA863" s="21">
        <f>(C857+C858+C859+C860+C861+C862+C863)/(C850+C851+C852+C853+C854+C855+C856)</f>
        <v>1.7233540639073557</v>
      </c>
      <c r="AB863" s="26"/>
      <c r="AC863" s="23">
        <f>SUM(C857:C863)/7</f>
        <v>1148</v>
      </c>
      <c r="AD863" s="23">
        <f>SUM(R857:R863)/7</f>
        <v>5</v>
      </c>
      <c r="AE863" s="23">
        <f t="shared" ref="AE863:AF863" si="2142">SUM(P857:P863)/7</f>
        <v>0</v>
      </c>
      <c r="AF863" s="25">
        <f t="shared" si="2142"/>
        <v>0</v>
      </c>
      <c r="AG863" s="20">
        <v>6412386</v>
      </c>
      <c r="AH863" s="20">
        <f>AG863-AG856</f>
        <v>389</v>
      </c>
      <c r="AI863" s="21">
        <f>(SUM(AH857:AH863))/7</f>
        <v>55.571428571428569</v>
      </c>
      <c r="AJ863" s="20">
        <v>6199431</v>
      </c>
      <c r="AK863" s="20">
        <f>AJ863-AJ856</f>
        <v>393</v>
      </c>
      <c r="AL863" s="21">
        <f>(SUM(AK857:AK863))/7</f>
        <v>56.142857142857146</v>
      </c>
      <c r="AM863" s="26">
        <f>SUM(S857:S863)/7</f>
        <v>469.85714285714283</v>
      </c>
    </row>
    <row r="864" spans="1:39" ht="13">
      <c r="A864" s="30">
        <v>44756</v>
      </c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8"/>
      <c r="Q864" s="28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</row>
    <row r="865" spans="1:39" ht="13">
      <c r="A865" s="30">
        <v>44757</v>
      </c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8"/>
      <c r="Q865" s="28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</row>
    <row r="866" spans="1:39" ht="13">
      <c r="A866" s="30">
        <v>44758</v>
      </c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8"/>
      <c r="Q866" s="28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</row>
    <row r="867" spans="1:39" ht="13">
      <c r="A867" s="30">
        <v>44759</v>
      </c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8"/>
      <c r="Q867" s="28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</row>
    <row r="868" spans="1:39" ht="13">
      <c r="A868" s="30">
        <v>44760</v>
      </c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8"/>
      <c r="Q868" s="28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</row>
    <row r="869" spans="1:39" ht="13">
      <c r="A869" s="30">
        <v>44761</v>
      </c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8"/>
      <c r="Q869" s="28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</row>
    <row r="870" spans="1:39" ht="16">
      <c r="A870" s="30">
        <v>44762</v>
      </c>
      <c r="B870" s="20">
        <f>C870+B863</f>
        <v>1951079</v>
      </c>
      <c r="C870" s="20">
        <v>10255</v>
      </c>
      <c r="D870" s="20">
        <v>46736</v>
      </c>
      <c r="E870" s="20">
        <v>1883085</v>
      </c>
      <c r="F870" s="20">
        <v>11394556</v>
      </c>
      <c r="G870" s="17">
        <f>F870/9.8</f>
        <v>1162709.7959183673</v>
      </c>
      <c r="H870" s="20"/>
      <c r="I870" s="19">
        <f>(B870-B863)/B863</f>
        <v>5.2838382048037329E-3</v>
      </c>
      <c r="J870" s="19">
        <f>B870/F870</f>
        <v>0.17122905008321518</v>
      </c>
      <c r="K870" s="19">
        <f>(F870-F863)/F863</f>
        <v>0</v>
      </c>
      <c r="L870" s="20">
        <v>21258</v>
      </c>
      <c r="M870" s="19">
        <f>D870/B870</f>
        <v>2.3953924982022767E-2</v>
      </c>
      <c r="N870" s="19">
        <f>E870/B870</f>
        <v>0.96515056540509125</v>
      </c>
      <c r="O870" s="20">
        <v>1083</v>
      </c>
      <c r="P870" s="28">
        <f>F870-F863</f>
        <v>0</v>
      </c>
      <c r="Q870" s="29"/>
      <c r="R870" s="20">
        <f t="shared" ref="R870:S870" si="2143">D870-D863</f>
        <v>40</v>
      </c>
      <c r="S870" s="20">
        <f t="shared" si="2143"/>
        <v>4864</v>
      </c>
      <c r="T870" s="20">
        <v>866</v>
      </c>
      <c r="U870" s="20">
        <v>17</v>
      </c>
      <c r="V870" s="19">
        <f>L870/B870</f>
        <v>1.0895509612885998E-2</v>
      </c>
      <c r="W870" s="20">
        <f t="shared" ref="W870:X870" si="2144">T870-T863</f>
        <v>238</v>
      </c>
      <c r="X870" s="20">
        <f t="shared" si="2144"/>
        <v>1</v>
      </c>
      <c r="Y870" s="19">
        <f>T870/L870</f>
        <v>4.0737604666478501E-2</v>
      </c>
      <c r="Z870" s="19">
        <f>U870/T870</f>
        <v>1.9630484988452657E-2</v>
      </c>
      <c r="AA870" s="21">
        <f>(C864+C865+C866+C867+C868+C869+C870)/(C857+C858+C859+C860+C861+C862+C863)</f>
        <v>1.2761324041811846</v>
      </c>
      <c r="AB870" s="26"/>
      <c r="AC870" s="23">
        <f>SUM(C864:C870)/7</f>
        <v>1465</v>
      </c>
      <c r="AD870" s="23">
        <f>SUM(R864:R870)/7</f>
        <v>5.7142857142857144</v>
      </c>
      <c r="AE870" s="23">
        <f t="shared" ref="AE870:AF870" si="2145">SUM(P864:P870)/7</f>
        <v>0</v>
      </c>
      <c r="AF870" s="25">
        <f t="shared" si="2145"/>
        <v>0</v>
      </c>
      <c r="AG870" s="20">
        <v>6412843</v>
      </c>
      <c r="AH870" s="20">
        <f>AG870-AG863</f>
        <v>457</v>
      </c>
      <c r="AI870" s="21">
        <f>(SUM(AH864:AH870))/7</f>
        <v>65.285714285714292</v>
      </c>
      <c r="AJ870" s="20">
        <v>6199845</v>
      </c>
      <c r="AK870" s="20">
        <f>AJ870-AJ863</f>
        <v>414</v>
      </c>
      <c r="AL870" s="21">
        <f>(SUM(AK864:AK870))/7</f>
        <v>59.142857142857146</v>
      </c>
      <c r="AM870" s="26">
        <f>SUM(S864:S870)/7</f>
        <v>694.85714285714289</v>
      </c>
    </row>
    <row r="871" spans="1:39" ht="13">
      <c r="A871" s="30">
        <v>44763</v>
      </c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8"/>
      <c r="Q871" s="28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</row>
    <row r="872" spans="1:39" ht="13">
      <c r="A872" s="30">
        <v>44764</v>
      </c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8"/>
      <c r="Q872" s="28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</row>
    <row r="873" spans="1:39" ht="13">
      <c r="A873" s="30">
        <v>44765</v>
      </c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8"/>
      <c r="Q873" s="28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</row>
    <row r="874" spans="1:39" ht="13">
      <c r="A874" s="30">
        <v>44766</v>
      </c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8"/>
      <c r="Q874" s="28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</row>
    <row r="875" spans="1:39" ht="13">
      <c r="A875" s="30">
        <v>44767</v>
      </c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8"/>
      <c r="Q875" s="28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</row>
    <row r="876" spans="1:39" ht="13">
      <c r="A876" s="30">
        <v>44768</v>
      </c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8"/>
      <c r="Q876" s="28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</row>
    <row r="877" spans="1:39" ht="16">
      <c r="A877" s="30">
        <v>44769</v>
      </c>
      <c r="B877" s="20">
        <f>C877+B870</f>
        <v>1965481</v>
      </c>
      <c r="C877" s="20">
        <v>14402</v>
      </c>
      <c r="D877" s="20">
        <v>46790</v>
      </c>
      <c r="E877" s="20">
        <v>1890181</v>
      </c>
      <c r="F877" s="20">
        <v>11394556</v>
      </c>
      <c r="G877" s="17">
        <f>F877/9.8</f>
        <v>1162709.7959183673</v>
      </c>
      <c r="H877" s="20"/>
      <c r="I877" s="19">
        <f>(B877-B870)/B870</f>
        <v>7.3815565643420896E-3</v>
      </c>
      <c r="J877" s="19">
        <f>B877/F877</f>
        <v>0.172492987001863</v>
      </c>
      <c r="K877" s="19">
        <f>(F877-F870)/F870</f>
        <v>0</v>
      </c>
      <c r="L877" s="20">
        <v>28510</v>
      </c>
      <c r="M877" s="19">
        <f>D877/B877</f>
        <v>2.3805877543461373E-2</v>
      </c>
      <c r="N877" s="19">
        <f>E877/B877</f>
        <v>0.96168876727884933</v>
      </c>
      <c r="O877" s="20">
        <v>1757</v>
      </c>
      <c r="P877" s="28">
        <f>F877-F870</f>
        <v>0</v>
      </c>
      <c r="Q877" s="29"/>
      <c r="R877" s="20">
        <f t="shared" ref="R877:S877" si="2146">D877-D870</f>
        <v>54</v>
      </c>
      <c r="S877" s="20">
        <f t="shared" si="2146"/>
        <v>7096</v>
      </c>
      <c r="T877" s="20">
        <v>866</v>
      </c>
      <c r="U877" s="20">
        <v>17</v>
      </c>
      <c r="V877" s="19">
        <f>L877/B877</f>
        <v>1.450535517768933E-2</v>
      </c>
      <c r="W877" s="20">
        <v>1345</v>
      </c>
      <c r="X877" s="20">
        <v>19</v>
      </c>
      <c r="Y877" s="19">
        <f>T877/L877</f>
        <v>3.0375306909856192E-2</v>
      </c>
      <c r="Z877" s="19">
        <f>U877/T877</f>
        <v>1.9630484988452657E-2</v>
      </c>
      <c r="AA877" s="21">
        <f>(C871+C872+C873+C874+C875+C876+C877)/(C864+C865+C866+C867+C868+C869+C870)</f>
        <v>1.4043881033642125</v>
      </c>
      <c r="AB877" s="26"/>
      <c r="AC877" s="23">
        <f>SUM(C871:C877)/7</f>
        <v>2057.4285714285716</v>
      </c>
      <c r="AD877" s="23">
        <f>SUM(R871:R877)/7</f>
        <v>7.7142857142857144</v>
      </c>
      <c r="AE877" s="23">
        <f t="shared" ref="AE877:AF877" si="2147">SUM(P871:P877)/7</f>
        <v>0</v>
      </c>
      <c r="AF877" s="25">
        <f t="shared" si="2147"/>
        <v>0</v>
      </c>
      <c r="AG877" s="20">
        <v>6413420</v>
      </c>
      <c r="AH877" s="20">
        <f>AG877-AG870</f>
        <v>577</v>
      </c>
      <c r="AI877" s="21">
        <f>(SUM(AH871:AH877))/7</f>
        <v>82.428571428571431</v>
      </c>
      <c r="AJ877" s="20">
        <v>6200225</v>
      </c>
      <c r="AK877" s="20">
        <f>AJ877-AJ870</f>
        <v>380</v>
      </c>
      <c r="AL877" s="21">
        <f>(SUM(AK871:AK877))/7</f>
        <v>54.285714285714285</v>
      </c>
      <c r="AM877" s="26">
        <f>SUM(S871:S877)/7</f>
        <v>1013.7142857142857</v>
      </c>
    </row>
    <row r="878" spans="1:39" ht="13">
      <c r="A878" s="30">
        <v>44770</v>
      </c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8"/>
      <c r="Q878" s="28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</row>
    <row r="879" spans="1:39" ht="13">
      <c r="A879" s="30">
        <v>44771</v>
      </c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8"/>
      <c r="Q879" s="28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</row>
    <row r="880" spans="1:39" ht="13">
      <c r="A880" s="30">
        <v>44772</v>
      </c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8"/>
      <c r="Q880" s="28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</row>
    <row r="881" spans="1:39" ht="13">
      <c r="A881" s="30">
        <v>44773</v>
      </c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8"/>
      <c r="Q881" s="28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</row>
    <row r="882" spans="1:39" ht="13">
      <c r="A882" s="30">
        <v>44774</v>
      </c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8"/>
      <c r="Q882" s="28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</row>
    <row r="883" spans="1:39" ht="13">
      <c r="A883" s="30">
        <v>44775</v>
      </c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8"/>
      <c r="Q883" s="28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</row>
    <row r="884" spans="1:39" ht="16">
      <c r="A884" s="30">
        <v>44776</v>
      </c>
      <c r="B884" s="20">
        <f>C884+B877</f>
        <v>1987321</v>
      </c>
      <c r="C884" s="20">
        <v>21840</v>
      </c>
      <c r="D884" s="20">
        <v>46886</v>
      </c>
      <c r="E884" s="20">
        <v>1898374</v>
      </c>
      <c r="F884" s="20">
        <v>11394556</v>
      </c>
      <c r="G884" s="17">
        <f>F884/9.8</f>
        <v>1162709.7959183673</v>
      </c>
      <c r="H884" s="20"/>
      <c r="I884" s="19">
        <f>(B884-B877)/B877</f>
        <v>1.1111783833066817E-2</v>
      </c>
      <c r="J884" s="19">
        <f>B884/F884</f>
        <v>0.17440969178614771</v>
      </c>
      <c r="K884" s="19">
        <f>(F884-F877)/F877</f>
        <v>0</v>
      </c>
      <c r="L884" s="20">
        <v>42061</v>
      </c>
      <c r="M884" s="19">
        <f>D884/B884</f>
        <v>2.3592565066237411E-2</v>
      </c>
      <c r="N884" s="19">
        <f>E884/B884</f>
        <v>0.95524276148644327</v>
      </c>
      <c r="O884" s="20">
        <v>2115</v>
      </c>
      <c r="P884" s="28">
        <f>F884-F877</f>
        <v>0</v>
      </c>
      <c r="Q884" s="29"/>
      <c r="R884" s="20">
        <f t="shared" ref="R884:S884" si="2148">D884-D877</f>
        <v>96</v>
      </c>
      <c r="S884" s="20">
        <f t="shared" si="2148"/>
        <v>8193</v>
      </c>
      <c r="T884" s="20">
        <v>1593</v>
      </c>
      <c r="U884" s="20">
        <v>19</v>
      </c>
      <c r="V884" s="19">
        <f>L884/B884</f>
        <v>2.1164673447319281E-2</v>
      </c>
      <c r="W884" s="20">
        <v>1345</v>
      </c>
      <c r="X884" s="20">
        <v>19</v>
      </c>
      <c r="Y884" s="19">
        <f>T884/L884</f>
        <v>3.7873564584769738E-2</v>
      </c>
      <c r="Z884" s="19">
        <f>U884/T884</f>
        <v>1.1927181418706842E-2</v>
      </c>
      <c r="AA884" s="21">
        <f>(C878+C879+C880+C881+C882+C883+C884)/(C871+C872+C873+C874+C875+C876+C877)</f>
        <v>1.5164560477711428</v>
      </c>
      <c r="AB884" s="26"/>
      <c r="AC884" s="23">
        <f>SUM(C878:C884)/7</f>
        <v>3120</v>
      </c>
      <c r="AD884" s="23">
        <f>SUM(R878:R884)/7</f>
        <v>13.714285714285714</v>
      </c>
      <c r="AE884" s="23">
        <f t="shared" ref="AE884:AF884" si="2149">SUM(P878:P884)/7</f>
        <v>0</v>
      </c>
      <c r="AF884" s="25">
        <f t="shared" si="2149"/>
        <v>0</v>
      </c>
      <c r="AG884" s="20">
        <v>6413971</v>
      </c>
      <c r="AH884" s="20">
        <f>AG884-AG877</f>
        <v>551</v>
      </c>
      <c r="AI884" s="21">
        <f>(SUM(AH878:AH884))/7</f>
        <v>78.714285714285708</v>
      </c>
      <c r="AJ884" s="20">
        <v>6200631</v>
      </c>
      <c r="AK884" s="20">
        <f>AJ884-AJ877</f>
        <v>406</v>
      </c>
      <c r="AL884" s="21">
        <f>(SUM(AK878:AK884))/7</f>
        <v>58</v>
      </c>
      <c r="AM884" s="26">
        <f>SUM(S878:S884)/7</f>
        <v>1170.4285714285713</v>
      </c>
    </row>
    <row r="885" spans="1:39" ht="13">
      <c r="A885" s="30">
        <v>44777</v>
      </c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8"/>
      <c r="Q885" s="28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</row>
    <row r="886" spans="1:39" ht="13">
      <c r="A886" s="30">
        <v>44778</v>
      </c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8"/>
      <c r="Q886" s="28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</row>
    <row r="887" spans="1:39" ht="13">
      <c r="A887" s="30">
        <v>44779</v>
      </c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8"/>
      <c r="Q887" s="28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</row>
    <row r="888" spans="1:39" ht="13">
      <c r="A888" s="30">
        <v>44780</v>
      </c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8"/>
      <c r="Q888" s="28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</row>
    <row r="889" spans="1:39" ht="13">
      <c r="A889" s="30">
        <v>44781</v>
      </c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8"/>
      <c r="Q889" s="28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</row>
    <row r="890" spans="1:39" ht="13">
      <c r="A890" s="30">
        <v>44782</v>
      </c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8"/>
      <c r="Q890" s="28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</row>
    <row r="891" spans="1:39" ht="16">
      <c r="A891" s="30">
        <v>44783</v>
      </c>
      <c r="B891" s="20">
        <f>C891+B884</f>
        <v>2005399</v>
      </c>
      <c r="C891" s="20">
        <v>18078</v>
      </c>
      <c r="D891" s="20">
        <v>46966</v>
      </c>
      <c r="E891" s="20">
        <v>1908907</v>
      </c>
      <c r="F891" s="20">
        <v>11394556</v>
      </c>
      <c r="G891" s="17">
        <f>F891/9.8</f>
        <v>1162709.7959183673</v>
      </c>
      <c r="H891" s="20"/>
      <c r="I891" s="19">
        <f>(B891-B884)/B884</f>
        <v>9.0966683288708772E-3</v>
      </c>
      <c r="J891" s="19">
        <f>B891/F891</f>
        <v>0.17599623890566687</v>
      </c>
      <c r="K891" s="19">
        <f>(F891-F884)/F884</f>
        <v>0</v>
      </c>
      <c r="L891" s="20">
        <v>49526</v>
      </c>
      <c r="M891" s="19">
        <f>D891/B891</f>
        <v>2.3419778308456322E-2</v>
      </c>
      <c r="N891" s="19">
        <f>E891/B891</f>
        <v>0.95188388944045554</v>
      </c>
      <c r="O891" s="20">
        <v>2099</v>
      </c>
      <c r="P891" s="28">
        <f>F891-F884</f>
        <v>0</v>
      </c>
      <c r="Q891" s="29"/>
      <c r="R891" s="20">
        <f t="shared" ref="R891:S891" si="2150">D891-D884</f>
        <v>80</v>
      </c>
      <c r="S891" s="20">
        <f t="shared" si="2150"/>
        <v>10533</v>
      </c>
      <c r="T891" s="20">
        <v>1501</v>
      </c>
      <c r="U891" s="20">
        <v>22</v>
      </c>
      <c r="V891" s="19">
        <f>L891/B891</f>
        <v>2.4696332251088186E-2</v>
      </c>
      <c r="W891" s="20">
        <v>1345</v>
      </c>
      <c r="X891" s="20">
        <v>19</v>
      </c>
      <c r="Y891" s="19">
        <f>T891/L891</f>
        <v>3.0307313330371927E-2</v>
      </c>
      <c r="Z891" s="19">
        <f>U891/T891</f>
        <v>1.4656895403064623E-2</v>
      </c>
      <c r="AA891" s="21">
        <f>(C885+C886+C887+C888+C889+C890+C891)/(C878+C879+C880+C881+C882+C883+C884)</f>
        <v>0.82774725274725269</v>
      </c>
      <c r="AB891" s="26"/>
      <c r="AC891" s="23">
        <f>SUM(C885:C891)/7</f>
        <v>2582.5714285714284</v>
      </c>
      <c r="AD891" s="23">
        <f>SUM(R885:R891)/7</f>
        <v>11.428571428571429</v>
      </c>
      <c r="AE891" s="23">
        <f t="shared" ref="AE891:AF891" si="2151">SUM(P885:P891)/7</f>
        <v>0</v>
      </c>
      <c r="AF891" s="25">
        <f t="shared" si="2151"/>
        <v>0</v>
      </c>
      <c r="AG891" s="20">
        <v>6414563</v>
      </c>
      <c r="AH891" s="20">
        <f>AG891-AG884</f>
        <v>592</v>
      </c>
      <c r="AI891" s="21">
        <f>(SUM(AH885:AH891))/7</f>
        <v>84.571428571428569</v>
      </c>
      <c r="AJ891" s="20">
        <v>6201022</v>
      </c>
      <c r="AK891" s="20">
        <f>AJ891-AJ884</f>
        <v>391</v>
      </c>
      <c r="AL891" s="21">
        <f>(SUM(AK885:AK891))/7</f>
        <v>55.857142857142854</v>
      </c>
      <c r="AM891" s="26">
        <f>SUM(S885:S891)/7</f>
        <v>1504.7142857142858</v>
      </c>
    </row>
    <row r="892" spans="1:39" ht="13">
      <c r="A892" s="30">
        <v>44784</v>
      </c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8"/>
      <c r="Q892" s="28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</row>
    <row r="893" spans="1:39" ht="13">
      <c r="A893" s="30">
        <v>44785</v>
      </c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8"/>
      <c r="Q893" s="28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</row>
    <row r="894" spans="1:39" ht="13">
      <c r="A894" s="30">
        <v>44786</v>
      </c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8"/>
      <c r="Q894" s="28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</row>
    <row r="895" spans="1:39" ht="13">
      <c r="A895" s="30">
        <v>44787</v>
      </c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8"/>
      <c r="Q895" s="28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</row>
    <row r="896" spans="1:39" ht="13">
      <c r="A896" s="30">
        <v>44788</v>
      </c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8"/>
      <c r="Q896" s="28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</row>
    <row r="897" spans="1:39" ht="13">
      <c r="A897" s="30">
        <v>44789</v>
      </c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8"/>
      <c r="Q897" s="28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</row>
    <row r="898" spans="1:39" ht="16">
      <c r="A898" s="30">
        <v>44790</v>
      </c>
      <c r="B898" s="20">
        <f>C898+B891</f>
        <v>2021648</v>
      </c>
      <c r="C898" s="20">
        <v>16249</v>
      </c>
      <c r="D898" s="20">
        <v>47083</v>
      </c>
      <c r="E898" s="20">
        <v>1924022</v>
      </c>
      <c r="F898" s="20">
        <v>11394556</v>
      </c>
      <c r="G898" s="17">
        <f>F898/9.8</f>
        <v>1162709.7959183673</v>
      </c>
      <c r="H898" s="20"/>
      <c r="I898" s="19">
        <f>(B898-B891)/B891</f>
        <v>8.1026269585254603E-3</v>
      </c>
      <c r="J898" s="19">
        <f>B898/F898</f>
        <v>0.17742227077562303</v>
      </c>
      <c r="K898" s="19">
        <f>(F898-F891)/F891</f>
        <v>0</v>
      </c>
      <c r="L898" s="20">
        <v>50543</v>
      </c>
      <c r="M898" s="19">
        <f>D898/B898</f>
        <v>2.3289415368056159E-2</v>
      </c>
      <c r="N898" s="19">
        <f>E898/B898</f>
        <v>0.95170969426922991</v>
      </c>
      <c r="O898" s="20">
        <v>2015</v>
      </c>
      <c r="P898" s="28">
        <f>F898-F891</f>
        <v>0</v>
      </c>
      <c r="Q898" s="29"/>
      <c r="R898" s="20">
        <f t="shared" ref="R898:S898" si="2152">D898-D891</f>
        <v>117</v>
      </c>
      <c r="S898" s="20">
        <f t="shared" si="2152"/>
        <v>15115</v>
      </c>
      <c r="T898" s="20">
        <v>570</v>
      </c>
      <c r="U898" s="20">
        <v>9</v>
      </c>
      <c r="V898" s="19">
        <f>L898/B898</f>
        <v>2.5000890362713985E-2</v>
      </c>
      <c r="W898" s="20">
        <v>1345</v>
      </c>
      <c r="X898" s="20">
        <v>19</v>
      </c>
      <c r="Y898" s="19">
        <f>T898/L898</f>
        <v>1.1277526066913322E-2</v>
      </c>
      <c r="Z898" s="19">
        <f>U898/T898</f>
        <v>1.5789473684210527E-2</v>
      </c>
      <c r="AA898" s="21">
        <f>(C892+C893+C894+C895+C896+C897+C898)/(C885+C886+C887+C888+C889+C890+C891)</f>
        <v>0.8988273039052993</v>
      </c>
      <c r="AB898" s="26"/>
      <c r="AC898" s="23">
        <f>SUM(C892:C898)/7</f>
        <v>2321.2857142857142</v>
      </c>
      <c r="AD898" s="23">
        <f>SUM(R892:R898)/7</f>
        <v>16.714285714285715</v>
      </c>
      <c r="AE898" s="23">
        <f t="shared" ref="AE898:AF898" si="2153">SUM(P892:P898)/7</f>
        <v>0</v>
      </c>
      <c r="AF898" s="25">
        <f t="shared" si="2153"/>
        <v>0</v>
      </c>
      <c r="AG898" s="20">
        <v>6415177</v>
      </c>
      <c r="AH898" s="20">
        <f>AG898-AG891</f>
        <v>614</v>
      </c>
      <c r="AI898" s="21">
        <f>(SUM(AH892:AH898))/7</f>
        <v>87.714285714285708</v>
      </c>
      <c r="AJ898" s="20">
        <v>6201472</v>
      </c>
      <c r="AK898" s="20">
        <f>AJ898-AJ891</f>
        <v>450</v>
      </c>
      <c r="AL898" s="21">
        <f>(SUM(AK892:AK898))/7</f>
        <v>64.285714285714292</v>
      </c>
      <c r="AM898" s="26">
        <f>SUM(S892:S898)/7</f>
        <v>2159.2857142857142</v>
      </c>
    </row>
    <row r="899" spans="1:39" ht="13">
      <c r="A899" s="30">
        <v>44791</v>
      </c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8"/>
      <c r="Q899" s="28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</row>
    <row r="900" spans="1:39" ht="13">
      <c r="A900" s="30">
        <v>44792</v>
      </c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8"/>
      <c r="Q900" s="28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</row>
    <row r="901" spans="1:39" ht="13">
      <c r="A901" s="30">
        <v>44793</v>
      </c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8"/>
      <c r="Q901" s="28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</row>
    <row r="902" spans="1:39" ht="13">
      <c r="A902" s="30">
        <v>44794</v>
      </c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8"/>
      <c r="Q902" s="28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</row>
    <row r="903" spans="1:39" ht="13">
      <c r="A903" s="30">
        <v>44795</v>
      </c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8"/>
      <c r="Q903" s="28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</row>
    <row r="904" spans="1:39" ht="13">
      <c r="A904" s="30">
        <v>44796</v>
      </c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8"/>
      <c r="Q904" s="28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</row>
    <row r="905" spans="1:39" ht="16">
      <c r="A905" s="30">
        <v>44797</v>
      </c>
      <c r="B905" s="20">
        <f>C905+B898</f>
        <v>2036390</v>
      </c>
      <c r="C905" s="20">
        <v>14742</v>
      </c>
      <c r="D905" s="20">
        <v>47191</v>
      </c>
      <c r="E905" s="20">
        <v>1945910</v>
      </c>
      <c r="F905" s="20">
        <v>11394556</v>
      </c>
      <c r="G905" s="17">
        <f>F905/9.8</f>
        <v>1162709.7959183673</v>
      </c>
      <c r="H905" s="20"/>
      <c r="I905" s="19">
        <f>(B905-B898)/B898</f>
        <v>7.2920706275276404E-3</v>
      </c>
      <c r="J905" s="19">
        <f>B905/F905</f>
        <v>0.17871604650501521</v>
      </c>
      <c r="K905" s="19">
        <f>(F905-F898)/F898</f>
        <v>0</v>
      </c>
      <c r="L905" s="20">
        <v>43289</v>
      </c>
      <c r="M905" s="19">
        <f>D905/B905</f>
        <v>2.3173851767097658E-2</v>
      </c>
      <c r="N905" s="19">
        <f>E905/B905</f>
        <v>0.95556843237297373</v>
      </c>
      <c r="O905" s="20">
        <v>1811</v>
      </c>
      <c r="P905" s="28">
        <f>F905-F898</f>
        <v>0</v>
      </c>
      <c r="Q905" s="29"/>
      <c r="R905" s="20">
        <f t="shared" ref="R905:S905" si="2154">D905-D898</f>
        <v>108</v>
      </c>
      <c r="S905" s="20">
        <f t="shared" si="2154"/>
        <v>21888</v>
      </c>
      <c r="T905" s="20">
        <v>1251</v>
      </c>
      <c r="U905" s="20">
        <v>27</v>
      </c>
      <c r="V905" s="19">
        <f>L905/B905</f>
        <v>2.12577158599286E-2</v>
      </c>
      <c r="W905" s="20">
        <v>1345</v>
      </c>
      <c r="X905" s="20">
        <v>19</v>
      </c>
      <c r="Y905" s="19">
        <f>T905/L905</f>
        <v>2.8898796460994709E-2</v>
      </c>
      <c r="Z905" s="19">
        <f>U905/T905</f>
        <v>2.1582733812949641E-2</v>
      </c>
      <c r="AA905" s="21">
        <f>(C899+C900+C901+C902+C903+C904+C905)/(C892+C893+C894+C895+C896+C897+C898)</f>
        <v>0.9072558311280694</v>
      </c>
      <c r="AB905" s="26"/>
      <c r="AC905" s="23">
        <f>SUM(C899:C905)/7</f>
        <v>2106</v>
      </c>
      <c r="AD905" s="23">
        <f>SUM(R899:R905)/7</f>
        <v>15.428571428571429</v>
      </c>
      <c r="AE905" s="23">
        <f t="shared" ref="AE905:AF905" si="2155">SUM(P899:P905)/7</f>
        <v>0</v>
      </c>
      <c r="AF905" s="25">
        <f t="shared" si="2155"/>
        <v>0</v>
      </c>
      <c r="AG905" s="20">
        <v>6415779</v>
      </c>
      <c r="AH905" s="20">
        <f>AG905-AG898</f>
        <v>602</v>
      </c>
      <c r="AI905" s="21">
        <f>(SUM(AH899:AH905))/7</f>
        <v>86</v>
      </c>
      <c r="AJ905" s="20">
        <v>6201969</v>
      </c>
      <c r="AK905" s="20">
        <f>AJ905-AJ898</f>
        <v>497</v>
      </c>
      <c r="AL905" s="21">
        <f>(SUM(AK899:AK905))/7</f>
        <v>71</v>
      </c>
      <c r="AM905" s="26">
        <f>SUM(S899:S905)/7</f>
        <v>3126.8571428571427</v>
      </c>
    </row>
    <row r="906" spans="1:39" ht="13">
      <c r="A906" s="30">
        <v>44798</v>
      </c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8"/>
      <c r="Q906" s="28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</row>
    <row r="907" spans="1:39" ht="13">
      <c r="A907" s="30">
        <v>44799</v>
      </c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8"/>
      <c r="Q907" s="28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</row>
    <row r="908" spans="1:39" ht="13">
      <c r="A908" s="30">
        <v>44800</v>
      </c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8"/>
      <c r="Q908" s="28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</row>
    <row r="909" spans="1:39" ht="13">
      <c r="A909" s="30">
        <v>44801</v>
      </c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8"/>
      <c r="Q909" s="28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</row>
    <row r="910" spans="1:39" ht="13">
      <c r="A910" s="30">
        <v>44802</v>
      </c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8"/>
      <c r="Q910" s="28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</row>
    <row r="911" spans="1:39" ht="13">
      <c r="A911" s="30">
        <v>44803</v>
      </c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8"/>
      <c r="Q911" s="28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</row>
    <row r="912" spans="1:39" ht="16">
      <c r="A912" s="30">
        <v>44804</v>
      </c>
      <c r="B912" s="20">
        <f>C912+B905</f>
        <v>2048547</v>
      </c>
      <c r="C912" s="20">
        <v>12157</v>
      </c>
      <c r="D912" s="20">
        <v>47291</v>
      </c>
      <c r="E912" s="20">
        <v>1962698</v>
      </c>
      <c r="F912" s="20">
        <v>11394556</v>
      </c>
      <c r="G912" s="17">
        <f>F912/9.8</f>
        <v>1162709.7959183673</v>
      </c>
      <c r="H912" s="20"/>
      <c r="I912" s="19">
        <f>(B912-B905)/B905</f>
        <v>5.9698780685428629E-3</v>
      </c>
      <c r="J912" s="19">
        <f>B912/F912</f>
        <v>0.17978295951154219</v>
      </c>
      <c r="K912" s="19">
        <f>(F912-F905)/F905</f>
        <v>0</v>
      </c>
      <c r="L912" s="20">
        <v>38558</v>
      </c>
      <c r="M912" s="19">
        <f>D912/B912</f>
        <v>2.3085142786570187E-2</v>
      </c>
      <c r="N912" s="19">
        <f>E912/B912</f>
        <v>0.95809273597335087</v>
      </c>
      <c r="O912" s="20">
        <v>1641</v>
      </c>
      <c r="P912" s="28">
        <f>F912-F905</f>
        <v>0</v>
      </c>
      <c r="Q912" s="29"/>
      <c r="R912" s="20">
        <f t="shared" ref="R912:S912" si="2156">D912-D905</f>
        <v>100</v>
      </c>
      <c r="S912" s="20">
        <f t="shared" si="2156"/>
        <v>16788</v>
      </c>
      <c r="T912" s="20">
        <v>978</v>
      </c>
      <c r="U912" s="20">
        <v>23</v>
      </c>
      <c r="V912" s="19">
        <f>L912/B912</f>
        <v>1.8822121240078944E-2</v>
      </c>
      <c r="W912" s="20">
        <v>1345</v>
      </c>
      <c r="X912" s="20">
        <v>19</v>
      </c>
      <c r="Y912" s="19">
        <f>T912/L912</f>
        <v>2.5364386119612014E-2</v>
      </c>
      <c r="Z912" s="19">
        <f>U912/T912</f>
        <v>2.3517382413087935E-2</v>
      </c>
      <c r="AA912" s="21">
        <f>(C906+C907+C908+C909+C910+C911+C912)/(C899+C900+C901+C902+C903+C904+C905)</f>
        <v>0.82465065798399129</v>
      </c>
      <c r="AB912" s="26"/>
      <c r="AC912" s="23">
        <f>SUM(C906:C912)/7</f>
        <v>1736.7142857142858</v>
      </c>
      <c r="AD912" s="23">
        <f>SUM(R906:R912)/7</f>
        <v>14.285714285714286</v>
      </c>
      <c r="AE912" s="23">
        <f t="shared" ref="AE912:AF912" si="2157">SUM(P906:P912)/7</f>
        <v>0</v>
      </c>
      <c r="AF912" s="25">
        <f t="shared" si="2157"/>
        <v>0</v>
      </c>
      <c r="AG912" s="20">
        <v>6416363</v>
      </c>
      <c r="AH912" s="20">
        <f>AG912-AG905</f>
        <v>584</v>
      </c>
      <c r="AI912" s="21">
        <f>(SUM(AH906:AH912))/7</f>
        <v>83.428571428571431</v>
      </c>
      <c r="AJ912" s="20">
        <v>6202522</v>
      </c>
      <c r="AK912" s="20">
        <f>AJ912-AJ905</f>
        <v>553</v>
      </c>
      <c r="AL912" s="21">
        <f>(SUM(AK906:AK912))/7</f>
        <v>79</v>
      </c>
      <c r="AM912" s="26">
        <f>SUM(S906:S912)/7</f>
        <v>2398.2857142857142</v>
      </c>
    </row>
    <row r="913" spans="1:39" ht="13">
      <c r="A913" s="30">
        <v>44805</v>
      </c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8"/>
      <c r="Q913" s="28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</row>
    <row r="914" spans="1:39" ht="13">
      <c r="A914" s="30">
        <v>44806</v>
      </c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8"/>
      <c r="Q914" s="28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</row>
    <row r="915" spans="1:39" ht="13">
      <c r="A915" s="30">
        <v>44807</v>
      </c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8"/>
      <c r="Q915" s="28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</row>
    <row r="916" spans="1:39" ht="13">
      <c r="A916" s="30">
        <v>44808</v>
      </c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8"/>
      <c r="Q916" s="28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</row>
    <row r="917" spans="1:39" ht="13">
      <c r="A917" s="30">
        <v>44809</v>
      </c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8"/>
      <c r="Q917" s="28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</row>
    <row r="918" spans="1:39" ht="13">
      <c r="A918" s="30">
        <v>44810</v>
      </c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8"/>
      <c r="Q918" s="28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</row>
    <row r="919" spans="1:39" ht="16">
      <c r="A919" s="30">
        <v>44811</v>
      </c>
      <c r="B919" s="20">
        <f>C919+B912</f>
        <v>2058847</v>
      </c>
      <c r="C919" s="20">
        <v>10300</v>
      </c>
      <c r="D919" s="20">
        <v>47367</v>
      </c>
      <c r="E919" s="20">
        <v>1976808</v>
      </c>
      <c r="F919" s="20">
        <v>11394556</v>
      </c>
      <c r="G919" s="17">
        <f>F919/9.8</f>
        <v>1162709.7959183673</v>
      </c>
      <c r="H919" s="20"/>
      <c r="I919" s="19">
        <f>(B919-B912)/B912</f>
        <v>5.0279539595625578E-3</v>
      </c>
      <c r="J919" s="19">
        <f>B919/F919</f>
        <v>0.18068689995468012</v>
      </c>
      <c r="K919" s="19">
        <f>(F919-F912)/F912</f>
        <v>0</v>
      </c>
      <c r="L919" s="20">
        <v>34672</v>
      </c>
      <c r="M919" s="19">
        <f>D919/B919</f>
        <v>2.300656629657279E-2</v>
      </c>
      <c r="N919" s="19">
        <f>E919/B919</f>
        <v>0.96015293997077</v>
      </c>
      <c r="O919" s="20">
        <v>2371</v>
      </c>
      <c r="P919" s="28">
        <f>F919-F912</f>
        <v>0</v>
      </c>
      <c r="Q919" s="29"/>
      <c r="R919" s="20">
        <f t="shared" ref="R919:S919" si="2158">D919-D912</f>
        <v>76</v>
      </c>
      <c r="S919" s="20">
        <f t="shared" si="2158"/>
        <v>14110</v>
      </c>
      <c r="T919" s="20">
        <v>832</v>
      </c>
      <c r="U919" s="20">
        <v>17</v>
      </c>
      <c r="V919" s="19">
        <f>L919/B919</f>
        <v>1.6840493732657162E-2</v>
      </c>
      <c r="W919" s="20">
        <v>1345</v>
      </c>
      <c r="X919" s="20">
        <v>19</v>
      </c>
      <c r="Y919" s="19">
        <f>T919/L919</f>
        <v>2.3996308260267652E-2</v>
      </c>
      <c r="Z919" s="19">
        <f>U919/T919</f>
        <v>2.0432692307692308E-2</v>
      </c>
      <c r="AA919" s="21">
        <f>(C913+C914+C915+C916+C917+C918+C919)/(C906+C907+C908+C909+C910+C911+C912)</f>
        <v>0.84724849880727149</v>
      </c>
      <c r="AB919" s="26"/>
      <c r="AC919" s="23">
        <f>SUM(C913:C919)/7</f>
        <v>1471.4285714285713</v>
      </c>
      <c r="AD919" s="23">
        <f>SUM(R913:R919)/7</f>
        <v>10.857142857142858</v>
      </c>
      <c r="AE919" s="23">
        <f t="shared" ref="AE919:AF919" si="2159">SUM(P913:P919)/7</f>
        <v>0</v>
      </c>
      <c r="AF919" s="25">
        <f t="shared" si="2159"/>
        <v>0</v>
      </c>
      <c r="AG919" s="20">
        <v>6416883</v>
      </c>
      <c r="AH919" s="20">
        <f>AG919-AG912</f>
        <v>520</v>
      </c>
      <c r="AI919" s="21">
        <f>(SUM(AH913:AH919))/7</f>
        <v>74.285714285714292</v>
      </c>
      <c r="AJ919" s="20">
        <v>6203090</v>
      </c>
      <c r="AK919" s="20">
        <f>AJ919-AJ912</f>
        <v>568</v>
      </c>
      <c r="AL919" s="21">
        <f>(SUM(AK913:AK919))/7</f>
        <v>81.142857142857139</v>
      </c>
      <c r="AM919" s="26">
        <f>SUM(S913:S919)/7</f>
        <v>2015.7142857142858</v>
      </c>
    </row>
    <row r="920" spans="1:39" ht="13">
      <c r="A920" s="30">
        <v>44812</v>
      </c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8"/>
      <c r="Q920" s="28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</row>
    <row r="921" spans="1:39" ht="13">
      <c r="A921" s="30">
        <v>44813</v>
      </c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8"/>
      <c r="Q921" s="28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</row>
    <row r="922" spans="1:39" ht="13">
      <c r="A922" s="30">
        <v>44814</v>
      </c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8"/>
      <c r="Q922" s="28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</row>
    <row r="923" spans="1:39" ht="13">
      <c r="A923" s="30">
        <v>44815</v>
      </c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8"/>
      <c r="Q923" s="28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</row>
    <row r="924" spans="1:39" ht="13">
      <c r="A924" s="30">
        <v>44816</v>
      </c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8"/>
      <c r="Q924" s="28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</row>
    <row r="925" spans="1:39" ht="13">
      <c r="A925" s="30">
        <v>44817</v>
      </c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8"/>
      <c r="Q925" s="28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</row>
    <row r="926" spans="1:39" ht="16">
      <c r="A926" s="30">
        <v>44818</v>
      </c>
      <c r="B926" s="20">
        <f>C926+B919</f>
        <v>2070443</v>
      </c>
      <c r="C926" s="20">
        <v>11596</v>
      </c>
      <c r="D926" s="20">
        <v>47409</v>
      </c>
      <c r="E926" s="20">
        <v>1988759</v>
      </c>
      <c r="F926" s="20">
        <v>11394556</v>
      </c>
      <c r="G926" s="17">
        <f>F926/9.8</f>
        <v>1162709.7959183673</v>
      </c>
      <c r="H926" s="20"/>
      <c r="I926" s="19">
        <f>(B926-B919)/B919</f>
        <v>5.6322786491662565E-3</v>
      </c>
      <c r="J926" s="19">
        <f>B926/F926</f>
        <v>0.18170457892347891</v>
      </c>
      <c r="K926" s="19">
        <f>(F926-F919)/F919</f>
        <v>0</v>
      </c>
      <c r="L926" s="20">
        <v>34275</v>
      </c>
      <c r="M926" s="19">
        <f>D926/B926</f>
        <v>2.2897998157882155E-2</v>
      </c>
      <c r="N926" s="19">
        <f>E926/B926</f>
        <v>0.96054757363520749</v>
      </c>
      <c r="O926" s="20">
        <v>3167</v>
      </c>
      <c r="P926" s="28">
        <f>F926-F919</f>
        <v>0</v>
      </c>
      <c r="Q926" s="29"/>
      <c r="R926" s="20">
        <f t="shared" ref="R926:S926" si="2160">D926-D919</f>
        <v>42</v>
      </c>
      <c r="S926" s="20">
        <f t="shared" si="2160"/>
        <v>11951</v>
      </c>
      <c r="T926" s="20">
        <v>831</v>
      </c>
      <c r="U926" s="20">
        <v>10</v>
      </c>
      <c r="V926" s="19">
        <f>L926/B926</f>
        <v>1.6554428206910308E-2</v>
      </c>
      <c r="W926" s="20">
        <v>1345</v>
      </c>
      <c r="X926" s="20">
        <v>19</v>
      </c>
      <c r="Y926" s="19">
        <f>T926/L926</f>
        <v>2.424507658643326E-2</v>
      </c>
      <c r="Z926" s="19">
        <f>U926/T926</f>
        <v>1.2033694344163659E-2</v>
      </c>
      <c r="AA926" s="21">
        <f>(C920+C921+C922+C923+C924+C925+C926)/(C913+C914+C915+C916+C917+C918+C919)</f>
        <v>1.1258252427184465</v>
      </c>
      <c r="AB926" s="26"/>
      <c r="AC926" s="23">
        <f>SUM(C920:C926)/7</f>
        <v>1656.5714285714287</v>
      </c>
      <c r="AD926" s="23">
        <f>SUM(R920:R926)/7</f>
        <v>6</v>
      </c>
      <c r="AE926" s="23">
        <f t="shared" ref="AE926:AF926" si="2161">SUM(P920:P926)/7</f>
        <v>0</v>
      </c>
      <c r="AF926" s="25">
        <f t="shared" si="2161"/>
        <v>0</v>
      </c>
      <c r="AG926" s="20">
        <v>6417307</v>
      </c>
      <c r="AH926" s="20">
        <f>AG926-AG919</f>
        <v>424</v>
      </c>
      <c r="AI926" s="21">
        <f>(SUM(AH920:AH926))/7</f>
        <v>60.571428571428569</v>
      </c>
      <c r="AJ926" s="20">
        <v>6203509</v>
      </c>
      <c r="AK926" s="20">
        <f>AJ926-AJ919</f>
        <v>419</v>
      </c>
      <c r="AL926" s="21">
        <f>(SUM(AK920:AK926))/7</f>
        <v>59.857142857142854</v>
      </c>
      <c r="AM926" s="26">
        <f>SUM(S920:S926)/7</f>
        <v>1707.2857142857142</v>
      </c>
    </row>
    <row r="927" spans="1:39" ht="13">
      <c r="A927" s="30">
        <v>44819</v>
      </c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8"/>
      <c r="Q927" s="28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</row>
    <row r="928" spans="1:39" ht="13">
      <c r="A928" s="30">
        <v>44820</v>
      </c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8"/>
      <c r="Q928" s="28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</row>
    <row r="929" spans="1:39" ht="13">
      <c r="A929" s="30">
        <v>44821</v>
      </c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8"/>
      <c r="Q929" s="28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</row>
    <row r="930" spans="1:39" ht="13">
      <c r="A930" s="30">
        <v>44822</v>
      </c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8"/>
      <c r="Q930" s="28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</row>
    <row r="931" spans="1:39" ht="13">
      <c r="A931" s="30">
        <v>44823</v>
      </c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8"/>
      <c r="Q931" s="28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</row>
    <row r="932" spans="1:39" ht="13">
      <c r="A932" s="30">
        <v>44824</v>
      </c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8"/>
      <c r="Q932" s="28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</row>
    <row r="933" spans="1:39" ht="16">
      <c r="A933" s="30">
        <v>44825</v>
      </c>
      <c r="B933" s="20">
        <f>C933+B926</f>
        <v>2082750</v>
      </c>
      <c r="C933" s="20">
        <v>12307</v>
      </c>
      <c r="D933" s="20">
        <v>47457</v>
      </c>
      <c r="E933" s="20">
        <v>2001729</v>
      </c>
      <c r="F933" s="20">
        <v>11394556</v>
      </c>
      <c r="G933" s="17">
        <f>F933/9.8</f>
        <v>1162709.7959183673</v>
      </c>
      <c r="H933" s="20"/>
      <c r="I933" s="19">
        <f>(B933-B926)/B926</f>
        <v>5.944138524943696E-3</v>
      </c>
      <c r="J933" s="19">
        <f>B933/F933</f>
        <v>0.18278465611121661</v>
      </c>
      <c r="K933" s="19">
        <f>(F933-F926)/F926</f>
        <v>0</v>
      </c>
      <c r="L933" s="20">
        <v>33564</v>
      </c>
      <c r="M933" s="19">
        <f>D933/B933</f>
        <v>2.2785740007202016E-2</v>
      </c>
      <c r="N933" s="19">
        <f>E933/B933</f>
        <v>0.96109902772776379</v>
      </c>
      <c r="O933" s="20">
        <v>1834</v>
      </c>
      <c r="P933" s="28">
        <f>F933-F926</f>
        <v>0</v>
      </c>
      <c r="Q933" s="29"/>
      <c r="R933" s="20">
        <f t="shared" ref="R933:S933" si="2162">D933-D926</f>
        <v>48</v>
      </c>
      <c r="S933" s="20">
        <f t="shared" si="2162"/>
        <v>12970</v>
      </c>
      <c r="T933" s="20">
        <v>923</v>
      </c>
      <c r="U933" s="20">
        <v>14</v>
      </c>
      <c r="V933" s="19">
        <f>L933/B933</f>
        <v>1.611523226503421E-2</v>
      </c>
      <c r="W933" s="20">
        <v>1345</v>
      </c>
      <c r="X933" s="20">
        <v>19</v>
      </c>
      <c r="Y933" s="19">
        <f>T933/L933</f>
        <v>2.7499702061732807E-2</v>
      </c>
      <c r="Z933" s="19">
        <f>U933/T933</f>
        <v>1.5167930660888408E-2</v>
      </c>
      <c r="AA933" s="21">
        <f>(C927+C928+C929+C930+C931+C932+C933)/(C920+C921+C922+C923+C924+C925+C926)</f>
        <v>1.0613142462918248</v>
      </c>
      <c r="AB933" s="26"/>
      <c r="AC933" s="23">
        <f>SUM(C927:C933)/7</f>
        <v>1758.1428571428571</v>
      </c>
      <c r="AD933" s="23">
        <f>SUM(R927:R933)/7</f>
        <v>6.8571428571428568</v>
      </c>
      <c r="AE933" s="23">
        <f t="shared" ref="AE933:AF933" si="2163">SUM(P927:P933)/7</f>
        <v>0</v>
      </c>
      <c r="AF933" s="25">
        <f t="shared" si="2163"/>
        <v>0</v>
      </c>
      <c r="AG933" s="20">
        <v>6417738</v>
      </c>
      <c r="AH933" s="20">
        <f>AG933-AG926</f>
        <v>431</v>
      </c>
      <c r="AI933" s="21">
        <f>(SUM(AH927:AH933))/7</f>
        <v>61.571428571428569</v>
      </c>
      <c r="AJ933" s="20">
        <v>6203972</v>
      </c>
      <c r="AK933" s="20">
        <f>AJ933-AJ926</f>
        <v>463</v>
      </c>
      <c r="AL933" s="21">
        <f>(SUM(AK927:AK933))/7</f>
        <v>66.142857142857139</v>
      </c>
      <c r="AM933" s="26">
        <f>SUM(S927:S933)/7</f>
        <v>1852.8571428571429</v>
      </c>
    </row>
    <row r="934" spans="1:39" ht="13">
      <c r="A934" s="30">
        <v>44826</v>
      </c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8"/>
      <c r="Q934" s="28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</row>
    <row r="935" spans="1:39" ht="13">
      <c r="A935" s="30">
        <v>44827</v>
      </c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8"/>
      <c r="Q935" s="28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</row>
    <row r="936" spans="1:39" ht="13">
      <c r="A936" s="30">
        <v>44828</v>
      </c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8"/>
      <c r="Q936" s="28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</row>
    <row r="937" spans="1:39" ht="13">
      <c r="A937" s="30">
        <v>44829</v>
      </c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8"/>
      <c r="Q937" s="28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</row>
    <row r="938" spans="1:39" ht="13">
      <c r="A938" s="30">
        <v>44830</v>
      </c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8"/>
      <c r="Q938" s="28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</row>
    <row r="939" spans="1:39" ht="13">
      <c r="A939" s="30">
        <v>44831</v>
      </c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8"/>
      <c r="Q939" s="28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</row>
    <row r="940" spans="1:39" ht="16">
      <c r="A940" s="30">
        <v>44832</v>
      </c>
      <c r="B940" s="20">
        <f>C940+B933</f>
        <v>2094142</v>
      </c>
      <c r="C940" s="20">
        <v>11392</v>
      </c>
      <c r="D940" s="20">
        <v>47503</v>
      </c>
      <c r="E940" s="20">
        <v>2014175</v>
      </c>
      <c r="F940" s="20">
        <v>11394556</v>
      </c>
      <c r="G940" s="17">
        <f>F940/9.8</f>
        <v>1162709.7959183673</v>
      </c>
      <c r="H940" s="20"/>
      <c r="I940" s="19">
        <f>(B940-B933)/B933</f>
        <v>5.469691513623815E-3</v>
      </c>
      <c r="J940" s="19">
        <f>B940/F940</f>
        <v>0.18378443179356879</v>
      </c>
      <c r="K940" s="19">
        <f>(F940-F933)/F933</f>
        <v>0</v>
      </c>
      <c r="L940" s="20">
        <v>32464</v>
      </c>
      <c r="M940" s="19">
        <f>D940/B940</f>
        <v>2.2683753059725652E-2</v>
      </c>
      <c r="N940" s="19">
        <f>E940/B940</f>
        <v>0.96181395530962088</v>
      </c>
      <c r="O940" s="20">
        <v>1834</v>
      </c>
      <c r="P940" s="28">
        <f>F940-F933</f>
        <v>0</v>
      </c>
      <c r="Q940" s="29"/>
      <c r="R940" s="20">
        <f t="shared" ref="R940:S940" si="2164">D940-D933</f>
        <v>46</v>
      </c>
      <c r="S940" s="20">
        <f t="shared" si="2164"/>
        <v>12446</v>
      </c>
      <c r="T940" s="20">
        <v>1166</v>
      </c>
      <c r="U940" s="20">
        <v>18</v>
      </c>
      <c r="V940" s="19">
        <f>L940/B940</f>
        <v>1.5502291630653508E-2</v>
      </c>
      <c r="W940" s="20">
        <v>1345</v>
      </c>
      <c r="X940" s="20">
        <v>19</v>
      </c>
      <c r="Y940" s="19">
        <f>T940/L940</f>
        <v>3.5916707737801874E-2</v>
      </c>
      <c r="Z940" s="19">
        <f>U940/T940</f>
        <v>1.5437392795883362E-2</v>
      </c>
      <c r="AA940" s="21">
        <f>(C934+C935+C936+C937+C938+C939+C940)/(C927+C928+C929+C930+C931+C932+C933)</f>
        <v>0.92565206792882104</v>
      </c>
      <c r="AB940" s="26"/>
      <c r="AC940" s="23">
        <f>SUM(C934:C940)/7</f>
        <v>1627.4285714285713</v>
      </c>
      <c r="AD940" s="23">
        <f>SUM(R934:R940)/7</f>
        <v>6.5714285714285712</v>
      </c>
      <c r="AE940" s="23">
        <f t="shared" ref="AE940:AF940" si="2165">SUM(P934:P940)/7</f>
        <v>0</v>
      </c>
      <c r="AF940" s="25">
        <f t="shared" si="2165"/>
        <v>0</v>
      </c>
      <c r="AG940" s="20">
        <v>6418057</v>
      </c>
      <c r="AH940" s="20">
        <f>AG940-AG933</f>
        <v>319</v>
      </c>
      <c r="AI940" s="21">
        <f>(SUM(AH934:AH940))/7</f>
        <v>45.571428571428569</v>
      </c>
      <c r="AJ940" s="20">
        <v>6204361</v>
      </c>
      <c r="AK940" s="20">
        <f>AJ940-AJ933</f>
        <v>389</v>
      </c>
      <c r="AL940" s="21">
        <f>(SUM(AK934:AK940))/7</f>
        <v>55.571428571428569</v>
      </c>
      <c r="AM940" s="26">
        <f>SUM(S934:S940)/7</f>
        <v>1778</v>
      </c>
    </row>
    <row r="941" spans="1:39" ht="13">
      <c r="A941" s="30">
        <v>44833</v>
      </c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8"/>
      <c r="Q941" s="28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</row>
    <row r="942" spans="1:39" ht="13">
      <c r="A942" s="30">
        <v>44834</v>
      </c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8"/>
      <c r="Q942" s="28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</row>
    <row r="943" spans="1:39" ht="13">
      <c r="A943" s="30">
        <v>44835</v>
      </c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8"/>
      <c r="Q943" s="28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</row>
    <row r="944" spans="1:39" ht="13">
      <c r="A944" s="30">
        <v>44836</v>
      </c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8"/>
      <c r="Q944" s="28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</row>
    <row r="945" spans="1:39" ht="13">
      <c r="A945" s="30">
        <v>44837</v>
      </c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8"/>
      <c r="Q945" s="28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</row>
    <row r="946" spans="1:39" ht="13">
      <c r="A946" s="30">
        <v>44838</v>
      </c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8"/>
      <c r="Q946" s="28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</row>
    <row r="947" spans="1:39" ht="16">
      <c r="A947" s="30">
        <v>44839</v>
      </c>
      <c r="B947" s="20">
        <f>C947+B940</f>
        <v>2107907</v>
      </c>
      <c r="C947" s="20">
        <v>13765</v>
      </c>
      <c r="D947" s="20">
        <v>47576</v>
      </c>
      <c r="E947" s="20">
        <v>2025292</v>
      </c>
      <c r="F947" s="20">
        <v>11394556</v>
      </c>
      <c r="G947" s="17">
        <f>F947/9.8</f>
        <v>1162709.7959183673</v>
      </c>
      <c r="H947" s="20"/>
      <c r="I947" s="19">
        <f>(B947-B940)/B940</f>
        <v>6.5730977173467705E-3</v>
      </c>
      <c r="J947" s="19">
        <f>B947/F947</f>
        <v>0.18499246482267498</v>
      </c>
      <c r="K947" s="19">
        <f>(F947-F940)/F940</f>
        <v>0</v>
      </c>
      <c r="L947" s="20">
        <v>35039</v>
      </c>
      <c r="M947" s="19">
        <f>D947/B947</f>
        <v>2.2570255708624715E-2</v>
      </c>
      <c r="N947" s="19">
        <f>E947/B947</f>
        <v>0.96080709443063661</v>
      </c>
      <c r="O947" s="20">
        <v>774</v>
      </c>
      <c r="P947" s="28">
        <f>F947-F940</f>
        <v>0</v>
      </c>
      <c r="Q947" s="29"/>
      <c r="R947" s="20">
        <f t="shared" ref="R947:S947" si="2166">D947-D940</f>
        <v>73</v>
      </c>
      <c r="S947" s="20">
        <f t="shared" si="2166"/>
        <v>11117</v>
      </c>
      <c r="T947" s="20">
        <v>1752</v>
      </c>
      <c r="U947" s="20">
        <v>32</v>
      </c>
      <c r="V947" s="19">
        <f>L947/B947</f>
        <v>1.6622649860738636E-2</v>
      </c>
      <c r="W947" s="20">
        <v>1345</v>
      </c>
      <c r="X947" s="20">
        <v>19</v>
      </c>
      <c r="Y947" s="19">
        <f>T947/L947</f>
        <v>5.0001426981363624E-2</v>
      </c>
      <c r="Z947" s="19">
        <f>U947/T947</f>
        <v>1.8264840182648401E-2</v>
      </c>
      <c r="AA947" s="21">
        <f>(C941+C942+C943+C944+C945+C946+C947)/(C934+C935+C936+C937+C938+C939+C940)</f>
        <v>1.2083040730337078</v>
      </c>
      <c r="AB947" s="26"/>
      <c r="AC947" s="23">
        <f>SUM(C941:C947)/7</f>
        <v>1966.4285714285713</v>
      </c>
      <c r="AD947" s="23">
        <f>SUM(R941:R947)/7</f>
        <v>10.428571428571429</v>
      </c>
      <c r="AE947" s="23">
        <f t="shared" ref="AE947:AF947" si="2167">SUM(P941:P947)/7</f>
        <v>0</v>
      </c>
      <c r="AF947" s="25">
        <f t="shared" si="2167"/>
        <v>0</v>
      </c>
      <c r="AG947" s="20">
        <v>6418352</v>
      </c>
      <c r="AH947" s="20">
        <f>AG947-AG940</f>
        <v>295</v>
      </c>
      <c r="AI947" s="21">
        <f>(SUM(AH941:AH947))/7</f>
        <v>42.142857142857146</v>
      </c>
      <c r="AJ947" s="20">
        <v>6204725</v>
      </c>
      <c r="AK947" s="20">
        <f>AJ947-AJ940</f>
        <v>364</v>
      </c>
      <c r="AL947" s="21">
        <f>(SUM(AK941:AK947))/7</f>
        <v>52</v>
      </c>
      <c r="AM947" s="26">
        <f>SUM(S941:S947)/7</f>
        <v>1588.1428571428571</v>
      </c>
    </row>
    <row r="948" spans="1:39" ht="13">
      <c r="A948" s="30">
        <v>44840</v>
      </c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8"/>
      <c r="Q948" s="28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</row>
    <row r="949" spans="1:39" ht="13">
      <c r="A949" s="30">
        <v>44841</v>
      </c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8"/>
      <c r="Q949" s="28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</row>
    <row r="950" spans="1:39" ht="13">
      <c r="A950" s="30">
        <v>44842</v>
      </c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8"/>
      <c r="Q950" s="28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</row>
    <row r="951" spans="1:39" ht="13">
      <c r="A951" s="30">
        <v>44843</v>
      </c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8"/>
      <c r="Q951" s="28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</row>
    <row r="952" spans="1:39" ht="13">
      <c r="A952" s="30">
        <v>44844</v>
      </c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8"/>
      <c r="Q952" s="28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</row>
    <row r="953" spans="1:39" ht="13">
      <c r="A953" s="30">
        <v>44845</v>
      </c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8"/>
      <c r="Q953" s="28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</row>
    <row r="954" spans="1:39" ht="16">
      <c r="A954" s="30">
        <v>44846</v>
      </c>
      <c r="B954" s="20">
        <f>C954+B947</f>
        <v>2120543</v>
      </c>
      <c r="C954" s="20">
        <v>12636</v>
      </c>
      <c r="D954" s="20">
        <v>47680</v>
      </c>
      <c r="E954" s="20">
        <v>2036700</v>
      </c>
      <c r="F954" s="20">
        <v>11394556</v>
      </c>
      <c r="G954" s="17">
        <f>F954/9.8</f>
        <v>1162709.7959183673</v>
      </c>
      <c r="H954" s="20"/>
      <c r="I954" s="19">
        <f>(B954-B947)/B947</f>
        <v>5.9945718667853941E-3</v>
      </c>
      <c r="J954" s="19">
        <f>B954/F954</f>
        <v>0.18610141544786826</v>
      </c>
      <c r="K954" s="19">
        <f>(F954-F947)/F947</f>
        <v>0</v>
      </c>
      <c r="L954" s="20">
        <v>36163</v>
      </c>
      <c r="M954" s="19">
        <f>D954/B954</f>
        <v>2.2484806957463254E-2</v>
      </c>
      <c r="N954" s="19">
        <f>E954/B954</f>
        <v>0.96046154216160673</v>
      </c>
      <c r="O954" s="20"/>
      <c r="P954" s="28">
        <f>F954-F947</f>
        <v>0</v>
      </c>
      <c r="Q954" s="29"/>
      <c r="R954" s="20">
        <f t="shared" ref="R954:S954" si="2168">D954-D947</f>
        <v>104</v>
      </c>
      <c r="S954" s="20">
        <f t="shared" si="2168"/>
        <v>11408</v>
      </c>
      <c r="T954" s="20">
        <v>1700</v>
      </c>
      <c r="U954" s="20">
        <v>32</v>
      </c>
      <c r="V954" s="19">
        <f>L954/B954</f>
        <v>1.7053650880930027E-2</v>
      </c>
      <c r="W954" s="20">
        <v>1345</v>
      </c>
      <c r="X954" s="20">
        <v>19</v>
      </c>
      <c r="Y954" s="19">
        <f>T954/L954</f>
        <v>4.7009374222271381E-2</v>
      </c>
      <c r="Z954" s="19">
        <f>U954/T954</f>
        <v>1.8823529411764704E-2</v>
      </c>
      <c r="AA954" s="21">
        <f>(C948+C949+C950+C951+C952+C953+C954)/(C941+C942+C943+C944+C945+C946+C947)</f>
        <v>0.91798038503450785</v>
      </c>
      <c r="AB954" s="26"/>
      <c r="AC954" s="23">
        <f>SUM(C948:C954)/7</f>
        <v>1805.1428571428571</v>
      </c>
      <c r="AD954" s="23">
        <f>SUM(R948:R954)/7</f>
        <v>14.857142857142858</v>
      </c>
      <c r="AE954" s="23">
        <f t="shared" ref="AE954:AF954" si="2169">SUM(P948:P954)/7</f>
        <v>0</v>
      </c>
      <c r="AF954" s="25">
        <f t="shared" si="2169"/>
        <v>0</v>
      </c>
      <c r="AG954" s="20">
        <v>6418580</v>
      </c>
      <c r="AH954" s="20">
        <f>AG954-AG947</f>
        <v>228</v>
      </c>
      <c r="AI954" s="21">
        <f>(SUM(AH948:AH954))/7</f>
        <v>32.571428571428569</v>
      </c>
      <c r="AJ954" s="20">
        <v>6205067</v>
      </c>
      <c r="AK954" s="20">
        <f>AJ954-AJ947</f>
        <v>342</v>
      </c>
      <c r="AL954" s="21">
        <f>(SUM(AK948:AK954))/7</f>
        <v>48.857142857142854</v>
      </c>
      <c r="AM954" s="26">
        <f>SUM(S948:S954)/7</f>
        <v>1629.7142857142858</v>
      </c>
    </row>
    <row r="955" spans="1:39" ht="13">
      <c r="A955" s="30">
        <v>44847</v>
      </c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8"/>
      <c r="Q955" s="28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</row>
    <row r="956" spans="1:39" ht="13">
      <c r="A956" s="30">
        <v>44848</v>
      </c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8"/>
      <c r="Q956" s="28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</row>
    <row r="957" spans="1:39" ht="13">
      <c r="A957" s="30">
        <v>44849</v>
      </c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8"/>
      <c r="Q957" s="28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</row>
    <row r="958" spans="1:39" ht="13">
      <c r="A958" s="30">
        <v>44850</v>
      </c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8"/>
      <c r="Q958" s="28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</row>
    <row r="959" spans="1:39" ht="13">
      <c r="A959" s="30">
        <v>44851</v>
      </c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8"/>
      <c r="Q959" s="28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</row>
    <row r="960" spans="1:39" ht="13">
      <c r="A960" s="30">
        <v>44852</v>
      </c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8"/>
      <c r="Q960" s="28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</row>
    <row r="961" spans="1:39" ht="16">
      <c r="A961" s="30">
        <v>44853</v>
      </c>
      <c r="B961" s="20">
        <f>C961+B954</f>
        <v>2132490</v>
      </c>
      <c r="C961" s="20">
        <v>11947</v>
      </c>
      <c r="D961" s="20">
        <v>47798</v>
      </c>
      <c r="E961" s="20">
        <v>2049649</v>
      </c>
      <c r="F961" s="20">
        <v>11394556</v>
      </c>
      <c r="G961" s="17">
        <f>F961/9.8</f>
        <v>1162709.7959183673</v>
      </c>
      <c r="H961" s="20"/>
      <c r="I961" s="19">
        <f>(B961-B954)/B954</f>
        <v>5.6339343271982695E-3</v>
      </c>
      <c r="J961" s="19">
        <f>B961/F961</f>
        <v>0.18714989860070019</v>
      </c>
      <c r="K961" s="19">
        <f>(F961-F954)/F954</f>
        <v>0</v>
      </c>
      <c r="L961" s="20">
        <v>35043</v>
      </c>
      <c r="M961" s="19">
        <f>D961/B961</f>
        <v>2.2414173102804701E-2</v>
      </c>
      <c r="N961" s="19">
        <f>E961/B961</f>
        <v>0.96115292451547252</v>
      </c>
      <c r="O961" s="20"/>
      <c r="P961" s="28">
        <f>F961-F954</f>
        <v>0</v>
      </c>
      <c r="Q961" s="29"/>
      <c r="R961" s="20">
        <f t="shared" ref="R961:S961" si="2170">D961-D954</f>
        <v>118</v>
      </c>
      <c r="S961" s="20">
        <f t="shared" si="2170"/>
        <v>12949</v>
      </c>
      <c r="T961" s="20">
        <v>1597</v>
      </c>
      <c r="U961" s="20">
        <v>18</v>
      </c>
      <c r="V961" s="19">
        <f>L961/B961</f>
        <v>1.6432902381722774E-2</v>
      </c>
      <c r="W961" s="20">
        <v>1345</v>
      </c>
      <c r="X961" s="20">
        <v>19</v>
      </c>
      <c r="Y961" s="19">
        <f>T961/L961</f>
        <v>4.5572582256085382E-2</v>
      </c>
      <c r="Z961" s="19">
        <f>U961/T961</f>
        <v>1.1271133375078271E-2</v>
      </c>
      <c r="AA961" s="21">
        <f>(C955+C956+C957+C958+C959+C960+C961)/(C948+C949+C950+C951+C952+C953+C954)</f>
        <v>0.94547325102880664</v>
      </c>
      <c r="AB961" s="26"/>
      <c r="AC961" s="23">
        <f>SUM(C955:C961)/7</f>
        <v>1706.7142857142858</v>
      </c>
      <c r="AD961" s="23">
        <f>SUM(R955:R961)/7</f>
        <v>16.857142857142858</v>
      </c>
      <c r="AE961" s="23">
        <f t="shared" ref="AE961:AF961" si="2171">SUM(P955:P961)/7</f>
        <v>0</v>
      </c>
      <c r="AF961" s="25">
        <f t="shared" si="2171"/>
        <v>0</v>
      </c>
      <c r="AG961" s="20">
        <v>6418810</v>
      </c>
      <c r="AH961" s="20">
        <f>AG961-AG954</f>
        <v>230</v>
      </c>
      <c r="AI961" s="21">
        <f>(SUM(AH955:AH961))/7</f>
        <v>32.857142857142854</v>
      </c>
      <c r="AJ961" s="20">
        <v>6205327</v>
      </c>
      <c r="AK961" s="20">
        <f>AJ961-AJ954</f>
        <v>260</v>
      </c>
      <c r="AL961" s="21">
        <f>(SUM(AK955:AK961))/7</f>
        <v>37.142857142857146</v>
      </c>
      <c r="AM961" s="26">
        <f>SUM(S955:S961)/7</f>
        <v>1849.8571428571429</v>
      </c>
    </row>
    <row r="962" spans="1:39" ht="13">
      <c r="A962" s="30">
        <v>44854</v>
      </c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8"/>
      <c r="Q962" s="28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</row>
    <row r="963" spans="1:39" ht="13">
      <c r="A963" s="30">
        <v>44855</v>
      </c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8"/>
      <c r="Q963" s="28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</row>
    <row r="964" spans="1:39" ht="13">
      <c r="A964" s="30">
        <v>44856</v>
      </c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8"/>
      <c r="Q964" s="28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</row>
    <row r="965" spans="1:39" ht="13">
      <c r="A965" s="30">
        <v>44857</v>
      </c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8"/>
      <c r="Q965" s="28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</row>
    <row r="966" spans="1:39" ht="13">
      <c r="A966" s="30">
        <v>44858</v>
      </c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8"/>
      <c r="Q966" s="28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</row>
    <row r="967" spans="1:39" ht="13">
      <c r="A967" s="30">
        <v>44859</v>
      </c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8"/>
      <c r="Q967" s="28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</row>
    <row r="968" spans="1:39" ht="16">
      <c r="A968" s="30">
        <v>44860</v>
      </c>
      <c r="B968" s="20">
        <f>C968+B961</f>
        <v>2141513</v>
      </c>
      <c r="C968" s="20">
        <v>9023</v>
      </c>
      <c r="D968" s="20">
        <v>47938</v>
      </c>
      <c r="E968" s="20">
        <v>2061999</v>
      </c>
      <c r="F968" s="20">
        <v>11394556</v>
      </c>
      <c r="G968" s="17">
        <f>F968/9.8</f>
        <v>1162709.7959183673</v>
      </c>
      <c r="H968" s="20"/>
      <c r="I968" s="19">
        <f>(B968-B961)/B961</f>
        <v>4.2312038977908454E-3</v>
      </c>
      <c r="J968" s="19">
        <f>B968/F968</f>
        <v>0.18794176798113063</v>
      </c>
      <c r="K968" s="19">
        <f>(F968-F961)/F961</f>
        <v>0</v>
      </c>
      <c r="L968" s="20">
        <v>31576</v>
      </c>
      <c r="M968" s="19">
        <f>D968/B968</f>
        <v>2.238510809880678E-2</v>
      </c>
      <c r="N968" s="19">
        <f>E968/B968</f>
        <v>0.96287017636596184</v>
      </c>
      <c r="O968" s="20"/>
      <c r="P968" s="28">
        <f>F968-F961</f>
        <v>0</v>
      </c>
      <c r="Q968" s="29"/>
      <c r="R968" s="20">
        <f t="shared" ref="R968:S968" si="2172">D968-D961</f>
        <v>140</v>
      </c>
      <c r="S968" s="20">
        <f t="shared" si="2172"/>
        <v>12350</v>
      </c>
      <c r="T968" s="20">
        <v>1371</v>
      </c>
      <c r="U968" s="20">
        <v>25</v>
      </c>
      <c r="V968" s="19">
        <f>L968/B968</f>
        <v>1.4744715535231399E-2</v>
      </c>
      <c r="W968" s="20">
        <v>1345</v>
      </c>
      <c r="X968" s="20">
        <v>19</v>
      </c>
      <c r="Y968" s="19">
        <f>T968/L968</f>
        <v>4.3419052444894857E-2</v>
      </c>
      <c r="Z968" s="19">
        <f>U968/T968</f>
        <v>1.8234865061998541E-2</v>
      </c>
      <c r="AA968" s="21">
        <f>(C962+C963+C964+C965+C966+C967+C968)/(C955+C956+C957+C958+C959+C960+C961)</f>
        <v>0.75525236461036238</v>
      </c>
      <c r="AB968" s="26"/>
      <c r="AC968" s="23">
        <f>SUM(C962:C968)/7</f>
        <v>1289</v>
      </c>
      <c r="AD968" s="23">
        <f>SUM(R962:R968)/7</f>
        <v>20</v>
      </c>
      <c r="AE968" s="23">
        <f t="shared" ref="AE968:AF968" si="2173">SUM(P962:P968)/7</f>
        <v>0</v>
      </c>
      <c r="AF968" s="25">
        <f t="shared" si="2173"/>
        <v>0</v>
      </c>
      <c r="AG968" s="20">
        <v>6419183</v>
      </c>
      <c r="AH968" s="20">
        <f>AG968-AG961</f>
        <v>373</v>
      </c>
      <c r="AI968" s="21">
        <f>(SUM(AH962:AH968))/7</f>
        <v>53.285714285714285</v>
      </c>
      <c r="AJ968" s="20">
        <v>6205608</v>
      </c>
      <c r="AK968" s="20">
        <f>AJ968-AJ961</f>
        <v>281</v>
      </c>
      <c r="AL968" s="21">
        <f>(SUM(AK962:AK968))/7</f>
        <v>40.142857142857146</v>
      </c>
      <c r="AM968" s="26">
        <f>SUM(S962:S968)/7</f>
        <v>1764.2857142857142</v>
      </c>
    </row>
    <row r="969" spans="1:39" ht="13">
      <c r="A969" s="30">
        <v>44861</v>
      </c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8"/>
      <c r="Q969" s="28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</row>
    <row r="970" spans="1:39" ht="13">
      <c r="A970" s="30">
        <v>44862</v>
      </c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8"/>
      <c r="Q970" s="28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</row>
    <row r="971" spans="1:39" ht="13">
      <c r="A971" s="30">
        <v>44863</v>
      </c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8"/>
      <c r="Q971" s="28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</row>
    <row r="972" spans="1:39" ht="13">
      <c r="A972" s="30">
        <v>44864</v>
      </c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8"/>
      <c r="Q972" s="28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</row>
    <row r="973" spans="1:39" ht="13">
      <c r="A973" s="30">
        <v>44865</v>
      </c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8"/>
      <c r="Q973" s="28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</row>
    <row r="974" spans="1:39" ht="13">
      <c r="A974" s="30">
        <v>44866</v>
      </c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8"/>
      <c r="Q974" s="28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</row>
    <row r="975" spans="1:39" ht="16">
      <c r="A975" s="30">
        <v>44867</v>
      </c>
      <c r="B975" s="20">
        <f>C975+B968</f>
        <v>2149008</v>
      </c>
      <c r="C975" s="20">
        <v>7495</v>
      </c>
      <c r="D975" s="20"/>
      <c r="E975" s="20"/>
      <c r="F975" s="20">
        <v>11394556</v>
      </c>
      <c r="G975" s="17">
        <f>F975/9.8</f>
        <v>1162709.7959183673</v>
      </c>
      <c r="H975" s="20"/>
      <c r="I975" s="19">
        <f>(B975-B968)/B968</f>
        <v>3.4998620134456342E-3</v>
      </c>
      <c r="J975" s="19">
        <f>B975/F975</f>
        <v>0.18859953823562761</v>
      </c>
      <c r="K975" s="19">
        <f>(F975-F968)/F968</f>
        <v>0</v>
      </c>
      <c r="L975" s="20"/>
      <c r="M975" s="19"/>
      <c r="N975" s="19"/>
      <c r="O975" s="20"/>
      <c r="P975" s="28">
        <v>0</v>
      </c>
      <c r="Q975" s="28"/>
      <c r="R975" s="20"/>
      <c r="S975" s="20"/>
      <c r="T975" s="20"/>
      <c r="U975" s="20"/>
      <c r="V975" s="20"/>
      <c r="W975" s="20"/>
      <c r="X975" s="20"/>
      <c r="Y975" s="20"/>
      <c r="Z975" s="20"/>
      <c r="AA975" s="21">
        <f>(C969+C970+C971+C972+C973+C974+C975)/(C962+C963+C964+C965+C966+C967+C968)</f>
        <v>0.83065499279618749</v>
      </c>
      <c r="AB975" s="20"/>
      <c r="AC975" s="23">
        <f>SUM(C969:C975)/7</f>
        <v>1070.7142857142858</v>
      </c>
      <c r="AD975" s="23"/>
      <c r="AE975" s="23"/>
      <c r="AF975" s="20"/>
      <c r="AG975" s="20"/>
      <c r="AH975" s="20"/>
      <c r="AI975" s="20"/>
      <c r="AJ975" s="20"/>
      <c r="AK975" s="20"/>
      <c r="AL975" s="20"/>
      <c r="AM975" s="20"/>
    </row>
    <row r="976" spans="1:39" ht="13">
      <c r="A976" s="30">
        <v>44868</v>
      </c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8"/>
      <c r="Q976" s="28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</row>
    <row r="977" spans="1:39" ht="13">
      <c r="A977" s="30">
        <v>44869</v>
      </c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8"/>
      <c r="Q977" s="28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</row>
    <row r="978" spans="1:39" ht="13">
      <c r="A978" s="30">
        <v>44870</v>
      </c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8"/>
      <c r="Q978" s="28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</row>
    <row r="979" spans="1:39" ht="13">
      <c r="A979" s="30">
        <v>44871</v>
      </c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8"/>
      <c r="Q979" s="28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</row>
    <row r="980" spans="1:39" ht="13">
      <c r="A980" s="30">
        <v>44872</v>
      </c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8"/>
      <c r="Q980" s="28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</row>
    <row r="981" spans="1:39" ht="13">
      <c r="A981" s="30">
        <v>44873</v>
      </c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8"/>
      <c r="Q981" s="28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</row>
    <row r="982" spans="1:39" ht="16">
      <c r="A982" s="30">
        <v>44874</v>
      </c>
      <c r="B982" s="20">
        <f>C982+B975</f>
        <v>2153564</v>
      </c>
      <c r="C982" s="20">
        <v>4556</v>
      </c>
      <c r="D982" s="20">
        <v>48111</v>
      </c>
      <c r="E982" s="20">
        <v>2082525</v>
      </c>
      <c r="F982" s="20">
        <v>11394556</v>
      </c>
      <c r="G982" s="17">
        <f>F982/9.8</f>
        <v>1162709.7959183673</v>
      </c>
      <c r="H982" s="20"/>
      <c r="I982" s="19">
        <f>(B982-B975)/B975</f>
        <v>2.1200479477042431E-3</v>
      </c>
      <c r="J982" s="19">
        <f>B982/F982</f>
        <v>0.18899937829960203</v>
      </c>
      <c r="K982" s="19">
        <f>(F982-F975)/F975</f>
        <v>0</v>
      </c>
      <c r="L982" s="20">
        <v>22928</v>
      </c>
      <c r="M982" s="19">
        <f>D982/B982</f>
        <v>2.2340176563129768E-2</v>
      </c>
      <c r="N982" s="19">
        <f>E982/B982</f>
        <v>0.96701328588330782</v>
      </c>
      <c r="O982" s="20"/>
      <c r="P982" s="28">
        <f>F982-F975</f>
        <v>0</v>
      </c>
      <c r="Q982" s="28"/>
      <c r="R982" s="20">
        <f t="shared" ref="R982:S982" si="2174">D982-D968</f>
        <v>173</v>
      </c>
      <c r="S982" s="20">
        <f t="shared" si="2174"/>
        <v>20526</v>
      </c>
      <c r="T982" s="20">
        <v>985</v>
      </c>
      <c r="U982" s="20">
        <v>18</v>
      </c>
      <c r="V982" s="19">
        <f>L982/B982</f>
        <v>1.0646537553562374E-2</v>
      </c>
      <c r="W982" s="20">
        <v>1345</v>
      </c>
      <c r="X982" s="20">
        <v>19</v>
      </c>
      <c r="Y982" s="19">
        <f>T982/L982</f>
        <v>4.2960572226099093E-2</v>
      </c>
      <c r="Z982" s="19">
        <f>U982/T982</f>
        <v>1.8274111675126905E-2</v>
      </c>
      <c r="AA982" s="21">
        <f>(C976+C977+C978+C979+C980+C981+C982)/(C969+C970+C971+C972+C973+C974+C975)</f>
        <v>0.60787191460973977</v>
      </c>
      <c r="AB982" s="26"/>
      <c r="AC982" s="23">
        <f>SUM(C976:C982)/7</f>
        <v>650.85714285714289</v>
      </c>
      <c r="AD982" s="23">
        <f>SUM(R976:R982)/14</f>
        <v>12.357142857142858</v>
      </c>
      <c r="AE982" s="23">
        <f t="shared" ref="AE982:AF982" si="2175">SUM(P976:P982)/7</f>
        <v>0</v>
      </c>
      <c r="AF982" s="25">
        <f t="shared" si="2175"/>
        <v>0</v>
      </c>
      <c r="AG982" s="20">
        <v>6419567</v>
      </c>
      <c r="AH982" s="20">
        <f>AG982-AG968</f>
        <v>384</v>
      </c>
      <c r="AI982" s="21">
        <f>(SUM(AH976:AH982))/7</f>
        <v>54.857142857142854</v>
      </c>
      <c r="AJ982" s="20">
        <v>6205968</v>
      </c>
      <c r="AK982" s="20">
        <f>AJ982-AJ968</f>
        <v>360</v>
      </c>
      <c r="AL982" s="21">
        <f>(SUM(AK976:AK982))/7</f>
        <v>51.428571428571431</v>
      </c>
      <c r="AM982" s="26">
        <f>SUM(S976:S982)/14</f>
        <v>1466.1428571428571</v>
      </c>
    </row>
    <row r="983" spans="1:39" ht="13">
      <c r="A983" s="30">
        <v>44875</v>
      </c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8"/>
      <c r="Q983" s="28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</row>
    <row r="984" spans="1:39" ht="13">
      <c r="A984" s="30">
        <v>44876</v>
      </c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8"/>
      <c r="Q984" s="28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</row>
    <row r="985" spans="1:39" ht="13">
      <c r="A985" s="30">
        <v>44877</v>
      </c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8"/>
      <c r="Q985" s="28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</row>
    <row r="986" spans="1:39" ht="13">
      <c r="A986" s="30">
        <v>44878</v>
      </c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8"/>
      <c r="Q986" s="28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</row>
    <row r="987" spans="1:39" ht="13">
      <c r="A987" s="30">
        <v>44879</v>
      </c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8"/>
      <c r="Q987" s="28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</row>
    <row r="988" spans="1:39" ht="13">
      <c r="A988" s="30">
        <v>44880</v>
      </c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8"/>
      <c r="Q988" s="28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</row>
    <row r="989" spans="1:39" ht="16">
      <c r="A989" s="30">
        <v>44881</v>
      </c>
      <c r="B989" s="20">
        <f>C989+B982</f>
        <v>2157995</v>
      </c>
      <c r="C989" s="20">
        <v>4431</v>
      </c>
      <c r="D989" s="20">
        <v>48184</v>
      </c>
      <c r="E989" s="20">
        <v>2091278</v>
      </c>
      <c r="F989" s="20">
        <v>11394556</v>
      </c>
      <c r="G989" s="17">
        <f>F989/9.8</f>
        <v>1162709.7959183673</v>
      </c>
      <c r="H989" s="20"/>
      <c r="I989" s="19">
        <f>(B989-B982)/B982</f>
        <v>2.0575195350590928E-3</v>
      </c>
      <c r="J989" s="19">
        <f>B989/F989</f>
        <v>0.18938824821256747</v>
      </c>
      <c r="K989" s="19">
        <f>(F989-F982)/F982</f>
        <v>0</v>
      </c>
      <c r="L989" s="20">
        <v>18533</v>
      </c>
      <c r="M989" s="19">
        <f>D989/B989</f>
        <v>2.2328133290392238E-2</v>
      </c>
      <c r="N989" s="19">
        <f>E989/B989</f>
        <v>0.96908380232576996</v>
      </c>
      <c r="O989" s="20"/>
      <c r="P989" s="28">
        <f>F989-F982</f>
        <v>0</v>
      </c>
      <c r="Q989" s="28"/>
      <c r="R989" s="20">
        <f t="shared" ref="R989:S989" si="2176">D989-D982</f>
        <v>73</v>
      </c>
      <c r="S989" s="20">
        <f t="shared" si="2176"/>
        <v>8753</v>
      </c>
      <c r="T989" s="20">
        <v>749</v>
      </c>
      <c r="U989" s="20">
        <v>10</v>
      </c>
      <c r="V989" s="19">
        <f>L989/B989</f>
        <v>8.5880643838377752E-3</v>
      </c>
      <c r="W989" s="20">
        <v>1345</v>
      </c>
      <c r="X989" s="20">
        <v>19</v>
      </c>
      <c r="Y989" s="19">
        <f>T989/L989</f>
        <v>4.0414395942373067E-2</v>
      </c>
      <c r="Z989" s="19">
        <f>U989/T989</f>
        <v>1.335113484646195E-2</v>
      </c>
      <c r="AA989" s="21">
        <f>(C983+C984+C985+C986+C987+C988+C989)/(C976+C977+C978+C979+C980+C981+C982)</f>
        <v>0.97256365232660225</v>
      </c>
      <c r="AB989" s="26"/>
      <c r="AC989" s="23">
        <f>SUM(C983:C989)/7</f>
        <v>633</v>
      </c>
      <c r="AD989" s="23">
        <f>SUM(R983:R989)/7</f>
        <v>10.428571428571429</v>
      </c>
      <c r="AE989" s="23">
        <f t="shared" ref="AE989:AF989" si="2177">SUM(P983:P989)/7</f>
        <v>0</v>
      </c>
      <c r="AF989" s="25">
        <f t="shared" si="2177"/>
        <v>0</v>
      </c>
      <c r="AG989" s="20">
        <v>6419758</v>
      </c>
      <c r="AH989" s="20">
        <f>AG989-AG982</f>
        <v>191</v>
      </c>
      <c r="AI989" s="21">
        <f>(SUM(AH983:AH989))/7</f>
        <v>27.285714285714285</v>
      </c>
      <c r="AJ989" s="20">
        <v>6206156</v>
      </c>
      <c r="AK989" s="20">
        <f>AJ989-AJ982</f>
        <v>188</v>
      </c>
      <c r="AL989" s="21">
        <f>(SUM(AK983:AK989))/7</f>
        <v>26.857142857142858</v>
      </c>
      <c r="AM989" s="26">
        <f>SUM(S983:S989)/7</f>
        <v>1250.4285714285713</v>
      </c>
    </row>
    <row r="990" spans="1:39" ht="13">
      <c r="A990" s="30">
        <v>44882</v>
      </c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8"/>
      <c r="Q990" s="28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</row>
    <row r="991" spans="1:39" ht="13">
      <c r="A991" s="30">
        <v>44883</v>
      </c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8"/>
      <c r="Q991" s="28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</row>
    <row r="992" spans="1:39" ht="13">
      <c r="A992" s="30">
        <v>44884</v>
      </c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8"/>
      <c r="Q992" s="28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</row>
    <row r="993" spans="1:39" ht="13">
      <c r="A993" s="30">
        <v>44885</v>
      </c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8"/>
      <c r="Q993" s="28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</row>
    <row r="994" spans="1:39" ht="13">
      <c r="A994" s="30">
        <v>44886</v>
      </c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8"/>
      <c r="Q994" s="28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</row>
    <row r="995" spans="1:39" ht="13">
      <c r="A995" s="30">
        <v>44887</v>
      </c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8"/>
      <c r="Q995" s="28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</row>
    <row r="996" spans="1:39" ht="16">
      <c r="A996" s="30">
        <v>44888</v>
      </c>
      <c r="B996" s="20">
        <f>C996+B989</f>
        <v>2162093</v>
      </c>
      <c r="C996" s="20">
        <v>4098</v>
      </c>
      <c r="D996" s="20">
        <v>48245</v>
      </c>
      <c r="E996" s="20">
        <v>2098240</v>
      </c>
      <c r="F996" s="20">
        <v>11394556</v>
      </c>
      <c r="G996" s="17">
        <f>F996/9.8</f>
        <v>1162709.7959183673</v>
      </c>
      <c r="H996" s="20"/>
      <c r="I996" s="19">
        <f>(B996-B989)/B989</f>
        <v>1.8989849374071767E-3</v>
      </c>
      <c r="J996" s="19">
        <f>B996/F996</f>
        <v>0.18974789364324507</v>
      </c>
      <c r="K996" s="19">
        <f>(F996-F989)/F989</f>
        <v>0</v>
      </c>
      <c r="L996" s="20">
        <v>15608</v>
      </c>
      <c r="M996" s="19">
        <f>D996/B996</f>
        <v>2.231402626991531E-2</v>
      </c>
      <c r="N996" s="19">
        <f>E996/B996</f>
        <v>0.970467042814532</v>
      </c>
      <c r="O996" s="20"/>
      <c r="P996" s="28">
        <f>F996-F989</f>
        <v>0</v>
      </c>
      <c r="Q996" s="28"/>
      <c r="R996" s="20">
        <f t="shared" ref="R996:S996" si="2178">D996-D989</f>
        <v>61</v>
      </c>
      <c r="S996" s="20">
        <f t="shared" si="2178"/>
        <v>6962</v>
      </c>
      <c r="T996" s="20">
        <v>770</v>
      </c>
      <c r="U996" s="20">
        <v>11</v>
      </c>
      <c r="V996" s="19">
        <f>L996/B996</f>
        <v>7.2189309155526616E-3</v>
      </c>
      <c r="W996" s="20">
        <v>1345</v>
      </c>
      <c r="X996" s="20">
        <v>19</v>
      </c>
      <c r="Y996" s="19">
        <f>T996/L996</f>
        <v>4.9333675038441827E-2</v>
      </c>
      <c r="Z996" s="19">
        <f>U996/T996</f>
        <v>1.4285714285714285E-2</v>
      </c>
      <c r="AA996" s="21">
        <f>(C990+C991+C992+C993+C994+C995+C996)/(C983+C984+C985+C986+C987+C988+C989)</f>
        <v>0.92484766418415709</v>
      </c>
      <c r="AB996" s="26"/>
      <c r="AC996" s="23">
        <f>SUM(C990:C996)/7</f>
        <v>585.42857142857144</v>
      </c>
      <c r="AD996" s="23">
        <f>SUM(R990:R996)/7</f>
        <v>8.7142857142857135</v>
      </c>
      <c r="AE996" s="23">
        <f t="shared" ref="AE996:AF996" si="2179">SUM(P990:P996)/7</f>
        <v>0</v>
      </c>
      <c r="AF996" s="25">
        <f t="shared" si="2179"/>
        <v>0</v>
      </c>
      <c r="AG996" s="20">
        <v>6419996</v>
      </c>
      <c r="AH996" s="20">
        <f>AG996-AG989</f>
        <v>238</v>
      </c>
      <c r="AI996" s="21">
        <f>(SUM(AH990:AH996))/7</f>
        <v>34</v>
      </c>
      <c r="AJ996" s="20">
        <v>6206388</v>
      </c>
      <c r="AK996" s="20">
        <f>AJ996-AJ989</f>
        <v>232</v>
      </c>
      <c r="AL996" s="21">
        <f>(SUM(AK990:AK996))/7</f>
        <v>33.142857142857146</v>
      </c>
      <c r="AM996" s="26">
        <f>SUM(S990:S996)/7</f>
        <v>994.57142857142856</v>
      </c>
    </row>
    <row r="997" spans="1:39" ht="13">
      <c r="A997" s="30">
        <v>44889</v>
      </c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8"/>
      <c r="Q997" s="28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</row>
    <row r="998" spans="1:39" ht="13">
      <c r="A998" s="30">
        <v>44890</v>
      </c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8"/>
      <c r="Q998" s="28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</row>
    <row r="999" spans="1:39" ht="13">
      <c r="A999" s="30">
        <v>44891</v>
      </c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8"/>
      <c r="Q999" s="28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</row>
    <row r="1000" spans="1:39" ht="13">
      <c r="A1000" s="30">
        <v>44892</v>
      </c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8"/>
      <c r="Q1000" s="28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</row>
    <row r="1001" spans="1:39" ht="13">
      <c r="A1001" s="30">
        <v>44893</v>
      </c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8"/>
      <c r="Q1001" s="28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</row>
    <row r="1002" spans="1:39" ht="13">
      <c r="A1002" s="30">
        <v>44894</v>
      </c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8"/>
      <c r="Q1002" s="28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</row>
    <row r="1003" spans="1:39" ht="16">
      <c r="A1003" s="30">
        <v>44895</v>
      </c>
      <c r="B1003" s="20">
        <f>C1003+B996</f>
        <v>2166352</v>
      </c>
      <c r="C1003" s="20">
        <v>4259</v>
      </c>
      <c r="D1003" s="20">
        <v>48287</v>
      </c>
      <c r="E1003" s="20">
        <v>2104358</v>
      </c>
      <c r="F1003" s="20">
        <v>11394556</v>
      </c>
      <c r="G1003" s="17">
        <f>F1003/9.8</f>
        <v>1162709.7959183673</v>
      </c>
      <c r="H1003" s="20"/>
      <c r="I1003" s="19">
        <f>(B1003-B996)/B996</f>
        <v>1.9698505105932075E-3</v>
      </c>
      <c r="J1003" s="19">
        <f>B1003/F1003</f>
        <v>0.1901216686284222</v>
      </c>
      <c r="K1003" s="19">
        <f>(F1003-F996)/F996</f>
        <v>0</v>
      </c>
      <c r="L1003" s="20">
        <v>13707</v>
      </c>
      <c r="M1003" s="19">
        <f>D1003/B1003</f>
        <v>2.2289544820047712E-2</v>
      </c>
      <c r="N1003" s="19">
        <f>E1003/B1003</f>
        <v>0.97138322857965831</v>
      </c>
      <c r="O1003" s="20"/>
      <c r="P1003" s="28">
        <f>F1003-F996</f>
        <v>0</v>
      </c>
      <c r="Q1003" s="28"/>
      <c r="R1003" s="20">
        <f t="shared" ref="R1003:S1003" si="2180">D1003-D996</f>
        <v>42</v>
      </c>
      <c r="S1003" s="20">
        <f t="shared" si="2180"/>
        <v>6118</v>
      </c>
      <c r="T1003" s="20">
        <v>336</v>
      </c>
      <c r="U1003" s="20">
        <v>7</v>
      </c>
      <c r="V1003" s="19">
        <f>L1003/B1003</f>
        <v>6.32722660029395E-3</v>
      </c>
      <c r="W1003" s="20">
        <v>1345</v>
      </c>
      <c r="X1003" s="20">
        <v>19</v>
      </c>
      <c r="Y1003" s="19">
        <f>T1003/L1003</f>
        <v>2.4513022543226088E-2</v>
      </c>
      <c r="Z1003" s="19">
        <f>U1003/T1003</f>
        <v>2.0833333333333332E-2</v>
      </c>
      <c r="AA1003" s="21">
        <f>(C997+C998+C999+C1000+C1001+C1002+C1003)/(C990+C991+C992+C993+C994+C995+C996)</f>
        <v>1.0392874572962421</v>
      </c>
      <c r="AB1003" s="26"/>
      <c r="AC1003" s="23">
        <f>SUM(C997:C1003)/7</f>
        <v>608.42857142857144</v>
      </c>
      <c r="AD1003" s="23">
        <f>SUM(R997:R1003)/7</f>
        <v>6</v>
      </c>
      <c r="AE1003" s="23">
        <f t="shared" ref="AE1003:AF1003" si="2181">SUM(P997:P1003)/7</f>
        <v>0</v>
      </c>
      <c r="AF1003" s="25">
        <f t="shared" si="2181"/>
        <v>0</v>
      </c>
      <c r="AG1003" s="20">
        <v>6420202</v>
      </c>
      <c r="AH1003" s="20">
        <f>AG1003-AG996</f>
        <v>206</v>
      </c>
      <c r="AI1003" s="21">
        <f>(SUM(AH997:AH1003))/7</f>
        <v>29.428571428571427</v>
      </c>
      <c r="AJ1003" s="20">
        <v>6206565</v>
      </c>
      <c r="AK1003" s="20">
        <f>AJ1003-AJ996</f>
        <v>177</v>
      </c>
      <c r="AL1003" s="21">
        <f>(SUM(AK997:AK1003))/7</f>
        <v>25.285714285714285</v>
      </c>
      <c r="AM1003" s="26">
        <f>SUM(S997:S1003)/7</f>
        <v>874</v>
      </c>
    </row>
    <row r="1004" spans="1:39" ht="13">
      <c r="A1004" s="30">
        <v>44896</v>
      </c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8"/>
      <c r="Q1004" s="28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</row>
    <row r="1005" spans="1:39" ht="13">
      <c r="A1005" s="30">
        <v>44897</v>
      </c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8"/>
      <c r="Q1005" s="28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</row>
    <row r="1006" spans="1:39" ht="13">
      <c r="A1006" s="30">
        <v>44898</v>
      </c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8"/>
      <c r="Q1006" s="28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</row>
    <row r="1007" spans="1:39" ht="13">
      <c r="A1007" s="30">
        <v>44899</v>
      </c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8"/>
      <c r="Q1007" s="28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</row>
    <row r="1008" spans="1:39" ht="13">
      <c r="A1008" s="30">
        <v>44900</v>
      </c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8"/>
      <c r="Q1008" s="28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</row>
    <row r="1009" spans="1:39" ht="13">
      <c r="A1009" s="30">
        <v>44901</v>
      </c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8"/>
      <c r="Q1009" s="28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</row>
    <row r="1010" spans="1:39" ht="16">
      <c r="A1010" s="30">
        <v>44902</v>
      </c>
      <c r="B1010" s="20">
        <f>C1010+B1003</f>
        <v>2171056</v>
      </c>
      <c r="C1010" s="20">
        <v>4704</v>
      </c>
      <c r="D1010" s="20">
        <v>48337</v>
      </c>
      <c r="E1010" s="20">
        <v>2109635</v>
      </c>
      <c r="F1010" s="20">
        <v>11394556</v>
      </c>
      <c r="G1010" s="17">
        <f>F1010/9.8</f>
        <v>1162709.7959183673</v>
      </c>
      <c r="H1010" s="20"/>
      <c r="I1010" s="19">
        <f>(B1010-B1003)/B1003</f>
        <v>2.1713922760474751E-3</v>
      </c>
      <c r="J1010" s="19">
        <f>B1010/F1010</f>
        <v>0.19053449735119121</v>
      </c>
      <c r="K1010" s="19">
        <f>(F1010-F1003)/F1003</f>
        <v>0</v>
      </c>
      <c r="L1010" s="20">
        <v>13084</v>
      </c>
      <c r="M1010" s="19">
        <f>D1010/B1010</f>
        <v>2.2264280608146451E-2</v>
      </c>
      <c r="N1010" s="19">
        <f>E1010/B1010</f>
        <v>0.97170915904518351</v>
      </c>
      <c r="O1010" s="20"/>
      <c r="P1010" s="28">
        <f>F1010-F1003</f>
        <v>0</v>
      </c>
      <c r="Q1010" s="28"/>
      <c r="R1010" s="20">
        <f t="shared" ref="R1010:S1010" si="2182">D1010-D1003</f>
        <v>50</v>
      </c>
      <c r="S1010" s="20">
        <f t="shared" si="2182"/>
        <v>5277</v>
      </c>
      <c r="T1010" s="20">
        <v>828</v>
      </c>
      <c r="U1010" s="20">
        <v>14</v>
      </c>
      <c r="V1010" s="19">
        <f>L1010/B1010</f>
        <v>6.0265603466700072E-3</v>
      </c>
      <c r="W1010" s="20">
        <v>1345</v>
      </c>
      <c r="X1010" s="20">
        <v>19</v>
      </c>
      <c r="Y1010" s="19">
        <f>T1010/L1010</f>
        <v>6.3283399571996329E-2</v>
      </c>
      <c r="Z1010" s="19">
        <f>U1010/T1010</f>
        <v>1.6908212560386472E-2</v>
      </c>
      <c r="AA1010" s="21">
        <f>(C1004+C1005+C1006+C1007+C1008+C1009+C1010)/(C997+C998+C999+C1000+C1001+C1002+C1003)</f>
        <v>1.1044846208030055</v>
      </c>
      <c r="AB1010" s="26"/>
      <c r="AC1010" s="23">
        <f>SUM(C1004:C1010)/7</f>
        <v>672</v>
      </c>
      <c r="AD1010" s="23">
        <f>SUM(R1004:R1010)/7</f>
        <v>7.1428571428571432</v>
      </c>
      <c r="AE1010" s="23">
        <f t="shared" ref="AE1010:AF1010" si="2183">SUM(P1004:P1010)/7</f>
        <v>0</v>
      </c>
      <c r="AF1010" s="25">
        <f t="shared" si="2183"/>
        <v>0</v>
      </c>
      <c r="AG1010" s="20">
        <v>6420354</v>
      </c>
      <c r="AH1010" s="20">
        <f>AG1010-AG1003</f>
        <v>152</v>
      </c>
      <c r="AI1010" s="21">
        <f>(SUM(AH1004:AH1010))/7</f>
        <v>21.714285714285715</v>
      </c>
      <c r="AJ1010" s="20">
        <v>6206710</v>
      </c>
      <c r="AK1010" s="20">
        <f>AJ1010-AJ1003</f>
        <v>145</v>
      </c>
      <c r="AL1010" s="21">
        <f>(SUM(AK1004:AK1010))/7</f>
        <v>20.714285714285715</v>
      </c>
      <c r="AM1010" s="26">
        <f>SUM(S1004:S1010)/7</f>
        <v>753.85714285714289</v>
      </c>
    </row>
    <row r="1011" spans="1:39" ht="13">
      <c r="A1011" s="30">
        <v>44903</v>
      </c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8"/>
      <c r="Q1011" s="28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</row>
    <row r="1012" spans="1:39" ht="13">
      <c r="A1012" s="30">
        <v>44904</v>
      </c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8"/>
      <c r="Q1012" s="28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</row>
    <row r="1013" spans="1:39" ht="13">
      <c r="A1013" s="30">
        <v>44905</v>
      </c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8"/>
      <c r="Q1013" s="28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</row>
    <row r="1014" spans="1:39" ht="13">
      <c r="A1014" s="30">
        <v>44906</v>
      </c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8"/>
      <c r="Q1014" s="28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</row>
    <row r="1015" spans="1:39" ht="13">
      <c r="A1015" s="30">
        <v>44907</v>
      </c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8"/>
      <c r="Q1015" s="28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</row>
    <row r="1016" spans="1:39" ht="13">
      <c r="A1016" s="30">
        <v>44908</v>
      </c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8"/>
      <c r="Q1016" s="28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</row>
    <row r="1017" spans="1:39" ht="16">
      <c r="A1017" s="30">
        <v>44909</v>
      </c>
      <c r="B1017" s="20">
        <f>C1017+B1010</f>
        <v>2176249</v>
      </c>
      <c r="C1017" s="20">
        <v>5193</v>
      </c>
      <c r="D1017" s="20">
        <v>48380</v>
      </c>
      <c r="E1017" s="20">
        <v>2114134</v>
      </c>
      <c r="F1017" s="20">
        <v>11394556</v>
      </c>
      <c r="G1017" s="17">
        <f>F1017/9.8</f>
        <v>1162709.7959183673</v>
      </c>
      <c r="H1017" s="20"/>
      <c r="I1017" s="19">
        <f>(B1017-B1010)/B1010</f>
        <v>2.3919235616216257E-3</v>
      </c>
      <c r="J1017" s="19">
        <f>B1017/F1017</f>
        <v>0.19099024130470726</v>
      </c>
      <c r="K1017" s="19">
        <f>(F1017-F1010)/F1010</f>
        <v>0</v>
      </c>
      <c r="L1017" s="20">
        <v>13735</v>
      </c>
      <c r="M1017" s="19">
        <f>D1017/B1017</f>
        <v>2.2230911995824006E-2</v>
      </c>
      <c r="N1017" s="19">
        <f>E1017/B1017</f>
        <v>0.97145776976807341</v>
      </c>
      <c r="O1017" s="20"/>
      <c r="P1017" s="28">
        <f>F1017-F1010</f>
        <v>0</v>
      </c>
      <c r="Q1017" s="28"/>
      <c r="R1017" s="20">
        <f t="shared" ref="R1017:S1017" si="2184">D1017-D1010</f>
        <v>43</v>
      </c>
      <c r="S1017" s="20">
        <f t="shared" si="2184"/>
        <v>4499</v>
      </c>
      <c r="T1017" s="20">
        <v>1124</v>
      </c>
      <c r="U1017" s="20">
        <v>24</v>
      </c>
      <c r="V1017" s="19">
        <f>L1017/B1017</f>
        <v>6.3113182361025782E-3</v>
      </c>
      <c r="W1017" s="20">
        <v>1345</v>
      </c>
      <c r="X1017" s="20">
        <v>19</v>
      </c>
      <c r="Y1017" s="19">
        <f>T1017/L1017</f>
        <v>8.1834728795049147E-2</v>
      </c>
      <c r="Z1017" s="19">
        <f>U1017/T1017</f>
        <v>2.1352313167259787E-2</v>
      </c>
      <c r="AA1017" s="21">
        <f>(C1011+C1012+C1013+C1014+C1015+C1016+C1017)/(C1004+C1005+C1006+C1007+C1008+C1009+C1010)</f>
        <v>1.103954081632653</v>
      </c>
      <c r="AB1017" s="26"/>
      <c r="AC1017" s="23">
        <f>SUM(C1011:C1017)/7</f>
        <v>741.85714285714289</v>
      </c>
      <c r="AD1017" s="23">
        <f>SUM(R1011:R1017)/7</f>
        <v>6.1428571428571432</v>
      </c>
      <c r="AE1017" s="23">
        <f t="shared" ref="AE1017:AF1017" si="2185">SUM(P1011:P1017)/7</f>
        <v>0</v>
      </c>
      <c r="AF1017" s="25">
        <f t="shared" si="2185"/>
        <v>0</v>
      </c>
      <c r="AG1017" s="20">
        <v>6420546</v>
      </c>
      <c r="AH1017" s="20">
        <f>AG1017-AG1010</f>
        <v>192</v>
      </c>
      <c r="AI1017" s="21">
        <f>(SUM(AH1011:AH1017))/7</f>
        <v>27.428571428571427</v>
      </c>
      <c r="AJ1017" s="20">
        <v>6206878</v>
      </c>
      <c r="AK1017" s="20">
        <f>AJ1017-AJ1010</f>
        <v>168</v>
      </c>
      <c r="AL1017" s="21">
        <f>(SUM(AK1011:AK1017))/7</f>
        <v>24</v>
      </c>
      <c r="AM1017" s="26">
        <f>SUM(S1011:S1017)/7</f>
        <v>642.71428571428567</v>
      </c>
    </row>
    <row r="1018" spans="1:39" ht="13">
      <c r="A1018" s="30">
        <v>44910</v>
      </c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8"/>
      <c r="Q1018" s="28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</row>
    <row r="1019" spans="1:39" ht="13">
      <c r="A1019" s="30">
        <v>44911</v>
      </c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8"/>
      <c r="Q1019" s="28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</row>
    <row r="1020" spans="1:39" ht="13">
      <c r="A1020" s="30">
        <v>44912</v>
      </c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8"/>
      <c r="Q1020" s="28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</row>
    <row r="1021" spans="1:39" ht="13">
      <c r="A1021" s="30">
        <v>44913</v>
      </c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8"/>
      <c r="Q1021" s="28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</row>
    <row r="1022" spans="1:39" ht="13">
      <c r="A1022" s="30">
        <v>44914</v>
      </c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8"/>
      <c r="Q1022" s="28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</row>
    <row r="1023" spans="1:39" ht="13">
      <c r="A1023" s="30">
        <v>44915</v>
      </c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8"/>
      <c r="Q1023" s="28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</row>
    <row r="1024" spans="1:39" ht="16">
      <c r="A1024" s="30">
        <v>44916</v>
      </c>
      <c r="B1024" s="20">
        <f>C1024+B1017</f>
        <v>2181419</v>
      </c>
      <c r="C1024" s="20">
        <v>5170</v>
      </c>
      <c r="D1024" s="20">
        <v>48439</v>
      </c>
      <c r="E1024" s="20">
        <v>2118911</v>
      </c>
      <c r="F1024" s="20">
        <v>11394556</v>
      </c>
      <c r="G1024" s="17">
        <f>F1024/9.8</f>
        <v>1162709.7959183673</v>
      </c>
      <c r="H1024" s="20"/>
      <c r="I1024" s="19">
        <f>(B1024-B1017)/B1017</f>
        <v>2.375647271980366E-3</v>
      </c>
      <c r="J1024" s="19">
        <f>B1024/F1024</f>
        <v>0.19144396675043768</v>
      </c>
      <c r="K1024" s="19">
        <f>(F1024-F1017)/F1017</f>
        <v>0</v>
      </c>
      <c r="L1024" s="20">
        <v>14069</v>
      </c>
      <c r="M1024" s="19">
        <f>D1024/B1024</f>
        <v>2.2205270972701713E-2</v>
      </c>
      <c r="N1024" s="19">
        <f>E1024/B1024</f>
        <v>0.97134525737604738</v>
      </c>
      <c r="O1024" s="20"/>
      <c r="P1024" s="28">
        <f>F1024-F1017</f>
        <v>0</v>
      </c>
      <c r="Q1024" s="28"/>
      <c r="R1024" s="20">
        <f t="shared" ref="R1024:S1024" si="2186">D1024-D1017</f>
        <v>59</v>
      </c>
      <c r="S1024" s="20">
        <f t="shared" si="2186"/>
        <v>4777</v>
      </c>
      <c r="T1024" s="20">
        <v>1044</v>
      </c>
      <c r="U1024" s="20">
        <v>16</v>
      </c>
      <c r="V1024" s="19">
        <f>L1024/B1024</f>
        <v>6.4494716512508597E-3</v>
      </c>
      <c r="W1024" s="20">
        <v>1345</v>
      </c>
      <c r="X1024" s="20">
        <v>19</v>
      </c>
      <c r="Y1024" s="19">
        <f>T1024/L1024</f>
        <v>7.4205700476224323E-2</v>
      </c>
      <c r="Z1024" s="19">
        <f>U1024/T1024</f>
        <v>1.532567049808429E-2</v>
      </c>
      <c r="AA1024" s="21">
        <f>(C1018+C1019+C1020+C1021+C1022+C1023+C1024)/(C1011+C1012+C1013+C1014+C1015+C1016+C1017)</f>
        <v>0.99557096090891584</v>
      </c>
      <c r="AB1024" s="26"/>
      <c r="AC1024" s="23">
        <f>SUM(C1018:C1024)/7</f>
        <v>738.57142857142856</v>
      </c>
      <c r="AD1024" s="23">
        <f>SUM(R1018:R1024)/7</f>
        <v>8.4285714285714288</v>
      </c>
      <c r="AE1024" s="23">
        <f t="shared" ref="AE1024:AF1024" si="2187">SUM(P1018:P1024)/7</f>
        <v>0</v>
      </c>
      <c r="AF1024" s="25">
        <f t="shared" si="2187"/>
        <v>0</v>
      </c>
      <c r="AG1024" s="20">
        <v>6420700</v>
      </c>
      <c r="AH1024" s="20">
        <f>AG1024-AG1017</f>
        <v>154</v>
      </c>
      <c r="AI1024" s="21">
        <f>(SUM(AH1018:AH1024))/7</f>
        <v>22</v>
      </c>
      <c r="AJ1024" s="20">
        <v>6207033</v>
      </c>
      <c r="AK1024" s="20">
        <f>AJ1024-AJ1017</f>
        <v>155</v>
      </c>
      <c r="AL1024" s="21">
        <f>(SUM(AK1018:AK1024))/7</f>
        <v>22.142857142857142</v>
      </c>
      <c r="AM1024" s="26">
        <f>SUM(S1018:S1024)/7</f>
        <v>682.42857142857144</v>
      </c>
    </row>
    <row r="1025" spans="1:39" ht="13">
      <c r="A1025" s="30">
        <v>44917</v>
      </c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8"/>
      <c r="Q1025" s="28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</row>
    <row r="1026" spans="1:39" ht="13">
      <c r="A1026" s="30">
        <v>44918</v>
      </c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8"/>
      <c r="Q1026" s="28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</row>
    <row r="1027" spans="1:39" ht="13">
      <c r="A1027" s="30">
        <v>44919</v>
      </c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8"/>
      <c r="Q1027" s="28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</row>
    <row r="1028" spans="1:39" ht="13">
      <c r="A1028" s="30">
        <v>44920</v>
      </c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8"/>
      <c r="Q1028" s="28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</row>
    <row r="1029" spans="1:39" ht="13">
      <c r="A1029" s="30">
        <v>44921</v>
      </c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8"/>
      <c r="Q1029" s="28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</row>
    <row r="1030" spans="1:39" ht="13">
      <c r="A1030" s="30">
        <v>44922</v>
      </c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8"/>
      <c r="Q1030" s="28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</row>
    <row r="1031" spans="1:39" ht="16">
      <c r="A1031" s="30">
        <v>44923</v>
      </c>
      <c r="B1031" s="20">
        <f>C1031+B1024</f>
        <v>2185816</v>
      </c>
      <c r="C1031" s="20">
        <v>4397</v>
      </c>
      <c r="D1031" s="20">
        <v>48495</v>
      </c>
      <c r="E1031" s="20">
        <v>2123750</v>
      </c>
      <c r="F1031" s="20">
        <v>11394556</v>
      </c>
      <c r="G1031" s="17">
        <f>F1031/9.8</f>
        <v>1162709.7959183673</v>
      </c>
      <c r="H1031" s="20"/>
      <c r="I1031" s="19">
        <f>(B1031-B1024)/B1024</f>
        <v>2.015660448542898E-3</v>
      </c>
      <c r="J1031" s="19">
        <f>B1031/F1031</f>
        <v>0.1918298527823287</v>
      </c>
      <c r="K1031" s="19">
        <f>(F1031-F1024)/F1024</f>
        <v>0</v>
      </c>
      <c r="L1031" s="20">
        <v>13571</v>
      </c>
      <c r="M1031" s="19">
        <f>D1031/B1031</f>
        <v>2.2186222445073144E-2</v>
      </c>
      <c r="N1031" s="19">
        <f>E1031/B1031</f>
        <v>0.97160511223268564</v>
      </c>
      <c r="O1031" s="20"/>
      <c r="P1031" s="28">
        <f>F1031-F1024</f>
        <v>0</v>
      </c>
      <c r="Q1031" s="28"/>
      <c r="R1031" s="20">
        <f t="shared" ref="R1031:S1031" si="2188">D1031-D1024</f>
        <v>56</v>
      </c>
      <c r="S1031" s="20">
        <f t="shared" si="2188"/>
        <v>4839</v>
      </c>
      <c r="T1031" s="20">
        <v>386</v>
      </c>
      <c r="U1031" s="20">
        <v>9</v>
      </c>
      <c r="V1031" s="19">
        <f>L1031/B1031</f>
        <v>6.2086653222412132E-3</v>
      </c>
      <c r="W1031" s="20">
        <v>1345</v>
      </c>
      <c r="X1031" s="20">
        <v>19</v>
      </c>
      <c r="Y1031" s="19">
        <f>T1031/L1031</f>
        <v>2.8443003463267263E-2</v>
      </c>
      <c r="Z1031" s="19">
        <f>U1031/T1031</f>
        <v>2.3316062176165803E-2</v>
      </c>
      <c r="AA1031" s="21">
        <f>(C1025+C1026+C1027+C1028+C1029+C1030+C1031)/(C1018+C1019+C1020+C1021+C1022+C1023+C1024)</f>
        <v>0.85048355899419725</v>
      </c>
      <c r="AB1031" s="26"/>
      <c r="AC1031" s="23">
        <f>SUM(C1025:C1031)/7</f>
        <v>628.14285714285711</v>
      </c>
      <c r="AD1031" s="23">
        <f>SUM(R1025:R1031)/7</f>
        <v>8</v>
      </c>
      <c r="AE1031" s="23">
        <f t="shared" ref="AE1031:AF1031" si="2189">SUM(P1025:P1031)/7</f>
        <v>0</v>
      </c>
      <c r="AF1031" s="25">
        <f t="shared" si="2189"/>
        <v>0</v>
      </c>
      <c r="AG1031" s="20">
        <v>6420813</v>
      </c>
      <c r="AH1031" s="20">
        <f>AG1031-AG1024</f>
        <v>113</v>
      </c>
      <c r="AI1031" s="21">
        <f>(SUM(AH1025:AH1031))/7</f>
        <v>16.142857142857142</v>
      </c>
      <c r="AJ1031" s="20">
        <v>6207249</v>
      </c>
      <c r="AK1031" s="20">
        <f>AJ1031-AJ1024</f>
        <v>216</v>
      </c>
      <c r="AL1031" s="21">
        <f>(SUM(AK1025:AK1031))/7</f>
        <v>30.857142857142858</v>
      </c>
      <c r="AM1031" s="26">
        <f>SUM(S1025:S1031)/7</f>
        <v>691.28571428571433</v>
      </c>
    </row>
    <row r="1032" spans="1:39" ht="13">
      <c r="A1032" s="3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8"/>
      <c r="Q1032" s="28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</row>
    <row r="1033" spans="1:39" ht="13">
      <c r="A1033" s="3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8"/>
      <c r="Q1033" s="28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</row>
    <row r="1034" spans="1:39" ht="13">
      <c r="A1034" s="3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8"/>
      <c r="Q1034" s="28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</row>
    <row r="1035" spans="1:39" ht="13">
      <c r="A1035" s="3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8"/>
      <c r="Q1035" s="28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</row>
    <row r="1036" spans="1:39" ht="13">
      <c r="A1036" s="3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8"/>
      <c r="Q1036" s="28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</row>
    <row r="1037" spans="1:39" ht="13">
      <c r="A1037" s="3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8"/>
      <c r="Q1037" s="28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</row>
    <row r="1038" spans="1:39" ht="13">
      <c r="A1038" s="3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8"/>
      <c r="Q1038" s="28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</row>
    <row r="1039" spans="1:39" ht="13">
      <c r="A1039" s="3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8"/>
      <c r="Q1039" s="28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</row>
    <row r="1040" spans="1:39" ht="13">
      <c r="A1040" s="3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8"/>
      <c r="Q1040" s="28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</row>
    <row r="1041" spans="1:39" ht="13">
      <c r="A1041" s="3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8"/>
      <c r="Q1041" s="28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</row>
    <row r="1042" spans="1:39" ht="13">
      <c r="A1042" s="3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8"/>
      <c r="Q1042" s="28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</row>
    <row r="1043" spans="1:39" ht="13">
      <c r="A1043" s="3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8"/>
      <c r="Q1043" s="28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</row>
    <row r="1044" spans="1:39" ht="13">
      <c r="A1044" s="3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8"/>
      <c r="Q1044" s="28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</row>
    <row r="1045" spans="1:39" ht="13">
      <c r="A1045" s="3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8"/>
      <c r="Q1045" s="28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</row>
    <row r="1046" spans="1:39" ht="13">
      <c r="A1046" s="3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8"/>
      <c r="Q1046" s="28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</row>
    <row r="1047" spans="1:39" ht="13">
      <c r="A1047" s="3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8"/>
      <c r="Q1047" s="28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</row>
    <row r="1048" spans="1:39" ht="13">
      <c r="A1048" s="3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8"/>
      <c r="Q1048" s="28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</row>
    <row r="1049" spans="1:39" ht="13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8"/>
      <c r="Q1049" s="28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</row>
    <row r="1050" spans="1:39" ht="13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8"/>
      <c r="Q1050" s="28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</row>
    <row r="1051" spans="1:39" ht="13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8"/>
      <c r="Q1051" s="28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</row>
    <row r="1052" spans="1:39" ht="13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8"/>
      <c r="Q1052" s="28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</row>
    <row r="1053" spans="1:39" ht="13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8"/>
      <c r="Q1053" s="28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</row>
    <row r="1054" spans="1:39" ht="13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8"/>
      <c r="Q1054" s="28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</row>
    <row r="1055" spans="1:39" ht="13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8"/>
      <c r="Q1055" s="28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</row>
    <row r="1056" spans="1:39" ht="13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8"/>
      <c r="Q1056" s="28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</row>
    <row r="1057" spans="1:39" ht="13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8"/>
      <c r="Q1057" s="28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</row>
    <row r="1058" spans="1:39" ht="13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8"/>
      <c r="Q1058" s="28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</row>
    <row r="1059" spans="1:39" ht="13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8"/>
      <c r="Q1059" s="28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</row>
    <row r="1060" spans="1:39" ht="13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8"/>
      <c r="Q1060" s="28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</row>
    <row r="1061" spans="1:39" ht="13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8"/>
      <c r="Q1061" s="28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</row>
    <row r="1062" spans="1:39" ht="13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8"/>
      <c r="Q1062" s="28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</row>
    <row r="1063" spans="1:39" ht="13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8"/>
      <c r="Q1063" s="28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</row>
    <row r="1064" spans="1:39" ht="13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8"/>
      <c r="Q1064" s="28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</row>
    <row r="1065" spans="1:39" ht="13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8"/>
      <c r="Q1065" s="28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</row>
    <row r="1066" spans="1:39" ht="13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8"/>
      <c r="Q1066" s="28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</row>
    <row r="1067" spans="1:39" ht="13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8"/>
      <c r="Q1067" s="28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</row>
    <row r="1068" spans="1:39" ht="13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8"/>
      <c r="Q1068" s="28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</row>
    <row r="1069" spans="1:39" ht="13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8"/>
      <c r="Q1069" s="28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</row>
    <row r="1070" spans="1:39" ht="13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8"/>
      <c r="Q1070" s="28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</row>
    <row r="1071" spans="1:39" ht="13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8"/>
      <c r="Q1071" s="28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</row>
    <row r="1072" spans="1:39" ht="13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8"/>
      <c r="Q1072" s="28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</row>
    <row r="1073" spans="1:39" ht="13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8"/>
      <c r="Q1073" s="28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</row>
    <row r="1074" spans="1:39" ht="13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8"/>
      <c r="Q1074" s="28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</row>
    <row r="1075" spans="1:39" ht="13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8"/>
      <c r="Q1075" s="28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</row>
    <row r="1076" spans="1:39" ht="13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8"/>
      <c r="Q1076" s="28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</row>
    <row r="1077" spans="1:39" ht="13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8"/>
      <c r="Q1077" s="28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</row>
    <row r="1078" spans="1:39" ht="13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8"/>
      <c r="Q1078" s="28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</row>
    <row r="1079" spans="1:39" ht="13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8"/>
      <c r="Q1079" s="28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</row>
    <row r="1080" spans="1:39" ht="13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8"/>
      <c r="Q1080" s="28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</row>
    <row r="1081" spans="1:39" ht="13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8"/>
      <c r="Q1081" s="28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</row>
    <row r="1082" spans="1:39" ht="13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8"/>
      <c r="Q1082" s="28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</row>
    <row r="1083" spans="1:39" ht="13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8"/>
      <c r="Q1083" s="28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</row>
    <row r="1084" spans="1:39" ht="13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8"/>
      <c r="Q1084" s="28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</row>
    <row r="1085" spans="1:39" ht="13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8"/>
      <c r="Q1085" s="28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</row>
    <row r="1086" spans="1:39" ht="13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8"/>
      <c r="Q1086" s="28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</row>
    <row r="1087" spans="1:39" ht="13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8"/>
      <c r="Q1087" s="28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</row>
    <row r="1088" spans="1:39" ht="13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8"/>
      <c r="Q1088" s="28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</row>
    <row r="1089" spans="1:39" ht="13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8"/>
      <c r="Q1089" s="28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</row>
    <row r="1090" spans="1:39" ht="13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8"/>
      <c r="Q1090" s="28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</row>
    <row r="1091" spans="1:39" ht="13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8"/>
      <c r="Q1091" s="28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</row>
    <row r="1092" spans="1:39" ht="13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8"/>
      <c r="Q1092" s="28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</row>
    <row r="1093" spans="1:39" ht="13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8"/>
      <c r="Q1093" s="28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</row>
    <row r="1094" spans="1:39" ht="13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8"/>
      <c r="Q1094" s="28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</row>
    <row r="1095" spans="1:39" ht="13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8"/>
      <c r="Q1095" s="28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</row>
    <row r="1096" spans="1:39" ht="13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8"/>
      <c r="Q1096" s="28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</row>
    <row r="1097" spans="1:39" ht="13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8"/>
      <c r="Q1097" s="28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</row>
    <row r="1098" spans="1:39" ht="13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8"/>
      <c r="Q1098" s="28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</row>
    <row r="1099" spans="1:39" ht="13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8"/>
      <c r="Q1099" s="28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</row>
    <row r="1100" spans="1:39" ht="13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8"/>
      <c r="Q1100" s="28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</row>
    <row r="1101" spans="1:39" ht="13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8"/>
      <c r="Q1101" s="28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</row>
    <row r="1102" spans="1:39" ht="13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8"/>
      <c r="Q1102" s="28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</row>
    <row r="1103" spans="1:39" ht="13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8"/>
      <c r="Q1103" s="28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</row>
    <row r="1104" spans="1:39" ht="13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8"/>
      <c r="Q1104" s="28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</row>
    <row r="1105" spans="1:39" ht="13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8"/>
      <c r="Q1105" s="28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</row>
    <row r="1106" spans="1:39" ht="13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8"/>
      <c r="Q1106" s="28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</row>
    <row r="1107" spans="1:39" ht="13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8"/>
      <c r="Q1107" s="28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</row>
    <row r="1108" spans="1:39" ht="13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8"/>
      <c r="Q1108" s="28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</row>
    <row r="1109" spans="1:39" ht="13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8"/>
      <c r="Q1109" s="28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</row>
    <row r="1110" spans="1:39" ht="13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8"/>
      <c r="Q1110" s="28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</row>
    <row r="1111" spans="1:39" ht="13">
      <c r="A1111" s="20"/>
      <c r="B1111" s="20"/>
      <c r="C1111" s="20"/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  <c r="N1111" s="20"/>
      <c r="O1111" s="20"/>
      <c r="P1111" s="28"/>
      <c r="Q1111" s="28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</row>
    <row r="1112" spans="1:39" ht="13">
      <c r="A1112" s="20"/>
      <c r="B1112" s="20"/>
      <c r="C1112" s="20"/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  <c r="N1112" s="20"/>
      <c r="O1112" s="20"/>
      <c r="P1112" s="28"/>
      <c r="Q1112" s="28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</row>
    <row r="1113" spans="1:39" ht="13">
      <c r="A1113" s="20"/>
      <c r="B1113" s="20"/>
      <c r="C1113" s="20"/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  <c r="N1113" s="20"/>
      <c r="O1113" s="20"/>
      <c r="P1113" s="28"/>
      <c r="Q1113" s="28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</row>
    <row r="1114" spans="1:39" ht="13">
      <c r="A1114" s="20"/>
      <c r="B1114" s="20"/>
      <c r="C1114" s="20"/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  <c r="N1114" s="20"/>
      <c r="O1114" s="20"/>
      <c r="P1114" s="28"/>
      <c r="Q1114" s="28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</row>
    <row r="1115" spans="1:39" ht="13">
      <c r="A1115" s="20"/>
      <c r="B1115" s="20"/>
      <c r="C1115" s="20"/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  <c r="N1115" s="20"/>
      <c r="O1115" s="20"/>
      <c r="P1115" s="28"/>
      <c r="Q1115" s="28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</row>
    <row r="1116" spans="1:39" ht="13">
      <c r="A1116" s="20"/>
      <c r="B1116" s="20"/>
      <c r="C1116" s="20"/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  <c r="N1116" s="20"/>
      <c r="O1116" s="20"/>
      <c r="P1116" s="28"/>
      <c r="Q1116" s="28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</row>
    <row r="1117" spans="1:39" ht="13">
      <c r="A1117" s="20"/>
      <c r="B1117" s="20"/>
      <c r="C1117" s="20"/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  <c r="N1117" s="20"/>
      <c r="O1117" s="20"/>
      <c r="P1117" s="28"/>
      <c r="Q1117" s="28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</row>
    <row r="1118" spans="1:39" ht="13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8"/>
      <c r="Q1118" s="28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</row>
    <row r="1119" spans="1:39" ht="13">
      <c r="A1119" s="20"/>
      <c r="B1119" s="20"/>
      <c r="C1119" s="20"/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  <c r="N1119" s="20"/>
      <c r="O1119" s="20"/>
      <c r="P1119" s="28"/>
      <c r="Q1119" s="28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</row>
    <row r="1120" spans="1:39" ht="13">
      <c r="A1120" s="20"/>
      <c r="B1120" s="20"/>
      <c r="C1120" s="20"/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  <c r="N1120" s="20"/>
      <c r="O1120" s="20"/>
      <c r="P1120" s="28"/>
      <c r="Q1120" s="28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</row>
    <row r="1121" spans="1:39" ht="13">
      <c r="A1121" s="20"/>
      <c r="B1121" s="20"/>
      <c r="C1121" s="20"/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  <c r="N1121" s="20"/>
      <c r="O1121" s="20"/>
      <c r="P1121" s="28"/>
      <c r="Q1121" s="28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</row>
    <row r="1122" spans="1:39" ht="13">
      <c r="A1122" s="20"/>
      <c r="B1122" s="20"/>
      <c r="C1122" s="20"/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  <c r="N1122" s="20"/>
      <c r="O1122" s="20"/>
      <c r="P1122" s="28"/>
      <c r="Q1122" s="28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</row>
    <row r="1123" spans="1:39" ht="13">
      <c r="A1123" s="20"/>
      <c r="B1123" s="20"/>
      <c r="C1123" s="20"/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  <c r="N1123" s="20"/>
      <c r="O1123" s="20"/>
      <c r="P1123" s="28"/>
      <c r="Q1123" s="28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</row>
    <row r="1124" spans="1:39" ht="13">
      <c r="A1124" s="20"/>
      <c r="B1124" s="20"/>
      <c r="C1124" s="20"/>
      <c r="D1124" s="20"/>
      <c r="E1124" s="20"/>
      <c r="F1124" s="20"/>
      <c r="G1124" s="20"/>
      <c r="H1124" s="20"/>
      <c r="I1124" s="20"/>
      <c r="J1124" s="20"/>
      <c r="K1124" s="20"/>
      <c r="L1124" s="20"/>
      <c r="M1124" s="20"/>
      <c r="N1124" s="20"/>
      <c r="O1124" s="20"/>
      <c r="P1124" s="28"/>
      <c r="Q1124" s="28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</row>
    <row r="1125" spans="1:39" ht="13">
      <c r="A1125" s="20"/>
      <c r="B1125" s="20"/>
      <c r="C1125" s="20"/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  <c r="N1125" s="20"/>
      <c r="O1125" s="20"/>
      <c r="P1125" s="28"/>
      <c r="Q1125" s="28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</row>
    <row r="1126" spans="1:39" ht="13">
      <c r="A1126" s="20"/>
      <c r="B1126" s="20"/>
      <c r="C1126" s="20"/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  <c r="N1126" s="20"/>
      <c r="O1126" s="20"/>
      <c r="P1126" s="28"/>
      <c r="Q1126" s="28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</row>
    <row r="1127" spans="1:39" ht="13">
      <c r="A1127" s="20"/>
      <c r="B1127" s="20"/>
      <c r="C1127" s="20"/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  <c r="N1127" s="20"/>
      <c r="O1127" s="20"/>
      <c r="P1127" s="28"/>
      <c r="Q1127" s="28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</row>
    <row r="1128" spans="1:39" ht="13">
      <c r="A1128" s="20"/>
      <c r="B1128" s="20"/>
      <c r="C1128" s="20"/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  <c r="N1128" s="20"/>
      <c r="O1128" s="20"/>
      <c r="P1128" s="28"/>
      <c r="Q1128" s="28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</row>
    <row r="1129" spans="1:39" ht="13">
      <c r="A1129" s="20"/>
      <c r="B1129" s="20"/>
      <c r="C1129" s="20"/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  <c r="N1129" s="20"/>
      <c r="O1129" s="20"/>
      <c r="P1129" s="28"/>
      <c r="Q1129" s="28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</row>
    <row r="1130" spans="1:39" ht="13">
      <c r="A1130" s="20"/>
      <c r="B1130" s="20"/>
      <c r="C1130" s="20"/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  <c r="N1130" s="20"/>
      <c r="O1130" s="20"/>
      <c r="P1130" s="28"/>
      <c r="Q1130" s="28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</row>
    <row r="1131" spans="1:39" ht="13">
      <c r="A1131" s="20"/>
      <c r="B1131" s="20"/>
      <c r="C1131" s="20"/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  <c r="N1131" s="20"/>
      <c r="O1131" s="20"/>
      <c r="P1131" s="28"/>
      <c r="Q1131" s="28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</row>
    <row r="1132" spans="1:39" ht="13">
      <c r="A1132" s="20"/>
      <c r="B1132" s="20"/>
      <c r="C1132" s="2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8"/>
      <c r="Q1132" s="28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</row>
    <row r="1133" spans="1:39" ht="13">
      <c r="A1133" s="20"/>
      <c r="B1133" s="20"/>
      <c r="C1133" s="20"/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  <c r="N1133" s="20"/>
      <c r="O1133" s="20"/>
      <c r="P1133" s="28"/>
      <c r="Q1133" s="28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</row>
    <row r="1134" spans="1:39" ht="13">
      <c r="A1134" s="20"/>
      <c r="B1134" s="20"/>
      <c r="C1134" s="20"/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  <c r="N1134" s="20"/>
      <c r="O1134" s="20"/>
      <c r="P1134" s="28"/>
      <c r="Q1134" s="28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</row>
    <row r="1135" spans="1:39" ht="13">
      <c r="A1135" s="20"/>
      <c r="B1135" s="20"/>
      <c r="C1135" s="20"/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  <c r="N1135" s="20"/>
      <c r="O1135" s="20"/>
      <c r="P1135" s="28"/>
      <c r="Q1135" s="28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</row>
    <row r="1136" spans="1:39" ht="13">
      <c r="A1136" s="20"/>
      <c r="B1136" s="20"/>
      <c r="C1136" s="20"/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  <c r="N1136" s="20"/>
      <c r="O1136" s="20"/>
      <c r="P1136" s="28"/>
      <c r="Q1136" s="28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</row>
    <row r="1137" spans="1:39" ht="13">
      <c r="A1137" s="20"/>
      <c r="B1137" s="20"/>
      <c r="C1137" s="20"/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  <c r="N1137" s="20"/>
      <c r="O1137" s="20"/>
      <c r="P1137" s="28"/>
      <c r="Q1137" s="28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</row>
    <row r="1138" spans="1:39" ht="13">
      <c r="A1138" s="20"/>
      <c r="B1138" s="20"/>
      <c r="C1138" s="20"/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  <c r="N1138" s="20"/>
      <c r="O1138" s="20"/>
      <c r="P1138" s="28"/>
      <c r="Q1138" s="28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</row>
    <row r="1139" spans="1:39" ht="13">
      <c r="A1139" s="20"/>
      <c r="B1139" s="20"/>
      <c r="C1139" s="20"/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  <c r="N1139" s="20"/>
      <c r="O1139" s="20"/>
      <c r="P1139" s="28"/>
      <c r="Q1139" s="28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</row>
    <row r="1140" spans="1:39" ht="13">
      <c r="A1140" s="20"/>
      <c r="B1140" s="20"/>
      <c r="C1140" s="20"/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  <c r="N1140" s="20"/>
      <c r="O1140" s="20"/>
      <c r="P1140" s="28"/>
      <c r="Q1140" s="28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</row>
    <row r="1141" spans="1:39" ht="13">
      <c r="A1141" s="20"/>
      <c r="B1141" s="20"/>
      <c r="C1141" s="20"/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  <c r="N1141" s="20"/>
      <c r="O1141" s="20"/>
      <c r="P1141" s="28"/>
      <c r="Q1141" s="28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</row>
    <row r="1142" spans="1:39" ht="13">
      <c r="A1142" s="20"/>
      <c r="B1142" s="20"/>
      <c r="C1142" s="20"/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  <c r="N1142" s="20"/>
      <c r="O1142" s="20"/>
      <c r="P1142" s="28"/>
      <c r="Q1142" s="28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</row>
    <row r="1143" spans="1:39" ht="13">
      <c r="A1143" s="20"/>
      <c r="B1143" s="20"/>
      <c r="C1143" s="20"/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  <c r="N1143" s="20"/>
      <c r="O1143" s="20"/>
      <c r="P1143" s="28"/>
      <c r="Q1143" s="28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</row>
    <row r="1144" spans="1:39" ht="13">
      <c r="A1144" s="20"/>
      <c r="B1144" s="20"/>
      <c r="C1144" s="20"/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  <c r="N1144" s="20"/>
      <c r="O1144" s="20"/>
      <c r="P1144" s="28"/>
      <c r="Q1144" s="28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</row>
    <row r="1145" spans="1:39" ht="13">
      <c r="A1145" s="20"/>
      <c r="B1145" s="20"/>
      <c r="C1145" s="20"/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  <c r="N1145" s="20"/>
      <c r="O1145" s="20"/>
      <c r="P1145" s="28"/>
      <c r="Q1145" s="28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</row>
    <row r="1146" spans="1:39" ht="13">
      <c r="A1146" s="20"/>
      <c r="B1146" s="20"/>
      <c r="C1146" s="20"/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  <c r="N1146" s="20"/>
      <c r="O1146" s="20"/>
      <c r="P1146" s="28"/>
      <c r="Q1146" s="28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</row>
    <row r="1147" spans="1:39" ht="13">
      <c r="A1147" s="20"/>
      <c r="B1147" s="20"/>
      <c r="C1147" s="20"/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  <c r="N1147" s="20"/>
      <c r="O1147" s="20"/>
      <c r="P1147" s="28"/>
      <c r="Q1147" s="28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</row>
    <row r="1148" spans="1:39" ht="13">
      <c r="A1148" s="20"/>
      <c r="B1148" s="20"/>
      <c r="C1148" s="20"/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  <c r="N1148" s="20"/>
      <c r="O1148" s="20"/>
      <c r="P1148" s="28"/>
      <c r="Q1148" s="28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</row>
    <row r="1149" spans="1:39" ht="13">
      <c r="A1149" s="20"/>
      <c r="B1149" s="20"/>
      <c r="C1149" s="20"/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  <c r="N1149" s="20"/>
      <c r="O1149" s="20"/>
      <c r="P1149" s="28"/>
      <c r="Q1149" s="28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</row>
    <row r="1150" spans="1:39" ht="13">
      <c r="A1150" s="20"/>
      <c r="B1150" s="20"/>
      <c r="C1150" s="20"/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  <c r="N1150" s="20"/>
      <c r="O1150" s="20"/>
      <c r="P1150" s="28"/>
      <c r="Q1150" s="28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</row>
    <row r="1151" spans="1:39" ht="13">
      <c r="A1151" s="20"/>
      <c r="B1151" s="20"/>
      <c r="C1151" s="20"/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  <c r="N1151" s="20"/>
      <c r="O1151" s="20"/>
      <c r="P1151" s="28"/>
      <c r="Q1151" s="28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</row>
    <row r="1152" spans="1:39" ht="13">
      <c r="A1152" s="20"/>
      <c r="B1152" s="20"/>
      <c r="C1152" s="20"/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  <c r="N1152" s="20"/>
      <c r="O1152" s="20"/>
      <c r="P1152" s="28"/>
      <c r="Q1152" s="28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</row>
    <row r="1153" spans="1:39" ht="13">
      <c r="A1153" s="20"/>
      <c r="B1153" s="20"/>
      <c r="C1153" s="20"/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  <c r="N1153" s="20"/>
      <c r="O1153" s="20"/>
      <c r="P1153" s="28"/>
      <c r="Q1153" s="28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</row>
    <row r="1154" spans="1:39" ht="13">
      <c r="A1154" s="20"/>
      <c r="B1154" s="20"/>
      <c r="C1154" s="20"/>
      <c r="D1154" s="20"/>
      <c r="E1154" s="20"/>
      <c r="F1154" s="20"/>
      <c r="G1154" s="20"/>
      <c r="H1154" s="20"/>
      <c r="I1154" s="20"/>
      <c r="J1154" s="20"/>
      <c r="K1154" s="20"/>
      <c r="L1154" s="20"/>
      <c r="M1154" s="20"/>
      <c r="N1154" s="20"/>
      <c r="O1154" s="20"/>
      <c r="P1154" s="28"/>
      <c r="Q1154" s="28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</row>
    <row r="1155" spans="1:39" ht="13">
      <c r="A1155" s="20"/>
      <c r="B1155" s="20"/>
      <c r="C1155" s="20"/>
      <c r="D1155" s="20"/>
      <c r="E1155" s="20"/>
      <c r="F1155" s="20"/>
      <c r="G1155" s="20"/>
      <c r="H1155" s="20"/>
      <c r="I1155" s="20"/>
      <c r="J1155" s="20"/>
      <c r="K1155" s="20"/>
      <c r="L1155" s="20"/>
      <c r="M1155" s="20"/>
      <c r="N1155" s="20"/>
      <c r="O1155" s="20"/>
      <c r="P1155" s="28"/>
      <c r="Q1155" s="28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</row>
    <row r="1156" spans="1:39" ht="13">
      <c r="A1156" s="20"/>
      <c r="B1156" s="20"/>
      <c r="C1156" s="20"/>
      <c r="D1156" s="20"/>
      <c r="E1156" s="20"/>
      <c r="F1156" s="20"/>
      <c r="G1156" s="20"/>
      <c r="H1156" s="20"/>
      <c r="I1156" s="20"/>
      <c r="J1156" s="20"/>
      <c r="K1156" s="20"/>
      <c r="L1156" s="20"/>
      <c r="M1156" s="20"/>
      <c r="N1156" s="20"/>
      <c r="O1156" s="20"/>
      <c r="P1156" s="28"/>
      <c r="Q1156" s="28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</row>
    <row r="1157" spans="1:39" ht="13">
      <c r="A1157" s="20"/>
      <c r="B1157" s="20"/>
      <c r="C1157" s="20"/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  <c r="N1157" s="20"/>
      <c r="O1157" s="20"/>
      <c r="P1157" s="28"/>
      <c r="Q1157" s="28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</row>
    <row r="1158" spans="1:39" ht="13">
      <c r="A1158" s="20"/>
      <c r="B1158" s="20"/>
      <c r="C1158" s="20"/>
      <c r="D1158" s="20"/>
      <c r="E1158" s="20"/>
      <c r="F1158" s="20"/>
      <c r="G1158" s="20"/>
      <c r="H1158" s="20"/>
      <c r="I1158" s="20"/>
      <c r="J1158" s="20"/>
      <c r="K1158" s="20"/>
      <c r="L1158" s="20"/>
      <c r="M1158" s="20"/>
      <c r="N1158" s="20"/>
      <c r="O1158" s="20"/>
      <c r="P1158" s="28"/>
      <c r="Q1158" s="28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</row>
    <row r="1159" spans="1:39" ht="13">
      <c r="A1159" s="20"/>
      <c r="B1159" s="20"/>
      <c r="C1159" s="20"/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  <c r="N1159" s="20"/>
      <c r="O1159" s="20"/>
      <c r="P1159" s="28"/>
      <c r="Q1159" s="28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</row>
    <row r="1160" spans="1:39" ht="13">
      <c r="A1160" s="20"/>
      <c r="B1160" s="20"/>
      <c r="C1160" s="2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8"/>
      <c r="Q1160" s="28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</row>
    <row r="1161" spans="1:39" ht="13">
      <c r="A1161" s="20"/>
      <c r="B1161" s="20"/>
      <c r="C1161" s="20"/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  <c r="N1161" s="20"/>
      <c r="O1161" s="20"/>
      <c r="P1161" s="28"/>
      <c r="Q1161" s="28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</row>
    <row r="1162" spans="1:39" ht="13">
      <c r="A1162" s="20"/>
      <c r="B1162" s="20"/>
      <c r="C1162" s="20"/>
      <c r="D1162" s="20"/>
      <c r="E1162" s="20"/>
      <c r="F1162" s="20"/>
      <c r="G1162" s="20"/>
      <c r="H1162" s="20"/>
      <c r="I1162" s="20"/>
      <c r="J1162" s="20"/>
      <c r="K1162" s="20"/>
      <c r="L1162" s="20"/>
      <c r="M1162" s="20"/>
      <c r="N1162" s="20"/>
      <c r="O1162" s="20"/>
      <c r="P1162" s="28"/>
      <c r="Q1162" s="28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</row>
    <row r="1163" spans="1:39" ht="13">
      <c r="A1163" s="20"/>
      <c r="B1163" s="20"/>
      <c r="C1163" s="20"/>
      <c r="D1163" s="20"/>
      <c r="E1163" s="20"/>
      <c r="F1163" s="20"/>
      <c r="G1163" s="20"/>
      <c r="H1163" s="20"/>
      <c r="I1163" s="20"/>
      <c r="J1163" s="20"/>
      <c r="K1163" s="20"/>
      <c r="L1163" s="20"/>
      <c r="M1163" s="20"/>
      <c r="N1163" s="20"/>
      <c r="O1163" s="20"/>
      <c r="P1163" s="28"/>
      <c r="Q1163" s="28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</row>
    <row r="1164" spans="1:39" ht="13">
      <c r="A1164" s="20"/>
      <c r="B1164" s="20"/>
      <c r="C1164" s="20"/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  <c r="N1164" s="20"/>
      <c r="O1164" s="20"/>
      <c r="P1164" s="28"/>
      <c r="Q1164" s="28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</row>
    <row r="1165" spans="1:39" ht="13">
      <c r="A1165" s="20"/>
      <c r="B1165" s="20"/>
      <c r="C1165" s="20"/>
      <c r="D1165" s="20"/>
      <c r="E1165" s="20"/>
      <c r="F1165" s="20"/>
      <c r="G1165" s="20"/>
      <c r="H1165" s="20"/>
      <c r="I1165" s="20"/>
      <c r="J1165" s="20"/>
      <c r="K1165" s="20"/>
      <c r="L1165" s="20"/>
      <c r="M1165" s="20"/>
      <c r="N1165" s="20"/>
      <c r="O1165" s="20"/>
      <c r="P1165" s="28"/>
      <c r="Q1165" s="28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</row>
    <row r="1166" spans="1:39" ht="13">
      <c r="A1166" s="20"/>
      <c r="B1166" s="20"/>
      <c r="C1166" s="20"/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  <c r="N1166" s="20"/>
      <c r="O1166" s="20"/>
      <c r="P1166" s="28"/>
      <c r="Q1166" s="28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</row>
    <row r="1167" spans="1:39" ht="13">
      <c r="A1167" s="20"/>
      <c r="B1167" s="20"/>
      <c r="C1167" s="20"/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  <c r="N1167" s="20"/>
      <c r="O1167" s="20"/>
      <c r="P1167" s="28"/>
      <c r="Q1167" s="28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</row>
    <row r="1168" spans="1:39" ht="13">
      <c r="A1168" s="20"/>
      <c r="B1168" s="20"/>
      <c r="C1168" s="20"/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  <c r="N1168" s="20"/>
      <c r="O1168" s="20"/>
      <c r="P1168" s="28"/>
      <c r="Q1168" s="28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</row>
    <row r="1169" spans="1:39" ht="13">
      <c r="A1169" s="20"/>
      <c r="B1169" s="20"/>
      <c r="C1169" s="20"/>
      <c r="D1169" s="20"/>
      <c r="E1169" s="20"/>
      <c r="F1169" s="20"/>
      <c r="G1169" s="20"/>
      <c r="H1169" s="20"/>
      <c r="I1169" s="20"/>
      <c r="J1169" s="20"/>
      <c r="K1169" s="20"/>
      <c r="L1169" s="20"/>
      <c r="M1169" s="20"/>
      <c r="N1169" s="20"/>
      <c r="O1169" s="20"/>
      <c r="P1169" s="28"/>
      <c r="Q1169" s="28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</row>
    <row r="1170" spans="1:39" ht="13">
      <c r="A1170" s="20"/>
      <c r="B1170" s="20"/>
      <c r="C1170" s="20"/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  <c r="N1170" s="20"/>
      <c r="O1170" s="20"/>
      <c r="P1170" s="28"/>
      <c r="Q1170" s="28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</row>
    <row r="1171" spans="1:39" ht="13">
      <c r="A1171" s="20"/>
      <c r="B1171" s="20"/>
      <c r="C1171" s="20"/>
      <c r="D1171" s="20"/>
      <c r="E1171" s="20"/>
      <c r="F1171" s="20"/>
      <c r="G1171" s="20"/>
      <c r="H1171" s="20"/>
      <c r="I1171" s="20"/>
      <c r="J1171" s="20"/>
      <c r="K1171" s="20"/>
      <c r="L1171" s="20"/>
      <c r="M1171" s="20"/>
      <c r="N1171" s="20"/>
      <c r="O1171" s="20"/>
      <c r="P1171" s="28"/>
      <c r="Q1171" s="28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</row>
    <row r="1172" spans="1:39" ht="13">
      <c r="A1172" s="20"/>
      <c r="B1172" s="20"/>
      <c r="C1172" s="20"/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  <c r="N1172" s="20"/>
      <c r="O1172" s="20"/>
      <c r="P1172" s="28"/>
      <c r="Q1172" s="28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</row>
    <row r="1173" spans="1:39" ht="13">
      <c r="A1173" s="20"/>
      <c r="B1173" s="20"/>
      <c r="C1173" s="20"/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  <c r="N1173" s="20"/>
      <c r="O1173" s="20"/>
      <c r="P1173" s="28"/>
      <c r="Q1173" s="28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</row>
    <row r="1174" spans="1:39" ht="13">
      <c r="A1174" s="20"/>
      <c r="B1174" s="20"/>
      <c r="C1174" s="20"/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  <c r="N1174" s="20"/>
      <c r="O1174" s="20"/>
      <c r="P1174" s="28"/>
      <c r="Q1174" s="28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</row>
    <row r="1175" spans="1:39" ht="13">
      <c r="A1175" s="20"/>
      <c r="B1175" s="20"/>
      <c r="C1175" s="20"/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  <c r="N1175" s="20"/>
      <c r="O1175" s="20"/>
      <c r="P1175" s="28"/>
      <c r="Q1175" s="28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</row>
    <row r="1176" spans="1:39" ht="13">
      <c r="A1176" s="20"/>
      <c r="B1176" s="20"/>
      <c r="C1176" s="20"/>
      <c r="D1176" s="20"/>
      <c r="E1176" s="20"/>
      <c r="F1176" s="20"/>
      <c r="G1176" s="20"/>
      <c r="H1176" s="20"/>
      <c r="I1176" s="20"/>
      <c r="J1176" s="20"/>
      <c r="K1176" s="20"/>
      <c r="L1176" s="20"/>
      <c r="M1176" s="20"/>
      <c r="N1176" s="20"/>
      <c r="O1176" s="20"/>
      <c r="P1176" s="28"/>
      <c r="Q1176" s="28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</row>
    <row r="1177" spans="1:39" ht="13">
      <c r="A1177" s="20"/>
      <c r="B1177" s="20"/>
      <c r="C1177" s="20"/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  <c r="N1177" s="20"/>
      <c r="O1177" s="20"/>
      <c r="P1177" s="28"/>
      <c r="Q1177" s="28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</row>
    <row r="1178" spans="1:39" ht="13">
      <c r="A1178" s="20"/>
      <c r="B1178" s="20"/>
      <c r="C1178" s="20"/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  <c r="N1178" s="20"/>
      <c r="O1178" s="20"/>
      <c r="P1178" s="28"/>
      <c r="Q1178" s="28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</row>
    <row r="1179" spans="1:39" ht="13">
      <c r="A1179" s="20"/>
      <c r="B1179" s="20"/>
      <c r="C1179" s="20"/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  <c r="N1179" s="20"/>
      <c r="O1179" s="20"/>
      <c r="P1179" s="28"/>
      <c r="Q1179" s="28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</row>
    <row r="1180" spans="1:39" ht="13">
      <c r="A1180" s="20"/>
      <c r="B1180" s="20"/>
      <c r="C1180" s="20"/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  <c r="N1180" s="20"/>
      <c r="O1180" s="20"/>
      <c r="P1180" s="28"/>
      <c r="Q1180" s="28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</row>
    <row r="1181" spans="1:39" ht="13">
      <c r="A1181" s="20"/>
      <c r="B1181" s="20"/>
      <c r="C1181" s="20"/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  <c r="N1181" s="20"/>
      <c r="O1181" s="20"/>
      <c r="P1181" s="28"/>
      <c r="Q1181" s="28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</row>
    <row r="1182" spans="1:39" ht="13">
      <c r="A1182" s="20"/>
      <c r="B1182" s="20"/>
      <c r="C1182" s="20"/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  <c r="N1182" s="20"/>
      <c r="O1182" s="20"/>
      <c r="P1182" s="28"/>
      <c r="Q1182" s="28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</row>
    <row r="1183" spans="1:39" ht="13">
      <c r="A1183" s="20"/>
      <c r="B1183" s="20"/>
      <c r="C1183" s="20"/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  <c r="N1183" s="20"/>
      <c r="O1183" s="20"/>
      <c r="P1183" s="28"/>
      <c r="Q1183" s="28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</row>
    <row r="1184" spans="1:39" ht="13">
      <c r="A1184" s="20"/>
      <c r="B1184" s="20"/>
      <c r="C1184" s="20"/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  <c r="N1184" s="20"/>
      <c r="O1184" s="20"/>
      <c r="P1184" s="28"/>
      <c r="Q1184" s="28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</row>
    <row r="1185" spans="1:39" ht="13">
      <c r="A1185" s="20"/>
      <c r="B1185" s="20"/>
      <c r="C1185" s="20"/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  <c r="N1185" s="20"/>
      <c r="O1185" s="20"/>
      <c r="P1185" s="28"/>
      <c r="Q1185" s="28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</row>
    <row r="1186" spans="1:39" ht="13">
      <c r="A1186" s="20"/>
      <c r="B1186" s="20"/>
      <c r="C1186" s="20"/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  <c r="N1186" s="20"/>
      <c r="O1186" s="20"/>
      <c r="P1186" s="28"/>
      <c r="Q1186" s="28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</row>
    <row r="1187" spans="1:39" ht="13">
      <c r="A1187" s="20"/>
      <c r="B1187" s="20"/>
      <c r="C1187" s="20"/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  <c r="N1187" s="20"/>
      <c r="O1187" s="20"/>
      <c r="P1187" s="28"/>
      <c r="Q1187" s="28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</row>
    <row r="1188" spans="1:39" ht="13">
      <c r="A1188" s="20"/>
      <c r="B1188" s="20"/>
      <c r="C1188" s="20"/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  <c r="N1188" s="20"/>
      <c r="O1188" s="20"/>
      <c r="P1188" s="28"/>
      <c r="Q1188" s="28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</row>
    <row r="1189" spans="1:39" ht="13">
      <c r="A1189" s="20"/>
      <c r="B1189" s="20"/>
      <c r="C1189" s="20"/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  <c r="N1189" s="20"/>
      <c r="O1189" s="20"/>
      <c r="P1189" s="28"/>
      <c r="Q1189" s="28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</row>
    <row r="1190" spans="1:39" ht="13">
      <c r="A1190" s="20"/>
      <c r="B1190" s="20"/>
      <c r="C1190" s="20"/>
      <c r="D1190" s="20"/>
      <c r="E1190" s="20"/>
      <c r="F1190" s="20"/>
      <c r="G1190" s="20"/>
      <c r="H1190" s="20"/>
      <c r="I1190" s="20"/>
      <c r="J1190" s="20"/>
      <c r="K1190" s="20"/>
      <c r="L1190" s="20"/>
      <c r="M1190" s="20"/>
      <c r="N1190" s="20"/>
      <c r="O1190" s="20"/>
      <c r="P1190" s="28"/>
      <c r="Q1190" s="28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</row>
    <row r="1191" spans="1:39" ht="13">
      <c r="A1191" s="20"/>
      <c r="B1191" s="20"/>
      <c r="C1191" s="20"/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  <c r="N1191" s="20"/>
      <c r="O1191" s="20"/>
      <c r="P1191" s="28"/>
      <c r="Q1191" s="28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</row>
    <row r="1192" spans="1:39" ht="13">
      <c r="A1192" s="20"/>
      <c r="B1192" s="20"/>
      <c r="C1192" s="20"/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  <c r="N1192" s="20"/>
      <c r="O1192" s="20"/>
      <c r="P1192" s="28"/>
      <c r="Q1192" s="28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</row>
    <row r="1193" spans="1:39" ht="13">
      <c r="A1193" s="20"/>
      <c r="B1193" s="20"/>
      <c r="C1193" s="20"/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  <c r="N1193" s="20"/>
      <c r="O1193" s="20"/>
      <c r="P1193" s="28"/>
      <c r="Q1193" s="28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</row>
    <row r="1194" spans="1:39" ht="13">
      <c r="A1194" s="20"/>
      <c r="B1194" s="20"/>
      <c r="C1194" s="20"/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  <c r="N1194" s="20"/>
      <c r="O1194" s="20"/>
      <c r="P1194" s="28"/>
      <c r="Q1194" s="28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</row>
    <row r="1195" spans="1:39" ht="13">
      <c r="A1195" s="20"/>
      <c r="B1195" s="20"/>
      <c r="C1195" s="20"/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  <c r="N1195" s="20"/>
      <c r="O1195" s="20"/>
      <c r="P1195" s="28"/>
      <c r="Q1195" s="28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</row>
    <row r="1196" spans="1:39" ht="13">
      <c r="A1196" s="20"/>
      <c r="B1196" s="20"/>
      <c r="C1196" s="20"/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  <c r="N1196" s="20"/>
      <c r="O1196" s="20"/>
      <c r="P1196" s="28"/>
      <c r="Q1196" s="28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</row>
    <row r="1197" spans="1:39" ht="13">
      <c r="A1197" s="20"/>
      <c r="B1197" s="20"/>
      <c r="C1197" s="20"/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  <c r="N1197" s="20"/>
      <c r="O1197" s="20"/>
      <c r="P1197" s="28"/>
      <c r="Q1197" s="28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</row>
    <row r="1198" spans="1:39" ht="13">
      <c r="A1198" s="20"/>
      <c r="B1198" s="20"/>
      <c r="C1198" s="20"/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  <c r="N1198" s="20"/>
      <c r="O1198" s="20"/>
      <c r="P1198" s="28"/>
      <c r="Q1198" s="28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</row>
    <row r="1199" spans="1:39" ht="13">
      <c r="A1199" s="20"/>
      <c r="B1199" s="20"/>
      <c r="C1199" s="20"/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  <c r="N1199" s="20"/>
      <c r="O1199" s="20"/>
      <c r="P1199" s="28"/>
      <c r="Q1199" s="28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</row>
    <row r="1200" spans="1:39" ht="13">
      <c r="A1200" s="20"/>
      <c r="B1200" s="20"/>
      <c r="C1200" s="20"/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  <c r="N1200" s="20"/>
      <c r="O1200" s="20"/>
      <c r="P1200" s="28"/>
      <c r="Q1200" s="28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</row>
    <row r="1201" spans="1:39" ht="13">
      <c r="A1201" s="20"/>
      <c r="B1201" s="20"/>
      <c r="C1201" s="20"/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  <c r="N1201" s="20"/>
      <c r="O1201" s="20"/>
      <c r="P1201" s="28"/>
      <c r="Q1201" s="28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</row>
    <row r="1202" spans="1:39" ht="13">
      <c r="A1202" s="20"/>
      <c r="B1202" s="20"/>
      <c r="C1202" s="20"/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  <c r="N1202" s="20"/>
      <c r="O1202" s="20"/>
      <c r="P1202" s="28"/>
      <c r="Q1202" s="28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</row>
    <row r="1203" spans="1:39" ht="13">
      <c r="A1203" s="20"/>
      <c r="B1203" s="20"/>
      <c r="C1203" s="20"/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  <c r="N1203" s="20"/>
      <c r="O1203" s="20"/>
      <c r="P1203" s="28"/>
      <c r="Q1203" s="28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</row>
    <row r="1204" spans="1:39" ht="13">
      <c r="A1204" s="20"/>
      <c r="B1204" s="20"/>
      <c r="C1204" s="20"/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  <c r="N1204" s="20"/>
      <c r="O1204" s="20"/>
      <c r="P1204" s="28"/>
      <c r="Q1204" s="28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</row>
    <row r="1205" spans="1:39" ht="13">
      <c r="A1205" s="20"/>
      <c r="B1205" s="20"/>
      <c r="C1205" s="20"/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  <c r="N1205" s="20"/>
      <c r="O1205" s="20"/>
      <c r="P1205" s="28"/>
      <c r="Q1205" s="28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</row>
    <row r="1206" spans="1:39" ht="13">
      <c r="A1206" s="20"/>
      <c r="B1206" s="20"/>
      <c r="C1206" s="20"/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  <c r="N1206" s="20"/>
      <c r="O1206" s="20"/>
      <c r="P1206" s="28"/>
      <c r="Q1206" s="28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</row>
    <row r="1207" spans="1:39" ht="13">
      <c r="A1207" s="20"/>
      <c r="B1207" s="20"/>
      <c r="C1207" s="20"/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  <c r="N1207" s="20"/>
      <c r="O1207" s="20"/>
      <c r="P1207" s="28"/>
      <c r="Q1207" s="28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</row>
    <row r="1208" spans="1:39" ht="13">
      <c r="A1208" s="20"/>
      <c r="B1208" s="20"/>
      <c r="C1208" s="20"/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  <c r="N1208" s="20"/>
      <c r="O1208" s="20"/>
      <c r="P1208" s="28"/>
      <c r="Q1208" s="28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</row>
    <row r="1209" spans="1:39" ht="13">
      <c r="A1209" s="20"/>
      <c r="B1209" s="20"/>
      <c r="C1209" s="20"/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  <c r="N1209" s="20"/>
      <c r="O1209" s="20"/>
      <c r="P1209" s="28"/>
      <c r="Q1209" s="28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</row>
    <row r="1210" spans="1:39" ht="13">
      <c r="A1210" s="20"/>
      <c r="B1210" s="20"/>
      <c r="C1210" s="20"/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  <c r="N1210" s="20"/>
      <c r="O1210" s="20"/>
      <c r="P1210" s="28"/>
      <c r="Q1210" s="28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</row>
    <row r="1211" spans="1:39" ht="13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8"/>
      <c r="Q1211" s="28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</row>
    <row r="1212" spans="1:39" ht="13">
      <c r="A1212" s="20"/>
      <c r="B1212" s="20"/>
      <c r="C1212" s="20"/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  <c r="N1212" s="20"/>
      <c r="O1212" s="20"/>
      <c r="P1212" s="28"/>
      <c r="Q1212" s="28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</row>
    <row r="1213" spans="1:39" ht="13">
      <c r="A1213" s="20"/>
      <c r="B1213" s="20"/>
      <c r="C1213" s="20"/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  <c r="N1213" s="20"/>
      <c r="O1213" s="20"/>
      <c r="P1213" s="28"/>
      <c r="Q1213" s="28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</row>
    <row r="1214" spans="1:39" ht="13">
      <c r="A1214" s="20"/>
      <c r="B1214" s="20"/>
      <c r="C1214" s="20"/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  <c r="N1214" s="20"/>
      <c r="O1214" s="20"/>
      <c r="P1214" s="28"/>
      <c r="Q1214" s="28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</row>
    <row r="1215" spans="1:39" ht="13">
      <c r="A1215" s="20"/>
      <c r="B1215" s="20"/>
      <c r="C1215" s="20"/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  <c r="N1215" s="20"/>
      <c r="O1215" s="20"/>
      <c r="P1215" s="28"/>
      <c r="Q1215" s="28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</row>
    <row r="1216" spans="1:39" ht="13">
      <c r="A1216" s="20"/>
      <c r="B1216" s="20"/>
      <c r="C1216" s="20"/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  <c r="N1216" s="20"/>
      <c r="O1216" s="20"/>
      <c r="P1216" s="28"/>
      <c r="Q1216" s="28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</row>
    <row r="1217" spans="1:39" ht="13">
      <c r="A1217" s="20"/>
      <c r="B1217" s="20"/>
      <c r="C1217" s="20"/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  <c r="N1217" s="20"/>
      <c r="O1217" s="20"/>
      <c r="P1217" s="28"/>
      <c r="Q1217" s="28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</row>
    <row r="1218" spans="1:39" ht="13">
      <c r="A1218" s="20"/>
      <c r="B1218" s="20"/>
      <c r="C1218" s="20"/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  <c r="N1218" s="20"/>
      <c r="O1218" s="20"/>
      <c r="P1218" s="28"/>
      <c r="Q1218" s="28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</row>
    <row r="1219" spans="1:39" ht="13">
      <c r="A1219" s="20"/>
      <c r="B1219" s="20"/>
      <c r="C1219" s="20"/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  <c r="N1219" s="20"/>
      <c r="O1219" s="20"/>
      <c r="P1219" s="28"/>
      <c r="Q1219" s="28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</row>
    <row r="1220" spans="1:39" ht="13">
      <c r="A1220" s="20"/>
      <c r="B1220" s="20"/>
      <c r="C1220" s="20"/>
      <c r="D1220" s="20"/>
      <c r="E1220" s="20"/>
      <c r="F1220" s="20"/>
      <c r="G1220" s="20"/>
      <c r="H1220" s="20"/>
      <c r="I1220" s="20"/>
      <c r="J1220" s="20"/>
      <c r="K1220" s="20"/>
      <c r="L1220" s="20"/>
      <c r="M1220" s="20"/>
      <c r="N1220" s="20"/>
      <c r="O1220" s="20"/>
      <c r="P1220" s="28"/>
      <c r="Q1220" s="28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</row>
    <row r="1221" spans="1:39" ht="13">
      <c r="A1221" s="20"/>
      <c r="B1221" s="20"/>
      <c r="C1221" s="20"/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  <c r="N1221" s="20"/>
      <c r="O1221" s="20"/>
      <c r="P1221" s="28"/>
      <c r="Q1221" s="28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</row>
    <row r="1222" spans="1:39" ht="13">
      <c r="A1222" s="20"/>
      <c r="B1222" s="20"/>
      <c r="C1222" s="20"/>
      <c r="D1222" s="20"/>
      <c r="E1222" s="20"/>
      <c r="F1222" s="20"/>
      <c r="G1222" s="20"/>
      <c r="H1222" s="20"/>
      <c r="I1222" s="20"/>
      <c r="J1222" s="20"/>
      <c r="K1222" s="20"/>
      <c r="L1222" s="20"/>
      <c r="M1222" s="20"/>
      <c r="N1222" s="20"/>
      <c r="O1222" s="20"/>
      <c r="P1222" s="28"/>
      <c r="Q1222" s="28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</row>
    <row r="1223" spans="1:39" ht="13">
      <c r="A1223" s="20"/>
      <c r="B1223" s="20"/>
      <c r="C1223" s="20"/>
      <c r="D1223" s="20"/>
      <c r="E1223" s="20"/>
      <c r="F1223" s="20"/>
      <c r="G1223" s="20"/>
      <c r="H1223" s="20"/>
      <c r="I1223" s="20"/>
      <c r="J1223" s="20"/>
      <c r="K1223" s="20"/>
      <c r="L1223" s="20"/>
      <c r="M1223" s="20"/>
      <c r="N1223" s="20"/>
      <c r="O1223" s="20"/>
      <c r="P1223" s="28"/>
      <c r="Q1223" s="28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</row>
    <row r="1224" spans="1:39" ht="13">
      <c r="A1224" s="20"/>
      <c r="B1224" s="20"/>
      <c r="C1224" s="20"/>
      <c r="D1224" s="20"/>
      <c r="E1224" s="20"/>
      <c r="F1224" s="20"/>
      <c r="G1224" s="20"/>
      <c r="H1224" s="20"/>
      <c r="I1224" s="20"/>
      <c r="J1224" s="20"/>
      <c r="K1224" s="20"/>
      <c r="L1224" s="20"/>
      <c r="M1224" s="20"/>
      <c r="N1224" s="20"/>
      <c r="O1224" s="20"/>
      <c r="P1224" s="28"/>
      <c r="Q1224" s="28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</row>
    <row r="1225" spans="1:39" ht="13">
      <c r="A1225" s="20"/>
      <c r="B1225" s="20"/>
      <c r="C1225" s="20"/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  <c r="N1225" s="20"/>
      <c r="O1225" s="20"/>
      <c r="P1225" s="28"/>
      <c r="Q1225" s="28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</row>
    <row r="1226" spans="1:39" ht="13">
      <c r="A1226" s="20"/>
      <c r="B1226" s="20"/>
      <c r="C1226" s="20"/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  <c r="N1226" s="20"/>
      <c r="O1226" s="20"/>
      <c r="P1226" s="28"/>
      <c r="Q1226" s="28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</row>
    <row r="1227" spans="1:39" ht="13">
      <c r="A1227" s="20"/>
      <c r="B1227" s="20"/>
      <c r="C1227" s="20"/>
      <c r="D1227" s="20"/>
      <c r="E1227" s="20"/>
      <c r="F1227" s="20"/>
      <c r="G1227" s="20"/>
      <c r="H1227" s="20"/>
      <c r="I1227" s="20"/>
      <c r="J1227" s="20"/>
      <c r="K1227" s="20"/>
      <c r="L1227" s="20"/>
      <c r="M1227" s="20"/>
      <c r="N1227" s="20"/>
      <c r="O1227" s="20"/>
      <c r="P1227" s="28"/>
      <c r="Q1227" s="28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</row>
    <row r="1228" spans="1:39" ht="13">
      <c r="A1228" s="20"/>
      <c r="B1228" s="20"/>
      <c r="C1228" s="20"/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  <c r="N1228" s="20"/>
      <c r="O1228" s="20"/>
      <c r="P1228" s="28"/>
      <c r="Q1228" s="28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</row>
    <row r="1229" spans="1:39" ht="13">
      <c r="A1229" s="20"/>
      <c r="B1229" s="20"/>
      <c r="C1229" s="20"/>
      <c r="D1229" s="20"/>
      <c r="E1229" s="20"/>
      <c r="F1229" s="20"/>
      <c r="G1229" s="20"/>
      <c r="H1229" s="20"/>
      <c r="I1229" s="20"/>
      <c r="J1229" s="20"/>
      <c r="K1229" s="20"/>
      <c r="L1229" s="20"/>
      <c r="M1229" s="20"/>
      <c r="N1229" s="20"/>
      <c r="O1229" s="20"/>
      <c r="P1229" s="28"/>
      <c r="Q1229" s="28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</row>
    <row r="1230" spans="1:39" ht="13">
      <c r="A1230" s="20"/>
      <c r="B1230" s="20"/>
      <c r="C1230" s="20"/>
      <c r="D1230" s="20"/>
      <c r="E1230" s="20"/>
      <c r="F1230" s="20"/>
      <c r="G1230" s="20"/>
      <c r="H1230" s="20"/>
      <c r="I1230" s="20"/>
      <c r="J1230" s="20"/>
      <c r="K1230" s="20"/>
      <c r="L1230" s="20"/>
      <c r="M1230" s="20"/>
      <c r="N1230" s="20"/>
      <c r="O1230" s="20"/>
      <c r="P1230" s="28"/>
      <c r="Q1230" s="28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</row>
    <row r="1231" spans="1:39" ht="13">
      <c r="A1231" s="20"/>
      <c r="B1231" s="20"/>
      <c r="C1231" s="20"/>
      <c r="D1231" s="20"/>
      <c r="E1231" s="20"/>
      <c r="F1231" s="20"/>
      <c r="G1231" s="20"/>
      <c r="H1231" s="20"/>
      <c r="I1231" s="20"/>
      <c r="J1231" s="20"/>
      <c r="K1231" s="20"/>
      <c r="L1231" s="20"/>
      <c r="M1231" s="20"/>
      <c r="N1231" s="20"/>
      <c r="O1231" s="20"/>
      <c r="P1231" s="28"/>
      <c r="Q1231" s="28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</row>
    <row r="1232" spans="1:39" ht="13">
      <c r="A1232" s="20"/>
      <c r="B1232" s="20"/>
      <c r="C1232" s="20"/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  <c r="N1232" s="20"/>
      <c r="O1232" s="20"/>
      <c r="P1232" s="28"/>
      <c r="Q1232" s="28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</row>
    <row r="1233" spans="1:39" ht="13">
      <c r="A1233" s="20"/>
      <c r="B1233" s="20"/>
      <c r="C1233" s="20"/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  <c r="N1233" s="20"/>
      <c r="O1233" s="20"/>
      <c r="P1233" s="28"/>
      <c r="Q1233" s="28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</row>
    <row r="1234" spans="1:39" ht="13">
      <c r="A1234" s="20"/>
      <c r="B1234" s="20"/>
      <c r="C1234" s="20"/>
      <c r="D1234" s="20"/>
      <c r="E1234" s="20"/>
      <c r="F1234" s="20"/>
      <c r="G1234" s="20"/>
      <c r="H1234" s="20"/>
      <c r="I1234" s="20"/>
      <c r="J1234" s="20"/>
      <c r="K1234" s="20"/>
      <c r="L1234" s="20"/>
      <c r="M1234" s="20"/>
      <c r="N1234" s="20"/>
      <c r="O1234" s="20"/>
      <c r="P1234" s="28"/>
      <c r="Q1234" s="28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</row>
    <row r="1235" spans="1:39" ht="13">
      <c r="A1235" s="20"/>
      <c r="B1235" s="20"/>
      <c r="C1235" s="20"/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  <c r="N1235" s="20"/>
      <c r="O1235" s="20"/>
      <c r="P1235" s="28"/>
      <c r="Q1235" s="28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</row>
    <row r="1236" spans="1:39" ht="13">
      <c r="A1236" s="20"/>
      <c r="B1236" s="20"/>
      <c r="C1236" s="20"/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  <c r="N1236" s="20"/>
      <c r="O1236" s="20"/>
      <c r="P1236" s="28"/>
      <c r="Q1236" s="28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</row>
    <row r="1237" spans="1:39" ht="13">
      <c r="A1237" s="20"/>
      <c r="B1237" s="20"/>
      <c r="C1237" s="20"/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  <c r="N1237" s="20"/>
      <c r="O1237" s="20"/>
      <c r="P1237" s="28"/>
      <c r="Q1237" s="28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</row>
    <row r="1238" spans="1:39" ht="13">
      <c r="A1238" s="20"/>
      <c r="B1238" s="20"/>
      <c r="C1238" s="20"/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  <c r="N1238" s="20"/>
      <c r="O1238" s="20"/>
      <c r="P1238" s="28"/>
      <c r="Q1238" s="28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</row>
    <row r="1239" spans="1:39" ht="13">
      <c r="A1239" s="20"/>
      <c r="B1239" s="20"/>
      <c r="C1239" s="20"/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  <c r="N1239" s="20"/>
      <c r="O1239" s="20"/>
      <c r="P1239" s="28"/>
      <c r="Q1239" s="28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</row>
    <row r="1240" spans="1:39" ht="13">
      <c r="A1240" s="20"/>
      <c r="B1240" s="20"/>
      <c r="C1240" s="20"/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  <c r="N1240" s="20"/>
      <c r="O1240" s="20"/>
      <c r="P1240" s="28"/>
      <c r="Q1240" s="28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</row>
    <row r="1241" spans="1:39" ht="13">
      <c r="A1241" s="20"/>
      <c r="B1241" s="20"/>
      <c r="C1241" s="2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8"/>
      <c r="Q1241" s="28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</row>
    <row r="1242" spans="1:39" ht="13">
      <c r="A1242" s="20"/>
      <c r="B1242" s="20"/>
      <c r="C1242" s="20"/>
      <c r="D1242" s="20"/>
      <c r="E1242" s="20"/>
      <c r="F1242" s="20"/>
      <c r="G1242" s="20"/>
      <c r="H1242" s="20"/>
      <c r="I1242" s="20"/>
      <c r="J1242" s="20"/>
      <c r="K1242" s="20"/>
      <c r="L1242" s="20"/>
      <c r="M1242" s="20"/>
      <c r="N1242" s="20"/>
      <c r="O1242" s="20"/>
      <c r="P1242" s="28"/>
      <c r="Q1242" s="28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</row>
    <row r="1243" spans="1:39" ht="13">
      <c r="A1243" s="20"/>
      <c r="B1243" s="20"/>
      <c r="C1243" s="20"/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  <c r="N1243" s="20"/>
      <c r="O1243" s="20"/>
      <c r="P1243" s="28"/>
      <c r="Q1243" s="28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</row>
    <row r="1244" spans="1:39" ht="13">
      <c r="A1244" s="20"/>
      <c r="B1244" s="20"/>
      <c r="C1244" s="20"/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  <c r="N1244" s="20"/>
      <c r="O1244" s="20"/>
      <c r="P1244" s="28"/>
      <c r="Q1244" s="28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</row>
    <row r="1245" spans="1:39" ht="13">
      <c r="A1245" s="20"/>
      <c r="B1245" s="20"/>
      <c r="C1245" s="20"/>
      <c r="D1245" s="20"/>
      <c r="E1245" s="20"/>
      <c r="F1245" s="20"/>
      <c r="G1245" s="20"/>
      <c r="H1245" s="20"/>
      <c r="I1245" s="20"/>
      <c r="J1245" s="20"/>
      <c r="K1245" s="20"/>
      <c r="L1245" s="20"/>
      <c r="M1245" s="20"/>
      <c r="N1245" s="20"/>
      <c r="O1245" s="20"/>
      <c r="P1245" s="28"/>
      <c r="Q1245" s="28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</row>
    <row r="1246" spans="1:39" ht="13">
      <c r="A1246" s="20"/>
      <c r="B1246" s="20"/>
      <c r="C1246" s="20"/>
      <c r="D1246" s="20"/>
      <c r="E1246" s="20"/>
      <c r="F1246" s="20"/>
      <c r="G1246" s="20"/>
      <c r="H1246" s="20"/>
      <c r="I1246" s="20"/>
      <c r="J1246" s="20"/>
      <c r="K1246" s="20"/>
      <c r="L1246" s="20"/>
      <c r="M1246" s="20"/>
      <c r="N1246" s="20"/>
      <c r="O1246" s="20"/>
      <c r="P1246" s="28"/>
      <c r="Q1246" s="28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</row>
    <row r="1247" spans="1:39" ht="13">
      <c r="A1247" s="20"/>
      <c r="B1247" s="20"/>
      <c r="C1247" s="20"/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  <c r="N1247" s="20"/>
      <c r="O1247" s="20"/>
      <c r="P1247" s="28"/>
      <c r="Q1247" s="28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</row>
    <row r="1248" spans="1:39" ht="13">
      <c r="A1248" s="20"/>
      <c r="B1248" s="20"/>
      <c r="C1248" s="20"/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  <c r="N1248" s="20"/>
      <c r="O1248" s="20"/>
      <c r="P1248" s="28"/>
      <c r="Q1248" s="28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</row>
    <row r="1249" spans="1:39" ht="13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8"/>
      <c r="Q1249" s="28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</row>
    <row r="1250" spans="1:39" ht="13">
      <c r="A1250" s="20"/>
      <c r="B1250" s="20"/>
      <c r="C1250" s="20"/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  <c r="N1250" s="20"/>
      <c r="O1250" s="20"/>
      <c r="P1250" s="28"/>
      <c r="Q1250" s="28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</row>
    <row r="1251" spans="1:39" ht="13">
      <c r="A1251" s="20"/>
      <c r="B1251" s="20"/>
      <c r="C1251" s="20"/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  <c r="N1251" s="20"/>
      <c r="O1251" s="20"/>
      <c r="P1251" s="28"/>
      <c r="Q1251" s="28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</row>
    <row r="1252" spans="1:39" ht="13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8"/>
      <c r="Q1252" s="28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</row>
    <row r="1253" spans="1:39" ht="13">
      <c r="A1253" s="20"/>
      <c r="B1253" s="20"/>
      <c r="C1253" s="20"/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  <c r="N1253" s="20"/>
      <c r="O1253" s="20"/>
      <c r="P1253" s="28"/>
      <c r="Q1253" s="28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</row>
    <row r="1254" spans="1:39" ht="13">
      <c r="A1254" s="20"/>
      <c r="B1254" s="20"/>
      <c r="C1254" s="20"/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  <c r="N1254" s="20"/>
      <c r="O1254" s="20"/>
      <c r="P1254" s="28"/>
      <c r="Q1254" s="28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</row>
    <row r="1255" spans="1:39" ht="13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8"/>
      <c r="Q1255" s="28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</row>
    <row r="1256" spans="1:39" ht="13">
      <c r="A1256" s="20"/>
      <c r="B1256" s="20"/>
      <c r="C1256" s="20"/>
      <c r="D1256" s="20"/>
      <c r="E1256" s="20"/>
      <c r="F1256" s="20"/>
      <c r="G1256" s="20"/>
      <c r="H1256" s="20"/>
      <c r="I1256" s="20"/>
      <c r="J1256" s="20"/>
      <c r="K1256" s="20"/>
      <c r="L1256" s="20"/>
      <c r="M1256" s="20"/>
      <c r="N1256" s="20"/>
      <c r="O1256" s="20"/>
      <c r="P1256" s="28"/>
      <c r="Q1256" s="28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</row>
    <row r="1257" spans="1:39" ht="13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8"/>
      <c r="Q1257" s="28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</row>
    <row r="1258" spans="1:39" ht="13">
      <c r="A1258" s="20"/>
      <c r="B1258" s="20"/>
      <c r="C1258" s="20"/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  <c r="N1258" s="20"/>
      <c r="O1258" s="20"/>
      <c r="P1258" s="28"/>
      <c r="Q1258" s="28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</row>
    <row r="1259" spans="1:39" ht="13">
      <c r="A1259" s="20"/>
      <c r="B1259" s="20"/>
      <c r="C1259" s="20"/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  <c r="N1259" s="20"/>
      <c r="O1259" s="20"/>
      <c r="P1259" s="28"/>
      <c r="Q1259" s="28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</row>
    <row r="1260" spans="1:39" ht="13">
      <c r="A1260" s="20"/>
      <c r="B1260" s="20"/>
      <c r="C1260" s="20"/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  <c r="N1260" s="20"/>
      <c r="O1260" s="20"/>
      <c r="P1260" s="28"/>
      <c r="Q1260" s="28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</row>
    <row r="1261" spans="1:39" ht="13">
      <c r="A1261" s="20"/>
      <c r="B1261" s="20"/>
      <c r="C1261" s="20"/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  <c r="N1261" s="20"/>
      <c r="O1261" s="20"/>
      <c r="P1261" s="28"/>
      <c r="Q1261" s="28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</row>
    <row r="1262" spans="1:39" ht="13">
      <c r="A1262" s="20"/>
      <c r="B1262" s="20"/>
      <c r="C1262" s="20"/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  <c r="N1262" s="20"/>
      <c r="O1262" s="20"/>
      <c r="P1262" s="28"/>
      <c r="Q1262" s="28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</row>
    <row r="1263" spans="1:39" ht="13">
      <c r="A1263" s="20"/>
      <c r="B1263" s="20"/>
      <c r="C1263" s="20"/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  <c r="N1263" s="20"/>
      <c r="O1263" s="20"/>
      <c r="P1263" s="28"/>
      <c r="Q1263" s="28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</row>
    <row r="1264" spans="1:39" ht="13">
      <c r="A1264" s="20"/>
      <c r="B1264" s="20"/>
      <c r="C1264" s="20"/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  <c r="N1264" s="20"/>
      <c r="O1264" s="20"/>
      <c r="P1264" s="28"/>
      <c r="Q1264" s="28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</row>
    <row r="1265" spans="1:39" ht="13">
      <c r="A1265" s="20"/>
      <c r="B1265" s="20"/>
      <c r="C1265" s="20"/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  <c r="N1265" s="20"/>
      <c r="O1265" s="20"/>
      <c r="P1265" s="28"/>
      <c r="Q1265" s="28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</row>
    <row r="1266" spans="1:39" ht="13">
      <c r="A1266" s="20"/>
      <c r="B1266" s="20"/>
      <c r="C1266" s="20"/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  <c r="N1266" s="20"/>
      <c r="O1266" s="20"/>
      <c r="P1266" s="28"/>
      <c r="Q1266" s="28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</row>
    <row r="1267" spans="1:39" ht="13">
      <c r="A1267" s="20"/>
      <c r="B1267" s="20"/>
      <c r="C1267" s="20"/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  <c r="N1267" s="20"/>
      <c r="O1267" s="20"/>
      <c r="P1267" s="28"/>
      <c r="Q1267" s="28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</row>
    <row r="1268" spans="1:39" ht="13">
      <c r="A1268" s="20"/>
      <c r="B1268" s="20"/>
      <c r="C1268" s="2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8"/>
      <c r="Q1268" s="28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</row>
    <row r="1269" spans="1:39" ht="13">
      <c r="A1269" s="20"/>
      <c r="B1269" s="20"/>
      <c r="C1269" s="20"/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  <c r="N1269" s="20"/>
      <c r="O1269" s="20"/>
      <c r="P1269" s="28"/>
      <c r="Q1269" s="28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</row>
    <row r="1270" spans="1:39" ht="13">
      <c r="A1270" s="20"/>
      <c r="B1270" s="20"/>
      <c r="C1270" s="20"/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  <c r="N1270" s="20"/>
      <c r="O1270" s="20"/>
      <c r="P1270" s="28"/>
      <c r="Q1270" s="28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</row>
    <row r="1271" spans="1:39" ht="13">
      <c r="A1271" s="20"/>
      <c r="B1271" s="20"/>
      <c r="C1271" s="20"/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  <c r="N1271" s="20"/>
      <c r="O1271" s="20"/>
      <c r="P1271" s="28"/>
      <c r="Q1271" s="28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</row>
    <row r="1272" spans="1:39" ht="13">
      <c r="A1272" s="20"/>
      <c r="B1272" s="20"/>
      <c r="C1272" s="20"/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  <c r="N1272" s="20"/>
      <c r="O1272" s="20"/>
      <c r="P1272" s="28"/>
      <c r="Q1272" s="28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</row>
    <row r="1273" spans="1:39" ht="13">
      <c r="A1273" s="20"/>
      <c r="B1273" s="20"/>
      <c r="C1273" s="20"/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  <c r="N1273" s="20"/>
      <c r="O1273" s="20"/>
      <c r="P1273" s="28"/>
      <c r="Q1273" s="28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</row>
    <row r="1274" spans="1:39" ht="13">
      <c r="A1274" s="20"/>
      <c r="B1274" s="20"/>
      <c r="C1274" s="20"/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  <c r="N1274" s="20"/>
      <c r="O1274" s="20"/>
      <c r="P1274" s="28"/>
      <c r="Q1274" s="28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</row>
    <row r="1275" spans="1:39" ht="13">
      <c r="A1275" s="20"/>
      <c r="B1275" s="20"/>
      <c r="C1275" s="20"/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  <c r="N1275" s="20"/>
      <c r="O1275" s="20"/>
      <c r="P1275" s="28"/>
      <c r="Q1275" s="28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</row>
    <row r="1276" spans="1:39" ht="13">
      <c r="A1276" s="20"/>
      <c r="B1276" s="20"/>
      <c r="C1276" s="20"/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  <c r="N1276" s="20"/>
      <c r="O1276" s="20"/>
      <c r="P1276" s="28"/>
      <c r="Q1276" s="28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</row>
    <row r="1277" spans="1:39" ht="13">
      <c r="A1277" s="20"/>
      <c r="B1277" s="20"/>
      <c r="C1277" s="20"/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  <c r="N1277" s="20"/>
      <c r="O1277" s="20"/>
      <c r="P1277" s="28"/>
      <c r="Q1277" s="28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</row>
    <row r="1278" spans="1:39" ht="13">
      <c r="A1278" s="20"/>
      <c r="B1278" s="20"/>
      <c r="C1278" s="20"/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  <c r="N1278" s="20"/>
      <c r="O1278" s="20"/>
      <c r="P1278" s="28"/>
      <c r="Q1278" s="28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</row>
    <row r="1279" spans="1:39" ht="13">
      <c r="A1279" s="20"/>
      <c r="B1279" s="20"/>
      <c r="C1279" s="20"/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  <c r="N1279" s="20"/>
      <c r="O1279" s="20"/>
      <c r="P1279" s="28"/>
      <c r="Q1279" s="28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</row>
    <row r="1280" spans="1:39" ht="13">
      <c r="A1280" s="20"/>
      <c r="B1280" s="20"/>
      <c r="C1280" s="20"/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  <c r="N1280" s="20"/>
      <c r="O1280" s="20"/>
      <c r="P1280" s="28"/>
      <c r="Q1280" s="28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</row>
    <row r="1281" spans="1:39" ht="13">
      <c r="A1281" s="20"/>
      <c r="B1281" s="20"/>
      <c r="C1281" s="20"/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  <c r="N1281" s="20"/>
      <c r="O1281" s="20"/>
      <c r="P1281" s="28"/>
      <c r="Q1281" s="28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</row>
    <row r="1282" spans="1:39" ht="13">
      <c r="A1282" s="20"/>
      <c r="B1282" s="20"/>
      <c r="C1282" s="20"/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  <c r="N1282" s="20"/>
      <c r="O1282" s="20"/>
      <c r="P1282" s="28"/>
      <c r="Q1282" s="28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</row>
    <row r="1283" spans="1:39" ht="13">
      <c r="A1283" s="20"/>
      <c r="B1283" s="20"/>
      <c r="C1283" s="20"/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  <c r="N1283" s="20"/>
      <c r="O1283" s="20"/>
      <c r="P1283" s="28"/>
      <c r="Q1283" s="28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</row>
    <row r="1284" spans="1:39" ht="13">
      <c r="A1284" s="20"/>
      <c r="B1284" s="20"/>
      <c r="C1284" s="20"/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  <c r="N1284" s="20"/>
      <c r="O1284" s="20"/>
      <c r="P1284" s="28"/>
      <c r="Q1284" s="28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</row>
    <row r="1285" spans="1:39" ht="13">
      <c r="A1285" s="20"/>
      <c r="B1285" s="20"/>
      <c r="C1285" s="20"/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  <c r="N1285" s="20"/>
      <c r="O1285" s="20"/>
      <c r="P1285" s="28"/>
      <c r="Q1285" s="28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</row>
    <row r="1286" spans="1:39" ht="13">
      <c r="A1286" s="20"/>
      <c r="B1286" s="20"/>
      <c r="C1286" s="20"/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  <c r="N1286" s="20"/>
      <c r="O1286" s="20"/>
      <c r="P1286" s="28"/>
      <c r="Q1286" s="28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</row>
    <row r="1287" spans="1:39" ht="13">
      <c r="A1287" s="20"/>
      <c r="B1287" s="20"/>
      <c r="C1287" s="20"/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  <c r="N1287" s="20"/>
      <c r="O1287" s="20"/>
      <c r="P1287" s="28"/>
      <c r="Q1287" s="28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</row>
    <row r="1288" spans="1:39" ht="13">
      <c r="A1288" s="20"/>
      <c r="B1288" s="20"/>
      <c r="C1288" s="20"/>
      <c r="D1288" s="20"/>
      <c r="E1288" s="20"/>
      <c r="F1288" s="20"/>
      <c r="G1288" s="20"/>
      <c r="H1288" s="20"/>
      <c r="I1288" s="20"/>
      <c r="J1288" s="20"/>
      <c r="K1288" s="20"/>
      <c r="L1288" s="20"/>
      <c r="M1288" s="20"/>
      <c r="N1288" s="20"/>
      <c r="O1288" s="20"/>
      <c r="P1288" s="28"/>
      <c r="Q1288" s="28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</row>
    <row r="1289" spans="1:39" ht="13">
      <c r="A1289" s="20"/>
      <c r="B1289" s="20"/>
      <c r="C1289" s="20"/>
      <c r="D1289" s="20"/>
      <c r="E1289" s="20"/>
      <c r="F1289" s="20"/>
      <c r="G1289" s="20"/>
      <c r="H1289" s="20"/>
      <c r="I1289" s="20"/>
      <c r="J1289" s="20"/>
      <c r="K1289" s="20"/>
      <c r="L1289" s="20"/>
      <c r="M1289" s="20"/>
      <c r="N1289" s="20"/>
      <c r="O1289" s="20"/>
      <c r="P1289" s="28"/>
      <c r="Q1289" s="28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</row>
    <row r="1290" spans="1:39" ht="13">
      <c r="A1290" s="20"/>
      <c r="B1290" s="20"/>
      <c r="C1290" s="20"/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  <c r="N1290" s="20"/>
      <c r="O1290" s="20"/>
      <c r="P1290" s="28"/>
      <c r="Q1290" s="28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</row>
    <row r="1291" spans="1:39" ht="13">
      <c r="A1291" s="20"/>
      <c r="B1291" s="20"/>
      <c r="C1291" s="20"/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  <c r="N1291" s="20"/>
      <c r="O1291" s="20"/>
      <c r="P1291" s="28"/>
      <c r="Q1291" s="28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</row>
    <row r="1292" spans="1:39" ht="13">
      <c r="A1292" s="20"/>
      <c r="B1292" s="20"/>
      <c r="C1292" s="20"/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  <c r="N1292" s="20"/>
      <c r="O1292" s="20"/>
      <c r="P1292" s="28"/>
      <c r="Q1292" s="28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</row>
    <row r="1293" spans="1:39" ht="13">
      <c r="A1293" s="20"/>
      <c r="B1293" s="20"/>
      <c r="C1293" s="20"/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  <c r="N1293" s="20"/>
      <c r="O1293" s="20"/>
      <c r="P1293" s="28"/>
      <c r="Q1293" s="28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</row>
    <row r="1294" spans="1:39" ht="13">
      <c r="A1294" s="20"/>
      <c r="B1294" s="20"/>
      <c r="C1294" s="20"/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  <c r="N1294" s="20"/>
      <c r="O1294" s="20"/>
      <c r="P1294" s="28"/>
      <c r="Q1294" s="28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</row>
    <row r="1295" spans="1:39" ht="13">
      <c r="A1295" s="20"/>
      <c r="B1295" s="20"/>
      <c r="C1295" s="2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8"/>
      <c r="Q1295" s="28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</row>
    <row r="1296" spans="1:39" ht="13">
      <c r="A1296" s="20"/>
      <c r="B1296" s="20"/>
      <c r="C1296" s="20"/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  <c r="N1296" s="20"/>
      <c r="O1296" s="20"/>
      <c r="P1296" s="28"/>
      <c r="Q1296" s="28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</row>
    <row r="1297" spans="1:39" ht="13">
      <c r="A1297" s="20"/>
      <c r="B1297" s="20"/>
      <c r="C1297" s="20"/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  <c r="N1297" s="20"/>
      <c r="O1297" s="20"/>
      <c r="P1297" s="28"/>
      <c r="Q1297" s="28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</row>
    <row r="1298" spans="1:39" ht="13">
      <c r="A1298" s="20"/>
      <c r="B1298" s="20"/>
      <c r="C1298" s="20"/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  <c r="N1298" s="20"/>
      <c r="O1298" s="20"/>
      <c r="P1298" s="28"/>
      <c r="Q1298" s="28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</row>
    <row r="1299" spans="1:39" ht="13">
      <c r="A1299" s="20"/>
      <c r="B1299" s="20"/>
      <c r="C1299" s="20"/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  <c r="N1299" s="20"/>
      <c r="O1299" s="20"/>
      <c r="P1299" s="28"/>
      <c r="Q1299" s="28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</row>
    <row r="1300" spans="1:39" ht="13">
      <c r="A1300" s="20"/>
      <c r="B1300" s="20"/>
      <c r="C1300" s="20"/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  <c r="N1300" s="20"/>
      <c r="O1300" s="20"/>
      <c r="P1300" s="28"/>
      <c r="Q1300" s="28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</row>
    <row r="1301" spans="1:39" ht="13">
      <c r="A1301" s="20"/>
      <c r="B1301" s="20"/>
      <c r="C1301" s="20"/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  <c r="N1301" s="20"/>
      <c r="O1301" s="20"/>
      <c r="P1301" s="28"/>
      <c r="Q1301" s="28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</row>
    <row r="1302" spans="1:39" ht="13">
      <c r="A1302" s="20"/>
      <c r="B1302" s="20"/>
      <c r="C1302" s="20"/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  <c r="N1302" s="20"/>
      <c r="O1302" s="20"/>
      <c r="P1302" s="28"/>
      <c r="Q1302" s="28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</row>
    <row r="1303" spans="1:39" ht="13">
      <c r="A1303" s="20"/>
      <c r="B1303" s="20"/>
      <c r="C1303" s="20"/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  <c r="N1303" s="20"/>
      <c r="O1303" s="20"/>
      <c r="P1303" s="28"/>
      <c r="Q1303" s="28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</row>
    <row r="1304" spans="1:39" ht="13">
      <c r="A1304" s="20"/>
      <c r="B1304" s="20"/>
      <c r="C1304" s="20"/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  <c r="N1304" s="20"/>
      <c r="O1304" s="20"/>
      <c r="P1304" s="28"/>
      <c r="Q1304" s="28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</row>
    <row r="1305" spans="1:39" ht="13">
      <c r="A1305" s="20"/>
      <c r="B1305" s="20"/>
      <c r="C1305" s="20"/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  <c r="N1305" s="20"/>
      <c r="O1305" s="20"/>
      <c r="P1305" s="28"/>
      <c r="Q1305" s="28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</row>
    <row r="1306" spans="1:39" ht="13">
      <c r="A1306" s="20"/>
      <c r="B1306" s="20"/>
      <c r="C1306" s="20"/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  <c r="N1306" s="20"/>
      <c r="O1306" s="20"/>
      <c r="P1306" s="28"/>
      <c r="Q1306" s="28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</row>
    <row r="1307" spans="1:39" ht="13">
      <c r="A1307" s="20"/>
      <c r="B1307" s="20"/>
      <c r="C1307" s="20"/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  <c r="N1307" s="20"/>
      <c r="O1307" s="20"/>
      <c r="P1307" s="28"/>
      <c r="Q1307" s="28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</row>
    <row r="1308" spans="1:39" ht="13">
      <c r="A1308" s="20"/>
      <c r="B1308" s="20"/>
      <c r="C1308" s="20"/>
      <c r="D1308" s="20"/>
      <c r="E1308" s="20"/>
      <c r="F1308" s="20"/>
      <c r="G1308" s="20"/>
      <c r="H1308" s="20"/>
      <c r="I1308" s="20"/>
      <c r="J1308" s="20"/>
      <c r="K1308" s="20"/>
      <c r="L1308" s="20"/>
      <c r="M1308" s="20"/>
      <c r="N1308" s="20"/>
      <c r="O1308" s="20"/>
      <c r="P1308" s="28"/>
      <c r="Q1308" s="28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</row>
    <row r="1309" spans="1:39" ht="13">
      <c r="A1309" s="20"/>
      <c r="B1309" s="20"/>
      <c r="C1309" s="20"/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  <c r="N1309" s="20"/>
      <c r="O1309" s="20"/>
      <c r="P1309" s="28"/>
      <c r="Q1309" s="28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</row>
    <row r="1310" spans="1:39" ht="13">
      <c r="A1310" s="20"/>
      <c r="B1310" s="20"/>
      <c r="C1310" s="20"/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  <c r="N1310" s="20"/>
      <c r="O1310" s="20"/>
      <c r="P1310" s="28"/>
      <c r="Q1310" s="28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</row>
    <row r="1311" spans="1:39" ht="13">
      <c r="A1311" s="20"/>
      <c r="B1311" s="20"/>
      <c r="C1311" s="20"/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  <c r="N1311" s="20"/>
      <c r="O1311" s="20"/>
      <c r="P1311" s="28"/>
      <c r="Q1311" s="28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</row>
    <row r="1312" spans="1:39" ht="13">
      <c r="A1312" s="20"/>
      <c r="B1312" s="20"/>
      <c r="C1312" s="20"/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  <c r="N1312" s="20"/>
      <c r="O1312" s="20"/>
      <c r="P1312" s="28"/>
      <c r="Q1312" s="28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</row>
    <row r="1313" spans="1:39" ht="13">
      <c r="A1313" s="20"/>
      <c r="B1313" s="20"/>
      <c r="C1313" s="20"/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  <c r="N1313" s="20"/>
      <c r="O1313" s="20"/>
      <c r="P1313" s="28"/>
      <c r="Q1313" s="28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</row>
    <row r="1314" spans="1:39" ht="13">
      <c r="A1314" s="20"/>
      <c r="B1314" s="20"/>
      <c r="C1314" s="20"/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  <c r="N1314" s="20"/>
      <c r="O1314" s="20"/>
      <c r="P1314" s="28"/>
      <c r="Q1314" s="28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</row>
    <row r="1315" spans="1:39" ht="13">
      <c r="A1315" s="20"/>
      <c r="B1315" s="20"/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  <c r="N1315" s="20"/>
      <c r="O1315" s="20"/>
      <c r="P1315" s="28"/>
      <c r="Q1315" s="28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</row>
    <row r="1316" spans="1:39" ht="13">
      <c r="A1316" s="20"/>
      <c r="B1316" s="20"/>
      <c r="C1316" s="20"/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  <c r="N1316" s="20"/>
      <c r="O1316" s="20"/>
      <c r="P1316" s="28"/>
      <c r="Q1316" s="28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</row>
    <row r="1317" spans="1:39" ht="13">
      <c r="A1317" s="20"/>
      <c r="B1317" s="20"/>
      <c r="C1317" s="20"/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  <c r="N1317" s="20"/>
      <c r="O1317" s="20"/>
      <c r="P1317" s="28"/>
      <c r="Q1317" s="28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</row>
    <row r="1318" spans="1:39" ht="13">
      <c r="A1318" s="20"/>
      <c r="B1318" s="20"/>
      <c r="C1318" s="20"/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  <c r="N1318" s="20"/>
      <c r="O1318" s="20"/>
      <c r="P1318" s="28"/>
      <c r="Q1318" s="28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</row>
    <row r="1319" spans="1:39" ht="13">
      <c r="A1319" s="20"/>
      <c r="B1319" s="20"/>
      <c r="C1319" s="20"/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  <c r="N1319" s="20"/>
      <c r="O1319" s="20"/>
      <c r="P1319" s="28"/>
      <c r="Q1319" s="28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</row>
    <row r="1320" spans="1:39" ht="13">
      <c r="A1320" s="20"/>
      <c r="B1320" s="20"/>
      <c r="C1320" s="20"/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  <c r="N1320" s="20"/>
      <c r="O1320" s="20"/>
      <c r="P1320" s="28"/>
      <c r="Q1320" s="28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</row>
    <row r="1321" spans="1:39" ht="13">
      <c r="A1321" s="20"/>
      <c r="B1321" s="20"/>
      <c r="C1321" s="20"/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  <c r="N1321" s="20"/>
      <c r="O1321" s="20"/>
      <c r="P1321" s="28"/>
      <c r="Q1321" s="28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</row>
    <row r="1322" spans="1:39" ht="13">
      <c r="A1322" s="20"/>
      <c r="B1322" s="20"/>
      <c r="C1322" s="2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8"/>
      <c r="Q1322" s="28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</row>
    <row r="1323" spans="1:39" ht="13">
      <c r="A1323" s="20"/>
      <c r="B1323" s="20"/>
      <c r="C1323" s="20"/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  <c r="N1323" s="20"/>
      <c r="O1323" s="20"/>
      <c r="P1323" s="28"/>
      <c r="Q1323" s="28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</row>
    <row r="1324" spans="1:39" ht="13">
      <c r="A1324" s="20"/>
      <c r="B1324" s="20"/>
      <c r="C1324" s="20"/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  <c r="N1324" s="20"/>
      <c r="O1324" s="20"/>
      <c r="P1324" s="28"/>
      <c r="Q1324" s="28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</row>
    <row r="1325" spans="1:39" ht="13">
      <c r="A1325" s="20"/>
      <c r="B1325" s="20"/>
      <c r="C1325" s="20"/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  <c r="N1325" s="20"/>
      <c r="O1325" s="20"/>
      <c r="P1325" s="28"/>
      <c r="Q1325" s="28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</row>
    <row r="1326" spans="1:39" ht="13">
      <c r="A1326" s="20"/>
      <c r="B1326" s="20"/>
      <c r="C1326" s="20"/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  <c r="N1326" s="20"/>
      <c r="O1326" s="20"/>
      <c r="P1326" s="28"/>
      <c r="Q1326" s="28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</row>
    <row r="1327" spans="1:39" ht="13">
      <c r="A1327" s="20"/>
      <c r="B1327" s="20"/>
      <c r="C1327" s="20"/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  <c r="N1327" s="20"/>
      <c r="O1327" s="20"/>
      <c r="P1327" s="28"/>
      <c r="Q1327" s="28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</row>
    <row r="1328" spans="1:39" ht="13">
      <c r="A1328" s="20"/>
      <c r="B1328" s="20"/>
      <c r="C1328" s="20"/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  <c r="N1328" s="20"/>
      <c r="O1328" s="20"/>
      <c r="P1328" s="28"/>
      <c r="Q1328" s="28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</row>
    <row r="1329" spans="1:39" ht="13">
      <c r="A1329" s="20"/>
      <c r="B1329" s="20"/>
      <c r="C1329" s="20"/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  <c r="N1329" s="20"/>
      <c r="O1329" s="20"/>
      <c r="P1329" s="28"/>
      <c r="Q1329" s="28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</row>
    <row r="1330" spans="1:39" ht="13">
      <c r="A1330" s="20"/>
      <c r="B1330" s="20"/>
      <c r="C1330" s="20"/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  <c r="N1330" s="20"/>
      <c r="O1330" s="20"/>
      <c r="P1330" s="28"/>
      <c r="Q1330" s="28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</row>
    <row r="1331" spans="1:39" ht="13">
      <c r="A1331" s="20"/>
      <c r="B1331" s="20"/>
      <c r="C1331" s="20"/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  <c r="N1331" s="20"/>
      <c r="O1331" s="20"/>
      <c r="P1331" s="28"/>
      <c r="Q1331" s="28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</row>
    <row r="1332" spans="1:39" ht="13">
      <c r="A1332" s="20"/>
      <c r="B1332" s="20"/>
      <c r="C1332" s="20"/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  <c r="N1332" s="20"/>
      <c r="O1332" s="20"/>
      <c r="P1332" s="28"/>
      <c r="Q1332" s="28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</row>
    <row r="1333" spans="1:39" ht="13">
      <c r="A1333" s="20"/>
      <c r="B1333" s="20"/>
      <c r="C1333" s="20"/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  <c r="N1333" s="20"/>
      <c r="O1333" s="20"/>
      <c r="P1333" s="28"/>
      <c r="Q1333" s="28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</row>
    <row r="1334" spans="1:39" ht="13">
      <c r="A1334" s="20"/>
      <c r="B1334" s="20"/>
      <c r="C1334" s="20"/>
      <c r="D1334" s="20"/>
      <c r="E1334" s="20"/>
      <c r="F1334" s="20"/>
      <c r="G1334" s="20"/>
      <c r="H1334" s="20"/>
      <c r="I1334" s="20"/>
      <c r="J1334" s="20"/>
      <c r="K1334" s="20"/>
      <c r="L1334" s="20"/>
      <c r="M1334" s="20"/>
      <c r="N1334" s="20"/>
      <c r="O1334" s="20"/>
      <c r="P1334" s="28"/>
      <c r="Q1334" s="28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</row>
    <row r="1335" spans="1:39" ht="13">
      <c r="A1335" s="20"/>
      <c r="B1335" s="20"/>
      <c r="C1335" s="20"/>
      <c r="D1335" s="20"/>
      <c r="E1335" s="20"/>
      <c r="F1335" s="20"/>
      <c r="G1335" s="20"/>
      <c r="H1335" s="20"/>
      <c r="I1335" s="20"/>
      <c r="J1335" s="20"/>
      <c r="K1335" s="20"/>
      <c r="L1335" s="20"/>
      <c r="M1335" s="20"/>
      <c r="N1335" s="20"/>
      <c r="O1335" s="20"/>
      <c r="P1335" s="28"/>
      <c r="Q1335" s="28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</row>
    <row r="1336" spans="1:39" ht="13">
      <c r="A1336" s="20"/>
      <c r="B1336" s="20"/>
      <c r="C1336" s="20"/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  <c r="N1336" s="20"/>
      <c r="O1336" s="20"/>
      <c r="P1336" s="28"/>
      <c r="Q1336" s="28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</row>
    <row r="1337" spans="1:39" ht="13">
      <c r="A1337" s="20"/>
      <c r="B1337" s="20"/>
      <c r="C1337" s="20"/>
      <c r="D1337" s="20"/>
      <c r="E1337" s="20"/>
      <c r="F1337" s="20"/>
      <c r="G1337" s="20"/>
      <c r="H1337" s="20"/>
      <c r="I1337" s="20"/>
      <c r="J1337" s="20"/>
      <c r="K1337" s="20"/>
      <c r="L1337" s="20"/>
      <c r="M1337" s="20"/>
      <c r="N1337" s="20"/>
      <c r="O1337" s="20"/>
      <c r="P1337" s="28"/>
      <c r="Q1337" s="28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</row>
    <row r="1338" spans="1:39" ht="13">
      <c r="A1338" s="20"/>
      <c r="B1338" s="20"/>
      <c r="C1338" s="20"/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  <c r="N1338" s="20"/>
      <c r="O1338" s="20"/>
      <c r="P1338" s="28"/>
      <c r="Q1338" s="28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</row>
    <row r="1339" spans="1:39" ht="13">
      <c r="A1339" s="20"/>
      <c r="B1339" s="20"/>
      <c r="C1339" s="20"/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  <c r="N1339" s="20"/>
      <c r="O1339" s="20"/>
      <c r="P1339" s="28"/>
      <c r="Q1339" s="28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</row>
    <row r="1340" spans="1:39" ht="13">
      <c r="A1340" s="20"/>
      <c r="B1340" s="20"/>
      <c r="C1340" s="20"/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  <c r="N1340" s="20"/>
      <c r="O1340" s="20"/>
      <c r="P1340" s="28"/>
      <c r="Q1340" s="28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</row>
    <row r="1341" spans="1:39" ht="13">
      <c r="A1341" s="20"/>
      <c r="B1341" s="20"/>
      <c r="C1341" s="20"/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  <c r="N1341" s="20"/>
      <c r="O1341" s="20"/>
      <c r="P1341" s="28"/>
      <c r="Q1341" s="28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</row>
    <row r="1342" spans="1:39" ht="13">
      <c r="A1342" s="20"/>
      <c r="B1342" s="20"/>
      <c r="C1342" s="20"/>
      <c r="D1342" s="20"/>
      <c r="E1342" s="20"/>
      <c r="F1342" s="20"/>
      <c r="G1342" s="20"/>
      <c r="H1342" s="20"/>
      <c r="I1342" s="20"/>
      <c r="J1342" s="20"/>
      <c r="K1342" s="20"/>
      <c r="L1342" s="20"/>
      <c r="M1342" s="20"/>
      <c r="N1342" s="20"/>
      <c r="O1342" s="20"/>
      <c r="P1342" s="28"/>
      <c r="Q1342" s="28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</row>
    <row r="1343" spans="1:39" ht="13">
      <c r="A1343" s="20"/>
      <c r="B1343" s="20"/>
      <c r="C1343" s="20"/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  <c r="N1343" s="20"/>
      <c r="O1343" s="20"/>
      <c r="P1343" s="28"/>
      <c r="Q1343" s="28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</row>
    <row r="1344" spans="1:39" ht="13">
      <c r="A1344" s="20"/>
      <c r="B1344" s="20"/>
      <c r="C1344" s="20"/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  <c r="N1344" s="20"/>
      <c r="O1344" s="20"/>
      <c r="P1344" s="28"/>
      <c r="Q1344" s="28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</row>
    <row r="1345" spans="1:39" ht="13">
      <c r="A1345" s="20"/>
      <c r="B1345" s="20"/>
      <c r="C1345" s="20"/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  <c r="N1345" s="20"/>
      <c r="O1345" s="20"/>
      <c r="P1345" s="28"/>
      <c r="Q1345" s="28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</row>
    <row r="1346" spans="1:39" ht="13">
      <c r="A1346" s="20"/>
      <c r="B1346" s="20"/>
      <c r="C1346" s="20"/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  <c r="N1346" s="20"/>
      <c r="O1346" s="20"/>
      <c r="P1346" s="28"/>
      <c r="Q1346" s="28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</row>
    <row r="1347" spans="1:39" ht="13">
      <c r="A1347" s="20"/>
      <c r="B1347" s="20"/>
      <c r="C1347" s="20"/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  <c r="N1347" s="20"/>
      <c r="O1347" s="20"/>
      <c r="P1347" s="28"/>
      <c r="Q1347" s="28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</row>
    <row r="1348" spans="1:39" ht="13">
      <c r="A1348" s="20"/>
      <c r="B1348" s="20"/>
      <c r="C1348" s="20"/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  <c r="N1348" s="20"/>
      <c r="O1348" s="20"/>
      <c r="P1348" s="28"/>
      <c r="Q1348" s="28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</row>
    <row r="1349" spans="1:39" ht="13">
      <c r="A1349" s="20"/>
      <c r="B1349" s="20"/>
      <c r="C1349" s="2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8"/>
      <c r="Q1349" s="28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</row>
    <row r="1350" spans="1:39" ht="13">
      <c r="A1350" s="20"/>
      <c r="B1350" s="20"/>
      <c r="C1350" s="20"/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  <c r="N1350" s="20"/>
      <c r="O1350" s="20"/>
      <c r="P1350" s="28"/>
      <c r="Q1350" s="28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</row>
    <row r="1351" spans="1:39" ht="13">
      <c r="A1351" s="20"/>
      <c r="B1351" s="20"/>
      <c r="C1351" s="20"/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  <c r="N1351" s="20"/>
      <c r="O1351" s="20"/>
      <c r="P1351" s="28"/>
      <c r="Q1351" s="28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</row>
    <row r="1352" spans="1:39" ht="13">
      <c r="A1352" s="20"/>
      <c r="B1352" s="20"/>
      <c r="C1352" s="20"/>
      <c r="D1352" s="20"/>
      <c r="E1352" s="20"/>
      <c r="F1352" s="20"/>
      <c r="G1352" s="20"/>
      <c r="H1352" s="20"/>
      <c r="I1352" s="20"/>
      <c r="J1352" s="20"/>
      <c r="K1352" s="20"/>
      <c r="L1352" s="20"/>
      <c r="M1352" s="20"/>
      <c r="N1352" s="20"/>
      <c r="O1352" s="20"/>
      <c r="P1352" s="28"/>
      <c r="Q1352" s="28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</row>
    <row r="1353" spans="1:39" ht="13">
      <c r="A1353" s="20"/>
      <c r="B1353" s="20"/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  <c r="N1353" s="20"/>
      <c r="O1353" s="20"/>
      <c r="P1353" s="28"/>
      <c r="Q1353" s="28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</row>
    <row r="1354" spans="1:39" ht="13">
      <c r="A1354" s="20"/>
      <c r="B1354" s="20"/>
      <c r="C1354" s="20"/>
      <c r="D1354" s="20"/>
      <c r="E1354" s="20"/>
      <c r="F1354" s="20"/>
      <c r="G1354" s="20"/>
      <c r="H1354" s="20"/>
      <c r="I1354" s="20"/>
      <c r="J1354" s="20"/>
      <c r="K1354" s="20"/>
      <c r="L1354" s="20"/>
      <c r="M1354" s="20"/>
      <c r="N1354" s="20"/>
      <c r="O1354" s="20"/>
      <c r="P1354" s="28"/>
      <c r="Q1354" s="28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</row>
    <row r="1355" spans="1:39" ht="13">
      <c r="A1355" s="20"/>
      <c r="B1355" s="20"/>
      <c r="C1355" s="20"/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  <c r="N1355" s="20"/>
      <c r="O1355" s="20"/>
      <c r="P1355" s="28"/>
      <c r="Q1355" s="28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</row>
    <row r="1356" spans="1:39" ht="13">
      <c r="A1356" s="20"/>
      <c r="B1356" s="20"/>
      <c r="C1356" s="20"/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  <c r="N1356" s="20"/>
      <c r="O1356" s="20"/>
      <c r="P1356" s="28"/>
      <c r="Q1356" s="28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</row>
    <row r="1357" spans="1:39" ht="13">
      <c r="A1357" s="20"/>
      <c r="B1357" s="20"/>
      <c r="C1357" s="20"/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  <c r="N1357" s="20"/>
      <c r="O1357" s="20"/>
      <c r="P1357" s="28"/>
      <c r="Q1357" s="28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</row>
    <row r="1358" spans="1:39" ht="13">
      <c r="A1358" s="20"/>
      <c r="B1358" s="20"/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  <c r="N1358" s="20"/>
      <c r="O1358" s="20"/>
      <c r="P1358" s="28"/>
      <c r="Q1358" s="28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</row>
    <row r="1359" spans="1:39" ht="13">
      <c r="A1359" s="20"/>
      <c r="B1359" s="20"/>
      <c r="C1359" s="20"/>
      <c r="D1359" s="20"/>
      <c r="E1359" s="20"/>
      <c r="F1359" s="20"/>
      <c r="G1359" s="20"/>
      <c r="H1359" s="20"/>
      <c r="I1359" s="20"/>
      <c r="J1359" s="20"/>
      <c r="K1359" s="20"/>
      <c r="L1359" s="20"/>
      <c r="M1359" s="20"/>
      <c r="N1359" s="20"/>
      <c r="O1359" s="20"/>
      <c r="P1359" s="28"/>
      <c r="Q1359" s="28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</row>
    <row r="1360" spans="1:39" ht="13">
      <c r="A1360" s="20"/>
      <c r="B1360" s="20"/>
      <c r="C1360" s="20"/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  <c r="N1360" s="20"/>
      <c r="O1360" s="20"/>
      <c r="P1360" s="28"/>
      <c r="Q1360" s="28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</row>
    <row r="1361" spans="1:39" ht="13">
      <c r="A1361" s="20"/>
      <c r="B1361" s="20"/>
      <c r="C1361" s="20"/>
      <c r="D1361" s="20"/>
      <c r="E1361" s="20"/>
      <c r="F1361" s="20"/>
      <c r="G1361" s="20"/>
      <c r="H1361" s="20"/>
      <c r="I1361" s="20"/>
      <c r="J1361" s="20"/>
      <c r="K1361" s="20"/>
      <c r="L1361" s="20"/>
      <c r="M1361" s="20"/>
      <c r="N1361" s="20"/>
      <c r="O1361" s="20"/>
      <c r="P1361" s="28"/>
      <c r="Q1361" s="28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</row>
    <row r="1362" spans="1:39" ht="13">
      <c r="A1362" s="20"/>
      <c r="B1362" s="20"/>
      <c r="C1362" s="20"/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  <c r="N1362" s="20"/>
      <c r="O1362" s="20"/>
      <c r="P1362" s="28"/>
      <c r="Q1362" s="28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</row>
    <row r="1363" spans="1:39" ht="13">
      <c r="A1363" s="20"/>
      <c r="B1363" s="20"/>
      <c r="C1363" s="20"/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  <c r="N1363" s="20"/>
      <c r="O1363" s="20"/>
      <c r="P1363" s="28"/>
      <c r="Q1363" s="28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</row>
    <row r="1364" spans="1:39" ht="13">
      <c r="A1364" s="20"/>
      <c r="B1364" s="20"/>
      <c r="C1364" s="20"/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  <c r="N1364" s="20"/>
      <c r="O1364" s="20"/>
      <c r="P1364" s="28"/>
      <c r="Q1364" s="28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</row>
    <row r="1365" spans="1:39" ht="13">
      <c r="A1365" s="20"/>
      <c r="B1365" s="20"/>
      <c r="C1365" s="20"/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  <c r="N1365" s="20"/>
      <c r="O1365" s="20"/>
      <c r="P1365" s="28"/>
      <c r="Q1365" s="28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</row>
    <row r="1366" spans="1:39" ht="13">
      <c r="A1366" s="20"/>
      <c r="B1366" s="20"/>
      <c r="C1366" s="20"/>
      <c r="D1366" s="20"/>
      <c r="E1366" s="20"/>
      <c r="F1366" s="20"/>
      <c r="G1366" s="20"/>
      <c r="H1366" s="20"/>
      <c r="I1366" s="20"/>
      <c r="J1366" s="20"/>
      <c r="K1366" s="20"/>
      <c r="L1366" s="20"/>
      <c r="M1366" s="20"/>
      <c r="N1366" s="20"/>
      <c r="O1366" s="20"/>
      <c r="P1366" s="28"/>
      <c r="Q1366" s="28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</row>
    <row r="1367" spans="1:39" ht="13">
      <c r="A1367" s="20"/>
      <c r="B1367" s="20"/>
      <c r="C1367" s="20"/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  <c r="N1367" s="20"/>
      <c r="O1367" s="20"/>
      <c r="P1367" s="28"/>
      <c r="Q1367" s="28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</row>
    <row r="1368" spans="1:39" ht="13">
      <c r="A1368" s="20"/>
      <c r="B1368" s="20"/>
      <c r="C1368" s="20"/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  <c r="N1368" s="20"/>
      <c r="O1368" s="20"/>
      <c r="P1368" s="28"/>
      <c r="Q1368" s="28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</row>
    <row r="1369" spans="1:39" ht="13">
      <c r="A1369" s="20"/>
      <c r="B1369" s="20"/>
      <c r="C1369" s="20"/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  <c r="N1369" s="20"/>
      <c r="O1369" s="20"/>
      <c r="P1369" s="28"/>
      <c r="Q1369" s="28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</row>
    <row r="1370" spans="1:39" ht="13">
      <c r="A1370" s="20"/>
      <c r="B1370" s="20"/>
      <c r="C1370" s="20"/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  <c r="N1370" s="20"/>
      <c r="O1370" s="20"/>
      <c r="P1370" s="28"/>
      <c r="Q1370" s="28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</row>
    <row r="1371" spans="1:39" ht="13">
      <c r="A1371" s="20"/>
      <c r="B1371" s="20"/>
      <c r="C1371" s="20"/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  <c r="N1371" s="20"/>
      <c r="O1371" s="20"/>
      <c r="P1371" s="28"/>
      <c r="Q1371" s="28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</row>
    <row r="1372" spans="1:39" ht="13">
      <c r="A1372" s="20"/>
      <c r="B1372" s="20"/>
      <c r="C1372" s="20"/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  <c r="N1372" s="20"/>
      <c r="O1372" s="20"/>
      <c r="P1372" s="28"/>
      <c r="Q1372" s="28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</row>
    <row r="1373" spans="1:39" ht="13">
      <c r="A1373" s="20"/>
      <c r="B1373" s="20"/>
      <c r="C1373" s="20"/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  <c r="N1373" s="20"/>
      <c r="O1373" s="20"/>
      <c r="P1373" s="28"/>
      <c r="Q1373" s="28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</row>
    <row r="1374" spans="1:39" ht="13">
      <c r="A1374" s="20"/>
      <c r="B1374" s="20"/>
      <c r="C1374" s="20"/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  <c r="N1374" s="20"/>
      <c r="O1374" s="20"/>
      <c r="P1374" s="28"/>
      <c r="Q1374" s="28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</row>
    <row r="1375" spans="1:39" ht="13">
      <c r="A1375" s="20"/>
      <c r="B1375" s="20"/>
      <c r="C1375" s="20"/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  <c r="N1375" s="20"/>
      <c r="O1375" s="20"/>
      <c r="P1375" s="28"/>
      <c r="Q1375" s="28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</row>
    <row r="1376" spans="1:39" ht="13">
      <c r="A1376" s="20"/>
      <c r="B1376" s="20"/>
      <c r="C1376" s="2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8"/>
      <c r="Q1376" s="28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</row>
    <row r="1377" spans="1:39" ht="13">
      <c r="A1377" s="20"/>
      <c r="B1377" s="20"/>
      <c r="C1377" s="20"/>
      <c r="D1377" s="20"/>
      <c r="E1377" s="20"/>
      <c r="F1377" s="20"/>
      <c r="G1377" s="20"/>
      <c r="H1377" s="20"/>
      <c r="I1377" s="20"/>
      <c r="J1377" s="20"/>
      <c r="K1377" s="20"/>
      <c r="L1377" s="20"/>
      <c r="M1377" s="20"/>
      <c r="N1377" s="20"/>
      <c r="O1377" s="20"/>
      <c r="P1377" s="28"/>
      <c r="Q1377" s="28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</row>
    <row r="1378" spans="1:39" ht="13">
      <c r="A1378" s="20"/>
      <c r="B1378" s="20"/>
      <c r="C1378" s="20"/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  <c r="N1378" s="20"/>
      <c r="O1378" s="20"/>
      <c r="P1378" s="28"/>
      <c r="Q1378" s="28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</row>
    <row r="1379" spans="1:39" ht="13">
      <c r="A1379" s="20"/>
      <c r="B1379" s="20"/>
      <c r="C1379" s="20"/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  <c r="N1379" s="20"/>
      <c r="O1379" s="20"/>
      <c r="P1379" s="28"/>
      <c r="Q1379" s="28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</row>
    <row r="1380" spans="1:39" ht="13">
      <c r="A1380" s="20"/>
      <c r="B1380" s="20"/>
      <c r="C1380" s="20"/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  <c r="N1380" s="20"/>
      <c r="O1380" s="20"/>
      <c r="P1380" s="28"/>
      <c r="Q1380" s="28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</row>
    <row r="1381" spans="1:39" ht="13">
      <c r="A1381" s="20"/>
      <c r="B1381" s="20"/>
      <c r="C1381" s="20"/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  <c r="N1381" s="20"/>
      <c r="O1381" s="20"/>
      <c r="P1381" s="28"/>
      <c r="Q1381" s="28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</row>
    <row r="1382" spans="1:39" ht="13">
      <c r="A1382" s="20"/>
      <c r="B1382" s="20"/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  <c r="N1382" s="20"/>
      <c r="O1382" s="20"/>
      <c r="P1382" s="28"/>
      <c r="Q1382" s="28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</row>
    <row r="1383" spans="1:39" ht="13">
      <c r="A1383" s="20"/>
      <c r="B1383" s="20"/>
      <c r="C1383" s="20"/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  <c r="N1383" s="20"/>
      <c r="O1383" s="20"/>
      <c r="P1383" s="28"/>
      <c r="Q1383" s="28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</row>
    <row r="1384" spans="1:39" ht="13">
      <c r="A1384" s="20"/>
      <c r="B1384" s="20"/>
      <c r="C1384" s="20"/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  <c r="N1384" s="20"/>
      <c r="O1384" s="20"/>
      <c r="P1384" s="28"/>
      <c r="Q1384" s="28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</row>
    <row r="1385" spans="1:39" ht="13">
      <c r="A1385" s="20"/>
      <c r="B1385" s="20"/>
      <c r="C1385" s="20"/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  <c r="N1385" s="20"/>
      <c r="O1385" s="20"/>
      <c r="P1385" s="28"/>
      <c r="Q1385" s="28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</row>
    <row r="1386" spans="1:39" ht="13">
      <c r="A1386" s="20"/>
      <c r="B1386" s="20"/>
      <c r="C1386" s="20"/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  <c r="N1386" s="20"/>
      <c r="O1386" s="20"/>
      <c r="P1386" s="28"/>
      <c r="Q1386" s="28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</row>
    <row r="1387" spans="1:39" ht="13">
      <c r="A1387" s="20"/>
      <c r="B1387" s="20"/>
      <c r="C1387" s="20"/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  <c r="N1387" s="20"/>
      <c r="O1387" s="20"/>
      <c r="P1387" s="28"/>
      <c r="Q1387" s="28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</row>
    <row r="1388" spans="1:39" ht="13">
      <c r="A1388" s="20"/>
      <c r="B1388" s="20"/>
      <c r="C1388" s="20"/>
      <c r="D1388" s="20"/>
      <c r="E1388" s="20"/>
      <c r="F1388" s="20"/>
      <c r="G1388" s="20"/>
      <c r="H1388" s="20"/>
      <c r="I1388" s="20"/>
      <c r="J1388" s="20"/>
      <c r="K1388" s="20"/>
      <c r="L1388" s="20"/>
      <c r="M1388" s="20"/>
      <c r="N1388" s="20"/>
      <c r="O1388" s="20"/>
      <c r="P1388" s="28"/>
      <c r="Q1388" s="28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</row>
    <row r="1389" spans="1:39" ht="13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8"/>
      <c r="Q1389" s="28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</row>
    <row r="1390" spans="1:39" ht="13">
      <c r="A1390" s="20"/>
      <c r="B1390" s="20"/>
      <c r="C1390" s="20"/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  <c r="N1390" s="20"/>
      <c r="O1390" s="20"/>
      <c r="P1390" s="28"/>
      <c r="Q1390" s="28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</row>
    <row r="1391" spans="1:39" ht="13">
      <c r="A1391" s="20"/>
      <c r="B1391" s="20"/>
      <c r="C1391" s="20"/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  <c r="N1391" s="20"/>
      <c r="O1391" s="20"/>
      <c r="P1391" s="28"/>
      <c r="Q1391" s="28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</row>
    <row r="1392" spans="1:39" ht="13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8"/>
      <c r="Q1392" s="28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</row>
    <row r="1393" spans="1:39" ht="13">
      <c r="A1393" s="20"/>
      <c r="B1393" s="20"/>
      <c r="C1393" s="20"/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  <c r="N1393" s="20"/>
      <c r="O1393" s="20"/>
      <c r="P1393" s="28"/>
      <c r="Q1393" s="28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</row>
    <row r="1394" spans="1:39" ht="13">
      <c r="A1394" s="20"/>
      <c r="B1394" s="20"/>
      <c r="C1394" s="20"/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  <c r="N1394" s="20"/>
      <c r="O1394" s="20"/>
      <c r="P1394" s="28"/>
      <c r="Q1394" s="28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</row>
    <row r="1395" spans="1:39" ht="13">
      <c r="A1395" s="20"/>
      <c r="B1395" s="20"/>
      <c r="C1395" s="20"/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  <c r="N1395" s="20"/>
      <c r="O1395" s="20"/>
      <c r="P1395" s="28"/>
      <c r="Q1395" s="28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</row>
    <row r="1396" spans="1:39" ht="13">
      <c r="A1396" s="20"/>
      <c r="B1396" s="20"/>
      <c r="C1396" s="20"/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  <c r="N1396" s="20"/>
      <c r="O1396" s="20"/>
      <c r="P1396" s="28"/>
      <c r="Q1396" s="28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</row>
    <row r="1397" spans="1:39" ht="13">
      <c r="A1397" s="20"/>
      <c r="B1397" s="20"/>
      <c r="C1397" s="20"/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  <c r="N1397" s="20"/>
      <c r="O1397" s="20"/>
      <c r="P1397" s="28"/>
      <c r="Q1397" s="28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</row>
    <row r="1398" spans="1:39" ht="13">
      <c r="A1398" s="20"/>
      <c r="B1398" s="20"/>
      <c r="C1398" s="20"/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  <c r="N1398" s="20"/>
      <c r="O1398" s="20"/>
      <c r="P1398" s="28"/>
      <c r="Q1398" s="28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</row>
    <row r="1399" spans="1:39" ht="13">
      <c r="A1399" s="20"/>
      <c r="B1399" s="20"/>
      <c r="C1399" s="20"/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  <c r="N1399" s="20"/>
      <c r="O1399" s="20"/>
      <c r="P1399" s="28"/>
      <c r="Q1399" s="28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</row>
    <row r="1400" spans="1:39" ht="13">
      <c r="A1400" s="20"/>
      <c r="B1400" s="20"/>
      <c r="C1400" s="20"/>
      <c r="D1400" s="20"/>
      <c r="E1400" s="20"/>
      <c r="F1400" s="20"/>
      <c r="G1400" s="20"/>
      <c r="H1400" s="20"/>
      <c r="I1400" s="20"/>
      <c r="J1400" s="20"/>
      <c r="K1400" s="20"/>
      <c r="L1400" s="20"/>
      <c r="M1400" s="20"/>
      <c r="N1400" s="20"/>
      <c r="O1400" s="20"/>
      <c r="P1400" s="28"/>
      <c r="Q1400" s="28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</row>
    <row r="1401" spans="1:39" ht="13">
      <c r="A1401" s="20"/>
      <c r="B1401" s="20"/>
      <c r="C1401" s="20"/>
      <c r="D1401" s="20"/>
      <c r="E1401" s="20"/>
      <c r="F1401" s="20"/>
      <c r="G1401" s="20"/>
      <c r="H1401" s="20"/>
      <c r="I1401" s="20"/>
      <c r="J1401" s="20"/>
      <c r="K1401" s="20"/>
      <c r="L1401" s="20"/>
      <c r="M1401" s="20"/>
      <c r="N1401" s="20"/>
      <c r="O1401" s="20"/>
      <c r="P1401" s="28"/>
      <c r="Q1401" s="28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</row>
    <row r="1402" spans="1:39" ht="13">
      <c r="A1402" s="20"/>
      <c r="B1402" s="20"/>
      <c r="C1402" s="20"/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  <c r="N1402" s="20"/>
      <c r="O1402" s="20"/>
      <c r="P1402" s="28"/>
      <c r="Q1402" s="28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</row>
    <row r="1403" spans="1:39" ht="13">
      <c r="A1403" s="20"/>
      <c r="B1403" s="20"/>
      <c r="C1403" s="2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8"/>
      <c r="Q1403" s="28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</row>
    <row r="1404" spans="1:39" ht="13">
      <c r="A1404" s="20"/>
      <c r="B1404" s="20"/>
      <c r="C1404" s="20"/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  <c r="N1404" s="20"/>
      <c r="O1404" s="20"/>
      <c r="P1404" s="28"/>
      <c r="Q1404" s="28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</row>
    <row r="1405" spans="1:39" ht="13">
      <c r="A1405" s="20"/>
      <c r="B1405" s="20"/>
      <c r="C1405" s="20"/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  <c r="N1405" s="20"/>
      <c r="O1405" s="20"/>
      <c r="P1405" s="28"/>
      <c r="Q1405" s="28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</row>
    <row r="1406" spans="1:39" ht="13">
      <c r="A1406" s="20"/>
      <c r="B1406" s="20"/>
      <c r="C1406" s="20"/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  <c r="N1406" s="20"/>
      <c r="O1406" s="20"/>
      <c r="P1406" s="28"/>
      <c r="Q1406" s="28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</row>
    <row r="1407" spans="1:39" ht="13">
      <c r="A1407" s="20"/>
      <c r="B1407" s="20"/>
      <c r="C1407" s="20"/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  <c r="N1407" s="20"/>
      <c r="O1407" s="20"/>
      <c r="P1407" s="28"/>
      <c r="Q1407" s="28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</row>
    <row r="1408" spans="1:39" ht="13">
      <c r="A1408" s="20"/>
      <c r="B1408" s="20"/>
      <c r="C1408" s="20"/>
      <c r="D1408" s="20"/>
      <c r="E1408" s="20"/>
      <c r="F1408" s="20"/>
      <c r="G1408" s="20"/>
      <c r="H1408" s="20"/>
      <c r="I1408" s="20"/>
      <c r="J1408" s="20"/>
      <c r="K1408" s="20"/>
      <c r="L1408" s="20"/>
      <c r="M1408" s="20"/>
      <c r="N1408" s="20"/>
      <c r="O1408" s="20"/>
      <c r="P1408" s="28"/>
      <c r="Q1408" s="28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</row>
    <row r="1409" spans="1:39" ht="13">
      <c r="A1409" s="20"/>
      <c r="B1409" s="20"/>
      <c r="C1409" s="20"/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  <c r="N1409" s="20"/>
      <c r="O1409" s="20"/>
      <c r="P1409" s="28"/>
      <c r="Q1409" s="28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</row>
    <row r="1410" spans="1:39" ht="13">
      <c r="A1410" s="20"/>
      <c r="B1410" s="20"/>
      <c r="C1410" s="20"/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  <c r="N1410" s="20"/>
      <c r="O1410" s="20"/>
      <c r="P1410" s="28"/>
      <c r="Q1410" s="28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</row>
    <row r="1411" spans="1:39" ht="13">
      <c r="A1411" s="20"/>
      <c r="B1411" s="20"/>
      <c r="C1411" s="20"/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  <c r="N1411" s="20"/>
      <c r="O1411" s="20"/>
      <c r="P1411" s="28"/>
      <c r="Q1411" s="28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</row>
    <row r="1412" spans="1:39" ht="13">
      <c r="A1412" s="20"/>
      <c r="B1412" s="20"/>
      <c r="C1412" s="20"/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  <c r="N1412" s="20"/>
      <c r="O1412" s="20"/>
      <c r="P1412" s="28"/>
      <c r="Q1412" s="28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</row>
    <row r="1413" spans="1:39" ht="13">
      <c r="A1413" s="20"/>
      <c r="B1413" s="20"/>
      <c r="C1413" s="20"/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  <c r="N1413" s="20"/>
      <c r="O1413" s="20"/>
      <c r="P1413" s="28"/>
      <c r="Q1413" s="28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</row>
    <row r="1414" spans="1:39" ht="13">
      <c r="A1414" s="20"/>
      <c r="B1414" s="20"/>
      <c r="C1414" s="20"/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  <c r="N1414" s="20"/>
      <c r="O1414" s="20"/>
      <c r="P1414" s="28"/>
      <c r="Q1414" s="28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</row>
    <row r="1415" spans="1:39" ht="13">
      <c r="A1415" s="20"/>
      <c r="B1415" s="20"/>
      <c r="C1415" s="20"/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  <c r="N1415" s="20"/>
      <c r="O1415" s="20"/>
      <c r="P1415" s="28"/>
      <c r="Q1415" s="28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</row>
    <row r="1416" spans="1:39" ht="13">
      <c r="A1416" s="20"/>
      <c r="B1416" s="20"/>
      <c r="C1416" s="20"/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  <c r="N1416" s="20"/>
      <c r="O1416" s="20"/>
      <c r="P1416" s="28"/>
      <c r="Q1416" s="28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</row>
    <row r="1417" spans="1:39" ht="13">
      <c r="A1417" s="20"/>
      <c r="B1417" s="20"/>
      <c r="C1417" s="20"/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  <c r="N1417" s="20"/>
      <c r="O1417" s="20"/>
      <c r="P1417" s="28"/>
      <c r="Q1417" s="28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</row>
    <row r="1418" spans="1:39" ht="13">
      <c r="A1418" s="20"/>
      <c r="B1418" s="20"/>
      <c r="C1418" s="20"/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  <c r="N1418" s="20"/>
      <c r="O1418" s="20"/>
      <c r="P1418" s="28"/>
      <c r="Q1418" s="28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</row>
    <row r="1419" spans="1:39" ht="13">
      <c r="A1419" s="20"/>
      <c r="B1419" s="20"/>
      <c r="C1419" s="20"/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  <c r="N1419" s="20"/>
      <c r="O1419" s="20"/>
      <c r="P1419" s="28"/>
      <c r="Q1419" s="28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</row>
    <row r="1420" spans="1:39" ht="13">
      <c r="A1420" s="20"/>
      <c r="B1420" s="20"/>
      <c r="C1420" s="20"/>
      <c r="D1420" s="20"/>
      <c r="E1420" s="20"/>
      <c r="F1420" s="20"/>
      <c r="G1420" s="20"/>
      <c r="H1420" s="20"/>
      <c r="I1420" s="20"/>
      <c r="J1420" s="20"/>
      <c r="K1420" s="20"/>
      <c r="L1420" s="20"/>
      <c r="M1420" s="20"/>
      <c r="N1420" s="20"/>
      <c r="O1420" s="20"/>
      <c r="P1420" s="28"/>
      <c r="Q1420" s="28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</row>
    <row r="1421" spans="1:39" ht="13">
      <c r="A1421" s="20"/>
      <c r="B1421" s="20"/>
      <c r="C1421" s="20"/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  <c r="N1421" s="20"/>
      <c r="O1421" s="20"/>
      <c r="P1421" s="28"/>
      <c r="Q1421" s="28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</row>
    <row r="1422" spans="1:39" ht="13">
      <c r="A1422" s="20"/>
      <c r="B1422" s="20"/>
      <c r="C1422" s="20"/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  <c r="N1422" s="20"/>
      <c r="O1422" s="20"/>
      <c r="P1422" s="28"/>
      <c r="Q1422" s="28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</row>
    <row r="1423" spans="1:39" ht="13">
      <c r="A1423" s="20"/>
      <c r="B1423" s="20"/>
      <c r="C1423" s="20"/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  <c r="N1423" s="20"/>
      <c r="O1423" s="20"/>
      <c r="P1423" s="28"/>
      <c r="Q1423" s="28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</row>
    <row r="1424" spans="1:39" ht="13">
      <c r="A1424" s="20"/>
      <c r="B1424" s="20"/>
      <c r="C1424" s="20"/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  <c r="N1424" s="20"/>
      <c r="O1424" s="20"/>
      <c r="P1424" s="28"/>
      <c r="Q1424" s="28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</row>
    <row r="1425" spans="1:39" ht="13">
      <c r="A1425" s="20"/>
      <c r="B1425" s="20"/>
      <c r="C1425" s="20"/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  <c r="N1425" s="20"/>
      <c r="O1425" s="20"/>
      <c r="P1425" s="28"/>
      <c r="Q1425" s="28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</row>
    <row r="1426" spans="1:39" ht="13">
      <c r="A1426" s="20"/>
      <c r="B1426" s="20"/>
      <c r="C1426" s="20"/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  <c r="N1426" s="20"/>
      <c r="O1426" s="20"/>
      <c r="P1426" s="28"/>
      <c r="Q1426" s="28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</row>
    <row r="1427" spans="1:39" ht="13">
      <c r="A1427" s="20"/>
      <c r="B1427" s="20"/>
      <c r="C1427" s="20"/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  <c r="N1427" s="20"/>
      <c r="O1427" s="20"/>
      <c r="P1427" s="28"/>
      <c r="Q1427" s="28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</row>
    <row r="1428" spans="1:39" ht="13">
      <c r="A1428" s="20"/>
      <c r="B1428" s="20"/>
      <c r="C1428" s="20"/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  <c r="N1428" s="20"/>
      <c r="O1428" s="20"/>
      <c r="P1428" s="28"/>
      <c r="Q1428" s="28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</row>
    <row r="1429" spans="1:39" ht="13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8"/>
      <c r="Q1429" s="28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</row>
    <row r="1430" spans="1:39" ht="13">
      <c r="A1430" s="20"/>
      <c r="B1430" s="20"/>
      <c r="C1430" s="2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8"/>
      <c r="Q1430" s="28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</row>
    <row r="1431" spans="1:39" ht="13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8"/>
      <c r="Q1431" s="28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</row>
    <row r="1432" spans="1:39" ht="13">
      <c r="A1432" s="20"/>
      <c r="B1432" s="20"/>
      <c r="C1432" s="20"/>
      <c r="D1432" s="20"/>
      <c r="E1432" s="20"/>
      <c r="F1432" s="20"/>
      <c r="G1432" s="20"/>
      <c r="H1432" s="20"/>
      <c r="I1432" s="20"/>
      <c r="J1432" s="20"/>
      <c r="K1432" s="20"/>
      <c r="L1432" s="20"/>
      <c r="M1432" s="20"/>
      <c r="N1432" s="20"/>
      <c r="O1432" s="20"/>
      <c r="P1432" s="28"/>
      <c r="Q1432" s="28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</row>
    <row r="1433" spans="1:39" ht="13">
      <c r="A1433" s="20"/>
      <c r="B1433" s="20"/>
      <c r="C1433" s="20"/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  <c r="N1433" s="20"/>
      <c r="O1433" s="20"/>
      <c r="P1433" s="28"/>
      <c r="Q1433" s="28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</row>
    <row r="1434" spans="1:39" ht="13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8"/>
      <c r="Q1434" s="28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</row>
    <row r="1435" spans="1:39" ht="13">
      <c r="A1435" s="20"/>
      <c r="B1435" s="20"/>
      <c r="C1435" s="20"/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  <c r="N1435" s="20"/>
      <c r="O1435" s="20"/>
      <c r="P1435" s="28"/>
      <c r="Q1435" s="28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</row>
    <row r="1436" spans="1:39" ht="13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8"/>
      <c r="Q1436" s="28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</row>
    <row r="1437" spans="1:39" ht="13">
      <c r="A1437" s="20"/>
      <c r="B1437" s="20"/>
      <c r="C1437" s="20"/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  <c r="N1437" s="20"/>
      <c r="O1437" s="20"/>
      <c r="P1437" s="28"/>
      <c r="Q1437" s="28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</row>
    <row r="1438" spans="1:39" ht="13">
      <c r="A1438" s="20"/>
      <c r="B1438" s="20"/>
      <c r="C1438" s="20"/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  <c r="N1438" s="20"/>
      <c r="O1438" s="20"/>
      <c r="P1438" s="28"/>
      <c r="Q1438" s="28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</row>
    <row r="1439" spans="1:39" ht="13">
      <c r="A1439" s="20"/>
      <c r="B1439" s="20"/>
      <c r="C1439" s="20"/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  <c r="N1439" s="20"/>
      <c r="O1439" s="20"/>
      <c r="P1439" s="28"/>
      <c r="Q1439" s="28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</row>
    <row r="1440" spans="1:39" ht="13">
      <c r="A1440" s="20"/>
      <c r="B1440" s="20"/>
      <c r="C1440" s="20"/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  <c r="N1440" s="20"/>
      <c r="O1440" s="20"/>
      <c r="P1440" s="28"/>
      <c r="Q1440" s="28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</row>
    <row r="1441" spans="1:39" ht="13">
      <c r="A1441" s="20"/>
      <c r="B1441" s="20"/>
      <c r="C1441" s="20"/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  <c r="N1441" s="20"/>
      <c r="O1441" s="20"/>
      <c r="P1441" s="28"/>
      <c r="Q1441" s="28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</row>
    <row r="1442" spans="1:39" ht="13">
      <c r="A1442" s="20"/>
      <c r="B1442" s="20"/>
      <c r="C1442" s="20"/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  <c r="N1442" s="20"/>
      <c r="O1442" s="20"/>
      <c r="P1442" s="28"/>
      <c r="Q1442" s="28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</row>
    <row r="1443" spans="1:39" ht="13">
      <c r="A1443" s="20"/>
      <c r="B1443" s="20"/>
      <c r="C1443" s="20"/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  <c r="N1443" s="20"/>
      <c r="O1443" s="20"/>
      <c r="P1443" s="28"/>
      <c r="Q1443" s="28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</row>
    <row r="1444" spans="1:39" ht="13">
      <c r="A1444" s="20"/>
      <c r="B1444" s="20"/>
      <c r="C1444" s="20"/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  <c r="N1444" s="20"/>
      <c r="O1444" s="20"/>
      <c r="P1444" s="28"/>
      <c r="Q1444" s="28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</row>
    <row r="1445" spans="1:39" ht="13">
      <c r="A1445" s="20"/>
      <c r="B1445" s="20"/>
      <c r="C1445" s="20"/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  <c r="N1445" s="20"/>
      <c r="O1445" s="20"/>
      <c r="P1445" s="28"/>
      <c r="Q1445" s="28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</row>
    <row r="1446" spans="1:39" ht="13">
      <c r="A1446" s="20"/>
      <c r="B1446" s="20"/>
      <c r="C1446" s="20"/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  <c r="N1446" s="20"/>
      <c r="O1446" s="20"/>
      <c r="P1446" s="28"/>
      <c r="Q1446" s="28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</row>
    <row r="1447" spans="1:39" ht="13">
      <c r="A1447" s="20"/>
      <c r="B1447" s="20"/>
      <c r="C1447" s="20"/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  <c r="N1447" s="20"/>
      <c r="O1447" s="20"/>
      <c r="P1447" s="28"/>
      <c r="Q1447" s="28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</row>
    <row r="1448" spans="1:39" ht="13">
      <c r="A1448" s="20"/>
      <c r="B1448" s="20"/>
      <c r="C1448" s="20"/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  <c r="N1448" s="20"/>
      <c r="O1448" s="20"/>
      <c r="P1448" s="28"/>
      <c r="Q1448" s="28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</row>
    <row r="1449" spans="1:39" ht="13">
      <c r="A1449" s="20"/>
      <c r="B1449" s="20"/>
      <c r="C1449" s="20"/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  <c r="N1449" s="20"/>
      <c r="O1449" s="20"/>
      <c r="P1449" s="28"/>
      <c r="Q1449" s="28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</row>
    <row r="1450" spans="1:39" ht="13">
      <c r="A1450" s="20"/>
      <c r="B1450" s="20"/>
      <c r="C1450" s="20"/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  <c r="N1450" s="20"/>
      <c r="O1450" s="20"/>
      <c r="P1450" s="28"/>
      <c r="Q1450" s="28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</row>
    <row r="1451" spans="1:39" ht="13">
      <c r="A1451" s="20"/>
      <c r="B1451" s="20"/>
      <c r="C1451" s="20"/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  <c r="N1451" s="20"/>
      <c r="O1451" s="20"/>
      <c r="P1451" s="28"/>
      <c r="Q1451" s="28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</row>
    <row r="1452" spans="1:39" ht="13">
      <c r="A1452" s="20"/>
      <c r="B1452" s="20"/>
      <c r="C1452" s="20"/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  <c r="N1452" s="20"/>
      <c r="O1452" s="20"/>
      <c r="P1452" s="28"/>
      <c r="Q1452" s="28"/>
      <c r="R1452" s="20"/>
      <c r="S1452" s="20"/>
      <c r="T1452" s="20"/>
      <c r="U1452" s="20"/>
      <c r="V1452" s="20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</row>
    <row r="1453" spans="1:39" ht="13">
      <c r="A1453" s="20"/>
      <c r="B1453" s="20"/>
      <c r="C1453" s="20"/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  <c r="N1453" s="20"/>
      <c r="O1453" s="20"/>
      <c r="P1453" s="28"/>
      <c r="Q1453" s="28"/>
      <c r="R1453" s="20"/>
      <c r="S1453" s="20"/>
      <c r="T1453" s="20"/>
      <c r="U1453" s="20"/>
      <c r="V1453" s="20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</row>
    <row r="1454" spans="1:39" ht="13">
      <c r="A1454" s="20"/>
      <c r="B1454" s="20"/>
      <c r="C1454" s="20"/>
      <c r="D1454" s="20"/>
      <c r="E1454" s="20"/>
      <c r="F1454" s="20"/>
      <c r="G1454" s="20"/>
      <c r="H1454" s="20"/>
      <c r="I1454" s="20"/>
      <c r="J1454" s="20"/>
      <c r="K1454" s="20"/>
      <c r="L1454" s="20"/>
      <c r="M1454" s="20"/>
      <c r="N1454" s="20"/>
      <c r="O1454" s="20"/>
      <c r="P1454" s="28"/>
      <c r="Q1454" s="28"/>
      <c r="R1454" s="20"/>
      <c r="S1454" s="20"/>
      <c r="T1454" s="20"/>
      <c r="U1454" s="20"/>
      <c r="V1454" s="20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</row>
    <row r="1455" spans="1:39" ht="13">
      <c r="A1455" s="20"/>
      <c r="B1455" s="20"/>
      <c r="C1455" s="20"/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  <c r="N1455" s="20"/>
      <c r="O1455" s="20"/>
      <c r="P1455" s="28"/>
      <c r="Q1455" s="28"/>
      <c r="R1455" s="20"/>
      <c r="S1455" s="20"/>
      <c r="T1455" s="20"/>
      <c r="U1455" s="20"/>
      <c r="V1455" s="20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</row>
    <row r="1456" spans="1:39" ht="13">
      <c r="A1456" s="20"/>
      <c r="B1456" s="20"/>
      <c r="C1456" s="20"/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  <c r="N1456" s="20"/>
      <c r="O1456" s="20"/>
      <c r="P1456" s="28"/>
      <c r="Q1456" s="28"/>
      <c r="R1456" s="20"/>
      <c r="S1456" s="20"/>
      <c r="T1456" s="20"/>
      <c r="U1456" s="20"/>
      <c r="V1456" s="20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</row>
    <row r="1457" spans="1:39" ht="13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8"/>
      <c r="Q1457" s="28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</row>
    <row r="1458" spans="1:39" ht="13">
      <c r="A1458" s="20"/>
      <c r="B1458" s="20"/>
      <c r="C1458" s="20"/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  <c r="N1458" s="20"/>
      <c r="O1458" s="20"/>
      <c r="P1458" s="28"/>
      <c r="Q1458" s="28"/>
      <c r="R1458" s="20"/>
      <c r="S1458" s="20"/>
      <c r="T1458" s="20"/>
      <c r="U1458" s="20"/>
      <c r="V1458" s="20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</row>
    <row r="1459" spans="1:39" ht="13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8"/>
      <c r="Q1459" s="28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</row>
    <row r="1460" spans="1:39" ht="13">
      <c r="A1460" s="20"/>
      <c r="B1460" s="20"/>
      <c r="C1460" s="20"/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  <c r="N1460" s="20"/>
      <c r="O1460" s="20"/>
      <c r="P1460" s="28"/>
      <c r="Q1460" s="28"/>
      <c r="R1460" s="20"/>
      <c r="S1460" s="20"/>
      <c r="T1460" s="20"/>
      <c r="U1460" s="20"/>
      <c r="V1460" s="20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</row>
    <row r="1461" spans="1:39" ht="13">
      <c r="A1461" s="20"/>
      <c r="B1461" s="20"/>
      <c r="C1461" s="20"/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  <c r="N1461" s="20"/>
      <c r="O1461" s="20"/>
      <c r="P1461" s="28"/>
      <c r="Q1461" s="28"/>
      <c r="R1461" s="20"/>
      <c r="S1461" s="20"/>
      <c r="T1461" s="20"/>
      <c r="U1461" s="20"/>
      <c r="V1461" s="20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</row>
    <row r="1462" spans="1:39" ht="13">
      <c r="A1462" s="20"/>
      <c r="B1462" s="20"/>
      <c r="C1462" s="20"/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  <c r="N1462" s="20"/>
      <c r="O1462" s="20"/>
      <c r="P1462" s="28"/>
      <c r="Q1462" s="28"/>
      <c r="R1462" s="20"/>
      <c r="S1462" s="20"/>
      <c r="T1462" s="20"/>
      <c r="U1462" s="20"/>
      <c r="V1462" s="20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</row>
    <row r="1463" spans="1:39" ht="13">
      <c r="A1463" s="20"/>
      <c r="B1463" s="20"/>
      <c r="C1463" s="20"/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  <c r="N1463" s="20"/>
      <c r="O1463" s="20"/>
      <c r="P1463" s="28"/>
      <c r="Q1463" s="28"/>
      <c r="R1463" s="20"/>
      <c r="S1463" s="20"/>
      <c r="T1463" s="20"/>
      <c r="U1463" s="20"/>
      <c r="V1463" s="20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</row>
    <row r="1464" spans="1:39" ht="13">
      <c r="A1464" s="20"/>
      <c r="B1464" s="20"/>
      <c r="C1464" s="20"/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  <c r="N1464" s="20"/>
      <c r="O1464" s="20"/>
      <c r="P1464" s="28"/>
      <c r="Q1464" s="28"/>
      <c r="R1464" s="20"/>
      <c r="S1464" s="20"/>
      <c r="T1464" s="20"/>
      <c r="U1464" s="20"/>
      <c r="V1464" s="20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</row>
    <row r="1465" spans="1:39" ht="13">
      <c r="A1465" s="20"/>
      <c r="B1465" s="20"/>
      <c r="C1465" s="20"/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  <c r="N1465" s="20"/>
      <c r="O1465" s="20"/>
      <c r="P1465" s="28"/>
      <c r="Q1465" s="28"/>
      <c r="R1465" s="20"/>
      <c r="S1465" s="20"/>
      <c r="T1465" s="20"/>
      <c r="U1465" s="20"/>
      <c r="V1465" s="20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</row>
    <row r="1466" spans="1:39" ht="13">
      <c r="A1466" s="20"/>
      <c r="B1466" s="20"/>
      <c r="C1466" s="20"/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  <c r="N1466" s="20"/>
      <c r="O1466" s="20"/>
      <c r="P1466" s="28"/>
      <c r="Q1466" s="28"/>
      <c r="R1466" s="20"/>
      <c r="S1466" s="20"/>
      <c r="T1466" s="20"/>
      <c r="U1466" s="20"/>
      <c r="V1466" s="20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</row>
    <row r="1467" spans="1:39" ht="13">
      <c r="A1467" s="20"/>
      <c r="B1467" s="20"/>
      <c r="C1467" s="20"/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  <c r="N1467" s="20"/>
      <c r="O1467" s="20"/>
      <c r="P1467" s="28"/>
      <c r="Q1467" s="28"/>
      <c r="R1467" s="20"/>
      <c r="S1467" s="20"/>
      <c r="T1467" s="20"/>
      <c r="U1467" s="20"/>
      <c r="V1467" s="20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</row>
    <row r="1468" spans="1:39" ht="13">
      <c r="A1468" s="20"/>
      <c r="B1468" s="20"/>
      <c r="C1468" s="20"/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  <c r="N1468" s="20"/>
      <c r="O1468" s="20"/>
      <c r="P1468" s="28"/>
      <c r="Q1468" s="28"/>
      <c r="R1468" s="20"/>
      <c r="S1468" s="20"/>
      <c r="T1468" s="20"/>
      <c r="U1468" s="20"/>
      <c r="V1468" s="20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</row>
    <row r="1469" spans="1:39" ht="13">
      <c r="A1469" s="20"/>
      <c r="B1469" s="20"/>
      <c r="C1469" s="20"/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  <c r="N1469" s="20"/>
      <c r="O1469" s="20"/>
      <c r="P1469" s="28"/>
      <c r="Q1469" s="28"/>
      <c r="R1469" s="20"/>
      <c r="S1469" s="20"/>
      <c r="T1469" s="20"/>
      <c r="U1469" s="20"/>
      <c r="V1469" s="20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</row>
    <row r="1470" spans="1:39" ht="13">
      <c r="A1470" s="20"/>
      <c r="B1470" s="20"/>
      <c r="C1470" s="20"/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  <c r="N1470" s="20"/>
      <c r="O1470" s="20"/>
      <c r="P1470" s="28"/>
      <c r="Q1470" s="28"/>
      <c r="R1470" s="20"/>
      <c r="S1470" s="20"/>
      <c r="T1470" s="20"/>
      <c r="U1470" s="20"/>
      <c r="V1470" s="20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</row>
    <row r="1471" spans="1:39" ht="13">
      <c r="A1471" s="20"/>
      <c r="B1471" s="20"/>
      <c r="C1471" s="20"/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  <c r="N1471" s="20"/>
      <c r="O1471" s="20"/>
      <c r="P1471" s="28"/>
      <c r="Q1471" s="28"/>
      <c r="R1471" s="20"/>
      <c r="S1471" s="20"/>
      <c r="T1471" s="20"/>
      <c r="U1471" s="20"/>
      <c r="V1471" s="20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</row>
    <row r="1472" spans="1:39" ht="13">
      <c r="A1472" s="20"/>
      <c r="B1472" s="20"/>
      <c r="C1472" s="20"/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  <c r="N1472" s="20"/>
      <c r="O1472" s="20"/>
      <c r="P1472" s="28"/>
      <c r="Q1472" s="28"/>
      <c r="R1472" s="20"/>
      <c r="S1472" s="20"/>
      <c r="T1472" s="20"/>
      <c r="U1472" s="20"/>
      <c r="V1472" s="20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</row>
    <row r="1473" spans="1:39" ht="13">
      <c r="A1473" s="20"/>
      <c r="B1473" s="20"/>
      <c r="C1473" s="20"/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  <c r="N1473" s="20"/>
      <c r="O1473" s="20"/>
      <c r="P1473" s="28"/>
      <c r="Q1473" s="28"/>
      <c r="R1473" s="20"/>
      <c r="S1473" s="20"/>
      <c r="T1473" s="20"/>
      <c r="U1473" s="20"/>
      <c r="V1473" s="20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</row>
    <row r="1474" spans="1:39" ht="13">
      <c r="A1474" s="20"/>
      <c r="B1474" s="20"/>
      <c r="C1474" s="20"/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  <c r="N1474" s="20"/>
      <c r="O1474" s="20"/>
      <c r="P1474" s="28"/>
      <c r="Q1474" s="28"/>
      <c r="R1474" s="20"/>
      <c r="S1474" s="20"/>
      <c r="T1474" s="20"/>
      <c r="U1474" s="20"/>
      <c r="V1474" s="20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</row>
    <row r="1475" spans="1:39" ht="13">
      <c r="A1475" s="20"/>
      <c r="B1475" s="20"/>
      <c r="C1475" s="20"/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  <c r="N1475" s="20"/>
      <c r="O1475" s="20"/>
      <c r="P1475" s="28"/>
      <c r="Q1475" s="28"/>
      <c r="R1475" s="20"/>
      <c r="S1475" s="20"/>
      <c r="T1475" s="20"/>
      <c r="U1475" s="20"/>
      <c r="V1475" s="20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</row>
    <row r="1476" spans="1:39" ht="13">
      <c r="A1476" s="20"/>
      <c r="B1476" s="20"/>
      <c r="C1476" s="20"/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  <c r="N1476" s="20"/>
      <c r="O1476" s="20"/>
      <c r="P1476" s="28"/>
      <c r="Q1476" s="28"/>
      <c r="R1476" s="20"/>
      <c r="S1476" s="20"/>
      <c r="T1476" s="20"/>
      <c r="U1476" s="20"/>
      <c r="V1476" s="20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</row>
    <row r="1477" spans="1:39" ht="13">
      <c r="A1477" s="20"/>
      <c r="B1477" s="20"/>
      <c r="C1477" s="20"/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  <c r="N1477" s="20"/>
      <c r="O1477" s="20"/>
      <c r="P1477" s="28"/>
      <c r="Q1477" s="28"/>
      <c r="R1477" s="20"/>
      <c r="S1477" s="20"/>
      <c r="T1477" s="20"/>
      <c r="U1477" s="20"/>
      <c r="V1477" s="20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</row>
    <row r="1478" spans="1:39" ht="13">
      <c r="A1478" s="20"/>
      <c r="B1478" s="20"/>
      <c r="C1478" s="20"/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  <c r="N1478" s="20"/>
      <c r="O1478" s="20"/>
      <c r="P1478" s="28"/>
      <c r="Q1478" s="28"/>
      <c r="R1478" s="20"/>
      <c r="S1478" s="20"/>
      <c r="T1478" s="20"/>
      <c r="U1478" s="20"/>
      <c r="V1478" s="20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</row>
    <row r="1479" spans="1:39" ht="13">
      <c r="A1479" s="20"/>
      <c r="B1479" s="20"/>
      <c r="C1479" s="20"/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  <c r="N1479" s="20"/>
      <c r="O1479" s="20"/>
      <c r="P1479" s="28"/>
      <c r="Q1479" s="28"/>
      <c r="R1479" s="20"/>
      <c r="S1479" s="20"/>
      <c r="T1479" s="20"/>
      <c r="U1479" s="20"/>
      <c r="V1479" s="20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</row>
    <row r="1480" spans="1:39" ht="13">
      <c r="A1480" s="20"/>
      <c r="B1480" s="20"/>
      <c r="C1480" s="20"/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  <c r="N1480" s="20"/>
      <c r="O1480" s="20"/>
      <c r="P1480" s="28"/>
      <c r="Q1480" s="28"/>
      <c r="R1480" s="20"/>
      <c r="S1480" s="20"/>
      <c r="T1480" s="20"/>
      <c r="U1480" s="20"/>
      <c r="V1480" s="20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</row>
    <row r="1481" spans="1:39" ht="13">
      <c r="A1481" s="20"/>
      <c r="B1481" s="20"/>
      <c r="C1481" s="20"/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  <c r="N1481" s="20"/>
      <c r="O1481" s="20"/>
      <c r="P1481" s="28"/>
      <c r="Q1481" s="28"/>
      <c r="R1481" s="20"/>
      <c r="S1481" s="20"/>
      <c r="T1481" s="20"/>
      <c r="U1481" s="20"/>
      <c r="V1481" s="20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</row>
    <row r="1482" spans="1:39" ht="13">
      <c r="A1482" s="20"/>
      <c r="B1482" s="20"/>
      <c r="C1482" s="20"/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  <c r="N1482" s="20"/>
      <c r="O1482" s="20"/>
      <c r="P1482" s="28"/>
      <c r="Q1482" s="28"/>
      <c r="R1482" s="20"/>
      <c r="S1482" s="20"/>
      <c r="T1482" s="20"/>
      <c r="U1482" s="20"/>
      <c r="V1482" s="20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</row>
    <row r="1483" spans="1:39" ht="13">
      <c r="A1483" s="20"/>
      <c r="B1483" s="20"/>
      <c r="C1483" s="20"/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  <c r="N1483" s="20"/>
      <c r="O1483" s="20"/>
      <c r="P1483" s="28"/>
      <c r="Q1483" s="28"/>
      <c r="R1483" s="20"/>
      <c r="S1483" s="20"/>
      <c r="T1483" s="20"/>
      <c r="U1483" s="20"/>
      <c r="V1483" s="20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</row>
    <row r="1484" spans="1:39" ht="13">
      <c r="A1484" s="20"/>
      <c r="B1484" s="20"/>
      <c r="C1484" s="2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8"/>
      <c r="Q1484" s="28"/>
      <c r="R1484" s="20"/>
      <c r="S1484" s="20"/>
      <c r="T1484" s="20"/>
      <c r="U1484" s="20"/>
      <c r="V1484" s="20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</row>
    <row r="1485" spans="1:39" ht="13">
      <c r="A1485" s="20"/>
      <c r="B1485" s="20"/>
      <c r="C1485" s="20"/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  <c r="N1485" s="20"/>
      <c r="O1485" s="20"/>
      <c r="P1485" s="28"/>
      <c r="Q1485" s="28"/>
      <c r="R1485" s="20"/>
      <c r="S1485" s="20"/>
      <c r="T1485" s="20"/>
      <c r="U1485" s="20"/>
      <c r="V1485" s="20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</row>
    <row r="1486" spans="1:39" ht="13">
      <c r="A1486" s="20"/>
      <c r="B1486" s="20"/>
      <c r="C1486" s="20"/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  <c r="N1486" s="20"/>
      <c r="O1486" s="20"/>
      <c r="P1486" s="28"/>
      <c r="Q1486" s="28"/>
      <c r="R1486" s="20"/>
      <c r="S1486" s="20"/>
      <c r="T1486" s="20"/>
      <c r="U1486" s="20"/>
      <c r="V1486" s="20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</row>
    <row r="1487" spans="1:39" ht="13">
      <c r="A1487" s="20"/>
      <c r="B1487" s="20"/>
      <c r="C1487" s="20"/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  <c r="N1487" s="20"/>
      <c r="O1487" s="20"/>
      <c r="P1487" s="28"/>
      <c r="Q1487" s="28"/>
      <c r="R1487" s="20"/>
      <c r="S1487" s="20"/>
      <c r="T1487" s="20"/>
      <c r="U1487" s="20"/>
      <c r="V1487" s="20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</row>
    <row r="1488" spans="1:39" ht="13">
      <c r="A1488" s="20"/>
      <c r="B1488" s="20"/>
      <c r="C1488" s="20"/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  <c r="N1488" s="20"/>
      <c r="O1488" s="20"/>
      <c r="P1488" s="28"/>
      <c r="Q1488" s="28"/>
      <c r="R1488" s="20"/>
      <c r="S1488" s="20"/>
      <c r="T1488" s="20"/>
      <c r="U1488" s="20"/>
      <c r="V1488" s="20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</row>
    <row r="1489" spans="1:39" ht="13">
      <c r="A1489" s="20"/>
      <c r="B1489" s="20"/>
      <c r="C1489" s="20"/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  <c r="N1489" s="20"/>
      <c r="O1489" s="20"/>
      <c r="P1489" s="28"/>
      <c r="Q1489" s="28"/>
      <c r="R1489" s="20"/>
      <c r="S1489" s="20"/>
      <c r="T1489" s="20"/>
      <c r="U1489" s="20"/>
      <c r="V1489" s="20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</row>
    <row r="1490" spans="1:39" ht="13">
      <c r="A1490" s="20"/>
      <c r="B1490" s="20"/>
      <c r="C1490" s="20"/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  <c r="N1490" s="20"/>
      <c r="O1490" s="20"/>
      <c r="P1490" s="28"/>
      <c r="Q1490" s="28"/>
      <c r="R1490" s="20"/>
      <c r="S1490" s="20"/>
      <c r="T1490" s="20"/>
      <c r="U1490" s="20"/>
      <c r="V1490" s="20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</row>
    <row r="1491" spans="1:39" ht="13">
      <c r="A1491" s="20"/>
      <c r="B1491" s="20"/>
      <c r="C1491" s="20"/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  <c r="N1491" s="20"/>
      <c r="O1491" s="20"/>
      <c r="P1491" s="28"/>
      <c r="Q1491" s="28"/>
      <c r="R1491" s="20"/>
      <c r="S1491" s="20"/>
      <c r="T1491" s="20"/>
      <c r="U1491" s="20"/>
      <c r="V1491" s="20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</row>
    <row r="1492" spans="1:39" ht="13">
      <c r="A1492" s="20"/>
      <c r="B1492" s="20"/>
      <c r="C1492" s="20"/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  <c r="N1492" s="20"/>
      <c r="O1492" s="20"/>
      <c r="P1492" s="28"/>
      <c r="Q1492" s="28"/>
      <c r="R1492" s="20"/>
      <c r="S1492" s="20"/>
      <c r="T1492" s="20"/>
      <c r="U1492" s="20"/>
      <c r="V1492" s="20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</row>
    <row r="1493" spans="1:39" ht="13">
      <c r="A1493" s="20"/>
      <c r="B1493" s="20"/>
      <c r="C1493" s="20"/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  <c r="N1493" s="20"/>
      <c r="O1493" s="20"/>
      <c r="P1493" s="28"/>
      <c r="Q1493" s="28"/>
      <c r="R1493" s="20"/>
      <c r="S1493" s="20"/>
      <c r="T1493" s="20"/>
      <c r="U1493" s="20"/>
      <c r="V1493" s="20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</row>
    <row r="1494" spans="1:39" ht="13">
      <c r="A1494" s="20"/>
      <c r="B1494" s="20"/>
      <c r="C1494" s="20"/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  <c r="N1494" s="20"/>
      <c r="O1494" s="20"/>
      <c r="P1494" s="28"/>
      <c r="Q1494" s="28"/>
      <c r="R1494" s="20"/>
      <c r="S1494" s="20"/>
      <c r="T1494" s="20"/>
      <c r="U1494" s="20"/>
      <c r="V1494" s="20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</row>
    <row r="1495" spans="1:39" ht="13">
      <c r="A1495" s="20"/>
      <c r="B1495" s="20"/>
      <c r="C1495" s="20"/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  <c r="N1495" s="20"/>
      <c r="O1495" s="20"/>
      <c r="P1495" s="28"/>
      <c r="Q1495" s="28"/>
      <c r="R1495" s="20"/>
      <c r="S1495" s="20"/>
      <c r="T1495" s="20"/>
      <c r="U1495" s="20"/>
      <c r="V1495" s="20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</row>
    <row r="1496" spans="1:39" ht="13">
      <c r="A1496" s="20"/>
      <c r="B1496" s="20"/>
      <c r="C1496" s="20"/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  <c r="N1496" s="20"/>
      <c r="O1496" s="20"/>
      <c r="P1496" s="28"/>
      <c r="Q1496" s="28"/>
      <c r="R1496" s="20"/>
      <c r="S1496" s="20"/>
      <c r="T1496" s="20"/>
      <c r="U1496" s="20"/>
      <c r="V1496" s="20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</row>
    <row r="1497" spans="1:39" ht="13">
      <c r="A1497" s="20"/>
      <c r="B1497" s="20"/>
      <c r="C1497" s="20"/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  <c r="N1497" s="20"/>
      <c r="O1497" s="20"/>
      <c r="P1497" s="28"/>
      <c r="Q1497" s="28"/>
      <c r="R1497" s="20"/>
      <c r="S1497" s="20"/>
      <c r="T1497" s="20"/>
      <c r="U1497" s="20"/>
      <c r="V1497" s="20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</row>
    <row r="1498" spans="1:39" ht="13">
      <c r="A1498" s="20"/>
      <c r="B1498" s="20"/>
      <c r="C1498" s="20"/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  <c r="N1498" s="20"/>
      <c r="O1498" s="20"/>
      <c r="P1498" s="28"/>
      <c r="Q1498" s="28"/>
      <c r="R1498" s="20"/>
      <c r="S1498" s="20"/>
      <c r="T1498" s="20"/>
      <c r="U1498" s="20"/>
      <c r="V1498" s="20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</row>
    <row r="1499" spans="1:39" ht="13">
      <c r="A1499" s="20"/>
      <c r="B1499" s="20"/>
      <c r="C1499" s="20"/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  <c r="N1499" s="20"/>
      <c r="O1499" s="20"/>
      <c r="P1499" s="28"/>
      <c r="Q1499" s="28"/>
      <c r="R1499" s="20"/>
      <c r="S1499" s="20"/>
      <c r="T1499" s="20"/>
      <c r="U1499" s="20"/>
      <c r="V1499" s="20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</row>
    <row r="1500" spans="1:39" ht="13">
      <c r="A1500" s="20"/>
      <c r="B1500" s="20"/>
      <c r="C1500" s="20"/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  <c r="N1500" s="20"/>
      <c r="O1500" s="20"/>
      <c r="P1500" s="28"/>
      <c r="Q1500" s="28"/>
      <c r="R1500" s="20"/>
      <c r="S1500" s="20"/>
      <c r="T1500" s="20"/>
      <c r="U1500" s="20"/>
      <c r="V1500" s="20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</row>
    <row r="1501" spans="1:39" ht="13">
      <c r="A1501" s="20"/>
      <c r="B1501" s="20"/>
      <c r="C1501" s="20"/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  <c r="N1501" s="20"/>
      <c r="O1501" s="20"/>
      <c r="P1501" s="28"/>
      <c r="Q1501" s="28"/>
      <c r="R1501" s="20"/>
      <c r="S1501" s="20"/>
      <c r="T1501" s="20"/>
      <c r="U1501" s="20"/>
      <c r="V1501" s="20"/>
      <c r="W1501" s="20"/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</row>
    <row r="1502" spans="1:39" ht="13">
      <c r="A1502" s="20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8"/>
      <c r="Q1502" s="28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</row>
    <row r="1503" spans="1:39" ht="13">
      <c r="A1503" s="20"/>
      <c r="B1503" s="20"/>
      <c r="C1503" s="20"/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  <c r="N1503" s="20"/>
      <c r="O1503" s="20"/>
      <c r="P1503" s="28"/>
      <c r="Q1503" s="28"/>
      <c r="R1503" s="20"/>
      <c r="S1503" s="20"/>
      <c r="T1503" s="20"/>
      <c r="U1503" s="20"/>
      <c r="V1503" s="20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</row>
    <row r="1504" spans="1:39" ht="13">
      <c r="A1504" s="20"/>
      <c r="B1504" s="20"/>
      <c r="C1504" s="20"/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  <c r="N1504" s="20"/>
      <c r="O1504" s="20"/>
      <c r="P1504" s="28"/>
      <c r="Q1504" s="28"/>
      <c r="R1504" s="20"/>
      <c r="S1504" s="20"/>
      <c r="T1504" s="20"/>
      <c r="U1504" s="20"/>
      <c r="V1504" s="20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</row>
    <row r="1505" spans="1:39" ht="13">
      <c r="A1505" s="20"/>
      <c r="B1505" s="20"/>
      <c r="C1505" s="20"/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  <c r="N1505" s="20"/>
      <c r="O1505" s="20"/>
      <c r="P1505" s="28"/>
      <c r="Q1505" s="28"/>
      <c r="R1505" s="20"/>
      <c r="S1505" s="20"/>
      <c r="T1505" s="20"/>
      <c r="U1505" s="20"/>
      <c r="V1505" s="20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</row>
    <row r="1506" spans="1:39" ht="13">
      <c r="A1506" s="20"/>
      <c r="B1506" s="20"/>
      <c r="C1506" s="20"/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  <c r="N1506" s="20"/>
      <c r="O1506" s="20"/>
      <c r="P1506" s="28"/>
      <c r="Q1506" s="28"/>
      <c r="R1506" s="20"/>
      <c r="S1506" s="20"/>
      <c r="T1506" s="20"/>
      <c r="U1506" s="20"/>
      <c r="V1506" s="20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</row>
    <row r="1507" spans="1:39" ht="13">
      <c r="A1507" s="20"/>
      <c r="B1507" s="20"/>
      <c r="C1507" s="20"/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  <c r="N1507" s="20"/>
      <c r="O1507" s="20"/>
      <c r="P1507" s="28"/>
      <c r="Q1507" s="28"/>
      <c r="R1507" s="20"/>
      <c r="S1507" s="20"/>
      <c r="T1507" s="20"/>
      <c r="U1507" s="20"/>
      <c r="V1507" s="20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</row>
    <row r="1508" spans="1:39" ht="13">
      <c r="A1508" s="20"/>
      <c r="B1508" s="20"/>
      <c r="C1508" s="20"/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  <c r="N1508" s="20"/>
      <c r="O1508" s="20"/>
      <c r="P1508" s="28"/>
      <c r="Q1508" s="28"/>
      <c r="R1508" s="20"/>
      <c r="S1508" s="20"/>
      <c r="T1508" s="20"/>
      <c r="U1508" s="20"/>
      <c r="V1508" s="20"/>
      <c r="W1508" s="20"/>
      <c r="X1508" s="20"/>
      <c r="Y1508" s="20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</row>
    <row r="1509" spans="1:39" ht="13">
      <c r="A1509" s="20"/>
      <c r="B1509" s="20"/>
      <c r="C1509" s="20"/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  <c r="N1509" s="20"/>
      <c r="O1509" s="20"/>
      <c r="P1509" s="28"/>
      <c r="Q1509" s="28"/>
      <c r="R1509" s="20"/>
      <c r="S1509" s="20"/>
      <c r="T1509" s="20"/>
      <c r="U1509" s="20"/>
      <c r="V1509" s="20"/>
      <c r="W1509" s="20"/>
      <c r="X1509" s="20"/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</row>
    <row r="1510" spans="1:39" ht="13">
      <c r="A1510" s="20"/>
      <c r="B1510" s="20"/>
      <c r="C1510" s="20"/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  <c r="N1510" s="20"/>
      <c r="O1510" s="20"/>
      <c r="P1510" s="28"/>
      <c r="Q1510" s="28"/>
      <c r="R1510" s="20"/>
      <c r="S1510" s="20"/>
      <c r="T1510" s="20"/>
      <c r="U1510" s="20"/>
      <c r="V1510" s="20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  <c r="AL1510" s="20"/>
      <c r="AM1510" s="20"/>
    </row>
    <row r="1511" spans="1:39" ht="13">
      <c r="A1511" s="20"/>
      <c r="B1511" s="20"/>
      <c r="C1511" s="20"/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  <c r="N1511" s="20"/>
      <c r="O1511" s="20"/>
      <c r="P1511" s="28"/>
      <c r="Q1511" s="28"/>
      <c r="R1511" s="20"/>
      <c r="S1511" s="20"/>
      <c r="T1511" s="20"/>
      <c r="U1511" s="20"/>
      <c r="V1511" s="20"/>
      <c r="W1511" s="20"/>
      <c r="X1511" s="20"/>
      <c r="Y1511" s="20"/>
      <c r="Z1511" s="20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  <c r="AL1511" s="20"/>
      <c r="AM1511" s="20"/>
    </row>
    <row r="1512" spans="1:39" ht="13">
      <c r="A1512" s="20"/>
      <c r="B1512" s="20"/>
      <c r="C1512" s="20"/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  <c r="N1512" s="20"/>
      <c r="O1512" s="20"/>
      <c r="P1512" s="28"/>
      <c r="Q1512" s="28"/>
      <c r="R1512" s="20"/>
      <c r="S1512" s="20"/>
      <c r="T1512" s="20"/>
      <c r="U1512" s="20"/>
      <c r="V1512" s="20"/>
      <c r="W1512" s="20"/>
      <c r="X1512" s="20"/>
      <c r="Y1512" s="20"/>
      <c r="Z1512" s="20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  <c r="AL1512" s="20"/>
      <c r="AM1512" s="20"/>
    </row>
    <row r="1513" spans="1:39" ht="13">
      <c r="A1513" s="20"/>
      <c r="B1513" s="20"/>
      <c r="C1513" s="20"/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  <c r="N1513" s="20"/>
      <c r="O1513" s="20"/>
      <c r="P1513" s="28"/>
      <c r="Q1513" s="28"/>
      <c r="R1513" s="20"/>
      <c r="S1513" s="20"/>
      <c r="T1513" s="20"/>
      <c r="U1513" s="20"/>
      <c r="V1513" s="20"/>
      <c r="W1513" s="20"/>
      <c r="X1513" s="20"/>
      <c r="Y1513" s="20"/>
      <c r="Z1513" s="20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  <c r="AL1513" s="20"/>
      <c r="AM1513" s="20"/>
    </row>
    <row r="1514" spans="1:39" ht="13">
      <c r="A1514" s="20"/>
      <c r="B1514" s="20"/>
      <c r="C1514" s="20"/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  <c r="N1514" s="20"/>
      <c r="O1514" s="20"/>
      <c r="P1514" s="28"/>
      <c r="Q1514" s="28"/>
      <c r="R1514" s="20"/>
      <c r="S1514" s="20"/>
      <c r="T1514" s="20"/>
      <c r="U1514" s="20"/>
      <c r="V1514" s="20"/>
      <c r="W1514" s="20"/>
      <c r="X1514" s="20"/>
      <c r="Y1514" s="20"/>
      <c r="Z1514" s="20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  <c r="AL1514" s="20"/>
      <c r="AM1514" s="20"/>
    </row>
    <row r="1515" spans="1:39" ht="13">
      <c r="A1515" s="20"/>
      <c r="B1515" s="20"/>
      <c r="C1515" s="20"/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  <c r="N1515" s="20"/>
      <c r="O1515" s="20"/>
      <c r="P1515" s="28"/>
      <c r="Q1515" s="28"/>
      <c r="R1515" s="20"/>
      <c r="S1515" s="20"/>
      <c r="T1515" s="20"/>
      <c r="U1515" s="20"/>
      <c r="V1515" s="20"/>
      <c r="W1515" s="20"/>
      <c r="X1515" s="20"/>
      <c r="Y1515" s="20"/>
      <c r="Z1515" s="20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  <c r="AL1515" s="20"/>
      <c r="AM1515" s="20"/>
    </row>
    <row r="1516" spans="1:39" ht="13">
      <c r="A1516" s="20"/>
      <c r="B1516" s="20"/>
      <c r="C1516" s="20"/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  <c r="N1516" s="20"/>
      <c r="O1516" s="20"/>
      <c r="P1516" s="28"/>
      <c r="Q1516" s="28"/>
      <c r="R1516" s="20"/>
      <c r="S1516" s="20"/>
      <c r="T1516" s="20"/>
      <c r="U1516" s="20"/>
      <c r="V1516" s="20"/>
      <c r="W1516" s="20"/>
      <c r="X1516" s="20"/>
      <c r="Y1516" s="20"/>
      <c r="Z1516" s="20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  <c r="AL1516" s="20"/>
      <c r="AM1516" s="20"/>
    </row>
    <row r="1517" spans="1:39" ht="13">
      <c r="A1517" s="20"/>
      <c r="B1517" s="20"/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  <c r="N1517" s="20"/>
      <c r="O1517" s="20"/>
      <c r="P1517" s="28"/>
      <c r="Q1517" s="28"/>
      <c r="R1517" s="20"/>
      <c r="S1517" s="20"/>
      <c r="T1517" s="20"/>
      <c r="U1517" s="20"/>
      <c r="V1517" s="20"/>
      <c r="W1517" s="20"/>
      <c r="X1517" s="20"/>
      <c r="Y1517" s="20"/>
      <c r="Z1517" s="20"/>
      <c r="AA1517" s="20"/>
      <c r="AB1517" s="20"/>
      <c r="AC1517" s="20"/>
      <c r="AD1517" s="20"/>
      <c r="AE1517" s="20"/>
      <c r="AF1517" s="20"/>
      <c r="AG1517" s="20"/>
      <c r="AH1517" s="20"/>
      <c r="AI1517" s="20"/>
      <c r="AJ1517" s="20"/>
      <c r="AK1517" s="20"/>
      <c r="AL1517" s="20"/>
      <c r="AM1517" s="20"/>
    </row>
    <row r="1518" spans="1:39" ht="13">
      <c r="A1518" s="20"/>
      <c r="B1518" s="20"/>
      <c r="C1518" s="20"/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  <c r="N1518" s="20"/>
      <c r="O1518" s="20"/>
      <c r="P1518" s="28"/>
      <c r="Q1518" s="28"/>
      <c r="R1518" s="20"/>
      <c r="S1518" s="20"/>
      <c r="T1518" s="20"/>
      <c r="U1518" s="20"/>
      <c r="V1518" s="20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20"/>
      <c r="AG1518" s="20"/>
      <c r="AH1518" s="20"/>
      <c r="AI1518" s="20"/>
      <c r="AJ1518" s="20"/>
      <c r="AK1518" s="20"/>
      <c r="AL1518" s="20"/>
      <c r="AM1518" s="20"/>
    </row>
    <row r="1519" spans="1:39" ht="13">
      <c r="A1519" s="20"/>
      <c r="B1519" s="20"/>
      <c r="C1519" s="20"/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  <c r="N1519" s="20"/>
      <c r="O1519" s="20"/>
      <c r="P1519" s="28"/>
      <c r="Q1519" s="28"/>
      <c r="R1519" s="20"/>
      <c r="S1519" s="20"/>
      <c r="T1519" s="20"/>
      <c r="U1519" s="20"/>
      <c r="V1519" s="20"/>
      <c r="W1519" s="20"/>
      <c r="X1519" s="20"/>
      <c r="Y1519" s="20"/>
      <c r="Z1519" s="20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  <c r="AL1519" s="20"/>
      <c r="AM1519" s="20"/>
    </row>
    <row r="1520" spans="1:39" ht="13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8"/>
      <c r="Q1520" s="28"/>
      <c r="R1520" s="20"/>
      <c r="S1520" s="20"/>
      <c r="T1520" s="20"/>
      <c r="U1520" s="20"/>
      <c r="V1520" s="20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</row>
    <row r="1521" spans="1:39" ht="13">
      <c r="A1521" s="20"/>
      <c r="B1521" s="20"/>
      <c r="C1521" s="20"/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  <c r="N1521" s="20"/>
      <c r="O1521" s="20"/>
      <c r="P1521" s="28"/>
      <c r="Q1521" s="28"/>
      <c r="R1521" s="20"/>
      <c r="S1521" s="20"/>
      <c r="T1521" s="20"/>
      <c r="U1521" s="20"/>
      <c r="V1521" s="20"/>
      <c r="W1521" s="20"/>
      <c r="X1521" s="20"/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</row>
    <row r="1522" spans="1:39" ht="13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8"/>
      <c r="Q1522" s="28"/>
      <c r="R1522" s="20"/>
      <c r="S1522" s="20"/>
      <c r="T1522" s="20"/>
      <c r="U1522" s="20"/>
      <c r="V1522" s="20"/>
      <c r="W1522" s="20"/>
      <c r="X1522" s="20"/>
      <c r="Y1522" s="20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</row>
    <row r="1523" spans="1:39" ht="13">
      <c r="A1523" s="20"/>
      <c r="B1523" s="20"/>
      <c r="C1523" s="20"/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  <c r="N1523" s="20"/>
      <c r="O1523" s="20"/>
      <c r="P1523" s="28"/>
      <c r="Q1523" s="28"/>
      <c r="R1523" s="20"/>
      <c r="S1523" s="20"/>
      <c r="T1523" s="20"/>
      <c r="U1523" s="20"/>
      <c r="V1523" s="20"/>
      <c r="W1523" s="20"/>
      <c r="X1523" s="20"/>
      <c r="Y1523" s="20"/>
      <c r="Z1523" s="20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</row>
    <row r="1524" spans="1:39" ht="13">
      <c r="A1524" s="20"/>
      <c r="B1524" s="20"/>
      <c r="C1524" s="20"/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  <c r="N1524" s="20"/>
      <c r="O1524" s="20"/>
      <c r="P1524" s="28"/>
      <c r="Q1524" s="28"/>
      <c r="R1524" s="20"/>
      <c r="S1524" s="20"/>
      <c r="T1524" s="20"/>
      <c r="U1524" s="20"/>
      <c r="V1524" s="20"/>
      <c r="W1524" s="20"/>
      <c r="X1524" s="20"/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</row>
    <row r="1525" spans="1:39" ht="13">
      <c r="A1525" s="20"/>
      <c r="B1525" s="20"/>
      <c r="C1525" s="20"/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  <c r="N1525" s="20"/>
      <c r="O1525" s="20"/>
      <c r="P1525" s="28"/>
      <c r="Q1525" s="28"/>
      <c r="R1525" s="20"/>
      <c r="S1525" s="20"/>
      <c r="T1525" s="20"/>
      <c r="U1525" s="20"/>
      <c r="V1525" s="20"/>
      <c r="W1525" s="20"/>
      <c r="X1525" s="20"/>
      <c r="Y1525" s="20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</row>
    <row r="1526" spans="1:39" ht="13">
      <c r="A1526" s="20"/>
      <c r="B1526" s="20"/>
      <c r="C1526" s="20"/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  <c r="N1526" s="20"/>
      <c r="O1526" s="20"/>
      <c r="P1526" s="28"/>
      <c r="Q1526" s="28"/>
      <c r="R1526" s="20"/>
      <c r="S1526" s="20"/>
      <c r="T1526" s="20"/>
      <c r="U1526" s="20"/>
      <c r="V1526" s="20"/>
      <c r="W1526" s="20"/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</row>
    <row r="1527" spans="1:39" ht="13">
      <c r="A1527" s="20"/>
      <c r="B1527" s="20"/>
      <c r="C1527" s="20"/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  <c r="N1527" s="20"/>
      <c r="O1527" s="20"/>
      <c r="P1527" s="28"/>
      <c r="Q1527" s="28"/>
      <c r="R1527" s="20"/>
      <c r="S1527" s="20"/>
      <c r="T1527" s="20"/>
      <c r="U1527" s="20"/>
      <c r="V1527" s="20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</row>
    <row r="1528" spans="1:39" ht="13">
      <c r="A1528" s="20"/>
      <c r="B1528" s="20"/>
      <c r="C1528" s="20"/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  <c r="N1528" s="20"/>
      <c r="O1528" s="20"/>
      <c r="P1528" s="28"/>
      <c r="Q1528" s="28"/>
      <c r="R1528" s="20"/>
      <c r="S1528" s="20"/>
      <c r="T1528" s="20"/>
      <c r="U1528" s="20"/>
      <c r="V1528" s="20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20"/>
      <c r="AM1528" s="20"/>
    </row>
    <row r="1529" spans="1:39" ht="13">
      <c r="A1529" s="20"/>
      <c r="B1529" s="20"/>
      <c r="C1529" s="20"/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  <c r="N1529" s="20"/>
      <c r="O1529" s="20"/>
      <c r="P1529" s="28"/>
      <c r="Q1529" s="28"/>
      <c r="R1529" s="20"/>
      <c r="S1529" s="20"/>
      <c r="T1529" s="20"/>
      <c r="U1529" s="20"/>
      <c r="V1529" s="20"/>
      <c r="W1529" s="20"/>
      <c r="X1529" s="20"/>
      <c r="Y1529" s="20"/>
      <c r="Z1529" s="20"/>
      <c r="AA1529" s="20"/>
      <c r="AB1529" s="20"/>
      <c r="AC1529" s="20"/>
      <c r="AD1529" s="20"/>
      <c r="AE1529" s="20"/>
      <c r="AF1529" s="20"/>
      <c r="AG1529" s="20"/>
      <c r="AH1529" s="20"/>
      <c r="AI1529" s="20"/>
      <c r="AJ1529" s="20"/>
      <c r="AK1529" s="20"/>
      <c r="AL1529" s="20"/>
      <c r="AM1529" s="20"/>
    </row>
    <row r="1530" spans="1:39" ht="13">
      <c r="A1530" s="20"/>
      <c r="B1530" s="20"/>
      <c r="C1530" s="20"/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  <c r="N1530" s="20"/>
      <c r="O1530" s="20"/>
      <c r="P1530" s="28"/>
      <c r="Q1530" s="28"/>
      <c r="R1530" s="20"/>
      <c r="S1530" s="20"/>
      <c r="T1530" s="20"/>
      <c r="U1530" s="20"/>
      <c r="V1530" s="20"/>
      <c r="W1530" s="20"/>
      <c r="X1530" s="20"/>
      <c r="Y1530" s="20"/>
      <c r="Z1530" s="20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  <c r="AL1530" s="20"/>
      <c r="AM1530" s="20"/>
    </row>
    <row r="1531" spans="1:39" ht="13">
      <c r="A1531" s="20"/>
      <c r="B1531" s="20"/>
      <c r="C1531" s="20"/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  <c r="N1531" s="20"/>
      <c r="O1531" s="20"/>
      <c r="P1531" s="28"/>
      <c r="Q1531" s="28"/>
      <c r="R1531" s="20"/>
      <c r="S1531" s="20"/>
      <c r="T1531" s="20"/>
      <c r="U1531" s="20"/>
      <c r="V1531" s="20"/>
      <c r="W1531" s="20"/>
      <c r="X1531" s="20"/>
      <c r="Y1531" s="20"/>
      <c r="Z1531" s="20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  <c r="AL1531" s="20"/>
      <c r="AM1531" s="20"/>
    </row>
    <row r="1532" spans="1:39" ht="13">
      <c r="A1532" s="20"/>
      <c r="B1532" s="20"/>
      <c r="C1532" s="20"/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  <c r="N1532" s="20"/>
      <c r="O1532" s="20"/>
      <c r="P1532" s="28"/>
      <c r="Q1532" s="28"/>
      <c r="R1532" s="20"/>
      <c r="S1532" s="20"/>
      <c r="T1532" s="20"/>
      <c r="U1532" s="20"/>
      <c r="V1532" s="20"/>
      <c r="W1532" s="20"/>
      <c r="X1532" s="20"/>
      <c r="Y1532" s="20"/>
      <c r="Z1532" s="20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  <c r="AL1532" s="20"/>
      <c r="AM1532" s="20"/>
    </row>
    <row r="1533" spans="1:39" ht="13">
      <c r="A1533" s="20"/>
      <c r="B1533" s="20"/>
      <c r="C1533" s="20"/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  <c r="N1533" s="20"/>
      <c r="O1533" s="20"/>
      <c r="P1533" s="28"/>
      <c r="Q1533" s="28"/>
      <c r="R1533" s="20"/>
      <c r="S1533" s="20"/>
      <c r="T1533" s="20"/>
      <c r="U1533" s="20"/>
      <c r="V1533" s="20"/>
      <c r="W1533" s="20"/>
      <c r="X1533" s="20"/>
      <c r="Y1533" s="20"/>
      <c r="Z1533" s="20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  <c r="AL1533" s="20"/>
      <c r="AM1533" s="20"/>
    </row>
    <row r="1534" spans="1:39" ht="13">
      <c r="A1534" s="20"/>
      <c r="B1534" s="20"/>
      <c r="C1534" s="20"/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  <c r="N1534" s="20"/>
      <c r="O1534" s="20"/>
      <c r="P1534" s="28"/>
      <c r="Q1534" s="28"/>
      <c r="R1534" s="20"/>
      <c r="S1534" s="20"/>
      <c r="T1534" s="20"/>
      <c r="U1534" s="20"/>
      <c r="V1534" s="20"/>
      <c r="W1534" s="20"/>
      <c r="X1534" s="20"/>
      <c r="Y1534" s="20"/>
      <c r="Z1534" s="20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  <c r="AL1534" s="20"/>
      <c r="AM1534" s="20"/>
    </row>
    <row r="1535" spans="1:39" ht="13">
      <c r="A1535" s="20"/>
      <c r="B1535" s="20"/>
      <c r="C1535" s="20"/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  <c r="N1535" s="20"/>
      <c r="O1535" s="20"/>
      <c r="P1535" s="28"/>
      <c r="Q1535" s="28"/>
      <c r="R1535" s="20"/>
      <c r="S1535" s="20"/>
      <c r="T1535" s="20"/>
      <c r="U1535" s="20"/>
      <c r="V1535" s="20"/>
      <c r="W1535" s="20"/>
      <c r="X1535" s="20"/>
      <c r="Y1535" s="20"/>
      <c r="Z1535" s="20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  <c r="AL1535" s="20"/>
      <c r="AM1535" s="20"/>
    </row>
    <row r="1536" spans="1:39" ht="13">
      <c r="A1536" s="20"/>
      <c r="B1536" s="20"/>
      <c r="C1536" s="20"/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  <c r="N1536" s="20"/>
      <c r="O1536" s="20"/>
      <c r="P1536" s="28"/>
      <c r="Q1536" s="28"/>
      <c r="R1536" s="20"/>
      <c r="S1536" s="20"/>
      <c r="T1536" s="20"/>
      <c r="U1536" s="20"/>
      <c r="V1536" s="20"/>
      <c r="W1536" s="20"/>
      <c r="X1536" s="20"/>
      <c r="Y1536" s="20"/>
      <c r="Z1536" s="20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  <c r="AL1536" s="20"/>
      <c r="AM1536" s="20"/>
    </row>
    <row r="1537" spans="1:39" ht="13">
      <c r="A1537" s="20"/>
      <c r="B1537" s="20"/>
      <c r="C1537" s="20"/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  <c r="N1537" s="20"/>
      <c r="O1537" s="20"/>
      <c r="P1537" s="28"/>
      <c r="Q1537" s="28"/>
      <c r="R1537" s="20"/>
      <c r="S1537" s="20"/>
      <c r="T1537" s="20"/>
      <c r="U1537" s="20"/>
      <c r="V1537" s="20"/>
      <c r="W1537" s="20"/>
      <c r="X1537" s="20"/>
      <c r="Y1537" s="20"/>
      <c r="Z1537" s="20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  <c r="AL1537" s="20"/>
      <c r="AM1537" s="20"/>
    </row>
    <row r="1538" spans="1:39" ht="13">
      <c r="A1538" s="20"/>
      <c r="B1538" s="20"/>
      <c r="C1538" s="20"/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  <c r="N1538" s="20"/>
      <c r="O1538" s="20"/>
      <c r="P1538" s="28"/>
      <c r="Q1538" s="28"/>
      <c r="R1538" s="20"/>
      <c r="S1538" s="20"/>
      <c r="T1538" s="20"/>
      <c r="U1538" s="20"/>
      <c r="V1538" s="20"/>
      <c r="W1538" s="20"/>
      <c r="X1538" s="20"/>
      <c r="Y1538" s="20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  <c r="AL1538" s="20"/>
      <c r="AM1538" s="20"/>
    </row>
    <row r="1539" spans="1:39" ht="13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28"/>
      <c r="Q1539" s="28"/>
      <c r="R1539" s="20"/>
      <c r="S1539" s="20"/>
      <c r="T1539" s="20"/>
      <c r="U1539" s="20"/>
      <c r="V1539" s="20"/>
      <c r="W1539" s="20"/>
      <c r="X1539" s="20"/>
      <c r="Y1539" s="20"/>
      <c r="Z1539" s="20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  <c r="AL1539" s="20"/>
      <c r="AM1539" s="20"/>
    </row>
    <row r="1540" spans="1:39" ht="13">
      <c r="A1540" s="20"/>
      <c r="B1540" s="20"/>
      <c r="C1540" s="20"/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  <c r="N1540" s="20"/>
      <c r="O1540" s="20"/>
      <c r="P1540" s="28"/>
      <c r="Q1540" s="28"/>
      <c r="R1540" s="20"/>
      <c r="S1540" s="20"/>
      <c r="T1540" s="20"/>
      <c r="U1540" s="20"/>
      <c r="V1540" s="20"/>
      <c r="W1540" s="20"/>
      <c r="X1540" s="20"/>
      <c r="Y1540" s="20"/>
      <c r="Z1540" s="20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  <c r="AL1540" s="20"/>
      <c r="AM1540" s="20"/>
    </row>
    <row r="1541" spans="1:39" ht="13">
      <c r="A1541" s="20"/>
      <c r="B1541" s="20"/>
      <c r="C1541" s="20"/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  <c r="N1541" s="20"/>
      <c r="O1541" s="20"/>
      <c r="P1541" s="28"/>
      <c r="Q1541" s="28"/>
      <c r="R1541" s="20"/>
      <c r="S1541" s="20"/>
      <c r="T1541" s="20"/>
      <c r="U1541" s="20"/>
      <c r="V1541" s="20"/>
      <c r="W1541" s="20"/>
      <c r="X1541" s="20"/>
      <c r="Y1541" s="20"/>
      <c r="Z1541" s="20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  <c r="AL1541" s="20"/>
      <c r="AM1541" s="20"/>
    </row>
    <row r="1542" spans="1:39" ht="13">
      <c r="A1542" s="20"/>
      <c r="B1542" s="20"/>
      <c r="C1542" s="20"/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  <c r="N1542" s="20"/>
      <c r="O1542" s="20"/>
      <c r="P1542" s="28"/>
      <c r="Q1542" s="28"/>
      <c r="R1542" s="20"/>
      <c r="S1542" s="20"/>
      <c r="T1542" s="20"/>
      <c r="U1542" s="20"/>
      <c r="V1542" s="20"/>
      <c r="W1542" s="20"/>
      <c r="X1542" s="20"/>
      <c r="Y1542" s="20"/>
      <c r="Z1542" s="20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  <c r="AL1542" s="20"/>
      <c r="AM1542" s="20"/>
    </row>
    <row r="1543" spans="1:39" ht="13">
      <c r="A1543" s="20"/>
      <c r="B1543" s="20"/>
      <c r="C1543" s="20"/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  <c r="N1543" s="20"/>
      <c r="O1543" s="20"/>
      <c r="P1543" s="28"/>
      <c r="Q1543" s="28"/>
      <c r="R1543" s="20"/>
      <c r="S1543" s="20"/>
      <c r="T1543" s="20"/>
      <c r="U1543" s="20"/>
      <c r="V1543" s="20"/>
      <c r="W1543" s="20"/>
      <c r="X1543" s="20"/>
      <c r="Y1543" s="20"/>
      <c r="Z1543" s="20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  <c r="AL1543" s="20"/>
      <c r="AM1543" s="20"/>
    </row>
    <row r="1544" spans="1:39" ht="13">
      <c r="A1544" s="20"/>
      <c r="B1544" s="20"/>
      <c r="C1544" s="20"/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  <c r="N1544" s="20"/>
      <c r="O1544" s="20"/>
      <c r="P1544" s="28"/>
      <c r="Q1544" s="28"/>
      <c r="R1544" s="20"/>
      <c r="S1544" s="20"/>
      <c r="T1544" s="20"/>
      <c r="U1544" s="20"/>
      <c r="V1544" s="20"/>
      <c r="W1544" s="20"/>
      <c r="X1544" s="20"/>
      <c r="Y1544" s="20"/>
      <c r="Z1544" s="20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  <c r="AL1544" s="20"/>
      <c r="AM1544" s="20"/>
    </row>
    <row r="1545" spans="1:39" ht="13">
      <c r="A1545" s="20"/>
      <c r="B1545" s="20"/>
      <c r="C1545" s="20"/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  <c r="N1545" s="20"/>
      <c r="O1545" s="20"/>
      <c r="P1545" s="28"/>
      <c r="Q1545" s="28"/>
      <c r="R1545" s="20"/>
      <c r="S1545" s="20"/>
      <c r="T1545" s="20"/>
      <c r="U1545" s="20"/>
      <c r="V1545" s="20"/>
      <c r="W1545" s="20"/>
      <c r="X1545" s="20"/>
      <c r="Y1545" s="20"/>
      <c r="Z1545" s="20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  <c r="AL1545" s="20"/>
      <c r="AM1545" s="20"/>
    </row>
    <row r="1546" spans="1:39" ht="13">
      <c r="A1546" s="20"/>
      <c r="B1546" s="20"/>
      <c r="C1546" s="20"/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  <c r="N1546" s="20"/>
      <c r="O1546" s="20"/>
      <c r="P1546" s="28"/>
      <c r="Q1546" s="28"/>
      <c r="R1546" s="20"/>
      <c r="S1546" s="20"/>
      <c r="T1546" s="20"/>
      <c r="U1546" s="20"/>
      <c r="V1546" s="20"/>
      <c r="W1546" s="20"/>
      <c r="X1546" s="20"/>
      <c r="Y1546" s="20"/>
      <c r="Z1546" s="20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  <c r="AL1546" s="20"/>
      <c r="AM1546" s="20"/>
    </row>
    <row r="1547" spans="1:39" ht="13">
      <c r="A1547" s="20"/>
      <c r="B1547" s="20"/>
      <c r="C1547" s="20"/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  <c r="N1547" s="20"/>
      <c r="O1547" s="20"/>
      <c r="P1547" s="28"/>
      <c r="Q1547" s="28"/>
      <c r="R1547" s="20"/>
      <c r="S1547" s="20"/>
      <c r="T1547" s="20"/>
      <c r="U1547" s="20"/>
      <c r="V1547" s="20"/>
      <c r="W1547" s="20"/>
      <c r="X1547" s="20"/>
      <c r="Y1547" s="20"/>
      <c r="Z1547" s="20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  <c r="AL1547" s="20"/>
      <c r="AM1547" s="20"/>
    </row>
    <row r="1548" spans="1:39" ht="13">
      <c r="A1548" s="20"/>
      <c r="B1548" s="20"/>
      <c r="C1548" s="20"/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  <c r="N1548" s="20"/>
      <c r="O1548" s="20"/>
      <c r="P1548" s="28"/>
      <c r="Q1548" s="28"/>
      <c r="R1548" s="20"/>
      <c r="S1548" s="20"/>
      <c r="T1548" s="20"/>
      <c r="U1548" s="20"/>
      <c r="V1548" s="20"/>
      <c r="W1548" s="20"/>
      <c r="X1548" s="20"/>
      <c r="Y1548" s="20"/>
      <c r="Z1548" s="20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  <c r="AL1548" s="20"/>
      <c r="AM1548" s="20"/>
    </row>
    <row r="1549" spans="1:39" ht="13">
      <c r="A1549" s="20"/>
      <c r="B1549" s="20"/>
      <c r="C1549" s="20"/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  <c r="N1549" s="20"/>
      <c r="O1549" s="20"/>
      <c r="P1549" s="28"/>
      <c r="Q1549" s="28"/>
      <c r="R1549" s="20"/>
      <c r="S1549" s="20"/>
      <c r="T1549" s="20"/>
      <c r="U1549" s="20"/>
      <c r="V1549" s="20"/>
      <c r="W1549" s="20"/>
      <c r="X1549" s="20"/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</row>
    <row r="1550" spans="1:39" ht="13">
      <c r="A1550" s="20"/>
      <c r="B1550" s="20"/>
      <c r="C1550" s="20"/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  <c r="N1550" s="20"/>
      <c r="O1550" s="20"/>
      <c r="P1550" s="28"/>
      <c r="Q1550" s="28"/>
      <c r="R1550" s="20"/>
      <c r="S1550" s="20"/>
      <c r="T1550" s="20"/>
      <c r="U1550" s="20"/>
      <c r="V1550" s="20"/>
      <c r="W1550" s="20"/>
      <c r="X1550" s="20"/>
      <c r="Y1550" s="20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  <c r="AL1550" s="20"/>
      <c r="AM1550" s="20"/>
    </row>
    <row r="1551" spans="1:39" ht="13">
      <c r="A1551" s="20"/>
      <c r="B1551" s="20"/>
      <c r="C1551" s="20"/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  <c r="N1551" s="20"/>
      <c r="O1551" s="20"/>
      <c r="P1551" s="28"/>
      <c r="Q1551" s="28"/>
      <c r="R1551" s="20"/>
      <c r="S1551" s="20"/>
      <c r="T1551" s="20"/>
      <c r="U1551" s="20"/>
      <c r="V1551" s="20"/>
      <c r="W1551" s="20"/>
      <c r="X1551" s="20"/>
      <c r="Y1551" s="20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</row>
    <row r="1552" spans="1:39" ht="13">
      <c r="A1552" s="20"/>
      <c r="B1552" s="20"/>
      <c r="C1552" s="20"/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  <c r="N1552" s="20"/>
      <c r="O1552" s="20"/>
      <c r="P1552" s="28"/>
      <c r="Q1552" s="28"/>
      <c r="R1552" s="20"/>
      <c r="S1552" s="20"/>
      <c r="T1552" s="20"/>
      <c r="U1552" s="20"/>
      <c r="V1552" s="20"/>
      <c r="W1552" s="20"/>
      <c r="X1552" s="20"/>
      <c r="Y1552" s="20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</row>
    <row r="1553" spans="1:39" ht="13">
      <c r="A1553" s="20"/>
      <c r="B1553" s="20"/>
      <c r="C1553" s="20"/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  <c r="N1553" s="20"/>
      <c r="O1553" s="20"/>
      <c r="P1553" s="28"/>
      <c r="Q1553" s="28"/>
      <c r="R1553" s="20"/>
      <c r="S1553" s="20"/>
      <c r="T1553" s="20"/>
      <c r="U1553" s="20"/>
      <c r="V1553" s="20"/>
      <c r="W1553" s="20"/>
      <c r="X1553" s="20"/>
      <c r="Y1553" s="20"/>
      <c r="Z1553" s="20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</row>
    <row r="1554" spans="1:39" ht="13">
      <c r="A1554" s="20"/>
      <c r="B1554" s="20"/>
      <c r="C1554" s="20"/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  <c r="N1554" s="20"/>
      <c r="O1554" s="20"/>
      <c r="P1554" s="28"/>
      <c r="Q1554" s="28"/>
      <c r="R1554" s="20"/>
      <c r="S1554" s="20"/>
      <c r="T1554" s="20"/>
      <c r="U1554" s="20"/>
      <c r="V1554" s="20"/>
      <c r="W1554" s="20"/>
      <c r="X1554" s="20"/>
      <c r="Y1554" s="20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</row>
    <row r="1555" spans="1:39" ht="13">
      <c r="A1555" s="20"/>
      <c r="B1555" s="20"/>
      <c r="C1555" s="20"/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  <c r="N1555" s="20"/>
      <c r="O1555" s="20"/>
      <c r="P1555" s="28"/>
      <c r="Q1555" s="28"/>
      <c r="R1555" s="20"/>
      <c r="S1555" s="20"/>
      <c r="T1555" s="20"/>
      <c r="U1555" s="20"/>
      <c r="V1555" s="20"/>
      <c r="W1555" s="20"/>
      <c r="X1555" s="20"/>
      <c r="Y1555" s="20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</row>
    <row r="1556" spans="1:39" ht="13">
      <c r="A1556" s="20"/>
      <c r="B1556" s="20"/>
      <c r="C1556" s="20"/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  <c r="N1556" s="20"/>
      <c r="O1556" s="20"/>
      <c r="P1556" s="28"/>
      <c r="Q1556" s="28"/>
      <c r="R1556" s="20"/>
      <c r="S1556" s="20"/>
      <c r="T1556" s="20"/>
      <c r="U1556" s="20"/>
      <c r="V1556" s="20"/>
      <c r="W1556" s="20"/>
      <c r="X1556" s="20"/>
      <c r="Y1556" s="20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</row>
    <row r="1557" spans="1:39" ht="13">
      <c r="A1557" s="20"/>
      <c r="B1557" s="20"/>
      <c r="C1557" s="20"/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  <c r="N1557" s="20"/>
      <c r="O1557" s="20"/>
      <c r="P1557" s="28"/>
      <c r="Q1557" s="28"/>
      <c r="R1557" s="20"/>
      <c r="S1557" s="20"/>
      <c r="T1557" s="20"/>
      <c r="U1557" s="20"/>
      <c r="V1557" s="20"/>
      <c r="W1557" s="20"/>
      <c r="X1557" s="20"/>
      <c r="Y1557" s="20"/>
      <c r="Z1557" s="20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  <c r="AL1557" s="20"/>
      <c r="AM1557" s="20"/>
    </row>
    <row r="1558" spans="1:39" ht="13">
      <c r="A1558" s="20"/>
      <c r="B1558" s="20"/>
      <c r="C1558" s="20"/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  <c r="N1558" s="20"/>
      <c r="O1558" s="20"/>
      <c r="P1558" s="28"/>
      <c r="Q1558" s="28"/>
      <c r="R1558" s="20"/>
      <c r="S1558" s="20"/>
      <c r="T1558" s="20"/>
      <c r="U1558" s="20"/>
      <c r="V1558" s="20"/>
      <c r="W1558" s="20"/>
      <c r="X1558" s="20"/>
      <c r="Y1558" s="20"/>
      <c r="Z1558" s="20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  <c r="AL1558" s="20"/>
      <c r="AM1558" s="20"/>
    </row>
    <row r="1559" spans="1:39" ht="13">
      <c r="A1559" s="20"/>
      <c r="B1559" s="20"/>
      <c r="C1559" s="20"/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  <c r="N1559" s="20"/>
      <c r="O1559" s="20"/>
      <c r="P1559" s="28"/>
      <c r="Q1559" s="28"/>
      <c r="R1559" s="20"/>
      <c r="S1559" s="20"/>
      <c r="T1559" s="20"/>
      <c r="U1559" s="20"/>
      <c r="V1559" s="20"/>
      <c r="W1559" s="20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  <c r="AL1559" s="20"/>
      <c r="AM1559" s="20"/>
    </row>
    <row r="1560" spans="1:39" ht="13">
      <c r="A1560" s="20"/>
      <c r="B1560" s="20"/>
      <c r="C1560" s="20"/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  <c r="N1560" s="20"/>
      <c r="O1560" s="20"/>
      <c r="P1560" s="28"/>
      <c r="Q1560" s="28"/>
      <c r="R1560" s="20"/>
      <c r="S1560" s="20"/>
      <c r="T1560" s="20"/>
      <c r="U1560" s="20"/>
      <c r="V1560" s="20"/>
      <c r="W1560" s="20"/>
      <c r="X1560" s="20"/>
      <c r="Y1560" s="20"/>
      <c r="Z1560" s="20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  <c r="AL1560" s="20"/>
      <c r="AM1560" s="20"/>
    </row>
    <row r="1561" spans="1:39" ht="13">
      <c r="A1561" s="20"/>
      <c r="B1561" s="20"/>
      <c r="C1561" s="20"/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  <c r="N1561" s="20"/>
      <c r="O1561" s="20"/>
      <c r="P1561" s="28"/>
      <c r="Q1561" s="28"/>
      <c r="R1561" s="20"/>
      <c r="S1561" s="20"/>
      <c r="T1561" s="20"/>
      <c r="U1561" s="20"/>
      <c r="V1561" s="20"/>
      <c r="W1561" s="20"/>
      <c r="X1561" s="20"/>
      <c r="Y1561" s="20"/>
      <c r="Z1561" s="20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  <c r="AL1561" s="20"/>
      <c r="AM1561" s="20"/>
    </row>
    <row r="1562" spans="1:39" ht="13">
      <c r="A1562" s="20"/>
      <c r="B1562" s="20"/>
      <c r="C1562" s="20"/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  <c r="N1562" s="20"/>
      <c r="O1562" s="20"/>
      <c r="P1562" s="28"/>
      <c r="Q1562" s="28"/>
      <c r="R1562" s="20"/>
      <c r="S1562" s="20"/>
      <c r="T1562" s="20"/>
      <c r="U1562" s="20"/>
      <c r="V1562" s="20"/>
      <c r="W1562" s="20"/>
      <c r="X1562" s="20"/>
      <c r="Y1562" s="20"/>
      <c r="Z1562" s="20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  <c r="AL1562" s="20"/>
      <c r="AM1562" s="20"/>
    </row>
    <row r="1563" spans="1:39" ht="13">
      <c r="A1563" s="20"/>
      <c r="B1563" s="20"/>
      <c r="C1563" s="20"/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  <c r="N1563" s="20"/>
      <c r="O1563" s="20"/>
      <c r="P1563" s="28"/>
      <c r="Q1563" s="28"/>
      <c r="R1563" s="20"/>
      <c r="S1563" s="20"/>
      <c r="T1563" s="20"/>
      <c r="U1563" s="20"/>
      <c r="V1563" s="20"/>
      <c r="W1563" s="20"/>
      <c r="X1563" s="20"/>
      <c r="Y1563" s="20"/>
      <c r="Z1563" s="20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  <c r="AL1563" s="20"/>
      <c r="AM1563" s="20"/>
    </row>
    <row r="1564" spans="1:39" ht="13">
      <c r="A1564" s="20"/>
      <c r="B1564" s="20"/>
      <c r="C1564" s="20"/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  <c r="N1564" s="20"/>
      <c r="O1564" s="20"/>
      <c r="P1564" s="28"/>
      <c r="Q1564" s="28"/>
      <c r="R1564" s="20"/>
      <c r="S1564" s="20"/>
      <c r="T1564" s="20"/>
      <c r="U1564" s="20"/>
      <c r="V1564" s="20"/>
      <c r="W1564" s="20"/>
      <c r="X1564" s="20"/>
      <c r="Y1564" s="20"/>
      <c r="Z1564" s="20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  <c r="AL1564" s="20"/>
      <c r="AM1564" s="20"/>
    </row>
    <row r="1565" spans="1:39" ht="13">
      <c r="A1565" s="20"/>
      <c r="B1565" s="20"/>
      <c r="C1565" s="20"/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  <c r="N1565" s="20"/>
      <c r="O1565" s="20"/>
      <c r="P1565" s="28"/>
      <c r="Q1565" s="28"/>
      <c r="R1565" s="20"/>
      <c r="S1565" s="20"/>
      <c r="T1565" s="20"/>
      <c r="U1565" s="20"/>
      <c r="V1565" s="20"/>
      <c r="W1565" s="20"/>
      <c r="X1565" s="20"/>
      <c r="Y1565" s="20"/>
      <c r="Z1565" s="20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  <c r="AL1565" s="20"/>
      <c r="AM1565" s="20"/>
    </row>
    <row r="1566" spans="1:39" ht="13">
      <c r="A1566" s="20"/>
      <c r="B1566" s="20"/>
      <c r="C1566" s="20"/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  <c r="N1566" s="20"/>
      <c r="O1566" s="20"/>
      <c r="P1566" s="28"/>
      <c r="Q1566" s="28"/>
      <c r="R1566" s="20"/>
      <c r="S1566" s="20"/>
      <c r="T1566" s="20"/>
      <c r="U1566" s="20"/>
      <c r="V1566" s="20"/>
      <c r="W1566" s="20"/>
      <c r="X1566" s="20"/>
      <c r="Y1566" s="20"/>
      <c r="Z1566" s="20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  <c r="AL1566" s="20"/>
      <c r="AM1566" s="20"/>
    </row>
    <row r="1567" spans="1:39" ht="13">
      <c r="A1567" s="20"/>
      <c r="B1567" s="20"/>
      <c r="C1567" s="20"/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  <c r="N1567" s="20"/>
      <c r="O1567" s="20"/>
      <c r="P1567" s="28"/>
      <c r="Q1567" s="28"/>
      <c r="R1567" s="20"/>
      <c r="S1567" s="20"/>
      <c r="T1567" s="20"/>
      <c r="U1567" s="20"/>
      <c r="V1567" s="20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</row>
    <row r="1568" spans="1:39" ht="13">
      <c r="A1568" s="20"/>
      <c r="B1568" s="20"/>
      <c r="C1568" s="20"/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  <c r="N1568" s="20"/>
      <c r="O1568" s="20"/>
      <c r="P1568" s="28"/>
      <c r="Q1568" s="28"/>
      <c r="R1568" s="20"/>
      <c r="S1568" s="20"/>
      <c r="T1568" s="20"/>
      <c r="U1568" s="20"/>
      <c r="V1568" s="20"/>
      <c r="W1568" s="20"/>
      <c r="X1568" s="20"/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</row>
    <row r="1569" spans="1:39" ht="13">
      <c r="A1569" s="20"/>
      <c r="B1569" s="20"/>
      <c r="C1569" s="20"/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  <c r="N1569" s="20"/>
      <c r="O1569" s="20"/>
      <c r="P1569" s="28"/>
      <c r="Q1569" s="28"/>
      <c r="R1569" s="20"/>
      <c r="S1569" s="20"/>
      <c r="T1569" s="20"/>
      <c r="U1569" s="20"/>
      <c r="V1569" s="20"/>
      <c r="W1569" s="20"/>
      <c r="X1569" s="20"/>
      <c r="Y1569" s="20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</row>
    <row r="1570" spans="1:39" ht="13">
      <c r="A1570" s="20"/>
      <c r="B1570" s="20"/>
      <c r="C1570" s="20"/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  <c r="N1570" s="20"/>
      <c r="O1570" s="20"/>
      <c r="P1570" s="28"/>
      <c r="Q1570" s="28"/>
      <c r="R1570" s="20"/>
      <c r="S1570" s="20"/>
      <c r="T1570" s="20"/>
      <c r="U1570" s="20"/>
      <c r="V1570" s="20"/>
      <c r="W1570" s="20"/>
      <c r="X1570" s="20"/>
      <c r="Y1570" s="20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</row>
    <row r="1571" spans="1:39" ht="13">
      <c r="A1571" s="20"/>
      <c r="B1571" s="20"/>
      <c r="C1571" s="20"/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  <c r="N1571" s="20"/>
      <c r="O1571" s="20"/>
      <c r="P1571" s="28"/>
      <c r="Q1571" s="28"/>
      <c r="R1571" s="20"/>
      <c r="S1571" s="20"/>
      <c r="T1571" s="20"/>
      <c r="U1571" s="20"/>
      <c r="V1571" s="20"/>
      <c r="W1571" s="20"/>
      <c r="X1571" s="20"/>
      <c r="Y1571" s="20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</row>
    <row r="1572" spans="1:39" ht="13">
      <c r="A1572" s="20"/>
      <c r="B1572" s="20"/>
      <c r="C1572" s="20"/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  <c r="N1572" s="20"/>
      <c r="O1572" s="20"/>
      <c r="P1572" s="28"/>
      <c r="Q1572" s="28"/>
      <c r="R1572" s="20"/>
      <c r="S1572" s="20"/>
      <c r="T1572" s="20"/>
      <c r="U1572" s="20"/>
      <c r="V1572" s="20"/>
      <c r="W1572" s="20"/>
      <c r="X1572" s="20"/>
      <c r="Y1572" s="20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</row>
    <row r="1573" spans="1:39" ht="13">
      <c r="A1573" s="20"/>
      <c r="B1573" s="20"/>
      <c r="C1573" s="20"/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  <c r="N1573" s="20"/>
      <c r="O1573" s="20"/>
      <c r="P1573" s="28"/>
      <c r="Q1573" s="28"/>
      <c r="R1573" s="20"/>
      <c r="S1573" s="20"/>
      <c r="T1573" s="20"/>
      <c r="U1573" s="20"/>
      <c r="V1573" s="20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</row>
    <row r="1574" spans="1:39" ht="13">
      <c r="A1574" s="20"/>
      <c r="B1574" s="20"/>
      <c r="C1574" s="20"/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  <c r="N1574" s="20"/>
      <c r="O1574" s="20"/>
      <c r="P1574" s="28"/>
      <c r="Q1574" s="28"/>
      <c r="R1574" s="20"/>
      <c r="S1574" s="20"/>
      <c r="T1574" s="20"/>
      <c r="U1574" s="20"/>
      <c r="V1574" s="20"/>
      <c r="W1574" s="20"/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</row>
    <row r="1575" spans="1:39" ht="13">
      <c r="A1575" s="20"/>
      <c r="B1575" s="20"/>
      <c r="C1575" s="20"/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  <c r="N1575" s="20"/>
      <c r="O1575" s="20"/>
      <c r="P1575" s="28"/>
      <c r="Q1575" s="28"/>
      <c r="R1575" s="20"/>
      <c r="S1575" s="20"/>
      <c r="T1575" s="20"/>
      <c r="U1575" s="20"/>
      <c r="V1575" s="20"/>
      <c r="W1575" s="20"/>
      <c r="X1575" s="20"/>
      <c r="Y1575" s="20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</row>
    <row r="1576" spans="1:39" ht="13">
      <c r="A1576" s="20"/>
      <c r="B1576" s="20"/>
      <c r="C1576" s="20"/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  <c r="N1576" s="20"/>
      <c r="O1576" s="20"/>
      <c r="P1576" s="28"/>
      <c r="Q1576" s="28"/>
      <c r="R1576" s="20"/>
      <c r="S1576" s="20"/>
      <c r="T1576" s="20"/>
      <c r="U1576" s="20"/>
      <c r="V1576" s="20"/>
      <c r="W1576" s="20"/>
      <c r="X1576" s="20"/>
      <c r="Y1576" s="20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</row>
    <row r="1577" spans="1:39" ht="13">
      <c r="A1577" s="20"/>
      <c r="B1577" s="20"/>
      <c r="C1577" s="20"/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  <c r="N1577" s="20"/>
      <c r="O1577" s="20"/>
      <c r="P1577" s="28"/>
      <c r="Q1577" s="28"/>
      <c r="R1577" s="20"/>
      <c r="S1577" s="20"/>
      <c r="T1577" s="20"/>
      <c r="U1577" s="20"/>
      <c r="V1577" s="20"/>
      <c r="W1577" s="20"/>
      <c r="X1577" s="20"/>
      <c r="Y1577" s="20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</row>
    <row r="1578" spans="1:39" ht="13">
      <c r="A1578" s="20"/>
      <c r="B1578" s="20"/>
      <c r="C1578" s="20"/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  <c r="N1578" s="20"/>
      <c r="O1578" s="20"/>
      <c r="P1578" s="28"/>
      <c r="Q1578" s="28"/>
      <c r="R1578" s="20"/>
      <c r="S1578" s="20"/>
      <c r="T1578" s="20"/>
      <c r="U1578" s="20"/>
      <c r="V1578" s="20"/>
      <c r="W1578" s="20"/>
      <c r="X1578" s="20"/>
      <c r="Y1578" s="20"/>
      <c r="Z1578" s="20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  <c r="AL1578" s="20"/>
      <c r="AM1578" s="20"/>
    </row>
    <row r="1579" spans="1:39" ht="13">
      <c r="A1579" s="20"/>
      <c r="B1579" s="20"/>
      <c r="C1579" s="20"/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  <c r="N1579" s="20"/>
      <c r="O1579" s="20"/>
      <c r="P1579" s="28"/>
      <c r="Q1579" s="28"/>
      <c r="R1579" s="20"/>
      <c r="S1579" s="20"/>
      <c r="T1579" s="20"/>
      <c r="U1579" s="20"/>
      <c r="V1579" s="20"/>
      <c r="W1579" s="20"/>
      <c r="X1579" s="20"/>
      <c r="Y1579" s="20"/>
      <c r="Z1579" s="20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  <c r="AL1579" s="20"/>
      <c r="AM1579" s="20"/>
    </row>
    <row r="1580" spans="1:39" ht="13">
      <c r="A1580" s="20"/>
      <c r="B1580" s="20"/>
      <c r="C1580" s="20"/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  <c r="N1580" s="20"/>
      <c r="O1580" s="20"/>
      <c r="P1580" s="28"/>
      <c r="Q1580" s="28"/>
      <c r="R1580" s="20"/>
      <c r="S1580" s="20"/>
      <c r="T1580" s="20"/>
      <c r="U1580" s="20"/>
      <c r="V1580" s="20"/>
      <c r="W1580" s="20"/>
      <c r="X1580" s="20"/>
      <c r="Y1580" s="20"/>
      <c r="Z1580" s="20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  <c r="AL1580" s="20"/>
      <c r="AM1580" s="20"/>
    </row>
    <row r="1581" spans="1:39" ht="13">
      <c r="A1581" s="20"/>
      <c r="B1581" s="20"/>
      <c r="C1581" s="20"/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  <c r="N1581" s="20"/>
      <c r="O1581" s="20"/>
      <c r="P1581" s="28"/>
      <c r="Q1581" s="28"/>
      <c r="R1581" s="20"/>
      <c r="S1581" s="20"/>
      <c r="T1581" s="20"/>
      <c r="U1581" s="20"/>
      <c r="V1581" s="20"/>
      <c r="W1581" s="20"/>
      <c r="X1581" s="20"/>
      <c r="Y1581" s="20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</row>
    <row r="1582" spans="1:39" ht="13">
      <c r="A1582" s="20"/>
      <c r="B1582" s="20"/>
      <c r="C1582" s="20"/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  <c r="N1582" s="20"/>
      <c r="O1582" s="20"/>
      <c r="P1582" s="28"/>
      <c r="Q1582" s="28"/>
      <c r="R1582" s="20"/>
      <c r="S1582" s="20"/>
      <c r="T1582" s="20"/>
      <c r="U1582" s="20"/>
      <c r="V1582" s="20"/>
      <c r="W1582" s="20"/>
      <c r="X1582" s="20"/>
      <c r="Y1582" s="20"/>
      <c r="Z1582" s="20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/>
      <c r="AK1582" s="20"/>
      <c r="AL1582" s="20"/>
      <c r="AM1582" s="20"/>
    </row>
    <row r="1583" spans="1:39" ht="13">
      <c r="A1583" s="20"/>
      <c r="B1583" s="20"/>
      <c r="C1583" s="20"/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  <c r="N1583" s="20"/>
      <c r="O1583" s="20"/>
      <c r="P1583" s="28"/>
      <c r="Q1583" s="28"/>
      <c r="R1583" s="20"/>
      <c r="S1583" s="20"/>
      <c r="T1583" s="20"/>
      <c r="U1583" s="20"/>
      <c r="V1583" s="20"/>
      <c r="W1583" s="20"/>
      <c r="X1583" s="20"/>
      <c r="Y1583" s="20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</row>
    <row r="1584" spans="1:39" ht="13">
      <c r="A1584" s="20"/>
      <c r="B1584" s="20"/>
      <c r="C1584" s="20"/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  <c r="N1584" s="20"/>
      <c r="O1584" s="20"/>
      <c r="P1584" s="28"/>
      <c r="Q1584" s="28"/>
      <c r="R1584" s="20"/>
      <c r="S1584" s="20"/>
      <c r="T1584" s="20"/>
      <c r="U1584" s="20"/>
      <c r="V1584" s="20"/>
      <c r="W1584" s="20"/>
      <c r="X1584" s="20"/>
      <c r="Y1584" s="20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</row>
    <row r="1585" spans="1:39" ht="13">
      <c r="A1585" s="20"/>
      <c r="B1585" s="20"/>
      <c r="C1585" s="20"/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  <c r="N1585" s="20"/>
      <c r="O1585" s="20"/>
      <c r="P1585" s="28"/>
      <c r="Q1585" s="28"/>
      <c r="R1585" s="20"/>
      <c r="S1585" s="20"/>
      <c r="T1585" s="20"/>
      <c r="U1585" s="20"/>
      <c r="V1585" s="20"/>
      <c r="W1585" s="20"/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</row>
    <row r="1586" spans="1:39" ht="13">
      <c r="A1586" s="20"/>
      <c r="B1586" s="20"/>
      <c r="C1586" s="20"/>
      <c r="D1586" s="20"/>
      <c r="E1586" s="20"/>
      <c r="F1586" s="20"/>
      <c r="G1586" s="20"/>
      <c r="H1586" s="20"/>
      <c r="I1586" s="20"/>
      <c r="J1586" s="20"/>
      <c r="K1586" s="20"/>
      <c r="L1586" s="20"/>
      <c r="M1586" s="20"/>
      <c r="N1586" s="20"/>
      <c r="O1586" s="20"/>
      <c r="P1586" s="28"/>
      <c r="Q1586" s="28"/>
      <c r="R1586" s="20"/>
      <c r="S1586" s="20"/>
      <c r="T1586" s="20"/>
      <c r="U1586" s="20"/>
      <c r="V1586" s="20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</row>
    <row r="1587" spans="1:39" ht="13">
      <c r="A1587" s="20"/>
      <c r="B1587" s="20"/>
      <c r="C1587" s="20"/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  <c r="N1587" s="20"/>
      <c r="O1587" s="20"/>
      <c r="P1587" s="28"/>
      <c r="Q1587" s="28"/>
      <c r="R1587" s="20"/>
      <c r="S1587" s="20"/>
      <c r="T1587" s="20"/>
      <c r="U1587" s="20"/>
      <c r="V1587" s="20"/>
      <c r="W1587" s="20"/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</row>
    <row r="1588" spans="1:39" ht="13">
      <c r="A1588" s="20"/>
      <c r="B1588" s="20"/>
      <c r="C1588" s="20"/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  <c r="N1588" s="20"/>
      <c r="O1588" s="20"/>
      <c r="P1588" s="28"/>
      <c r="Q1588" s="28"/>
      <c r="R1588" s="20"/>
      <c r="S1588" s="20"/>
      <c r="T1588" s="20"/>
      <c r="U1588" s="20"/>
      <c r="V1588" s="20"/>
      <c r="W1588" s="20"/>
      <c r="X1588" s="20"/>
      <c r="Y1588" s="20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</row>
    <row r="1589" spans="1:39" ht="13">
      <c r="A1589" s="20"/>
      <c r="B1589" s="20"/>
      <c r="C1589" s="20"/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  <c r="N1589" s="20"/>
      <c r="O1589" s="20"/>
      <c r="P1589" s="28"/>
      <c r="Q1589" s="28"/>
      <c r="R1589" s="20"/>
      <c r="S1589" s="20"/>
      <c r="T1589" s="20"/>
      <c r="U1589" s="20"/>
      <c r="V1589" s="20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</row>
    <row r="1590" spans="1:39" ht="13">
      <c r="A1590" s="20"/>
      <c r="B1590" s="20"/>
      <c r="C1590" s="20"/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  <c r="N1590" s="20"/>
      <c r="O1590" s="20"/>
      <c r="P1590" s="28"/>
      <c r="Q1590" s="28"/>
      <c r="R1590" s="20"/>
      <c r="S1590" s="20"/>
      <c r="T1590" s="20"/>
      <c r="U1590" s="20"/>
      <c r="V1590" s="20"/>
      <c r="W1590" s="20"/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</row>
    <row r="1591" spans="1:39" ht="13">
      <c r="A1591" s="20"/>
      <c r="B1591" s="20"/>
      <c r="C1591" s="20"/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  <c r="N1591" s="20"/>
      <c r="O1591" s="20"/>
      <c r="P1591" s="28"/>
      <c r="Q1591" s="28"/>
      <c r="R1591" s="20"/>
      <c r="S1591" s="20"/>
      <c r="T1591" s="20"/>
      <c r="U1591" s="20"/>
      <c r="V1591" s="20"/>
      <c r="W1591" s="20"/>
      <c r="X1591" s="20"/>
      <c r="Y1591" s="20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</row>
    <row r="1592" spans="1:39" ht="13">
      <c r="A1592" s="20"/>
      <c r="B1592" s="20"/>
      <c r="C1592" s="20"/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  <c r="N1592" s="20"/>
      <c r="O1592" s="20"/>
      <c r="P1592" s="28"/>
      <c r="Q1592" s="28"/>
      <c r="R1592" s="20"/>
      <c r="S1592" s="20"/>
      <c r="T1592" s="20"/>
      <c r="U1592" s="20"/>
      <c r="V1592" s="20"/>
      <c r="W1592" s="20"/>
      <c r="X1592" s="20"/>
      <c r="Y1592" s="20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</row>
    <row r="1593" spans="1:39" ht="13">
      <c r="A1593" s="20"/>
      <c r="B1593" s="20"/>
      <c r="C1593" s="20"/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  <c r="N1593" s="20"/>
      <c r="O1593" s="20"/>
      <c r="P1593" s="28"/>
      <c r="Q1593" s="28"/>
      <c r="R1593" s="20"/>
      <c r="S1593" s="20"/>
      <c r="T1593" s="20"/>
      <c r="U1593" s="20"/>
      <c r="V1593" s="20"/>
      <c r="W1593" s="20"/>
      <c r="X1593" s="20"/>
      <c r="Y1593" s="20"/>
      <c r="Z1593" s="20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  <c r="AL1593" s="20"/>
      <c r="AM1593" s="20"/>
    </row>
    <row r="1594" spans="1:39" ht="13">
      <c r="A1594" s="20"/>
      <c r="B1594" s="20"/>
      <c r="C1594" s="20"/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  <c r="N1594" s="20"/>
      <c r="O1594" s="20"/>
      <c r="P1594" s="28"/>
      <c r="Q1594" s="28"/>
      <c r="R1594" s="20"/>
      <c r="S1594" s="20"/>
      <c r="T1594" s="20"/>
      <c r="U1594" s="20"/>
      <c r="V1594" s="20"/>
      <c r="W1594" s="20"/>
      <c r="X1594" s="20"/>
      <c r="Y1594" s="20"/>
      <c r="Z1594" s="20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  <c r="AL1594" s="20"/>
      <c r="AM1594" s="20"/>
    </row>
    <row r="1595" spans="1:39" ht="13">
      <c r="A1595" s="20"/>
      <c r="B1595" s="20"/>
      <c r="C1595" s="20"/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  <c r="N1595" s="20"/>
      <c r="O1595" s="20"/>
      <c r="P1595" s="28"/>
      <c r="Q1595" s="28"/>
      <c r="R1595" s="20"/>
      <c r="S1595" s="20"/>
      <c r="T1595" s="20"/>
      <c r="U1595" s="20"/>
      <c r="V1595" s="20"/>
      <c r="W1595" s="20"/>
      <c r="X1595" s="20"/>
      <c r="Y1595" s="20"/>
      <c r="Z1595" s="20"/>
      <c r="AA1595" s="20"/>
      <c r="AB1595" s="20"/>
      <c r="AC1595" s="20"/>
      <c r="AD1595" s="20"/>
      <c r="AE1595" s="20"/>
      <c r="AF1595" s="20"/>
      <c r="AG1595" s="20"/>
      <c r="AH1595" s="20"/>
      <c r="AI1595" s="20"/>
      <c r="AJ1595" s="20"/>
      <c r="AK1595" s="20"/>
      <c r="AL1595" s="20"/>
      <c r="AM1595" s="20"/>
    </row>
    <row r="1596" spans="1:39" ht="13">
      <c r="A1596" s="20"/>
      <c r="B1596" s="20"/>
      <c r="C1596" s="20"/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  <c r="N1596" s="20"/>
      <c r="O1596" s="20"/>
      <c r="P1596" s="28"/>
      <c r="Q1596" s="28"/>
      <c r="R1596" s="20"/>
      <c r="S1596" s="20"/>
      <c r="T1596" s="20"/>
      <c r="U1596" s="20"/>
      <c r="V1596" s="20"/>
      <c r="W1596" s="20"/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20"/>
      <c r="AJ1596" s="20"/>
      <c r="AK1596" s="20"/>
      <c r="AL1596" s="20"/>
      <c r="AM1596" s="20"/>
    </row>
    <row r="1597" spans="1:39" ht="13">
      <c r="A1597" s="20"/>
      <c r="B1597" s="20"/>
      <c r="C1597" s="20"/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  <c r="N1597" s="20"/>
      <c r="O1597" s="20"/>
      <c r="P1597" s="28"/>
      <c r="Q1597" s="28"/>
      <c r="R1597" s="20"/>
      <c r="S1597" s="20"/>
      <c r="T1597" s="20"/>
      <c r="U1597" s="20"/>
      <c r="V1597" s="20"/>
      <c r="W1597" s="20"/>
      <c r="X1597" s="20"/>
      <c r="Y1597" s="20"/>
      <c r="Z1597" s="20"/>
      <c r="AA1597" s="20"/>
      <c r="AB1597" s="20"/>
      <c r="AC1597" s="20"/>
      <c r="AD1597" s="20"/>
      <c r="AE1597" s="20"/>
      <c r="AF1597" s="20"/>
      <c r="AG1597" s="20"/>
      <c r="AH1597" s="20"/>
      <c r="AI1597" s="20"/>
      <c r="AJ1597" s="20"/>
      <c r="AK1597" s="20"/>
      <c r="AL1597" s="20"/>
      <c r="AM1597" s="20"/>
    </row>
    <row r="1598" spans="1:39" ht="13">
      <c r="A1598" s="20"/>
      <c r="B1598" s="20"/>
      <c r="C1598" s="20"/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  <c r="N1598" s="20"/>
      <c r="O1598" s="20"/>
      <c r="P1598" s="28"/>
      <c r="Q1598" s="28"/>
      <c r="R1598" s="20"/>
      <c r="S1598" s="20"/>
      <c r="T1598" s="20"/>
      <c r="U1598" s="20"/>
      <c r="V1598" s="20"/>
      <c r="W1598" s="20"/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20"/>
      <c r="AJ1598" s="20"/>
      <c r="AK1598" s="20"/>
      <c r="AL1598" s="20"/>
      <c r="AM1598" s="20"/>
    </row>
    <row r="1599" spans="1:39" ht="13">
      <c r="A1599" s="20"/>
      <c r="B1599" s="20"/>
      <c r="C1599" s="20"/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  <c r="N1599" s="20"/>
      <c r="O1599" s="20"/>
      <c r="P1599" s="28"/>
      <c r="Q1599" s="28"/>
      <c r="R1599" s="20"/>
      <c r="S1599" s="20"/>
      <c r="T1599" s="20"/>
      <c r="U1599" s="20"/>
      <c r="V1599" s="20"/>
      <c r="W1599" s="20"/>
      <c r="X1599" s="20"/>
      <c r="Y1599" s="20"/>
      <c r="Z1599" s="20"/>
      <c r="AA1599" s="20"/>
      <c r="AB1599" s="20"/>
      <c r="AC1599" s="20"/>
      <c r="AD1599" s="20"/>
      <c r="AE1599" s="20"/>
      <c r="AF1599" s="20"/>
      <c r="AG1599" s="20"/>
      <c r="AH1599" s="20"/>
      <c r="AI1599" s="20"/>
      <c r="AJ1599" s="20"/>
      <c r="AK1599" s="20"/>
      <c r="AL1599" s="20"/>
      <c r="AM1599" s="20"/>
    </row>
    <row r="1600" spans="1:39" ht="13">
      <c r="A1600" s="20"/>
      <c r="B1600" s="20"/>
      <c r="C1600" s="20"/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  <c r="N1600" s="20"/>
      <c r="O1600" s="20"/>
      <c r="P1600" s="28"/>
      <c r="Q1600" s="28"/>
      <c r="R1600" s="20"/>
      <c r="S1600" s="20"/>
      <c r="T1600" s="20"/>
      <c r="U1600" s="20"/>
      <c r="V1600" s="20"/>
      <c r="W1600" s="20"/>
      <c r="X1600" s="20"/>
      <c r="Y1600" s="20"/>
      <c r="Z1600" s="20"/>
      <c r="AA1600" s="20"/>
      <c r="AB1600" s="20"/>
      <c r="AC1600" s="20"/>
      <c r="AD1600" s="20"/>
      <c r="AE1600" s="20"/>
      <c r="AF1600" s="20"/>
      <c r="AG1600" s="20"/>
      <c r="AH1600" s="20"/>
      <c r="AI1600" s="20"/>
      <c r="AJ1600" s="20"/>
      <c r="AK1600" s="20"/>
      <c r="AL1600" s="20"/>
      <c r="AM1600" s="20"/>
    </row>
    <row r="1601" spans="1:39" ht="13">
      <c r="A1601" s="20"/>
      <c r="B1601" s="20"/>
      <c r="C1601" s="20"/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  <c r="N1601" s="20"/>
      <c r="O1601" s="20"/>
      <c r="P1601" s="28"/>
      <c r="Q1601" s="28"/>
      <c r="R1601" s="20"/>
      <c r="S1601" s="20"/>
      <c r="T1601" s="20"/>
      <c r="U1601" s="20"/>
      <c r="V1601" s="20"/>
      <c r="W1601" s="20"/>
      <c r="X1601" s="20"/>
      <c r="Y1601" s="20"/>
      <c r="Z1601" s="20"/>
      <c r="AA1601" s="20"/>
      <c r="AB1601" s="20"/>
      <c r="AC1601" s="20"/>
      <c r="AD1601" s="20"/>
      <c r="AE1601" s="20"/>
      <c r="AF1601" s="20"/>
      <c r="AG1601" s="20"/>
      <c r="AH1601" s="20"/>
      <c r="AI1601" s="20"/>
      <c r="AJ1601" s="20"/>
      <c r="AK1601" s="20"/>
      <c r="AL1601" s="20"/>
      <c r="AM1601" s="20"/>
    </row>
    <row r="1602" spans="1:39" ht="13">
      <c r="A1602" s="20"/>
      <c r="B1602" s="20"/>
      <c r="C1602" s="20"/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  <c r="N1602" s="20"/>
      <c r="O1602" s="20"/>
      <c r="P1602" s="28"/>
      <c r="Q1602" s="28"/>
      <c r="R1602" s="20"/>
      <c r="S1602" s="20"/>
      <c r="T1602" s="20"/>
      <c r="U1602" s="20"/>
      <c r="V1602" s="20"/>
      <c r="W1602" s="20"/>
      <c r="X1602" s="20"/>
      <c r="Y1602" s="20"/>
      <c r="Z1602" s="20"/>
      <c r="AA1602" s="20"/>
      <c r="AB1602" s="20"/>
      <c r="AC1602" s="20"/>
      <c r="AD1602" s="20"/>
      <c r="AE1602" s="20"/>
      <c r="AF1602" s="20"/>
      <c r="AG1602" s="20"/>
      <c r="AH1602" s="20"/>
      <c r="AI1602" s="20"/>
      <c r="AJ1602" s="20"/>
      <c r="AK1602" s="20"/>
      <c r="AL1602" s="20"/>
      <c r="AM1602" s="20"/>
    </row>
    <row r="1603" spans="1:39" ht="13">
      <c r="A1603" s="20"/>
      <c r="B1603" s="20"/>
      <c r="C1603" s="20"/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  <c r="N1603" s="20"/>
      <c r="O1603" s="20"/>
      <c r="P1603" s="28"/>
      <c r="Q1603" s="28"/>
      <c r="R1603" s="20"/>
      <c r="S1603" s="20"/>
      <c r="T1603" s="20"/>
      <c r="U1603" s="20"/>
      <c r="V1603" s="20"/>
      <c r="W1603" s="20"/>
      <c r="X1603" s="20"/>
      <c r="Y1603" s="20"/>
      <c r="Z1603" s="20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  <c r="AL1603" s="20"/>
      <c r="AM1603" s="20"/>
    </row>
    <row r="1604" spans="1:39" ht="13">
      <c r="A1604" s="20"/>
      <c r="B1604" s="20"/>
      <c r="C1604" s="20"/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  <c r="N1604" s="20"/>
      <c r="O1604" s="20"/>
      <c r="P1604" s="28"/>
      <c r="Q1604" s="28"/>
      <c r="R1604" s="20"/>
      <c r="S1604" s="20"/>
      <c r="T1604" s="20"/>
      <c r="U1604" s="20"/>
      <c r="V1604" s="20"/>
      <c r="W1604" s="20"/>
      <c r="X1604" s="20"/>
      <c r="Y1604" s="20"/>
      <c r="Z1604" s="20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  <c r="AL1604" s="20"/>
      <c r="AM1604" s="20"/>
    </row>
    <row r="1605" spans="1:39" ht="13">
      <c r="A1605" s="20"/>
      <c r="B1605" s="20"/>
      <c r="C1605" s="20"/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  <c r="N1605" s="20"/>
      <c r="O1605" s="20"/>
      <c r="P1605" s="28"/>
      <c r="Q1605" s="28"/>
      <c r="R1605" s="20"/>
      <c r="S1605" s="20"/>
      <c r="T1605" s="20"/>
      <c r="U1605" s="20"/>
      <c r="V1605" s="20"/>
      <c r="W1605" s="20"/>
      <c r="X1605" s="20"/>
      <c r="Y1605" s="20"/>
      <c r="Z1605" s="20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  <c r="AL1605" s="20"/>
      <c r="AM1605" s="20"/>
    </row>
    <row r="1606" spans="1:39" ht="13">
      <c r="A1606" s="20"/>
      <c r="B1606" s="20"/>
      <c r="C1606" s="20"/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  <c r="N1606" s="20"/>
      <c r="O1606" s="20"/>
      <c r="P1606" s="28"/>
      <c r="Q1606" s="28"/>
      <c r="R1606" s="20"/>
      <c r="S1606" s="20"/>
      <c r="T1606" s="20"/>
      <c r="U1606" s="20"/>
      <c r="V1606" s="20"/>
      <c r="W1606" s="20"/>
      <c r="X1606" s="20"/>
      <c r="Y1606" s="20"/>
      <c r="Z1606" s="20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</row>
    <row r="1607" spans="1:39" ht="13">
      <c r="A1607" s="20"/>
      <c r="B1607" s="20"/>
      <c r="C1607" s="20"/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  <c r="N1607" s="20"/>
      <c r="O1607" s="20"/>
      <c r="P1607" s="28"/>
      <c r="Q1607" s="28"/>
      <c r="R1607" s="20"/>
      <c r="S1607" s="20"/>
      <c r="T1607" s="20"/>
      <c r="U1607" s="20"/>
      <c r="V1607" s="20"/>
      <c r="W1607" s="20"/>
      <c r="X1607" s="20"/>
      <c r="Y1607" s="20"/>
      <c r="Z1607" s="20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</row>
    <row r="1608" spans="1:39" ht="13">
      <c r="A1608" s="20"/>
      <c r="B1608" s="20"/>
      <c r="C1608" s="20"/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  <c r="N1608" s="20"/>
      <c r="O1608" s="20"/>
      <c r="P1608" s="28"/>
      <c r="Q1608" s="28"/>
      <c r="R1608" s="20"/>
      <c r="S1608" s="20"/>
      <c r="T1608" s="20"/>
      <c r="U1608" s="20"/>
      <c r="V1608" s="20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</row>
    <row r="1609" spans="1:39" ht="13">
      <c r="A1609" s="20"/>
      <c r="B1609" s="20"/>
      <c r="C1609" s="20"/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  <c r="N1609" s="20"/>
      <c r="O1609" s="20"/>
      <c r="P1609" s="28"/>
      <c r="Q1609" s="28"/>
      <c r="R1609" s="20"/>
      <c r="S1609" s="20"/>
      <c r="T1609" s="20"/>
      <c r="U1609" s="20"/>
      <c r="V1609" s="20"/>
      <c r="W1609" s="20"/>
      <c r="X1609" s="20"/>
      <c r="Y1609" s="20"/>
      <c r="Z1609" s="20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</row>
    <row r="1610" spans="1:39" ht="13">
      <c r="A1610" s="20"/>
      <c r="B1610" s="20"/>
      <c r="C1610" s="20"/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  <c r="N1610" s="20"/>
      <c r="O1610" s="20"/>
      <c r="P1610" s="28"/>
      <c r="Q1610" s="28"/>
      <c r="R1610" s="20"/>
      <c r="S1610" s="20"/>
      <c r="T1610" s="20"/>
      <c r="U1610" s="20"/>
      <c r="V1610" s="20"/>
      <c r="W1610" s="20"/>
      <c r="X1610" s="20"/>
      <c r="Y1610" s="20"/>
      <c r="Z1610" s="20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</row>
    <row r="1611" spans="1:39" ht="13">
      <c r="A1611" s="20"/>
      <c r="B1611" s="20"/>
      <c r="C1611" s="20"/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  <c r="N1611" s="20"/>
      <c r="O1611" s="20"/>
      <c r="P1611" s="28"/>
      <c r="Q1611" s="28"/>
      <c r="R1611" s="20"/>
      <c r="S1611" s="20"/>
      <c r="T1611" s="20"/>
      <c r="U1611" s="20"/>
      <c r="V1611" s="20"/>
      <c r="W1611" s="20"/>
      <c r="X1611" s="20"/>
      <c r="Y1611" s="20"/>
      <c r="Z1611" s="20"/>
      <c r="AA1611" s="20"/>
      <c r="AB1611" s="20"/>
      <c r="AC1611" s="20"/>
      <c r="AD1611" s="20"/>
      <c r="AE1611" s="20"/>
      <c r="AF1611" s="20"/>
      <c r="AG1611" s="20"/>
      <c r="AH1611" s="20"/>
      <c r="AI1611" s="20"/>
      <c r="AJ1611" s="20"/>
      <c r="AK1611" s="20"/>
      <c r="AL1611" s="20"/>
      <c r="AM1611" s="20"/>
    </row>
    <row r="1612" spans="1:39" ht="13">
      <c r="A1612" s="20"/>
      <c r="B1612" s="20"/>
      <c r="C1612" s="20"/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  <c r="N1612" s="20"/>
      <c r="O1612" s="20"/>
      <c r="P1612" s="28"/>
      <c r="Q1612" s="28"/>
      <c r="R1612" s="20"/>
      <c r="S1612" s="20"/>
      <c r="T1612" s="20"/>
      <c r="U1612" s="20"/>
      <c r="V1612" s="20"/>
      <c r="W1612" s="20"/>
      <c r="X1612" s="20"/>
      <c r="Y1612" s="20"/>
      <c r="Z1612" s="20"/>
      <c r="AA1612" s="20"/>
      <c r="AB1612" s="20"/>
      <c r="AC1612" s="20"/>
      <c r="AD1612" s="20"/>
      <c r="AE1612" s="20"/>
      <c r="AF1612" s="20"/>
      <c r="AG1612" s="20"/>
      <c r="AH1612" s="20"/>
      <c r="AI1612" s="20"/>
      <c r="AJ1612" s="20"/>
      <c r="AK1612" s="20"/>
      <c r="AL1612" s="20"/>
      <c r="AM1612" s="20"/>
    </row>
    <row r="1613" spans="1:39" ht="13">
      <c r="A1613" s="20"/>
      <c r="B1613" s="20"/>
      <c r="C1613" s="20"/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  <c r="N1613" s="20"/>
      <c r="O1613" s="20"/>
      <c r="P1613" s="28"/>
      <c r="Q1613" s="28"/>
      <c r="R1613" s="20"/>
      <c r="S1613" s="20"/>
      <c r="T1613" s="20"/>
      <c r="U1613" s="20"/>
      <c r="V1613" s="20"/>
      <c r="W1613" s="20"/>
      <c r="X1613" s="20"/>
      <c r="Y1613" s="20"/>
      <c r="Z1613" s="20"/>
      <c r="AA1613" s="20"/>
      <c r="AB1613" s="20"/>
      <c r="AC1613" s="20"/>
      <c r="AD1613" s="20"/>
      <c r="AE1613" s="20"/>
      <c r="AF1613" s="20"/>
      <c r="AG1613" s="20"/>
      <c r="AH1613" s="20"/>
      <c r="AI1613" s="20"/>
      <c r="AJ1613" s="20"/>
      <c r="AK1613" s="20"/>
      <c r="AL1613" s="20"/>
      <c r="AM1613" s="20"/>
    </row>
    <row r="1614" spans="1:39" ht="13">
      <c r="A1614" s="20"/>
      <c r="B1614" s="20"/>
      <c r="C1614" s="20"/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  <c r="N1614" s="20"/>
      <c r="O1614" s="20"/>
      <c r="P1614" s="28"/>
      <c r="Q1614" s="28"/>
      <c r="R1614" s="20"/>
      <c r="S1614" s="20"/>
      <c r="T1614" s="20"/>
      <c r="U1614" s="20"/>
      <c r="V1614" s="20"/>
      <c r="W1614" s="20"/>
      <c r="X1614" s="20"/>
      <c r="Y1614" s="20"/>
      <c r="Z1614" s="20"/>
      <c r="AA1614" s="20"/>
      <c r="AB1614" s="20"/>
      <c r="AC1614" s="20"/>
      <c r="AD1614" s="20"/>
      <c r="AE1614" s="20"/>
      <c r="AF1614" s="20"/>
      <c r="AG1614" s="20"/>
      <c r="AH1614" s="20"/>
      <c r="AI1614" s="20"/>
      <c r="AJ1614" s="20"/>
      <c r="AK1614" s="20"/>
      <c r="AL1614" s="20"/>
      <c r="AM1614" s="20"/>
    </row>
    <row r="1615" spans="1:39" ht="13">
      <c r="A1615" s="20"/>
      <c r="B1615" s="20"/>
      <c r="C1615" s="20"/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  <c r="N1615" s="20"/>
      <c r="O1615" s="20"/>
      <c r="P1615" s="28"/>
      <c r="Q1615" s="28"/>
      <c r="R1615" s="20"/>
      <c r="S1615" s="20"/>
      <c r="T1615" s="20"/>
      <c r="U1615" s="20"/>
      <c r="V1615" s="20"/>
      <c r="W1615" s="20"/>
      <c r="X1615" s="20"/>
      <c r="Y1615" s="20"/>
      <c r="Z1615" s="20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  <c r="AL1615" s="20"/>
      <c r="AM1615" s="20"/>
    </row>
    <row r="1616" spans="1:39" ht="13">
      <c r="A1616" s="20"/>
      <c r="B1616" s="20"/>
      <c r="C1616" s="20"/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  <c r="N1616" s="20"/>
      <c r="O1616" s="20"/>
      <c r="P1616" s="28"/>
      <c r="Q1616" s="28"/>
      <c r="R1616" s="20"/>
      <c r="S1616" s="20"/>
      <c r="T1616" s="20"/>
      <c r="U1616" s="20"/>
      <c r="V1616" s="20"/>
      <c r="W1616" s="20"/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  <c r="AL1616" s="20"/>
      <c r="AM1616" s="20"/>
    </row>
    <row r="1617" spans="1:39" ht="13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28"/>
      <c r="Q1617" s="28"/>
      <c r="R1617" s="20"/>
      <c r="S1617" s="20"/>
      <c r="T1617" s="20"/>
      <c r="U1617" s="20"/>
      <c r="V1617" s="20"/>
      <c r="W1617" s="20"/>
      <c r="X1617" s="20"/>
      <c r="Y1617" s="20"/>
      <c r="Z1617" s="20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  <c r="AL1617" s="20"/>
      <c r="AM1617" s="20"/>
    </row>
    <row r="1618" spans="1:39" ht="13">
      <c r="A1618" s="20"/>
      <c r="B1618" s="20"/>
      <c r="C1618" s="20"/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  <c r="N1618" s="20"/>
      <c r="O1618" s="20"/>
      <c r="P1618" s="28"/>
      <c r="Q1618" s="28"/>
      <c r="R1618" s="20"/>
      <c r="S1618" s="20"/>
      <c r="T1618" s="20"/>
      <c r="U1618" s="20"/>
      <c r="V1618" s="20"/>
      <c r="W1618" s="20"/>
      <c r="X1618" s="20"/>
      <c r="Y1618" s="20"/>
      <c r="Z1618" s="20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  <c r="AL1618" s="20"/>
      <c r="AM1618" s="20"/>
    </row>
    <row r="1619" spans="1:39" ht="13">
      <c r="A1619" s="20"/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8"/>
      <c r="Q1619" s="28"/>
      <c r="R1619" s="20"/>
      <c r="S1619" s="20"/>
      <c r="T1619" s="20"/>
      <c r="U1619" s="20"/>
      <c r="V1619" s="20"/>
      <c r="W1619" s="20"/>
      <c r="X1619" s="20"/>
      <c r="Y1619" s="20"/>
      <c r="Z1619" s="20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  <c r="AL1619" s="20"/>
      <c r="AM1619" s="20"/>
    </row>
    <row r="1620" spans="1:39" ht="13">
      <c r="A1620" s="20"/>
      <c r="B1620" s="20"/>
      <c r="C1620" s="20"/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  <c r="N1620" s="20"/>
      <c r="O1620" s="20"/>
      <c r="P1620" s="28"/>
      <c r="Q1620" s="28"/>
      <c r="R1620" s="20"/>
      <c r="S1620" s="20"/>
      <c r="T1620" s="20"/>
      <c r="U1620" s="20"/>
      <c r="V1620" s="20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</row>
    <row r="1621" spans="1:39" ht="13">
      <c r="A1621" s="20"/>
      <c r="B1621" s="20"/>
      <c r="C1621" s="20"/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  <c r="N1621" s="20"/>
      <c r="O1621" s="20"/>
      <c r="P1621" s="28"/>
      <c r="Q1621" s="28"/>
      <c r="R1621" s="20"/>
      <c r="S1621" s="20"/>
      <c r="T1621" s="20"/>
      <c r="U1621" s="20"/>
      <c r="V1621" s="20"/>
      <c r="W1621" s="20"/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</row>
    <row r="1622" spans="1:39" ht="13">
      <c r="A1622" s="20"/>
      <c r="B1622" s="20"/>
      <c r="C1622" s="20"/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  <c r="N1622" s="20"/>
      <c r="O1622" s="20"/>
      <c r="P1622" s="28"/>
      <c r="Q1622" s="28"/>
      <c r="R1622" s="20"/>
      <c r="S1622" s="20"/>
      <c r="T1622" s="20"/>
      <c r="U1622" s="20"/>
      <c r="V1622" s="20"/>
      <c r="W1622" s="20"/>
      <c r="X1622" s="20"/>
      <c r="Y1622" s="20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</row>
    <row r="1623" spans="1:39" ht="13">
      <c r="A1623" s="20"/>
      <c r="B1623" s="20"/>
      <c r="C1623" s="20"/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  <c r="N1623" s="20"/>
      <c r="O1623" s="20"/>
      <c r="P1623" s="28"/>
      <c r="Q1623" s="28"/>
      <c r="R1623" s="20"/>
      <c r="S1623" s="20"/>
      <c r="T1623" s="20"/>
      <c r="U1623" s="20"/>
      <c r="V1623" s="20"/>
      <c r="W1623" s="20"/>
      <c r="X1623" s="20"/>
      <c r="Y1623" s="20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</row>
    <row r="1624" spans="1:39" ht="13">
      <c r="A1624" s="20"/>
      <c r="B1624" s="20"/>
      <c r="C1624" s="20"/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  <c r="N1624" s="20"/>
      <c r="O1624" s="20"/>
      <c r="P1624" s="28"/>
      <c r="Q1624" s="28"/>
      <c r="R1624" s="20"/>
      <c r="S1624" s="20"/>
      <c r="T1624" s="20"/>
      <c r="U1624" s="20"/>
      <c r="V1624" s="20"/>
      <c r="W1624" s="20"/>
      <c r="X1624" s="20"/>
      <c r="Y1624" s="20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</row>
    <row r="1625" spans="1:39" ht="13">
      <c r="A1625" s="20"/>
      <c r="B1625" s="20"/>
      <c r="C1625" s="20"/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  <c r="N1625" s="20"/>
      <c r="O1625" s="20"/>
      <c r="P1625" s="28"/>
      <c r="Q1625" s="28"/>
      <c r="R1625" s="20"/>
      <c r="S1625" s="20"/>
      <c r="T1625" s="20"/>
      <c r="U1625" s="20"/>
      <c r="V1625" s="20"/>
      <c r="W1625" s="20"/>
      <c r="X1625" s="20"/>
      <c r="Y1625" s="20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</row>
    <row r="1626" spans="1:39" ht="13">
      <c r="A1626" s="20"/>
      <c r="B1626" s="20"/>
      <c r="C1626" s="20"/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  <c r="N1626" s="20"/>
      <c r="O1626" s="20"/>
      <c r="P1626" s="28"/>
      <c r="Q1626" s="28"/>
      <c r="R1626" s="20"/>
      <c r="S1626" s="20"/>
      <c r="T1626" s="20"/>
      <c r="U1626" s="20"/>
      <c r="V1626" s="20"/>
      <c r="W1626" s="20"/>
      <c r="X1626" s="20"/>
      <c r="Y1626" s="20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</row>
    <row r="1627" spans="1:39" ht="13">
      <c r="A1627" s="20"/>
      <c r="B1627" s="20"/>
      <c r="C1627" s="20"/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  <c r="N1627" s="20"/>
      <c r="O1627" s="20"/>
      <c r="P1627" s="28"/>
      <c r="Q1627" s="28"/>
      <c r="R1627" s="20"/>
      <c r="S1627" s="20"/>
      <c r="T1627" s="20"/>
      <c r="U1627" s="20"/>
      <c r="V1627" s="20"/>
      <c r="W1627" s="20"/>
      <c r="X1627" s="20"/>
      <c r="Y1627" s="20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</row>
    <row r="1628" spans="1:39" ht="13">
      <c r="A1628" s="20"/>
      <c r="B1628" s="20"/>
      <c r="C1628" s="20"/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  <c r="N1628" s="20"/>
      <c r="O1628" s="20"/>
      <c r="P1628" s="28"/>
      <c r="Q1628" s="28"/>
      <c r="R1628" s="20"/>
      <c r="S1628" s="20"/>
      <c r="T1628" s="20"/>
      <c r="U1628" s="20"/>
      <c r="V1628" s="20"/>
      <c r="W1628" s="20"/>
      <c r="X1628" s="20"/>
      <c r="Y1628" s="20"/>
      <c r="Z1628" s="20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  <c r="AL1628" s="20"/>
      <c r="AM1628" s="20"/>
    </row>
    <row r="1629" spans="1:39" ht="13">
      <c r="A1629" s="20"/>
      <c r="B1629" s="20"/>
      <c r="C1629" s="20"/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  <c r="N1629" s="20"/>
      <c r="O1629" s="20"/>
      <c r="P1629" s="28"/>
      <c r="Q1629" s="28"/>
      <c r="R1629" s="20"/>
      <c r="S1629" s="20"/>
      <c r="T1629" s="20"/>
      <c r="U1629" s="20"/>
      <c r="V1629" s="20"/>
      <c r="W1629" s="20"/>
      <c r="X1629" s="20"/>
      <c r="Y1629" s="20"/>
      <c r="Z1629" s="20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  <c r="AL1629" s="20"/>
      <c r="AM1629" s="20"/>
    </row>
    <row r="1630" spans="1:39" ht="13">
      <c r="A1630" s="20"/>
      <c r="B1630" s="20"/>
      <c r="C1630" s="20"/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  <c r="N1630" s="20"/>
      <c r="O1630" s="20"/>
      <c r="P1630" s="28"/>
      <c r="Q1630" s="28"/>
      <c r="R1630" s="20"/>
      <c r="S1630" s="20"/>
      <c r="T1630" s="20"/>
      <c r="U1630" s="20"/>
      <c r="V1630" s="20"/>
      <c r="W1630" s="20"/>
      <c r="X1630" s="20"/>
      <c r="Y1630" s="20"/>
      <c r="Z1630" s="20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</row>
    <row r="1631" spans="1:39" ht="13">
      <c r="A1631" s="20"/>
      <c r="B1631" s="20"/>
      <c r="C1631" s="20"/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  <c r="N1631" s="20"/>
      <c r="O1631" s="20"/>
      <c r="P1631" s="28"/>
      <c r="Q1631" s="28"/>
      <c r="R1631" s="20"/>
      <c r="S1631" s="20"/>
      <c r="T1631" s="20"/>
      <c r="U1631" s="20"/>
      <c r="V1631" s="20"/>
      <c r="W1631" s="20"/>
      <c r="X1631" s="20"/>
      <c r="Y1631" s="20"/>
      <c r="Z1631" s="20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  <c r="AL1631" s="20"/>
      <c r="AM1631" s="20"/>
    </row>
    <row r="1632" spans="1:39" ht="13">
      <c r="A1632" s="20"/>
      <c r="B1632" s="20"/>
      <c r="C1632" s="20"/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  <c r="N1632" s="20"/>
      <c r="O1632" s="20"/>
      <c r="P1632" s="28"/>
      <c r="Q1632" s="28"/>
      <c r="R1632" s="20"/>
      <c r="S1632" s="20"/>
      <c r="T1632" s="20"/>
      <c r="U1632" s="20"/>
      <c r="V1632" s="20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</row>
    <row r="1633" spans="1:39" ht="13">
      <c r="A1633" s="20"/>
      <c r="B1633" s="20"/>
      <c r="C1633" s="20"/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  <c r="N1633" s="20"/>
      <c r="O1633" s="20"/>
      <c r="P1633" s="28"/>
      <c r="Q1633" s="28"/>
      <c r="R1633" s="20"/>
      <c r="S1633" s="20"/>
      <c r="T1633" s="20"/>
      <c r="U1633" s="20"/>
      <c r="V1633" s="20"/>
      <c r="W1633" s="20"/>
      <c r="X1633" s="20"/>
      <c r="Y1633" s="20"/>
      <c r="Z1633" s="20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  <c r="AL1633" s="20"/>
      <c r="AM1633" s="20"/>
    </row>
    <row r="1634" spans="1:39" ht="13">
      <c r="A1634" s="20"/>
      <c r="B1634" s="20"/>
      <c r="C1634" s="20"/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  <c r="N1634" s="20"/>
      <c r="O1634" s="20"/>
      <c r="P1634" s="28"/>
      <c r="Q1634" s="28"/>
      <c r="R1634" s="20"/>
      <c r="S1634" s="20"/>
      <c r="T1634" s="20"/>
      <c r="U1634" s="20"/>
      <c r="V1634" s="20"/>
      <c r="W1634" s="20"/>
      <c r="X1634" s="20"/>
      <c r="Y1634" s="20"/>
      <c r="Z1634" s="20"/>
      <c r="AA1634" s="20"/>
      <c r="AB1634" s="20"/>
      <c r="AC1634" s="20"/>
      <c r="AD1634" s="20"/>
      <c r="AE1634" s="20"/>
      <c r="AF1634" s="20"/>
      <c r="AG1634" s="20"/>
      <c r="AH1634" s="20"/>
      <c r="AI1634" s="20"/>
      <c r="AJ1634" s="20"/>
      <c r="AK1634" s="20"/>
      <c r="AL1634" s="20"/>
      <c r="AM1634" s="20"/>
    </row>
    <row r="1635" spans="1:39" ht="13">
      <c r="A1635" s="20"/>
      <c r="B1635" s="20"/>
      <c r="C1635" s="20"/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  <c r="N1635" s="20"/>
      <c r="O1635" s="20"/>
      <c r="P1635" s="28"/>
      <c r="Q1635" s="28"/>
      <c r="R1635" s="20"/>
      <c r="S1635" s="20"/>
      <c r="T1635" s="20"/>
      <c r="U1635" s="20"/>
      <c r="V1635" s="20"/>
      <c r="W1635" s="20"/>
      <c r="X1635" s="20"/>
      <c r="Y1635" s="20"/>
      <c r="Z1635" s="20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  <c r="AL1635" s="20"/>
      <c r="AM1635" s="20"/>
    </row>
    <row r="1636" spans="1:39" ht="13">
      <c r="A1636" s="20"/>
      <c r="B1636" s="20"/>
      <c r="C1636" s="20"/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  <c r="N1636" s="20"/>
      <c r="O1636" s="20"/>
      <c r="P1636" s="28"/>
      <c r="Q1636" s="28"/>
      <c r="R1636" s="20"/>
      <c r="S1636" s="20"/>
      <c r="T1636" s="20"/>
      <c r="U1636" s="20"/>
      <c r="V1636" s="20"/>
      <c r="W1636" s="20"/>
      <c r="X1636" s="20"/>
      <c r="Y1636" s="20"/>
      <c r="Z1636" s="20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  <c r="AL1636" s="20"/>
      <c r="AM1636" s="20"/>
    </row>
    <row r="1637" spans="1:39" ht="13">
      <c r="A1637" s="20"/>
      <c r="B1637" s="20"/>
      <c r="C1637" s="20"/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  <c r="N1637" s="20"/>
      <c r="O1637" s="20"/>
      <c r="P1637" s="28"/>
      <c r="Q1637" s="28"/>
      <c r="R1637" s="20"/>
      <c r="S1637" s="20"/>
      <c r="T1637" s="20"/>
      <c r="U1637" s="20"/>
      <c r="V1637" s="20"/>
      <c r="W1637" s="20"/>
      <c r="X1637" s="20"/>
      <c r="Y1637" s="20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</row>
    <row r="1638" spans="1:39" ht="13">
      <c r="A1638" s="20"/>
      <c r="B1638" s="20"/>
      <c r="C1638" s="20"/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  <c r="N1638" s="20"/>
      <c r="O1638" s="20"/>
      <c r="P1638" s="28"/>
      <c r="Q1638" s="28"/>
      <c r="R1638" s="20"/>
      <c r="S1638" s="20"/>
      <c r="T1638" s="20"/>
      <c r="U1638" s="20"/>
      <c r="V1638" s="20"/>
      <c r="W1638" s="20"/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</row>
    <row r="1639" spans="1:39" ht="13">
      <c r="A1639" s="20"/>
      <c r="B1639" s="20"/>
      <c r="C1639" s="20"/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  <c r="N1639" s="20"/>
      <c r="O1639" s="20"/>
      <c r="P1639" s="28"/>
      <c r="Q1639" s="28"/>
      <c r="R1639" s="20"/>
      <c r="S1639" s="20"/>
      <c r="T1639" s="20"/>
      <c r="U1639" s="20"/>
      <c r="V1639" s="20"/>
      <c r="W1639" s="20"/>
      <c r="X1639" s="20"/>
      <c r="Y1639" s="20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</row>
    <row r="1640" spans="1:39" ht="13">
      <c r="A1640" s="20"/>
      <c r="B1640" s="20"/>
      <c r="C1640" s="20"/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  <c r="N1640" s="20"/>
      <c r="O1640" s="20"/>
      <c r="P1640" s="28"/>
      <c r="Q1640" s="28"/>
      <c r="R1640" s="20"/>
      <c r="S1640" s="20"/>
      <c r="T1640" s="20"/>
      <c r="U1640" s="20"/>
      <c r="V1640" s="20"/>
      <c r="W1640" s="20"/>
      <c r="X1640" s="20"/>
      <c r="Y1640" s="20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</row>
    <row r="1641" spans="1:39" ht="13">
      <c r="A1641" s="20"/>
      <c r="B1641" s="20"/>
      <c r="C1641" s="20"/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  <c r="N1641" s="20"/>
      <c r="O1641" s="20"/>
      <c r="P1641" s="28"/>
      <c r="Q1641" s="28"/>
      <c r="R1641" s="20"/>
      <c r="S1641" s="20"/>
      <c r="T1641" s="20"/>
      <c r="U1641" s="20"/>
      <c r="V1641" s="20"/>
      <c r="W1641" s="20"/>
      <c r="X1641" s="20"/>
      <c r="Y1641" s="20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</row>
    <row r="1642" spans="1:39" ht="13">
      <c r="A1642" s="20"/>
      <c r="B1642" s="20"/>
      <c r="C1642" s="20"/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  <c r="N1642" s="20"/>
      <c r="O1642" s="20"/>
      <c r="P1642" s="28"/>
      <c r="Q1642" s="28"/>
      <c r="R1642" s="20"/>
      <c r="S1642" s="20"/>
      <c r="T1642" s="20"/>
      <c r="U1642" s="20"/>
      <c r="V1642" s="20"/>
      <c r="W1642" s="20"/>
      <c r="X1642" s="20"/>
      <c r="Y1642" s="20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</row>
    <row r="1643" spans="1:39" ht="13">
      <c r="A1643" s="20"/>
      <c r="B1643" s="20"/>
      <c r="C1643" s="20"/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  <c r="N1643" s="20"/>
      <c r="O1643" s="20"/>
      <c r="P1643" s="28"/>
      <c r="Q1643" s="28"/>
      <c r="R1643" s="20"/>
      <c r="S1643" s="20"/>
      <c r="T1643" s="20"/>
      <c r="U1643" s="20"/>
      <c r="V1643" s="20"/>
      <c r="W1643" s="20"/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</row>
    <row r="1644" spans="1:39" ht="13">
      <c r="A1644" s="20"/>
      <c r="B1644" s="20"/>
      <c r="C1644" s="20"/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  <c r="N1644" s="20"/>
      <c r="O1644" s="20"/>
      <c r="P1644" s="28"/>
      <c r="Q1644" s="28"/>
      <c r="R1644" s="20"/>
      <c r="S1644" s="20"/>
      <c r="T1644" s="20"/>
      <c r="U1644" s="20"/>
      <c r="V1644" s="20"/>
      <c r="W1644" s="20"/>
      <c r="X1644" s="20"/>
      <c r="Y1644" s="20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</row>
    <row r="1645" spans="1:39" ht="13">
      <c r="A1645" s="20"/>
      <c r="B1645" s="20"/>
      <c r="C1645" s="20"/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  <c r="N1645" s="20"/>
      <c r="O1645" s="20"/>
      <c r="P1645" s="28"/>
      <c r="Q1645" s="28"/>
      <c r="R1645" s="20"/>
      <c r="S1645" s="20"/>
      <c r="T1645" s="20"/>
      <c r="U1645" s="20"/>
      <c r="V1645" s="20"/>
      <c r="W1645" s="20"/>
      <c r="X1645" s="20"/>
      <c r="Y1645" s="20"/>
      <c r="Z1645" s="20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  <c r="AL1645" s="20"/>
      <c r="AM1645" s="20"/>
    </row>
    <row r="1646" spans="1:39" ht="13">
      <c r="A1646" s="20"/>
      <c r="B1646" s="20"/>
      <c r="C1646" s="20"/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  <c r="N1646" s="20"/>
      <c r="O1646" s="20"/>
      <c r="P1646" s="28"/>
      <c r="Q1646" s="28"/>
      <c r="R1646" s="20"/>
      <c r="S1646" s="20"/>
      <c r="T1646" s="20"/>
      <c r="U1646" s="20"/>
      <c r="V1646" s="20"/>
      <c r="W1646" s="20"/>
      <c r="X1646" s="20"/>
      <c r="Y1646" s="20"/>
      <c r="Z1646" s="20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  <c r="AL1646" s="20"/>
      <c r="AM1646" s="20"/>
    </row>
    <row r="1647" spans="1:39" ht="13">
      <c r="A1647" s="20"/>
      <c r="B1647" s="20"/>
      <c r="C1647" s="20"/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  <c r="N1647" s="20"/>
      <c r="O1647" s="20"/>
      <c r="P1647" s="28"/>
      <c r="Q1647" s="28"/>
      <c r="R1647" s="20"/>
      <c r="S1647" s="20"/>
      <c r="T1647" s="20"/>
      <c r="U1647" s="20"/>
      <c r="V1647" s="20"/>
      <c r="W1647" s="20"/>
      <c r="X1647" s="20"/>
      <c r="Y1647" s="20"/>
      <c r="Z1647" s="20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  <c r="AL1647" s="20"/>
      <c r="AM1647" s="20"/>
    </row>
    <row r="1648" spans="1:39" ht="13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28"/>
      <c r="Q1648" s="28"/>
      <c r="R1648" s="20"/>
      <c r="S1648" s="20"/>
      <c r="T1648" s="20"/>
      <c r="U1648" s="20"/>
      <c r="V1648" s="20"/>
      <c r="W1648" s="20"/>
      <c r="X1648" s="20"/>
      <c r="Y1648" s="20"/>
      <c r="Z1648" s="20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  <c r="AL1648" s="20"/>
      <c r="AM1648" s="20"/>
    </row>
    <row r="1649" spans="1:39" ht="13">
      <c r="A1649" s="20"/>
      <c r="B1649" s="20"/>
      <c r="C1649" s="20"/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  <c r="N1649" s="20"/>
      <c r="O1649" s="20"/>
      <c r="P1649" s="28"/>
      <c r="Q1649" s="28"/>
      <c r="R1649" s="20"/>
      <c r="S1649" s="20"/>
      <c r="T1649" s="20"/>
      <c r="U1649" s="20"/>
      <c r="V1649" s="20"/>
      <c r="W1649" s="20"/>
      <c r="X1649" s="20"/>
      <c r="Y1649" s="20"/>
      <c r="Z1649" s="20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  <c r="AL1649" s="20"/>
      <c r="AM1649" s="20"/>
    </row>
    <row r="1650" spans="1:39" ht="13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8"/>
      <c r="Q1650" s="28"/>
      <c r="R1650" s="20"/>
      <c r="S1650" s="20"/>
      <c r="T1650" s="20"/>
      <c r="U1650" s="20"/>
      <c r="V1650" s="20"/>
      <c r="W1650" s="20"/>
      <c r="X1650" s="20"/>
      <c r="Y1650" s="20"/>
      <c r="Z1650" s="20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  <c r="AL1650" s="20"/>
      <c r="AM1650" s="20"/>
    </row>
    <row r="1651" spans="1:39" ht="13">
      <c r="A1651" s="20"/>
      <c r="B1651" s="20"/>
      <c r="C1651" s="20"/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  <c r="N1651" s="20"/>
      <c r="O1651" s="20"/>
      <c r="P1651" s="28"/>
      <c r="Q1651" s="28"/>
      <c r="R1651" s="20"/>
      <c r="S1651" s="20"/>
      <c r="T1651" s="20"/>
      <c r="U1651" s="20"/>
      <c r="V1651" s="20"/>
      <c r="W1651" s="20"/>
      <c r="X1651" s="20"/>
      <c r="Y1651" s="20"/>
      <c r="Z1651" s="20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  <c r="AL1651" s="20"/>
      <c r="AM1651" s="20"/>
    </row>
    <row r="1652" spans="1:39" ht="13">
      <c r="A1652" s="20"/>
      <c r="B1652" s="20"/>
      <c r="C1652" s="20"/>
      <c r="D1652" s="20"/>
      <c r="E1652" s="20"/>
      <c r="F1652" s="20"/>
      <c r="G1652" s="20"/>
      <c r="H1652" s="20"/>
      <c r="I1652" s="20"/>
      <c r="J1652" s="20"/>
      <c r="K1652" s="20"/>
      <c r="L1652" s="20"/>
      <c r="M1652" s="20"/>
      <c r="N1652" s="20"/>
      <c r="O1652" s="20"/>
      <c r="P1652" s="28"/>
      <c r="Q1652" s="28"/>
      <c r="R1652" s="20"/>
      <c r="S1652" s="20"/>
      <c r="T1652" s="20"/>
      <c r="U1652" s="20"/>
      <c r="V1652" s="20"/>
      <c r="W1652" s="20"/>
      <c r="X1652" s="20"/>
      <c r="Y1652" s="20"/>
      <c r="Z1652" s="20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  <c r="AL1652" s="20"/>
      <c r="AM1652" s="20"/>
    </row>
    <row r="1653" spans="1:39" ht="13">
      <c r="A1653" s="20"/>
      <c r="B1653" s="20"/>
      <c r="C1653" s="20"/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  <c r="N1653" s="20"/>
      <c r="O1653" s="20"/>
      <c r="P1653" s="28"/>
      <c r="Q1653" s="28"/>
      <c r="R1653" s="20"/>
      <c r="S1653" s="20"/>
      <c r="T1653" s="20"/>
      <c r="U1653" s="20"/>
      <c r="V1653" s="20"/>
      <c r="W1653" s="20"/>
      <c r="X1653" s="20"/>
      <c r="Y1653" s="20"/>
      <c r="Z1653" s="20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  <c r="AL1653" s="20"/>
      <c r="AM1653" s="20"/>
    </row>
    <row r="1654" spans="1:39" ht="13">
      <c r="A1654" s="20"/>
      <c r="B1654" s="20"/>
      <c r="C1654" s="20"/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  <c r="N1654" s="20"/>
      <c r="O1654" s="20"/>
      <c r="P1654" s="28"/>
      <c r="Q1654" s="28"/>
      <c r="R1654" s="20"/>
      <c r="S1654" s="20"/>
      <c r="T1654" s="20"/>
      <c r="U1654" s="20"/>
      <c r="V1654" s="20"/>
      <c r="W1654" s="20"/>
      <c r="X1654" s="20"/>
      <c r="Y1654" s="20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</row>
    <row r="1655" spans="1:39" ht="13">
      <c r="A1655" s="20"/>
      <c r="B1655" s="20"/>
      <c r="C1655" s="20"/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  <c r="N1655" s="20"/>
      <c r="O1655" s="20"/>
      <c r="P1655" s="28"/>
      <c r="Q1655" s="28"/>
      <c r="R1655" s="20"/>
      <c r="S1655" s="20"/>
      <c r="T1655" s="20"/>
      <c r="U1655" s="20"/>
      <c r="V1655" s="20"/>
      <c r="W1655" s="20"/>
      <c r="X1655" s="20"/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</row>
    <row r="1656" spans="1:39" ht="13">
      <c r="A1656" s="20"/>
      <c r="B1656" s="20"/>
      <c r="C1656" s="20"/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  <c r="N1656" s="20"/>
      <c r="O1656" s="20"/>
      <c r="P1656" s="28"/>
      <c r="Q1656" s="28"/>
      <c r="R1656" s="20"/>
      <c r="S1656" s="20"/>
      <c r="T1656" s="20"/>
      <c r="U1656" s="20"/>
      <c r="V1656" s="20"/>
      <c r="W1656" s="20"/>
      <c r="X1656" s="20"/>
      <c r="Y1656" s="20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</row>
    <row r="1657" spans="1:39" ht="13">
      <c r="A1657" s="20"/>
      <c r="B1657" s="20"/>
      <c r="C1657" s="20"/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  <c r="N1657" s="20"/>
      <c r="O1657" s="20"/>
      <c r="P1657" s="28"/>
      <c r="Q1657" s="28"/>
      <c r="R1657" s="20"/>
      <c r="S1657" s="20"/>
      <c r="T1657" s="20"/>
      <c r="U1657" s="20"/>
      <c r="V1657" s="20"/>
      <c r="W1657" s="20"/>
      <c r="X1657" s="20"/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</row>
    <row r="1658" spans="1:39" ht="13">
      <c r="A1658" s="20"/>
      <c r="B1658" s="20"/>
      <c r="C1658" s="20"/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  <c r="N1658" s="20"/>
      <c r="O1658" s="20"/>
      <c r="P1658" s="28"/>
      <c r="Q1658" s="28"/>
      <c r="R1658" s="20"/>
      <c r="S1658" s="20"/>
      <c r="T1658" s="20"/>
      <c r="U1658" s="20"/>
      <c r="V1658" s="20"/>
      <c r="W1658" s="20"/>
      <c r="X1658" s="20"/>
      <c r="Y1658" s="20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</row>
    <row r="1659" spans="1:39" ht="13">
      <c r="A1659" s="20"/>
      <c r="B1659" s="20"/>
      <c r="C1659" s="20"/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  <c r="N1659" s="20"/>
      <c r="O1659" s="20"/>
      <c r="P1659" s="28"/>
      <c r="Q1659" s="28"/>
      <c r="R1659" s="20"/>
      <c r="S1659" s="20"/>
      <c r="T1659" s="20"/>
      <c r="U1659" s="20"/>
      <c r="V1659" s="20"/>
      <c r="W1659" s="20"/>
      <c r="X1659" s="20"/>
      <c r="Y1659" s="20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</row>
    <row r="1660" spans="1:39" ht="13">
      <c r="A1660" s="20"/>
      <c r="B1660" s="20"/>
      <c r="C1660" s="20"/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  <c r="N1660" s="20"/>
      <c r="O1660" s="20"/>
      <c r="P1660" s="28"/>
      <c r="Q1660" s="28"/>
      <c r="R1660" s="20"/>
      <c r="S1660" s="20"/>
      <c r="T1660" s="20"/>
      <c r="U1660" s="20"/>
      <c r="V1660" s="20"/>
      <c r="W1660" s="20"/>
      <c r="X1660" s="20"/>
      <c r="Y1660" s="20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</row>
    <row r="1661" spans="1:39" ht="13">
      <c r="A1661" s="20"/>
      <c r="B1661" s="20"/>
      <c r="C1661" s="20"/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  <c r="N1661" s="20"/>
      <c r="O1661" s="20"/>
      <c r="P1661" s="28"/>
      <c r="Q1661" s="28"/>
      <c r="R1661" s="20"/>
      <c r="S1661" s="20"/>
      <c r="T1661" s="20"/>
      <c r="U1661" s="20"/>
      <c r="V1661" s="20"/>
      <c r="W1661" s="20"/>
      <c r="X1661" s="20"/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</row>
    <row r="1662" spans="1:39" ht="13">
      <c r="A1662" s="20"/>
      <c r="B1662" s="20"/>
      <c r="C1662" s="20"/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  <c r="N1662" s="20"/>
      <c r="O1662" s="20"/>
      <c r="P1662" s="28"/>
      <c r="Q1662" s="28"/>
      <c r="R1662" s="20"/>
      <c r="S1662" s="20"/>
      <c r="T1662" s="20"/>
      <c r="U1662" s="20"/>
      <c r="V1662" s="20"/>
      <c r="W1662" s="20"/>
      <c r="X1662" s="20"/>
      <c r="Y1662" s="20"/>
      <c r="Z1662" s="20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  <c r="AL1662" s="20"/>
      <c r="AM1662" s="20"/>
    </row>
    <row r="1663" spans="1:39" ht="13">
      <c r="A1663" s="20"/>
      <c r="B1663" s="20"/>
      <c r="C1663" s="20"/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  <c r="N1663" s="20"/>
      <c r="O1663" s="20"/>
      <c r="P1663" s="28"/>
      <c r="Q1663" s="28"/>
      <c r="R1663" s="20"/>
      <c r="S1663" s="20"/>
      <c r="T1663" s="20"/>
      <c r="U1663" s="20"/>
      <c r="V1663" s="20"/>
      <c r="W1663" s="20"/>
      <c r="X1663" s="20"/>
      <c r="Y1663" s="20"/>
      <c r="Z1663" s="20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  <c r="AL1663" s="20"/>
      <c r="AM1663" s="20"/>
    </row>
    <row r="1664" spans="1:39" ht="13">
      <c r="A1664" s="20"/>
      <c r="B1664" s="20"/>
      <c r="C1664" s="20"/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  <c r="N1664" s="20"/>
      <c r="O1664" s="20"/>
      <c r="P1664" s="28"/>
      <c r="Q1664" s="28"/>
      <c r="R1664" s="20"/>
      <c r="S1664" s="20"/>
      <c r="T1664" s="20"/>
      <c r="U1664" s="20"/>
      <c r="V1664" s="20"/>
      <c r="W1664" s="20"/>
      <c r="X1664" s="20"/>
      <c r="Y1664" s="20"/>
      <c r="Z1664" s="20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  <c r="AL1664" s="20"/>
      <c r="AM1664" s="20"/>
    </row>
    <row r="1665" spans="1:39" ht="13">
      <c r="A1665" s="20"/>
      <c r="B1665" s="20"/>
      <c r="C1665" s="20"/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  <c r="N1665" s="20"/>
      <c r="O1665" s="20"/>
      <c r="P1665" s="28"/>
      <c r="Q1665" s="28"/>
      <c r="R1665" s="20"/>
      <c r="S1665" s="20"/>
      <c r="T1665" s="20"/>
      <c r="U1665" s="20"/>
      <c r="V1665" s="20"/>
      <c r="W1665" s="20"/>
      <c r="X1665" s="20"/>
      <c r="Y1665" s="20"/>
      <c r="Z1665" s="20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  <c r="AL1665" s="20"/>
      <c r="AM1665" s="20"/>
    </row>
    <row r="1666" spans="1:39" ht="13">
      <c r="A1666" s="20"/>
      <c r="B1666" s="20"/>
      <c r="C1666" s="20"/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  <c r="N1666" s="20"/>
      <c r="O1666" s="20"/>
      <c r="P1666" s="28"/>
      <c r="Q1666" s="28"/>
      <c r="R1666" s="20"/>
      <c r="S1666" s="20"/>
      <c r="T1666" s="20"/>
      <c r="U1666" s="20"/>
      <c r="V1666" s="20"/>
      <c r="W1666" s="20"/>
      <c r="X1666" s="20"/>
      <c r="Y1666" s="20"/>
      <c r="Z1666" s="20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  <c r="AL1666" s="20"/>
      <c r="AM1666" s="20"/>
    </row>
    <row r="1667" spans="1:39" ht="13">
      <c r="A1667" s="20"/>
      <c r="B1667" s="20"/>
      <c r="C1667" s="20"/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  <c r="N1667" s="20"/>
      <c r="O1667" s="20"/>
      <c r="P1667" s="28"/>
      <c r="Q1667" s="28"/>
      <c r="R1667" s="20"/>
      <c r="S1667" s="20"/>
      <c r="T1667" s="20"/>
      <c r="U1667" s="20"/>
      <c r="V1667" s="20"/>
      <c r="W1667" s="20"/>
      <c r="X1667" s="20"/>
      <c r="Y1667" s="20"/>
      <c r="Z1667" s="20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  <c r="AL1667" s="20"/>
      <c r="AM1667" s="20"/>
    </row>
    <row r="1668" spans="1:39" ht="13">
      <c r="A1668" s="20"/>
      <c r="B1668" s="20"/>
      <c r="C1668" s="20"/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  <c r="N1668" s="20"/>
      <c r="O1668" s="20"/>
      <c r="P1668" s="28"/>
      <c r="Q1668" s="28"/>
      <c r="R1668" s="20"/>
      <c r="S1668" s="20"/>
      <c r="T1668" s="20"/>
      <c r="U1668" s="20"/>
      <c r="V1668" s="20"/>
      <c r="W1668" s="20"/>
      <c r="X1668" s="20"/>
      <c r="Y1668" s="20"/>
      <c r="Z1668" s="20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  <c r="AL1668" s="20"/>
      <c r="AM1668" s="20"/>
    </row>
    <row r="1669" spans="1:39" ht="13">
      <c r="A1669" s="20"/>
      <c r="B1669" s="20"/>
      <c r="C1669" s="20"/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  <c r="N1669" s="20"/>
      <c r="O1669" s="20"/>
      <c r="P1669" s="28"/>
      <c r="Q1669" s="28"/>
      <c r="R1669" s="20"/>
      <c r="S1669" s="20"/>
      <c r="T1669" s="20"/>
      <c r="U1669" s="20"/>
      <c r="V1669" s="20"/>
      <c r="W1669" s="20"/>
      <c r="X1669" s="20"/>
      <c r="Y1669" s="20"/>
      <c r="Z1669" s="20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  <c r="AL1669" s="20"/>
      <c r="AM1669" s="20"/>
    </row>
    <row r="1670" spans="1:39" ht="13">
      <c r="A1670" s="20"/>
      <c r="B1670" s="20"/>
      <c r="C1670" s="20"/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  <c r="N1670" s="20"/>
      <c r="O1670" s="20"/>
      <c r="P1670" s="28"/>
      <c r="Q1670" s="28"/>
      <c r="R1670" s="20"/>
      <c r="S1670" s="20"/>
      <c r="T1670" s="20"/>
      <c r="U1670" s="20"/>
      <c r="V1670" s="20"/>
      <c r="W1670" s="20"/>
      <c r="X1670" s="20"/>
      <c r="Y1670" s="20"/>
      <c r="Z1670" s="20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  <c r="AL1670" s="20"/>
      <c r="AM1670" s="20"/>
    </row>
    <row r="1671" spans="1:39" ht="13">
      <c r="A1671" s="20"/>
      <c r="B1671" s="20"/>
      <c r="C1671" s="20"/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  <c r="N1671" s="20"/>
      <c r="O1671" s="20"/>
      <c r="P1671" s="28"/>
      <c r="Q1671" s="28"/>
      <c r="R1671" s="20"/>
      <c r="S1671" s="20"/>
      <c r="T1671" s="20"/>
      <c r="U1671" s="20"/>
      <c r="V1671" s="20"/>
      <c r="W1671" s="20"/>
      <c r="X1671" s="20"/>
      <c r="Y1671" s="20"/>
      <c r="Z1671" s="20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  <c r="AL1671" s="20"/>
      <c r="AM1671" s="20"/>
    </row>
    <row r="1672" spans="1:39" ht="13">
      <c r="A1672" s="20"/>
      <c r="B1672" s="20"/>
      <c r="C1672" s="20"/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  <c r="N1672" s="20"/>
      <c r="O1672" s="20"/>
      <c r="P1672" s="28"/>
      <c r="Q1672" s="28"/>
      <c r="R1672" s="20"/>
      <c r="S1672" s="20"/>
      <c r="T1672" s="20"/>
      <c r="U1672" s="20"/>
      <c r="V1672" s="20"/>
      <c r="W1672" s="20"/>
      <c r="X1672" s="20"/>
      <c r="Y1672" s="20"/>
      <c r="Z1672" s="20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  <c r="AL1672" s="20"/>
      <c r="AM1672" s="20"/>
    </row>
    <row r="1673" spans="1:39" ht="13">
      <c r="A1673" s="20"/>
      <c r="B1673" s="20"/>
      <c r="C1673" s="20"/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  <c r="N1673" s="20"/>
      <c r="O1673" s="20"/>
      <c r="P1673" s="28"/>
      <c r="Q1673" s="28"/>
      <c r="R1673" s="20"/>
      <c r="S1673" s="20"/>
      <c r="T1673" s="20"/>
      <c r="U1673" s="20"/>
      <c r="V1673" s="20"/>
      <c r="W1673" s="20"/>
      <c r="X1673" s="20"/>
      <c r="Y1673" s="20"/>
      <c r="Z1673" s="20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  <c r="AL1673" s="20"/>
      <c r="AM1673" s="20"/>
    </row>
    <row r="1674" spans="1:39" ht="13">
      <c r="A1674" s="20"/>
      <c r="B1674" s="20"/>
      <c r="C1674" s="20"/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  <c r="P1674" s="28"/>
      <c r="Q1674" s="28"/>
      <c r="R1674" s="20"/>
      <c r="S1674" s="20"/>
      <c r="T1674" s="20"/>
      <c r="U1674" s="20"/>
      <c r="V1674" s="20"/>
      <c r="W1674" s="20"/>
      <c r="X1674" s="20"/>
      <c r="Y1674" s="20"/>
      <c r="Z1674" s="20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  <c r="AL1674" s="20"/>
      <c r="AM1674" s="20"/>
    </row>
    <row r="1675" spans="1:39" ht="13">
      <c r="A1675" s="20"/>
      <c r="B1675" s="20"/>
      <c r="C1675" s="20"/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  <c r="N1675" s="20"/>
      <c r="O1675" s="20"/>
      <c r="P1675" s="28"/>
      <c r="Q1675" s="28"/>
      <c r="R1675" s="20"/>
      <c r="S1675" s="20"/>
      <c r="T1675" s="20"/>
      <c r="U1675" s="20"/>
      <c r="V1675" s="20"/>
      <c r="W1675" s="20"/>
      <c r="X1675" s="20"/>
      <c r="Y1675" s="20"/>
      <c r="Z1675" s="20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  <c r="AL1675" s="20"/>
      <c r="AM1675" s="20"/>
    </row>
    <row r="1676" spans="1:39" ht="13">
      <c r="A1676" s="20"/>
      <c r="B1676" s="20"/>
      <c r="C1676" s="20"/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  <c r="N1676" s="20"/>
      <c r="O1676" s="20"/>
      <c r="P1676" s="28"/>
      <c r="Q1676" s="28"/>
      <c r="R1676" s="20"/>
      <c r="S1676" s="20"/>
      <c r="T1676" s="20"/>
      <c r="U1676" s="20"/>
      <c r="V1676" s="20"/>
      <c r="W1676" s="20"/>
      <c r="X1676" s="20"/>
      <c r="Y1676" s="20"/>
      <c r="Z1676" s="20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  <c r="AL1676" s="20"/>
      <c r="AM1676" s="20"/>
    </row>
    <row r="1677" spans="1:39" ht="13">
      <c r="A1677" s="20"/>
      <c r="B1677" s="20"/>
      <c r="C1677" s="20"/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  <c r="N1677" s="20"/>
      <c r="O1677" s="20"/>
      <c r="P1677" s="28"/>
      <c r="Q1677" s="28"/>
      <c r="R1677" s="20"/>
      <c r="S1677" s="20"/>
      <c r="T1677" s="20"/>
      <c r="U1677" s="20"/>
      <c r="V1677" s="20"/>
      <c r="W1677" s="20"/>
      <c r="X1677" s="20"/>
      <c r="Y1677" s="20"/>
      <c r="Z1677" s="20"/>
      <c r="AA1677" s="20"/>
      <c r="AB1677" s="20"/>
      <c r="AC1677" s="20"/>
      <c r="AD1677" s="20"/>
      <c r="AE1677" s="20"/>
      <c r="AF1677" s="20"/>
      <c r="AG1677" s="20"/>
      <c r="AH1677" s="20"/>
      <c r="AI1677" s="20"/>
      <c r="AJ1677" s="20"/>
      <c r="AK1677" s="20"/>
      <c r="AL1677" s="20"/>
      <c r="AM1677" s="20"/>
    </row>
    <row r="1678" spans="1:39" ht="13">
      <c r="A1678" s="20"/>
      <c r="B1678" s="20"/>
      <c r="C1678" s="20"/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  <c r="N1678" s="20"/>
      <c r="O1678" s="20"/>
      <c r="P1678" s="28"/>
      <c r="Q1678" s="28"/>
      <c r="R1678" s="20"/>
      <c r="S1678" s="20"/>
      <c r="T1678" s="20"/>
      <c r="U1678" s="20"/>
      <c r="V1678" s="20"/>
      <c r="W1678" s="20"/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20"/>
      <c r="AM1678" s="20"/>
    </row>
    <row r="1679" spans="1:39" ht="13">
      <c r="A1679" s="20"/>
      <c r="B1679" s="20"/>
      <c r="C1679" s="20"/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  <c r="N1679" s="20"/>
      <c r="O1679" s="20"/>
      <c r="P1679" s="28"/>
      <c r="Q1679" s="28"/>
      <c r="R1679" s="20"/>
      <c r="S1679" s="20"/>
      <c r="T1679" s="20"/>
      <c r="U1679" s="20"/>
      <c r="V1679" s="20"/>
      <c r="W1679" s="20"/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20"/>
      <c r="AM1679" s="20"/>
    </row>
    <row r="1680" spans="1:39" ht="13">
      <c r="A1680" s="20"/>
      <c r="B1680" s="20"/>
      <c r="C1680" s="20"/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  <c r="N1680" s="20"/>
      <c r="O1680" s="20"/>
      <c r="P1680" s="28"/>
      <c r="Q1680" s="28"/>
      <c r="R1680" s="20"/>
      <c r="S1680" s="20"/>
      <c r="T1680" s="20"/>
      <c r="U1680" s="20"/>
      <c r="V1680" s="20"/>
      <c r="W1680" s="20"/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20"/>
      <c r="AM1680" s="20"/>
    </row>
    <row r="1681" spans="1:39" ht="13">
      <c r="A1681" s="20"/>
      <c r="B1681" s="20"/>
      <c r="C1681" s="20"/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  <c r="N1681" s="20"/>
      <c r="O1681" s="20"/>
      <c r="P1681" s="28"/>
      <c r="Q1681" s="28"/>
      <c r="R1681" s="20"/>
      <c r="S1681" s="20"/>
      <c r="T1681" s="20"/>
      <c r="U1681" s="20"/>
      <c r="V1681" s="20"/>
      <c r="W1681" s="20"/>
      <c r="X1681" s="20"/>
      <c r="Y1681" s="20"/>
      <c r="Z1681" s="20"/>
      <c r="AA1681" s="20"/>
      <c r="AB1681" s="20"/>
      <c r="AC1681" s="20"/>
      <c r="AD1681" s="20"/>
      <c r="AE1681" s="20"/>
      <c r="AF1681" s="20"/>
      <c r="AG1681" s="20"/>
      <c r="AH1681" s="20"/>
      <c r="AI1681" s="20"/>
      <c r="AJ1681" s="20"/>
      <c r="AK1681" s="20"/>
      <c r="AL1681" s="20"/>
      <c r="AM1681" s="20"/>
    </row>
    <row r="1682" spans="1:39" ht="13">
      <c r="A1682" s="20"/>
      <c r="B1682" s="20"/>
      <c r="C1682" s="20"/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  <c r="N1682" s="20"/>
      <c r="O1682" s="20"/>
      <c r="P1682" s="28"/>
      <c r="Q1682" s="28"/>
      <c r="R1682" s="20"/>
      <c r="S1682" s="20"/>
      <c r="T1682" s="20"/>
      <c r="U1682" s="20"/>
      <c r="V1682" s="20"/>
      <c r="W1682" s="20"/>
      <c r="X1682" s="20"/>
      <c r="Y1682" s="20"/>
      <c r="Z1682" s="20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  <c r="AL1682" s="20"/>
      <c r="AM1682" s="20"/>
    </row>
    <row r="1683" spans="1:39" ht="13">
      <c r="A1683" s="20"/>
      <c r="B1683" s="20"/>
      <c r="C1683" s="20"/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  <c r="N1683" s="20"/>
      <c r="O1683" s="20"/>
      <c r="P1683" s="28"/>
      <c r="Q1683" s="28"/>
      <c r="R1683" s="20"/>
      <c r="S1683" s="20"/>
      <c r="T1683" s="20"/>
      <c r="U1683" s="20"/>
      <c r="V1683" s="20"/>
      <c r="W1683" s="20"/>
      <c r="X1683" s="20"/>
      <c r="Y1683" s="20"/>
      <c r="Z1683" s="20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  <c r="AL1683" s="20"/>
      <c r="AM1683" s="20"/>
    </row>
    <row r="1684" spans="1:39" ht="13">
      <c r="A1684" s="20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8"/>
      <c r="Q1684" s="28"/>
      <c r="R1684" s="20"/>
      <c r="S1684" s="20"/>
      <c r="T1684" s="20"/>
      <c r="U1684" s="20"/>
      <c r="V1684" s="20"/>
      <c r="W1684" s="20"/>
      <c r="X1684" s="20"/>
      <c r="Y1684" s="20"/>
      <c r="Z1684" s="20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  <c r="AL1684" s="20"/>
      <c r="AM1684" s="20"/>
    </row>
    <row r="1685" spans="1:39" ht="13">
      <c r="A1685" s="20"/>
      <c r="B1685" s="20"/>
      <c r="C1685" s="20"/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  <c r="N1685" s="20"/>
      <c r="O1685" s="20"/>
      <c r="P1685" s="28"/>
      <c r="Q1685" s="28"/>
      <c r="R1685" s="20"/>
      <c r="S1685" s="20"/>
      <c r="T1685" s="20"/>
      <c r="U1685" s="20"/>
      <c r="V1685" s="20"/>
      <c r="W1685" s="20"/>
      <c r="X1685" s="20"/>
      <c r="Y1685" s="20"/>
      <c r="Z1685" s="20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  <c r="AL1685" s="20"/>
      <c r="AM1685" s="20"/>
    </row>
    <row r="1686" spans="1:39" ht="13">
      <c r="A1686" s="20"/>
      <c r="B1686" s="20"/>
      <c r="C1686" s="20"/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  <c r="N1686" s="20"/>
      <c r="O1686" s="20"/>
      <c r="P1686" s="28"/>
      <c r="Q1686" s="28"/>
      <c r="R1686" s="20"/>
      <c r="S1686" s="20"/>
      <c r="T1686" s="20"/>
      <c r="U1686" s="20"/>
      <c r="V1686" s="20"/>
      <c r="W1686" s="20"/>
      <c r="X1686" s="20"/>
      <c r="Y1686" s="20"/>
      <c r="Z1686" s="20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  <c r="AL1686" s="20"/>
      <c r="AM1686" s="20"/>
    </row>
    <row r="1687" spans="1:39" ht="13">
      <c r="A1687" s="20"/>
      <c r="B1687" s="20"/>
      <c r="C1687" s="20"/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  <c r="N1687" s="20"/>
      <c r="O1687" s="20"/>
      <c r="P1687" s="28"/>
      <c r="Q1687" s="28"/>
      <c r="R1687" s="20"/>
      <c r="S1687" s="20"/>
      <c r="T1687" s="20"/>
      <c r="U1687" s="20"/>
      <c r="V1687" s="20"/>
      <c r="W1687" s="20"/>
      <c r="X1687" s="20"/>
      <c r="Y1687" s="20"/>
      <c r="Z1687" s="20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  <c r="AL1687" s="20"/>
      <c r="AM1687" s="20"/>
    </row>
    <row r="1688" spans="1:39" ht="13">
      <c r="A1688" s="20"/>
      <c r="B1688" s="20"/>
      <c r="C1688" s="20"/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  <c r="N1688" s="20"/>
      <c r="O1688" s="20"/>
      <c r="P1688" s="28"/>
      <c r="Q1688" s="28"/>
      <c r="R1688" s="20"/>
      <c r="S1688" s="20"/>
      <c r="T1688" s="20"/>
      <c r="U1688" s="20"/>
      <c r="V1688" s="20"/>
      <c r="W1688" s="20"/>
      <c r="X1688" s="20"/>
      <c r="Y1688" s="20"/>
      <c r="Z1688" s="20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  <c r="AL1688" s="20"/>
      <c r="AM1688" s="20"/>
    </row>
    <row r="1689" spans="1:39" ht="13">
      <c r="A1689" s="20"/>
      <c r="B1689" s="20"/>
      <c r="C1689" s="20"/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  <c r="N1689" s="20"/>
      <c r="O1689" s="20"/>
      <c r="P1689" s="28"/>
      <c r="Q1689" s="28"/>
      <c r="R1689" s="20"/>
      <c r="S1689" s="20"/>
      <c r="T1689" s="20"/>
      <c r="U1689" s="20"/>
      <c r="V1689" s="20"/>
      <c r="W1689" s="20"/>
      <c r="X1689" s="20"/>
      <c r="Y1689" s="20"/>
      <c r="Z1689" s="20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  <c r="AL1689" s="20"/>
      <c r="AM1689" s="20"/>
    </row>
    <row r="1690" spans="1:39" ht="13">
      <c r="A1690" s="20"/>
      <c r="B1690" s="20"/>
      <c r="C1690" s="20"/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  <c r="N1690" s="20"/>
      <c r="O1690" s="20"/>
      <c r="P1690" s="28"/>
      <c r="Q1690" s="28"/>
      <c r="R1690" s="20"/>
      <c r="S1690" s="20"/>
      <c r="T1690" s="20"/>
      <c r="U1690" s="20"/>
      <c r="V1690" s="20"/>
      <c r="W1690" s="20"/>
      <c r="X1690" s="20"/>
      <c r="Y1690" s="20"/>
      <c r="Z1690" s="20"/>
      <c r="AA1690" s="20"/>
      <c r="AB1690" s="20"/>
      <c r="AC1690" s="20"/>
      <c r="AD1690" s="20"/>
      <c r="AE1690" s="20"/>
      <c r="AF1690" s="20"/>
      <c r="AG1690" s="20"/>
      <c r="AH1690" s="20"/>
      <c r="AI1690" s="20"/>
      <c r="AJ1690" s="20"/>
      <c r="AK1690" s="20"/>
      <c r="AL1690" s="20"/>
      <c r="AM1690" s="20"/>
    </row>
    <row r="1691" spans="1:39" ht="13">
      <c r="A1691" s="20"/>
      <c r="B1691" s="20"/>
      <c r="C1691" s="20"/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  <c r="N1691" s="20"/>
      <c r="O1691" s="20"/>
      <c r="P1691" s="28"/>
      <c r="Q1691" s="28"/>
      <c r="R1691" s="20"/>
      <c r="S1691" s="20"/>
      <c r="T1691" s="20"/>
      <c r="U1691" s="20"/>
      <c r="V1691" s="20"/>
      <c r="W1691" s="20"/>
      <c r="X1691" s="20"/>
      <c r="Y1691" s="20"/>
      <c r="Z1691" s="20"/>
      <c r="AA1691" s="20"/>
      <c r="AB1691" s="20"/>
      <c r="AC1691" s="20"/>
      <c r="AD1691" s="20"/>
      <c r="AE1691" s="20"/>
      <c r="AF1691" s="20"/>
      <c r="AG1691" s="20"/>
      <c r="AH1691" s="20"/>
      <c r="AI1691" s="20"/>
      <c r="AJ1691" s="20"/>
      <c r="AK1691" s="20"/>
      <c r="AL1691" s="20"/>
      <c r="AM1691" s="20"/>
    </row>
    <row r="1692" spans="1:39" ht="13">
      <c r="A1692" s="20"/>
      <c r="B1692" s="20"/>
      <c r="C1692" s="20"/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  <c r="N1692" s="20"/>
      <c r="O1692" s="20"/>
      <c r="P1692" s="28"/>
      <c r="Q1692" s="28"/>
      <c r="R1692" s="20"/>
      <c r="S1692" s="20"/>
      <c r="T1692" s="20"/>
      <c r="U1692" s="20"/>
      <c r="V1692" s="20"/>
      <c r="W1692" s="20"/>
      <c r="X1692" s="20"/>
      <c r="Y1692" s="20"/>
      <c r="Z1692" s="20"/>
      <c r="AA1692" s="20"/>
      <c r="AB1692" s="20"/>
      <c r="AC1692" s="20"/>
      <c r="AD1692" s="20"/>
      <c r="AE1692" s="20"/>
      <c r="AF1692" s="20"/>
      <c r="AG1692" s="20"/>
      <c r="AH1692" s="20"/>
      <c r="AI1692" s="20"/>
      <c r="AJ1692" s="20"/>
      <c r="AK1692" s="20"/>
      <c r="AL1692" s="20"/>
      <c r="AM1692" s="20"/>
    </row>
    <row r="1693" spans="1:39" ht="13">
      <c r="A1693" s="20"/>
      <c r="B1693" s="20"/>
      <c r="C1693" s="20"/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  <c r="N1693" s="20"/>
      <c r="O1693" s="20"/>
      <c r="P1693" s="28"/>
      <c r="Q1693" s="28"/>
      <c r="R1693" s="20"/>
      <c r="S1693" s="20"/>
      <c r="T1693" s="20"/>
      <c r="U1693" s="20"/>
      <c r="V1693" s="20"/>
      <c r="W1693" s="20"/>
      <c r="X1693" s="20"/>
      <c r="Y1693" s="20"/>
      <c r="Z1693" s="20"/>
      <c r="AA1693" s="20"/>
      <c r="AB1693" s="20"/>
      <c r="AC1693" s="20"/>
      <c r="AD1693" s="20"/>
      <c r="AE1693" s="20"/>
      <c r="AF1693" s="20"/>
      <c r="AG1693" s="20"/>
      <c r="AH1693" s="20"/>
      <c r="AI1693" s="20"/>
      <c r="AJ1693" s="20"/>
      <c r="AK1693" s="20"/>
      <c r="AL1693" s="20"/>
      <c r="AM1693" s="20"/>
    </row>
    <row r="1694" spans="1:39" ht="13">
      <c r="A1694" s="20"/>
      <c r="B1694" s="20"/>
      <c r="C1694" s="20"/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  <c r="N1694" s="20"/>
      <c r="O1694" s="20"/>
      <c r="P1694" s="28"/>
      <c r="Q1694" s="28"/>
      <c r="R1694" s="20"/>
      <c r="S1694" s="20"/>
      <c r="T1694" s="20"/>
      <c r="U1694" s="20"/>
      <c r="V1694" s="20"/>
      <c r="W1694" s="20"/>
      <c r="X1694" s="20"/>
      <c r="Y1694" s="20"/>
      <c r="Z1694" s="20"/>
      <c r="AA1694" s="20"/>
      <c r="AB1694" s="20"/>
      <c r="AC1694" s="20"/>
      <c r="AD1694" s="20"/>
      <c r="AE1694" s="20"/>
      <c r="AF1694" s="20"/>
      <c r="AG1694" s="20"/>
      <c r="AH1694" s="20"/>
      <c r="AI1694" s="20"/>
      <c r="AJ1694" s="20"/>
      <c r="AK1694" s="20"/>
      <c r="AL1694" s="20"/>
      <c r="AM1694" s="20"/>
    </row>
    <row r="1695" spans="1:39" ht="13">
      <c r="A1695" s="20"/>
      <c r="B1695" s="20"/>
      <c r="C1695" s="20"/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  <c r="N1695" s="20"/>
      <c r="O1695" s="20"/>
      <c r="P1695" s="28"/>
      <c r="Q1695" s="28"/>
      <c r="R1695" s="20"/>
      <c r="S1695" s="20"/>
      <c r="T1695" s="20"/>
      <c r="U1695" s="20"/>
      <c r="V1695" s="20"/>
      <c r="W1695" s="20"/>
      <c r="X1695" s="20"/>
      <c r="Y1695" s="20"/>
      <c r="Z1695" s="20"/>
      <c r="AA1695" s="20"/>
      <c r="AB1695" s="20"/>
      <c r="AC1695" s="20"/>
      <c r="AD1695" s="20"/>
      <c r="AE1695" s="20"/>
      <c r="AF1695" s="20"/>
      <c r="AG1695" s="20"/>
      <c r="AH1695" s="20"/>
      <c r="AI1695" s="20"/>
      <c r="AJ1695" s="20"/>
      <c r="AK1695" s="20"/>
      <c r="AL1695" s="20"/>
      <c r="AM1695" s="20"/>
    </row>
    <row r="1696" spans="1:39" ht="13">
      <c r="A1696" s="20"/>
      <c r="B1696" s="20"/>
      <c r="C1696" s="20"/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  <c r="N1696" s="20"/>
      <c r="O1696" s="20"/>
      <c r="P1696" s="28"/>
      <c r="Q1696" s="28"/>
      <c r="R1696" s="20"/>
      <c r="S1696" s="20"/>
      <c r="T1696" s="20"/>
      <c r="U1696" s="20"/>
      <c r="V1696" s="20"/>
      <c r="W1696" s="20"/>
      <c r="X1696" s="20"/>
      <c r="Y1696" s="20"/>
      <c r="Z1696" s="20"/>
      <c r="AA1696" s="20"/>
      <c r="AB1696" s="20"/>
      <c r="AC1696" s="20"/>
      <c r="AD1696" s="20"/>
      <c r="AE1696" s="20"/>
      <c r="AF1696" s="20"/>
      <c r="AG1696" s="20"/>
      <c r="AH1696" s="20"/>
      <c r="AI1696" s="20"/>
      <c r="AJ1696" s="20"/>
      <c r="AK1696" s="20"/>
      <c r="AL1696" s="20"/>
      <c r="AM1696" s="20"/>
    </row>
    <row r="1697" spans="1:39" ht="13">
      <c r="A1697" s="20"/>
      <c r="B1697" s="20"/>
      <c r="C1697" s="20"/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  <c r="N1697" s="20"/>
      <c r="O1697" s="20"/>
      <c r="P1697" s="28"/>
      <c r="Q1697" s="28"/>
      <c r="R1697" s="20"/>
      <c r="S1697" s="20"/>
      <c r="T1697" s="20"/>
      <c r="U1697" s="20"/>
      <c r="V1697" s="20"/>
      <c r="W1697" s="20"/>
      <c r="X1697" s="20"/>
      <c r="Y1697" s="20"/>
      <c r="Z1697" s="20"/>
      <c r="AA1697" s="20"/>
      <c r="AB1697" s="20"/>
      <c r="AC1697" s="20"/>
      <c r="AD1697" s="20"/>
      <c r="AE1697" s="20"/>
      <c r="AF1697" s="20"/>
      <c r="AG1697" s="20"/>
      <c r="AH1697" s="20"/>
      <c r="AI1697" s="20"/>
      <c r="AJ1697" s="20"/>
      <c r="AK1697" s="20"/>
      <c r="AL1697" s="20"/>
      <c r="AM1697" s="20"/>
    </row>
    <row r="1698" spans="1:39" ht="13">
      <c r="A1698" s="20"/>
      <c r="B1698" s="20"/>
      <c r="C1698" s="20"/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  <c r="N1698" s="20"/>
      <c r="O1698" s="20"/>
      <c r="P1698" s="28"/>
      <c r="Q1698" s="28"/>
      <c r="R1698" s="20"/>
      <c r="S1698" s="20"/>
      <c r="T1698" s="20"/>
      <c r="U1698" s="20"/>
      <c r="V1698" s="20"/>
      <c r="W1698" s="20"/>
      <c r="X1698" s="20"/>
      <c r="Y1698" s="20"/>
      <c r="Z1698" s="20"/>
      <c r="AA1698" s="20"/>
      <c r="AB1698" s="20"/>
      <c r="AC1698" s="20"/>
      <c r="AD1698" s="20"/>
      <c r="AE1698" s="20"/>
      <c r="AF1698" s="20"/>
      <c r="AG1698" s="20"/>
      <c r="AH1698" s="20"/>
      <c r="AI1698" s="20"/>
      <c r="AJ1698" s="20"/>
      <c r="AK1698" s="20"/>
      <c r="AL1698" s="20"/>
      <c r="AM1698" s="20"/>
    </row>
    <row r="1699" spans="1:39" ht="13">
      <c r="A1699" s="20"/>
      <c r="B1699" s="20"/>
      <c r="C1699" s="20"/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  <c r="N1699" s="20"/>
      <c r="O1699" s="20"/>
      <c r="P1699" s="28"/>
      <c r="Q1699" s="28"/>
      <c r="R1699" s="20"/>
      <c r="S1699" s="20"/>
      <c r="T1699" s="20"/>
      <c r="U1699" s="20"/>
      <c r="V1699" s="20"/>
      <c r="W1699" s="20"/>
      <c r="X1699" s="20"/>
      <c r="Y1699" s="20"/>
      <c r="Z1699" s="20"/>
      <c r="AA1699" s="20"/>
      <c r="AB1699" s="20"/>
      <c r="AC1699" s="20"/>
      <c r="AD1699" s="20"/>
      <c r="AE1699" s="20"/>
      <c r="AF1699" s="20"/>
      <c r="AG1699" s="20"/>
      <c r="AH1699" s="20"/>
      <c r="AI1699" s="20"/>
      <c r="AJ1699" s="20"/>
      <c r="AK1699" s="20"/>
      <c r="AL1699" s="20"/>
      <c r="AM1699" s="20"/>
    </row>
    <row r="1700" spans="1:39" ht="13">
      <c r="A1700" s="20"/>
      <c r="B1700" s="20"/>
      <c r="C1700" s="20"/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  <c r="N1700" s="20"/>
      <c r="O1700" s="20"/>
      <c r="P1700" s="28"/>
      <c r="Q1700" s="28"/>
      <c r="R1700" s="20"/>
      <c r="S1700" s="20"/>
      <c r="T1700" s="20"/>
      <c r="U1700" s="20"/>
      <c r="V1700" s="20"/>
      <c r="W1700" s="20"/>
      <c r="X1700" s="20"/>
      <c r="Y1700" s="20"/>
      <c r="Z1700" s="20"/>
      <c r="AA1700" s="20"/>
      <c r="AB1700" s="20"/>
      <c r="AC1700" s="20"/>
      <c r="AD1700" s="20"/>
      <c r="AE1700" s="20"/>
      <c r="AF1700" s="20"/>
      <c r="AG1700" s="20"/>
      <c r="AH1700" s="20"/>
      <c r="AI1700" s="20"/>
      <c r="AJ1700" s="20"/>
      <c r="AK1700" s="20"/>
      <c r="AL1700" s="20"/>
      <c r="AM1700" s="20"/>
    </row>
    <row r="1701" spans="1:39" ht="13">
      <c r="A1701" s="20"/>
      <c r="B1701" s="20"/>
      <c r="C1701" s="20"/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  <c r="N1701" s="20"/>
      <c r="O1701" s="20"/>
      <c r="P1701" s="28"/>
      <c r="Q1701" s="28"/>
      <c r="R1701" s="20"/>
      <c r="S1701" s="20"/>
      <c r="T1701" s="20"/>
      <c r="U1701" s="20"/>
      <c r="V1701" s="20"/>
      <c r="W1701" s="20"/>
      <c r="X1701" s="20"/>
      <c r="Y1701" s="20"/>
      <c r="Z1701" s="20"/>
      <c r="AA1701" s="20"/>
      <c r="AB1701" s="20"/>
      <c r="AC1701" s="20"/>
      <c r="AD1701" s="20"/>
      <c r="AE1701" s="20"/>
      <c r="AF1701" s="20"/>
      <c r="AG1701" s="20"/>
      <c r="AH1701" s="20"/>
      <c r="AI1701" s="20"/>
      <c r="AJ1701" s="20"/>
      <c r="AK1701" s="20"/>
      <c r="AL1701" s="20"/>
      <c r="AM1701" s="20"/>
    </row>
    <row r="1702" spans="1:39" ht="13">
      <c r="A1702" s="20"/>
      <c r="B1702" s="20"/>
      <c r="C1702" s="20"/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  <c r="N1702" s="20"/>
      <c r="O1702" s="20"/>
      <c r="P1702" s="28"/>
      <c r="Q1702" s="28"/>
      <c r="R1702" s="20"/>
      <c r="S1702" s="20"/>
      <c r="T1702" s="20"/>
      <c r="U1702" s="20"/>
      <c r="V1702" s="20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20"/>
      <c r="AJ1702" s="20"/>
      <c r="AK1702" s="20"/>
      <c r="AL1702" s="20"/>
      <c r="AM1702" s="20"/>
    </row>
    <row r="1703" spans="1:39" ht="13">
      <c r="A1703" s="20"/>
      <c r="B1703" s="20"/>
      <c r="C1703" s="20"/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  <c r="N1703" s="20"/>
      <c r="O1703" s="20"/>
      <c r="P1703" s="28"/>
      <c r="Q1703" s="28"/>
      <c r="R1703" s="20"/>
      <c r="S1703" s="20"/>
      <c r="T1703" s="20"/>
      <c r="U1703" s="20"/>
      <c r="V1703" s="20"/>
      <c r="W1703" s="20"/>
      <c r="X1703" s="20"/>
      <c r="Y1703" s="20"/>
      <c r="Z1703" s="20"/>
      <c r="AA1703" s="20"/>
      <c r="AB1703" s="20"/>
      <c r="AC1703" s="20"/>
      <c r="AD1703" s="20"/>
      <c r="AE1703" s="20"/>
      <c r="AF1703" s="20"/>
      <c r="AG1703" s="20"/>
      <c r="AH1703" s="20"/>
      <c r="AI1703" s="20"/>
      <c r="AJ1703" s="20"/>
      <c r="AK1703" s="20"/>
      <c r="AL1703" s="20"/>
      <c r="AM1703" s="20"/>
    </row>
    <row r="1704" spans="1:39" ht="13">
      <c r="A1704" s="20"/>
      <c r="B1704" s="20"/>
      <c r="C1704" s="20"/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  <c r="N1704" s="20"/>
      <c r="O1704" s="20"/>
      <c r="P1704" s="28"/>
      <c r="Q1704" s="28"/>
      <c r="R1704" s="20"/>
      <c r="S1704" s="20"/>
      <c r="T1704" s="20"/>
      <c r="U1704" s="20"/>
      <c r="V1704" s="20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20"/>
      <c r="AJ1704" s="20"/>
      <c r="AK1704" s="20"/>
      <c r="AL1704" s="20"/>
      <c r="AM1704" s="20"/>
    </row>
    <row r="1705" spans="1:39" ht="13">
      <c r="A1705" s="20"/>
      <c r="B1705" s="20"/>
      <c r="C1705" s="20"/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  <c r="N1705" s="20"/>
      <c r="O1705" s="20"/>
      <c r="P1705" s="28"/>
      <c r="Q1705" s="28"/>
      <c r="R1705" s="20"/>
      <c r="S1705" s="20"/>
      <c r="T1705" s="20"/>
      <c r="U1705" s="20"/>
      <c r="V1705" s="20"/>
      <c r="W1705" s="20"/>
      <c r="X1705" s="20"/>
      <c r="Y1705" s="20"/>
      <c r="Z1705" s="20"/>
      <c r="AA1705" s="20"/>
      <c r="AB1705" s="20"/>
      <c r="AC1705" s="20"/>
      <c r="AD1705" s="20"/>
      <c r="AE1705" s="20"/>
      <c r="AF1705" s="20"/>
      <c r="AG1705" s="20"/>
      <c r="AH1705" s="20"/>
      <c r="AI1705" s="20"/>
      <c r="AJ1705" s="20"/>
      <c r="AK1705" s="20"/>
      <c r="AL1705" s="20"/>
      <c r="AM1705" s="20"/>
    </row>
    <row r="1706" spans="1:39" ht="13">
      <c r="A1706" s="20"/>
      <c r="B1706" s="20"/>
      <c r="C1706" s="20"/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  <c r="N1706" s="20"/>
      <c r="O1706" s="20"/>
      <c r="P1706" s="28"/>
      <c r="Q1706" s="28"/>
      <c r="R1706" s="20"/>
      <c r="S1706" s="20"/>
      <c r="T1706" s="20"/>
      <c r="U1706" s="20"/>
      <c r="V1706" s="20"/>
      <c r="W1706" s="20"/>
      <c r="X1706" s="20"/>
      <c r="Y1706" s="20"/>
      <c r="Z1706" s="20"/>
      <c r="AA1706" s="20"/>
      <c r="AB1706" s="20"/>
      <c r="AC1706" s="20"/>
      <c r="AD1706" s="20"/>
      <c r="AE1706" s="20"/>
      <c r="AF1706" s="20"/>
      <c r="AG1706" s="20"/>
      <c r="AH1706" s="20"/>
      <c r="AI1706" s="20"/>
      <c r="AJ1706" s="20"/>
      <c r="AK1706" s="20"/>
      <c r="AL1706" s="20"/>
      <c r="AM1706" s="20"/>
    </row>
    <row r="1707" spans="1:39" ht="13">
      <c r="A1707" s="20"/>
      <c r="B1707" s="20"/>
      <c r="C1707" s="20"/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  <c r="N1707" s="20"/>
      <c r="O1707" s="20"/>
      <c r="P1707" s="28"/>
      <c r="Q1707" s="28"/>
      <c r="R1707" s="20"/>
      <c r="S1707" s="20"/>
      <c r="T1707" s="20"/>
      <c r="U1707" s="20"/>
      <c r="V1707" s="20"/>
      <c r="W1707" s="20"/>
      <c r="X1707" s="20"/>
      <c r="Y1707" s="20"/>
      <c r="Z1707" s="20"/>
      <c r="AA1707" s="20"/>
      <c r="AB1707" s="20"/>
      <c r="AC1707" s="20"/>
      <c r="AD1707" s="20"/>
      <c r="AE1707" s="20"/>
      <c r="AF1707" s="20"/>
      <c r="AG1707" s="20"/>
      <c r="AH1707" s="20"/>
      <c r="AI1707" s="20"/>
      <c r="AJ1707" s="20"/>
      <c r="AK1707" s="20"/>
      <c r="AL1707" s="20"/>
      <c r="AM1707" s="20"/>
    </row>
    <row r="1708" spans="1:39" ht="13">
      <c r="A1708" s="20"/>
      <c r="B1708" s="20"/>
      <c r="C1708" s="20"/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  <c r="N1708" s="20"/>
      <c r="O1708" s="20"/>
      <c r="P1708" s="28"/>
      <c r="Q1708" s="28"/>
      <c r="R1708" s="20"/>
      <c r="S1708" s="20"/>
      <c r="T1708" s="20"/>
      <c r="U1708" s="20"/>
      <c r="V1708" s="20"/>
      <c r="W1708" s="20"/>
      <c r="X1708" s="20"/>
      <c r="Y1708" s="20"/>
      <c r="Z1708" s="20"/>
      <c r="AA1708" s="20"/>
      <c r="AB1708" s="20"/>
      <c r="AC1708" s="20"/>
      <c r="AD1708" s="20"/>
      <c r="AE1708" s="20"/>
      <c r="AF1708" s="20"/>
      <c r="AG1708" s="20"/>
      <c r="AH1708" s="20"/>
      <c r="AI1708" s="20"/>
      <c r="AJ1708" s="20"/>
      <c r="AK1708" s="20"/>
      <c r="AL1708" s="20"/>
      <c r="AM1708" s="20"/>
    </row>
    <row r="1709" spans="1:39" ht="13">
      <c r="A1709" s="20"/>
      <c r="B1709" s="20"/>
      <c r="C1709" s="20"/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  <c r="N1709" s="20"/>
      <c r="O1709" s="20"/>
      <c r="P1709" s="28"/>
      <c r="Q1709" s="28"/>
      <c r="R1709" s="20"/>
      <c r="S1709" s="20"/>
      <c r="T1709" s="20"/>
      <c r="U1709" s="20"/>
      <c r="V1709" s="20"/>
      <c r="W1709" s="20"/>
      <c r="X1709" s="20"/>
      <c r="Y1709" s="20"/>
      <c r="Z1709" s="20"/>
      <c r="AA1709" s="20"/>
      <c r="AB1709" s="20"/>
      <c r="AC1709" s="20"/>
      <c r="AD1709" s="20"/>
      <c r="AE1709" s="20"/>
      <c r="AF1709" s="20"/>
      <c r="AG1709" s="20"/>
      <c r="AH1709" s="20"/>
      <c r="AI1709" s="20"/>
      <c r="AJ1709" s="20"/>
      <c r="AK1709" s="20"/>
      <c r="AL1709" s="20"/>
      <c r="AM1709" s="20"/>
    </row>
    <row r="1710" spans="1:39" ht="13">
      <c r="A1710" s="20"/>
      <c r="B1710" s="20"/>
      <c r="C1710" s="20"/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  <c r="N1710" s="20"/>
      <c r="O1710" s="20"/>
      <c r="P1710" s="28"/>
      <c r="Q1710" s="28"/>
      <c r="R1710" s="20"/>
      <c r="S1710" s="20"/>
      <c r="T1710" s="20"/>
      <c r="U1710" s="20"/>
      <c r="V1710" s="20"/>
      <c r="W1710" s="20"/>
      <c r="X1710" s="20"/>
      <c r="Y1710" s="20"/>
      <c r="Z1710" s="20"/>
      <c r="AA1710" s="20"/>
      <c r="AB1710" s="20"/>
      <c r="AC1710" s="20"/>
      <c r="AD1710" s="20"/>
      <c r="AE1710" s="20"/>
      <c r="AF1710" s="20"/>
      <c r="AG1710" s="20"/>
      <c r="AH1710" s="20"/>
      <c r="AI1710" s="20"/>
      <c r="AJ1710" s="20"/>
      <c r="AK1710" s="20"/>
      <c r="AL1710" s="20"/>
      <c r="AM1710" s="20"/>
    </row>
    <row r="1711" spans="1:39" ht="13">
      <c r="A1711" s="20"/>
      <c r="B1711" s="20"/>
      <c r="C1711" s="20"/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  <c r="N1711" s="20"/>
      <c r="O1711" s="20"/>
      <c r="P1711" s="28"/>
      <c r="Q1711" s="28"/>
      <c r="R1711" s="20"/>
      <c r="S1711" s="20"/>
      <c r="T1711" s="20"/>
      <c r="U1711" s="20"/>
      <c r="V1711" s="20"/>
      <c r="W1711" s="20"/>
      <c r="X1711" s="20"/>
      <c r="Y1711" s="20"/>
      <c r="Z1711" s="20"/>
      <c r="AA1711" s="20"/>
      <c r="AB1711" s="20"/>
      <c r="AC1711" s="20"/>
      <c r="AD1711" s="20"/>
      <c r="AE1711" s="20"/>
      <c r="AF1711" s="20"/>
      <c r="AG1711" s="20"/>
      <c r="AH1711" s="20"/>
      <c r="AI1711" s="20"/>
      <c r="AJ1711" s="20"/>
      <c r="AK1711" s="20"/>
      <c r="AL1711" s="20"/>
      <c r="AM1711" s="20"/>
    </row>
    <row r="1712" spans="1:39" ht="13">
      <c r="A1712" s="20"/>
      <c r="B1712" s="20"/>
      <c r="C1712" s="20"/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  <c r="N1712" s="20"/>
      <c r="O1712" s="20"/>
      <c r="P1712" s="28"/>
      <c r="Q1712" s="28"/>
      <c r="R1712" s="20"/>
      <c r="S1712" s="20"/>
      <c r="T1712" s="20"/>
      <c r="U1712" s="20"/>
      <c r="V1712" s="20"/>
      <c r="W1712" s="20"/>
      <c r="X1712" s="20"/>
      <c r="Y1712" s="20"/>
      <c r="Z1712" s="20"/>
      <c r="AA1712" s="20"/>
      <c r="AB1712" s="20"/>
      <c r="AC1712" s="20"/>
      <c r="AD1712" s="20"/>
      <c r="AE1712" s="20"/>
      <c r="AF1712" s="20"/>
      <c r="AG1712" s="20"/>
      <c r="AH1712" s="20"/>
      <c r="AI1712" s="20"/>
      <c r="AJ1712" s="20"/>
      <c r="AK1712" s="20"/>
      <c r="AL1712" s="20"/>
      <c r="AM1712" s="20"/>
    </row>
    <row r="1713" spans="1:39" ht="13">
      <c r="A1713" s="20"/>
      <c r="B1713" s="20"/>
      <c r="C1713" s="20"/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  <c r="N1713" s="20"/>
      <c r="O1713" s="20"/>
      <c r="P1713" s="28"/>
      <c r="Q1713" s="28"/>
      <c r="R1713" s="20"/>
      <c r="S1713" s="20"/>
      <c r="T1713" s="20"/>
      <c r="U1713" s="20"/>
      <c r="V1713" s="20"/>
      <c r="W1713" s="20"/>
      <c r="X1713" s="20"/>
      <c r="Y1713" s="20"/>
      <c r="Z1713" s="20"/>
      <c r="AA1713" s="20"/>
      <c r="AB1713" s="20"/>
      <c r="AC1713" s="20"/>
      <c r="AD1713" s="20"/>
      <c r="AE1713" s="20"/>
      <c r="AF1713" s="20"/>
      <c r="AG1713" s="20"/>
      <c r="AH1713" s="20"/>
      <c r="AI1713" s="20"/>
      <c r="AJ1713" s="20"/>
      <c r="AK1713" s="20"/>
      <c r="AL1713" s="20"/>
      <c r="AM1713" s="20"/>
    </row>
    <row r="1714" spans="1:39" ht="13">
      <c r="A1714" s="20"/>
      <c r="B1714" s="20"/>
      <c r="C1714" s="20"/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  <c r="N1714" s="20"/>
      <c r="O1714" s="20"/>
      <c r="P1714" s="28"/>
      <c r="Q1714" s="28"/>
      <c r="R1714" s="20"/>
      <c r="S1714" s="20"/>
      <c r="T1714" s="20"/>
      <c r="U1714" s="20"/>
      <c r="V1714" s="20"/>
      <c r="W1714" s="20"/>
      <c r="X1714" s="20"/>
      <c r="Y1714" s="20"/>
      <c r="Z1714" s="20"/>
      <c r="AA1714" s="20"/>
      <c r="AB1714" s="20"/>
      <c r="AC1714" s="20"/>
      <c r="AD1714" s="20"/>
      <c r="AE1714" s="20"/>
      <c r="AF1714" s="20"/>
      <c r="AG1714" s="20"/>
      <c r="AH1714" s="20"/>
      <c r="AI1714" s="20"/>
      <c r="AJ1714" s="20"/>
      <c r="AK1714" s="20"/>
      <c r="AL1714" s="20"/>
      <c r="AM1714" s="20"/>
    </row>
    <row r="1715" spans="1:39" ht="13">
      <c r="A1715" s="20"/>
      <c r="B1715" s="20"/>
      <c r="C1715" s="20"/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  <c r="N1715" s="20"/>
      <c r="O1715" s="20"/>
      <c r="P1715" s="28"/>
      <c r="Q1715" s="28"/>
      <c r="R1715" s="20"/>
      <c r="S1715" s="20"/>
      <c r="T1715" s="20"/>
      <c r="U1715" s="20"/>
      <c r="V1715" s="20"/>
      <c r="W1715" s="20"/>
      <c r="X1715" s="20"/>
      <c r="Y1715" s="20"/>
      <c r="Z1715" s="20"/>
      <c r="AA1715" s="20"/>
      <c r="AB1715" s="20"/>
      <c r="AC1715" s="20"/>
      <c r="AD1715" s="20"/>
      <c r="AE1715" s="20"/>
      <c r="AF1715" s="20"/>
      <c r="AG1715" s="20"/>
      <c r="AH1715" s="20"/>
      <c r="AI1715" s="20"/>
      <c r="AJ1715" s="20"/>
      <c r="AK1715" s="20"/>
      <c r="AL1715" s="20"/>
      <c r="AM1715" s="20"/>
    </row>
    <row r="1716" spans="1:39" ht="13">
      <c r="A1716" s="20"/>
      <c r="B1716" s="20"/>
      <c r="C1716" s="20"/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  <c r="N1716" s="20"/>
      <c r="O1716" s="20"/>
      <c r="P1716" s="28"/>
      <c r="Q1716" s="28"/>
      <c r="R1716" s="20"/>
      <c r="S1716" s="20"/>
      <c r="T1716" s="20"/>
      <c r="U1716" s="20"/>
      <c r="V1716" s="20"/>
      <c r="W1716" s="20"/>
      <c r="X1716" s="20"/>
      <c r="Y1716" s="20"/>
      <c r="Z1716" s="20"/>
      <c r="AA1716" s="20"/>
      <c r="AB1716" s="20"/>
      <c r="AC1716" s="20"/>
      <c r="AD1716" s="20"/>
      <c r="AE1716" s="20"/>
      <c r="AF1716" s="20"/>
      <c r="AG1716" s="20"/>
      <c r="AH1716" s="20"/>
      <c r="AI1716" s="20"/>
      <c r="AJ1716" s="20"/>
      <c r="AK1716" s="20"/>
      <c r="AL1716" s="20"/>
      <c r="AM1716" s="20"/>
    </row>
    <row r="1717" spans="1:39" ht="13">
      <c r="A1717" s="20"/>
      <c r="B1717" s="20"/>
      <c r="C1717" s="20"/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  <c r="N1717" s="20"/>
      <c r="O1717" s="20"/>
      <c r="P1717" s="28"/>
      <c r="Q1717" s="28"/>
      <c r="R1717" s="20"/>
      <c r="S1717" s="20"/>
      <c r="T1717" s="20"/>
      <c r="U1717" s="20"/>
      <c r="V1717" s="20"/>
      <c r="W1717" s="20"/>
      <c r="X1717" s="20"/>
      <c r="Y1717" s="20"/>
      <c r="Z1717" s="20"/>
      <c r="AA1717" s="20"/>
      <c r="AB1717" s="20"/>
      <c r="AC1717" s="20"/>
      <c r="AD1717" s="20"/>
      <c r="AE1717" s="20"/>
      <c r="AF1717" s="20"/>
      <c r="AG1717" s="20"/>
      <c r="AH1717" s="20"/>
      <c r="AI1717" s="20"/>
      <c r="AJ1717" s="20"/>
      <c r="AK1717" s="20"/>
      <c r="AL1717" s="20"/>
      <c r="AM1717" s="20"/>
    </row>
    <row r="1718" spans="1:39" ht="13">
      <c r="A1718" s="20"/>
      <c r="B1718" s="20"/>
      <c r="C1718" s="20"/>
      <c r="D1718" s="20"/>
      <c r="E1718" s="20"/>
      <c r="F1718" s="20"/>
      <c r="G1718" s="20"/>
      <c r="H1718" s="20"/>
      <c r="I1718" s="20"/>
      <c r="J1718" s="20"/>
      <c r="K1718" s="20"/>
      <c r="L1718" s="20"/>
      <c r="M1718" s="20"/>
      <c r="N1718" s="20"/>
      <c r="O1718" s="20"/>
      <c r="P1718" s="28"/>
      <c r="Q1718" s="28"/>
      <c r="R1718" s="20"/>
      <c r="S1718" s="20"/>
      <c r="T1718" s="20"/>
      <c r="U1718" s="20"/>
      <c r="V1718" s="20"/>
      <c r="W1718" s="20"/>
      <c r="X1718" s="20"/>
      <c r="Y1718" s="20"/>
      <c r="Z1718" s="20"/>
      <c r="AA1718" s="20"/>
      <c r="AB1718" s="20"/>
      <c r="AC1718" s="20"/>
      <c r="AD1718" s="20"/>
      <c r="AE1718" s="20"/>
      <c r="AF1718" s="20"/>
      <c r="AG1718" s="20"/>
      <c r="AH1718" s="20"/>
      <c r="AI1718" s="20"/>
      <c r="AJ1718" s="20"/>
      <c r="AK1718" s="20"/>
      <c r="AL1718" s="20"/>
      <c r="AM1718" s="20"/>
    </row>
    <row r="1719" spans="1:39" ht="13">
      <c r="A1719" s="20"/>
      <c r="B1719" s="20"/>
      <c r="C1719" s="20"/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  <c r="N1719" s="20"/>
      <c r="O1719" s="20"/>
      <c r="P1719" s="28"/>
      <c r="Q1719" s="28"/>
      <c r="R1719" s="20"/>
      <c r="S1719" s="20"/>
      <c r="T1719" s="20"/>
      <c r="U1719" s="20"/>
      <c r="V1719" s="20"/>
      <c r="W1719" s="20"/>
      <c r="X1719" s="20"/>
      <c r="Y1719" s="20"/>
      <c r="Z1719" s="20"/>
      <c r="AA1719" s="20"/>
      <c r="AB1719" s="20"/>
      <c r="AC1719" s="20"/>
      <c r="AD1719" s="20"/>
      <c r="AE1719" s="20"/>
      <c r="AF1719" s="20"/>
      <c r="AG1719" s="20"/>
      <c r="AH1719" s="20"/>
      <c r="AI1719" s="20"/>
      <c r="AJ1719" s="20"/>
      <c r="AK1719" s="20"/>
      <c r="AL1719" s="20"/>
      <c r="AM1719" s="20"/>
    </row>
    <row r="1720" spans="1:39" ht="13">
      <c r="A1720" s="20"/>
      <c r="B1720" s="20"/>
      <c r="C1720" s="20"/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  <c r="N1720" s="20"/>
      <c r="O1720" s="20"/>
      <c r="P1720" s="28"/>
      <c r="Q1720" s="28"/>
      <c r="R1720" s="20"/>
      <c r="S1720" s="20"/>
      <c r="T1720" s="20"/>
      <c r="U1720" s="20"/>
      <c r="V1720" s="20"/>
      <c r="W1720" s="20"/>
      <c r="X1720" s="20"/>
      <c r="Y1720" s="20"/>
      <c r="Z1720" s="20"/>
      <c r="AA1720" s="20"/>
      <c r="AB1720" s="20"/>
      <c r="AC1720" s="20"/>
      <c r="AD1720" s="20"/>
      <c r="AE1720" s="20"/>
      <c r="AF1720" s="20"/>
      <c r="AG1720" s="20"/>
      <c r="AH1720" s="20"/>
      <c r="AI1720" s="20"/>
      <c r="AJ1720" s="20"/>
      <c r="AK1720" s="20"/>
      <c r="AL1720" s="20"/>
      <c r="AM1720" s="20"/>
    </row>
    <row r="1721" spans="1:39" ht="13">
      <c r="A1721" s="20"/>
      <c r="B1721" s="20"/>
      <c r="C1721" s="20"/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  <c r="N1721" s="20"/>
      <c r="O1721" s="20"/>
      <c r="P1721" s="28"/>
      <c r="Q1721" s="28"/>
      <c r="R1721" s="20"/>
      <c r="S1721" s="20"/>
      <c r="T1721" s="20"/>
      <c r="U1721" s="20"/>
      <c r="V1721" s="20"/>
      <c r="W1721" s="20"/>
      <c r="X1721" s="20"/>
      <c r="Y1721" s="20"/>
      <c r="Z1721" s="20"/>
      <c r="AA1721" s="20"/>
      <c r="AB1721" s="20"/>
      <c r="AC1721" s="20"/>
      <c r="AD1721" s="20"/>
      <c r="AE1721" s="20"/>
      <c r="AF1721" s="20"/>
      <c r="AG1721" s="20"/>
      <c r="AH1721" s="20"/>
      <c r="AI1721" s="20"/>
      <c r="AJ1721" s="20"/>
      <c r="AK1721" s="20"/>
      <c r="AL1721" s="20"/>
      <c r="AM1721" s="20"/>
    </row>
    <row r="1722" spans="1:39" ht="13">
      <c r="A1722" s="20"/>
      <c r="B1722" s="20"/>
      <c r="C1722" s="20"/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  <c r="N1722" s="20"/>
      <c r="O1722" s="20"/>
      <c r="P1722" s="28"/>
      <c r="Q1722" s="28"/>
      <c r="R1722" s="20"/>
      <c r="S1722" s="20"/>
      <c r="T1722" s="20"/>
      <c r="U1722" s="20"/>
      <c r="V1722" s="20"/>
      <c r="W1722" s="20"/>
      <c r="X1722" s="20"/>
      <c r="Y1722" s="20"/>
      <c r="Z1722" s="20"/>
      <c r="AA1722" s="20"/>
      <c r="AB1722" s="20"/>
      <c r="AC1722" s="20"/>
      <c r="AD1722" s="20"/>
      <c r="AE1722" s="20"/>
      <c r="AF1722" s="20"/>
      <c r="AG1722" s="20"/>
      <c r="AH1722" s="20"/>
      <c r="AI1722" s="20"/>
      <c r="AJ1722" s="20"/>
      <c r="AK1722" s="20"/>
      <c r="AL1722" s="20"/>
      <c r="AM1722" s="20"/>
    </row>
    <row r="1723" spans="1:39" ht="13">
      <c r="A1723" s="20"/>
      <c r="B1723" s="20"/>
      <c r="C1723" s="20"/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  <c r="N1723" s="20"/>
      <c r="O1723" s="20"/>
      <c r="P1723" s="28"/>
      <c r="Q1723" s="28"/>
      <c r="R1723" s="20"/>
      <c r="S1723" s="20"/>
      <c r="T1723" s="20"/>
      <c r="U1723" s="20"/>
      <c r="V1723" s="20"/>
      <c r="W1723" s="20"/>
      <c r="X1723" s="20"/>
      <c r="Y1723" s="20"/>
      <c r="Z1723" s="20"/>
      <c r="AA1723" s="20"/>
      <c r="AB1723" s="20"/>
      <c r="AC1723" s="20"/>
      <c r="AD1723" s="20"/>
      <c r="AE1723" s="20"/>
      <c r="AF1723" s="20"/>
      <c r="AG1723" s="20"/>
      <c r="AH1723" s="20"/>
      <c r="AI1723" s="20"/>
      <c r="AJ1723" s="20"/>
      <c r="AK1723" s="20"/>
      <c r="AL1723" s="20"/>
      <c r="AM1723" s="20"/>
    </row>
    <row r="1724" spans="1:39" ht="13">
      <c r="A1724" s="20"/>
      <c r="B1724" s="20"/>
      <c r="C1724" s="20"/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  <c r="N1724" s="20"/>
      <c r="O1724" s="20"/>
      <c r="P1724" s="28"/>
      <c r="Q1724" s="28"/>
      <c r="R1724" s="20"/>
      <c r="S1724" s="20"/>
      <c r="T1724" s="20"/>
      <c r="U1724" s="20"/>
      <c r="V1724" s="20"/>
      <c r="W1724" s="20"/>
      <c r="X1724" s="20"/>
      <c r="Y1724" s="20"/>
      <c r="Z1724" s="20"/>
      <c r="AA1724" s="20"/>
      <c r="AB1724" s="20"/>
      <c r="AC1724" s="20"/>
      <c r="AD1724" s="20"/>
      <c r="AE1724" s="20"/>
      <c r="AF1724" s="20"/>
      <c r="AG1724" s="20"/>
      <c r="AH1724" s="20"/>
      <c r="AI1724" s="20"/>
      <c r="AJ1724" s="20"/>
      <c r="AK1724" s="20"/>
      <c r="AL1724" s="20"/>
      <c r="AM1724" s="20"/>
    </row>
    <row r="1725" spans="1:39" ht="13">
      <c r="A1725" s="20"/>
      <c r="B1725" s="20"/>
      <c r="C1725" s="20"/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  <c r="N1725" s="20"/>
      <c r="O1725" s="20"/>
      <c r="P1725" s="28"/>
      <c r="Q1725" s="28"/>
      <c r="R1725" s="20"/>
      <c r="S1725" s="20"/>
      <c r="T1725" s="20"/>
      <c r="U1725" s="20"/>
      <c r="V1725" s="20"/>
      <c r="W1725" s="20"/>
      <c r="X1725" s="20"/>
      <c r="Y1725" s="20"/>
      <c r="Z1725" s="20"/>
      <c r="AA1725" s="20"/>
      <c r="AB1725" s="20"/>
      <c r="AC1725" s="20"/>
      <c r="AD1725" s="20"/>
      <c r="AE1725" s="20"/>
      <c r="AF1725" s="20"/>
      <c r="AG1725" s="20"/>
      <c r="AH1725" s="20"/>
      <c r="AI1725" s="20"/>
      <c r="AJ1725" s="20"/>
      <c r="AK1725" s="20"/>
      <c r="AL1725" s="20"/>
      <c r="AM1725" s="20"/>
    </row>
    <row r="1726" spans="1:39" ht="13">
      <c r="A1726" s="20"/>
      <c r="B1726" s="20"/>
      <c r="C1726" s="20"/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  <c r="N1726" s="20"/>
      <c r="O1726" s="20"/>
      <c r="P1726" s="28"/>
      <c r="Q1726" s="28"/>
      <c r="R1726" s="20"/>
      <c r="S1726" s="20"/>
      <c r="T1726" s="20"/>
      <c r="U1726" s="20"/>
      <c r="V1726" s="20"/>
      <c r="W1726" s="20"/>
      <c r="X1726" s="20"/>
      <c r="Y1726" s="20"/>
      <c r="Z1726" s="20"/>
      <c r="AA1726" s="20"/>
      <c r="AB1726" s="20"/>
      <c r="AC1726" s="20"/>
      <c r="AD1726" s="20"/>
      <c r="AE1726" s="20"/>
      <c r="AF1726" s="20"/>
      <c r="AG1726" s="20"/>
      <c r="AH1726" s="20"/>
      <c r="AI1726" s="20"/>
      <c r="AJ1726" s="20"/>
      <c r="AK1726" s="20"/>
      <c r="AL1726" s="20"/>
      <c r="AM1726" s="20"/>
    </row>
    <row r="1727" spans="1:39" ht="13">
      <c r="A1727" s="20"/>
      <c r="B1727" s="20"/>
      <c r="C1727" s="20"/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  <c r="N1727" s="20"/>
      <c r="O1727" s="20"/>
      <c r="P1727" s="28"/>
      <c r="Q1727" s="28"/>
      <c r="R1727" s="20"/>
      <c r="S1727" s="20"/>
      <c r="T1727" s="20"/>
      <c r="U1727" s="20"/>
      <c r="V1727" s="20"/>
      <c r="W1727" s="20"/>
      <c r="X1727" s="20"/>
      <c r="Y1727" s="20"/>
      <c r="Z1727" s="20"/>
      <c r="AA1727" s="20"/>
      <c r="AB1727" s="20"/>
      <c r="AC1727" s="20"/>
      <c r="AD1727" s="20"/>
      <c r="AE1727" s="20"/>
      <c r="AF1727" s="20"/>
      <c r="AG1727" s="20"/>
      <c r="AH1727" s="20"/>
      <c r="AI1727" s="20"/>
      <c r="AJ1727" s="20"/>
      <c r="AK1727" s="20"/>
      <c r="AL1727" s="20"/>
      <c r="AM1727" s="20"/>
    </row>
    <row r="1728" spans="1:39" ht="13">
      <c r="A1728" s="20"/>
      <c r="B1728" s="20"/>
      <c r="C1728" s="20"/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  <c r="N1728" s="20"/>
      <c r="O1728" s="20"/>
      <c r="P1728" s="28"/>
      <c r="Q1728" s="28"/>
      <c r="R1728" s="20"/>
      <c r="S1728" s="20"/>
      <c r="T1728" s="20"/>
      <c r="U1728" s="20"/>
      <c r="V1728" s="20"/>
      <c r="W1728" s="20"/>
      <c r="X1728" s="20"/>
      <c r="Y1728" s="20"/>
      <c r="Z1728" s="20"/>
      <c r="AA1728" s="20"/>
      <c r="AB1728" s="20"/>
      <c r="AC1728" s="20"/>
      <c r="AD1728" s="20"/>
      <c r="AE1728" s="20"/>
      <c r="AF1728" s="20"/>
      <c r="AG1728" s="20"/>
      <c r="AH1728" s="20"/>
      <c r="AI1728" s="20"/>
      <c r="AJ1728" s="20"/>
      <c r="AK1728" s="20"/>
      <c r="AL1728" s="20"/>
      <c r="AM1728" s="20"/>
    </row>
    <row r="1729" spans="1:39" ht="13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  <c r="O1729" s="20"/>
      <c r="P1729" s="28"/>
      <c r="Q1729" s="28"/>
      <c r="R1729" s="20"/>
      <c r="S1729" s="20"/>
      <c r="T1729" s="20"/>
      <c r="U1729" s="20"/>
      <c r="V1729" s="20"/>
      <c r="W1729" s="20"/>
      <c r="X1729" s="20"/>
      <c r="Y1729" s="20"/>
      <c r="Z1729" s="20"/>
      <c r="AA1729" s="20"/>
      <c r="AB1729" s="20"/>
      <c r="AC1729" s="20"/>
      <c r="AD1729" s="20"/>
      <c r="AE1729" s="20"/>
      <c r="AF1729" s="20"/>
      <c r="AG1729" s="20"/>
      <c r="AH1729" s="20"/>
      <c r="AI1729" s="20"/>
      <c r="AJ1729" s="20"/>
      <c r="AK1729" s="20"/>
      <c r="AL1729" s="20"/>
      <c r="AM1729" s="20"/>
    </row>
    <row r="1730" spans="1:39" ht="13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  <c r="O1730" s="20"/>
      <c r="P1730" s="28"/>
      <c r="Q1730" s="28"/>
      <c r="R1730" s="20"/>
      <c r="S1730" s="20"/>
      <c r="T1730" s="20"/>
      <c r="U1730" s="20"/>
      <c r="V1730" s="20"/>
      <c r="W1730" s="20"/>
      <c r="X1730" s="20"/>
      <c r="Y1730" s="20"/>
      <c r="Z1730" s="20"/>
      <c r="AA1730" s="20"/>
      <c r="AB1730" s="20"/>
      <c r="AC1730" s="20"/>
      <c r="AD1730" s="20"/>
      <c r="AE1730" s="20"/>
      <c r="AF1730" s="20"/>
      <c r="AG1730" s="20"/>
      <c r="AH1730" s="20"/>
      <c r="AI1730" s="20"/>
      <c r="AJ1730" s="20"/>
      <c r="AK1730" s="20"/>
      <c r="AL1730" s="20"/>
      <c r="AM1730" s="20"/>
    </row>
    <row r="1731" spans="1:39" ht="13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  <c r="O1731" s="20"/>
      <c r="P1731" s="28"/>
      <c r="Q1731" s="28"/>
      <c r="R1731" s="20"/>
      <c r="S1731" s="20"/>
      <c r="T1731" s="20"/>
      <c r="U1731" s="20"/>
      <c r="V1731" s="20"/>
      <c r="W1731" s="20"/>
      <c r="X1731" s="20"/>
      <c r="Y1731" s="20"/>
      <c r="Z1731" s="20"/>
      <c r="AA1731" s="20"/>
      <c r="AB1731" s="20"/>
      <c r="AC1731" s="20"/>
      <c r="AD1731" s="20"/>
      <c r="AE1731" s="20"/>
      <c r="AF1731" s="20"/>
      <c r="AG1731" s="20"/>
      <c r="AH1731" s="20"/>
      <c r="AI1731" s="20"/>
      <c r="AJ1731" s="20"/>
      <c r="AK1731" s="20"/>
      <c r="AL1731" s="20"/>
      <c r="AM1731" s="20"/>
    </row>
    <row r="1732" spans="1:39" ht="13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  <c r="O1732" s="20"/>
      <c r="P1732" s="28"/>
      <c r="Q1732" s="28"/>
      <c r="R1732" s="20"/>
      <c r="S1732" s="20"/>
      <c r="T1732" s="20"/>
      <c r="U1732" s="20"/>
      <c r="V1732" s="20"/>
      <c r="W1732" s="20"/>
      <c r="X1732" s="20"/>
      <c r="Y1732" s="20"/>
      <c r="Z1732" s="20"/>
      <c r="AA1732" s="20"/>
      <c r="AB1732" s="20"/>
      <c r="AC1732" s="20"/>
      <c r="AD1732" s="20"/>
      <c r="AE1732" s="20"/>
      <c r="AF1732" s="20"/>
      <c r="AG1732" s="20"/>
      <c r="AH1732" s="20"/>
      <c r="AI1732" s="20"/>
      <c r="AJ1732" s="20"/>
      <c r="AK1732" s="20"/>
      <c r="AL1732" s="20"/>
      <c r="AM1732" s="20"/>
    </row>
    <row r="1733" spans="1:39" ht="13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  <c r="O1733" s="20"/>
      <c r="P1733" s="28"/>
      <c r="Q1733" s="28"/>
      <c r="R1733" s="20"/>
      <c r="S1733" s="20"/>
      <c r="T1733" s="20"/>
      <c r="U1733" s="20"/>
      <c r="V1733" s="20"/>
      <c r="W1733" s="20"/>
      <c r="X1733" s="20"/>
      <c r="Y1733" s="20"/>
      <c r="Z1733" s="20"/>
      <c r="AA1733" s="20"/>
      <c r="AB1733" s="20"/>
      <c r="AC1733" s="20"/>
      <c r="AD1733" s="20"/>
      <c r="AE1733" s="20"/>
      <c r="AF1733" s="20"/>
      <c r="AG1733" s="20"/>
      <c r="AH1733" s="20"/>
      <c r="AI1733" s="20"/>
      <c r="AJ1733" s="20"/>
      <c r="AK1733" s="20"/>
      <c r="AL1733" s="20"/>
      <c r="AM1733" s="20"/>
    </row>
    <row r="1734" spans="1:39" ht="13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  <c r="O1734" s="20"/>
      <c r="P1734" s="28"/>
      <c r="Q1734" s="28"/>
      <c r="R1734" s="20"/>
      <c r="S1734" s="20"/>
      <c r="T1734" s="20"/>
      <c r="U1734" s="20"/>
      <c r="V1734" s="20"/>
      <c r="W1734" s="20"/>
      <c r="X1734" s="20"/>
      <c r="Y1734" s="20"/>
      <c r="Z1734" s="20"/>
      <c r="AA1734" s="20"/>
      <c r="AB1734" s="20"/>
      <c r="AC1734" s="20"/>
      <c r="AD1734" s="20"/>
      <c r="AE1734" s="20"/>
      <c r="AF1734" s="20"/>
      <c r="AG1734" s="20"/>
      <c r="AH1734" s="20"/>
      <c r="AI1734" s="20"/>
      <c r="AJ1734" s="20"/>
      <c r="AK1734" s="20"/>
      <c r="AL1734" s="20"/>
      <c r="AM1734" s="20"/>
    </row>
    <row r="1735" spans="1:39" ht="13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  <c r="O1735" s="20"/>
      <c r="P1735" s="28"/>
      <c r="Q1735" s="28"/>
      <c r="R1735" s="20"/>
      <c r="S1735" s="20"/>
      <c r="T1735" s="20"/>
      <c r="U1735" s="20"/>
      <c r="V1735" s="20"/>
      <c r="W1735" s="20"/>
      <c r="X1735" s="20"/>
      <c r="Y1735" s="20"/>
      <c r="Z1735" s="20"/>
      <c r="AA1735" s="20"/>
      <c r="AB1735" s="20"/>
      <c r="AC1735" s="20"/>
      <c r="AD1735" s="20"/>
      <c r="AE1735" s="20"/>
      <c r="AF1735" s="20"/>
      <c r="AG1735" s="20"/>
      <c r="AH1735" s="20"/>
      <c r="AI1735" s="20"/>
      <c r="AJ1735" s="20"/>
      <c r="AK1735" s="20"/>
      <c r="AL1735" s="20"/>
      <c r="AM1735" s="20"/>
    </row>
    <row r="1736" spans="1:39" ht="13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  <c r="O1736" s="20"/>
      <c r="P1736" s="28"/>
      <c r="Q1736" s="28"/>
      <c r="R1736" s="20"/>
      <c r="S1736" s="20"/>
      <c r="T1736" s="20"/>
      <c r="U1736" s="20"/>
      <c r="V1736" s="20"/>
      <c r="W1736" s="20"/>
      <c r="X1736" s="20"/>
      <c r="Y1736" s="20"/>
      <c r="Z1736" s="20"/>
      <c r="AA1736" s="20"/>
      <c r="AB1736" s="20"/>
      <c r="AC1736" s="20"/>
      <c r="AD1736" s="20"/>
      <c r="AE1736" s="20"/>
      <c r="AF1736" s="20"/>
      <c r="AG1736" s="20"/>
      <c r="AH1736" s="20"/>
      <c r="AI1736" s="20"/>
      <c r="AJ1736" s="20"/>
      <c r="AK1736" s="20"/>
      <c r="AL1736" s="20"/>
      <c r="AM1736" s="20"/>
    </row>
    <row r="1737" spans="1:39" ht="13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  <c r="O1737" s="20"/>
      <c r="P1737" s="28"/>
      <c r="Q1737" s="28"/>
      <c r="R1737" s="20"/>
      <c r="S1737" s="20"/>
      <c r="T1737" s="20"/>
      <c r="U1737" s="20"/>
      <c r="V1737" s="20"/>
      <c r="W1737" s="20"/>
      <c r="X1737" s="20"/>
      <c r="Y1737" s="20"/>
      <c r="Z1737" s="20"/>
      <c r="AA1737" s="20"/>
      <c r="AB1737" s="20"/>
      <c r="AC1737" s="20"/>
      <c r="AD1737" s="20"/>
      <c r="AE1737" s="20"/>
      <c r="AF1737" s="20"/>
      <c r="AG1737" s="20"/>
      <c r="AH1737" s="20"/>
      <c r="AI1737" s="20"/>
      <c r="AJ1737" s="20"/>
      <c r="AK1737" s="20"/>
      <c r="AL1737" s="20"/>
      <c r="AM1737" s="20"/>
    </row>
    <row r="1738" spans="1:39" ht="13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  <c r="O1738" s="20"/>
      <c r="P1738" s="28"/>
      <c r="Q1738" s="28"/>
      <c r="R1738" s="20"/>
      <c r="S1738" s="20"/>
      <c r="T1738" s="20"/>
      <c r="U1738" s="20"/>
      <c r="V1738" s="20"/>
      <c r="W1738" s="20"/>
      <c r="X1738" s="20"/>
      <c r="Y1738" s="20"/>
      <c r="Z1738" s="20"/>
      <c r="AA1738" s="20"/>
      <c r="AB1738" s="20"/>
      <c r="AC1738" s="20"/>
      <c r="AD1738" s="20"/>
      <c r="AE1738" s="20"/>
      <c r="AF1738" s="20"/>
      <c r="AG1738" s="20"/>
      <c r="AH1738" s="20"/>
      <c r="AI1738" s="20"/>
      <c r="AJ1738" s="20"/>
      <c r="AK1738" s="20"/>
      <c r="AL1738" s="20"/>
      <c r="AM1738" s="20"/>
    </row>
    <row r="1739" spans="1:39" ht="13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  <c r="O1739" s="20"/>
      <c r="P1739" s="28"/>
      <c r="Q1739" s="28"/>
      <c r="R1739" s="20"/>
      <c r="S1739" s="20"/>
      <c r="T1739" s="20"/>
      <c r="U1739" s="20"/>
      <c r="V1739" s="20"/>
      <c r="W1739" s="20"/>
      <c r="X1739" s="20"/>
      <c r="Y1739" s="20"/>
      <c r="Z1739" s="20"/>
      <c r="AA1739" s="20"/>
      <c r="AB1739" s="20"/>
      <c r="AC1739" s="20"/>
      <c r="AD1739" s="20"/>
      <c r="AE1739" s="20"/>
      <c r="AF1739" s="20"/>
      <c r="AG1739" s="20"/>
      <c r="AH1739" s="20"/>
      <c r="AI1739" s="20"/>
      <c r="AJ1739" s="20"/>
      <c r="AK1739" s="20"/>
      <c r="AL1739" s="20"/>
      <c r="AM1739" s="20"/>
    </row>
    <row r="1740" spans="1:39" ht="13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  <c r="O1740" s="20"/>
      <c r="P1740" s="28"/>
      <c r="Q1740" s="28"/>
      <c r="R1740" s="20"/>
      <c r="S1740" s="20"/>
      <c r="T1740" s="20"/>
      <c r="U1740" s="20"/>
      <c r="V1740" s="20"/>
      <c r="W1740" s="20"/>
      <c r="X1740" s="20"/>
      <c r="Y1740" s="20"/>
      <c r="Z1740" s="20"/>
      <c r="AA1740" s="20"/>
      <c r="AB1740" s="20"/>
      <c r="AC1740" s="20"/>
      <c r="AD1740" s="20"/>
      <c r="AE1740" s="20"/>
      <c r="AF1740" s="20"/>
      <c r="AG1740" s="20"/>
      <c r="AH1740" s="20"/>
      <c r="AI1740" s="20"/>
      <c r="AJ1740" s="20"/>
      <c r="AK1740" s="20"/>
      <c r="AL1740" s="20"/>
      <c r="AM1740" s="20"/>
    </row>
    <row r="1741" spans="1:39" ht="13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  <c r="O1741" s="20"/>
      <c r="P1741" s="28"/>
      <c r="Q1741" s="28"/>
      <c r="R1741" s="20"/>
      <c r="S1741" s="20"/>
      <c r="T1741" s="20"/>
      <c r="U1741" s="20"/>
      <c r="V1741" s="20"/>
      <c r="W1741" s="20"/>
      <c r="X1741" s="20"/>
      <c r="Y1741" s="20"/>
      <c r="Z1741" s="20"/>
      <c r="AA1741" s="20"/>
      <c r="AB1741" s="20"/>
      <c r="AC1741" s="20"/>
      <c r="AD1741" s="20"/>
      <c r="AE1741" s="20"/>
      <c r="AF1741" s="20"/>
      <c r="AG1741" s="20"/>
      <c r="AH1741" s="20"/>
      <c r="AI1741" s="20"/>
      <c r="AJ1741" s="20"/>
      <c r="AK1741" s="20"/>
      <c r="AL1741" s="20"/>
      <c r="AM1741" s="20"/>
    </row>
    <row r="1742" spans="1:39" ht="13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  <c r="O1742" s="20"/>
      <c r="P1742" s="28"/>
      <c r="Q1742" s="28"/>
      <c r="R1742" s="20"/>
      <c r="S1742" s="20"/>
      <c r="T1742" s="20"/>
      <c r="U1742" s="20"/>
      <c r="V1742" s="20"/>
      <c r="W1742" s="20"/>
      <c r="X1742" s="20"/>
      <c r="Y1742" s="20"/>
      <c r="Z1742" s="20"/>
      <c r="AA1742" s="20"/>
      <c r="AB1742" s="20"/>
      <c r="AC1742" s="20"/>
      <c r="AD1742" s="20"/>
      <c r="AE1742" s="20"/>
      <c r="AF1742" s="20"/>
      <c r="AG1742" s="20"/>
      <c r="AH1742" s="20"/>
      <c r="AI1742" s="20"/>
      <c r="AJ1742" s="20"/>
      <c r="AK1742" s="20"/>
      <c r="AL1742" s="20"/>
      <c r="AM1742" s="20"/>
    </row>
    <row r="1743" spans="1:39" ht="13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  <c r="O1743" s="20"/>
      <c r="P1743" s="28"/>
      <c r="Q1743" s="28"/>
      <c r="R1743" s="20"/>
      <c r="S1743" s="20"/>
      <c r="T1743" s="20"/>
      <c r="U1743" s="20"/>
      <c r="V1743" s="20"/>
      <c r="W1743" s="20"/>
      <c r="X1743" s="20"/>
      <c r="Y1743" s="20"/>
      <c r="Z1743" s="20"/>
      <c r="AA1743" s="20"/>
      <c r="AB1743" s="20"/>
      <c r="AC1743" s="20"/>
      <c r="AD1743" s="20"/>
      <c r="AE1743" s="20"/>
      <c r="AF1743" s="20"/>
      <c r="AG1743" s="20"/>
      <c r="AH1743" s="20"/>
      <c r="AI1743" s="20"/>
      <c r="AJ1743" s="20"/>
      <c r="AK1743" s="20"/>
      <c r="AL1743" s="20"/>
      <c r="AM1743" s="20"/>
    </row>
    <row r="1744" spans="1:39" ht="13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  <c r="O1744" s="20"/>
      <c r="P1744" s="28"/>
      <c r="Q1744" s="28"/>
      <c r="R1744" s="20"/>
      <c r="S1744" s="20"/>
      <c r="T1744" s="20"/>
      <c r="U1744" s="20"/>
      <c r="V1744" s="20"/>
      <c r="W1744" s="20"/>
      <c r="X1744" s="20"/>
      <c r="Y1744" s="20"/>
      <c r="Z1744" s="20"/>
      <c r="AA1744" s="20"/>
      <c r="AB1744" s="20"/>
      <c r="AC1744" s="20"/>
      <c r="AD1744" s="20"/>
      <c r="AE1744" s="20"/>
      <c r="AF1744" s="20"/>
      <c r="AG1744" s="20"/>
      <c r="AH1744" s="20"/>
      <c r="AI1744" s="20"/>
      <c r="AJ1744" s="20"/>
      <c r="AK1744" s="20"/>
      <c r="AL1744" s="20"/>
      <c r="AM1744" s="20"/>
    </row>
    <row r="1745" spans="1:39" ht="13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  <c r="O1745" s="20"/>
      <c r="P1745" s="28"/>
      <c r="Q1745" s="28"/>
      <c r="R1745" s="20"/>
      <c r="S1745" s="20"/>
      <c r="T1745" s="20"/>
      <c r="U1745" s="20"/>
      <c r="V1745" s="20"/>
      <c r="W1745" s="20"/>
      <c r="X1745" s="20"/>
      <c r="Y1745" s="20"/>
      <c r="Z1745" s="20"/>
      <c r="AA1745" s="20"/>
      <c r="AB1745" s="20"/>
      <c r="AC1745" s="20"/>
      <c r="AD1745" s="20"/>
      <c r="AE1745" s="20"/>
      <c r="AF1745" s="20"/>
      <c r="AG1745" s="20"/>
      <c r="AH1745" s="20"/>
      <c r="AI1745" s="20"/>
      <c r="AJ1745" s="20"/>
      <c r="AK1745" s="20"/>
      <c r="AL1745" s="20"/>
      <c r="AM1745" s="20"/>
    </row>
    <row r="1746" spans="1:39" ht="13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  <c r="O1746" s="20"/>
      <c r="P1746" s="28"/>
      <c r="Q1746" s="28"/>
      <c r="R1746" s="20"/>
      <c r="S1746" s="20"/>
      <c r="T1746" s="20"/>
      <c r="U1746" s="20"/>
      <c r="V1746" s="20"/>
      <c r="W1746" s="20"/>
      <c r="X1746" s="20"/>
      <c r="Y1746" s="20"/>
      <c r="Z1746" s="20"/>
      <c r="AA1746" s="20"/>
      <c r="AB1746" s="20"/>
      <c r="AC1746" s="20"/>
      <c r="AD1746" s="20"/>
      <c r="AE1746" s="20"/>
      <c r="AF1746" s="20"/>
      <c r="AG1746" s="20"/>
      <c r="AH1746" s="20"/>
      <c r="AI1746" s="20"/>
      <c r="AJ1746" s="20"/>
      <c r="AK1746" s="20"/>
      <c r="AL1746" s="20"/>
      <c r="AM1746" s="20"/>
    </row>
    <row r="1747" spans="1:39" ht="13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  <c r="O1747" s="20"/>
      <c r="P1747" s="28"/>
      <c r="Q1747" s="28"/>
      <c r="R1747" s="20"/>
      <c r="S1747" s="20"/>
      <c r="T1747" s="20"/>
      <c r="U1747" s="20"/>
      <c r="V1747" s="20"/>
      <c r="W1747" s="20"/>
      <c r="X1747" s="20"/>
      <c r="Y1747" s="20"/>
      <c r="Z1747" s="20"/>
      <c r="AA1747" s="20"/>
      <c r="AB1747" s="20"/>
      <c r="AC1747" s="20"/>
      <c r="AD1747" s="20"/>
      <c r="AE1747" s="20"/>
      <c r="AF1747" s="20"/>
      <c r="AG1747" s="20"/>
      <c r="AH1747" s="20"/>
      <c r="AI1747" s="20"/>
      <c r="AJ1747" s="20"/>
      <c r="AK1747" s="20"/>
      <c r="AL1747" s="20"/>
      <c r="AM1747" s="20"/>
    </row>
    <row r="1748" spans="1:39" ht="13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  <c r="O1748" s="20"/>
      <c r="P1748" s="28"/>
      <c r="Q1748" s="28"/>
      <c r="R1748" s="20"/>
      <c r="S1748" s="20"/>
      <c r="T1748" s="20"/>
      <c r="U1748" s="20"/>
      <c r="V1748" s="20"/>
      <c r="W1748" s="20"/>
      <c r="X1748" s="20"/>
      <c r="Y1748" s="20"/>
      <c r="Z1748" s="20"/>
      <c r="AA1748" s="20"/>
      <c r="AB1748" s="20"/>
      <c r="AC1748" s="20"/>
      <c r="AD1748" s="20"/>
      <c r="AE1748" s="20"/>
      <c r="AF1748" s="20"/>
      <c r="AG1748" s="20"/>
      <c r="AH1748" s="20"/>
      <c r="AI1748" s="20"/>
      <c r="AJ1748" s="20"/>
      <c r="AK1748" s="20"/>
      <c r="AL1748" s="20"/>
      <c r="AM1748" s="20"/>
    </row>
    <row r="1749" spans="1:39" ht="13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  <c r="O1749" s="20"/>
      <c r="P1749" s="28"/>
      <c r="Q1749" s="28"/>
      <c r="R1749" s="20"/>
      <c r="S1749" s="20"/>
      <c r="T1749" s="20"/>
      <c r="U1749" s="20"/>
      <c r="V1749" s="20"/>
      <c r="W1749" s="20"/>
      <c r="X1749" s="20"/>
      <c r="Y1749" s="20"/>
      <c r="Z1749" s="20"/>
      <c r="AA1749" s="20"/>
      <c r="AB1749" s="20"/>
      <c r="AC1749" s="20"/>
      <c r="AD1749" s="20"/>
      <c r="AE1749" s="20"/>
      <c r="AF1749" s="20"/>
      <c r="AG1749" s="20"/>
      <c r="AH1749" s="20"/>
      <c r="AI1749" s="20"/>
      <c r="AJ1749" s="20"/>
      <c r="AK1749" s="20"/>
      <c r="AL1749" s="20"/>
      <c r="AM1749" s="20"/>
    </row>
    <row r="1750" spans="1:39" ht="13">
      <c r="A1750" s="20"/>
      <c r="B1750" s="20"/>
      <c r="C1750" s="20"/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  <c r="N1750" s="20"/>
      <c r="O1750" s="20"/>
      <c r="P1750" s="28"/>
      <c r="Q1750" s="28"/>
      <c r="R1750" s="20"/>
      <c r="S1750" s="20"/>
      <c r="T1750" s="20"/>
      <c r="U1750" s="20"/>
      <c r="V1750" s="20"/>
      <c r="W1750" s="20"/>
      <c r="X1750" s="20"/>
      <c r="Y1750" s="20"/>
      <c r="Z1750" s="20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  <c r="AL1750" s="20"/>
      <c r="AM1750" s="20"/>
    </row>
    <row r="1751" spans="1:39" ht="13">
      <c r="A1751" s="20"/>
      <c r="B1751" s="20"/>
      <c r="C1751" s="20"/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  <c r="N1751" s="20"/>
      <c r="O1751" s="20"/>
      <c r="P1751" s="28"/>
      <c r="Q1751" s="28"/>
      <c r="R1751" s="20"/>
      <c r="S1751" s="20"/>
      <c r="T1751" s="20"/>
      <c r="U1751" s="20"/>
      <c r="V1751" s="20"/>
      <c r="W1751" s="20"/>
      <c r="X1751" s="20"/>
      <c r="Y1751" s="20"/>
      <c r="Z1751" s="20"/>
      <c r="AA1751" s="20"/>
      <c r="AB1751" s="20"/>
      <c r="AC1751" s="20"/>
      <c r="AD1751" s="20"/>
      <c r="AE1751" s="20"/>
      <c r="AF1751" s="20"/>
      <c r="AG1751" s="20"/>
      <c r="AH1751" s="20"/>
      <c r="AI1751" s="20"/>
      <c r="AJ1751" s="20"/>
      <c r="AK1751" s="20"/>
      <c r="AL1751" s="20"/>
      <c r="AM1751" s="20"/>
    </row>
    <row r="1752" spans="1:39" ht="13">
      <c r="A1752" s="20"/>
      <c r="B1752" s="20"/>
      <c r="C1752" s="20"/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  <c r="N1752" s="20"/>
      <c r="O1752" s="20"/>
      <c r="P1752" s="28"/>
      <c r="Q1752" s="28"/>
      <c r="R1752" s="20"/>
      <c r="S1752" s="20"/>
      <c r="T1752" s="20"/>
      <c r="U1752" s="20"/>
      <c r="V1752" s="20"/>
      <c r="W1752" s="20"/>
      <c r="X1752" s="20"/>
      <c r="Y1752" s="20"/>
      <c r="Z1752" s="20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/>
      <c r="AK1752" s="20"/>
      <c r="AL1752" s="20"/>
      <c r="AM1752" s="20"/>
    </row>
    <row r="1753" spans="1:39" ht="13">
      <c r="A1753" s="20"/>
      <c r="B1753" s="20"/>
      <c r="C1753" s="20"/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  <c r="N1753" s="20"/>
      <c r="O1753" s="20"/>
      <c r="P1753" s="28"/>
      <c r="Q1753" s="28"/>
      <c r="R1753" s="20"/>
      <c r="S1753" s="20"/>
      <c r="T1753" s="20"/>
      <c r="U1753" s="20"/>
      <c r="V1753" s="20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20"/>
      <c r="AJ1753" s="20"/>
      <c r="AK1753" s="20"/>
      <c r="AL1753" s="20"/>
      <c r="AM1753" s="20"/>
    </row>
    <row r="1754" spans="1:39" ht="13">
      <c r="A1754" s="20"/>
      <c r="B1754" s="20"/>
      <c r="C1754" s="20"/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  <c r="N1754" s="20"/>
      <c r="O1754" s="20"/>
      <c r="P1754" s="28"/>
      <c r="Q1754" s="28"/>
      <c r="R1754" s="20"/>
      <c r="S1754" s="20"/>
      <c r="T1754" s="20"/>
      <c r="U1754" s="20"/>
      <c r="V1754" s="20"/>
      <c r="W1754" s="20"/>
      <c r="X1754" s="20"/>
      <c r="Y1754" s="20"/>
      <c r="Z1754" s="20"/>
      <c r="AA1754" s="20"/>
      <c r="AB1754" s="20"/>
      <c r="AC1754" s="20"/>
      <c r="AD1754" s="20"/>
      <c r="AE1754" s="20"/>
      <c r="AF1754" s="20"/>
      <c r="AG1754" s="20"/>
      <c r="AH1754" s="20"/>
      <c r="AI1754" s="20"/>
      <c r="AJ1754" s="20"/>
      <c r="AK1754" s="20"/>
      <c r="AL1754" s="20"/>
      <c r="AM1754" s="20"/>
    </row>
    <row r="1755" spans="1:39" ht="13">
      <c r="A1755" s="20"/>
      <c r="B1755" s="20"/>
      <c r="C1755" s="20"/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  <c r="N1755" s="20"/>
      <c r="O1755" s="20"/>
      <c r="P1755" s="28"/>
      <c r="Q1755" s="28"/>
      <c r="R1755" s="20"/>
      <c r="S1755" s="20"/>
      <c r="T1755" s="20"/>
      <c r="U1755" s="20"/>
      <c r="V1755" s="20"/>
      <c r="W1755" s="20"/>
      <c r="X1755" s="20"/>
      <c r="Y1755" s="20"/>
      <c r="Z1755" s="20"/>
      <c r="AA1755" s="20"/>
      <c r="AB1755" s="20"/>
      <c r="AC1755" s="20"/>
      <c r="AD1755" s="20"/>
      <c r="AE1755" s="20"/>
      <c r="AF1755" s="20"/>
      <c r="AG1755" s="20"/>
      <c r="AH1755" s="20"/>
      <c r="AI1755" s="20"/>
      <c r="AJ1755" s="20"/>
      <c r="AK1755" s="20"/>
      <c r="AL1755" s="20"/>
      <c r="AM1755" s="20"/>
    </row>
    <row r="1756" spans="1:39" ht="13">
      <c r="A1756" s="20"/>
      <c r="B1756" s="20"/>
      <c r="C1756" s="20"/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  <c r="N1756" s="20"/>
      <c r="O1756" s="20"/>
      <c r="P1756" s="28"/>
      <c r="Q1756" s="28"/>
      <c r="R1756" s="20"/>
      <c r="S1756" s="20"/>
      <c r="T1756" s="20"/>
      <c r="U1756" s="20"/>
      <c r="V1756" s="20"/>
      <c r="W1756" s="20"/>
      <c r="X1756" s="20"/>
      <c r="Y1756" s="20"/>
      <c r="Z1756" s="20"/>
      <c r="AA1756" s="20"/>
      <c r="AB1756" s="20"/>
      <c r="AC1756" s="20"/>
      <c r="AD1756" s="20"/>
      <c r="AE1756" s="20"/>
      <c r="AF1756" s="20"/>
      <c r="AG1756" s="20"/>
      <c r="AH1756" s="20"/>
      <c r="AI1756" s="20"/>
      <c r="AJ1756" s="20"/>
      <c r="AK1756" s="20"/>
      <c r="AL1756" s="20"/>
      <c r="AM1756" s="20"/>
    </row>
    <row r="1757" spans="1:39" ht="13">
      <c r="A1757" s="20"/>
      <c r="B1757" s="20"/>
      <c r="C1757" s="20"/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  <c r="N1757" s="20"/>
      <c r="O1757" s="20"/>
      <c r="P1757" s="28"/>
      <c r="Q1757" s="28"/>
      <c r="R1757" s="20"/>
      <c r="S1757" s="20"/>
      <c r="T1757" s="20"/>
      <c r="U1757" s="20"/>
      <c r="V1757" s="20"/>
      <c r="W1757" s="20"/>
      <c r="X1757" s="20"/>
      <c r="Y1757" s="20"/>
      <c r="Z1757" s="20"/>
      <c r="AA1757" s="20"/>
      <c r="AB1757" s="20"/>
      <c r="AC1757" s="20"/>
      <c r="AD1757" s="20"/>
      <c r="AE1757" s="20"/>
      <c r="AF1757" s="20"/>
      <c r="AG1757" s="20"/>
      <c r="AH1757" s="20"/>
      <c r="AI1757" s="20"/>
      <c r="AJ1757" s="20"/>
      <c r="AK1757" s="20"/>
      <c r="AL1757" s="20"/>
      <c r="AM1757" s="20"/>
    </row>
    <row r="1758" spans="1:39" ht="13">
      <c r="A1758" s="20"/>
      <c r="B1758" s="20"/>
      <c r="C1758" s="20"/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  <c r="N1758" s="20"/>
      <c r="O1758" s="20"/>
      <c r="P1758" s="28"/>
      <c r="Q1758" s="28"/>
      <c r="R1758" s="20"/>
      <c r="S1758" s="20"/>
      <c r="T1758" s="20"/>
      <c r="U1758" s="20"/>
      <c r="V1758" s="20"/>
      <c r="W1758" s="20"/>
      <c r="X1758" s="20"/>
      <c r="Y1758" s="20"/>
      <c r="Z1758" s="20"/>
      <c r="AA1758" s="20"/>
      <c r="AB1758" s="20"/>
      <c r="AC1758" s="20"/>
      <c r="AD1758" s="20"/>
      <c r="AE1758" s="20"/>
      <c r="AF1758" s="20"/>
      <c r="AG1758" s="20"/>
      <c r="AH1758" s="20"/>
      <c r="AI1758" s="20"/>
      <c r="AJ1758" s="20"/>
      <c r="AK1758" s="20"/>
      <c r="AL1758" s="20"/>
      <c r="AM1758" s="20"/>
    </row>
    <row r="1759" spans="1:39" ht="13">
      <c r="A1759" s="20"/>
      <c r="B1759" s="20"/>
      <c r="C1759" s="20"/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  <c r="N1759" s="20"/>
      <c r="O1759" s="20"/>
      <c r="P1759" s="28"/>
      <c r="Q1759" s="28"/>
      <c r="R1759" s="20"/>
      <c r="S1759" s="20"/>
      <c r="T1759" s="20"/>
      <c r="U1759" s="20"/>
      <c r="V1759" s="20"/>
      <c r="W1759" s="20"/>
      <c r="X1759" s="20"/>
      <c r="Y1759" s="20"/>
      <c r="Z1759" s="20"/>
      <c r="AA1759" s="20"/>
      <c r="AB1759" s="20"/>
      <c r="AC1759" s="20"/>
      <c r="AD1759" s="20"/>
      <c r="AE1759" s="20"/>
      <c r="AF1759" s="20"/>
      <c r="AG1759" s="20"/>
      <c r="AH1759" s="20"/>
      <c r="AI1759" s="20"/>
      <c r="AJ1759" s="20"/>
      <c r="AK1759" s="20"/>
      <c r="AL1759" s="20"/>
      <c r="AM1759" s="20"/>
    </row>
    <row r="1760" spans="1:39" ht="13">
      <c r="A1760" s="20"/>
      <c r="B1760" s="20"/>
      <c r="C1760" s="20"/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  <c r="N1760" s="20"/>
      <c r="O1760" s="20"/>
      <c r="P1760" s="28"/>
      <c r="Q1760" s="28"/>
      <c r="R1760" s="20"/>
      <c r="S1760" s="20"/>
      <c r="T1760" s="20"/>
      <c r="U1760" s="20"/>
      <c r="V1760" s="20"/>
      <c r="W1760" s="20"/>
      <c r="X1760" s="20"/>
      <c r="Y1760" s="20"/>
      <c r="Z1760" s="20"/>
      <c r="AA1760" s="20"/>
      <c r="AB1760" s="20"/>
      <c r="AC1760" s="20"/>
      <c r="AD1760" s="20"/>
      <c r="AE1760" s="20"/>
      <c r="AF1760" s="20"/>
      <c r="AG1760" s="20"/>
      <c r="AH1760" s="20"/>
      <c r="AI1760" s="20"/>
      <c r="AJ1760" s="20"/>
      <c r="AK1760" s="20"/>
      <c r="AL1760" s="20"/>
      <c r="AM1760" s="20"/>
    </row>
    <row r="1761" spans="1:39" ht="13">
      <c r="A1761" s="20"/>
      <c r="B1761" s="20"/>
      <c r="C1761" s="20"/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  <c r="N1761" s="20"/>
      <c r="O1761" s="20"/>
      <c r="P1761" s="28"/>
      <c r="Q1761" s="28"/>
      <c r="R1761" s="20"/>
      <c r="S1761" s="20"/>
      <c r="T1761" s="20"/>
      <c r="U1761" s="20"/>
      <c r="V1761" s="20"/>
      <c r="W1761" s="20"/>
      <c r="X1761" s="20"/>
      <c r="Y1761" s="20"/>
      <c r="Z1761" s="20"/>
      <c r="AA1761" s="20"/>
      <c r="AB1761" s="20"/>
      <c r="AC1761" s="20"/>
      <c r="AD1761" s="20"/>
      <c r="AE1761" s="20"/>
      <c r="AF1761" s="20"/>
      <c r="AG1761" s="20"/>
      <c r="AH1761" s="20"/>
      <c r="AI1761" s="20"/>
      <c r="AJ1761" s="20"/>
      <c r="AK1761" s="20"/>
      <c r="AL1761" s="20"/>
      <c r="AM1761" s="20"/>
    </row>
    <row r="1762" spans="1:39" ht="13">
      <c r="A1762" s="20"/>
      <c r="B1762" s="20"/>
      <c r="C1762" s="20"/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  <c r="N1762" s="20"/>
      <c r="O1762" s="20"/>
      <c r="P1762" s="28"/>
      <c r="Q1762" s="28"/>
      <c r="R1762" s="20"/>
      <c r="S1762" s="20"/>
      <c r="T1762" s="20"/>
      <c r="U1762" s="20"/>
      <c r="V1762" s="20"/>
      <c r="W1762" s="20"/>
      <c r="X1762" s="20"/>
      <c r="Y1762" s="20"/>
      <c r="Z1762" s="20"/>
      <c r="AA1762" s="20"/>
      <c r="AB1762" s="20"/>
      <c r="AC1762" s="20"/>
      <c r="AD1762" s="20"/>
      <c r="AE1762" s="20"/>
      <c r="AF1762" s="20"/>
      <c r="AG1762" s="20"/>
      <c r="AH1762" s="20"/>
      <c r="AI1762" s="20"/>
      <c r="AJ1762" s="20"/>
      <c r="AK1762" s="20"/>
      <c r="AL1762" s="20"/>
      <c r="AM1762" s="20"/>
    </row>
    <row r="1763" spans="1:39" ht="13">
      <c r="A1763" s="20"/>
      <c r="B1763" s="20"/>
      <c r="C1763" s="20"/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  <c r="N1763" s="20"/>
      <c r="O1763" s="20"/>
      <c r="P1763" s="28"/>
      <c r="Q1763" s="28"/>
      <c r="R1763" s="20"/>
      <c r="S1763" s="20"/>
      <c r="T1763" s="20"/>
      <c r="U1763" s="20"/>
      <c r="V1763" s="20"/>
      <c r="W1763" s="20"/>
      <c r="X1763" s="20"/>
      <c r="Y1763" s="20"/>
      <c r="Z1763" s="20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  <c r="AL1763" s="20"/>
      <c r="AM1763" s="20"/>
    </row>
    <row r="1764" spans="1:39" ht="13">
      <c r="A1764" s="20"/>
      <c r="B1764" s="20"/>
      <c r="C1764" s="20"/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  <c r="N1764" s="20"/>
      <c r="O1764" s="20"/>
      <c r="P1764" s="28"/>
      <c r="Q1764" s="28"/>
      <c r="R1764" s="20"/>
      <c r="S1764" s="20"/>
      <c r="T1764" s="20"/>
      <c r="U1764" s="20"/>
      <c r="V1764" s="20"/>
      <c r="W1764" s="20"/>
      <c r="X1764" s="20"/>
      <c r="Y1764" s="20"/>
      <c r="Z1764" s="20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  <c r="AL1764" s="20"/>
      <c r="AM1764" s="20"/>
    </row>
    <row r="1765" spans="1:39" ht="13">
      <c r="A1765" s="20"/>
      <c r="B1765" s="20"/>
      <c r="C1765" s="20"/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  <c r="N1765" s="20"/>
      <c r="O1765" s="20"/>
      <c r="P1765" s="28"/>
      <c r="Q1765" s="28"/>
      <c r="R1765" s="20"/>
      <c r="S1765" s="20"/>
      <c r="T1765" s="20"/>
      <c r="U1765" s="20"/>
      <c r="V1765" s="20"/>
      <c r="W1765" s="20"/>
      <c r="X1765" s="20"/>
      <c r="Y1765" s="20"/>
      <c r="Z1765" s="20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  <c r="AL1765" s="20"/>
      <c r="AM1765" s="20"/>
    </row>
    <row r="1766" spans="1:39" ht="13">
      <c r="A1766" s="20"/>
      <c r="B1766" s="20"/>
      <c r="C1766" s="20"/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  <c r="N1766" s="20"/>
      <c r="O1766" s="20"/>
      <c r="P1766" s="28"/>
      <c r="Q1766" s="28"/>
      <c r="R1766" s="20"/>
      <c r="S1766" s="20"/>
      <c r="T1766" s="20"/>
      <c r="U1766" s="20"/>
      <c r="V1766" s="20"/>
      <c r="W1766" s="20"/>
      <c r="X1766" s="20"/>
      <c r="Y1766" s="20"/>
      <c r="Z1766" s="20"/>
      <c r="AA1766" s="20"/>
      <c r="AB1766" s="20"/>
      <c r="AC1766" s="20"/>
      <c r="AD1766" s="20"/>
      <c r="AE1766" s="20"/>
      <c r="AF1766" s="20"/>
      <c r="AG1766" s="20"/>
      <c r="AH1766" s="20"/>
      <c r="AI1766" s="20"/>
      <c r="AJ1766" s="20"/>
      <c r="AK1766" s="20"/>
      <c r="AL1766" s="20"/>
      <c r="AM1766" s="20"/>
    </row>
    <row r="1767" spans="1:39" ht="13">
      <c r="A1767" s="20"/>
      <c r="B1767" s="20"/>
      <c r="C1767" s="20"/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  <c r="N1767" s="20"/>
      <c r="O1767" s="20"/>
      <c r="P1767" s="28"/>
      <c r="Q1767" s="28"/>
      <c r="R1767" s="20"/>
      <c r="S1767" s="20"/>
      <c r="T1767" s="20"/>
      <c r="U1767" s="20"/>
      <c r="V1767" s="20"/>
      <c r="W1767" s="20"/>
      <c r="X1767" s="20"/>
      <c r="Y1767" s="20"/>
      <c r="Z1767" s="20"/>
      <c r="AA1767" s="20"/>
      <c r="AB1767" s="20"/>
      <c r="AC1767" s="20"/>
      <c r="AD1767" s="20"/>
      <c r="AE1767" s="20"/>
      <c r="AF1767" s="20"/>
      <c r="AG1767" s="20"/>
      <c r="AH1767" s="20"/>
      <c r="AI1767" s="20"/>
      <c r="AJ1767" s="20"/>
      <c r="AK1767" s="20"/>
      <c r="AL1767" s="20"/>
      <c r="AM1767" s="20"/>
    </row>
    <row r="1768" spans="1:39" ht="13">
      <c r="A1768" s="20"/>
      <c r="B1768" s="20"/>
      <c r="C1768" s="20"/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  <c r="N1768" s="20"/>
      <c r="O1768" s="20"/>
      <c r="P1768" s="28"/>
      <c r="Q1768" s="28"/>
      <c r="R1768" s="20"/>
      <c r="S1768" s="20"/>
      <c r="T1768" s="20"/>
      <c r="U1768" s="20"/>
      <c r="V1768" s="20"/>
      <c r="W1768" s="20"/>
      <c r="X1768" s="20"/>
      <c r="Y1768" s="20"/>
      <c r="Z1768" s="20"/>
      <c r="AA1768" s="20"/>
      <c r="AB1768" s="20"/>
      <c r="AC1768" s="20"/>
      <c r="AD1768" s="20"/>
      <c r="AE1768" s="20"/>
      <c r="AF1768" s="20"/>
      <c r="AG1768" s="20"/>
      <c r="AH1768" s="20"/>
      <c r="AI1768" s="20"/>
      <c r="AJ1768" s="20"/>
      <c r="AK1768" s="20"/>
      <c r="AL1768" s="20"/>
      <c r="AM1768" s="20"/>
    </row>
    <row r="1769" spans="1:39" ht="13">
      <c r="A1769" s="20"/>
      <c r="B1769" s="20"/>
      <c r="C1769" s="20"/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  <c r="N1769" s="20"/>
      <c r="O1769" s="20"/>
      <c r="P1769" s="28"/>
      <c r="Q1769" s="28"/>
      <c r="R1769" s="20"/>
      <c r="S1769" s="20"/>
      <c r="T1769" s="20"/>
      <c r="U1769" s="20"/>
      <c r="V1769" s="20"/>
      <c r="W1769" s="20"/>
      <c r="X1769" s="20"/>
      <c r="Y1769" s="20"/>
      <c r="Z1769" s="20"/>
      <c r="AA1769" s="20"/>
      <c r="AB1769" s="20"/>
      <c r="AC1769" s="20"/>
      <c r="AD1769" s="20"/>
      <c r="AE1769" s="20"/>
      <c r="AF1769" s="20"/>
      <c r="AG1769" s="20"/>
      <c r="AH1769" s="20"/>
      <c r="AI1769" s="20"/>
      <c r="AJ1769" s="20"/>
      <c r="AK1769" s="20"/>
      <c r="AL1769" s="20"/>
      <c r="AM1769" s="20"/>
    </row>
    <row r="1770" spans="1:39" ht="13">
      <c r="A1770" s="20"/>
      <c r="B1770" s="20"/>
      <c r="C1770" s="20"/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  <c r="N1770" s="20"/>
      <c r="O1770" s="20"/>
      <c r="P1770" s="28"/>
      <c r="Q1770" s="28"/>
      <c r="R1770" s="20"/>
      <c r="S1770" s="20"/>
      <c r="T1770" s="20"/>
      <c r="U1770" s="20"/>
      <c r="V1770" s="20"/>
      <c r="W1770" s="20"/>
      <c r="X1770" s="20"/>
      <c r="Y1770" s="20"/>
      <c r="Z1770" s="20"/>
      <c r="AA1770" s="20"/>
      <c r="AB1770" s="20"/>
      <c r="AC1770" s="20"/>
      <c r="AD1770" s="20"/>
      <c r="AE1770" s="20"/>
      <c r="AF1770" s="20"/>
      <c r="AG1770" s="20"/>
      <c r="AH1770" s="20"/>
      <c r="AI1770" s="20"/>
      <c r="AJ1770" s="20"/>
      <c r="AK1770" s="20"/>
      <c r="AL1770" s="20"/>
      <c r="AM1770" s="20"/>
    </row>
    <row r="1771" spans="1:39" ht="13">
      <c r="A1771" s="20"/>
      <c r="B1771" s="20"/>
      <c r="C1771" s="20"/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  <c r="N1771" s="20"/>
      <c r="O1771" s="20"/>
      <c r="P1771" s="28"/>
      <c r="Q1771" s="28"/>
      <c r="R1771" s="20"/>
      <c r="S1771" s="20"/>
      <c r="T1771" s="20"/>
      <c r="U1771" s="20"/>
      <c r="V1771" s="20"/>
      <c r="W1771" s="20"/>
      <c r="X1771" s="20"/>
      <c r="Y1771" s="20"/>
      <c r="Z1771" s="20"/>
      <c r="AA1771" s="20"/>
      <c r="AB1771" s="20"/>
      <c r="AC1771" s="20"/>
      <c r="AD1771" s="20"/>
      <c r="AE1771" s="20"/>
      <c r="AF1771" s="20"/>
      <c r="AG1771" s="20"/>
      <c r="AH1771" s="20"/>
      <c r="AI1771" s="20"/>
      <c r="AJ1771" s="20"/>
      <c r="AK1771" s="20"/>
      <c r="AL1771" s="20"/>
      <c r="AM1771" s="20"/>
    </row>
    <row r="1772" spans="1:39" ht="13">
      <c r="A1772" s="20"/>
      <c r="B1772" s="20"/>
      <c r="C1772" s="20"/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  <c r="N1772" s="20"/>
      <c r="O1772" s="20"/>
      <c r="P1772" s="28"/>
      <c r="Q1772" s="28"/>
      <c r="R1772" s="20"/>
      <c r="S1772" s="20"/>
      <c r="T1772" s="20"/>
      <c r="U1772" s="20"/>
      <c r="V1772" s="20"/>
      <c r="W1772" s="20"/>
      <c r="X1772" s="20"/>
      <c r="Y1772" s="20"/>
      <c r="Z1772" s="20"/>
      <c r="AA1772" s="20"/>
      <c r="AB1772" s="20"/>
      <c r="AC1772" s="20"/>
      <c r="AD1772" s="20"/>
      <c r="AE1772" s="20"/>
      <c r="AF1772" s="20"/>
      <c r="AG1772" s="20"/>
      <c r="AH1772" s="20"/>
      <c r="AI1772" s="20"/>
      <c r="AJ1772" s="20"/>
      <c r="AK1772" s="20"/>
      <c r="AL1772" s="20"/>
      <c r="AM1772" s="20"/>
    </row>
    <row r="1773" spans="1:39" ht="13">
      <c r="A1773" s="20"/>
      <c r="B1773" s="20"/>
      <c r="C1773" s="20"/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  <c r="N1773" s="20"/>
      <c r="O1773" s="20"/>
      <c r="P1773" s="28"/>
      <c r="Q1773" s="28"/>
      <c r="R1773" s="20"/>
      <c r="S1773" s="20"/>
      <c r="T1773" s="20"/>
      <c r="U1773" s="20"/>
      <c r="V1773" s="20"/>
      <c r="W1773" s="20"/>
      <c r="X1773" s="20"/>
      <c r="Y1773" s="20"/>
      <c r="Z1773" s="20"/>
      <c r="AA1773" s="20"/>
      <c r="AB1773" s="20"/>
      <c r="AC1773" s="20"/>
      <c r="AD1773" s="20"/>
      <c r="AE1773" s="20"/>
      <c r="AF1773" s="20"/>
      <c r="AG1773" s="20"/>
      <c r="AH1773" s="20"/>
      <c r="AI1773" s="20"/>
      <c r="AJ1773" s="20"/>
      <c r="AK1773" s="20"/>
      <c r="AL1773" s="20"/>
      <c r="AM1773" s="20"/>
    </row>
    <row r="1774" spans="1:39" ht="13">
      <c r="A1774" s="20"/>
      <c r="B1774" s="20"/>
      <c r="C1774" s="20"/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  <c r="N1774" s="20"/>
      <c r="O1774" s="20"/>
      <c r="P1774" s="28"/>
      <c r="Q1774" s="28"/>
      <c r="R1774" s="20"/>
      <c r="S1774" s="20"/>
      <c r="T1774" s="20"/>
      <c r="U1774" s="20"/>
      <c r="V1774" s="20"/>
      <c r="W1774" s="20"/>
      <c r="X1774" s="20"/>
      <c r="Y1774" s="20"/>
      <c r="Z1774" s="20"/>
      <c r="AA1774" s="20"/>
      <c r="AB1774" s="20"/>
      <c r="AC1774" s="20"/>
      <c r="AD1774" s="20"/>
      <c r="AE1774" s="20"/>
      <c r="AF1774" s="20"/>
      <c r="AG1774" s="20"/>
      <c r="AH1774" s="20"/>
      <c r="AI1774" s="20"/>
      <c r="AJ1774" s="20"/>
      <c r="AK1774" s="20"/>
      <c r="AL1774" s="20"/>
      <c r="AM1774" s="20"/>
    </row>
    <row r="1775" spans="1:39" ht="13">
      <c r="A1775" s="20"/>
      <c r="B1775" s="20"/>
      <c r="C1775" s="20"/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  <c r="N1775" s="20"/>
      <c r="O1775" s="20"/>
      <c r="P1775" s="28"/>
      <c r="Q1775" s="28"/>
      <c r="R1775" s="20"/>
      <c r="S1775" s="20"/>
      <c r="T1775" s="20"/>
      <c r="U1775" s="20"/>
      <c r="V1775" s="20"/>
      <c r="W1775" s="20"/>
      <c r="X1775" s="20"/>
      <c r="Y1775" s="20"/>
      <c r="Z1775" s="20"/>
      <c r="AA1775" s="20"/>
      <c r="AB1775" s="20"/>
      <c r="AC1775" s="20"/>
      <c r="AD1775" s="20"/>
      <c r="AE1775" s="20"/>
      <c r="AF1775" s="20"/>
      <c r="AG1775" s="20"/>
      <c r="AH1775" s="20"/>
      <c r="AI1775" s="20"/>
      <c r="AJ1775" s="20"/>
      <c r="AK1775" s="20"/>
      <c r="AL1775" s="20"/>
      <c r="AM1775" s="20"/>
    </row>
    <row r="1776" spans="1:39" ht="13">
      <c r="A1776" s="20"/>
      <c r="B1776" s="20"/>
      <c r="C1776" s="20"/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  <c r="N1776" s="20"/>
      <c r="O1776" s="20"/>
      <c r="P1776" s="28"/>
      <c r="Q1776" s="28"/>
      <c r="R1776" s="20"/>
      <c r="S1776" s="20"/>
      <c r="T1776" s="20"/>
      <c r="U1776" s="20"/>
      <c r="V1776" s="20"/>
      <c r="W1776" s="20"/>
      <c r="X1776" s="20"/>
      <c r="Y1776" s="20"/>
      <c r="Z1776" s="20"/>
      <c r="AA1776" s="20"/>
      <c r="AB1776" s="20"/>
      <c r="AC1776" s="20"/>
      <c r="AD1776" s="20"/>
      <c r="AE1776" s="20"/>
      <c r="AF1776" s="20"/>
      <c r="AG1776" s="20"/>
      <c r="AH1776" s="20"/>
      <c r="AI1776" s="20"/>
      <c r="AJ1776" s="20"/>
      <c r="AK1776" s="20"/>
      <c r="AL1776" s="20"/>
      <c r="AM1776" s="20"/>
    </row>
    <row r="1777" spans="1:39" ht="13">
      <c r="A1777" s="20"/>
      <c r="B1777" s="20"/>
      <c r="C1777" s="20"/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  <c r="N1777" s="20"/>
      <c r="O1777" s="20"/>
      <c r="P1777" s="28"/>
      <c r="Q1777" s="28"/>
      <c r="R1777" s="20"/>
      <c r="S1777" s="20"/>
      <c r="T1777" s="20"/>
      <c r="U1777" s="20"/>
      <c r="V1777" s="20"/>
      <c r="W1777" s="20"/>
      <c r="X1777" s="20"/>
      <c r="Y1777" s="20"/>
      <c r="Z1777" s="20"/>
      <c r="AA1777" s="20"/>
      <c r="AB1777" s="20"/>
      <c r="AC1777" s="20"/>
      <c r="AD1777" s="20"/>
      <c r="AE1777" s="20"/>
      <c r="AF1777" s="20"/>
      <c r="AG1777" s="20"/>
      <c r="AH1777" s="20"/>
      <c r="AI1777" s="20"/>
      <c r="AJ1777" s="20"/>
      <c r="AK1777" s="20"/>
      <c r="AL1777" s="20"/>
      <c r="AM1777" s="20"/>
    </row>
    <row r="1778" spans="1:39" ht="13">
      <c r="A1778" s="20"/>
      <c r="B1778" s="20"/>
      <c r="C1778" s="20"/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  <c r="N1778" s="20"/>
      <c r="O1778" s="20"/>
      <c r="P1778" s="28"/>
      <c r="Q1778" s="28"/>
      <c r="R1778" s="20"/>
      <c r="S1778" s="20"/>
      <c r="T1778" s="20"/>
      <c r="U1778" s="20"/>
      <c r="V1778" s="20"/>
      <c r="W1778" s="20"/>
      <c r="X1778" s="20"/>
      <c r="Y1778" s="20"/>
      <c r="Z1778" s="20"/>
      <c r="AA1778" s="20"/>
      <c r="AB1778" s="20"/>
      <c r="AC1778" s="20"/>
      <c r="AD1778" s="20"/>
      <c r="AE1778" s="20"/>
      <c r="AF1778" s="20"/>
      <c r="AG1778" s="20"/>
      <c r="AH1778" s="20"/>
      <c r="AI1778" s="20"/>
      <c r="AJ1778" s="20"/>
      <c r="AK1778" s="20"/>
      <c r="AL1778" s="20"/>
      <c r="AM1778" s="20"/>
    </row>
    <row r="1779" spans="1:39" ht="13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8"/>
      <c r="Q1779" s="28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20"/>
      <c r="AC1779" s="20"/>
      <c r="AD1779" s="20"/>
      <c r="AE1779" s="20"/>
      <c r="AF1779" s="20"/>
      <c r="AG1779" s="20"/>
      <c r="AH1779" s="20"/>
      <c r="AI1779" s="20"/>
      <c r="AJ1779" s="20"/>
      <c r="AK1779" s="20"/>
      <c r="AL1779" s="20"/>
      <c r="AM1779" s="20"/>
    </row>
    <row r="1780" spans="1:39" ht="13">
      <c r="A1780" s="20"/>
      <c r="B1780" s="20"/>
      <c r="C1780" s="20"/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  <c r="N1780" s="20"/>
      <c r="O1780" s="20"/>
      <c r="P1780" s="28"/>
      <c r="Q1780" s="28"/>
      <c r="R1780" s="20"/>
      <c r="S1780" s="20"/>
      <c r="T1780" s="20"/>
      <c r="U1780" s="20"/>
      <c r="V1780" s="20"/>
      <c r="W1780" s="20"/>
      <c r="X1780" s="20"/>
      <c r="Y1780" s="20"/>
      <c r="Z1780" s="20"/>
      <c r="AA1780" s="20"/>
      <c r="AB1780" s="20"/>
      <c r="AC1780" s="20"/>
      <c r="AD1780" s="20"/>
      <c r="AE1780" s="20"/>
      <c r="AF1780" s="20"/>
      <c r="AG1780" s="20"/>
      <c r="AH1780" s="20"/>
      <c r="AI1780" s="20"/>
      <c r="AJ1780" s="20"/>
      <c r="AK1780" s="20"/>
      <c r="AL1780" s="20"/>
      <c r="AM1780" s="20"/>
    </row>
    <row r="1781" spans="1:39" ht="13">
      <c r="A1781" s="20"/>
      <c r="B1781" s="20"/>
      <c r="C1781" s="20"/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  <c r="N1781" s="20"/>
      <c r="O1781" s="20"/>
      <c r="P1781" s="28"/>
      <c r="Q1781" s="28"/>
      <c r="R1781" s="20"/>
      <c r="S1781" s="20"/>
      <c r="T1781" s="20"/>
      <c r="U1781" s="20"/>
      <c r="V1781" s="20"/>
      <c r="W1781" s="20"/>
      <c r="X1781" s="20"/>
      <c r="Y1781" s="20"/>
      <c r="Z1781" s="20"/>
      <c r="AA1781" s="20"/>
      <c r="AB1781" s="20"/>
      <c r="AC1781" s="20"/>
      <c r="AD1781" s="20"/>
      <c r="AE1781" s="20"/>
      <c r="AF1781" s="20"/>
      <c r="AG1781" s="20"/>
      <c r="AH1781" s="20"/>
      <c r="AI1781" s="20"/>
      <c r="AJ1781" s="20"/>
      <c r="AK1781" s="20"/>
      <c r="AL1781" s="20"/>
      <c r="AM1781" s="20"/>
    </row>
    <row r="1782" spans="1:39" ht="13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8"/>
      <c r="Q1782" s="28"/>
      <c r="R1782" s="20"/>
      <c r="S1782" s="20"/>
      <c r="T1782" s="20"/>
      <c r="U1782" s="20"/>
      <c r="V1782" s="20"/>
      <c r="W1782" s="20"/>
      <c r="X1782" s="20"/>
      <c r="Y1782" s="20"/>
      <c r="Z1782" s="20"/>
      <c r="AA1782" s="20"/>
      <c r="AB1782" s="20"/>
      <c r="AC1782" s="20"/>
      <c r="AD1782" s="20"/>
      <c r="AE1782" s="20"/>
      <c r="AF1782" s="20"/>
      <c r="AG1782" s="20"/>
      <c r="AH1782" s="20"/>
      <c r="AI1782" s="20"/>
      <c r="AJ1782" s="20"/>
      <c r="AK1782" s="20"/>
      <c r="AL1782" s="20"/>
      <c r="AM1782" s="20"/>
    </row>
    <row r="1783" spans="1:39" ht="13">
      <c r="A1783" s="20"/>
      <c r="B1783" s="20"/>
      <c r="C1783" s="20"/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  <c r="N1783" s="20"/>
      <c r="O1783" s="20"/>
      <c r="P1783" s="28"/>
      <c r="Q1783" s="28"/>
      <c r="R1783" s="20"/>
      <c r="S1783" s="20"/>
      <c r="T1783" s="20"/>
      <c r="U1783" s="20"/>
      <c r="V1783" s="20"/>
      <c r="W1783" s="20"/>
      <c r="X1783" s="20"/>
      <c r="Y1783" s="20"/>
      <c r="Z1783" s="20"/>
      <c r="AA1783" s="20"/>
      <c r="AB1783" s="20"/>
      <c r="AC1783" s="20"/>
      <c r="AD1783" s="20"/>
      <c r="AE1783" s="20"/>
      <c r="AF1783" s="20"/>
      <c r="AG1783" s="20"/>
      <c r="AH1783" s="20"/>
      <c r="AI1783" s="20"/>
      <c r="AJ1783" s="20"/>
      <c r="AK1783" s="20"/>
      <c r="AL1783" s="20"/>
      <c r="AM1783" s="20"/>
    </row>
    <row r="1784" spans="1:39" ht="13">
      <c r="A1784" s="20"/>
      <c r="B1784" s="20"/>
      <c r="C1784" s="20"/>
      <c r="D1784" s="20"/>
      <c r="E1784" s="20"/>
      <c r="F1784" s="20"/>
      <c r="G1784" s="20"/>
      <c r="H1784" s="20"/>
      <c r="I1784" s="20"/>
      <c r="J1784" s="20"/>
      <c r="K1784" s="20"/>
      <c r="L1784" s="20"/>
      <c r="M1784" s="20"/>
      <c r="N1784" s="20"/>
      <c r="O1784" s="20"/>
      <c r="P1784" s="28"/>
      <c r="Q1784" s="28"/>
      <c r="R1784" s="20"/>
      <c r="S1784" s="20"/>
      <c r="T1784" s="20"/>
      <c r="U1784" s="20"/>
      <c r="V1784" s="20"/>
      <c r="W1784" s="20"/>
      <c r="X1784" s="20"/>
      <c r="Y1784" s="20"/>
      <c r="Z1784" s="20"/>
      <c r="AA1784" s="20"/>
      <c r="AB1784" s="20"/>
      <c r="AC1784" s="20"/>
      <c r="AD1784" s="20"/>
      <c r="AE1784" s="20"/>
      <c r="AF1784" s="20"/>
      <c r="AG1784" s="20"/>
      <c r="AH1784" s="20"/>
      <c r="AI1784" s="20"/>
      <c r="AJ1784" s="20"/>
      <c r="AK1784" s="20"/>
      <c r="AL1784" s="20"/>
      <c r="AM1784" s="20"/>
    </row>
    <row r="1785" spans="1:39" ht="13">
      <c r="A1785" s="20"/>
      <c r="B1785" s="20"/>
      <c r="C1785" s="20"/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  <c r="N1785" s="20"/>
      <c r="O1785" s="20"/>
      <c r="P1785" s="28"/>
      <c r="Q1785" s="28"/>
      <c r="R1785" s="20"/>
      <c r="S1785" s="20"/>
      <c r="T1785" s="20"/>
      <c r="U1785" s="20"/>
      <c r="V1785" s="20"/>
      <c r="W1785" s="20"/>
      <c r="X1785" s="20"/>
      <c r="Y1785" s="20"/>
      <c r="Z1785" s="20"/>
      <c r="AA1785" s="20"/>
      <c r="AB1785" s="20"/>
      <c r="AC1785" s="20"/>
      <c r="AD1785" s="20"/>
      <c r="AE1785" s="20"/>
      <c r="AF1785" s="20"/>
      <c r="AG1785" s="20"/>
      <c r="AH1785" s="20"/>
      <c r="AI1785" s="20"/>
      <c r="AJ1785" s="20"/>
      <c r="AK1785" s="20"/>
      <c r="AL1785" s="20"/>
      <c r="AM1785" s="20"/>
    </row>
    <row r="1786" spans="1:39" ht="13">
      <c r="A1786" s="20"/>
      <c r="B1786" s="20"/>
      <c r="C1786" s="20"/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  <c r="N1786" s="20"/>
      <c r="O1786" s="20"/>
      <c r="P1786" s="28"/>
      <c r="Q1786" s="28"/>
      <c r="R1786" s="20"/>
      <c r="S1786" s="20"/>
      <c r="T1786" s="20"/>
      <c r="U1786" s="20"/>
      <c r="V1786" s="20"/>
      <c r="W1786" s="20"/>
      <c r="X1786" s="20"/>
      <c r="Y1786" s="20"/>
      <c r="Z1786" s="20"/>
      <c r="AA1786" s="20"/>
      <c r="AB1786" s="20"/>
      <c r="AC1786" s="20"/>
      <c r="AD1786" s="20"/>
      <c r="AE1786" s="20"/>
      <c r="AF1786" s="20"/>
      <c r="AG1786" s="20"/>
      <c r="AH1786" s="20"/>
      <c r="AI1786" s="20"/>
      <c r="AJ1786" s="20"/>
      <c r="AK1786" s="20"/>
      <c r="AL1786" s="20"/>
      <c r="AM1786" s="20"/>
    </row>
    <row r="1787" spans="1:39" ht="13">
      <c r="A1787" s="20"/>
      <c r="B1787" s="20"/>
      <c r="C1787" s="20"/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  <c r="N1787" s="20"/>
      <c r="O1787" s="20"/>
      <c r="P1787" s="28"/>
      <c r="Q1787" s="28"/>
      <c r="R1787" s="20"/>
      <c r="S1787" s="20"/>
      <c r="T1787" s="20"/>
      <c r="U1787" s="20"/>
      <c r="V1787" s="20"/>
      <c r="W1787" s="20"/>
      <c r="X1787" s="20"/>
      <c r="Y1787" s="20"/>
      <c r="Z1787" s="20"/>
      <c r="AA1787" s="20"/>
      <c r="AB1787" s="20"/>
      <c r="AC1787" s="20"/>
      <c r="AD1787" s="20"/>
      <c r="AE1787" s="20"/>
      <c r="AF1787" s="20"/>
      <c r="AG1787" s="20"/>
      <c r="AH1787" s="20"/>
      <c r="AI1787" s="20"/>
      <c r="AJ1787" s="20"/>
      <c r="AK1787" s="20"/>
      <c r="AL1787" s="20"/>
      <c r="AM1787" s="20"/>
    </row>
    <row r="1788" spans="1:39" ht="13">
      <c r="A1788" s="20"/>
      <c r="B1788" s="20"/>
      <c r="C1788" s="20"/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  <c r="N1788" s="20"/>
      <c r="O1788" s="20"/>
      <c r="P1788" s="28"/>
      <c r="Q1788" s="28"/>
      <c r="R1788" s="20"/>
      <c r="S1788" s="20"/>
      <c r="T1788" s="20"/>
      <c r="U1788" s="20"/>
      <c r="V1788" s="20"/>
      <c r="W1788" s="20"/>
      <c r="X1788" s="20"/>
      <c r="Y1788" s="20"/>
      <c r="Z1788" s="20"/>
      <c r="AA1788" s="20"/>
      <c r="AB1788" s="20"/>
      <c r="AC1788" s="20"/>
      <c r="AD1788" s="20"/>
      <c r="AE1788" s="20"/>
      <c r="AF1788" s="20"/>
      <c r="AG1788" s="20"/>
      <c r="AH1788" s="20"/>
      <c r="AI1788" s="20"/>
      <c r="AJ1788" s="20"/>
      <c r="AK1788" s="20"/>
      <c r="AL1788" s="20"/>
      <c r="AM1788" s="20"/>
    </row>
    <row r="1789" spans="1:39" ht="13">
      <c r="A1789" s="20"/>
      <c r="B1789" s="20"/>
      <c r="C1789" s="20"/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  <c r="N1789" s="20"/>
      <c r="O1789" s="20"/>
      <c r="P1789" s="28"/>
      <c r="Q1789" s="28"/>
      <c r="R1789" s="20"/>
      <c r="S1789" s="20"/>
      <c r="T1789" s="20"/>
      <c r="U1789" s="20"/>
      <c r="V1789" s="20"/>
      <c r="W1789" s="20"/>
      <c r="X1789" s="20"/>
      <c r="Y1789" s="20"/>
      <c r="Z1789" s="20"/>
      <c r="AA1789" s="20"/>
      <c r="AB1789" s="20"/>
      <c r="AC1789" s="20"/>
      <c r="AD1789" s="20"/>
      <c r="AE1789" s="20"/>
      <c r="AF1789" s="20"/>
      <c r="AG1789" s="20"/>
      <c r="AH1789" s="20"/>
      <c r="AI1789" s="20"/>
      <c r="AJ1789" s="20"/>
      <c r="AK1789" s="20"/>
      <c r="AL1789" s="20"/>
      <c r="AM1789" s="20"/>
    </row>
    <row r="1790" spans="1:39" ht="13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8"/>
      <c r="Q1790" s="28"/>
      <c r="R1790" s="20"/>
      <c r="S1790" s="20"/>
      <c r="T1790" s="20"/>
      <c r="U1790" s="20"/>
      <c r="V1790" s="20"/>
      <c r="W1790" s="20"/>
      <c r="X1790" s="20"/>
      <c r="Y1790" s="20"/>
      <c r="Z1790" s="20"/>
      <c r="AA1790" s="20"/>
      <c r="AB1790" s="20"/>
      <c r="AC1790" s="20"/>
      <c r="AD1790" s="20"/>
      <c r="AE1790" s="20"/>
      <c r="AF1790" s="20"/>
      <c r="AG1790" s="20"/>
      <c r="AH1790" s="20"/>
      <c r="AI1790" s="20"/>
      <c r="AJ1790" s="20"/>
      <c r="AK1790" s="20"/>
      <c r="AL1790" s="20"/>
      <c r="AM1790" s="20"/>
    </row>
    <row r="1791" spans="1:39" ht="13">
      <c r="A1791" s="20"/>
      <c r="B1791" s="20"/>
      <c r="C1791" s="20"/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  <c r="N1791" s="20"/>
      <c r="O1791" s="20"/>
      <c r="P1791" s="28"/>
      <c r="Q1791" s="28"/>
      <c r="R1791" s="20"/>
      <c r="S1791" s="20"/>
      <c r="T1791" s="20"/>
      <c r="U1791" s="20"/>
      <c r="V1791" s="20"/>
      <c r="W1791" s="20"/>
      <c r="X1791" s="20"/>
      <c r="Y1791" s="20"/>
      <c r="Z1791" s="20"/>
      <c r="AA1791" s="20"/>
      <c r="AB1791" s="20"/>
      <c r="AC1791" s="20"/>
      <c r="AD1791" s="20"/>
      <c r="AE1791" s="20"/>
      <c r="AF1791" s="20"/>
      <c r="AG1791" s="20"/>
      <c r="AH1791" s="20"/>
      <c r="AI1791" s="20"/>
      <c r="AJ1791" s="20"/>
      <c r="AK1791" s="20"/>
      <c r="AL1791" s="20"/>
      <c r="AM1791" s="20"/>
    </row>
    <row r="1792" spans="1:39" ht="13">
      <c r="A1792" s="20"/>
      <c r="B1792" s="20"/>
      <c r="C1792" s="20"/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  <c r="N1792" s="20"/>
      <c r="O1792" s="20"/>
      <c r="P1792" s="28"/>
      <c r="Q1792" s="28"/>
      <c r="R1792" s="20"/>
      <c r="S1792" s="20"/>
      <c r="T1792" s="20"/>
      <c r="U1792" s="20"/>
      <c r="V1792" s="20"/>
      <c r="W1792" s="20"/>
      <c r="X1792" s="20"/>
      <c r="Y1792" s="20"/>
      <c r="Z1792" s="20"/>
      <c r="AA1792" s="20"/>
      <c r="AB1792" s="20"/>
      <c r="AC1792" s="20"/>
      <c r="AD1792" s="20"/>
      <c r="AE1792" s="20"/>
      <c r="AF1792" s="20"/>
      <c r="AG1792" s="20"/>
      <c r="AH1792" s="20"/>
      <c r="AI1792" s="20"/>
      <c r="AJ1792" s="20"/>
      <c r="AK1792" s="20"/>
      <c r="AL1792" s="20"/>
      <c r="AM1792" s="20"/>
    </row>
    <row r="1793" spans="1:39" ht="13">
      <c r="A1793" s="20"/>
      <c r="B1793" s="20"/>
      <c r="C1793" s="20"/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  <c r="N1793" s="20"/>
      <c r="O1793" s="20"/>
      <c r="P1793" s="28"/>
      <c r="Q1793" s="28"/>
      <c r="R1793" s="20"/>
      <c r="S1793" s="20"/>
      <c r="T1793" s="20"/>
      <c r="U1793" s="20"/>
      <c r="V1793" s="20"/>
      <c r="W1793" s="20"/>
      <c r="X1793" s="20"/>
      <c r="Y1793" s="20"/>
      <c r="Z1793" s="20"/>
      <c r="AA1793" s="20"/>
      <c r="AB1793" s="20"/>
      <c r="AC1793" s="20"/>
      <c r="AD1793" s="20"/>
      <c r="AE1793" s="20"/>
      <c r="AF1793" s="20"/>
      <c r="AG1793" s="20"/>
      <c r="AH1793" s="20"/>
      <c r="AI1793" s="20"/>
      <c r="AJ1793" s="20"/>
      <c r="AK1793" s="20"/>
      <c r="AL1793" s="20"/>
      <c r="AM1793" s="20"/>
    </row>
    <row r="1794" spans="1:39" ht="13">
      <c r="A1794" s="20"/>
      <c r="B1794" s="20"/>
      <c r="C1794" s="20"/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  <c r="N1794" s="20"/>
      <c r="O1794" s="20"/>
      <c r="P1794" s="28"/>
      <c r="Q1794" s="28"/>
      <c r="R1794" s="20"/>
      <c r="S1794" s="20"/>
      <c r="T1794" s="20"/>
      <c r="U1794" s="20"/>
      <c r="V1794" s="20"/>
      <c r="W1794" s="20"/>
      <c r="X1794" s="20"/>
      <c r="Y1794" s="20"/>
      <c r="Z1794" s="20"/>
      <c r="AA1794" s="20"/>
      <c r="AB1794" s="20"/>
      <c r="AC1794" s="20"/>
      <c r="AD1794" s="20"/>
      <c r="AE1794" s="20"/>
      <c r="AF1794" s="20"/>
      <c r="AG1794" s="20"/>
      <c r="AH1794" s="20"/>
      <c r="AI1794" s="20"/>
      <c r="AJ1794" s="20"/>
      <c r="AK1794" s="20"/>
      <c r="AL1794" s="20"/>
      <c r="AM1794" s="20"/>
    </row>
    <row r="1795" spans="1:39" ht="13">
      <c r="A1795" s="20"/>
      <c r="B1795" s="20"/>
      <c r="C1795" s="20"/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  <c r="N1795" s="20"/>
      <c r="O1795" s="20"/>
      <c r="P1795" s="28"/>
      <c r="Q1795" s="28"/>
      <c r="R1795" s="20"/>
      <c r="S1795" s="20"/>
      <c r="T1795" s="20"/>
      <c r="U1795" s="20"/>
      <c r="V1795" s="20"/>
      <c r="W1795" s="20"/>
      <c r="X1795" s="20"/>
      <c r="Y1795" s="20"/>
      <c r="Z1795" s="20"/>
      <c r="AA1795" s="20"/>
      <c r="AB1795" s="20"/>
      <c r="AC1795" s="20"/>
      <c r="AD1795" s="20"/>
      <c r="AE1795" s="20"/>
      <c r="AF1795" s="20"/>
      <c r="AG1795" s="20"/>
      <c r="AH1795" s="20"/>
      <c r="AI1795" s="20"/>
      <c r="AJ1795" s="20"/>
      <c r="AK1795" s="20"/>
      <c r="AL1795" s="20"/>
      <c r="AM1795" s="20"/>
    </row>
    <row r="1796" spans="1:39" ht="13">
      <c r="A1796" s="20"/>
      <c r="B1796" s="20"/>
      <c r="C1796" s="20"/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  <c r="N1796" s="20"/>
      <c r="O1796" s="20"/>
      <c r="P1796" s="28"/>
      <c r="Q1796" s="28"/>
      <c r="R1796" s="20"/>
      <c r="S1796" s="20"/>
      <c r="T1796" s="20"/>
      <c r="U1796" s="20"/>
      <c r="V1796" s="20"/>
      <c r="W1796" s="20"/>
      <c r="X1796" s="20"/>
      <c r="Y1796" s="20"/>
      <c r="Z1796" s="20"/>
      <c r="AA1796" s="20"/>
      <c r="AB1796" s="20"/>
      <c r="AC1796" s="20"/>
      <c r="AD1796" s="20"/>
      <c r="AE1796" s="20"/>
      <c r="AF1796" s="20"/>
      <c r="AG1796" s="20"/>
      <c r="AH1796" s="20"/>
      <c r="AI1796" s="20"/>
      <c r="AJ1796" s="20"/>
      <c r="AK1796" s="20"/>
      <c r="AL1796" s="20"/>
      <c r="AM1796" s="20"/>
    </row>
    <row r="1797" spans="1:39" ht="13">
      <c r="A1797" s="20"/>
      <c r="B1797" s="20"/>
      <c r="C1797" s="20"/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  <c r="N1797" s="20"/>
      <c r="O1797" s="20"/>
      <c r="P1797" s="28"/>
      <c r="Q1797" s="28"/>
      <c r="R1797" s="20"/>
      <c r="S1797" s="20"/>
      <c r="T1797" s="20"/>
      <c r="U1797" s="20"/>
      <c r="V1797" s="20"/>
      <c r="W1797" s="20"/>
      <c r="X1797" s="20"/>
      <c r="Y1797" s="20"/>
      <c r="Z1797" s="20"/>
      <c r="AA1797" s="20"/>
      <c r="AB1797" s="20"/>
      <c r="AC1797" s="20"/>
      <c r="AD1797" s="20"/>
      <c r="AE1797" s="20"/>
      <c r="AF1797" s="20"/>
      <c r="AG1797" s="20"/>
      <c r="AH1797" s="20"/>
      <c r="AI1797" s="20"/>
      <c r="AJ1797" s="20"/>
      <c r="AK1797" s="20"/>
      <c r="AL1797" s="20"/>
      <c r="AM1797" s="20"/>
    </row>
    <row r="1798" spans="1:39" ht="13">
      <c r="A1798" s="20"/>
      <c r="B1798" s="20"/>
      <c r="C1798" s="20"/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  <c r="N1798" s="20"/>
      <c r="O1798" s="20"/>
      <c r="P1798" s="28"/>
      <c r="Q1798" s="28"/>
      <c r="R1798" s="20"/>
      <c r="S1798" s="20"/>
      <c r="T1798" s="20"/>
      <c r="U1798" s="20"/>
      <c r="V1798" s="20"/>
      <c r="W1798" s="20"/>
      <c r="X1798" s="20"/>
      <c r="Y1798" s="20"/>
      <c r="Z1798" s="20"/>
      <c r="AA1798" s="20"/>
      <c r="AB1798" s="20"/>
      <c r="AC1798" s="20"/>
      <c r="AD1798" s="20"/>
      <c r="AE1798" s="20"/>
      <c r="AF1798" s="20"/>
      <c r="AG1798" s="20"/>
      <c r="AH1798" s="20"/>
      <c r="AI1798" s="20"/>
      <c r="AJ1798" s="20"/>
      <c r="AK1798" s="20"/>
      <c r="AL1798" s="20"/>
      <c r="AM1798" s="20"/>
    </row>
    <row r="1799" spans="1:39" ht="13">
      <c r="A1799" s="20"/>
      <c r="B1799" s="20"/>
      <c r="C1799" s="20"/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  <c r="N1799" s="20"/>
      <c r="O1799" s="20"/>
      <c r="P1799" s="28"/>
      <c r="Q1799" s="28"/>
      <c r="R1799" s="20"/>
      <c r="S1799" s="20"/>
      <c r="T1799" s="20"/>
      <c r="U1799" s="20"/>
      <c r="V1799" s="20"/>
      <c r="W1799" s="20"/>
      <c r="X1799" s="20"/>
      <c r="Y1799" s="20"/>
      <c r="Z1799" s="20"/>
      <c r="AA1799" s="20"/>
      <c r="AB1799" s="20"/>
      <c r="AC1799" s="20"/>
      <c r="AD1799" s="20"/>
      <c r="AE1799" s="20"/>
      <c r="AF1799" s="20"/>
      <c r="AG1799" s="20"/>
      <c r="AH1799" s="20"/>
      <c r="AI1799" s="20"/>
      <c r="AJ1799" s="20"/>
      <c r="AK1799" s="20"/>
      <c r="AL1799" s="20"/>
      <c r="AM1799" s="20"/>
    </row>
    <row r="1800" spans="1:39" ht="13">
      <c r="A1800" s="20"/>
      <c r="B1800" s="20"/>
      <c r="C1800" s="20"/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  <c r="N1800" s="20"/>
      <c r="O1800" s="20"/>
      <c r="P1800" s="28"/>
      <c r="Q1800" s="28"/>
      <c r="R1800" s="20"/>
      <c r="S1800" s="20"/>
      <c r="T1800" s="20"/>
      <c r="U1800" s="20"/>
      <c r="V1800" s="20"/>
      <c r="W1800" s="20"/>
      <c r="X1800" s="20"/>
      <c r="Y1800" s="20"/>
      <c r="Z1800" s="20"/>
      <c r="AA1800" s="20"/>
      <c r="AB1800" s="20"/>
      <c r="AC1800" s="20"/>
      <c r="AD1800" s="20"/>
      <c r="AE1800" s="20"/>
      <c r="AF1800" s="20"/>
      <c r="AG1800" s="20"/>
      <c r="AH1800" s="20"/>
      <c r="AI1800" s="20"/>
      <c r="AJ1800" s="20"/>
      <c r="AK1800" s="20"/>
      <c r="AL1800" s="20"/>
      <c r="AM1800" s="20"/>
    </row>
    <row r="1801" spans="1:39" ht="13">
      <c r="A1801" s="20"/>
      <c r="B1801" s="20"/>
      <c r="C1801" s="20"/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  <c r="N1801" s="20"/>
      <c r="O1801" s="20"/>
      <c r="P1801" s="28"/>
      <c r="Q1801" s="28"/>
      <c r="R1801" s="20"/>
      <c r="S1801" s="20"/>
      <c r="T1801" s="20"/>
      <c r="U1801" s="20"/>
      <c r="V1801" s="20"/>
      <c r="W1801" s="20"/>
      <c r="X1801" s="20"/>
      <c r="Y1801" s="20"/>
      <c r="Z1801" s="20"/>
      <c r="AA1801" s="20"/>
      <c r="AB1801" s="20"/>
      <c r="AC1801" s="20"/>
      <c r="AD1801" s="20"/>
      <c r="AE1801" s="20"/>
      <c r="AF1801" s="20"/>
      <c r="AG1801" s="20"/>
      <c r="AH1801" s="20"/>
      <c r="AI1801" s="20"/>
      <c r="AJ1801" s="20"/>
      <c r="AK1801" s="20"/>
      <c r="AL1801" s="20"/>
      <c r="AM1801" s="20"/>
    </row>
    <row r="1802" spans="1:39" ht="13">
      <c r="A1802" s="20"/>
      <c r="B1802" s="20"/>
      <c r="C1802" s="20"/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  <c r="N1802" s="20"/>
      <c r="O1802" s="20"/>
      <c r="P1802" s="28"/>
      <c r="Q1802" s="28"/>
      <c r="R1802" s="20"/>
      <c r="S1802" s="20"/>
      <c r="T1802" s="20"/>
      <c r="U1802" s="20"/>
      <c r="V1802" s="20"/>
      <c r="W1802" s="20"/>
      <c r="X1802" s="20"/>
      <c r="Y1802" s="20"/>
      <c r="Z1802" s="20"/>
      <c r="AA1802" s="20"/>
      <c r="AB1802" s="20"/>
      <c r="AC1802" s="20"/>
      <c r="AD1802" s="20"/>
      <c r="AE1802" s="20"/>
      <c r="AF1802" s="20"/>
      <c r="AG1802" s="20"/>
      <c r="AH1802" s="20"/>
      <c r="AI1802" s="20"/>
      <c r="AJ1802" s="20"/>
      <c r="AK1802" s="20"/>
      <c r="AL1802" s="20"/>
      <c r="AM1802" s="20"/>
    </row>
    <row r="1803" spans="1:39" ht="13">
      <c r="A1803" s="20"/>
      <c r="B1803" s="20"/>
      <c r="C1803" s="20"/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  <c r="N1803" s="20"/>
      <c r="O1803" s="20"/>
      <c r="P1803" s="28"/>
      <c r="Q1803" s="28"/>
      <c r="R1803" s="20"/>
      <c r="S1803" s="20"/>
      <c r="T1803" s="20"/>
      <c r="U1803" s="20"/>
      <c r="V1803" s="20"/>
      <c r="W1803" s="20"/>
      <c r="X1803" s="20"/>
      <c r="Y1803" s="20"/>
      <c r="Z1803" s="20"/>
      <c r="AA1803" s="20"/>
      <c r="AB1803" s="20"/>
      <c r="AC1803" s="20"/>
      <c r="AD1803" s="20"/>
      <c r="AE1803" s="20"/>
      <c r="AF1803" s="20"/>
      <c r="AG1803" s="20"/>
      <c r="AH1803" s="20"/>
      <c r="AI1803" s="20"/>
      <c r="AJ1803" s="20"/>
      <c r="AK1803" s="20"/>
      <c r="AL1803" s="20"/>
      <c r="AM1803" s="20"/>
    </row>
    <row r="1804" spans="1:39" ht="13">
      <c r="A1804" s="20"/>
      <c r="B1804" s="20"/>
      <c r="C1804" s="20"/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  <c r="N1804" s="20"/>
      <c r="O1804" s="20"/>
      <c r="P1804" s="28"/>
      <c r="Q1804" s="28"/>
      <c r="R1804" s="20"/>
      <c r="S1804" s="20"/>
      <c r="T1804" s="20"/>
      <c r="U1804" s="20"/>
      <c r="V1804" s="20"/>
      <c r="W1804" s="20"/>
      <c r="X1804" s="20"/>
      <c r="Y1804" s="20"/>
      <c r="Z1804" s="20"/>
      <c r="AA1804" s="20"/>
      <c r="AB1804" s="20"/>
      <c r="AC1804" s="20"/>
      <c r="AD1804" s="20"/>
      <c r="AE1804" s="20"/>
      <c r="AF1804" s="20"/>
      <c r="AG1804" s="20"/>
      <c r="AH1804" s="20"/>
      <c r="AI1804" s="20"/>
      <c r="AJ1804" s="20"/>
      <c r="AK1804" s="20"/>
      <c r="AL1804" s="20"/>
      <c r="AM1804" s="20"/>
    </row>
    <row r="1805" spans="1:39" ht="13">
      <c r="A1805" s="20"/>
      <c r="B1805" s="20"/>
      <c r="C1805" s="20"/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  <c r="N1805" s="20"/>
      <c r="O1805" s="20"/>
      <c r="P1805" s="28"/>
      <c r="Q1805" s="28"/>
      <c r="R1805" s="20"/>
      <c r="S1805" s="20"/>
      <c r="T1805" s="20"/>
      <c r="U1805" s="20"/>
      <c r="V1805" s="20"/>
      <c r="W1805" s="20"/>
      <c r="X1805" s="20"/>
      <c r="Y1805" s="20"/>
      <c r="Z1805" s="20"/>
      <c r="AA1805" s="20"/>
      <c r="AB1805" s="20"/>
      <c r="AC1805" s="20"/>
      <c r="AD1805" s="20"/>
      <c r="AE1805" s="20"/>
      <c r="AF1805" s="20"/>
      <c r="AG1805" s="20"/>
      <c r="AH1805" s="20"/>
      <c r="AI1805" s="20"/>
      <c r="AJ1805" s="20"/>
      <c r="AK1805" s="20"/>
      <c r="AL1805" s="20"/>
      <c r="AM1805" s="20"/>
    </row>
    <row r="1806" spans="1:39" ht="13">
      <c r="A1806" s="20"/>
      <c r="B1806" s="20"/>
      <c r="C1806" s="20"/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  <c r="N1806" s="20"/>
      <c r="O1806" s="20"/>
      <c r="P1806" s="28"/>
      <c r="Q1806" s="28"/>
      <c r="R1806" s="20"/>
      <c r="S1806" s="20"/>
      <c r="T1806" s="20"/>
      <c r="U1806" s="20"/>
      <c r="V1806" s="20"/>
      <c r="W1806" s="20"/>
      <c r="X1806" s="20"/>
      <c r="Y1806" s="20"/>
      <c r="Z1806" s="20"/>
      <c r="AA1806" s="20"/>
      <c r="AB1806" s="20"/>
      <c r="AC1806" s="20"/>
      <c r="AD1806" s="20"/>
      <c r="AE1806" s="20"/>
      <c r="AF1806" s="20"/>
      <c r="AG1806" s="20"/>
      <c r="AH1806" s="20"/>
      <c r="AI1806" s="20"/>
      <c r="AJ1806" s="20"/>
      <c r="AK1806" s="20"/>
      <c r="AL1806" s="20"/>
      <c r="AM1806" s="20"/>
    </row>
    <row r="1807" spans="1:39" ht="13">
      <c r="A1807" s="20"/>
      <c r="B1807" s="20"/>
      <c r="C1807" s="20"/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  <c r="N1807" s="20"/>
      <c r="O1807" s="20"/>
      <c r="P1807" s="28"/>
      <c r="Q1807" s="28"/>
      <c r="R1807" s="20"/>
      <c r="S1807" s="20"/>
      <c r="T1807" s="20"/>
      <c r="U1807" s="20"/>
      <c r="V1807" s="20"/>
      <c r="W1807" s="20"/>
      <c r="X1807" s="20"/>
      <c r="Y1807" s="20"/>
      <c r="Z1807" s="20"/>
      <c r="AA1807" s="20"/>
      <c r="AB1807" s="20"/>
      <c r="AC1807" s="20"/>
      <c r="AD1807" s="20"/>
      <c r="AE1807" s="20"/>
      <c r="AF1807" s="20"/>
      <c r="AG1807" s="20"/>
      <c r="AH1807" s="20"/>
      <c r="AI1807" s="20"/>
      <c r="AJ1807" s="20"/>
      <c r="AK1807" s="20"/>
      <c r="AL1807" s="20"/>
      <c r="AM1807" s="20"/>
    </row>
    <row r="1808" spans="1:39" ht="13">
      <c r="A1808" s="20"/>
      <c r="B1808" s="20"/>
      <c r="C1808" s="20"/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  <c r="N1808" s="20"/>
      <c r="O1808" s="20"/>
      <c r="P1808" s="28"/>
      <c r="Q1808" s="28"/>
      <c r="R1808" s="20"/>
      <c r="S1808" s="20"/>
      <c r="T1808" s="20"/>
      <c r="U1808" s="20"/>
      <c r="V1808" s="20"/>
      <c r="W1808" s="20"/>
      <c r="X1808" s="20"/>
      <c r="Y1808" s="20"/>
      <c r="Z1808" s="20"/>
      <c r="AA1808" s="20"/>
      <c r="AB1808" s="20"/>
      <c r="AC1808" s="20"/>
      <c r="AD1808" s="20"/>
      <c r="AE1808" s="20"/>
      <c r="AF1808" s="20"/>
      <c r="AG1808" s="20"/>
      <c r="AH1808" s="20"/>
      <c r="AI1808" s="20"/>
      <c r="AJ1808" s="20"/>
      <c r="AK1808" s="20"/>
      <c r="AL1808" s="20"/>
      <c r="AM1808" s="20"/>
    </row>
    <row r="1809" spans="1:39" ht="13">
      <c r="A1809" s="20"/>
      <c r="B1809" s="20"/>
      <c r="C1809" s="20"/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  <c r="N1809" s="20"/>
      <c r="O1809" s="20"/>
      <c r="P1809" s="28"/>
      <c r="Q1809" s="28"/>
      <c r="R1809" s="20"/>
      <c r="S1809" s="20"/>
      <c r="T1809" s="20"/>
      <c r="U1809" s="20"/>
      <c r="V1809" s="20"/>
      <c r="W1809" s="20"/>
      <c r="X1809" s="20"/>
      <c r="Y1809" s="20"/>
      <c r="Z1809" s="20"/>
      <c r="AA1809" s="20"/>
      <c r="AB1809" s="20"/>
      <c r="AC1809" s="20"/>
      <c r="AD1809" s="20"/>
      <c r="AE1809" s="20"/>
      <c r="AF1809" s="20"/>
      <c r="AG1809" s="20"/>
      <c r="AH1809" s="20"/>
      <c r="AI1809" s="20"/>
      <c r="AJ1809" s="20"/>
      <c r="AK1809" s="20"/>
      <c r="AL1809" s="20"/>
      <c r="AM1809" s="20"/>
    </row>
    <row r="1810" spans="1:39" ht="13">
      <c r="A1810" s="20"/>
      <c r="B1810" s="20"/>
      <c r="C1810" s="20"/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  <c r="N1810" s="20"/>
      <c r="O1810" s="20"/>
      <c r="P1810" s="28"/>
      <c r="Q1810" s="28"/>
      <c r="R1810" s="20"/>
      <c r="S1810" s="20"/>
      <c r="T1810" s="20"/>
      <c r="U1810" s="20"/>
      <c r="V1810" s="20"/>
      <c r="W1810" s="20"/>
      <c r="X1810" s="20"/>
      <c r="Y1810" s="20"/>
      <c r="Z1810" s="20"/>
      <c r="AA1810" s="20"/>
      <c r="AB1810" s="20"/>
      <c r="AC1810" s="20"/>
      <c r="AD1810" s="20"/>
      <c r="AE1810" s="20"/>
      <c r="AF1810" s="20"/>
      <c r="AG1810" s="20"/>
      <c r="AH1810" s="20"/>
      <c r="AI1810" s="20"/>
      <c r="AJ1810" s="20"/>
      <c r="AK1810" s="20"/>
      <c r="AL1810" s="20"/>
      <c r="AM1810" s="20"/>
    </row>
    <row r="1811" spans="1:39" ht="13">
      <c r="A1811" s="20"/>
      <c r="B1811" s="20"/>
      <c r="C1811" s="20"/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  <c r="N1811" s="20"/>
      <c r="O1811" s="20"/>
      <c r="P1811" s="28"/>
      <c r="Q1811" s="28"/>
      <c r="R1811" s="20"/>
      <c r="S1811" s="20"/>
      <c r="T1811" s="20"/>
      <c r="U1811" s="20"/>
      <c r="V1811" s="20"/>
      <c r="W1811" s="20"/>
      <c r="X1811" s="20"/>
      <c r="Y1811" s="20"/>
      <c r="Z1811" s="20"/>
      <c r="AA1811" s="20"/>
      <c r="AB1811" s="20"/>
      <c r="AC1811" s="20"/>
      <c r="AD1811" s="20"/>
      <c r="AE1811" s="20"/>
      <c r="AF1811" s="20"/>
      <c r="AG1811" s="20"/>
      <c r="AH1811" s="20"/>
      <c r="AI1811" s="20"/>
      <c r="AJ1811" s="20"/>
      <c r="AK1811" s="20"/>
      <c r="AL1811" s="20"/>
      <c r="AM1811" s="20"/>
    </row>
    <row r="1812" spans="1:39" ht="13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8"/>
      <c r="Q1812" s="28"/>
      <c r="R1812" s="20"/>
      <c r="S1812" s="20"/>
      <c r="T1812" s="20"/>
      <c r="U1812" s="20"/>
      <c r="V1812" s="20"/>
      <c r="W1812" s="20"/>
      <c r="X1812" s="20"/>
      <c r="Y1812" s="20"/>
      <c r="Z1812" s="20"/>
      <c r="AA1812" s="20"/>
      <c r="AB1812" s="20"/>
      <c r="AC1812" s="20"/>
      <c r="AD1812" s="20"/>
      <c r="AE1812" s="20"/>
      <c r="AF1812" s="20"/>
      <c r="AG1812" s="20"/>
      <c r="AH1812" s="20"/>
      <c r="AI1812" s="20"/>
      <c r="AJ1812" s="20"/>
      <c r="AK1812" s="20"/>
      <c r="AL1812" s="20"/>
      <c r="AM1812" s="20"/>
    </row>
    <row r="1813" spans="1:39" ht="13">
      <c r="A1813" s="20"/>
      <c r="B1813" s="20"/>
      <c r="C1813" s="20"/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  <c r="N1813" s="20"/>
      <c r="O1813" s="20"/>
      <c r="P1813" s="28"/>
      <c r="Q1813" s="28"/>
      <c r="R1813" s="20"/>
      <c r="S1813" s="20"/>
      <c r="T1813" s="20"/>
      <c r="U1813" s="20"/>
      <c r="V1813" s="20"/>
      <c r="W1813" s="20"/>
      <c r="X1813" s="20"/>
      <c r="Y1813" s="20"/>
      <c r="Z1813" s="20"/>
      <c r="AA1813" s="20"/>
      <c r="AB1813" s="20"/>
      <c r="AC1813" s="20"/>
      <c r="AD1813" s="20"/>
      <c r="AE1813" s="20"/>
      <c r="AF1813" s="20"/>
      <c r="AG1813" s="20"/>
      <c r="AH1813" s="20"/>
      <c r="AI1813" s="20"/>
      <c r="AJ1813" s="20"/>
      <c r="AK1813" s="20"/>
      <c r="AL1813" s="20"/>
      <c r="AM1813" s="20"/>
    </row>
    <row r="1814" spans="1:39" ht="13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8"/>
      <c r="Q1814" s="28"/>
      <c r="R1814" s="20"/>
      <c r="S1814" s="20"/>
      <c r="T1814" s="20"/>
      <c r="U1814" s="20"/>
      <c r="V1814" s="20"/>
      <c r="W1814" s="20"/>
      <c r="X1814" s="20"/>
      <c r="Y1814" s="20"/>
      <c r="Z1814" s="20"/>
      <c r="AA1814" s="20"/>
      <c r="AB1814" s="20"/>
      <c r="AC1814" s="20"/>
      <c r="AD1814" s="20"/>
      <c r="AE1814" s="20"/>
      <c r="AF1814" s="20"/>
      <c r="AG1814" s="20"/>
      <c r="AH1814" s="20"/>
      <c r="AI1814" s="20"/>
      <c r="AJ1814" s="20"/>
      <c r="AK1814" s="20"/>
      <c r="AL1814" s="20"/>
      <c r="AM1814" s="20"/>
    </row>
    <row r="1815" spans="1:39" ht="13">
      <c r="A1815" s="20"/>
      <c r="B1815" s="20"/>
      <c r="C1815" s="20"/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  <c r="N1815" s="20"/>
      <c r="O1815" s="20"/>
      <c r="P1815" s="28"/>
      <c r="Q1815" s="28"/>
      <c r="R1815" s="20"/>
      <c r="S1815" s="20"/>
      <c r="T1815" s="20"/>
      <c r="U1815" s="20"/>
      <c r="V1815" s="20"/>
      <c r="W1815" s="20"/>
      <c r="X1815" s="20"/>
      <c r="Y1815" s="20"/>
      <c r="Z1815" s="20"/>
      <c r="AA1815" s="20"/>
      <c r="AB1815" s="20"/>
      <c r="AC1815" s="20"/>
      <c r="AD1815" s="20"/>
      <c r="AE1815" s="20"/>
      <c r="AF1815" s="20"/>
      <c r="AG1815" s="20"/>
      <c r="AH1815" s="20"/>
      <c r="AI1815" s="20"/>
      <c r="AJ1815" s="20"/>
      <c r="AK1815" s="20"/>
      <c r="AL1815" s="20"/>
      <c r="AM1815" s="20"/>
    </row>
    <row r="1816" spans="1:39" ht="13">
      <c r="A1816" s="20"/>
      <c r="B1816" s="20"/>
      <c r="C1816" s="20"/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  <c r="N1816" s="20"/>
      <c r="O1816" s="20"/>
      <c r="P1816" s="28"/>
      <c r="Q1816" s="28"/>
      <c r="R1816" s="20"/>
      <c r="S1816" s="20"/>
      <c r="T1816" s="20"/>
      <c r="U1816" s="20"/>
      <c r="V1816" s="20"/>
      <c r="W1816" s="20"/>
      <c r="X1816" s="20"/>
      <c r="Y1816" s="20"/>
      <c r="Z1816" s="20"/>
      <c r="AA1816" s="20"/>
      <c r="AB1816" s="20"/>
      <c r="AC1816" s="20"/>
      <c r="AD1816" s="20"/>
      <c r="AE1816" s="20"/>
      <c r="AF1816" s="20"/>
      <c r="AG1816" s="20"/>
      <c r="AH1816" s="20"/>
      <c r="AI1816" s="20"/>
      <c r="AJ1816" s="20"/>
      <c r="AK1816" s="20"/>
      <c r="AL1816" s="20"/>
      <c r="AM1816" s="20"/>
    </row>
    <row r="1817" spans="1:39" ht="13">
      <c r="A1817" s="20"/>
      <c r="B1817" s="20"/>
      <c r="C1817" s="20"/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  <c r="N1817" s="20"/>
      <c r="O1817" s="20"/>
      <c r="P1817" s="28"/>
      <c r="Q1817" s="28"/>
      <c r="R1817" s="20"/>
      <c r="S1817" s="20"/>
      <c r="T1817" s="20"/>
      <c r="U1817" s="20"/>
      <c r="V1817" s="20"/>
      <c r="W1817" s="20"/>
      <c r="X1817" s="20"/>
      <c r="Y1817" s="20"/>
      <c r="Z1817" s="20"/>
      <c r="AA1817" s="20"/>
      <c r="AB1817" s="20"/>
      <c r="AC1817" s="20"/>
      <c r="AD1817" s="20"/>
      <c r="AE1817" s="20"/>
      <c r="AF1817" s="20"/>
      <c r="AG1817" s="20"/>
      <c r="AH1817" s="20"/>
      <c r="AI1817" s="20"/>
      <c r="AJ1817" s="20"/>
      <c r="AK1817" s="20"/>
      <c r="AL1817" s="20"/>
      <c r="AM1817" s="20"/>
    </row>
    <row r="1818" spans="1:39" ht="13">
      <c r="A1818" s="20"/>
      <c r="B1818" s="20"/>
      <c r="C1818" s="20"/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  <c r="N1818" s="20"/>
      <c r="O1818" s="20"/>
      <c r="P1818" s="28"/>
      <c r="Q1818" s="28"/>
      <c r="R1818" s="20"/>
      <c r="S1818" s="20"/>
      <c r="T1818" s="20"/>
      <c r="U1818" s="20"/>
      <c r="V1818" s="20"/>
      <c r="W1818" s="20"/>
      <c r="X1818" s="20"/>
      <c r="Y1818" s="20"/>
      <c r="Z1818" s="20"/>
      <c r="AA1818" s="20"/>
      <c r="AB1818" s="20"/>
      <c r="AC1818" s="20"/>
      <c r="AD1818" s="20"/>
      <c r="AE1818" s="20"/>
      <c r="AF1818" s="20"/>
      <c r="AG1818" s="20"/>
      <c r="AH1818" s="20"/>
      <c r="AI1818" s="20"/>
      <c r="AJ1818" s="20"/>
      <c r="AK1818" s="20"/>
      <c r="AL1818" s="20"/>
      <c r="AM1818" s="20"/>
    </row>
    <row r="1819" spans="1:39" ht="13">
      <c r="A1819" s="20"/>
      <c r="B1819" s="20"/>
      <c r="C1819" s="20"/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  <c r="N1819" s="20"/>
      <c r="O1819" s="20"/>
      <c r="P1819" s="28"/>
      <c r="Q1819" s="28"/>
      <c r="R1819" s="20"/>
      <c r="S1819" s="20"/>
      <c r="T1819" s="20"/>
      <c r="U1819" s="20"/>
      <c r="V1819" s="20"/>
      <c r="W1819" s="20"/>
      <c r="X1819" s="20"/>
      <c r="Y1819" s="20"/>
      <c r="Z1819" s="20"/>
      <c r="AA1819" s="20"/>
      <c r="AB1819" s="20"/>
      <c r="AC1819" s="20"/>
      <c r="AD1819" s="20"/>
      <c r="AE1819" s="20"/>
      <c r="AF1819" s="20"/>
      <c r="AG1819" s="20"/>
      <c r="AH1819" s="20"/>
      <c r="AI1819" s="20"/>
      <c r="AJ1819" s="20"/>
      <c r="AK1819" s="20"/>
      <c r="AL1819" s="20"/>
      <c r="AM1819" s="20"/>
    </row>
    <row r="1820" spans="1:39" ht="13">
      <c r="A1820" s="20"/>
      <c r="B1820" s="20"/>
      <c r="C1820" s="20"/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  <c r="N1820" s="20"/>
      <c r="O1820" s="20"/>
      <c r="P1820" s="28"/>
      <c r="Q1820" s="28"/>
      <c r="R1820" s="20"/>
      <c r="S1820" s="20"/>
      <c r="T1820" s="20"/>
      <c r="U1820" s="20"/>
      <c r="V1820" s="20"/>
      <c r="W1820" s="20"/>
      <c r="X1820" s="20"/>
      <c r="Y1820" s="20"/>
      <c r="Z1820" s="20"/>
      <c r="AA1820" s="20"/>
      <c r="AB1820" s="20"/>
      <c r="AC1820" s="20"/>
      <c r="AD1820" s="20"/>
      <c r="AE1820" s="20"/>
      <c r="AF1820" s="20"/>
      <c r="AG1820" s="20"/>
      <c r="AH1820" s="20"/>
      <c r="AI1820" s="20"/>
      <c r="AJ1820" s="20"/>
      <c r="AK1820" s="20"/>
      <c r="AL1820" s="20"/>
      <c r="AM1820" s="20"/>
    </row>
    <row r="1821" spans="1:39" ht="13">
      <c r="A1821" s="20"/>
      <c r="B1821" s="20"/>
      <c r="C1821" s="20"/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  <c r="N1821" s="20"/>
      <c r="O1821" s="20"/>
      <c r="P1821" s="28"/>
      <c r="Q1821" s="28"/>
      <c r="R1821" s="20"/>
      <c r="S1821" s="20"/>
      <c r="T1821" s="20"/>
      <c r="U1821" s="20"/>
      <c r="V1821" s="20"/>
      <c r="W1821" s="20"/>
      <c r="X1821" s="20"/>
      <c r="Y1821" s="20"/>
      <c r="Z1821" s="20"/>
      <c r="AA1821" s="20"/>
      <c r="AB1821" s="20"/>
      <c r="AC1821" s="20"/>
      <c r="AD1821" s="20"/>
      <c r="AE1821" s="20"/>
      <c r="AF1821" s="20"/>
      <c r="AG1821" s="20"/>
      <c r="AH1821" s="20"/>
      <c r="AI1821" s="20"/>
      <c r="AJ1821" s="20"/>
      <c r="AK1821" s="20"/>
      <c r="AL1821" s="20"/>
      <c r="AM1821" s="20"/>
    </row>
    <row r="1822" spans="1:39" ht="13">
      <c r="A1822" s="20"/>
      <c r="B1822" s="20"/>
      <c r="C1822" s="20"/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  <c r="N1822" s="20"/>
      <c r="O1822" s="20"/>
      <c r="P1822" s="28"/>
      <c r="Q1822" s="28"/>
      <c r="R1822" s="20"/>
      <c r="S1822" s="20"/>
      <c r="T1822" s="20"/>
      <c r="U1822" s="20"/>
      <c r="V1822" s="20"/>
      <c r="W1822" s="20"/>
      <c r="X1822" s="20"/>
      <c r="Y1822" s="20"/>
      <c r="Z1822" s="20"/>
      <c r="AA1822" s="20"/>
      <c r="AB1822" s="20"/>
      <c r="AC1822" s="20"/>
      <c r="AD1822" s="20"/>
      <c r="AE1822" s="20"/>
      <c r="AF1822" s="20"/>
      <c r="AG1822" s="20"/>
      <c r="AH1822" s="20"/>
      <c r="AI1822" s="20"/>
      <c r="AJ1822" s="20"/>
      <c r="AK1822" s="20"/>
      <c r="AL1822" s="20"/>
      <c r="AM1822" s="20"/>
    </row>
    <row r="1823" spans="1:39" ht="13">
      <c r="A1823" s="20"/>
      <c r="B1823" s="20"/>
      <c r="C1823" s="20"/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  <c r="N1823" s="20"/>
      <c r="O1823" s="20"/>
      <c r="P1823" s="28"/>
      <c r="Q1823" s="28"/>
      <c r="R1823" s="20"/>
      <c r="S1823" s="20"/>
      <c r="T1823" s="20"/>
      <c r="U1823" s="20"/>
      <c r="V1823" s="20"/>
      <c r="W1823" s="20"/>
      <c r="X1823" s="20"/>
      <c r="Y1823" s="20"/>
      <c r="Z1823" s="20"/>
      <c r="AA1823" s="20"/>
      <c r="AB1823" s="20"/>
      <c r="AC1823" s="20"/>
      <c r="AD1823" s="20"/>
      <c r="AE1823" s="20"/>
      <c r="AF1823" s="20"/>
      <c r="AG1823" s="20"/>
      <c r="AH1823" s="20"/>
      <c r="AI1823" s="20"/>
      <c r="AJ1823" s="20"/>
      <c r="AK1823" s="20"/>
      <c r="AL1823" s="20"/>
      <c r="AM1823" s="20"/>
    </row>
    <row r="1824" spans="1:39" ht="13">
      <c r="A1824" s="20"/>
      <c r="B1824" s="20"/>
      <c r="C1824" s="20"/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  <c r="N1824" s="20"/>
      <c r="O1824" s="20"/>
      <c r="P1824" s="28"/>
      <c r="Q1824" s="28"/>
      <c r="R1824" s="20"/>
      <c r="S1824" s="20"/>
      <c r="T1824" s="20"/>
      <c r="U1824" s="20"/>
      <c r="V1824" s="20"/>
      <c r="W1824" s="20"/>
      <c r="X1824" s="20"/>
      <c r="Y1824" s="20"/>
      <c r="Z1824" s="20"/>
      <c r="AA1824" s="20"/>
      <c r="AB1824" s="20"/>
      <c r="AC1824" s="20"/>
      <c r="AD1824" s="20"/>
      <c r="AE1824" s="20"/>
      <c r="AF1824" s="20"/>
      <c r="AG1824" s="20"/>
      <c r="AH1824" s="20"/>
      <c r="AI1824" s="20"/>
      <c r="AJ1824" s="20"/>
      <c r="AK1824" s="20"/>
      <c r="AL1824" s="20"/>
      <c r="AM1824" s="20"/>
    </row>
    <row r="1825" spans="1:39" ht="13">
      <c r="A1825" s="20"/>
      <c r="B1825" s="20"/>
      <c r="C1825" s="20"/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  <c r="N1825" s="20"/>
      <c r="O1825" s="20"/>
      <c r="P1825" s="28"/>
      <c r="Q1825" s="28"/>
      <c r="R1825" s="20"/>
      <c r="S1825" s="20"/>
      <c r="T1825" s="20"/>
      <c r="U1825" s="20"/>
      <c r="V1825" s="20"/>
      <c r="W1825" s="20"/>
      <c r="X1825" s="20"/>
      <c r="Y1825" s="20"/>
      <c r="Z1825" s="20"/>
      <c r="AA1825" s="20"/>
      <c r="AB1825" s="20"/>
      <c r="AC1825" s="20"/>
      <c r="AD1825" s="20"/>
      <c r="AE1825" s="20"/>
      <c r="AF1825" s="20"/>
      <c r="AG1825" s="20"/>
      <c r="AH1825" s="20"/>
      <c r="AI1825" s="20"/>
      <c r="AJ1825" s="20"/>
      <c r="AK1825" s="20"/>
      <c r="AL1825" s="20"/>
      <c r="AM1825" s="20"/>
    </row>
    <row r="1826" spans="1:39" ht="13">
      <c r="A1826" s="20"/>
      <c r="B1826" s="20"/>
      <c r="C1826" s="20"/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  <c r="N1826" s="20"/>
      <c r="O1826" s="20"/>
      <c r="P1826" s="28"/>
      <c r="Q1826" s="28"/>
      <c r="R1826" s="20"/>
      <c r="S1826" s="20"/>
      <c r="T1826" s="20"/>
      <c r="U1826" s="20"/>
      <c r="V1826" s="20"/>
      <c r="W1826" s="20"/>
      <c r="X1826" s="20"/>
      <c r="Y1826" s="20"/>
      <c r="Z1826" s="20"/>
      <c r="AA1826" s="20"/>
      <c r="AB1826" s="20"/>
      <c r="AC1826" s="20"/>
      <c r="AD1826" s="20"/>
      <c r="AE1826" s="20"/>
      <c r="AF1826" s="20"/>
      <c r="AG1826" s="20"/>
      <c r="AH1826" s="20"/>
      <c r="AI1826" s="20"/>
      <c r="AJ1826" s="20"/>
      <c r="AK1826" s="20"/>
      <c r="AL1826" s="20"/>
      <c r="AM1826" s="20"/>
    </row>
    <row r="1827" spans="1:39" ht="13">
      <c r="A1827" s="20"/>
      <c r="B1827" s="20"/>
      <c r="C1827" s="20"/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  <c r="N1827" s="20"/>
      <c r="O1827" s="20"/>
      <c r="P1827" s="28"/>
      <c r="Q1827" s="28"/>
      <c r="R1827" s="20"/>
      <c r="S1827" s="20"/>
      <c r="T1827" s="20"/>
      <c r="U1827" s="20"/>
      <c r="V1827" s="20"/>
      <c r="W1827" s="20"/>
      <c r="X1827" s="20"/>
      <c r="Y1827" s="20"/>
      <c r="Z1827" s="20"/>
      <c r="AA1827" s="20"/>
      <c r="AB1827" s="20"/>
      <c r="AC1827" s="20"/>
      <c r="AD1827" s="20"/>
      <c r="AE1827" s="20"/>
      <c r="AF1827" s="20"/>
      <c r="AG1827" s="20"/>
      <c r="AH1827" s="20"/>
      <c r="AI1827" s="20"/>
      <c r="AJ1827" s="20"/>
      <c r="AK1827" s="20"/>
      <c r="AL1827" s="20"/>
      <c r="AM1827" s="20"/>
    </row>
    <row r="1828" spans="1:39" ht="13">
      <c r="A1828" s="20"/>
      <c r="B1828" s="20"/>
      <c r="C1828" s="20"/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  <c r="N1828" s="20"/>
      <c r="O1828" s="20"/>
      <c r="P1828" s="28"/>
      <c r="Q1828" s="28"/>
      <c r="R1828" s="20"/>
      <c r="S1828" s="20"/>
      <c r="T1828" s="20"/>
      <c r="U1828" s="20"/>
      <c r="V1828" s="20"/>
      <c r="W1828" s="20"/>
      <c r="X1828" s="20"/>
      <c r="Y1828" s="20"/>
      <c r="Z1828" s="20"/>
      <c r="AA1828" s="20"/>
      <c r="AB1828" s="20"/>
      <c r="AC1828" s="20"/>
      <c r="AD1828" s="20"/>
      <c r="AE1828" s="20"/>
      <c r="AF1828" s="20"/>
      <c r="AG1828" s="20"/>
      <c r="AH1828" s="20"/>
      <c r="AI1828" s="20"/>
      <c r="AJ1828" s="20"/>
      <c r="AK1828" s="20"/>
      <c r="AL1828" s="20"/>
      <c r="AM1828" s="20"/>
    </row>
    <row r="1829" spans="1:39" ht="13">
      <c r="A1829" s="20"/>
      <c r="B1829" s="20"/>
      <c r="C1829" s="20"/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  <c r="N1829" s="20"/>
      <c r="O1829" s="20"/>
      <c r="P1829" s="28"/>
      <c r="Q1829" s="28"/>
      <c r="R1829" s="20"/>
      <c r="S1829" s="20"/>
      <c r="T1829" s="20"/>
      <c r="U1829" s="20"/>
      <c r="V1829" s="20"/>
      <c r="W1829" s="20"/>
      <c r="X1829" s="20"/>
      <c r="Y1829" s="20"/>
      <c r="Z1829" s="20"/>
      <c r="AA1829" s="20"/>
      <c r="AB1829" s="20"/>
      <c r="AC1829" s="20"/>
      <c r="AD1829" s="20"/>
      <c r="AE1829" s="20"/>
      <c r="AF1829" s="20"/>
      <c r="AG1829" s="20"/>
      <c r="AH1829" s="20"/>
      <c r="AI1829" s="20"/>
      <c r="AJ1829" s="20"/>
      <c r="AK1829" s="20"/>
      <c r="AL1829" s="20"/>
      <c r="AM1829" s="20"/>
    </row>
    <row r="1830" spans="1:39" ht="13">
      <c r="A1830" s="20"/>
      <c r="B1830" s="20"/>
      <c r="C1830" s="20"/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  <c r="N1830" s="20"/>
      <c r="O1830" s="20"/>
      <c r="P1830" s="28"/>
      <c r="Q1830" s="28"/>
      <c r="R1830" s="20"/>
      <c r="S1830" s="20"/>
      <c r="T1830" s="20"/>
      <c r="U1830" s="20"/>
      <c r="V1830" s="20"/>
      <c r="W1830" s="20"/>
      <c r="X1830" s="20"/>
      <c r="Y1830" s="20"/>
      <c r="Z1830" s="20"/>
      <c r="AA1830" s="20"/>
      <c r="AB1830" s="20"/>
      <c r="AC1830" s="20"/>
      <c r="AD1830" s="20"/>
      <c r="AE1830" s="20"/>
      <c r="AF1830" s="20"/>
      <c r="AG1830" s="20"/>
      <c r="AH1830" s="20"/>
      <c r="AI1830" s="20"/>
      <c r="AJ1830" s="20"/>
      <c r="AK1830" s="20"/>
      <c r="AL1830" s="20"/>
      <c r="AM1830" s="20"/>
    </row>
    <row r="1831" spans="1:39" ht="13">
      <c r="A1831" s="20"/>
      <c r="B1831" s="20"/>
      <c r="C1831" s="20"/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  <c r="N1831" s="20"/>
      <c r="O1831" s="20"/>
      <c r="P1831" s="28"/>
      <c r="Q1831" s="28"/>
      <c r="R1831" s="20"/>
      <c r="S1831" s="20"/>
      <c r="T1831" s="20"/>
      <c r="U1831" s="20"/>
      <c r="V1831" s="20"/>
      <c r="W1831" s="20"/>
      <c r="X1831" s="20"/>
      <c r="Y1831" s="20"/>
      <c r="Z1831" s="20"/>
      <c r="AA1831" s="20"/>
      <c r="AB1831" s="20"/>
      <c r="AC1831" s="20"/>
      <c r="AD1831" s="20"/>
      <c r="AE1831" s="20"/>
      <c r="AF1831" s="20"/>
      <c r="AG1831" s="20"/>
      <c r="AH1831" s="20"/>
      <c r="AI1831" s="20"/>
      <c r="AJ1831" s="20"/>
      <c r="AK1831" s="20"/>
      <c r="AL1831" s="20"/>
      <c r="AM1831" s="20"/>
    </row>
    <row r="1832" spans="1:39" ht="13">
      <c r="A1832" s="20"/>
      <c r="B1832" s="20"/>
      <c r="C1832" s="20"/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  <c r="N1832" s="20"/>
      <c r="O1832" s="20"/>
      <c r="P1832" s="28"/>
      <c r="Q1832" s="28"/>
      <c r="R1832" s="20"/>
      <c r="S1832" s="20"/>
      <c r="T1832" s="20"/>
      <c r="U1832" s="20"/>
      <c r="V1832" s="20"/>
      <c r="W1832" s="20"/>
      <c r="X1832" s="20"/>
      <c r="Y1832" s="20"/>
      <c r="Z1832" s="20"/>
      <c r="AA1832" s="20"/>
      <c r="AB1832" s="20"/>
      <c r="AC1832" s="20"/>
      <c r="AD1832" s="20"/>
      <c r="AE1832" s="20"/>
      <c r="AF1832" s="20"/>
      <c r="AG1832" s="20"/>
      <c r="AH1832" s="20"/>
      <c r="AI1832" s="20"/>
      <c r="AJ1832" s="20"/>
      <c r="AK1832" s="20"/>
      <c r="AL1832" s="20"/>
      <c r="AM1832" s="20"/>
    </row>
    <row r="1833" spans="1:39" ht="13">
      <c r="A1833" s="20"/>
      <c r="B1833" s="20"/>
      <c r="C1833" s="20"/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  <c r="N1833" s="20"/>
      <c r="O1833" s="20"/>
      <c r="P1833" s="28"/>
      <c r="Q1833" s="28"/>
      <c r="R1833" s="20"/>
      <c r="S1833" s="20"/>
      <c r="T1833" s="20"/>
      <c r="U1833" s="20"/>
      <c r="V1833" s="20"/>
      <c r="W1833" s="20"/>
      <c r="X1833" s="20"/>
      <c r="Y1833" s="20"/>
      <c r="Z1833" s="20"/>
      <c r="AA1833" s="20"/>
      <c r="AB1833" s="20"/>
      <c r="AC1833" s="20"/>
      <c r="AD1833" s="20"/>
      <c r="AE1833" s="20"/>
      <c r="AF1833" s="20"/>
      <c r="AG1833" s="20"/>
      <c r="AH1833" s="20"/>
      <c r="AI1833" s="20"/>
      <c r="AJ1833" s="20"/>
      <c r="AK1833" s="20"/>
      <c r="AL1833" s="20"/>
      <c r="AM1833" s="20"/>
    </row>
    <row r="1834" spans="1:39" ht="13">
      <c r="A1834" s="20"/>
      <c r="B1834" s="20"/>
      <c r="C1834" s="20"/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  <c r="N1834" s="20"/>
      <c r="O1834" s="20"/>
      <c r="P1834" s="28"/>
      <c r="Q1834" s="28"/>
      <c r="R1834" s="20"/>
      <c r="S1834" s="20"/>
      <c r="T1834" s="20"/>
      <c r="U1834" s="20"/>
      <c r="V1834" s="20"/>
      <c r="W1834" s="20"/>
      <c r="X1834" s="20"/>
      <c r="Y1834" s="20"/>
      <c r="Z1834" s="20"/>
      <c r="AA1834" s="20"/>
      <c r="AB1834" s="20"/>
      <c r="AC1834" s="20"/>
      <c r="AD1834" s="20"/>
      <c r="AE1834" s="20"/>
      <c r="AF1834" s="20"/>
      <c r="AG1834" s="20"/>
      <c r="AH1834" s="20"/>
      <c r="AI1834" s="20"/>
      <c r="AJ1834" s="20"/>
      <c r="AK1834" s="20"/>
      <c r="AL1834" s="20"/>
      <c r="AM1834" s="20"/>
    </row>
    <row r="1835" spans="1:39" ht="13">
      <c r="A1835" s="20"/>
      <c r="B1835" s="20"/>
      <c r="C1835" s="20"/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  <c r="N1835" s="20"/>
      <c r="O1835" s="20"/>
      <c r="P1835" s="28"/>
      <c r="Q1835" s="28"/>
      <c r="R1835" s="20"/>
      <c r="S1835" s="20"/>
      <c r="T1835" s="20"/>
      <c r="U1835" s="20"/>
      <c r="V1835" s="20"/>
      <c r="W1835" s="20"/>
      <c r="X1835" s="20"/>
      <c r="Y1835" s="20"/>
      <c r="Z1835" s="20"/>
      <c r="AA1835" s="20"/>
      <c r="AB1835" s="20"/>
      <c r="AC1835" s="20"/>
      <c r="AD1835" s="20"/>
      <c r="AE1835" s="20"/>
      <c r="AF1835" s="20"/>
      <c r="AG1835" s="20"/>
      <c r="AH1835" s="20"/>
      <c r="AI1835" s="20"/>
      <c r="AJ1835" s="20"/>
      <c r="AK1835" s="20"/>
      <c r="AL1835" s="20"/>
      <c r="AM1835" s="20"/>
    </row>
    <row r="1836" spans="1:39" ht="13">
      <c r="A1836" s="20"/>
      <c r="B1836" s="20"/>
      <c r="C1836" s="20"/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  <c r="N1836" s="20"/>
      <c r="O1836" s="20"/>
      <c r="P1836" s="28"/>
      <c r="Q1836" s="28"/>
      <c r="R1836" s="20"/>
      <c r="S1836" s="20"/>
      <c r="T1836" s="20"/>
      <c r="U1836" s="20"/>
      <c r="V1836" s="20"/>
      <c r="W1836" s="20"/>
      <c r="X1836" s="20"/>
      <c r="Y1836" s="20"/>
      <c r="Z1836" s="20"/>
      <c r="AA1836" s="20"/>
      <c r="AB1836" s="20"/>
      <c r="AC1836" s="20"/>
      <c r="AD1836" s="20"/>
      <c r="AE1836" s="20"/>
      <c r="AF1836" s="20"/>
      <c r="AG1836" s="20"/>
      <c r="AH1836" s="20"/>
      <c r="AI1836" s="20"/>
      <c r="AJ1836" s="20"/>
      <c r="AK1836" s="20"/>
      <c r="AL1836" s="20"/>
      <c r="AM1836" s="20"/>
    </row>
    <row r="1837" spans="1:39" ht="13">
      <c r="A1837" s="20"/>
      <c r="B1837" s="20"/>
      <c r="C1837" s="20"/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  <c r="N1837" s="20"/>
      <c r="O1837" s="20"/>
      <c r="P1837" s="28"/>
      <c r="Q1837" s="28"/>
      <c r="R1837" s="20"/>
      <c r="S1837" s="20"/>
      <c r="T1837" s="20"/>
      <c r="U1837" s="20"/>
      <c r="V1837" s="20"/>
      <c r="W1837" s="20"/>
      <c r="X1837" s="20"/>
      <c r="Y1837" s="20"/>
      <c r="Z1837" s="20"/>
      <c r="AA1837" s="20"/>
      <c r="AB1837" s="20"/>
      <c r="AC1837" s="20"/>
      <c r="AD1837" s="20"/>
      <c r="AE1837" s="20"/>
      <c r="AF1837" s="20"/>
      <c r="AG1837" s="20"/>
      <c r="AH1837" s="20"/>
      <c r="AI1837" s="20"/>
      <c r="AJ1837" s="20"/>
      <c r="AK1837" s="20"/>
      <c r="AL1837" s="20"/>
      <c r="AM1837" s="20"/>
    </row>
    <row r="1838" spans="1:39" ht="13">
      <c r="A1838" s="20"/>
      <c r="B1838" s="20"/>
      <c r="C1838" s="20"/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  <c r="N1838" s="20"/>
      <c r="O1838" s="20"/>
      <c r="P1838" s="28"/>
      <c r="Q1838" s="28"/>
      <c r="R1838" s="20"/>
      <c r="S1838" s="20"/>
      <c r="T1838" s="20"/>
      <c r="U1838" s="20"/>
      <c r="V1838" s="20"/>
      <c r="W1838" s="20"/>
      <c r="X1838" s="20"/>
      <c r="Y1838" s="20"/>
      <c r="Z1838" s="20"/>
      <c r="AA1838" s="20"/>
      <c r="AB1838" s="20"/>
      <c r="AC1838" s="20"/>
      <c r="AD1838" s="20"/>
      <c r="AE1838" s="20"/>
      <c r="AF1838" s="20"/>
      <c r="AG1838" s="20"/>
      <c r="AH1838" s="20"/>
      <c r="AI1838" s="20"/>
      <c r="AJ1838" s="20"/>
      <c r="AK1838" s="20"/>
      <c r="AL1838" s="20"/>
      <c r="AM1838" s="20"/>
    </row>
    <row r="1839" spans="1:39" ht="13">
      <c r="A1839" s="20"/>
      <c r="B1839" s="20"/>
      <c r="C1839" s="20"/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  <c r="N1839" s="20"/>
      <c r="O1839" s="20"/>
      <c r="P1839" s="28"/>
      <c r="Q1839" s="28"/>
      <c r="R1839" s="20"/>
      <c r="S1839" s="20"/>
      <c r="T1839" s="20"/>
      <c r="U1839" s="20"/>
      <c r="V1839" s="20"/>
      <c r="W1839" s="20"/>
      <c r="X1839" s="20"/>
      <c r="Y1839" s="20"/>
      <c r="Z1839" s="20"/>
      <c r="AA1839" s="20"/>
      <c r="AB1839" s="20"/>
      <c r="AC1839" s="20"/>
      <c r="AD1839" s="20"/>
      <c r="AE1839" s="20"/>
      <c r="AF1839" s="20"/>
      <c r="AG1839" s="20"/>
      <c r="AH1839" s="20"/>
      <c r="AI1839" s="20"/>
      <c r="AJ1839" s="20"/>
      <c r="AK1839" s="20"/>
      <c r="AL1839" s="20"/>
      <c r="AM1839" s="20"/>
    </row>
    <row r="1840" spans="1:39" ht="13">
      <c r="A1840" s="20"/>
      <c r="B1840" s="20"/>
      <c r="C1840" s="20"/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  <c r="N1840" s="20"/>
      <c r="O1840" s="20"/>
      <c r="P1840" s="28"/>
      <c r="Q1840" s="28"/>
      <c r="R1840" s="20"/>
      <c r="S1840" s="20"/>
      <c r="T1840" s="20"/>
      <c r="U1840" s="20"/>
      <c r="V1840" s="20"/>
      <c r="W1840" s="20"/>
      <c r="X1840" s="20"/>
      <c r="Y1840" s="20"/>
      <c r="Z1840" s="20"/>
      <c r="AA1840" s="20"/>
      <c r="AB1840" s="20"/>
      <c r="AC1840" s="20"/>
      <c r="AD1840" s="20"/>
      <c r="AE1840" s="20"/>
      <c r="AF1840" s="20"/>
      <c r="AG1840" s="20"/>
      <c r="AH1840" s="20"/>
      <c r="AI1840" s="20"/>
      <c r="AJ1840" s="20"/>
      <c r="AK1840" s="20"/>
      <c r="AL1840" s="20"/>
      <c r="AM1840" s="20"/>
    </row>
    <row r="1841" spans="1:39" ht="13">
      <c r="A1841" s="20"/>
      <c r="B1841" s="20"/>
      <c r="C1841" s="20"/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  <c r="N1841" s="20"/>
      <c r="O1841" s="20"/>
      <c r="P1841" s="28"/>
      <c r="Q1841" s="28"/>
      <c r="R1841" s="20"/>
      <c r="S1841" s="20"/>
      <c r="T1841" s="20"/>
      <c r="U1841" s="20"/>
      <c r="V1841" s="20"/>
      <c r="W1841" s="20"/>
      <c r="X1841" s="20"/>
      <c r="Y1841" s="20"/>
      <c r="Z1841" s="20"/>
      <c r="AA1841" s="20"/>
      <c r="AB1841" s="20"/>
      <c r="AC1841" s="20"/>
      <c r="AD1841" s="20"/>
      <c r="AE1841" s="20"/>
      <c r="AF1841" s="20"/>
      <c r="AG1841" s="20"/>
      <c r="AH1841" s="20"/>
      <c r="AI1841" s="20"/>
      <c r="AJ1841" s="20"/>
      <c r="AK1841" s="20"/>
      <c r="AL1841" s="20"/>
      <c r="AM1841" s="20"/>
    </row>
    <row r="1842" spans="1:39" ht="13">
      <c r="A1842" s="20"/>
      <c r="B1842" s="20"/>
      <c r="C1842" s="20"/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  <c r="N1842" s="20"/>
      <c r="O1842" s="20"/>
      <c r="P1842" s="28"/>
      <c r="Q1842" s="28"/>
      <c r="R1842" s="20"/>
      <c r="S1842" s="20"/>
      <c r="T1842" s="20"/>
      <c r="U1842" s="20"/>
      <c r="V1842" s="20"/>
      <c r="W1842" s="20"/>
      <c r="X1842" s="20"/>
      <c r="Y1842" s="20"/>
      <c r="Z1842" s="20"/>
      <c r="AA1842" s="20"/>
      <c r="AB1842" s="20"/>
      <c r="AC1842" s="20"/>
      <c r="AD1842" s="20"/>
      <c r="AE1842" s="20"/>
      <c r="AF1842" s="20"/>
      <c r="AG1842" s="20"/>
      <c r="AH1842" s="20"/>
      <c r="AI1842" s="20"/>
      <c r="AJ1842" s="20"/>
      <c r="AK1842" s="20"/>
      <c r="AL1842" s="20"/>
      <c r="AM1842" s="20"/>
    </row>
    <row r="1843" spans="1:39" ht="13">
      <c r="A1843" s="20"/>
      <c r="B1843" s="20"/>
      <c r="C1843" s="20"/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  <c r="N1843" s="20"/>
      <c r="O1843" s="20"/>
      <c r="P1843" s="28"/>
      <c r="Q1843" s="28"/>
      <c r="R1843" s="20"/>
      <c r="S1843" s="20"/>
      <c r="T1843" s="20"/>
      <c r="U1843" s="20"/>
      <c r="V1843" s="20"/>
      <c r="W1843" s="20"/>
      <c r="X1843" s="20"/>
      <c r="Y1843" s="20"/>
      <c r="Z1843" s="20"/>
      <c r="AA1843" s="20"/>
      <c r="AB1843" s="20"/>
      <c r="AC1843" s="20"/>
      <c r="AD1843" s="20"/>
      <c r="AE1843" s="20"/>
      <c r="AF1843" s="20"/>
      <c r="AG1843" s="20"/>
      <c r="AH1843" s="20"/>
      <c r="AI1843" s="20"/>
      <c r="AJ1843" s="20"/>
      <c r="AK1843" s="20"/>
      <c r="AL1843" s="20"/>
      <c r="AM1843" s="20"/>
    </row>
    <row r="1844" spans="1:39" ht="13">
      <c r="A1844" s="20"/>
      <c r="B1844" s="20"/>
      <c r="C1844" s="20"/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  <c r="N1844" s="20"/>
      <c r="O1844" s="20"/>
      <c r="P1844" s="28"/>
      <c r="Q1844" s="28"/>
      <c r="R1844" s="20"/>
      <c r="S1844" s="20"/>
      <c r="T1844" s="20"/>
      <c r="U1844" s="20"/>
      <c r="V1844" s="20"/>
      <c r="W1844" s="20"/>
      <c r="X1844" s="20"/>
      <c r="Y1844" s="20"/>
      <c r="Z1844" s="20"/>
      <c r="AA1844" s="20"/>
      <c r="AB1844" s="20"/>
      <c r="AC1844" s="20"/>
      <c r="AD1844" s="20"/>
      <c r="AE1844" s="20"/>
      <c r="AF1844" s="20"/>
      <c r="AG1844" s="20"/>
      <c r="AH1844" s="20"/>
      <c r="AI1844" s="20"/>
      <c r="AJ1844" s="20"/>
      <c r="AK1844" s="20"/>
      <c r="AL1844" s="20"/>
      <c r="AM1844" s="20"/>
    </row>
    <row r="1845" spans="1:39" ht="13">
      <c r="A1845" s="20"/>
      <c r="B1845" s="20"/>
      <c r="C1845" s="20"/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  <c r="N1845" s="20"/>
      <c r="O1845" s="20"/>
      <c r="P1845" s="28"/>
      <c r="Q1845" s="28"/>
      <c r="R1845" s="20"/>
      <c r="S1845" s="20"/>
      <c r="T1845" s="20"/>
      <c r="U1845" s="20"/>
      <c r="V1845" s="20"/>
      <c r="W1845" s="20"/>
      <c r="X1845" s="20"/>
      <c r="Y1845" s="20"/>
      <c r="Z1845" s="20"/>
      <c r="AA1845" s="20"/>
      <c r="AB1845" s="20"/>
      <c r="AC1845" s="20"/>
      <c r="AD1845" s="20"/>
      <c r="AE1845" s="20"/>
      <c r="AF1845" s="20"/>
      <c r="AG1845" s="20"/>
      <c r="AH1845" s="20"/>
      <c r="AI1845" s="20"/>
      <c r="AJ1845" s="20"/>
      <c r="AK1845" s="20"/>
      <c r="AL1845" s="20"/>
      <c r="AM1845" s="20"/>
    </row>
    <row r="1846" spans="1:39" ht="13">
      <c r="A1846" s="20"/>
      <c r="B1846" s="20"/>
      <c r="C1846" s="20"/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  <c r="N1846" s="20"/>
      <c r="O1846" s="20"/>
      <c r="P1846" s="28"/>
      <c r="Q1846" s="28"/>
      <c r="R1846" s="20"/>
      <c r="S1846" s="20"/>
      <c r="T1846" s="20"/>
      <c r="U1846" s="20"/>
      <c r="V1846" s="20"/>
      <c r="W1846" s="20"/>
      <c r="X1846" s="20"/>
      <c r="Y1846" s="20"/>
      <c r="Z1846" s="20"/>
      <c r="AA1846" s="20"/>
      <c r="AB1846" s="20"/>
      <c r="AC1846" s="20"/>
      <c r="AD1846" s="20"/>
      <c r="AE1846" s="20"/>
      <c r="AF1846" s="20"/>
      <c r="AG1846" s="20"/>
      <c r="AH1846" s="20"/>
      <c r="AI1846" s="20"/>
      <c r="AJ1846" s="20"/>
      <c r="AK1846" s="20"/>
      <c r="AL1846" s="20"/>
      <c r="AM1846" s="20"/>
    </row>
    <row r="1847" spans="1:39" ht="13">
      <c r="A1847" s="20"/>
      <c r="B1847" s="20"/>
      <c r="C1847" s="20"/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  <c r="N1847" s="20"/>
      <c r="O1847" s="20"/>
      <c r="P1847" s="28"/>
      <c r="Q1847" s="28"/>
      <c r="R1847" s="20"/>
      <c r="S1847" s="20"/>
      <c r="T1847" s="20"/>
      <c r="U1847" s="20"/>
      <c r="V1847" s="20"/>
      <c r="W1847" s="20"/>
      <c r="X1847" s="20"/>
      <c r="Y1847" s="20"/>
      <c r="Z1847" s="20"/>
      <c r="AA1847" s="20"/>
      <c r="AB1847" s="20"/>
      <c r="AC1847" s="20"/>
      <c r="AD1847" s="20"/>
      <c r="AE1847" s="20"/>
      <c r="AF1847" s="20"/>
      <c r="AG1847" s="20"/>
      <c r="AH1847" s="20"/>
      <c r="AI1847" s="20"/>
      <c r="AJ1847" s="20"/>
      <c r="AK1847" s="20"/>
      <c r="AL1847" s="20"/>
      <c r="AM1847" s="20"/>
    </row>
    <row r="1848" spans="1:39" ht="13">
      <c r="A1848" s="20"/>
      <c r="B1848" s="20"/>
      <c r="C1848" s="20"/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  <c r="N1848" s="20"/>
      <c r="O1848" s="20"/>
      <c r="P1848" s="28"/>
      <c r="Q1848" s="28"/>
      <c r="R1848" s="20"/>
      <c r="S1848" s="20"/>
      <c r="T1848" s="20"/>
      <c r="U1848" s="20"/>
      <c r="V1848" s="20"/>
      <c r="W1848" s="20"/>
      <c r="X1848" s="20"/>
      <c r="Y1848" s="20"/>
      <c r="Z1848" s="20"/>
      <c r="AA1848" s="20"/>
      <c r="AB1848" s="20"/>
      <c r="AC1848" s="20"/>
      <c r="AD1848" s="20"/>
      <c r="AE1848" s="20"/>
      <c r="AF1848" s="20"/>
      <c r="AG1848" s="20"/>
      <c r="AH1848" s="20"/>
      <c r="AI1848" s="20"/>
      <c r="AJ1848" s="20"/>
      <c r="AK1848" s="20"/>
      <c r="AL1848" s="20"/>
      <c r="AM1848" s="20"/>
    </row>
    <row r="1849" spans="1:39" ht="13">
      <c r="A1849" s="20"/>
      <c r="B1849" s="20"/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  <c r="N1849" s="20"/>
      <c r="O1849" s="20"/>
      <c r="P1849" s="28"/>
      <c r="Q1849" s="28"/>
      <c r="R1849" s="20"/>
      <c r="S1849" s="20"/>
      <c r="T1849" s="20"/>
      <c r="U1849" s="20"/>
      <c r="V1849" s="20"/>
      <c r="W1849" s="20"/>
      <c r="X1849" s="20"/>
      <c r="Y1849" s="20"/>
      <c r="Z1849" s="20"/>
      <c r="AA1849" s="20"/>
      <c r="AB1849" s="20"/>
      <c r="AC1849" s="20"/>
      <c r="AD1849" s="20"/>
      <c r="AE1849" s="20"/>
      <c r="AF1849" s="20"/>
      <c r="AG1849" s="20"/>
      <c r="AH1849" s="20"/>
      <c r="AI1849" s="20"/>
      <c r="AJ1849" s="20"/>
      <c r="AK1849" s="20"/>
      <c r="AL1849" s="20"/>
      <c r="AM1849" s="20"/>
    </row>
    <row r="1850" spans="1:39" ht="13">
      <c r="A1850" s="20"/>
      <c r="B1850" s="20"/>
      <c r="C1850" s="20"/>
      <c r="D1850" s="20"/>
      <c r="E1850" s="20"/>
      <c r="F1850" s="20"/>
      <c r="G1850" s="20"/>
      <c r="H1850" s="20"/>
      <c r="I1850" s="20"/>
      <c r="J1850" s="20"/>
      <c r="K1850" s="20"/>
      <c r="L1850" s="20"/>
      <c r="M1850" s="20"/>
      <c r="N1850" s="20"/>
      <c r="O1850" s="20"/>
      <c r="P1850" s="28"/>
      <c r="Q1850" s="28"/>
      <c r="R1850" s="20"/>
      <c r="S1850" s="20"/>
      <c r="T1850" s="20"/>
      <c r="U1850" s="20"/>
      <c r="V1850" s="20"/>
      <c r="W1850" s="20"/>
      <c r="X1850" s="20"/>
      <c r="Y1850" s="20"/>
      <c r="Z1850" s="20"/>
      <c r="AA1850" s="20"/>
      <c r="AB1850" s="20"/>
      <c r="AC1850" s="20"/>
      <c r="AD1850" s="20"/>
      <c r="AE1850" s="20"/>
      <c r="AF1850" s="20"/>
      <c r="AG1850" s="20"/>
      <c r="AH1850" s="20"/>
      <c r="AI1850" s="20"/>
      <c r="AJ1850" s="20"/>
      <c r="AK1850" s="20"/>
      <c r="AL1850" s="20"/>
      <c r="AM1850" s="20"/>
    </row>
    <row r="1851" spans="1:39" ht="13">
      <c r="A1851" s="20"/>
      <c r="B1851" s="20"/>
      <c r="C1851" s="20"/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  <c r="N1851" s="20"/>
      <c r="O1851" s="20"/>
      <c r="P1851" s="28"/>
      <c r="Q1851" s="28"/>
      <c r="R1851" s="20"/>
      <c r="S1851" s="20"/>
      <c r="T1851" s="20"/>
      <c r="U1851" s="20"/>
      <c r="V1851" s="20"/>
      <c r="W1851" s="20"/>
      <c r="X1851" s="20"/>
      <c r="Y1851" s="20"/>
      <c r="Z1851" s="20"/>
      <c r="AA1851" s="20"/>
      <c r="AB1851" s="20"/>
      <c r="AC1851" s="20"/>
      <c r="AD1851" s="20"/>
      <c r="AE1851" s="20"/>
      <c r="AF1851" s="20"/>
      <c r="AG1851" s="20"/>
      <c r="AH1851" s="20"/>
      <c r="AI1851" s="20"/>
      <c r="AJ1851" s="20"/>
      <c r="AK1851" s="20"/>
      <c r="AL1851" s="20"/>
      <c r="AM1851" s="20"/>
    </row>
    <row r="1852" spans="1:39" ht="13">
      <c r="A1852" s="20"/>
      <c r="B1852" s="20"/>
      <c r="C1852" s="20"/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  <c r="N1852" s="20"/>
      <c r="O1852" s="20"/>
      <c r="P1852" s="28"/>
      <c r="Q1852" s="28"/>
      <c r="R1852" s="20"/>
      <c r="S1852" s="20"/>
      <c r="T1852" s="20"/>
      <c r="U1852" s="20"/>
      <c r="V1852" s="20"/>
      <c r="W1852" s="20"/>
      <c r="X1852" s="20"/>
      <c r="Y1852" s="20"/>
      <c r="Z1852" s="20"/>
      <c r="AA1852" s="20"/>
      <c r="AB1852" s="20"/>
      <c r="AC1852" s="20"/>
      <c r="AD1852" s="20"/>
      <c r="AE1852" s="20"/>
      <c r="AF1852" s="20"/>
      <c r="AG1852" s="20"/>
      <c r="AH1852" s="20"/>
      <c r="AI1852" s="20"/>
      <c r="AJ1852" s="20"/>
      <c r="AK1852" s="20"/>
      <c r="AL1852" s="20"/>
      <c r="AM1852" s="20"/>
    </row>
    <row r="1853" spans="1:39" ht="13">
      <c r="A1853" s="20"/>
      <c r="B1853" s="20"/>
      <c r="C1853" s="20"/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  <c r="N1853" s="20"/>
      <c r="O1853" s="20"/>
      <c r="P1853" s="28"/>
      <c r="Q1853" s="28"/>
      <c r="R1853" s="20"/>
      <c r="S1853" s="20"/>
      <c r="T1853" s="20"/>
      <c r="U1853" s="20"/>
      <c r="V1853" s="20"/>
      <c r="W1853" s="20"/>
      <c r="X1853" s="20"/>
      <c r="Y1853" s="20"/>
      <c r="Z1853" s="20"/>
      <c r="AA1853" s="20"/>
      <c r="AB1853" s="20"/>
      <c r="AC1853" s="20"/>
      <c r="AD1853" s="20"/>
      <c r="AE1853" s="20"/>
      <c r="AF1853" s="20"/>
      <c r="AG1853" s="20"/>
      <c r="AH1853" s="20"/>
      <c r="AI1853" s="20"/>
      <c r="AJ1853" s="20"/>
      <c r="AK1853" s="20"/>
      <c r="AL1853" s="20"/>
      <c r="AM1853" s="20"/>
    </row>
    <row r="1854" spans="1:39" ht="13">
      <c r="A1854" s="20"/>
      <c r="B1854" s="20"/>
      <c r="C1854" s="20"/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  <c r="N1854" s="20"/>
      <c r="O1854" s="20"/>
      <c r="P1854" s="28"/>
      <c r="Q1854" s="28"/>
      <c r="R1854" s="20"/>
      <c r="S1854" s="20"/>
      <c r="T1854" s="20"/>
      <c r="U1854" s="20"/>
      <c r="V1854" s="20"/>
      <c r="W1854" s="20"/>
      <c r="X1854" s="20"/>
      <c r="Y1854" s="20"/>
      <c r="Z1854" s="20"/>
      <c r="AA1854" s="20"/>
      <c r="AB1854" s="20"/>
      <c r="AC1854" s="20"/>
      <c r="AD1854" s="20"/>
      <c r="AE1854" s="20"/>
      <c r="AF1854" s="20"/>
      <c r="AG1854" s="20"/>
      <c r="AH1854" s="20"/>
      <c r="AI1854" s="20"/>
      <c r="AJ1854" s="20"/>
      <c r="AK1854" s="20"/>
      <c r="AL1854" s="20"/>
      <c r="AM1854" s="20"/>
    </row>
    <row r="1855" spans="1:39" ht="13">
      <c r="A1855" s="20"/>
      <c r="B1855" s="20"/>
      <c r="C1855" s="20"/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  <c r="N1855" s="20"/>
      <c r="O1855" s="20"/>
      <c r="P1855" s="28"/>
      <c r="Q1855" s="28"/>
      <c r="R1855" s="20"/>
      <c r="S1855" s="20"/>
      <c r="T1855" s="20"/>
      <c r="U1855" s="20"/>
      <c r="V1855" s="20"/>
      <c r="W1855" s="20"/>
      <c r="X1855" s="20"/>
      <c r="Y1855" s="20"/>
      <c r="Z1855" s="20"/>
      <c r="AA1855" s="20"/>
      <c r="AB1855" s="20"/>
      <c r="AC1855" s="20"/>
      <c r="AD1855" s="20"/>
      <c r="AE1855" s="20"/>
      <c r="AF1855" s="20"/>
      <c r="AG1855" s="20"/>
      <c r="AH1855" s="20"/>
      <c r="AI1855" s="20"/>
      <c r="AJ1855" s="20"/>
      <c r="AK1855" s="20"/>
      <c r="AL1855" s="20"/>
      <c r="AM1855" s="20"/>
    </row>
    <row r="1856" spans="1:39" ht="13">
      <c r="A1856" s="20"/>
      <c r="B1856" s="20"/>
      <c r="C1856" s="20"/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  <c r="N1856" s="20"/>
      <c r="O1856" s="20"/>
      <c r="P1856" s="28"/>
      <c r="Q1856" s="28"/>
      <c r="R1856" s="20"/>
      <c r="S1856" s="20"/>
      <c r="T1856" s="20"/>
      <c r="U1856" s="20"/>
      <c r="V1856" s="20"/>
      <c r="W1856" s="20"/>
      <c r="X1856" s="20"/>
      <c r="Y1856" s="20"/>
      <c r="Z1856" s="20"/>
      <c r="AA1856" s="20"/>
      <c r="AB1856" s="20"/>
      <c r="AC1856" s="20"/>
      <c r="AD1856" s="20"/>
      <c r="AE1856" s="20"/>
      <c r="AF1856" s="20"/>
      <c r="AG1856" s="20"/>
      <c r="AH1856" s="20"/>
      <c r="AI1856" s="20"/>
      <c r="AJ1856" s="20"/>
      <c r="AK1856" s="20"/>
      <c r="AL1856" s="20"/>
      <c r="AM1856" s="20"/>
    </row>
    <row r="1857" spans="1:39" ht="13">
      <c r="A1857" s="20"/>
      <c r="B1857" s="20"/>
      <c r="C1857" s="20"/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  <c r="N1857" s="20"/>
      <c r="O1857" s="20"/>
      <c r="P1857" s="28"/>
      <c r="Q1857" s="28"/>
      <c r="R1857" s="20"/>
      <c r="S1857" s="20"/>
      <c r="T1857" s="20"/>
      <c r="U1857" s="20"/>
      <c r="V1857" s="20"/>
      <c r="W1857" s="20"/>
      <c r="X1857" s="20"/>
      <c r="Y1857" s="20"/>
      <c r="Z1857" s="20"/>
      <c r="AA1857" s="20"/>
      <c r="AB1857" s="20"/>
      <c r="AC1857" s="20"/>
      <c r="AD1857" s="20"/>
      <c r="AE1857" s="20"/>
      <c r="AF1857" s="20"/>
      <c r="AG1857" s="20"/>
      <c r="AH1857" s="20"/>
      <c r="AI1857" s="20"/>
      <c r="AJ1857" s="20"/>
      <c r="AK1857" s="20"/>
      <c r="AL1857" s="20"/>
      <c r="AM1857" s="20"/>
    </row>
    <row r="1858" spans="1:39" ht="13">
      <c r="A1858" s="20"/>
      <c r="B1858" s="20"/>
      <c r="C1858" s="20"/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  <c r="N1858" s="20"/>
      <c r="O1858" s="20"/>
      <c r="P1858" s="28"/>
      <c r="Q1858" s="28"/>
      <c r="R1858" s="20"/>
      <c r="S1858" s="20"/>
      <c r="T1858" s="20"/>
      <c r="U1858" s="20"/>
      <c r="V1858" s="20"/>
      <c r="W1858" s="20"/>
      <c r="X1858" s="20"/>
      <c r="Y1858" s="20"/>
      <c r="Z1858" s="20"/>
      <c r="AA1858" s="20"/>
      <c r="AB1858" s="20"/>
      <c r="AC1858" s="20"/>
      <c r="AD1858" s="20"/>
      <c r="AE1858" s="20"/>
      <c r="AF1858" s="20"/>
      <c r="AG1858" s="20"/>
      <c r="AH1858" s="20"/>
      <c r="AI1858" s="20"/>
      <c r="AJ1858" s="20"/>
      <c r="AK1858" s="20"/>
      <c r="AL1858" s="20"/>
      <c r="AM1858" s="20"/>
    </row>
    <row r="1859" spans="1:39" ht="13">
      <c r="A1859" s="20"/>
      <c r="B1859" s="20"/>
      <c r="C1859" s="20"/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  <c r="N1859" s="20"/>
      <c r="O1859" s="20"/>
      <c r="P1859" s="28"/>
      <c r="Q1859" s="28"/>
      <c r="R1859" s="20"/>
      <c r="S1859" s="20"/>
      <c r="T1859" s="20"/>
      <c r="U1859" s="20"/>
      <c r="V1859" s="20"/>
      <c r="W1859" s="20"/>
      <c r="X1859" s="20"/>
      <c r="Y1859" s="20"/>
      <c r="Z1859" s="20"/>
      <c r="AA1859" s="20"/>
      <c r="AB1859" s="20"/>
      <c r="AC1859" s="20"/>
      <c r="AD1859" s="20"/>
      <c r="AE1859" s="20"/>
      <c r="AF1859" s="20"/>
      <c r="AG1859" s="20"/>
      <c r="AH1859" s="20"/>
      <c r="AI1859" s="20"/>
      <c r="AJ1859" s="20"/>
      <c r="AK1859" s="20"/>
      <c r="AL1859" s="20"/>
      <c r="AM1859" s="20"/>
    </row>
    <row r="1860" spans="1:39" ht="13">
      <c r="A1860" s="20"/>
      <c r="B1860" s="20"/>
      <c r="C1860" s="20"/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  <c r="N1860" s="20"/>
      <c r="O1860" s="20"/>
      <c r="P1860" s="28"/>
      <c r="Q1860" s="28"/>
      <c r="R1860" s="20"/>
      <c r="S1860" s="20"/>
      <c r="T1860" s="20"/>
      <c r="U1860" s="20"/>
      <c r="V1860" s="20"/>
      <c r="W1860" s="20"/>
      <c r="X1860" s="20"/>
      <c r="Y1860" s="20"/>
      <c r="Z1860" s="20"/>
      <c r="AA1860" s="20"/>
      <c r="AB1860" s="20"/>
      <c r="AC1860" s="20"/>
      <c r="AD1860" s="20"/>
      <c r="AE1860" s="20"/>
      <c r="AF1860" s="20"/>
      <c r="AG1860" s="20"/>
      <c r="AH1860" s="20"/>
      <c r="AI1860" s="20"/>
      <c r="AJ1860" s="20"/>
      <c r="AK1860" s="20"/>
      <c r="AL1860" s="20"/>
      <c r="AM1860" s="20"/>
    </row>
    <row r="1861" spans="1:39" ht="13">
      <c r="A1861" s="20"/>
      <c r="B1861" s="20"/>
      <c r="C1861" s="20"/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  <c r="N1861" s="20"/>
      <c r="O1861" s="20"/>
      <c r="P1861" s="28"/>
      <c r="Q1861" s="28"/>
      <c r="R1861" s="20"/>
      <c r="S1861" s="20"/>
      <c r="T1861" s="20"/>
      <c r="U1861" s="20"/>
      <c r="V1861" s="20"/>
      <c r="W1861" s="20"/>
      <c r="X1861" s="20"/>
      <c r="Y1861" s="20"/>
      <c r="Z1861" s="20"/>
      <c r="AA1861" s="20"/>
      <c r="AB1861" s="20"/>
      <c r="AC1861" s="20"/>
      <c r="AD1861" s="20"/>
      <c r="AE1861" s="20"/>
      <c r="AF1861" s="20"/>
      <c r="AG1861" s="20"/>
      <c r="AH1861" s="20"/>
      <c r="AI1861" s="20"/>
      <c r="AJ1861" s="20"/>
      <c r="AK1861" s="20"/>
      <c r="AL1861" s="20"/>
      <c r="AM1861" s="20"/>
    </row>
    <row r="1862" spans="1:39" ht="13">
      <c r="A1862" s="20"/>
      <c r="B1862" s="20"/>
      <c r="C1862" s="20"/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  <c r="N1862" s="20"/>
      <c r="O1862" s="20"/>
      <c r="P1862" s="28"/>
      <c r="Q1862" s="28"/>
      <c r="R1862" s="20"/>
      <c r="S1862" s="20"/>
      <c r="T1862" s="20"/>
      <c r="U1862" s="20"/>
      <c r="V1862" s="20"/>
      <c r="W1862" s="20"/>
      <c r="X1862" s="20"/>
      <c r="Y1862" s="20"/>
      <c r="Z1862" s="20"/>
      <c r="AA1862" s="20"/>
      <c r="AB1862" s="20"/>
      <c r="AC1862" s="20"/>
      <c r="AD1862" s="20"/>
      <c r="AE1862" s="20"/>
      <c r="AF1862" s="20"/>
      <c r="AG1862" s="20"/>
      <c r="AH1862" s="20"/>
      <c r="AI1862" s="20"/>
      <c r="AJ1862" s="20"/>
      <c r="AK1862" s="20"/>
      <c r="AL1862" s="20"/>
      <c r="AM1862" s="20"/>
    </row>
    <row r="1863" spans="1:39" ht="13">
      <c r="A1863" s="20"/>
      <c r="B1863" s="20"/>
      <c r="C1863" s="20"/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  <c r="N1863" s="20"/>
      <c r="O1863" s="20"/>
      <c r="P1863" s="28"/>
      <c r="Q1863" s="28"/>
      <c r="R1863" s="20"/>
      <c r="S1863" s="20"/>
      <c r="T1863" s="20"/>
      <c r="U1863" s="20"/>
      <c r="V1863" s="20"/>
      <c r="W1863" s="20"/>
      <c r="X1863" s="20"/>
      <c r="Y1863" s="20"/>
      <c r="Z1863" s="20"/>
      <c r="AA1863" s="20"/>
      <c r="AB1863" s="20"/>
      <c r="AC1863" s="20"/>
      <c r="AD1863" s="20"/>
      <c r="AE1863" s="20"/>
      <c r="AF1863" s="20"/>
      <c r="AG1863" s="20"/>
      <c r="AH1863" s="20"/>
      <c r="AI1863" s="20"/>
      <c r="AJ1863" s="20"/>
      <c r="AK1863" s="20"/>
      <c r="AL1863" s="20"/>
      <c r="AM1863" s="20"/>
    </row>
    <row r="1864" spans="1:39" ht="13">
      <c r="A1864" s="20"/>
      <c r="B1864" s="20"/>
      <c r="C1864" s="20"/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  <c r="N1864" s="20"/>
      <c r="O1864" s="20"/>
      <c r="P1864" s="28"/>
      <c r="Q1864" s="28"/>
      <c r="R1864" s="20"/>
      <c r="S1864" s="20"/>
      <c r="T1864" s="20"/>
      <c r="U1864" s="20"/>
      <c r="V1864" s="20"/>
      <c r="W1864" s="20"/>
      <c r="X1864" s="20"/>
      <c r="Y1864" s="20"/>
      <c r="Z1864" s="20"/>
      <c r="AA1864" s="20"/>
      <c r="AB1864" s="20"/>
      <c r="AC1864" s="20"/>
      <c r="AD1864" s="20"/>
      <c r="AE1864" s="20"/>
      <c r="AF1864" s="20"/>
      <c r="AG1864" s="20"/>
      <c r="AH1864" s="20"/>
      <c r="AI1864" s="20"/>
      <c r="AJ1864" s="20"/>
      <c r="AK1864" s="20"/>
      <c r="AL1864" s="20"/>
      <c r="AM1864" s="20"/>
    </row>
    <row r="1865" spans="1:39" ht="13">
      <c r="A1865" s="20"/>
      <c r="B1865" s="20"/>
      <c r="C1865" s="20"/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  <c r="N1865" s="20"/>
      <c r="O1865" s="20"/>
      <c r="P1865" s="28"/>
      <c r="Q1865" s="28"/>
      <c r="R1865" s="20"/>
      <c r="S1865" s="20"/>
      <c r="T1865" s="20"/>
      <c r="U1865" s="20"/>
      <c r="V1865" s="20"/>
      <c r="W1865" s="20"/>
      <c r="X1865" s="20"/>
      <c r="Y1865" s="20"/>
      <c r="Z1865" s="20"/>
      <c r="AA1865" s="20"/>
      <c r="AB1865" s="20"/>
      <c r="AC1865" s="20"/>
      <c r="AD1865" s="20"/>
      <c r="AE1865" s="20"/>
      <c r="AF1865" s="20"/>
      <c r="AG1865" s="20"/>
      <c r="AH1865" s="20"/>
      <c r="AI1865" s="20"/>
      <c r="AJ1865" s="20"/>
      <c r="AK1865" s="20"/>
      <c r="AL1865" s="20"/>
      <c r="AM1865" s="20"/>
    </row>
    <row r="1866" spans="1:39" ht="13">
      <c r="A1866" s="20"/>
      <c r="B1866" s="20"/>
      <c r="C1866" s="20"/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  <c r="N1866" s="20"/>
      <c r="O1866" s="20"/>
      <c r="P1866" s="28"/>
      <c r="Q1866" s="28"/>
      <c r="R1866" s="20"/>
      <c r="S1866" s="20"/>
      <c r="T1866" s="20"/>
      <c r="U1866" s="20"/>
      <c r="V1866" s="20"/>
      <c r="W1866" s="20"/>
      <c r="X1866" s="20"/>
      <c r="Y1866" s="20"/>
      <c r="Z1866" s="20"/>
      <c r="AA1866" s="20"/>
      <c r="AB1866" s="20"/>
      <c r="AC1866" s="20"/>
      <c r="AD1866" s="20"/>
      <c r="AE1866" s="20"/>
      <c r="AF1866" s="20"/>
      <c r="AG1866" s="20"/>
      <c r="AH1866" s="20"/>
      <c r="AI1866" s="20"/>
      <c r="AJ1866" s="20"/>
      <c r="AK1866" s="20"/>
      <c r="AL1866" s="20"/>
      <c r="AM1866" s="20"/>
    </row>
    <row r="1867" spans="1:39" ht="13">
      <c r="A1867" s="20"/>
      <c r="B1867" s="20"/>
      <c r="C1867" s="20"/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  <c r="N1867" s="20"/>
      <c r="O1867" s="20"/>
      <c r="P1867" s="28"/>
      <c r="Q1867" s="28"/>
      <c r="R1867" s="20"/>
      <c r="S1867" s="20"/>
      <c r="T1867" s="20"/>
      <c r="U1867" s="20"/>
      <c r="V1867" s="20"/>
      <c r="W1867" s="20"/>
      <c r="X1867" s="20"/>
      <c r="Y1867" s="20"/>
      <c r="Z1867" s="20"/>
      <c r="AA1867" s="20"/>
      <c r="AB1867" s="20"/>
      <c r="AC1867" s="20"/>
      <c r="AD1867" s="20"/>
      <c r="AE1867" s="20"/>
      <c r="AF1867" s="20"/>
      <c r="AG1867" s="20"/>
      <c r="AH1867" s="20"/>
      <c r="AI1867" s="20"/>
      <c r="AJ1867" s="20"/>
      <c r="AK1867" s="20"/>
      <c r="AL1867" s="20"/>
      <c r="AM1867" s="20"/>
    </row>
    <row r="1868" spans="1:39" ht="13">
      <c r="A1868" s="20"/>
      <c r="B1868" s="20"/>
      <c r="C1868" s="20"/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  <c r="N1868" s="20"/>
      <c r="O1868" s="20"/>
      <c r="P1868" s="28"/>
      <c r="Q1868" s="28"/>
      <c r="R1868" s="20"/>
      <c r="S1868" s="20"/>
      <c r="T1868" s="20"/>
      <c r="U1868" s="20"/>
      <c r="V1868" s="20"/>
      <c r="W1868" s="20"/>
      <c r="X1868" s="20"/>
      <c r="Y1868" s="20"/>
      <c r="Z1868" s="20"/>
      <c r="AA1868" s="20"/>
      <c r="AB1868" s="20"/>
      <c r="AC1868" s="20"/>
      <c r="AD1868" s="20"/>
      <c r="AE1868" s="20"/>
      <c r="AF1868" s="20"/>
      <c r="AG1868" s="20"/>
      <c r="AH1868" s="20"/>
      <c r="AI1868" s="20"/>
      <c r="AJ1868" s="20"/>
      <c r="AK1868" s="20"/>
      <c r="AL1868" s="20"/>
      <c r="AM1868" s="20"/>
    </row>
    <row r="1869" spans="1:39" ht="13">
      <c r="A1869" s="20"/>
      <c r="B1869" s="20"/>
      <c r="C1869" s="20"/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  <c r="N1869" s="20"/>
      <c r="O1869" s="20"/>
      <c r="P1869" s="28"/>
      <c r="Q1869" s="28"/>
      <c r="R1869" s="20"/>
      <c r="S1869" s="20"/>
      <c r="T1869" s="20"/>
      <c r="U1869" s="20"/>
      <c r="V1869" s="20"/>
      <c r="W1869" s="20"/>
      <c r="X1869" s="20"/>
      <c r="Y1869" s="20"/>
      <c r="Z1869" s="20"/>
      <c r="AA1869" s="20"/>
      <c r="AB1869" s="20"/>
      <c r="AC1869" s="20"/>
      <c r="AD1869" s="20"/>
      <c r="AE1869" s="20"/>
      <c r="AF1869" s="20"/>
      <c r="AG1869" s="20"/>
      <c r="AH1869" s="20"/>
      <c r="AI1869" s="20"/>
      <c r="AJ1869" s="20"/>
      <c r="AK1869" s="20"/>
      <c r="AL1869" s="20"/>
      <c r="AM1869" s="20"/>
    </row>
    <row r="1870" spans="1:39" ht="13">
      <c r="A1870" s="20"/>
      <c r="B1870" s="20"/>
      <c r="C1870" s="20"/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  <c r="N1870" s="20"/>
      <c r="O1870" s="20"/>
      <c r="P1870" s="28"/>
      <c r="Q1870" s="28"/>
      <c r="R1870" s="20"/>
      <c r="S1870" s="20"/>
      <c r="T1870" s="20"/>
      <c r="U1870" s="20"/>
      <c r="V1870" s="20"/>
      <c r="W1870" s="20"/>
      <c r="X1870" s="20"/>
      <c r="Y1870" s="20"/>
      <c r="Z1870" s="20"/>
      <c r="AA1870" s="20"/>
      <c r="AB1870" s="20"/>
      <c r="AC1870" s="20"/>
      <c r="AD1870" s="20"/>
      <c r="AE1870" s="20"/>
      <c r="AF1870" s="20"/>
      <c r="AG1870" s="20"/>
      <c r="AH1870" s="20"/>
      <c r="AI1870" s="20"/>
      <c r="AJ1870" s="20"/>
      <c r="AK1870" s="20"/>
      <c r="AL1870" s="20"/>
      <c r="AM1870" s="20"/>
    </row>
    <row r="1871" spans="1:39" ht="13">
      <c r="A1871" s="20"/>
      <c r="B1871" s="20"/>
      <c r="C1871" s="20"/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  <c r="N1871" s="20"/>
      <c r="O1871" s="20"/>
      <c r="P1871" s="28"/>
      <c r="Q1871" s="28"/>
      <c r="R1871" s="20"/>
      <c r="S1871" s="20"/>
      <c r="T1871" s="20"/>
      <c r="U1871" s="20"/>
      <c r="V1871" s="20"/>
      <c r="W1871" s="20"/>
      <c r="X1871" s="20"/>
      <c r="Y1871" s="20"/>
      <c r="Z1871" s="20"/>
      <c r="AA1871" s="20"/>
      <c r="AB1871" s="20"/>
      <c r="AC1871" s="20"/>
      <c r="AD1871" s="20"/>
      <c r="AE1871" s="20"/>
      <c r="AF1871" s="20"/>
      <c r="AG1871" s="20"/>
      <c r="AH1871" s="20"/>
      <c r="AI1871" s="20"/>
      <c r="AJ1871" s="20"/>
      <c r="AK1871" s="20"/>
      <c r="AL1871" s="20"/>
      <c r="AM1871" s="20"/>
    </row>
    <row r="1872" spans="1:39" ht="13">
      <c r="A1872" s="20"/>
      <c r="B1872" s="20"/>
      <c r="C1872" s="20"/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  <c r="N1872" s="20"/>
      <c r="O1872" s="20"/>
      <c r="P1872" s="28"/>
      <c r="Q1872" s="28"/>
      <c r="R1872" s="20"/>
      <c r="S1872" s="20"/>
      <c r="T1872" s="20"/>
      <c r="U1872" s="20"/>
      <c r="V1872" s="20"/>
      <c r="W1872" s="20"/>
      <c r="X1872" s="20"/>
      <c r="Y1872" s="20"/>
      <c r="Z1872" s="20"/>
      <c r="AA1872" s="20"/>
      <c r="AB1872" s="20"/>
      <c r="AC1872" s="20"/>
      <c r="AD1872" s="20"/>
      <c r="AE1872" s="20"/>
      <c r="AF1872" s="20"/>
      <c r="AG1872" s="20"/>
      <c r="AH1872" s="20"/>
      <c r="AI1872" s="20"/>
      <c r="AJ1872" s="20"/>
      <c r="AK1872" s="20"/>
      <c r="AL1872" s="20"/>
      <c r="AM1872" s="20"/>
    </row>
    <row r="1873" spans="1:39" ht="13">
      <c r="A1873" s="20"/>
      <c r="B1873" s="20"/>
      <c r="C1873" s="20"/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  <c r="N1873" s="20"/>
      <c r="O1873" s="20"/>
      <c r="P1873" s="28"/>
      <c r="Q1873" s="28"/>
      <c r="R1873" s="20"/>
      <c r="S1873" s="20"/>
      <c r="T1873" s="20"/>
      <c r="U1873" s="20"/>
      <c r="V1873" s="20"/>
      <c r="W1873" s="20"/>
      <c r="X1873" s="20"/>
      <c r="Y1873" s="20"/>
      <c r="Z1873" s="20"/>
      <c r="AA1873" s="20"/>
      <c r="AB1873" s="20"/>
      <c r="AC1873" s="20"/>
      <c r="AD1873" s="20"/>
      <c r="AE1873" s="20"/>
      <c r="AF1873" s="20"/>
      <c r="AG1873" s="20"/>
      <c r="AH1873" s="20"/>
      <c r="AI1873" s="20"/>
      <c r="AJ1873" s="20"/>
      <c r="AK1873" s="20"/>
      <c r="AL1873" s="20"/>
      <c r="AM1873" s="20"/>
    </row>
    <row r="1874" spans="1:39" ht="13">
      <c r="A1874" s="20"/>
      <c r="B1874" s="20"/>
      <c r="C1874" s="20"/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  <c r="N1874" s="20"/>
      <c r="O1874" s="20"/>
      <c r="P1874" s="28"/>
      <c r="Q1874" s="28"/>
      <c r="R1874" s="20"/>
      <c r="S1874" s="20"/>
      <c r="T1874" s="20"/>
      <c r="U1874" s="20"/>
      <c r="V1874" s="20"/>
      <c r="W1874" s="20"/>
      <c r="X1874" s="20"/>
      <c r="Y1874" s="20"/>
      <c r="Z1874" s="20"/>
      <c r="AA1874" s="20"/>
      <c r="AB1874" s="20"/>
      <c r="AC1874" s="20"/>
      <c r="AD1874" s="20"/>
      <c r="AE1874" s="20"/>
      <c r="AF1874" s="20"/>
      <c r="AG1874" s="20"/>
      <c r="AH1874" s="20"/>
      <c r="AI1874" s="20"/>
      <c r="AJ1874" s="20"/>
      <c r="AK1874" s="20"/>
      <c r="AL1874" s="20"/>
      <c r="AM1874" s="20"/>
    </row>
    <row r="1875" spans="1:39" ht="13">
      <c r="A1875" s="20"/>
      <c r="B1875" s="20"/>
      <c r="C1875" s="20"/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  <c r="N1875" s="20"/>
      <c r="O1875" s="20"/>
      <c r="P1875" s="28"/>
      <c r="Q1875" s="28"/>
      <c r="R1875" s="20"/>
      <c r="S1875" s="20"/>
      <c r="T1875" s="20"/>
      <c r="U1875" s="20"/>
      <c r="V1875" s="20"/>
      <c r="W1875" s="20"/>
      <c r="X1875" s="20"/>
      <c r="Y1875" s="20"/>
      <c r="Z1875" s="20"/>
      <c r="AA1875" s="20"/>
      <c r="AB1875" s="20"/>
      <c r="AC1875" s="20"/>
      <c r="AD1875" s="20"/>
      <c r="AE1875" s="20"/>
      <c r="AF1875" s="20"/>
      <c r="AG1875" s="20"/>
      <c r="AH1875" s="20"/>
      <c r="AI1875" s="20"/>
      <c r="AJ1875" s="20"/>
      <c r="AK1875" s="20"/>
      <c r="AL1875" s="20"/>
      <c r="AM1875" s="20"/>
    </row>
    <row r="1876" spans="1:39" ht="13">
      <c r="A1876" s="20"/>
      <c r="B1876" s="20"/>
      <c r="C1876" s="20"/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  <c r="N1876" s="20"/>
      <c r="O1876" s="20"/>
      <c r="P1876" s="28"/>
      <c r="Q1876" s="28"/>
      <c r="R1876" s="20"/>
      <c r="S1876" s="20"/>
      <c r="T1876" s="20"/>
      <c r="U1876" s="20"/>
      <c r="V1876" s="20"/>
      <c r="W1876" s="20"/>
      <c r="X1876" s="20"/>
      <c r="Y1876" s="20"/>
      <c r="Z1876" s="20"/>
      <c r="AA1876" s="20"/>
      <c r="AB1876" s="20"/>
      <c r="AC1876" s="20"/>
      <c r="AD1876" s="20"/>
      <c r="AE1876" s="20"/>
      <c r="AF1876" s="20"/>
      <c r="AG1876" s="20"/>
      <c r="AH1876" s="20"/>
      <c r="AI1876" s="20"/>
      <c r="AJ1876" s="20"/>
      <c r="AK1876" s="20"/>
      <c r="AL1876" s="20"/>
      <c r="AM1876" s="20"/>
    </row>
    <row r="1877" spans="1:39" ht="13">
      <c r="A1877" s="20"/>
      <c r="B1877" s="20"/>
      <c r="C1877" s="20"/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  <c r="N1877" s="20"/>
      <c r="O1877" s="20"/>
      <c r="P1877" s="28"/>
      <c r="Q1877" s="28"/>
      <c r="R1877" s="20"/>
      <c r="S1877" s="20"/>
      <c r="T1877" s="20"/>
      <c r="U1877" s="20"/>
      <c r="V1877" s="20"/>
      <c r="W1877" s="20"/>
      <c r="X1877" s="20"/>
      <c r="Y1877" s="20"/>
      <c r="Z1877" s="20"/>
      <c r="AA1877" s="20"/>
      <c r="AB1877" s="20"/>
      <c r="AC1877" s="20"/>
      <c r="AD1877" s="20"/>
      <c r="AE1877" s="20"/>
      <c r="AF1877" s="20"/>
      <c r="AG1877" s="20"/>
      <c r="AH1877" s="20"/>
      <c r="AI1877" s="20"/>
      <c r="AJ1877" s="20"/>
      <c r="AK1877" s="20"/>
      <c r="AL1877" s="20"/>
      <c r="AM1877" s="20"/>
    </row>
    <row r="1878" spans="1:39" ht="13">
      <c r="A1878" s="20"/>
      <c r="B1878" s="20"/>
      <c r="C1878" s="20"/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  <c r="N1878" s="20"/>
      <c r="O1878" s="20"/>
      <c r="P1878" s="28"/>
      <c r="Q1878" s="28"/>
      <c r="R1878" s="20"/>
      <c r="S1878" s="20"/>
      <c r="T1878" s="20"/>
      <c r="U1878" s="20"/>
      <c r="V1878" s="20"/>
      <c r="W1878" s="20"/>
      <c r="X1878" s="20"/>
      <c r="Y1878" s="20"/>
      <c r="Z1878" s="20"/>
      <c r="AA1878" s="20"/>
      <c r="AB1878" s="20"/>
      <c r="AC1878" s="20"/>
      <c r="AD1878" s="20"/>
      <c r="AE1878" s="20"/>
      <c r="AF1878" s="20"/>
      <c r="AG1878" s="20"/>
      <c r="AH1878" s="20"/>
      <c r="AI1878" s="20"/>
      <c r="AJ1878" s="20"/>
      <c r="AK1878" s="20"/>
      <c r="AL1878" s="20"/>
      <c r="AM1878" s="20"/>
    </row>
    <row r="1879" spans="1:39" ht="13">
      <c r="A1879" s="20"/>
      <c r="B1879" s="20"/>
      <c r="C1879" s="20"/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  <c r="N1879" s="20"/>
      <c r="O1879" s="20"/>
      <c r="P1879" s="28"/>
      <c r="Q1879" s="28"/>
      <c r="R1879" s="20"/>
      <c r="S1879" s="20"/>
      <c r="T1879" s="20"/>
      <c r="U1879" s="20"/>
      <c r="V1879" s="20"/>
      <c r="W1879" s="20"/>
      <c r="X1879" s="20"/>
      <c r="Y1879" s="20"/>
      <c r="Z1879" s="20"/>
      <c r="AA1879" s="20"/>
      <c r="AB1879" s="20"/>
      <c r="AC1879" s="20"/>
      <c r="AD1879" s="20"/>
      <c r="AE1879" s="20"/>
      <c r="AF1879" s="20"/>
      <c r="AG1879" s="20"/>
      <c r="AH1879" s="20"/>
      <c r="AI1879" s="20"/>
      <c r="AJ1879" s="20"/>
      <c r="AK1879" s="20"/>
      <c r="AL1879" s="20"/>
      <c r="AM1879" s="20"/>
    </row>
    <row r="1880" spans="1:39" ht="13">
      <c r="A1880" s="20"/>
      <c r="B1880" s="20"/>
      <c r="C1880" s="20"/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  <c r="N1880" s="20"/>
      <c r="O1880" s="20"/>
      <c r="P1880" s="28"/>
      <c r="Q1880" s="28"/>
      <c r="R1880" s="20"/>
      <c r="S1880" s="20"/>
      <c r="T1880" s="20"/>
      <c r="U1880" s="20"/>
      <c r="V1880" s="20"/>
      <c r="W1880" s="20"/>
      <c r="X1880" s="20"/>
      <c r="Y1880" s="20"/>
      <c r="Z1880" s="20"/>
      <c r="AA1880" s="20"/>
      <c r="AB1880" s="20"/>
      <c r="AC1880" s="20"/>
      <c r="AD1880" s="20"/>
      <c r="AE1880" s="20"/>
      <c r="AF1880" s="20"/>
      <c r="AG1880" s="20"/>
      <c r="AH1880" s="20"/>
      <c r="AI1880" s="20"/>
      <c r="AJ1880" s="20"/>
      <c r="AK1880" s="20"/>
      <c r="AL1880" s="20"/>
      <c r="AM1880" s="20"/>
    </row>
    <row r="1881" spans="1:39" ht="13">
      <c r="A1881" s="20"/>
      <c r="B1881" s="20"/>
      <c r="C1881" s="20"/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  <c r="N1881" s="20"/>
      <c r="O1881" s="20"/>
      <c r="P1881" s="28"/>
      <c r="Q1881" s="28"/>
      <c r="R1881" s="20"/>
      <c r="S1881" s="20"/>
      <c r="T1881" s="20"/>
      <c r="U1881" s="20"/>
      <c r="V1881" s="20"/>
      <c r="W1881" s="20"/>
      <c r="X1881" s="20"/>
      <c r="Y1881" s="20"/>
      <c r="Z1881" s="20"/>
      <c r="AA1881" s="20"/>
      <c r="AB1881" s="20"/>
      <c r="AC1881" s="20"/>
      <c r="AD1881" s="20"/>
      <c r="AE1881" s="20"/>
      <c r="AF1881" s="20"/>
      <c r="AG1881" s="20"/>
      <c r="AH1881" s="20"/>
      <c r="AI1881" s="20"/>
      <c r="AJ1881" s="20"/>
      <c r="AK1881" s="20"/>
      <c r="AL1881" s="20"/>
      <c r="AM1881" s="20"/>
    </row>
    <row r="1882" spans="1:39" ht="13">
      <c r="A1882" s="20"/>
      <c r="B1882" s="20"/>
      <c r="C1882" s="20"/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  <c r="N1882" s="20"/>
      <c r="O1882" s="20"/>
      <c r="P1882" s="28"/>
      <c r="Q1882" s="28"/>
      <c r="R1882" s="20"/>
      <c r="S1882" s="20"/>
      <c r="T1882" s="20"/>
      <c r="U1882" s="20"/>
      <c r="V1882" s="20"/>
      <c r="W1882" s="20"/>
      <c r="X1882" s="20"/>
      <c r="Y1882" s="20"/>
      <c r="Z1882" s="20"/>
      <c r="AA1882" s="20"/>
      <c r="AB1882" s="20"/>
      <c r="AC1882" s="20"/>
      <c r="AD1882" s="20"/>
      <c r="AE1882" s="20"/>
      <c r="AF1882" s="20"/>
      <c r="AG1882" s="20"/>
      <c r="AH1882" s="20"/>
      <c r="AI1882" s="20"/>
      <c r="AJ1882" s="20"/>
      <c r="AK1882" s="20"/>
      <c r="AL1882" s="20"/>
      <c r="AM1882" s="20"/>
    </row>
    <row r="1883" spans="1:39" ht="13">
      <c r="A1883" s="20"/>
      <c r="B1883" s="20"/>
      <c r="C1883" s="20"/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  <c r="N1883" s="20"/>
      <c r="O1883" s="20"/>
      <c r="P1883" s="28"/>
      <c r="Q1883" s="28"/>
      <c r="R1883" s="20"/>
      <c r="S1883" s="20"/>
      <c r="T1883" s="20"/>
      <c r="U1883" s="20"/>
      <c r="V1883" s="20"/>
      <c r="W1883" s="20"/>
      <c r="X1883" s="20"/>
      <c r="Y1883" s="20"/>
      <c r="Z1883" s="20"/>
      <c r="AA1883" s="20"/>
      <c r="AB1883" s="20"/>
      <c r="AC1883" s="20"/>
      <c r="AD1883" s="20"/>
      <c r="AE1883" s="20"/>
      <c r="AF1883" s="20"/>
      <c r="AG1883" s="20"/>
      <c r="AH1883" s="20"/>
      <c r="AI1883" s="20"/>
      <c r="AJ1883" s="20"/>
      <c r="AK1883" s="20"/>
      <c r="AL1883" s="20"/>
      <c r="AM1883" s="20"/>
    </row>
    <row r="1884" spans="1:39" ht="13">
      <c r="A1884" s="20"/>
      <c r="B1884" s="20"/>
      <c r="C1884" s="20"/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  <c r="N1884" s="20"/>
      <c r="O1884" s="20"/>
      <c r="P1884" s="28"/>
      <c r="Q1884" s="28"/>
      <c r="R1884" s="20"/>
      <c r="S1884" s="20"/>
      <c r="T1884" s="20"/>
      <c r="U1884" s="20"/>
      <c r="V1884" s="20"/>
      <c r="W1884" s="20"/>
      <c r="X1884" s="20"/>
      <c r="Y1884" s="20"/>
      <c r="Z1884" s="20"/>
      <c r="AA1884" s="20"/>
      <c r="AB1884" s="20"/>
      <c r="AC1884" s="20"/>
      <c r="AD1884" s="20"/>
      <c r="AE1884" s="20"/>
      <c r="AF1884" s="20"/>
      <c r="AG1884" s="20"/>
      <c r="AH1884" s="20"/>
      <c r="AI1884" s="20"/>
      <c r="AJ1884" s="20"/>
      <c r="AK1884" s="20"/>
      <c r="AL1884" s="20"/>
      <c r="AM1884" s="20"/>
    </row>
    <row r="1885" spans="1:39" ht="13">
      <c r="A1885" s="20"/>
      <c r="B1885" s="20"/>
      <c r="C1885" s="20"/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  <c r="N1885" s="20"/>
      <c r="O1885" s="20"/>
      <c r="P1885" s="28"/>
      <c r="Q1885" s="28"/>
      <c r="R1885" s="20"/>
      <c r="S1885" s="20"/>
      <c r="T1885" s="20"/>
      <c r="U1885" s="20"/>
      <c r="V1885" s="20"/>
      <c r="W1885" s="20"/>
      <c r="X1885" s="20"/>
      <c r="Y1885" s="20"/>
      <c r="Z1885" s="20"/>
      <c r="AA1885" s="20"/>
      <c r="AB1885" s="20"/>
      <c r="AC1885" s="20"/>
      <c r="AD1885" s="20"/>
      <c r="AE1885" s="20"/>
      <c r="AF1885" s="20"/>
      <c r="AG1885" s="20"/>
      <c r="AH1885" s="20"/>
      <c r="AI1885" s="20"/>
      <c r="AJ1885" s="20"/>
      <c r="AK1885" s="20"/>
      <c r="AL1885" s="20"/>
      <c r="AM1885" s="20"/>
    </row>
    <row r="1886" spans="1:39" ht="13">
      <c r="A1886" s="20"/>
      <c r="B1886" s="20"/>
      <c r="C1886" s="20"/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  <c r="N1886" s="20"/>
      <c r="O1886" s="20"/>
      <c r="P1886" s="28"/>
      <c r="Q1886" s="28"/>
      <c r="R1886" s="20"/>
      <c r="S1886" s="20"/>
      <c r="T1886" s="20"/>
      <c r="U1886" s="20"/>
      <c r="V1886" s="20"/>
      <c r="W1886" s="20"/>
      <c r="X1886" s="20"/>
      <c r="Y1886" s="20"/>
      <c r="Z1886" s="20"/>
      <c r="AA1886" s="20"/>
      <c r="AB1886" s="20"/>
      <c r="AC1886" s="20"/>
      <c r="AD1886" s="20"/>
      <c r="AE1886" s="20"/>
      <c r="AF1886" s="20"/>
      <c r="AG1886" s="20"/>
      <c r="AH1886" s="20"/>
      <c r="AI1886" s="20"/>
      <c r="AJ1886" s="20"/>
      <c r="AK1886" s="20"/>
      <c r="AL1886" s="20"/>
      <c r="AM1886" s="20"/>
    </row>
    <row r="1887" spans="1:39" ht="13">
      <c r="A1887" s="20"/>
      <c r="B1887" s="20"/>
      <c r="C1887" s="20"/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  <c r="N1887" s="20"/>
      <c r="O1887" s="20"/>
      <c r="P1887" s="28"/>
      <c r="Q1887" s="28"/>
      <c r="R1887" s="20"/>
      <c r="S1887" s="20"/>
      <c r="T1887" s="20"/>
      <c r="U1887" s="20"/>
      <c r="V1887" s="20"/>
      <c r="W1887" s="20"/>
      <c r="X1887" s="20"/>
      <c r="Y1887" s="20"/>
      <c r="Z1887" s="20"/>
      <c r="AA1887" s="20"/>
      <c r="AB1887" s="20"/>
      <c r="AC1887" s="20"/>
      <c r="AD1887" s="20"/>
      <c r="AE1887" s="20"/>
      <c r="AF1887" s="20"/>
      <c r="AG1887" s="20"/>
      <c r="AH1887" s="20"/>
      <c r="AI1887" s="20"/>
      <c r="AJ1887" s="20"/>
      <c r="AK1887" s="20"/>
      <c r="AL1887" s="20"/>
      <c r="AM1887" s="20"/>
    </row>
    <row r="1888" spans="1:39" ht="13">
      <c r="A1888" s="20"/>
      <c r="B1888" s="20"/>
      <c r="C1888" s="20"/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  <c r="N1888" s="20"/>
      <c r="O1888" s="20"/>
      <c r="P1888" s="28"/>
      <c r="Q1888" s="28"/>
      <c r="R1888" s="20"/>
      <c r="S1888" s="20"/>
      <c r="T1888" s="20"/>
      <c r="U1888" s="20"/>
      <c r="V1888" s="20"/>
      <c r="W1888" s="20"/>
      <c r="X1888" s="20"/>
      <c r="Y1888" s="20"/>
      <c r="Z1888" s="20"/>
      <c r="AA1888" s="20"/>
      <c r="AB1888" s="20"/>
      <c r="AC1888" s="20"/>
      <c r="AD1888" s="20"/>
      <c r="AE1888" s="20"/>
      <c r="AF1888" s="20"/>
      <c r="AG1888" s="20"/>
      <c r="AH1888" s="20"/>
      <c r="AI1888" s="20"/>
      <c r="AJ1888" s="20"/>
      <c r="AK1888" s="20"/>
      <c r="AL1888" s="20"/>
      <c r="AM1888" s="20"/>
    </row>
    <row r="1889" spans="1:39" ht="13">
      <c r="A1889" s="20"/>
      <c r="B1889" s="20"/>
      <c r="C1889" s="20"/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  <c r="N1889" s="20"/>
      <c r="O1889" s="20"/>
      <c r="P1889" s="28"/>
      <c r="Q1889" s="28"/>
      <c r="R1889" s="20"/>
      <c r="S1889" s="20"/>
      <c r="T1889" s="20"/>
      <c r="U1889" s="20"/>
      <c r="V1889" s="20"/>
      <c r="W1889" s="20"/>
      <c r="X1889" s="20"/>
      <c r="Y1889" s="20"/>
      <c r="Z1889" s="20"/>
      <c r="AA1889" s="20"/>
      <c r="AB1889" s="20"/>
      <c r="AC1889" s="20"/>
      <c r="AD1889" s="20"/>
      <c r="AE1889" s="20"/>
      <c r="AF1889" s="20"/>
      <c r="AG1889" s="20"/>
      <c r="AH1889" s="20"/>
      <c r="AI1889" s="20"/>
      <c r="AJ1889" s="20"/>
      <c r="AK1889" s="20"/>
      <c r="AL1889" s="20"/>
      <c r="AM1889" s="20"/>
    </row>
    <row r="1890" spans="1:39" ht="13">
      <c r="A1890" s="20"/>
      <c r="B1890" s="20"/>
      <c r="C1890" s="20"/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  <c r="N1890" s="20"/>
      <c r="O1890" s="20"/>
      <c r="P1890" s="28"/>
      <c r="Q1890" s="28"/>
      <c r="R1890" s="20"/>
      <c r="S1890" s="20"/>
      <c r="T1890" s="20"/>
      <c r="U1890" s="20"/>
      <c r="V1890" s="20"/>
      <c r="W1890" s="20"/>
      <c r="X1890" s="20"/>
      <c r="Y1890" s="20"/>
      <c r="Z1890" s="20"/>
      <c r="AA1890" s="20"/>
      <c r="AB1890" s="20"/>
      <c r="AC1890" s="20"/>
      <c r="AD1890" s="20"/>
      <c r="AE1890" s="20"/>
      <c r="AF1890" s="20"/>
      <c r="AG1890" s="20"/>
      <c r="AH1890" s="20"/>
      <c r="AI1890" s="20"/>
      <c r="AJ1890" s="20"/>
      <c r="AK1890" s="20"/>
      <c r="AL1890" s="20"/>
      <c r="AM1890" s="20"/>
    </row>
    <row r="1891" spans="1:39" ht="13">
      <c r="A1891" s="20"/>
      <c r="B1891" s="20"/>
      <c r="C1891" s="20"/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  <c r="N1891" s="20"/>
      <c r="O1891" s="20"/>
      <c r="P1891" s="28"/>
      <c r="Q1891" s="28"/>
      <c r="R1891" s="20"/>
      <c r="S1891" s="20"/>
      <c r="T1891" s="20"/>
      <c r="U1891" s="20"/>
      <c r="V1891" s="20"/>
      <c r="W1891" s="20"/>
      <c r="X1891" s="20"/>
      <c r="Y1891" s="20"/>
      <c r="Z1891" s="20"/>
      <c r="AA1891" s="20"/>
      <c r="AB1891" s="20"/>
      <c r="AC1891" s="20"/>
      <c r="AD1891" s="20"/>
      <c r="AE1891" s="20"/>
      <c r="AF1891" s="20"/>
      <c r="AG1891" s="20"/>
      <c r="AH1891" s="20"/>
      <c r="AI1891" s="20"/>
      <c r="AJ1891" s="20"/>
      <c r="AK1891" s="20"/>
      <c r="AL1891" s="20"/>
      <c r="AM1891" s="20"/>
    </row>
    <row r="1892" spans="1:39" ht="13">
      <c r="A1892" s="20"/>
      <c r="B1892" s="20"/>
      <c r="C1892" s="20"/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  <c r="N1892" s="20"/>
      <c r="O1892" s="20"/>
      <c r="P1892" s="28"/>
      <c r="Q1892" s="28"/>
      <c r="R1892" s="20"/>
      <c r="S1892" s="20"/>
      <c r="T1892" s="20"/>
      <c r="U1892" s="20"/>
      <c r="V1892" s="20"/>
      <c r="W1892" s="20"/>
      <c r="X1892" s="20"/>
      <c r="Y1892" s="20"/>
      <c r="Z1892" s="20"/>
      <c r="AA1892" s="20"/>
      <c r="AB1892" s="20"/>
      <c r="AC1892" s="20"/>
      <c r="AD1892" s="20"/>
      <c r="AE1892" s="20"/>
      <c r="AF1892" s="20"/>
      <c r="AG1892" s="20"/>
      <c r="AH1892" s="20"/>
      <c r="AI1892" s="20"/>
      <c r="AJ1892" s="20"/>
      <c r="AK1892" s="20"/>
      <c r="AL1892" s="20"/>
      <c r="AM1892" s="20"/>
    </row>
    <row r="1893" spans="1:39" ht="13">
      <c r="A1893" s="20"/>
      <c r="B1893" s="20"/>
      <c r="C1893" s="20"/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  <c r="N1893" s="20"/>
      <c r="O1893" s="20"/>
      <c r="P1893" s="28"/>
      <c r="Q1893" s="28"/>
      <c r="R1893" s="20"/>
      <c r="S1893" s="20"/>
      <c r="T1893" s="20"/>
      <c r="U1893" s="20"/>
      <c r="V1893" s="20"/>
      <c r="W1893" s="20"/>
      <c r="X1893" s="20"/>
      <c r="Y1893" s="20"/>
      <c r="Z1893" s="20"/>
      <c r="AA1893" s="20"/>
      <c r="AB1893" s="20"/>
      <c r="AC1893" s="20"/>
      <c r="AD1893" s="20"/>
      <c r="AE1893" s="20"/>
      <c r="AF1893" s="20"/>
      <c r="AG1893" s="20"/>
      <c r="AH1893" s="20"/>
      <c r="AI1893" s="20"/>
      <c r="AJ1893" s="20"/>
      <c r="AK1893" s="20"/>
      <c r="AL1893" s="20"/>
      <c r="AM1893" s="20"/>
    </row>
    <row r="1894" spans="1:39" ht="13">
      <c r="A1894" s="20"/>
      <c r="B1894" s="20"/>
      <c r="C1894" s="20"/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  <c r="N1894" s="20"/>
      <c r="O1894" s="20"/>
      <c r="P1894" s="28"/>
      <c r="Q1894" s="28"/>
      <c r="R1894" s="20"/>
      <c r="S1894" s="20"/>
      <c r="T1894" s="20"/>
      <c r="U1894" s="20"/>
      <c r="V1894" s="20"/>
      <c r="W1894" s="20"/>
      <c r="X1894" s="20"/>
      <c r="Y1894" s="20"/>
      <c r="Z1894" s="20"/>
      <c r="AA1894" s="20"/>
      <c r="AB1894" s="20"/>
      <c r="AC1894" s="20"/>
      <c r="AD1894" s="20"/>
      <c r="AE1894" s="20"/>
      <c r="AF1894" s="20"/>
      <c r="AG1894" s="20"/>
      <c r="AH1894" s="20"/>
      <c r="AI1894" s="20"/>
      <c r="AJ1894" s="20"/>
      <c r="AK1894" s="20"/>
      <c r="AL1894" s="20"/>
      <c r="AM1894" s="20"/>
    </row>
    <row r="1895" spans="1:39" ht="13">
      <c r="A1895" s="20"/>
      <c r="B1895" s="20"/>
      <c r="C1895" s="20"/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  <c r="N1895" s="20"/>
      <c r="O1895" s="20"/>
      <c r="P1895" s="28"/>
      <c r="Q1895" s="28"/>
      <c r="R1895" s="20"/>
      <c r="S1895" s="20"/>
      <c r="T1895" s="20"/>
      <c r="U1895" s="20"/>
      <c r="V1895" s="20"/>
      <c r="W1895" s="20"/>
      <c r="X1895" s="20"/>
      <c r="Y1895" s="20"/>
      <c r="Z1895" s="20"/>
      <c r="AA1895" s="20"/>
      <c r="AB1895" s="20"/>
      <c r="AC1895" s="20"/>
      <c r="AD1895" s="20"/>
      <c r="AE1895" s="20"/>
      <c r="AF1895" s="20"/>
      <c r="AG1895" s="20"/>
      <c r="AH1895" s="20"/>
      <c r="AI1895" s="20"/>
      <c r="AJ1895" s="20"/>
      <c r="AK1895" s="20"/>
      <c r="AL1895" s="20"/>
      <c r="AM1895" s="20"/>
    </row>
    <row r="1896" spans="1:39" ht="13">
      <c r="A1896" s="20"/>
      <c r="B1896" s="20"/>
      <c r="C1896" s="20"/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  <c r="N1896" s="20"/>
      <c r="O1896" s="20"/>
      <c r="P1896" s="28"/>
      <c r="Q1896" s="28"/>
      <c r="R1896" s="20"/>
      <c r="S1896" s="20"/>
      <c r="T1896" s="20"/>
      <c r="U1896" s="20"/>
      <c r="V1896" s="20"/>
      <c r="W1896" s="20"/>
      <c r="X1896" s="20"/>
      <c r="Y1896" s="20"/>
      <c r="Z1896" s="20"/>
      <c r="AA1896" s="20"/>
      <c r="AB1896" s="20"/>
      <c r="AC1896" s="20"/>
      <c r="AD1896" s="20"/>
      <c r="AE1896" s="20"/>
      <c r="AF1896" s="20"/>
      <c r="AG1896" s="20"/>
      <c r="AH1896" s="20"/>
      <c r="AI1896" s="20"/>
      <c r="AJ1896" s="20"/>
      <c r="AK1896" s="20"/>
      <c r="AL1896" s="20"/>
      <c r="AM1896" s="20"/>
    </row>
    <row r="1897" spans="1:39" ht="13">
      <c r="A1897" s="20"/>
      <c r="B1897" s="20"/>
      <c r="C1897" s="20"/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  <c r="N1897" s="20"/>
      <c r="O1897" s="20"/>
      <c r="P1897" s="28"/>
      <c r="Q1897" s="28"/>
      <c r="R1897" s="20"/>
      <c r="S1897" s="20"/>
      <c r="T1897" s="20"/>
      <c r="U1897" s="20"/>
      <c r="V1897" s="20"/>
      <c r="W1897" s="20"/>
      <c r="X1897" s="20"/>
      <c r="Y1897" s="20"/>
      <c r="Z1897" s="20"/>
      <c r="AA1897" s="20"/>
      <c r="AB1897" s="20"/>
      <c r="AC1897" s="20"/>
      <c r="AD1897" s="20"/>
      <c r="AE1897" s="20"/>
      <c r="AF1897" s="20"/>
      <c r="AG1897" s="20"/>
      <c r="AH1897" s="20"/>
      <c r="AI1897" s="20"/>
      <c r="AJ1897" s="20"/>
      <c r="AK1897" s="20"/>
      <c r="AL1897" s="20"/>
      <c r="AM1897" s="20"/>
    </row>
    <row r="1898" spans="1:39" ht="13">
      <c r="A1898" s="20"/>
      <c r="B1898" s="20"/>
      <c r="C1898" s="20"/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  <c r="N1898" s="20"/>
      <c r="O1898" s="20"/>
      <c r="P1898" s="28"/>
      <c r="Q1898" s="28"/>
      <c r="R1898" s="20"/>
      <c r="S1898" s="20"/>
      <c r="T1898" s="20"/>
      <c r="U1898" s="20"/>
      <c r="V1898" s="20"/>
      <c r="W1898" s="20"/>
      <c r="X1898" s="20"/>
      <c r="Y1898" s="20"/>
      <c r="Z1898" s="20"/>
      <c r="AA1898" s="20"/>
      <c r="AB1898" s="20"/>
      <c r="AC1898" s="20"/>
      <c r="AD1898" s="20"/>
      <c r="AE1898" s="20"/>
      <c r="AF1898" s="20"/>
      <c r="AG1898" s="20"/>
      <c r="AH1898" s="20"/>
      <c r="AI1898" s="20"/>
      <c r="AJ1898" s="20"/>
      <c r="AK1898" s="20"/>
      <c r="AL1898" s="20"/>
      <c r="AM1898" s="20"/>
    </row>
    <row r="1899" spans="1:39" ht="13">
      <c r="A1899" s="20"/>
      <c r="B1899" s="20"/>
      <c r="C1899" s="20"/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  <c r="N1899" s="20"/>
      <c r="O1899" s="20"/>
      <c r="P1899" s="28"/>
      <c r="Q1899" s="28"/>
      <c r="R1899" s="20"/>
      <c r="S1899" s="20"/>
      <c r="T1899" s="20"/>
      <c r="U1899" s="20"/>
      <c r="V1899" s="20"/>
      <c r="W1899" s="20"/>
      <c r="X1899" s="20"/>
      <c r="Y1899" s="20"/>
      <c r="Z1899" s="20"/>
      <c r="AA1899" s="20"/>
      <c r="AB1899" s="20"/>
      <c r="AC1899" s="20"/>
      <c r="AD1899" s="20"/>
      <c r="AE1899" s="20"/>
      <c r="AF1899" s="20"/>
      <c r="AG1899" s="20"/>
      <c r="AH1899" s="20"/>
      <c r="AI1899" s="20"/>
      <c r="AJ1899" s="20"/>
      <c r="AK1899" s="20"/>
      <c r="AL1899" s="20"/>
      <c r="AM1899" s="20"/>
    </row>
    <row r="1900" spans="1:39" ht="13">
      <c r="A1900" s="20"/>
      <c r="B1900" s="20"/>
      <c r="C1900" s="20"/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  <c r="N1900" s="20"/>
      <c r="O1900" s="20"/>
      <c r="P1900" s="28"/>
      <c r="Q1900" s="28"/>
      <c r="R1900" s="20"/>
      <c r="S1900" s="20"/>
      <c r="T1900" s="20"/>
      <c r="U1900" s="20"/>
      <c r="V1900" s="20"/>
      <c r="W1900" s="20"/>
      <c r="X1900" s="20"/>
      <c r="Y1900" s="20"/>
      <c r="Z1900" s="20"/>
      <c r="AA1900" s="20"/>
      <c r="AB1900" s="20"/>
      <c r="AC1900" s="20"/>
      <c r="AD1900" s="20"/>
      <c r="AE1900" s="20"/>
      <c r="AF1900" s="20"/>
      <c r="AG1900" s="20"/>
      <c r="AH1900" s="20"/>
      <c r="AI1900" s="20"/>
      <c r="AJ1900" s="20"/>
      <c r="AK1900" s="20"/>
      <c r="AL1900" s="20"/>
      <c r="AM1900" s="20"/>
    </row>
    <row r="1901" spans="1:39" ht="13">
      <c r="A1901" s="20"/>
      <c r="B1901" s="20"/>
      <c r="C1901" s="20"/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  <c r="N1901" s="20"/>
      <c r="O1901" s="20"/>
      <c r="P1901" s="28"/>
      <c r="Q1901" s="28"/>
      <c r="R1901" s="20"/>
      <c r="S1901" s="20"/>
      <c r="T1901" s="20"/>
      <c r="U1901" s="20"/>
      <c r="V1901" s="20"/>
      <c r="W1901" s="20"/>
      <c r="X1901" s="20"/>
      <c r="Y1901" s="20"/>
      <c r="Z1901" s="20"/>
      <c r="AA1901" s="20"/>
      <c r="AB1901" s="20"/>
      <c r="AC1901" s="20"/>
      <c r="AD1901" s="20"/>
      <c r="AE1901" s="20"/>
      <c r="AF1901" s="20"/>
      <c r="AG1901" s="20"/>
      <c r="AH1901" s="20"/>
      <c r="AI1901" s="20"/>
      <c r="AJ1901" s="20"/>
      <c r="AK1901" s="20"/>
      <c r="AL1901" s="20"/>
      <c r="AM1901" s="20"/>
    </row>
    <row r="1902" spans="1:39" ht="13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8"/>
      <c r="Q1902" s="28"/>
      <c r="R1902" s="20"/>
      <c r="S1902" s="20"/>
      <c r="T1902" s="20"/>
      <c r="U1902" s="20"/>
      <c r="V1902" s="20"/>
      <c r="W1902" s="20"/>
      <c r="X1902" s="20"/>
      <c r="Y1902" s="20"/>
      <c r="Z1902" s="20"/>
      <c r="AA1902" s="20"/>
      <c r="AB1902" s="20"/>
      <c r="AC1902" s="20"/>
      <c r="AD1902" s="20"/>
      <c r="AE1902" s="20"/>
      <c r="AF1902" s="20"/>
      <c r="AG1902" s="20"/>
      <c r="AH1902" s="20"/>
      <c r="AI1902" s="20"/>
      <c r="AJ1902" s="20"/>
      <c r="AK1902" s="20"/>
      <c r="AL1902" s="20"/>
      <c r="AM1902" s="20"/>
    </row>
    <row r="1903" spans="1:39" ht="13">
      <c r="A1903" s="20"/>
      <c r="B1903" s="20"/>
      <c r="C1903" s="20"/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  <c r="N1903" s="20"/>
      <c r="O1903" s="20"/>
      <c r="P1903" s="28"/>
      <c r="Q1903" s="28"/>
      <c r="R1903" s="20"/>
      <c r="S1903" s="20"/>
      <c r="T1903" s="20"/>
      <c r="U1903" s="20"/>
      <c r="V1903" s="20"/>
      <c r="W1903" s="20"/>
      <c r="X1903" s="20"/>
      <c r="Y1903" s="20"/>
      <c r="Z1903" s="20"/>
      <c r="AA1903" s="20"/>
      <c r="AB1903" s="20"/>
      <c r="AC1903" s="20"/>
      <c r="AD1903" s="20"/>
      <c r="AE1903" s="20"/>
      <c r="AF1903" s="20"/>
      <c r="AG1903" s="20"/>
      <c r="AH1903" s="20"/>
      <c r="AI1903" s="20"/>
      <c r="AJ1903" s="20"/>
      <c r="AK1903" s="20"/>
      <c r="AL1903" s="20"/>
      <c r="AM1903" s="20"/>
    </row>
    <row r="1904" spans="1:39" ht="13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8"/>
      <c r="Q1904" s="28"/>
      <c r="R1904" s="20"/>
      <c r="S1904" s="20"/>
      <c r="T1904" s="20"/>
      <c r="U1904" s="20"/>
      <c r="V1904" s="20"/>
      <c r="W1904" s="20"/>
      <c r="X1904" s="20"/>
      <c r="Y1904" s="20"/>
      <c r="Z1904" s="20"/>
      <c r="AA1904" s="20"/>
      <c r="AB1904" s="20"/>
      <c r="AC1904" s="20"/>
      <c r="AD1904" s="20"/>
      <c r="AE1904" s="20"/>
      <c r="AF1904" s="20"/>
      <c r="AG1904" s="20"/>
      <c r="AH1904" s="20"/>
      <c r="AI1904" s="20"/>
      <c r="AJ1904" s="20"/>
      <c r="AK1904" s="20"/>
      <c r="AL1904" s="20"/>
      <c r="AM1904" s="20"/>
    </row>
    <row r="1905" spans="1:39" ht="13">
      <c r="A1905" s="20"/>
      <c r="B1905" s="20"/>
      <c r="C1905" s="20"/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  <c r="N1905" s="20"/>
      <c r="O1905" s="20"/>
      <c r="P1905" s="28"/>
      <c r="Q1905" s="28"/>
      <c r="R1905" s="20"/>
      <c r="S1905" s="20"/>
      <c r="T1905" s="20"/>
      <c r="U1905" s="20"/>
      <c r="V1905" s="20"/>
      <c r="W1905" s="20"/>
      <c r="X1905" s="20"/>
      <c r="Y1905" s="20"/>
      <c r="Z1905" s="20"/>
      <c r="AA1905" s="20"/>
      <c r="AB1905" s="20"/>
      <c r="AC1905" s="20"/>
      <c r="AD1905" s="20"/>
      <c r="AE1905" s="20"/>
      <c r="AF1905" s="20"/>
      <c r="AG1905" s="20"/>
      <c r="AH1905" s="20"/>
      <c r="AI1905" s="20"/>
      <c r="AJ1905" s="20"/>
      <c r="AK1905" s="20"/>
      <c r="AL1905" s="20"/>
      <c r="AM1905" s="20"/>
    </row>
    <row r="1906" spans="1:39" ht="13">
      <c r="A1906" s="20"/>
      <c r="B1906" s="20"/>
      <c r="C1906" s="20"/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  <c r="N1906" s="20"/>
      <c r="O1906" s="20"/>
      <c r="P1906" s="28"/>
      <c r="Q1906" s="28"/>
      <c r="R1906" s="20"/>
      <c r="S1906" s="20"/>
      <c r="T1906" s="20"/>
      <c r="U1906" s="20"/>
      <c r="V1906" s="20"/>
      <c r="W1906" s="20"/>
      <c r="X1906" s="20"/>
      <c r="Y1906" s="20"/>
      <c r="Z1906" s="20"/>
      <c r="AA1906" s="20"/>
      <c r="AB1906" s="20"/>
      <c r="AC1906" s="20"/>
      <c r="AD1906" s="20"/>
      <c r="AE1906" s="20"/>
      <c r="AF1906" s="20"/>
      <c r="AG1906" s="20"/>
      <c r="AH1906" s="20"/>
      <c r="AI1906" s="20"/>
      <c r="AJ1906" s="20"/>
      <c r="AK1906" s="20"/>
      <c r="AL1906" s="20"/>
      <c r="AM1906" s="20"/>
    </row>
    <row r="1907" spans="1:39" ht="13">
      <c r="A1907" s="20"/>
      <c r="B1907" s="20"/>
      <c r="C1907" s="20"/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  <c r="N1907" s="20"/>
      <c r="O1907" s="20"/>
      <c r="P1907" s="28"/>
      <c r="Q1907" s="28"/>
      <c r="R1907" s="20"/>
      <c r="S1907" s="20"/>
      <c r="T1907" s="20"/>
      <c r="U1907" s="20"/>
      <c r="V1907" s="20"/>
      <c r="W1907" s="20"/>
      <c r="X1907" s="20"/>
      <c r="Y1907" s="20"/>
      <c r="Z1907" s="20"/>
      <c r="AA1907" s="20"/>
      <c r="AB1907" s="20"/>
      <c r="AC1907" s="20"/>
      <c r="AD1907" s="20"/>
      <c r="AE1907" s="20"/>
      <c r="AF1907" s="20"/>
      <c r="AG1907" s="20"/>
      <c r="AH1907" s="20"/>
      <c r="AI1907" s="20"/>
      <c r="AJ1907" s="20"/>
      <c r="AK1907" s="20"/>
      <c r="AL1907" s="20"/>
      <c r="AM1907" s="20"/>
    </row>
    <row r="1908" spans="1:39" ht="13">
      <c r="A1908" s="20"/>
      <c r="B1908" s="20"/>
      <c r="C1908" s="20"/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  <c r="N1908" s="20"/>
      <c r="O1908" s="20"/>
      <c r="P1908" s="28"/>
      <c r="Q1908" s="28"/>
      <c r="R1908" s="20"/>
      <c r="S1908" s="20"/>
      <c r="T1908" s="20"/>
      <c r="U1908" s="20"/>
      <c r="V1908" s="20"/>
      <c r="W1908" s="20"/>
      <c r="X1908" s="20"/>
      <c r="Y1908" s="20"/>
      <c r="Z1908" s="20"/>
      <c r="AA1908" s="20"/>
      <c r="AB1908" s="20"/>
      <c r="AC1908" s="20"/>
      <c r="AD1908" s="20"/>
      <c r="AE1908" s="20"/>
      <c r="AF1908" s="20"/>
      <c r="AG1908" s="20"/>
      <c r="AH1908" s="20"/>
      <c r="AI1908" s="20"/>
      <c r="AJ1908" s="20"/>
      <c r="AK1908" s="20"/>
      <c r="AL1908" s="20"/>
      <c r="AM1908" s="20"/>
    </row>
    <row r="1909" spans="1:39" ht="13">
      <c r="A1909" s="20"/>
      <c r="B1909" s="20"/>
      <c r="C1909" s="20"/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  <c r="N1909" s="20"/>
      <c r="O1909" s="20"/>
      <c r="P1909" s="28"/>
      <c r="Q1909" s="28"/>
      <c r="R1909" s="20"/>
      <c r="S1909" s="20"/>
      <c r="T1909" s="20"/>
      <c r="U1909" s="20"/>
      <c r="V1909" s="20"/>
      <c r="W1909" s="20"/>
      <c r="X1909" s="20"/>
      <c r="Y1909" s="20"/>
      <c r="Z1909" s="20"/>
      <c r="AA1909" s="20"/>
      <c r="AB1909" s="20"/>
      <c r="AC1909" s="20"/>
      <c r="AD1909" s="20"/>
      <c r="AE1909" s="20"/>
      <c r="AF1909" s="20"/>
      <c r="AG1909" s="20"/>
      <c r="AH1909" s="20"/>
      <c r="AI1909" s="20"/>
      <c r="AJ1909" s="20"/>
      <c r="AK1909" s="20"/>
      <c r="AL1909" s="20"/>
      <c r="AM1909" s="20"/>
    </row>
    <row r="1910" spans="1:39" ht="13">
      <c r="A1910" s="20"/>
      <c r="B1910" s="20"/>
      <c r="C1910" s="20"/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  <c r="N1910" s="20"/>
      <c r="O1910" s="20"/>
      <c r="P1910" s="28"/>
      <c r="Q1910" s="28"/>
      <c r="R1910" s="20"/>
      <c r="S1910" s="20"/>
      <c r="T1910" s="20"/>
      <c r="U1910" s="20"/>
      <c r="V1910" s="20"/>
      <c r="W1910" s="20"/>
      <c r="X1910" s="20"/>
      <c r="Y1910" s="20"/>
      <c r="Z1910" s="20"/>
      <c r="AA1910" s="20"/>
      <c r="AB1910" s="20"/>
      <c r="AC1910" s="20"/>
      <c r="AD1910" s="20"/>
      <c r="AE1910" s="20"/>
      <c r="AF1910" s="20"/>
      <c r="AG1910" s="20"/>
      <c r="AH1910" s="20"/>
      <c r="AI1910" s="20"/>
      <c r="AJ1910" s="20"/>
      <c r="AK1910" s="20"/>
      <c r="AL1910" s="20"/>
      <c r="AM1910" s="20"/>
    </row>
    <row r="1911" spans="1:39" ht="13">
      <c r="A1911" s="20"/>
      <c r="B1911" s="20"/>
      <c r="C1911" s="20"/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  <c r="N1911" s="20"/>
      <c r="O1911" s="20"/>
      <c r="P1911" s="28"/>
      <c r="Q1911" s="28"/>
      <c r="R1911" s="20"/>
      <c r="S1911" s="20"/>
      <c r="T1911" s="20"/>
      <c r="U1911" s="20"/>
      <c r="V1911" s="20"/>
      <c r="W1911" s="20"/>
      <c r="X1911" s="20"/>
      <c r="Y1911" s="20"/>
      <c r="Z1911" s="20"/>
      <c r="AA1911" s="20"/>
      <c r="AB1911" s="20"/>
      <c r="AC1911" s="20"/>
      <c r="AD1911" s="20"/>
      <c r="AE1911" s="20"/>
      <c r="AF1911" s="20"/>
      <c r="AG1911" s="20"/>
      <c r="AH1911" s="20"/>
      <c r="AI1911" s="20"/>
      <c r="AJ1911" s="20"/>
      <c r="AK1911" s="20"/>
      <c r="AL1911" s="20"/>
      <c r="AM1911" s="20"/>
    </row>
    <row r="1912" spans="1:39" ht="13">
      <c r="A1912" s="20"/>
      <c r="B1912" s="20"/>
      <c r="C1912" s="20"/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  <c r="N1912" s="20"/>
      <c r="O1912" s="20"/>
      <c r="P1912" s="28"/>
      <c r="Q1912" s="28"/>
      <c r="R1912" s="20"/>
      <c r="S1912" s="20"/>
      <c r="T1912" s="20"/>
      <c r="U1912" s="20"/>
      <c r="V1912" s="20"/>
      <c r="W1912" s="20"/>
      <c r="X1912" s="20"/>
      <c r="Y1912" s="20"/>
      <c r="Z1912" s="20"/>
      <c r="AA1912" s="20"/>
      <c r="AB1912" s="20"/>
      <c r="AC1912" s="20"/>
      <c r="AD1912" s="20"/>
      <c r="AE1912" s="20"/>
      <c r="AF1912" s="20"/>
      <c r="AG1912" s="20"/>
      <c r="AH1912" s="20"/>
      <c r="AI1912" s="20"/>
      <c r="AJ1912" s="20"/>
      <c r="AK1912" s="20"/>
      <c r="AL1912" s="20"/>
      <c r="AM1912" s="20"/>
    </row>
    <row r="1913" spans="1:39" ht="13">
      <c r="A1913" s="20"/>
      <c r="B1913" s="20"/>
      <c r="C1913" s="20"/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  <c r="N1913" s="20"/>
      <c r="O1913" s="20"/>
      <c r="P1913" s="28"/>
      <c r="Q1913" s="28"/>
      <c r="R1913" s="20"/>
      <c r="S1913" s="20"/>
      <c r="T1913" s="20"/>
      <c r="U1913" s="20"/>
      <c r="V1913" s="20"/>
      <c r="W1913" s="20"/>
      <c r="X1913" s="20"/>
      <c r="Y1913" s="20"/>
      <c r="Z1913" s="20"/>
      <c r="AA1913" s="20"/>
      <c r="AB1913" s="20"/>
      <c r="AC1913" s="20"/>
      <c r="AD1913" s="20"/>
      <c r="AE1913" s="20"/>
      <c r="AF1913" s="20"/>
      <c r="AG1913" s="20"/>
      <c r="AH1913" s="20"/>
      <c r="AI1913" s="20"/>
      <c r="AJ1913" s="20"/>
      <c r="AK1913" s="20"/>
      <c r="AL1913" s="20"/>
      <c r="AM1913" s="20"/>
    </row>
    <row r="1914" spans="1:39" ht="13">
      <c r="A1914" s="20"/>
      <c r="B1914" s="20"/>
      <c r="C1914" s="20"/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  <c r="N1914" s="20"/>
      <c r="O1914" s="20"/>
      <c r="P1914" s="28"/>
      <c r="Q1914" s="28"/>
      <c r="R1914" s="20"/>
      <c r="S1914" s="20"/>
      <c r="T1914" s="20"/>
      <c r="U1914" s="20"/>
      <c r="V1914" s="20"/>
      <c r="W1914" s="20"/>
      <c r="X1914" s="20"/>
      <c r="Y1914" s="20"/>
      <c r="Z1914" s="20"/>
      <c r="AA1914" s="20"/>
      <c r="AB1914" s="20"/>
      <c r="AC1914" s="20"/>
      <c r="AD1914" s="20"/>
      <c r="AE1914" s="20"/>
      <c r="AF1914" s="20"/>
      <c r="AG1914" s="20"/>
      <c r="AH1914" s="20"/>
      <c r="AI1914" s="20"/>
      <c r="AJ1914" s="20"/>
      <c r="AK1914" s="20"/>
      <c r="AL1914" s="20"/>
      <c r="AM1914" s="20"/>
    </row>
    <row r="1915" spans="1:39" ht="13">
      <c r="A1915" s="20"/>
      <c r="B1915" s="20"/>
      <c r="C1915" s="20"/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  <c r="N1915" s="20"/>
      <c r="O1915" s="20"/>
      <c r="P1915" s="28"/>
      <c r="Q1915" s="28"/>
      <c r="R1915" s="20"/>
      <c r="S1915" s="20"/>
      <c r="T1915" s="20"/>
      <c r="U1915" s="20"/>
      <c r="V1915" s="20"/>
      <c r="W1915" s="20"/>
      <c r="X1915" s="20"/>
      <c r="Y1915" s="20"/>
      <c r="Z1915" s="20"/>
      <c r="AA1915" s="20"/>
      <c r="AB1915" s="20"/>
      <c r="AC1915" s="20"/>
      <c r="AD1915" s="20"/>
      <c r="AE1915" s="20"/>
      <c r="AF1915" s="20"/>
      <c r="AG1915" s="20"/>
      <c r="AH1915" s="20"/>
      <c r="AI1915" s="20"/>
      <c r="AJ1915" s="20"/>
      <c r="AK1915" s="20"/>
      <c r="AL1915" s="20"/>
      <c r="AM1915" s="20"/>
    </row>
    <row r="1916" spans="1:39" ht="13">
      <c r="A1916" s="20"/>
      <c r="B1916" s="20"/>
      <c r="C1916" s="20"/>
      <c r="D1916" s="20"/>
      <c r="E1916" s="20"/>
      <c r="F1916" s="20"/>
      <c r="G1916" s="20"/>
      <c r="H1916" s="20"/>
      <c r="I1916" s="20"/>
      <c r="J1916" s="20"/>
      <c r="K1916" s="20"/>
      <c r="L1916" s="20"/>
      <c r="M1916" s="20"/>
      <c r="N1916" s="20"/>
      <c r="O1916" s="20"/>
      <c r="P1916" s="28"/>
      <c r="Q1916" s="28"/>
      <c r="R1916" s="20"/>
      <c r="S1916" s="20"/>
      <c r="T1916" s="20"/>
      <c r="U1916" s="20"/>
      <c r="V1916" s="20"/>
      <c r="W1916" s="20"/>
      <c r="X1916" s="20"/>
      <c r="Y1916" s="20"/>
      <c r="Z1916" s="20"/>
      <c r="AA1916" s="20"/>
      <c r="AB1916" s="20"/>
      <c r="AC1916" s="20"/>
      <c r="AD1916" s="20"/>
      <c r="AE1916" s="20"/>
      <c r="AF1916" s="20"/>
      <c r="AG1916" s="20"/>
      <c r="AH1916" s="20"/>
      <c r="AI1916" s="20"/>
      <c r="AJ1916" s="20"/>
      <c r="AK1916" s="20"/>
      <c r="AL1916" s="20"/>
      <c r="AM1916" s="20"/>
    </row>
    <row r="1917" spans="1:39" ht="13">
      <c r="A1917" s="20"/>
      <c r="B1917" s="20"/>
      <c r="C1917" s="20"/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  <c r="N1917" s="20"/>
      <c r="O1917" s="20"/>
      <c r="P1917" s="28"/>
      <c r="Q1917" s="28"/>
      <c r="R1917" s="20"/>
      <c r="S1917" s="20"/>
      <c r="T1917" s="20"/>
      <c r="U1917" s="20"/>
      <c r="V1917" s="20"/>
      <c r="W1917" s="20"/>
      <c r="X1917" s="20"/>
      <c r="Y1917" s="20"/>
      <c r="Z1917" s="20"/>
      <c r="AA1917" s="20"/>
      <c r="AB1917" s="20"/>
      <c r="AC1917" s="20"/>
      <c r="AD1917" s="20"/>
      <c r="AE1917" s="20"/>
      <c r="AF1917" s="20"/>
      <c r="AG1917" s="20"/>
      <c r="AH1917" s="20"/>
      <c r="AI1917" s="20"/>
      <c r="AJ1917" s="20"/>
      <c r="AK1917" s="20"/>
      <c r="AL1917" s="20"/>
      <c r="AM1917" s="20"/>
    </row>
    <row r="1918" spans="1:39" ht="13">
      <c r="A1918" s="20"/>
      <c r="B1918" s="20"/>
      <c r="C1918" s="20"/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  <c r="N1918" s="20"/>
      <c r="O1918" s="20"/>
      <c r="P1918" s="28"/>
      <c r="Q1918" s="28"/>
      <c r="R1918" s="20"/>
      <c r="S1918" s="20"/>
      <c r="T1918" s="20"/>
      <c r="U1918" s="20"/>
      <c r="V1918" s="20"/>
      <c r="W1918" s="20"/>
      <c r="X1918" s="20"/>
      <c r="Y1918" s="20"/>
      <c r="Z1918" s="20"/>
      <c r="AA1918" s="20"/>
      <c r="AB1918" s="20"/>
      <c r="AC1918" s="20"/>
      <c r="AD1918" s="20"/>
      <c r="AE1918" s="20"/>
      <c r="AF1918" s="20"/>
      <c r="AG1918" s="20"/>
      <c r="AH1918" s="20"/>
      <c r="AI1918" s="20"/>
      <c r="AJ1918" s="20"/>
      <c r="AK1918" s="20"/>
      <c r="AL1918" s="20"/>
      <c r="AM1918" s="20"/>
    </row>
    <row r="1919" spans="1:39" ht="13">
      <c r="A1919" s="20"/>
      <c r="B1919" s="20"/>
      <c r="C1919" s="20"/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  <c r="N1919" s="20"/>
      <c r="O1919" s="20"/>
      <c r="P1919" s="28"/>
      <c r="Q1919" s="28"/>
      <c r="R1919" s="20"/>
      <c r="S1919" s="20"/>
      <c r="T1919" s="20"/>
      <c r="U1919" s="20"/>
      <c r="V1919" s="20"/>
      <c r="W1919" s="20"/>
      <c r="X1919" s="20"/>
      <c r="Y1919" s="20"/>
      <c r="Z1919" s="20"/>
      <c r="AA1919" s="20"/>
      <c r="AB1919" s="20"/>
      <c r="AC1919" s="20"/>
      <c r="AD1919" s="20"/>
      <c r="AE1919" s="20"/>
      <c r="AF1919" s="20"/>
      <c r="AG1919" s="20"/>
      <c r="AH1919" s="20"/>
      <c r="AI1919" s="20"/>
      <c r="AJ1919" s="20"/>
      <c r="AK1919" s="20"/>
      <c r="AL1919" s="20"/>
      <c r="AM1919" s="20"/>
    </row>
    <row r="1920" spans="1:39" ht="13">
      <c r="A1920" s="20"/>
      <c r="B1920" s="20"/>
      <c r="C1920" s="20"/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  <c r="N1920" s="20"/>
      <c r="O1920" s="20"/>
      <c r="P1920" s="28"/>
      <c r="Q1920" s="28"/>
      <c r="R1920" s="20"/>
      <c r="S1920" s="20"/>
      <c r="T1920" s="20"/>
      <c r="U1920" s="20"/>
      <c r="V1920" s="20"/>
      <c r="W1920" s="20"/>
      <c r="X1920" s="20"/>
      <c r="Y1920" s="20"/>
      <c r="Z1920" s="20"/>
      <c r="AA1920" s="20"/>
      <c r="AB1920" s="20"/>
      <c r="AC1920" s="20"/>
      <c r="AD1920" s="20"/>
      <c r="AE1920" s="20"/>
      <c r="AF1920" s="20"/>
      <c r="AG1920" s="20"/>
      <c r="AH1920" s="20"/>
      <c r="AI1920" s="20"/>
      <c r="AJ1920" s="20"/>
      <c r="AK1920" s="20"/>
      <c r="AL1920" s="20"/>
      <c r="AM1920" s="20"/>
    </row>
    <row r="1921" spans="1:39" ht="13">
      <c r="A1921" s="20"/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8"/>
      <c r="Q1921" s="28"/>
      <c r="R1921" s="20"/>
      <c r="S1921" s="20"/>
      <c r="T1921" s="20"/>
      <c r="U1921" s="20"/>
      <c r="V1921" s="20"/>
      <c r="W1921" s="20"/>
      <c r="X1921" s="20"/>
      <c r="Y1921" s="20"/>
      <c r="Z1921" s="20"/>
      <c r="AA1921" s="20"/>
      <c r="AB1921" s="20"/>
      <c r="AC1921" s="20"/>
      <c r="AD1921" s="20"/>
      <c r="AE1921" s="20"/>
      <c r="AF1921" s="20"/>
      <c r="AG1921" s="20"/>
      <c r="AH1921" s="20"/>
      <c r="AI1921" s="20"/>
      <c r="AJ1921" s="20"/>
      <c r="AK1921" s="20"/>
      <c r="AL1921" s="20"/>
      <c r="AM1921" s="20"/>
    </row>
    <row r="1922" spans="1:39" ht="13">
      <c r="A1922" s="20"/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8"/>
      <c r="Q1922" s="28"/>
      <c r="R1922" s="20"/>
      <c r="S1922" s="20"/>
      <c r="T1922" s="20"/>
      <c r="U1922" s="20"/>
      <c r="V1922" s="20"/>
      <c r="W1922" s="20"/>
      <c r="X1922" s="20"/>
      <c r="Y1922" s="20"/>
      <c r="Z1922" s="20"/>
      <c r="AA1922" s="20"/>
      <c r="AB1922" s="20"/>
      <c r="AC1922" s="20"/>
      <c r="AD1922" s="20"/>
      <c r="AE1922" s="20"/>
      <c r="AF1922" s="20"/>
      <c r="AG1922" s="20"/>
      <c r="AH1922" s="20"/>
      <c r="AI1922" s="20"/>
      <c r="AJ1922" s="20"/>
      <c r="AK1922" s="20"/>
      <c r="AL1922" s="20"/>
      <c r="AM1922" s="20"/>
    </row>
    <row r="1923" spans="1:39" ht="13">
      <c r="A1923" s="20"/>
      <c r="B1923" s="20"/>
      <c r="C1923" s="20"/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  <c r="N1923" s="20"/>
      <c r="O1923" s="20"/>
      <c r="P1923" s="28"/>
      <c r="Q1923" s="28"/>
      <c r="R1923" s="20"/>
      <c r="S1923" s="20"/>
      <c r="T1923" s="20"/>
      <c r="U1923" s="20"/>
      <c r="V1923" s="20"/>
      <c r="W1923" s="20"/>
      <c r="X1923" s="20"/>
      <c r="Y1923" s="20"/>
      <c r="Z1923" s="20"/>
      <c r="AA1923" s="20"/>
      <c r="AB1923" s="20"/>
      <c r="AC1923" s="20"/>
      <c r="AD1923" s="20"/>
      <c r="AE1923" s="20"/>
      <c r="AF1923" s="20"/>
      <c r="AG1923" s="20"/>
      <c r="AH1923" s="20"/>
      <c r="AI1923" s="20"/>
      <c r="AJ1923" s="20"/>
      <c r="AK1923" s="20"/>
      <c r="AL1923" s="20"/>
      <c r="AM1923" s="20"/>
    </row>
    <row r="1924" spans="1:39" ht="13">
      <c r="A1924" s="20"/>
      <c r="B1924" s="20"/>
      <c r="C1924" s="20"/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  <c r="N1924" s="20"/>
      <c r="O1924" s="20"/>
      <c r="P1924" s="28"/>
      <c r="Q1924" s="28"/>
      <c r="R1924" s="20"/>
      <c r="S1924" s="20"/>
      <c r="T1924" s="20"/>
      <c r="U1924" s="20"/>
      <c r="V1924" s="20"/>
      <c r="W1924" s="20"/>
      <c r="X1924" s="20"/>
      <c r="Y1924" s="20"/>
      <c r="Z1924" s="20"/>
      <c r="AA1924" s="20"/>
      <c r="AB1924" s="20"/>
      <c r="AC1924" s="20"/>
      <c r="AD1924" s="20"/>
      <c r="AE1924" s="20"/>
      <c r="AF1924" s="20"/>
      <c r="AG1924" s="20"/>
      <c r="AH1924" s="20"/>
      <c r="AI1924" s="20"/>
      <c r="AJ1924" s="20"/>
      <c r="AK1924" s="20"/>
      <c r="AL1924" s="20"/>
      <c r="AM1924" s="20"/>
    </row>
    <row r="1925" spans="1:39" ht="13">
      <c r="A1925" s="20"/>
      <c r="B1925" s="20"/>
      <c r="C1925" s="20"/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  <c r="N1925" s="20"/>
      <c r="O1925" s="20"/>
      <c r="P1925" s="28"/>
      <c r="Q1925" s="28"/>
      <c r="R1925" s="20"/>
      <c r="S1925" s="20"/>
      <c r="T1925" s="20"/>
      <c r="U1925" s="20"/>
      <c r="V1925" s="20"/>
      <c r="W1925" s="20"/>
      <c r="X1925" s="20"/>
      <c r="Y1925" s="20"/>
      <c r="Z1925" s="20"/>
      <c r="AA1925" s="20"/>
      <c r="AB1925" s="20"/>
      <c r="AC1925" s="20"/>
      <c r="AD1925" s="20"/>
      <c r="AE1925" s="20"/>
      <c r="AF1925" s="20"/>
      <c r="AG1925" s="20"/>
      <c r="AH1925" s="20"/>
      <c r="AI1925" s="20"/>
      <c r="AJ1925" s="20"/>
      <c r="AK1925" s="20"/>
      <c r="AL1925" s="20"/>
      <c r="AM1925" s="20"/>
    </row>
    <row r="1926" spans="1:39" ht="13">
      <c r="A1926" s="20"/>
      <c r="B1926" s="20"/>
      <c r="C1926" s="20"/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  <c r="N1926" s="20"/>
      <c r="O1926" s="20"/>
      <c r="P1926" s="28"/>
      <c r="Q1926" s="28"/>
      <c r="R1926" s="20"/>
      <c r="S1926" s="20"/>
      <c r="T1926" s="20"/>
      <c r="U1926" s="20"/>
      <c r="V1926" s="20"/>
      <c r="W1926" s="20"/>
      <c r="X1926" s="20"/>
      <c r="Y1926" s="20"/>
      <c r="Z1926" s="20"/>
      <c r="AA1926" s="20"/>
      <c r="AB1926" s="20"/>
      <c r="AC1926" s="20"/>
      <c r="AD1926" s="20"/>
      <c r="AE1926" s="20"/>
      <c r="AF1926" s="20"/>
      <c r="AG1926" s="20"/>
      <c r="AH1926" s="20"/>
      <c r="AI1926" s="20"/>
      <c r="AJ1926" s="20"/>
      <c r="AK1926" s="20"/>
      <c r="AL1926" s="20"/>
      <c r="AM1926" s="20"/>
    </row>
    <row r="1927" spans="1:39" ht="13">
      <c r="A1927" s="20"/>
      <c r="B1927" s="20"/>
      <c r="C1927" s="20"/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  <c r="N1927" s="20"/>
      <c r="O1927" s="20"/>
      <c r="P1927" s="28"/>
      <c r="Q1927" s="28"/>
      <c r="R1927" s="20"/>
      <c r="S1927" s="20"/>
      <c r="T1927" s="20"/>
      <c r="U1927" s="20"/>
      <c r="V1927" s="20"/>
      <c r="W1927" s="20"/>
      <c r="X1927" s="20"/>
      <c r="Y1927" s="20"/>
      <c r="Z1927" s="20"/>
      <c r="AA1927" s="20"/>
      <c r="AB1927" s="20"/>
      <c r="AC1927" s="20"/>
      <c r="AD1927" s="20"/>
      <c r="AE1927" s="20"/>
      <c r="AF1927" s="20"/>
      <c r="AG1927" s="20"/>
      <c r="AH1927" s="20"/>
      <c r="AI1927" s="20"/>
      <c r="AJ1927" s="20"/>
      <c r="AK1927" s="20"/>
      <c r="AL1927" s="20"/>
      <c r="AM1927" s="20"/>
    </row>
    <row r="1928" spans="1:39" ht="13">
      <c r="A1928" s="20"/>
      <c r="B1928" s="20"/>
      <c r="C1928" s="20"/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  <c r="N1928" s="20"/>
      <c r="O1928" s="20"/>
      <c r="P1928" s="28"/>
      <c r="Q1928" s="28"/>
      <c r="R1928" s="20"/>
      <c r="S1928" s="20"/>
      <c r="T1928" s="20"/>
      <c r="U1928" s="20"/>
      <c r="V1928" s="20"/>
      <c r="W1928" s="20"/>
      <c r="X1928" s="20"/>
      <c r="Y1928" s="20"/>
      <c r="Z1928" s="20"/>
      <c r="AA1928" s="20"/>
      <c r="AB1928" s="20"/>
      <c r="AC1928" s="20"/>
      <c r="AD1928" s="20"/>
      <c r="AE1928" s="20"/>
      <c r="AF1928" s="20"/>
      <c r="AG1928" s="20"/>
      <c r="AH1928" s="20"/>
      <c r="AI1928" s="20"/>
      <c r="AJ1928" s="20"/>
      <c r="AK1928" s="20"/>
      <c r="AL1928" s="20"/>
      <c r="AM1928" s="20"/>
    </row>
    <row r="1929" spans="1:39" ht="13">
      <c r="A1929" s="20"/>
      <c r="B1929" s="20"/>
      <c r="C1929" s="20"/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  <c r="N1929" s="20"/>
      <c r="O1929" s="20"/>
      <c r="P1929" s="28"/>
      <c r="Q1929" s="28"/>
      <c r="R1929" s="20"/>
      <c r="S1929" s="20"/>
      <c r="T1929" s="20"/>
      <c r="U1929" s="20"/>
      <c r="V1929" s="20"/>
      <c r="W1929" s="20"/>
      <c r="X1929" s="20"/>
      <c r="Y1929" s="20"/>
      <c r="Z1929" s="20"/>
      <c r="AA1929" s="20"/>
      <c r="AB1929" s="20"/>
      <c r="AC1929" s="20"/>
      <c r="AD1929" s="20"/>
      <c r="AE1929" s="20"/>
      <c r="AF1929" s="20"/>
      <c r="AG1929" s="20"/>
      <c r="AH1929" s="20"/>
      <c r="AI1929" s="20"/>
      <c r="AJ1929" s="20"/>
      <c r="AK1929" s="20"/>
      <c r="AL1929" s="20"/>
      <c r="AM1929" s="20"/>
    </row>
    <row r="1930" spans="1:39" ht="13">
      <c r="A1930" s="20"/>
      <c r="B1930" s="20"/>
      <c r="C1930" s="20"/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  <c r="N1930" s="20"/>
      <c r="O1930" s="20"/>
      <c r="P1930" s="28"/>
      <c r="Q1930" s="28"/>
      <c r="R1930" s="20"/>
      <c r="S1930" s="20"/>
      <c r="T1930" s="20"/>
      <c r="U1930" s="20"/>
      <c r="V1930" s="20"/>
      <c r="W1930" s="20"/>
      <c r="X1930" s="20"/>
      <c r="Y1930" s="20"/>
      <c r="Z1930" s="20"/>
      <c r="AA1930" s="20"/>
      <c r="AB1930" s="20"/>
      <c r="AC1930" s="20"/>
      <c r="AD1930" s="20"/>
      <c r="AE1930" s="20"/>
      <c r="AF1930" s="20"/>
      <c r="AG1930" s="20"/>
      <c r="AH1930" s="20"/>
      <c r="AI1930" s="20"/>
      <c r="AJ1930" s="20"/>
      <c r="AK1930" s="20"/>
      <c r="AL1930" s="20"/>
      <c r="AM1930" s="20"/>
    </row>
    <row r="1931" spans="1:39" ht="13">
      <c r="A1931" s="20"/>
      <c r="B1931" s="20"/>
      <c r="C1931" s="20"/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  <c r="N1931" s="20"/>
      <c r="O1931" s="20"/>
      <c r="P1931" s="28"/>
      <c r="Q1931" s="28"/>
      <c r="R1931" s="20"/>
      <c r="S1931" s="20"/>
      <c r="T1931" s="20"/>
      <c r="U1931" s="20"/>
      <c r="V1931" s="20"/>
      <c r="W1931" s="20"/>
      <c r="X1931" s="20"/>
      <c r="Y1931" s="20"/>
      <c r="Z1931" s="20"/>
      <c r="AA1931" s="20"/>
      <c r="AB1931" s="20"/>
      <c r="AC1931" s="20"/>
      <c r="AD1931" s="20"/>
      <c r="AE1931" s="20"/>
      <c r="AF1931" s="20"/>
      <c r="AG1931" s="20"/>
      <c r="AH1931" s="20"/>
      <c r="AI1931" s="20"/>
      <c r="AJ1931" s="20"/>
      <c r="AK1931" s="20"/>
      <c r="AL1931" s="20"/>
      <c r="AM1931" s="20"/>
    </row>
    <row r="1932" spans="1:39" ht="13">
      <c r="A1932" s="20"/>
      <c r="B1932" s="20"/>
      <c r="C1932" s="20"/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  <c r="N1932" s="20"/>
      <c r="O1932" s="20"/>
      <c r="P1932" s="28"/>
      <c r="Q1932" s="28"/>
      <c r="R1932" s="20"/>
      <c r="S1932" s="20"/>
      <c r="T1932" s="20"/>
      <c r="U1932" s="20"/>
      <c r="V1932" s="20"/>
      <c r="W1932" s="20"/>
      <c r="X1932" s="20"/>
      <c r="Y1932" s="20"/>
      <c r="Z1932" s="20"/>
      <c r="AA1932" s="20"/>
      <c r="AB1932" s="20"/>
      <c r="AC1932" s="20"/>
      <c r="AD1932" s="20"/>
      <c r="AE1932" s="20"/>
      <c r="AF1932" s="20"/>
      <c r="AG1932" s="20"/>
      <c r="AH1932" s="20"/>
      <c r="AI1932" s="20"/>
      <c r="AJ1932" s="20"/>
      <c r="AK1932" s="20"/>
      <c r="AL1932" s="20"/>
      <c r="AM1932" s="20"/>
    </row>
    <row r="1933" spans="1:39" ht="13">
      <c r="A1933" s="20"/>
      <c r="B1933" s="20"/>
      <c r="C1933" s="20"/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  <c r="N1933" s="20"/>
      <c r="O1933" s="20"/>
      <c r="P1933" s="28"/>
      <c r="Q1933" s="28"/>
      <c r="R1933" s="20"/>
      <c r="S1933" s="20"/>
      <c r="T1933" s="20"/>
      <c r="U1933" s="20"/>
      <c r="V1933" s="20"/>
      <c r="W1933" s="20"/>
      <c r="X1933" s="20"/>
      <c r="Y1933" s="20"/>
      <c r="Z1933" s="20"/>
      <c r="AA1933" s="20"/>
      <c r="AB1933" s="20"/>
      <c r="AC1933" s="20"/>
      <c r="AD1933" s="20"/>
      <c r="AE1933" s="20"/>
      <c r="AF1933" s="20"/>
      <c r="AG1933" s="20"/>
      <c r="AH1933" s="20"/>
      <c r="AI1933" s="20"/>
      <c r="AJ1933" s="20"/>
      <c r="AK1933" s="20"/>
      <c r="AL1933" s="20"/>
      <c r="AM1933" s="20"/>
    </row>
    <row r="1934" spans="1:39" ht="13">
      <c r="A1934" s="20"/>
      <c r="B1934" s="20"/>
      <c r="C1934" s="20"/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  <c r="N1934" s="20"/>
      <c r="O1934" s="20"/>
      <c r="P1934" s="28"/>
      <c r="Q1934" s="28"/>
      <c r="R1934" s="20"/>
      <c r="S1934" s="20"/>
      <c r="T1934" s="20"/>
      <c r="U1934" s="20"/>
      <c r="V1934" s="20"/>
      <c r="W1934" s="20"/>
      <c r="X1934" s="20"/>
      <c r="Y1934" s="20"/>
      <c r="Z1934" s="20"/>
      <c r="AA1934" s="20"/>
      <c r="AB1934" s="20"/>
      <c r="AC1934" s="20"/>
      <c r="AD1934" s="20"/>
      <c r="AE1934" s="20"/>
      <c r="AF1934" s="20"/>
      <c r="AG1934" s="20"/>
      <c r="AH1934" s="20"/>
      <c r="AI1934" s="20"/>
      <c r="AJ1934" s="20"/>
      <c r="AK1934" s="20"/>
      <c r="AL1934" s="20"/>
      <c r="AM1934" s="20"/>
    </row>
    <row r="1935" spans="1:39" ht="13">
      <c r="A1935" s="20"/>
      <c r="B1935" s="20"/>
      <c r="C1935" s="20"/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  <c r="N1935" s="20"/>
      <c r="O1935" s="20"/>
      <c r="P1935" s="28"/>
      <c r="Q1935" s="28"/>
      <c r="R1935" s="20"/>
      <c r="S1935" s="20"/>
      <c r="T1935" s="20"/>
      <c r="U1935" s="20"/>
      <c r="V1935" s="20"/>
      <c r="W1935" s="20"/>
      <c r="X1935" s="20"/>
      <c r="Y1935" s="20"/>
      <c r="Z1935" s="20"/>
      <c r="AA1935" s="20"/>
      <c r="AB1935" s="20"/>
      <c r="AC1935" s="20"/>
      <c r="AD1935" s="20"/>
      <c r="AE1935" s="20"/>
      <c r="AF1935" s="20"/>
      <c r="AG1935" s="20"/>
      <c r="AH1935" s="20"/>
      <c r="AI1935" s="20"/>
      <c r="AJ1935" s="20"/>
      <c r="AK1935" s="20"/>
      <c r="AL1935" s="20"/>
      <c r="AM1935" s="20"/>
    </row>
    <row r="1936" spans="1:39" ht="13">
      <c r="A1936" s="20"/>
      <c r="B1936" s="20"/>
      <c r="C1936" s="20"/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  <c r="N1936" s="20"/>
      <c r="O1936" s="20"/>
      <c r="P1936" s="28"/>
      <c r="Q1936" s="28"/>
      <c r="R1936" s="20"/>
      <c r="S1936" s="20"/>
      <c r="T1936" s="20"/>
      <c r="U1936" s="20"/>
      <c r="V1936" s="20"/>
      <c r="W1936" s="20"/>
      <c r="X1936" s="20"/>
      <c r="Y1936" s="20"/>
      <c r="Z1936" s="20"/>
      <c r="AA1936" s="20"/>
      <c r="AB1936" s="20"/>
      <c r="AC1936" s="20"/>
      <c r="AD1936" s="20"/>
      <c r="AE1936" s="20"/>
      <c r="AF1936" s="20"/>
      <c r="AG1936" s="20"/>
      <c r="AH1936" s="20"/>
      <c r="AI1936" s="20"/>
      <c r="AJ1936" s="20"/>
      <c r="AK1936" s="20"/>
      <c r="AL1936" s="20"/>
      <c r="AM1936" s="20"/>
    </row>
    <row r="1937" spans="1:39" ht="13">
      <c r="A1937" s="20"/>
      <c r="B1937" s="20"/>
      <c r="C1937" s="20"/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  <c r="N1937" s="20"/>
      <c r="O1937" s="20"/>
      <c r="P1937" s="28"/>
      <c r="Q1937" s="28"/>
      <c r="R1937" s="20"/>
      <c r="S1937" s="20"/>
      <c r="T1937" s="20"/>
      <c r="U1937" s="20"/>
      <c r="V1937" s="20"/>
      <c r="W1937" s="20"/>
      <c r="X1937" s="20"/>
      <c r="Y1937" s="20"/>
      <c r="Z1937" s="20"/>
      <c r="AA1937" s="20"/>
      <c r="AB1937" s="20"/>
      <c r="AC1937" s="20"/>
      <c r="AD1937" s="20"/>
      <c r="AE1937" s="20"/>
      <c r="AF1937" s="20"/>
      <c r="AG1937" s="20"/>
      <c r="AH1937" s="20"/>
      <c r="AI1937" s="20"/>
      <c r="AJ1937" s="20"/>
      <c r="AK1937" s="20"/>
      <c r="AL1937" s="20"/>
      <c r="AM1937" s="20"/>
    </row>
    <row r="1938" spans="1:39" ht="13">
      <c r="A1938" s="20"/>
      <c r="B1938" s="20"/>
      <c r="C1938" s="20"/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  <c r="N1938" s="20"/>
      <c r="O1938" s="20"/>
      <c r="P1938" s="28"/>
      <c r="Q1938" s="28"/>
      <c r="R1938" s="20"/>
      <c r="S1938" s="20"/>
      <c r="T1938" s="20"/>
      <c r="U1938" s="20"/>
      <c r="V1938" s="20"/>
      <c r="W1938" s="20"/>
      <c r="X1938" s="20"/>
      <c r="Y1938" s="20"/>
      <c r="Z1938" s="20"/>
      <c r="AA1938" s="20"/>
      <c r="AB1938" s="20"/>
      <c r="AC1938" s="20"/>
      <c r="AD1938" s="20"/>
      <c r="AE1938" s="20"/>
      <c r="AF1938" s="20"/>
      <c r="AG1938" s="20"/>
      <c r="AH1938" s="20"/>
      <c r="AI1938" s="20"/>
      <c r="AJ1938" s="20"/>
      <c r="AK1938" s="20"/>
      <c r="AL1938" s="20"/>
      <c r="AM1938" s="20"/>
    </row>
    <row r="1939" spans="1:39" ht="13">
      <c r="A1939" s="20"/>
      <c r="B1939" s="20"/>
      <c r="C1939" s="20"/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  <c r="N1939" s="20"/>
      <c r="O1939" s="20"/>
      <c r="P1939" s="28"/>
      <c r="Q1939" s="28"/>
      <c r="R1939" s="20"/>
      <c r="S1939" s="20"/>
      <c r="T1939" s="20"/>
      <c r="U1939" s="20"/>
      <c r="V1939" s="20"/>
      <c r="W1939" s="20"/>
      <c r="X1939" s="20"/>
      <c r="Y1939" s="20"/>
      <c r="Z1939" s="20"/>
      <c r="AA1939" s="20"/>
      <c r="AB1939" s="20"/>
      <c r="AC1939" s="20"/>
      <c r="AD1939" s="20"/>
      <c r="AE1939" s="20"/>
      <c r="AF1939" s="20"/>
      <c r="AG1939" s="20"/>
      <c r="AH1939" s="20"/>
      <c r="AI1939" s="20"/>
      <c r="AJ1939" s="20"/>
      <c r="AK1939" s="20"/>
      <c r="AL1939" s="20"/>
      <c r="AM1939" s="20"/>
    </row>
    <row r="1940" spans="1:39" ht="13">
      <c r="A1940" s="20"/>
      <c r="B1940" s="20"/>
      <c r="C1940" s="20"/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  <c r="N1940" s="20"/>
      <c r="O1940" s="20"/>
      <c r="P1940" s="28"/>
      <c r="Q1940" s="28"/>
      <c r="R1940" s="20"/>
      <c r="S1940" s="20"/>
      <c r="T1940" s="20"/>
      <c r="U1940" s="20"/>
      <c r="V1940" s="20"/>
      <c r="W1940" s="20"/>
      <c r="X1940" s="20"/>
      <c r="Y1940" s="20"/>
      <c r="Z1940" s="20"/>
      <c r="AA1940" s="20"/>
      <c r="AB1940" s="20"/>
      <c r="AC1940" s="20"/>
      <c r="AD1940" s="20"/>
      <c r="AE1940" s="20"/>
      <c r="AF1940" s="20"/>
      <c r="AG1940" s="20"/>
      <c r="AH1940" s="20"/>
      <c r="AI1940" s="20"/>
      <c r="AJ1940" s="20"/>
      <c r="AK1940" s="20"/>
      <c r="AL1940" s="20"/>
      <c r="AM1940" s="20"/>
    </row>
    <row r="1941" spans="1:39" ht="13">
      <c r="A1941" s="20"/>
      <c r="B1941" s="20"/>
      <c r="C1941" s="20"/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  <c r="N1941" s="20"/>
      <c r="O1941" s="20"/>
      <c r="P1941" s="28"/>
      <c r="Q1941" s="28"/>
      <c r="R1941" s="20"/>
      <c r="S1941" s="20"/>
      <c r="T1941" s="20"/>
      <c r="U1941" s="20"/>
      <c r="V1941" s="20"/>
      <c r="W1941" s="20"/>
      <c r="X1941" s="20"/>
      <c r="Y1941" s="20"/>
      <c r="Z1941" s="20"/>
      <c r="AA1941" s="20"/>
      <c r="AB1941" s="20"/>
      <c r="AC1941" s="20"/>
      <c r="AD1941" s="20"/>
      <c r="AE1941" s="20"/>
      <c r="AF1941" s="20"/>
      <c r="AG1941" s="20"/>
      <c r="AH1941" s="20"/>
      <c r="AI1941" s="20"/>
      <c r="AJ1941" s="20"/>
      <c r="AK1941" s="20"/>
      <c r="AL1941" s="20"/>
      <c r="AM1941" s="20"/>
    </row>
    <row r="1942" spans="1:39" ht="13">
      <c r="A1942" s="20"/>
      <c r="B1942" s="20"/>
      <c r="C1942" s="20"/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  <c r="N1942" s="20"/>
      <c r="O1942" s="20"/>
      <c r="P1942" s="28"/>
      <c r="Q1942" s="28"/>
      <c r="R1942" s="20"/>
      <c r="S1942" s="20"/>
      <c r="T1942" s="20"/>
      <c r="U1942" s="20"/>
      <c r="V1942" s="20"/>
      <c r="W1942" s="20"/>
      <c r="X1942" s="20"/>
      <c r="Y1942" s="20"/>
      <c r="Z1942" s="20"/>
      <c r="AA1942" s="20"/>
      <c r="AB1942" s="20"/>
      <c r="AC1942" s="20"/>
      <c r="AD1942" s="20"/>
      <c r="AE1942" s="20"/>
      <c r="AF1942" s="20"/>
      <c r="AG1942" s="20"/>
      <c r="AH1942" s="20"/>
      <c r="AI1942" s="20"/>
      <c r="AJ1942" s="20"/>
      <c r="AK1942" s="20"/>
      <c r="AL1942" s="20"/>
      <c r="AM1942" s="20"/>
    </row>
    <row r="1943" spans="1:39" ht="13">
      <c r="A1943" s="20"/>
      <c r="B1943" s="20"/>
      <c r="C1943" s="20"/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  <c r="N1943" s="20"/>
      <c r="O1943" s="20"/>
      <c r="P1943" s="28"/>
      <c r="Q1943" s="28"/>
      <c r="R1943" s="20"/>
      <c r="S1943" s="20"/>
      <c r="T1943" s="20"/>
      <c r="U1943" s="20"/>
      <c r="V1943" s="20"/>
      <c r="W1943" s="20"/>
      <c r="X1943" s="20"/>
      <c r="Y1943" s="20"/>
      <c r="Z1943" s="20"/>
      <c r="AA1943" s="20"/>
      <c r="AB1943" s="20"/>
      <c r="AC1943" s="20"/>
      <c r="AD1943" s="20"/>
      <c r="AE1943" s="20"/>
      <c r="AF1943" s="20"/>
      <c r="AG1943" s="20"/>
      <c r="AH1943" s="20"/>
      <c r="AI1943" s="20"/>
      <c r="AJ1943" s="20"/>
      <c r="AK1943" s="20"/>
      <c r="AL1943" s="20"/>
      <c r="AM1943" s="20"/>
    </row>
    <row r="1944" spans="1:39" ht="13">
      <c r="A1944" s="20"/>
      <c r="B1944" s="20"/>
      <c r="C1944" s="20"/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  <c r="N1944" s="20"/>
      <c r="O1944" s="20"/>
      <c r="P1944" s="28"/>
      <c r="Q1944" s="28"/>
      <c r="R1944" s="20"/>
      <c r="S1944" s="20"/>
      <c r="T1944" s="20"/>
      <c r="U1944" s="20"/>
      <c r="V1944" s="20"/>
      <c r="W1944" s="20"/>
      <c r="X1944" s="20"/>
      <c r="Y1944" s="20"/>
      <c r="Z1944" s="20"/>
      <c r="AA1944" s="20"/>
      <c r="AB1944" s="20"/>
      <c r="AC1944" s="20"/>
      <c r="AD1944" s="20"/>
      <c r="AE1944" s="20"/>
      <c r="AF1944" s="20"/>
      <c r="AG1944" s="20"/>
      <c r="AH1944" s="20"/>
      <c r="AI1944" s="20"/>
      <c r="AJ1944" s="20"/>
      <c r="AK1944" s="20"/>
      <c r="AL1944" s="20"/>
      <c r="AM1944" s="20"/>
    </row>
    <row r="1945" spans="1:39" ht="13">
      <c r="A1945" s="20"/>
      <c r="B1945" s="20"/>
      <c r="C1945" s="20"/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  <c r="N1945" s="20"/>
      <c r="O1945" s="20"/>
      <c r="P1945" s="28"/>
      <c r="Q1945" s="28"/>
      <c r="R1945" s="20"/>
      <c r="S1945" s="20"/>
      <c r="T1945" s="20"/>
      <c r="U1945" s="20"/>
      <c r="V1945" s="20"/>
      <c r="W1945" s="20"/>
      <c r="X1945" s="20"/>
      <c r="Y1945" s="20"/>
      <c r="Z1945" s="20"/>
      <c r="AA1945" s="20"/>
      <c r="AB1945" s="20"/>
      <c r="AC1945" s="20"/>
      <c r="AD1945" s="20"/>
      <c r="AE1945" s="20"/>
      <c r="AF1945" s="20"/>
      <c r="AG1945" s="20"/>
      <c r="AH1945" s="20"/>
      <c r="AI1945" s="20"/>
      <c r="AJ1945" s="20"/>
      <c r="AK1945" s="20"/>
      <c r="AL1945" s="20"/>
      <c r="AM1945" s="20"/>
    </row>
    <row r="1946" spans="1:39" ht="13">
      <c r="A1946" s="20"/>
      <c r="B1946" s="20"/>
      <c r="C1946" s="20"/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  <c r="N1946" s="20"/>
      <c r="O1946" s="20"/>
      <c r="P1946" s="28"/>
      <c r="Q1946" s="28"/>
      <c r="R1946" s="20"/>
      <c r="S1946" s="20"/>
      <c r="T1946" s="20"/>
      <c r="U1946" s="20"/>
      <c r="V1946" s="20"/>
      <c r="W1946" s="20"/>
      <c r="X1946" s="20"/>
      <c r="Y1946" s="20"/>
      <c r="Z1946" s="20"/>
      <c r="AA1946" s="20"/>
      <c r="AB1946" s="20"/>
      <c r="AC1946" s="20"/>
      <c r="AD1946" s="20"/>
      <c r="AE1946" s="20"/>
      <c r="AF1946" s="20"/>
      <c r="AG1946" s="20"/>
      <c r="AH1946" s="20"/>
      <c r="AI1946" s="20"/>
      <c r="AJ1946" s="20"/>
      <c r="AK1946" s="20"/>
      <c r="AL1946" s="20"/>
      <c r="AM1946" s="20"/>
    </row>
    <row r="1947" spans="1:39" ht="13">
      <c r="A1947" s="20"/>
      <c r="B1947" s="20"/>
      <c r="C1947" s="20"/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  <c r="N1947" s="20"/>
      <c r="O1947" s="20"/>
      <c r="P1947" s="28"/>
      <c r="Q1947" s="28"/>
      <c r="R1947" s="20"/>
      <c r="S1947" s="20"/>
      <c r="T1947" s="20"/>
      <c r="U1947" s="20"/>
      <c r="V1947" s="20"/>
      <c r="W1947" s="20"/>
      <c r="X1947" s="20"/>
      <c r="Y1947" s="20"/>
      <c r="Z1947" s="20"/>
      <c r="AA1947" s="20"/>
      <c r="AB1947" s="20"/>
      <c r="AC1947" s="20"/>
      <c r="AD1947" s="20"/>
      <c r="AE1947" s="20"/>
      <c r="AF1947" s="20"/>
      <c r="AG1947" s="20"/>
      <c r="AH1947" s="20"/>
      <c r="AI1947" s="20"/>
      <c r="AJ1947" s="20"/>
      <c r="AK1947" s="20"/>
      <c r="AL1947" s="20"/>
      <c r="AM1947" s="20"/>
    </row>
    <row r="1948" spans="1:39" ht="13">
      <c r="A1948" s="20"/>
      <c r="B1948" s="20"/>
      <c r="C1948" s="20"/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  <c r="N1948" s="20"/>
      <c r="O1948" s="20"/>
      <c r="P1948" s="28"/>
      <c r="Q1948" s="28"/>
      <c r="R1948" s="20"/>
      <c r="S1948" s="20"/>
      <c r="T1948" s="20"/>
      <c r="U1948" s="20"/>
      <c r="V1948" s="20"/>
      <c r="W1948" s="20"/>
      <c r="X1948" s="20"/>
      <c r="Y1948" s="20"/>
      <c r="Z1948" s="20"/>
      <c r="AA1948" s="20"/>
      <c r="AB1948" s="20"/>
      <c r="AC1948" s="20"/>
      <c r="AD1948" s="20"/>
      <c r="AE1948" s="20"/>
      <c r="AF1948" s="20"/>
      <c r="AG1948" s="20"/>
      <c r="AH1948" s="20"/>
      <c r="AI1948" s="20"/>
      <c r="AJ1948" s="20"/>
      <c r="AK1948" s="20"/>
      <c r="AL1948" s="20"/>
      <c r="AM1948" s="20"/>
    </row>
    <row r="1949" spans="1:39" ht="13">
      <c r="A1949" s="20"/>
      <c r="B1949" s="20"/>
      <c r="C1949" s="20"/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  <c r="N1949" s="20"/>
      <c r="O1949" s="20"/>
      <c r="P1949" s="28"/>
      <c r="Q1949" s="28"/>
      <c r="R1949" s="20"/>
      <c r="S1949" s="20"/>
      <c r="T1949" s="20"/>
      <c r="U1949" s="20"/>
      <c r="V1949" s="20"/>
      <c r="W1949" s="20"/>
      <c r="X1949" s="20"/>
      <c r="Y1949" s="20"/>
      <c r="Z1949" s="20"/>
      <c r="AA1949" s="20"/>
      <c r="AB1949" s="20"/>
      <c r="AC1949" s="20"/>
      <c r="AD1949" s="20"/>
      <c r="AE1949" s="20"/>
      <c r="AF1949" s="20"/>
      <c r="AG1949" s="20"/>
      <c r="AH1949" s="20"/>
      <c r="AI1949" s="20"/>
      <c r="AJ1949" s="20"/>
      <c r="AK1949" s="20"/>
      <c r="AL1949" s="20"/>
      <c r="AM1949" s="20"/>
    </row>
    <row r="1950" spans="1:39" ht="13">
      <c r="A1950" s="20"/>
      <c r="B1950" s="20"/>
      <c r="C1950" s="20"/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  <c r="N1950" s="20"/>
      <c r="O1950" s="20"/>
      <c r="P1950" s="28"/>
      <c r="Q1950" s="28"/>
      <c r="R1950" s="20"/>
      <c r="S1950" s="20"/>
      <c r="T1950" s="20"/>
      <c r="U1950" s="20"/>
      <c r="V1950" s="20"/>
      <c r="W1950" s="20"/>
      <c r="X1950" s="20"/>
      <c r="Y1950" s="20"/>
      <c r="Z1950" s="20"/>
      <c r="AA1950" s="20"/>
      <c r="AB1950" s="20"/>
      <c r="AC1950" s="20"/>
      <c r="AD1950" s="20"/>
      <c r="AE1950" s="20"/>
      <c r="AF1950" s="20"/>
      <c r="AG1950" s="20"/>
      <c r="AH1950" s="20"/>
      <c r="AI1950" s="20"/>
      <c r="AJ1950" s="20"/>
      <c r="AK1950" s="20"/>
      <c r="AL1950" s="20"/>
      <c r="AM1950" s="20"/>
    </row>
    <row r="1951" spans="1:39" ht="13">
      <c r="A1951" s="20"/>
      <c r="B1951" s="20"/>
      <c r="C1951" s="20"/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  <c r="N1951" s="20"/>
      <c r="O1951" s="20"/>
      <c r="P1951" s="28"/>
      <c r="Q1951" s="28"/>
      <c r="R1951" s="20"/>
      <c r="S1951" s="20"/>
      <c r="T1951" s="20"/>
      <c r="U1951" s="20"/>
      <c r="V1951" s="20"/>
      <c r="W1951" s="20"/>
      <c r="X1951" s="20"/>
      <c r="Y1951" s="20"/>
      <c r="Z1951" s="20"/>
      <c r="AA1951" s="20"/>
      <c r="AB1951" s="20"/>
      <c r="AC1951" s="20"/>
      <c r="AD1951" s="20"/>
      <c r="AE1951" s="20"/>
      <c r="AF1951" s="20"/>
      <c r="AG1951" s="20"/>
      <c r="AH1951" s="20"/>
      <c r="AI1951" s="20"/>
      <c r="AJ1951" s="20"/>
      <c r="AK1951" s="20"/>
      <c r="AL1951" s="20"/>
      <c r="AM1951" s="20"/>
    </row>
    <row r="1952" spans="1:39" ht="13">
      <c r="A1952" s="20"/>
      <c r="B1952" s="20"/>
      <c r="C1952" s="20"/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  <c r="N1952" s="20"/>
      <c r="O1952" s="20"/>
      <c r="P1952" s="28"/>
      <c r="Q1952" s="28"/>
      <c r="R1952" s="20"/>
      <c r="S1952" s="20"/>
      <c r="T1952" s="20"/>
      <c r="U1952" s="20"/>
      <c r="V1952" s="20"/>
      <c r="W1952" s="20"/>
      <c r="X1952" s="20"/>
      <c r="Y1952" s="20"/>
      <c r="Z1952" s="20"/>
      <c r="AA1952" s="20"/>
      <c r="AB1952" s="20"/>
      <c r="AC1952" s="20"/>
      <c r="AD1952" s="20"/>
      <c r="AE1952" s="20"/>
      <c r="AF1952" s="20"/>
      <c r="AG1952" s="20"/>
      <c r="AH1952" s="20"/>
      <c r="AI1952" s="20"/>
      <c r="AJ1952" s="20"/>
      <c r="AK1952" s="20"/>
      <c r="AL1952" s="20"/>
      <c r="AM1952" s="20"/>
    </row>
    <row r="1953" spans="1:39" ht="13">
      <c r="A1953" s="20"/>
      <c r="B1953" s="20"/>
      <c r="C1953" s="20"/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  <c r="N1953" s="20"/>
      <c r="O1953" s="20"/>
      <c r="P1953" s="28"/>
      <c r="Q1953" s="28"/>
      <c r="R1953" s="20"/>
      <c r="S1953" s="20"/>
      <c r="T1953" s="20"/>
      <c r="U1953" s="20"/>
      <c r="V1953" s="20"/>
      <c r="W1953" s="20"/>
      <c r="X1953" s="20"/>
      <c r="Y1953" s="20"/>
      <c r="Z1953" s="20"/>
      <c r="AA1953" s="20"/>
      <c r="AB1953" s="20"/>
      <c r="AC1953" s="20"/>
      <c r="AD1953" s="20"/>
      <c r="AE1953" s="20"/>
      <c r="AF1953" s="20"/>
      <c r="AG1953" s="20"/>
      <c r="AH1953" s="20"/>
      <c r="AI1953" s="20"/>
      <c r="AJ1953" s="20"/>
      <c r="AK1953" s="20"/>
      <c r="AL1953" s="20"/>
      <c r="AM1953" s="20"/>
    </row>
    <row r="1954" spans="1:39" ht="13">
      <c r="A1954" s="20"/>
      <c r="B1954" s="20"/>
      <c r="C1954" s="20"/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  <c r="N1954" s="20"/>
      <c r="O1954" s="20"/>
      <c r="P1954" s="28"/>
      <c r="Q1954" s="28"/>
      <c r="R1954" s="20"/>
      <c r="S1954" s="20"/>
      <c r="T1954" s="20"/>
      <c r="U1954" s="20"/>
      <c r="V1954" s="20"/>
      <c r="W1954" s="20"/>
      <c r="X1954" s="20"/>
      <c r="Y1954" s="20"/>
      <c r="Z1954" s="20"/>
      <c r="AA1954" s="20"/>
      <c r="AB1954" s="20"/>
      <c r="AC1954" s="20"/>
      <c r="AD1954" s="20"/>
      <c r="AE1954" s="20"/>
      <c r="AF1954" s="20"/>
      <c r="AG1954" s="20"/>
      <c r="AH1954" s="20"/>
      <c r="AI1954" s="20"/>
      <c r="AJ1954" s="20"/>
      <c r="AK1954" s="20"/>
      <c r="AL1954" s="20"/>
      <c r="AM1954" s="20"/>
    </row>
    <row r="1955" spans="1:39" ht="13">
      <c r="A1955" s="20"/>
      <c r="B1955" s="20"/>
      <c r="C1955" s="20"/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  <c r="N1955" s="20"/>
      <c r="O1955" s="20"/>
      <c r="P1955" s="28"/>
      <c r="Q1955" s="28"/>
      <c r="R1955" s="20"/>
      <c r="S1955" s="20"/>
      <c r="T1955" s="20"/>
      <c r="U1955" s="20"/>
      <c r="V1955" s="20"/>
      <c r="W1955" s="20"/>
      <c r="X1955" s="20"/>
      <c r="Y1955" s="20"/>
      <c r="Z1955" s="20"/>
      <c r="AA1955" s="20"/>
      <c r="AB1955" s="20"/>
      <c r="AC1955" s="20"/>
      <c r="AD1955" s="20"/>
      <c r="AE1955" s="20"/>
      <c r="AF1955" s="20"/>
      <c r="AG1955" s="20"/>
      <c r="AH1955" s="20"/>
      <c r="AI1955" s="20"/>
      <c r="AJ1955" s="20"/>
      <c r="AK1955" s="20"/>
      <c r="AL1955" s="20"/>
      <c r="AM1955" s="20"/>
    </row>
    <row r="1956" spans="1:39" ht="13">
      <c r="A1956" s="20"/>
      <c r="B1956" s="20"/>
      <c r="C1956" s="20"/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  <c r="N1956" s="20"/>
      <c r="O1956" s="20"/>
      <c r="P1956" s="28"/>
      <c r="Q1956" s="28"/>
      <c r="R1956" s="20"/>
      <c r="S1956" s="20"/>
      <c r="T1956" s="20"/>
      <c r="U1956" s="20"/>
      <c r="V1956" s="20"/>
      <c r="W1956" s="20"/>
      <c r="X1956" s="20"/>
      <c r="Y1956" s="20"/>
      <c r="Z1956" s="20"/>
      <c r="AA1956" s="20"/>
      <c r="AB1956" s="20"/>
      <c r="AC1956" s="20"/>
      <c r="AD1956" s="20"/>
      <c r="AE1956" s="20"/>
      <c r="AF1956" s="20"/>
      <c r="AG1956" s="20"/>
      <c r="AH1956" s="20"/>
      <c r="AI1956" s="20"/>
      <c r="AJ1956" s="20"/>
      <c r="AK1956" s="20"/>
      <c r="AL1956" s="20"/>
      <c r="AM1956" s="20"/>
    </row>
    <row r="1957" spans="1:39" ht="13">
      <c r="A1957" s="20"/>
      <c r="B1957" s="20"/>
      <c r="C1957" s="20"/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  <c r="N1957" s="20"/>
      <c r="O1957" s="20"/>
      <c r="P1957" s="28"/>
      <c r="Q1957" s="28"/>
      <c r="R1957" s="20"/>
      <c r="S1957" s="20"/>
      <c r="T1957" s="20"/>
      <c r="U1957" s="20"/>
      <c r="V1957" s="20"/>
      <c r="W1957" s="20"/>
      <c r="X1957" s="20"/>
      <c r="Y1957" s="20"/>
      <c r="Z1957" s="20"/>
      <c r="AA1957" s="20"/>
      <c r="AB1957" s="20"/>
      <c r="AC1957" s="20"/>
      <c r="AD1957" s="20"/>
      <c r="AE1957" s="20"/>
      <c r="AF1957" s="20"/>
      <c r="AG1957" s="20"/>
      <c r="AH1957" s="20"/>
      <c r="AI1957" s="20"/>
      <c r="AJ1957" s="20"/>
      <c r="AK1957" s="20"/>
      <c r="AL1957" s="20"/>
      <c r="AM1957" s="20"/>
    </row>
    <row r="1958" spans="1:39" ht="13">
      <c r="A1958" s="20"/>
      <c r="B1958" s="20"/>
      <c r="C1958" s="20"/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  <c r="N1958" s="20"/>
      <c r="O1958" s="20"/>
      <c r="P1958" s="28"/>
      <c r="Q1958" s="28"/>
      <c r="R1958" s="20"/>
      <c r="S1958" s="20"/>
      <c r="T1958" s="20"/>
      <c r="U1958" s="20"/>
      <c r="V1958" s="20"/>
      <c r="W1958" s="20"/>
      <c r="X1958" s="20"/>
      <c r="Y1958" s="20"/>
      <c r="Z1958" s="20"/>
      <c r="AA1958" s="20"/>
      <c r="AB1958" s="20"/>
      <c r="AC1958" s="20"/>
      <c r="AD1958" s="20"/>
      <c r="AE1958" s="20"/>
      <c r="AF1958" s="20"/>
      <c r="AG1958" s="20"/>
      <c r="AH1958" s="20"/>
      <c r="AI1958" s="20"/>
      <c r="AJ1958" s="20"/>
      <c r="AK1958" s="20"/>
      <c r="AL1958" s="20"/>
      <c r="AM1958" s="20"/>
    </row>
    <row r="1959" spans="1:39" ht="13">
      <c r="A1959" s="20"/>
      <c r="B1959" s="20"/>
      <c r="C1959" s="20"/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  <c r="N1959" s="20"/>
      <c r="O1959" s="20"/>
      <c r="P1959" s="28"/>
      <c r="Q1959" s="28"/>
      <c r="R1959" s="20"/>
      <c r="S1959" s="20"/>
      <c r="T1959" s="20"/>
      <c r="U1959" s="20"/>
      <c r="V1959" s="20"/>
      <c r="W1959" s="20"/>
      <c r="X1959" s="20"/>
      <c r="Y1959" s="20"/>
      <c r="Z1959" s="20"/>
      <c r="AA1959" s="20"/>
      <c r="AB1959" s="20"/>
      <c r="AC1959" s="20"/>
      <c r="AD1959" s="20"/>
      <c r="AE1959" s="20"/>
      <c r="AF1959" s="20"/>
      <c r="AG1959" s="20"/>
      <c r="AH1959" s="20"/>
      <c r="AI1959" s="20"/>
      <c r="AJ1959" s="20"/>
      <c r="AK1959" s="20"/>
      <c r="AL1959" s="20"/>
      <c r="AM1959" s="20"/>
    </row>
    <row r="1960" spans="1:39" ht="13">
      <c r="A1960" s="20"/>
      <c r="B1960" s="20"/>
      <c r="C1960" s="20"/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  <c r="N1960" s="20"/>
      <c r="O1960" s="20"/>
      <c r="P1960" s="28"/>
      <c r="Q1960" s="28"/>
      <c r="R1960" s="20"/>
      <c r="S1960" s="20"/>
      <c r="T1960" s="20"/>
      <c r="U1960" s="20"/>
      <c r="V1960" s="20"/>
      <c r="W1960" s="20"/>
      <c r="X1960" s="20"/>
      <c r="Y1960" s="20"/>
      <c r="Z1960" s="20"/>
      <c r="AA1960" s="20"/>
      <c r="AB1960" s="20"/>
      <c r="AC1960" s="20"/>
      <c r="AD1960" s="20"/>
      <c r="AE1960" s="20"/>
      <c r="AF1960" s="20"/>
      <c r="AG1960" s="20"/>
      <c r="AH1960" s="20"/>
      <c r="AI1960" s="20"/>
      <c r="AJ1960" s="20"/>
      <c r="AK1960" s="20"/>
      <c r="AL1960" s="20"/>
      <c r="AM1960" s="20"/>
    </row>
    <row r="1961" spans="1:39" ht="13">
      <c r="A1961" s="20"/>
      <c r="B1961" s="20"/>
      <c r="C1961" s="20"/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  <c r="N1961" s="20"/>
      <c r="O1961" s="20"/>
      <c r="P1961" s="28"/>
      <c r="Q1961" s="28"/>
      <c r="R1961" s="20"/>
      <c r="S1961" s="20"/>
      <c r="T1961" s="20"/>
      <c r="U1961" s="20"/>
      <c r="V1961" s="20"/>
      <c r="W1961" s="20"/>
      <c r="X1961" s="20"/>
      <c r="Y1961" s="20"/>
      <c r="Z1961" s="20"/>
      <c r="AA1961" s="20"/>
      <c r="AB1961" s="20"/>
      <c r="AC1961" s="20"/>
      <c r="AD1961" s="20"/>
      <c r="AE1961" s="20"/>
      <c r="AF1961" s="20"/>
      <c r="AG1961" s="20"/>
      <c r="AH1961" s="20"/>
      <c r="AI1961" s="20"/>
      <c r="AJ1961" s="20"/>
      <c r="AK1961" s="20"/>
      <c r="AL1961" s="20"/>
      <c r="AM1961" s="20"/>
    </row>
    <row r="1962" spans="1:39" ht="13">
      <c r="A1962" s="20"/>
      <c r="B1962" s="20"/>
      <c r="C1962" s="20"/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  <c r="N1962" s="20"/>
      <c r="O1962" s="20"/>
      <c r="P1962" s="28"/>
      <c r="Q1962" s="28"/>
      <c r="R1962" s="20"/>
      <c r="S1962" s="20"/>
      <c r="T1962" s="20"/>
      <c r="U1962" s="20"/>
      <c r="V1962" s="20"/>
      <c r="W1962" s="20"/>
      <c r="X1962" s="20"/>
      <c r="Y1962" s="20"/>
      <c r="Z1962" s="20"/>
      <c r="AA1962" s="20"/>
      <c r="AB1962" s="20"/>
      <c r="AC1962" s="20"/>
      <c r="AD1962" s="20"/>
      <c r="AE1962" s="20"/>
      <c r="AF1962" s="20"/>
      <c r="AG1962" s="20"/>
      <c r="AH1962" s="20"/>
      <c r="AI1962" s="20"/>
      <c r="AJ1962" s="20"/>
      <c r="AK1962" s="20"/>
      <c r="AL1962" s="20"/>
      <c r="AM1962" s="20"/>
    </row>
    <row r="1963" spans="1:39" ht="13">
      <c r="A1963" s="20"/>
      <c r="B1963" s="20"/>
      <c r="C1963" s="20"/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  <c r="N1963" s="20"/>
      <c r="O1963" s="20"/>
      <c r="P1963" s="28"/>
      <c r="Q1963" s="28"/>
      <c r="R1963" s="20"/>
      <c r="S1963" s="20"/>
      <c r="T1963" s="20"/>
      <c r="U1963" s="20"/>
      <c r="V1963" s="20"/>
      <c r="W1963" s="20"/>
      <c r="X1963" s="20"/>
      <c r="Y1963" s="20"/>
      <c r="Z1963" s="20"/>
      <c r="AA1963" s="20"/>
      <c r="AB1963" s="20"/>
      <c r="AC1963" s="20"/>
      <c r="AD1963" s="20"/>
      <c r="AE1963" s="20"/>
      <c r="AF1963" s="20"/>
      <c r="AG1963" s="20"/>
      <c r="AH1963" s="20"/>
      <c r="AI1963" s="20"/>
      <c r="AJ1963" s="20"/>
      <c r="AK1963" s="20"/>
      <c r="AL1963" s="20"/>
      <c r="AM1963" s="20"/>
    </row>
    <row r="1964" spans="1:39" ht="13">
      <c r="A1964" s="20"/>
      <c r="B1964" s="20"/>
      <c r="C1964" s="20"/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  <c r="N1964" s="20"/>
      <c r="O1964" s="20"/>
      <c r="P1964" s="28"/>
      <c r="Q1964" s="28"/>
      <c r="R1964" s="20"/>
      <c r="S1964" s="20"/>
      <c r="T1964" s="20"/>
      <c r="U1964" s="20"/>
      <c r="V1964" s="20"/>
      <c r="W1964" s="20"/>
      <c r="X1964" s="20"/>
      <c r="Y1964" s="20"/>
      <c r="Z1964" s="20"/>
      <c r="AA1964" s="20"/>
      <c r="AB1964" s="20"/>
      <c r="AC1964" s="20"/>
      <c r="AD1964" s="20"/>
      <c r="AE1964" s="20"/>
      <c r="AF1964" s="20"/>
      <c r="AG1964" s="20"/>
      <c r="AH1964" s="20"/>
      <c r="AI1964" s="20"/>
      <c r="AJ1964" s="20"/>
      <c r="AK1964" s="20"/>
      <c r="AL1964" s="20"/>
      <c r="AM1964" s="20"/>
    </row>
    <row r="1965" spans="1:39" ht="13">
      <c r="A1965" s="20"/>
      <c r="B1965" s="20"/>
      <c r="C1965" s="20"/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  <c r="N1965" s="20"/>
      <c r="O1965" s="20"/>
      <c r="P1965" s="28"/>
      <c r="Q1965" s="28"/>
      <c r="R1965" s="20"/>
      <c r="S1965" s="20"/>
      <c r="T1965" s="20"/>
      <c r="U1965" s="20"/>
      <c r="V1965" s="20"/>
      <c r="W1965" s="20"/>
      <c r="X1965" s="20"/>
      <c r="Y1965" s="20"/>
      <c r="Z1965" s="20"/>
      <c r="AA1965" s="20"/>
      <c r="AB1965" s="20"/>
      <c r="AC1965" s="20"/>
      <c r="AD1965" s="20"/>
      <c r="AE1965" s="20"/>
      <c r="AF1965" s="20"/>
      <c r="AG1965" s="20"/>
      <c r="AH1965" s="20"/>
      <c r="AI1965" s="20"/>
      <c r="AJ1965" s="20"/>
      <c r="AK1965" s="20"/>
      <c r="AL1965" s="20"/>
      <c r="AM1965" s="20"/>
    </row>
    <row r="1966" spans="1:39" ht="13">
      <c r="A1966" s="20"/>
      <c r="B1966" s="20"/>
      <c r="C1966" s="20"/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  <c r="N1966" s="20"/>
      <c r="O1966" s="20"/>
      <c r="P1966" s="28"/>
      <c r="Q1966" s="28"/>
      <c r="R1966" s="20"/>
      <c r="S1966" s="20"/>
      <c r="T1966" s="20"/>
      <c r="U1966" s="20"/>
      <c r="V1966" s="20"/>
      <c r="W1966" s="20"/>
      <c r="X1966" s="20"/>
      <c r="Y1966" s="20"/>
      <c r="Z1966" s="20"/>
      <c r="AA1966" s="20"/>
      <c r="AB1966" s="20"/>
      <c r="AC1966" s="20"/>
      <c r="AD1966" s="20"/>
      <c r="AE1966" s="20"/>
      <c r="AF1966" s="20"/>
      <c r="AG1966" s="20"/>
      <c r="AH1966" s="20"/>
      <c r="AI1966" s="20"/>
      <c r="AJ1966" s="20"/>
      <c r="AK1966" s="20"/>
      <c r="AL1966" s="20"/>
      <c r="AM1966" s="20"/>
    </row>
    <row r="1967" spans="1:39" ht="13">
      <c r="A1967" s="20"/>
      <c r="B1967" s="20"/>
      <c r="C1967" s="20"/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  <c r="N1967" s="20"/>
      <c r="O1967" s="20"/>
      <c r="P1967" s="28"/>
      <c r="Q1967" s="28"/>
      <c r="R1967" s="20"/>
      <c r="S1967" s="20"/>
      <c r="T1967" s="20"/>
      <c r="U1967" s="20"/>
      <c r="V1967" s="20"/>
      <c r="W1967" s="20"/>
      <c r="X1967" s="20"/>
      <c r="Y1967" s="20"/>
      <c r="Z1967" s="20"/>
      <c r="AA1967" s="20"/>
      <c r="AB1967" s="20"/>
      <c r="AC1967" s="20"/>
      <c r="AD1967" s="20"/>
      <c r="AE1967" s="20"/>
      <c r="AF1967" s="20"/>
      <c r="AG1967" s="20"/>
      <c r="AH1967" s="20"/>
      <c r="AI1967" s="20"/>
      <c r="AJ1967" s="20"/>
      <c r="AK1967" s="20"/>
      <c r="AL1967" s="20"/>
      <c r="AM1967" s="20"/>
    </row>
    <row r="1968" spans="1:39" ht="13">
      <c r="A1968" s="20"/>
      <c r="B1968" s="20"/>
      <c r="C1968" s="20"/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  <c r="N1968" s="20"/>
      <c r="O1968" s="20"/>
      <c r="P1968" s="28"/>
      <c r="Q1968" s="28"/>
      <c r="R1968" s="20"/>
      <c r="S1968" s="20"/>
      <c r="T1968" s="20"/>
      <c r="U1968" s="20"/>
      <c r="V1968" s="20"/>
      <c r="W1968" s="20"/>
      <c r="X1968" s="20"/>
      <c r="Y1968" s="20"/>
      <c r="Z1968" s="20"/>
      <c r="AA1968" s="20"/>
      <c r="AB1968" s="20"/>
      <c r="AC1968" s="20"/>
      <c r="AD1968" s="20"/>
      <c r="AE1968" s="20"/>
      <c r="AF1968" s="20"/>
      <c r="AG1968" s="20"/>
      <c r="AH1968" s="20"/>
      <c r="AI1968" s="20"/>
      <c r="AJ1968" s="20"/>
      <c r="AK1968" s="20"/>
      <c r="AL1968" s="20"/>
      <c r="AM1968" s="20"/>
    </row>
    <row r="1969" spans="1:39" ht="13">
      <c r="A1969" s="20"/>
      <c r="B1969" s="20"/>
      <c r="C1969" s="20"/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  <c r="N1969" s="20"/>
      <c r="O1969" s="20"/>
      <c r="P1969" s="28"/>
      <c r="Q1969" s="28"/>
      <c r="R1969" s="20"/>
      <c r="S1969" s="20"/>
      <c r="T1969" s="20"/>
      <c r="U1969" s="20"/>
      <c r="V1969" s="20"/>
      <c r="W1969" s="20"/>
      <c r="X1969" s="20"/>
      <c r="Y1969" s="20"/>
      <c r="Z1969" s="20"/>
      <c r="AA1969" s="20"/>
      <c r="AB1969" s="20"/>
      <c r="AC1969" s="20"/>
      <c r="AD1969" s="20"/>
      <c r="AE1969" s="20"/>
      <c r="AF1969" s="20"/>
      <c r="AG1969" s="20"/>
      <c r="AH1969" s="20"/>
      <c r="AI1969" s="20"/>
      <c r="AJ1969" s="20"/>
      <c r="AK1969" s="20"/>
      <c r="AL1969" s="20"/>
      <c r="AM1969" s="20"/>
    </row>
    <row r="1970" spans="1:39" ht="13">
      <c r="A1970" s="20"/>
      <c r="B1970" s="20"/>
      <c r="C1970" s="20"/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  <c r="N1970" s="20"/>
      <c r="O1970" s="20"/>
      <c r="P1970" s="28"/>
      <c r="Q1970" s="28"/>
      <c r="R1970" s="20"/>
      <c r="S1970" s="20"/>
      <c r="T1970" s="20"/>
      <c r="U1970" s="20"/>
      <c r="V1970" s="20"/>
      <c r="W1970" s="20"/>
      <c r="X1970" s="20"/>
      <c r="Y1970" s="20"/>
      <c r="Z1970" s="20"/>
      <c r="AA1970" s="20"/>
      <c r="AB1970" s="20"/>
      <c r="AC1970" s="20"/>
      <c r="AD1970" s="20"/>
      <c r="AE1970" s="20"/>
      <c r="AF1970" s="20"/>
      <c r="AG1970" s="20"/>
      <c r="AH1970" s="20"/>
      <c r="AI1970" s="20"/>
      <c r="AJ1970" s="20"/>
      <c r="AK1970" s="20"/>
      <c r="AL1970" s="20"/>
      <c r="AM1970" s="20"/>
    </row>
    <row r="1971" spans="1:39" ht="13">
      <c r="A1971" s="20"/>
      <c r="B1971" s="20"/>
      <c r="C1971" s="20"/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  <c r="N1971" s="20"/>
      <c r="O1971" s="20"/>
      <c r="P1971" s="28"/>
      <c r="Q1971" s="28"/>
      <c r="R1971" s="20"/>
      <c r="S1971" s="20"/>
      <c r="T1971" s="20"/>
      <c r="U1971" s="20"/>
      <c r="V1971" s="20"/>
      <c r="W1971" s="20"/>
      <c r="X1971" s="20"/>
      <c r="Y1971" s="20"/>
      <c r="Z1971" s="20"/>
      <c r="AA1971" s="20"/>
      <c r="AB1971" s="20"/>
      <c r="AC1971" s="20"/>
      <c r="AD1971" s="20"/>
      <c r="AE1971" s="20"/>
      <c r="AF1971" s="20"/>
      <c r="AG1971" s="20"/>
      <c r="AH1971" s="20"/>
      <c r="AI1971" s="20"/>
      <c r="AJ1971" s="20"/>
      <c r="AK1971" s="20"/>
      <c r="AL1971" s="20"/>
      <c r="AM1971" s="20"/>
    </row>
    <row r="1972" spans="1:39" ht="13">
      <c r="A1972" s="20"/>
      <c r="B1972" s="20"/>
      <c r="C1972" s="20"/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  <c r="N1972" s="20"/>
      <c r="O1972" s="20"/>
      <c r="P1972" s="28"/>
      <c r="Q1972" s="28"/>
      <c r="R1972" s="20"/>
      <c r="S1972" s="20"/>
      <c r="T1972" s="20"/>
      <c r="U1972" s="20"/>
      <c r="V1972" s="20"/>
      <c r="W1972" s="20"/>
      <c r="X1972" s="20"/>
      <c r="Y1972" s="20"/>
      <c r="Z1972" s="20"/>
      <c r="AA1972" s="20"/>
      <c r="AB1972" s="20"/>
      <c r="AC1972" s="20"/>
      <c r="AD1972" s="20"/>
      <c r="AE1972" s="20"/>
      <c r="AF1972" s="20"/>
      <c r="AG1972" s="20"/>
      <c r="AH1972" s="20"/>
      <c r="AI1972" s="20"/>
      <c r="AJ1972" s="20"/>
      <c r="AK1972" s="20"/>
      <c r="AL1972" s="20"/>
      <c r="AM1972" s="20"/>
    </row>
    <row r="1973" spans="1:39" ht="13">
      <c r="A1973" s="20"/>
      <c r="B1973" s="20"/>
      <c r="C1973" s="20"/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  <c r="N1973" s="20"/>
      <c r="O1973" s="20"/>
      <c r="P1973" s="28"/>
      <c r="Q1973" s="28"/>
      <c r="R1973" s="20"/>
      <c r="S1973" s="20"/>
      <c r="T1973" s="20"/>
      <c r="U1973" s="20"/>
      <c r="V1973" s="20"/>
      <c r="W1973" s="20"/>
      <c r="X1973" s="20"/>
      <c r="Y1973" s="20"/>
      <c r="Z1973" s="20"/>
      <c r="AA1973" s="20"/>
      <c r="AB1973" s="20"/>
      <c r="AC1973" s="20"/>
      <c r="AD1973" s="20"/>
      <c r="AE1973" s="20"/>
      <c r="AF1973" s="20"/>
      <c r="AG1973" s="20"/>
      <c r="AH1973" s="20"/>
      <c r="AI1973" s="20"/>
      <c r="AJ1973" s="20"/>
      <c r="AK1973" s="20"/>
      <c r="AL1973" s="20"/>
      <c r="AM1973" s="20"/>
    </row>
    <row r="1974" spans="1:39" ht="13">
      <c r="A1974" s="20"/>
      <c r="B1974" s="20"/>
      <c r="C1974" s="20"/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  <c r="N1974" s="20"/>
      <c r="O1974" s="20"/>
      <c r="P1974" s="28"/>
      <c r="Q1974" s="28"/>
      <c r="R1974" s="20"/>
      <c r="S1974" s="20"/>
      <c r="T1974" s="20"/>
      <c r="U1974" s="20"/>
      <c r="V1974" s="20"/>
      <c r="W1974" s="20"/>
      <c r="X1974" s="20"/>
      <c r="Y1974" s="20"/>
      <c r="Z1974" s="20"/>
      <c r="AA1974" s="20"/>
      <c r="AB1974" s="20"/>
      <c r="AC1974" s="20"/>
      <c r="AD1974" s="20"/>
      <c r="AE1974" s="20"/>
      <c r="AF1974" s="20"/>
      <c r="AG1974" s="20"/>
      <c r="AH1974" s="20"/>
      <c r="AI1974" s="20"/>
      <c r="AJ1974" s="20"/>
      <c r="AK1974" s="20"/>
      <c r="AL1974" s="20"/>
      <c r="AM1974" s="20"/>
    </row>
    <row r="1975" spans="1:39" ht="13">
      <c r="A1975" s="20"/>
      <c r="B1975" s="20"/>
      <c r="C1975" s="20"/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  <c r="N1975" s="20"/>
      <c r="O1975" s="20"/>
      <c r="P1975" s="28"/>
      <c r="Q1975" s="28"/>
      <c r="R1975" s="20"/>
      <c r="S1975" s="20"/>
      <c r="T1975" s="20"/>
      <c r="U1975" s="20"/>
      <c r="V1975" s="20"/>
      <c r="W1975" s="20"/>
      <c r="X1975" s="20"/>
      <c r="Y1975" s="20"/>
      <c r="Z1975" s="20"/>
      <c r="AA1975" s="20"/>
      <c r="AB1975" s="20"/>
      <c r="AC1975" s="20"/>
      <c r="AD1975" s="20"/>
      <c r="AE1975" s="20"/>
      <c r="AF1975" s="20"/>
      <c r="AG1975" s="20"/>
      <c r="AH1975" s="20"/>
      <c r="AI1975" s="20"/>
      <c r="AJ1975" s="20"/>
      <c r="AK1975" s="20"/>
      <c r="AL1975" s="20"/>
      <c r="AM1975" s="20"/>
    </row>
    <row r="1976" spans="1:39" ht="13">
      <c r="A1976" s="20"/>
      <c r="B1976" s="20"/>
      <c r="C1976" s="20"/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  <c r="N1976" s="20"/>
      <c r="O1976" s="20"/>
      <c r="P1976" s="28"/>
      <c r="Q1976" s="28"/>
      <c r="R1976" s="20"/>
      <c r="S1976" s="20"/>
      <c r="T1976" s="20"/>
      <c r="U1976" s="20"/>
      <c r="V1976" s="20"/>
      <c r="W1976" s="20"/>
      <c r="X1976" s="20"/>
      <c r="Y1976" s="20"/>
      <c r="Z1976" s="20"/>
      <c r="AA1976" s="20"/>
      <c r="AB1976" s="20"/>
      <c r="AC1976" s="20"/>
      <c r="AD1976" s="20"/>
      <c r="AE1976" s="20"/>
      <c r="AF1976" s="20"/>
      <c r="AG1976" s="20"/>
      <c r="AH1976" s="20"/>
      <c r="AI1976" s="20"/>
      <c r="AJ1976" s="20"/>
      <c r="AK1976" s="20"/>
      <c r="AL1976" s="20"/>
      <c r="AM1976" s="20"/>
    </row>
    <row r="1977" spans="1:39" ht="13">
      <c r="A1977" s="20"/>
      <c r="B1977" s="20"/>
      <c r="C1977" s="20"/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  <c r="N1977" s="20"/>
      <c r="O1977" s="20"/>
      <c r="P1977" s="28"/>
      <c r="Q1977" s="28"/>
      <c r="R1977" s="20"/>
      <c r="S1977" s="20"/>
      <c r="T1977" s="20"/>
      <c r="U1977" s="20"/>
      <c r="V1977" s="20"/>
      <c r="W1977" s="20"/>
      <c r="X1977" s="20"/>
      <c r="Y1977" s="20"/>
      <c r="Z1977" s="20"/>
      <c r="AA1977" s="20"/>
      <c r="AB1977" s="20"/>
      <c r="AC1977" s="20"/>
      <c r="AD1977" s="20"/>
      <c r="AE1977" s="20"/>
      <c r="AF1977" s="20"/>
      <c r="AG1977" s="20"/>
      <c r="AH1977" s="20"/>
      <c r="AI1977" s="20"/>
      <c r="AJ1977" s="20"/>
      <c r="AK1977" s="20"/>
      <c r="AL1977" s="20"/>
      <c r="AM1977" s="20"/>
    </row>
    <row r="1978" spans="1:39" ht="13">
      <c r="A1978" s="20"/>
      <c r="B1978" s="20"/>
      <c r="C1978" s="20"/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  <c r="N1978" s="20"/>
      <c r="O1978" s="20"/>
      <c r="P1978" s="28"/>
      <c r="Q1978" s="28"/>
      <c r="R1978" s="20"/>
      <c r="S1978" s="20"/>
      <c r="T1978" s="20"/>
      <c r="U1978" s="20"/>
      <c r="V1978" s="20"/>
      <c r="W1978" s="20"/>
      <c r="X1978" s="20"/>
      <c r="Y1978" s="20"/>
      <c r="Z1978" s="20"/>
      <c r="AA1978" s="20"/>
      <c r="AB1978" s="20"/>
      <c r="AC1978" s="20"/>
      <c r="AD1978" s="20"/>
      <c r="AE1978" s="20"/>
      <c r="AF1978" s="20"/>
      <c r="AG1978" s="20"/>
      <c r="AH1978" s="20"/>
      <c r="AI1978" s="20"/>
      <c r="AJ1978" s="20"/>
      <c r="AK1978" s="20"/>
      <c r="AL1978" s="20"/>
      <c r="AM1978" s="20"/>
    </row>
    <row r="1979" spans="1:39" ht="13">
      <c r="A1979" s="20"/>
      <c r="B1979" s="20"/>
      <c r="C1979" s="20"/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  <c r="N1979" s="20"/>
      <c r="O1979" s="20"/>
      <c r="P1979" s="28"/>
      <c r="Q1979" s="28"/>
      <c r="R1979" s="20"/>
      <c r="S1979" s="20"/>
      <c r="T1979" s="20"/>
      <c r="U1979" s="20"/>
      <c r="V1979" s="20"/>
      <c r="W1979" s="20"/>
      <c r="X1979" s="20"/>
      <c r="Y1979" s="20"/>
      <c r="Z1979" s="20"/>
      <c r="AA1979" s="20"/>
      <c r="AB1979" s="20"/>
      <c r="AC1979" s="20"/>
      <c r="AD1979" s="20"/>
      <c r="AE1979" s="20"/>
      <c r="AF1979" s="20"/>
      <c r="AG1979" s="20"/>
      <c r="AH1979" s="20"/>
      <c r="AI1979" s="20"/>
      <c r="AJ1979" s="20"/>
      <c r="AK1979" s="20"/>
      <c r="AL1979" s="20"/>
      <c r="AM1979" s="20"/>
    </row>
    <row r="1980" spans="1:39" ht="13">
      <c r="A1980" s="20"/>
      <c r="B1980" s="20"/>
      <c r="C1980" s="20"/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  <c r="N1980" s="20"/>
      <c r="O1980" s="20"/>
      <c r="P1980" s="28"/>
      <c r="Q1980" s="28"/>
      <c r="R1980" s="20"/>
      <c r="S1980" s="20"/>
      <c r="T1980" s="20"/>
      <c r="U1980" s="20"/>
      <c r="V1980" s="20"/>
      <c r="W1980" s="20"/>
      <c r="X1980" s="20"/>
      <c r="Y1980" s="20"/>
      <c r="Z1980" s="20"/>
      <c r="AA1980" s="20"/>
      <c r="AB1980" s="20"/>
      <c r="AC1980" s="20"/>
      <c r="AD1980" s="20"/>
      <c r="AE1980" s="20"/>
      <c r="AF1980" s="20"/>
      <c r="AG1980" s="20"/>
      <c r="AH1980" s="20"/>
      <c r="AI1980" s="20"/>
      <c r="AJ1980" s="20"/>
      <c r="AK1980" s="20"/>
      <c r="AL1980" s="20"/>
      <c r="AM1980" s="20"/>
    </row>
    <row r="1981" spans="1:39" ht="13">
      <c r="A1981" s="20"/>
      <c r="B1981" s="20"/>
      <c r="C1981" s="20"/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  <c r="N1981" s="20"/>
      <c r="O1981" s="20"/>
      <c r="P1981" s="28"/>
      <c r="Q1981" s="28"/>
      <c r="R1981" s="20"/>
      <c r="S1981" s="20"/>
      <c r="T1981" s="20"/>
      <c r="U1981" s="20"/>
      <c r="V1981" s="20"/>
      <c r="W1981" s="20"/>
      <c r="X1981" s="20"/>
      <c r="Y1981" s="20"/>
      <c r="Z1981" s="20"/>
      <c r="AA1981" s="20"/>
      <c r="AB1981" s="20"/>
      <c r="AC1981" s="20"/>
      <c r="AD1981" s="20"/>
      <c r="AE1981" s="20"/>
      <c r="AF1981" s="20"/>
      <c r="AG1981" s="20"/>
      <c r="AH1981" s="20"/>
      <c r="AI1981" s="20"/>
      <c r="AJ1981" s="20"/>
      <c r="AK1981" s="20"/>
      <c r="AL1981" s="20"/>
      <c r="AM1981" s="20"/>
    </row>
    <row r="1982" spans="1:39" ht="13">
      <c r="A1982" s="20"/>
      <c r="B1982" s="20"/>
      <c r="C1982" s="20"/>
      <c r="D1982" s="20"/>
      <c r="E1982" s="20"/>
      <c r="F1982" s="20"/>
      <c r="G1982" s="20"/>
      <c r="H1982" s="20"/>
      <c r="I1982" s="20"/>
      <c r="J1982" s="20"/>
      <c r="K1982" s="20"/>
      <c r="L1982" s="20"/>
      <c r="M1982" s="20"/>
      <c r="N1982" s="20"/>
      <c r="O1982" s="20"/>
      <c r="P1982" s="28"/>
      <c r="Q1982" s="28"/>
      <c r="R1982" s="20"/>
      <c r="S1982" s="20"/>
      <c r="T1982" s="20"/>
      <c r="U1982" s="20"/>
      <c r="V1982" s="20"/>
      <c r="W1982" s="20"/>
      <c r="X1982" s="20"/>
      <c r="Y1982" s="20"/>
      <c r="Z1982" s="20"/>
      <c r="AA1982" s="20"/>
      <c r="AB1982" s="20"/>
      <c r="AC1982" s="20"/>
      <c r="AD1982" s="20"/>
      <c r="AE1982" s="20"/>
      <c r="AF1982" s="20"/>
      <c r="AG1982" s="20"/>
      <c r="AH1982" s="20"/>
      <c r="AI1982" s="20"/>
      <c r="AJ1982" s="20"/>
      <c r="AK1982" s="20"/>
      <c r="AL1982" s="20"/>
      <c r="AM1982" s="20"/>
    </row>
    <row r="1983" spans="1:39" ht="13">
      <c r="A1983" s="20"/>
      <c r="B1983" s="20"/>
      <c r="C1983" s="20"/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  <c r="N1983" s="20"/>
      <c r="O1983" s="20"/>
      <c r="P1983" s="28"/>
      <c r="Q1983" s="28"/>
      <c r="R1983" s="20"/>
      <c r="S1983" s="20"/>
      <c r="T1983" s="20"/>
      <c r="U1983" s="20"/>
      <c r="V1983" s="20"/>
      <c r="W1983" s="20"/>
      <c r="X1983" s="20"/>
      <c r="Y1983" s="20"/>
      <c r="Z1983" s="20"/>
      <c r="AA1983" s="20"/>
      <c r="AB1983" s="20"/>
      <c r="AC1983" s="20"/>
      <c r="AD1983" s="20"/>
      <c r="AE1983" s="20"/>
      <c r="AF1983" s="20"/>
      <c r="AG1983" s="20"/>
      <c r="AH1983" s="20"/>
      <c r="AI1983" s="20"/>
      <c r="AJ1983" s="20"/>
      <c r="AK1983" s="20"/>
      <c r="AL1983" s="20"/>
      <c r="AM1983" s="20"/>
    </row>
    <row r="1984" spans="1:39" ht="13">
      <c r="A1984" s="20"/>
      <c r="B1984" s="20"/>
      <c r="C1984" s="20"/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  <c r="N1984" s="20"/>
      <c r="O1984" s="20"/>
      <c r="P1984" s="28"/>
      <c r="Q1984" s="28"/>
      <c r="R1984" s="20"/>
      <c r="S1984" s="20"/>
      <c r="T1984" s="20"/>
      <c r="U1984" s="20"/>
      <c r="V1984" s="20"/>
      <c r="W1984" s="20"/>
      <c r="X1984" s="20"/>
      <c r="Y1984" s="20"/>
      <c r="Z1984" s="20"/>
      <c r="AA1984" s="20"/>
      <c r="AB1984" s="20"/>
      <c r="AC1984" s="20"/>
      <c r="AD1984" s="20"/>
      <c r="AE1984" s="20"/>
      <c r="AF1984" s="20"/>
      <c r="AG1984" s="20"/>
      <c r="AH1984" s="20"/>
      <c r="AI1984" s="20"/>
      <c r="AJ1984" s="20"/>
      <c r="AK1984" s="20"/>
      <c r="AL1984" s="20"/>
      <c r="AM1984" s="20"/>
    </row>
    <row r="1985" spans="1:39" ht="13">
      <c r="A1985" s="20"/>
      <c r="B1985" s="20"/>
      <c r="C1985" s="20"/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  <c r="N1985" s="20"/>
      <c r="O1985" s="20"/>
      <c r="P1985" s="28"/>
      <c r="Q1985" s="28"/>
      <c r="R1985" s="20"/>
      <c r="S1985" s="20"/>
      <c r="T1985" s="20"/>
      <c r="U1985" s="20"/>
      <c r="V1985" s="20"/>
      <c r="W1985" s="20"/>
      <c r="X1985" s="20"/>
      <c r="Y1985" s="20"/>
      <c r="Z1985" s="20"/>
      <c r="AA1985" s="20"/>
      <c r="AB1985" s="20"/>
      <c r="AC1985" s="20"/>
      <c r="AD1985" s="20"/>
      <c r="AE1985" s="20"/>
      <c r="AF1985" s="20"/>
      <c r="AG1985" s="20"/>
      <c r="AH1985" s="20"/>
      <c r="AI1985" s="20"/>
      <c r="AJ1985" s="20"/>
      <c r="AK1985" s="20"/>
      <c r="AL1985" s="20"/>
      <c r="AM1985" s="20"/>
    </row>
    <row r="1986" spans="1:39" ht="13">
      <c r="A1986" s="20"/>
      <c r="B1986" s="20"/>
      <c r="C1986" s="20"/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  <c r="N1986" s="20"/>
      <c r="O1986" s="20"/>
      <c r="P1986" s="28"/>
      <c r="Q1986" s="28"/>
      <c r="R1986" s="20"/>
      <c r="S1986" s="20"/>
      <c r="T1986" s="20"/>
      <c r="U1986" s="20"/>
      <c r="V1986" s="20"/>
      <c r="W1986" s="20"/>
      <c r="X1986" s="20"/>
      <c r="Y1986" s="20"/>
      <c r="Z1986" s="20"/>
      <c r="AA1986" s="20"/>
      <c r="AB1986" s="20"/>
      <c r="AC1986" s="20"/>
      <c r="AD1986" s="20"/>
      <c r="AE1986" s="20"/>
      <c r="AF1986" s="20"/>
      <c r="AG1986" s="20"/>
      <c r="AH1986" s="20"/>
      <c r="AI1986" s="20"/>
      <c r="AJ1986" s="20"/>
      <c r="AK1986" s="20"/>
      <c r="AL1986" s="20"/>
      <c r="AM1986" s="20"/>
    </row>
    <row r="1987" spans="1:39" ht="13">
      <c r="A1987" s="20"/>
      <c r="B1987" s="20"/>
      <c r="C1987" s="20"/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  <c r="N1987" s="20"/>
      <c r="O1987" s="20"/>
      <c r="P1987" s="28"/>
      <c r="Q1987" s="28"/>
      <c r="R1987" s="20"/>
      <c r="S1987" s="20"/>
      <c r="T1987" s="20"/>
      <c r="U1987" s="20"/>
      <c r="V1987" s="20"/>
      <c r="W1987" s="20"/>
      <c r="X1987" s="20"/>
      <c r="Y1987" s="20"/>
      <c r="Z1987" s="20"/>
      <c r="AA1987" s="20"/>
      <c r="AB1987" s="20"/>
      <c r="AC1987" s="20"/>
      <c r="AD1987" s="20"/>
      <c r="AE1987" s="20"/>
      <c r="AF1987" s="20"/>
      <c r="AG1987" s="20"/>
      <c r="AH1987" s="20"/>
      <c r="AI1987" s="20"/>
      <c r="AJ1987" s="20"/>
      <c r="AK1987" s="20"/>
      <c r="AL1987" s="20"/>
      <c r="AM1987" s="20"/>
    </row>
    <row r="1988" spans="1:39" ht="13">
      <c r="A1988" s="20"/>
      <c r="B1988" s="20"/>
      <c r="C1988" s="20"/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  <c r="N1988" s="20"/>
      <c r="O1988" s="20"/>
      <c r="P1988" s="28"/>
      <c r="Q1988" s="28"/>
      <c r="R1988" s="20"/>
      <c r="S1988" s="20"/>
      <c r="T1988" s="20"/>
      <c r="U1988" s="20"/>
      <c r="V1988" s="20"/>
      <c r="W1988" s="20"/>
      <c r="X1988" s="20"/>
      <c r="Y1988" s="20"/>
      <c r="Z1988" s="20"/>
      <c r="AA1988" s="20"/>
      <c r="AB1988" s="20"/>
      <c r="AC1988" s="20"/>
      <c r="AD1988" s="20"/>
      <c r="AE1988" s="20"/>
      <c r="AF1988" s="20"/>
      <c r="AG1988" s="20"/>
      <c r="AH1988" s="20"/>
      <c r="AI1988" s="20"/>
      <c r="AJ1988" s="20"/>
      <c r="AK1988" s="20"/>
      <c r="AL1988" s="20"/>
      <c r="AM1988" s="20"/>
    </row>
    <row r="1989" spans="1:39" ht="13">
      <c r="A1989" s="20"/>
      <c r="B1989" s="20"/>
      <c r="C1989" s="20"/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  <c r="N1989" s="20"/>
      <c r="O1989" s="20"/>
      <c r="P1989" s="28"/>
      <c r="Q1989" s="28"/>
      <c r="R1989" s="20"/>
      <c r="S1989" s="20"/>
      <c r="T1989" s="20"/>
      <c r="U1989" s="20"/>
      <c r="V1989" s="20"/>
      <c r="W1989" s="20"/>
      <c r="X1989" s="20"/>
      <c r="Y1989" s="20"/>
      <c r="Z1989" s="20"/>
      <c r="AA1989" s="20"/>
      <c r="AB1989" s="20"/>
      <c r="AC1989" s="20"/>
      <c r="AD1989" s="20"/>
      <c r="AE1989" s="20"/>
      <c r="AF1989" s="20"/>
      <c r="AG1989" s="20"/>
      <c r="AH1989" s="20"/>
      <c r="AI1989" s="20"/>
      <c r="AJ1989" s="20"/>
      <c r="AK1989" s="20"/>
      <c r="AL1989" s="20"/>
      <c r="AM1989" s="20"/>
    </row>
    <row r="1990" spans="1:39" ht="13">
      <c r="A1990" s="20"/>
      <c r="B1990" s="20"/>
      <c r="C1990" s="20"/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  <c r="N1990" s="20"/>
      <c r="O1990" s="20"/>
      <c r="P1990" s="28"/>
      <c r="Q1990" s="28"/>
      <c r="R1990" s="20"/>
      <c r="S1990" s="20"/>
      <c r="T1990" s="20"/>
      <c r="U1990" s="20"/>
      <c r="V1990" s="20"/>
      <c r="W1990" s="20"/>
      <c r="X1990" s="20"/>
      <c r="Y1990" s="20"/>
      <c r="Z1990" s="20"/>
      <c r="AA1990" s="20"/>
      <c r="AB1990" s="20"/>
      <c r="AC1990" s="20"/>
      <c r="AD1990" s="20"/>
      <c r="AE1990" s="20"/>
      <c r="AF1990" s="20"/>
      <c r="AG1990" s="20"/>
      <c r="AH1990" s="20"/>
      <c r="AI1990" s="20"/>
      <c r="AJ1990" s="20"/>
      <c r="AK1990" s="20"/>
      <c r="AL1990" s="20"/>
      <c r="AM1990" s="20"/>
    </row>
    <row r="1991" spans="1:39" ht="13">
      <c r="A1991" s="20"/>
      <c r="B1991" s="20"/>
      <c r="C1991" s="20"/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  <c r="N1991" s="20"/>
      <c r="O1991" s="20"/>
      <c r="P1991" s="28"/>
      <c r="Q1991" s="28"/>
      <c r="R1991" s="20"/>
      <c r="S1991" s="20"/>
      <c r="T1991" s="20"/>
      <c r="U1991" s="20"/>
      <c r="V1991" s="20"/>
      <c r="W1991" s="20"/>
      <c r="X1991" s="20"/>
      <c r="Y1991" s="20"/>
      <c r="Z1991" s="20"/>
      <c r="AA1991" s="20"/>
      <c r="AB1991" s="20"/>
      <c r="AC1991" s="20"/>
      <c r="AD1991" s="20"/>
      <c r="AE1991" s="20"/>
      <c r="AF1991" s="20"/>
      <c r="AG1991" s="20"/>
      <c r="AH1991" s="20"/>
      <c r="AI1991" s="20"/>
      <c r="AJ1991" s="20"/>
      <c r="AK1991" s="20"/>
      <c r="AL1991" s="20"/>
      <c r="AM1991" s="20"/>
    </row>
    <row r="1992" spans="1:39" ht="13">
      <c r="A1992" s="20"/>
      <c r="B1992" s="20"/>
      <c r="C1992" s="20"/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  <c r="N1992" s="20"/>
      <c r="O1992" s="20"/>
      <c r="P1992" s="28"/>
      <c r="Q1992" s="28"/>
      <c r="R1992" s="20"/>
      <c r="S1992" s="20"/>
      <c r="T1992" s="20"/>
      <c r="U1992" s="20"/>
      <c r="V1992" s="20"/>
      <c r="W1992" s="20"/>
      <c r="X1992" s="20"/>
      <c r="Y1992" s="20"/>
      <c r="Z1992" s="20"/>
      <c r="AA1992" s="20"/>
      <c r="AB1992" s="20"/>
      <c r="AC1992" s="20"/>
      <c r="AD1992" s="20"/>
      <c r="AE1992" s="20"/>
      <c r="AF1992" s="20"/>
      <c r="AG1992" s="20"/>
      <c r="AH1992" s="20"/>
      <c r="AI1992" s="20"/>
      <c r="AJ1992" s="20"/>
      <c r="AK1992" s="20"/>
      <c r="AL1992" s="20"/>
      <c r="AM1992" s="20"/>
    </row>
    <row r="1993" spans="1:39" ht="13">
      <c r="A1993" s="20"/>
      <c r="B1993" s="20"/>
      <c r="C1993" s="20"/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  <c r="N1993" s="20"/>
      <c r="O1993" s="20"/>
      <c r="P1993" s="28"/>
      <c r="Q1993" s="28"/>
      <c r="R1993" s="20"/>
      <c r="S1993" s="20"/>
      <c r="T1993" s="20"/>
      <c r="U1993" s="20"/>
      <c r="V1993" s="20"/>
      <c r="W1993" s="20"/>
      <c r="X1993" s="20"/>
      <c r="Y1993" s="20"/>
      <c r="Z1993" s="20"/>
      <c r="AA1993" s="20"/>
      <c r="AB1993" s="20"/>
      <c r="AC1993" s="20"/>
      <c r="AD1993" s="20"/>
      <c r="AE1993" s="20"/>
      <c r="AF1993" s="20"/>
      <c r="AG1993" s="20"/>
      <c r="AH1993" s="20"/>
      <c r="AI1993" s="20"/>
      <c r="AJ1993" s="20"/>
      <c r="AK1993" s="20"/>
      <c r="AL1993" s="20"/>
      <c r="AM1993" s="20"/>
    </row>
    <row r="1994" spans="1:39" ht="13">
      <c r="A1994" s="20"/>
      <c r="B1994" s="20"/>
      <c r="C1994" s="20"/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  <c r="N1994" s="20"/>
      <c r="O1994" s="20"/>
      <c r="P1994" s="28"/>
      <c r="Q1994" s="28"/>
      <c r="R1994" s="20"/>
      <c r="S1994" s="20"/>
      <c r="T1994" s="20"/>
      <c r="U1994" s="20"/>
      <c r="V1994" s="20"/>
      <c r="W1994" s="20"/>
      <c r="X1994" s="20"/>
      <c r="Y1994" s="20"/>
      <c r="Z1994" s="20"/>
      <c r="AA1994" s="20"/>
      <c r="AB1994" s="20"/>
      <c r="AC1994" s="20"/>
      <c r="AD1994" s="20"/>
      <c r="AE1994" s="20"/>
      <c r="AF1994" s="20"/>
      <c r="AG1994" s="20"/>
      <c r="AH1994" s="20"/>
      <c r="AI1994" s="20"/>
      <c r="AJ1994" s="20"/>
      <c r="AK1994" s="20"/>
      <c r="AL1994" s="20"/>
      <c r="AM1994" s="20"/>
    </row>
    <row r="1995" spans="1:39" ht="13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8"/>
      <c r="Q1995" s="28"/>
      <c r="R1995" s="20"/>
      <c r="S1995" s="20"/>
      <c r="T1995" s="20"/>
      <c r="U1995" s="20"/>
      <c r="V1995" s="20"/>
      <c r="W1995" s="20"/>
      <c r="X1995" s="20"/>
      <c r="Y1995" s="20"/>
      <c r="Z1995" s="20"/>
      <c r="AA1995" s="20"/>
      <c r="AB1995" s="20"/>
      <c r="AC1995" s="20"/>
      <c r="AD1995" s="20"/>
      <c r="AE1995" s="20"/>
      <c r="AF1995" s="20"/>
      <c r="AG1995" s="20"/>
      <c r="AH1995" s="20"/>
      <c r="AI1995" s="20"/>
      <c r="AJ1995" s="20"/>
      <c r="AK1995" s="20"/>
      <c r="AL1995" s="20"/>
      <c r="AM1995" s="20"/>
    </row>
    <row r="1996" spans="1:39" ht="13">
      <c r="A1996" s="20"/>
      <c r="B1996" s="20"/>
      <c r="C1996" s="20"/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  <c r="N1996" s="20"/>
      <c r="O1996" s="20"/>
      <c r="P1996" s="28"/>
      <c r="Q1996" s="28"/>
      <c r="R1996" s="20"/>
      <c r="S1996" s="20"/>
      <c r="T1996" s="20"/>
      <c r="U1996" s="20"/>
      <c r="V1996" s="20"/>
      <c r="W1996" s="20"/>
      <c r="X1996" s="20"/>
      <c r="Y1996" s="20"/>
      <c r="Z1996" s="20"/>
      <c r="AA1996" s="20"/>
      <c r="AB1996" s="20"/>
      <c r="AC1996" s="20"/>
      <c r="AD1996" s="20"/>
      <c r="AE1996" s="20"/>
      <c r="AF1996" s="20"/>
      <c r="AG1996" s="20"/>
      <c r="AH1996" s="20"/>
      <c r="AI1996" s="20"/>
      <c r="AJ1996" s="20"/>
      <c r="AK1996" s="20"/>
      <c r="AL1996" s="20"/>
      <c r="AM1996" s="20"/>
    </row>
    <row r="1997" spans="1:39" ht="13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8"/>
      <c r="Q1997" s="28"/>
      <c r="R1997" s="20"/>
      <c r="S1997" s="20"/>
      <c r="T1997" s="20"/>
      <c r="U1997" s="20"/>
      <c r="V1997" s="20"/>
      <c r="W1997" s="20"/>
      <c r="X1997" s="20"/>
      <c r="Y1997" s="20"/>
      <c r="Z1997" s="20"/>
      <c r="AA1997" s="20"/>
      <c r="AB1997" s="20"/>
      <c r="AC1997" s="20"/>
      <c r="AD1997" s="20"/>
      <c r="AE1997" s="20"/>
      <c r="AF1997" s="20"/>
      <c r="AG1997" s="20"/>
      <c r="AH1997" s="20"/>
      <c r="AI1997" s="20"/>
      <c r="AJ1997" s="20"/>
      <c r="AK1997" s="20"/>
      <c r="AL1997" s="20"/>
      <c r="AM1997" s="20"/>
    </row>
    <row r="1998" spans="1:39" ht="13">
      <c r="A1998" s="20"/>
      <c r="B1998" s="20"/>
      <c r="C1998" s="20"/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  <c r="N1998" s="20"/>
      <c r="O1998" s="20"/>
      <c r="P1998" s="28"/>
      <c r="Q1998" s="28"/>
      <c r="R1998" s="20"/>
      <c r="S1998" s="20"/>
      <c r="T1998" s="20"/>
      <c r="U1998" s="20"/>
      <c r="V1998" s="20"/>
      <c r="W1998" s="20"/>
      <c r="X1998" s="20"/>
      <c r="Y1998" s="20"/>
      <c r="Z1998" s="20"/>
      <c r="AA1998" s="20"/>
      <c r="AB1998" s="20"/>
      <c r="AC1998" s="20"/>
      <c r="AD1998" s="20"/>
      <c r="AE1998" s="20"/>
      <c r="AF1998" s="20"/>
      <c r="AG1998" s="20"/>
      <c r="AH1998" s="20"/>
      <c r="AI1998" s="20"/>
      <c r="AJ1998" s="20"/>
      <c r="AK1998" s="20"/>
      <c r="AL1998" s="20"/>
      <c r="AM1998" s="20"/>
    </row>
    <row r="1999" spans="1:39" ht="13">
      <c r="A1999" s="20"/>
      <c r="B1999" s="20"/>
      <c r="C1999" s="20"/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  <c r="N1999" s="20"/>
      <c r="O1999" s="20"/>
      <c r="P1999" s="28"/>
      <c r="Q1999" s="28"/>
      <c r="R1999" s="20"/>
      <c r="S1999" s="20"/>
      <c r="T1999" s="20"/>
      <c r="U1999" s="20"/>
      <c r="V1999" s="20"/>
      <c r="W1999" s="20"/>
      <c r="X1999" s="20"/>
      <c r="Y1999" s="20"/>
      <c r="Z1999" s="20"/>
      <c r="AA1999" s="20"/>
      <c r="AB1999" s="20"/>
      <c r="AC1999" s="20"/>
      <c r="AD1999" s="20"/>
      <c r="AE1999" s="20"/>
      <c r="AF1999" s="20"/>
      <c r="AG1999" s="20"/>
      <c r="AH1999" s="20"/>
      <c r="AI1999" s="20"/>
      <c r="AJ1999" s="20"/>
      <c r="AK1999" s="20"/>
      <c r="AL1999" s="20"/>
      <c r="AM1999" s="20"/>
    </row>
    <row r="2000" spans="1:39" ht="13">
      <c r="A2000" s="20"/>
      <c r="B2000" s="20"/>
      <c r="C2000" s="20"/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  <c r="N2000" s="20"/>
      <c r="O2000" s="20"/>
      <c r="P2000" s="28"/>
      <c r="Q2000" s="28"/>
      <c r="R2000" s="20"/>
      <c r="S2000" s="20"/>
      <c r="T2000" s="20"/>
      <c r="U2000" s="20"/>
      <c r="V2000" s="20"/>
      <c r="W2000" s="20"/>
      <c r="X2000" s="20"/>
      <c r="Y2000" s="20"/>
      <c r="Z2000" s="20"/>
      <c r="AA2000" s="20"/>
      <c r="AB2000" s="20"/>
      <c r="AC2000" s="20"/>
      <c r="AD2000" s="20"/>
      <c r="AE2000" s="20"/>
      <c r="AF2000" s="20"/>
      <c r="AG2000" s="20"/>
      <c r="AH2000" s="20"/>
      <c r="AI2000" s="20"/>
      <c r="AJ2000" s="20"/>
      <c r="AK2000" s="20"/>
      <c r="AL2000" s="20"/>
      <c r="AM2000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510"/>
  <sheetViews>
    <sheetView workbookViewId="0"/>
  </sheetViews>
  <sheetFormatPr baseColWidth="10" defaultColWidth="12.6640625" defaultRowHeight="15.75" customHeight="1"/>
  <sheetData>
    <row r="1" spans="1:4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28</v>
      </c>
      <c r="AE1" s="6" t="s">
        <v>28</v>
      </c>
      <c r="AF1" s="7" t="s">
        <v>28</v>
      </c>
      <c r="AG1" s="8" t="s">
        <v>29</v>
      </c>
      <c r="AH1" s="8" t="s">
        <v>30</v>
      </c>
      <c r="AI1" s="8" t="s">
        <v>28</v>
      </c>
      <c r="AJ1" s="8" t="s">
        <v>31</v>
      </c>
      <c r="AK1" s="8" t="s">
        <v>32</v>
      </c>
      <c r="AL1" s="8" t="s">
        <v>28</v>
      </c>
      <c r="AM1" s="6" t="s">
        <v>28</v>
      </c>
      <c r="AN1" s="9" t="str">
        <f ca="1">IFERROR(__xludf.DUMMYFUNCTION("unique(koronahun!A:A)"),"Dátum")</f>
        <v>Dátum</v>
      </c>
      <c r="AO1" s="10" t="s">
        <v>33</v>
      </c>
      <c r="AP1" s="9" t="s">
        <v>0</v>
      </c>
      <c r="AQ1" s="9" t="str">
        <f ca="1">IFERROR(__xludf.DUMMYFUNCTION("unique(AP:AP)"),"Dátum")</f>
        <v>Dátum</v>
      </c>
      <c r="AR1" s="9" t="s">
        <v>0</v>
      </c>
      <c r="AS1" s="9" t="s">
        <v>0</v>
      </c>
      <c r="AT1" s="9" t="str">
        <f ca="1">IFERROR(__xludf.DUMMYFUNCTION("unique(AS:AS)"),"Dátum")</f>
        <v>Dátum</v>
      </c>
    </row>
    <row r="2" spans="1:46" ht="15.75" customHeight="1">
      <c r="A2" s="11">
        <v>44923</v>
      </c>
      <c r="B2">
        <f>IFERROR(VLOOKUP($A2,koronahun!$A:$AM,2,FALSE),"")</f>
        <v>2185816</v>
      </c>
      <c r="C2">
        <f>IFERROR(VLOOKUP($A2,koronahun!$A:$AM,3,FALSE),"")</f>
        <v>4397</v>
      </c>
      <c r="D2">
        <f>IFERROR(VLOOKUP($A2,koronahun!$A:$AM,4,FALSE),"")</f>
        <v>48495</v>
      </c>
      <c r="E2">
        <f>IFERROR(VLOOKUP($A2,koronahun!$A:$AM,5,FALSE),"")</f>
        <v>2123750</v>
      </c>
      <c r="F2">
        <f>IFERROR(VLOOKUP($A2,koronahun!$A:$AM,6,FALSE),"")</f>
        <v>11394556</v>
      </c>
      <c r="G2" s="12">
        <f>IFERROR(VLOOKUP($A2,koronahun!$A:$AM,7,FALSE),"")</f>
        <v>1162709.7959183673</v>
      </c>
      <c r="H2">
        <f>IFERROR(VLOOKUP($A2,koronahun!$A:$AM,8,FALSE),"")</f>
        <v>0</v>
      </c>
      <c r="I2" s="13">
        <f>IFERROR(VLOOKUP($A2,koronahun!$A:$AM,9,FALSE),"")</f>
        <v>2.015660448542898E-3</v>
      </c>
      <c r="J2" s="13">
        <f>IFERROR(VLOOKUP($A2,koronahun!$A:$AM,10,FALSE),"")</f>
        <v>0.1918298527823287</v>
      </c>
      <c r="K2" s="13">
        <f>IFERROR(VLOOKUP($A2,koronahun!$A:$AM,11,FALSE),"")</f>
        <v>0</v>
      </c>
      <c r="L2">
        <f>IFERROR(VLOOKUP($A2,koronahun!$A:$AM,12,FALSE),"")</f>
        <v>13571</v>
      </c>
      <c r="M2" s="13">
        <f>IFERROR(VLOOKUP($A2,koronahun!$A:$AM,13,FALSE),"")</f>
        <v>2.2186222445073144E-2</v>
      </c>
      <c r="N2" s="13">
        <f>IFERROR(VLOOKUP($A2,koronahun!$A:$AM,14,FALSE),"")</f>
        <v>0.97160511223268564</v>
      </c>
      <c r="O2">
        <f>IFERROR(VLOOKUP($A2,koronahun!$A:$AM,15,FALSE),"")</f>
        <v>0</v>
      </c>
      <c r="P2">
        <f>IFERROR(VLOOKUP($A2,koronahun!$A:$AM,16,FALSE),"")</f>
        <v>0</v>
      </c>
      <c r="Q2" s="13">
        <f>IFERROR(VLOOKUP($A2,koronahun!$A:$AM,17,FALSE),"")</f>
        <v>0</v>
      </c>
      <c r="R2">
        <f>IFERROR(VLOOKUP($A2,koronahun!$A:$AM,18,FALSE),"")</f>
        <v>56</v>
      </c>
      <c r="S2">
        <f>IFERROR(VLOOKUP($A2,koronahun!$A:$AM,19,FALSE),"")</f>
        <v>4839</v>
      </c>
      <c r="T2">
        <f>IFERROR(VLOOKUP($A2,koronahun!$A:$AM,20,FALSE),"")</f>
        <v>386</v>
      </c>
      <c r="U2">
        <f>IFERROR(VLOOKUP($A2,koronahun!$A:$AM,21,FALSE),"")</f>
        <v>9</v>
      </c>
      <c r="V2" s="13">
        <f>IFERROR(VLOOKUP($A2,koronahun!$A:$AM,22,FALSE),"")</f>
        <v>6.2086653222412132E-3</v>
      </c>
      <c r="W2">
        <f>IFERROR(VLOOKUP($A2,koronahun!$A:$AM,23,FALSE),"")</f>
        <v>1345</v>
      </c>
      <c r="X2">
        <f>IFERROR(VLOOKUP($A2,koronahun!$A:$AM,24,FALSE),"")</f>
        <v>19</v>
      </c>
      <c r="Y2" s="14">
        <f>IFERROR(VLOOKUP($A2,koronahun!$A:$AM,25,FALSE),"")</f>
        <v>2.8443003463267263E-2</v>
      </c>
      <c r="Z2" s="14">
        <f>IFERROR(VLOOKUP($A2,koronahun!$A:$AM,26,FALSE),"")</f>
        <v>2.3316062176165803E-2</v>
      </c>
      <c r="AA2" s="14">
        <f>IFERROR(VLOOKUP($A2,koronahun!$A:$AM,27,FALSE),"")</f>
        <v>0.85048355899419725</v>
      </c>
      <c r="AB2" s="14">
        <f>IFERROR(VLOOKUP($A2,koronahun!$A:$AM,28,FALSE),"")</f>
        <v>0</v>
      </c>
      <c r="AC2" s="14">
        <f>IFERROR(VLOOKUP($A2,koronahun!$A:$AM,29,FALSE),"")</f>
        <v>628.14285714285711</v>
      </c>
      <c r="AD2" s="14">
        <f>IFERROR(VLOOKUP($A2,koronahun!$A:$AM,30,FALSE),"")</f>
        <v>8</v>
      </c>
      <c r="AE2" s="14">
        <f>IFERROR(VLOOKUP($A2,koronahun!$A:$AM,31,FALSE),"")</f>
        <v>0</v>
      </c>
      <c r="AF2" s="13">
        <f>IFERROR(VLOOKUP($A2,koronahun!$A:$AM,32,FALSE),"")</f>
        <v>0</v>
      </c>
      <c r="AG2">
        <f>IFERROR(VLOOKUP($A2,koronahun!$A:$AM,33,FALSE),"")</f>
        <v>6420813</v>
      </c>
      <c r="AH2">
        <f>IFERROR(VLOOKUP($A2,koronahun!$A:$AM,34,FALSE),"")</f>
        <v>113</v>
      </c>
      <c r="AI2">
        <f>IFERROR(VLOOKUP($A2,koronahun!$A:$AM,35,FALSE),"")</f>
        <v>16.142857142857142</v>
      </c>
      <c r="AJ2">
        <f>IFERROR(VLOOKUP($A2,koronahun!$A:$AM,36,FALSE),"")</f>
        <v>6207249</v>
      </c>
      <c r="AK2">
        <f>IFERROR(VLOOKUP($A2,koronahun!$A:$AM,37,FALSE),"")</f>
        <v>216</v>
      </c>
      <c r="AL2">
        <f>IFERROR(VLOOKUP($A2,koronahun!$A:$AM,38,FALSE),"")</f>
        <v>30.857142857142858</v>
      </c>
      <c r="AM2" s="14">
        <f>IFERROR(VLOOKUP($A2,koronahun!$A:$AM,39,FALSE),"")</f>
        <v>691.28571428571433</v>
      </c>
      <c r="AN2" s="11">
        <f ca="1">IFERROR(__xludf.DUMMYFUNCTION("""COMPUTED_VALUE"""),43894)</f>
        <v>43894</v>
      </c>
      <c r="AO2" s="12">
        <f ca="1">IFERROR(VLOOKUP(AN2,koronahun!A:B,2,FALSE),"")</f>
        <v>2</v>
      </c>
      <c r="AP2" s="11">
        <f t="shared" ref="AP2:AP256" ca="1" si="0">IF(AO2="","",AN2)</f>
        <v>43894</v>
      </c>
      <c r="AQ2" s="11">
        <f ca="1">IFERROR(__xludf.DUMMYFUNCTION("""COMPUTED_VALUE"""),43894)</f>
        <v>43894</v>
      </c>
      <c r="AR2" s="11" t="s">
        <v>109</v>
      </c>
      <c r="AS2" s="11">
        <f t="shared" ref="AS2:AS256" si="1">IF(AR2="",AR3,AR2)</f>
        <v>44923</v>
      </c>
      <c r="AT2" s="11">
        <f ca="1">IFERROR(__xludf.DUMMYFUNCTION("""COMPUTED_VALUE"""),44923)</f>
        <v>44923</v>
      </c>
    </row>
    <row r="3" spans="1:46" ht="15.75" customHeight="1">
      <c r="A3" s="11">
        <v>44916</v>
      </c>
      <c r="B3">
        <f>IFERROR(VLOOKUP($A3,koronahun!$A:$AM,2,FALSE),"")</f>
        <v>2181419</v>
      </c>
      <c r="C3">
        <f>IFERROR(VLOOKUP($A3,koronahun!$A:$AM,3,FALSE),"")</f>
        <v>5170</v>
      </c>
      <c r="D3">
        <f>IFERROR(VLOOKUP($A3,koronahun!$A:$AM,4,FALSE),"")</f>
        <v>48439</v>
      </c>
      <c r="E3">
        <f>IFERROR(VLOOKUP($A3,koronahun!$A:$AM,5,FALSE),"")</f>
        <v>2118911</v>
      </c>
      <c r="F3">
        <f>IFERROR(VLOOKUP($A3,koronahun!$A:$AM,6,FALSE),"")</f>
        <v>11394556</v>
      </c>
      <c r="G3" s="12">
        <f>IFERROR(VLOOKUP($A3,koronahun!$A:$AM,7,FALSE),"")</f>
        <v>1162709.7959183673</v>
      </c>
      <c r="H3">
        <f>IFERROR(VLOOKUP($A3,koronahun!$A:$AM,8,FALSE),"")</f>
        <v>0</v>
      </c>
      <c r="I3" s="13">
        <f>IFERROR(VLOOKUP($A3,koronahun!$A:$AM,9,FALSE),"")</f>
        <v>2.375647271980366E-3</v>
      </c>
      <c r="J3" s="13">
        <f>IFERROR(VLOOKUP($A3,koronahun!$A:$AM,10,FALSE),"")</f>
        <v>0.19144396675043768</v>
      </c>
      <c r="K3" s="13">
        <f>IFERROR(VLOOKUP($A3,koronahun!$A:$AM,11,FALSE),"")</f>
        <v>0</v>
      </c>
      <c r="L3">
        <f>IFERROR(VLOOKUP($A3,koronahun!$A:$AM,12,FALSE),"")</f>
        <v>14069</v>
      </c>
      <c r="M3" s="13">
        <f>IFERROR(VLOOKUP($A3,koronahun!$A:$AM,13,FALSE),"")</f>
        <v>2.2205270972701713E-2</v>
      </c>
      <c r="N3" s="13">
        <f>IFERROR(VLOOKUP($A3,koronahun!$A:$AM,14,FALSE),"")</f>
        <v>0.97134525737604738</v>
      </c>
      <c r="O3">
        <f>IFERROR(VLOOKUP($A3,koronahun!$A:$AM,15,FALSE),"")</f>
        <v>0</v>
      </c>
      <c r="P3">
        <f>IFERROR(VLOOKUP($A3,koronahun!$A:$AM,16,FALSE),"")</f>
        <v>0</v>
      </c>
      <c r="Q3" s="13">
        <f>IFERROR(VLOOKUP($A3,koronahun!$A:$AM,17,FALSE),"")</f>
        <v>0</v>
      </c>
      <c r="R3">
        <f>IFERROR(VLOOKUP($A3,koronahun!$A:$AM,18,FALSE),"")</f>
        <v>59</v>
      </c>
      <c r="S3">
        <f>IFERROR(VLOOKUP($A3,koronahun!$A:$AM,19,FALSE),"")</f>
        <v>4777</v>
      </c>
      <c r="T3">
        <f>IFERROR(VLOOKUP($A3,koronahun!$A:$AM,20,FALSE),"")</f>
        <v>1044</v>
      </c>
      <c r="U3">
        <f>IFERROR(VLOOKUP($A3,koronahun!$A:$AM,21,FALSE),"")</f>
        <v>16</v>
      </c>
      <c r="V3" s="13">
        <f>IFERROR(VLOOKUP($A3,koronahun!$A:$AM,22,FALSE),"")</f>
        <v>6.4494716512508597E-3</v>
      </c>
      <c r="W3">
        <f>IFERROR(VLOOKUP($A3,koronahun!$A:$AM,23,FALSE),"")</f>
        <v>1345</v>
      </c>
      <c r="X3">
        <f>IFERROR(VLOOKUP($A3,koronahun!$A:$AM,24,FALSE),"")</f>
        <v>19</v>
      </c>
      <c r="Y3" s="14">
        <f>IFERROR(VLOOKUP($A3,koronahun!$A:$AM,25,FALSE),"")</f>
        <v>7.4205700476224323E-2</v>
      </c>
      <c r="Z3" s="14">
        <f>IFERROR(VLOOKUP($A3,koronahun!$A:$AM,26,FALSE),"")</f>
        <v>1.532567049808429E-2</v>
      </c>
      <c r="AA3" s="14">
        <f>IFERROR(VLOOKUP($A3,koronahun!$A:$AM,27,FALSE),"")</f>
        <v>0.99557096090891584</v>
      </c>
      <c r="AB3" s="14">
        <f>IFERROR(VLOOKUP($A3,koronahun!$A:$AM,28,FALSE),"")</f>
        <v>0</v>
      </c>
      <c r="AC3" s="14">
        <f>IFERROR(VLOOKUP($A3,koronahun!$A:$AM,29,FALSE),"")</f>
        <v>738.57142857142856</v>
      </c>
      <c r="AD3" s="14">
        <f>IFERROR(VLOOKUP($A3,koronahun!$A:$AM,30,FALSE),"")</f>
        <v>8.4285714285714288</v>
      </c>
      <c r="AE3" s="14">
        <f>IFERROR(VLOOKUP($A3,koronahun!$A:$AM,31,FALSE),"")</f>
        <v>0</v>
      </c>
      <c r="AF3" s="13">
        <f>IFERROR(VLOOKUP($A3,koronahun!$A:$AM,32,FALSE),"")</f>
        <v>0</v>
      </c>
      <c r="AG3">
        <f>IFERROR(VLOOKUP($A3,koronahun!$A:$AM,33,FALSE),"")</f>
        <v>6420700</v>
      </c>
      <c r="AH3">
        <f>IFERROR(VLOOKUP($A3,koronahun!$A:$AM,34,FALSE),"")</f>
        <v>154</v>
      </c>
      <c r="AI3">
        <f>IFERROR(VLOOKUP($A3,koronahun!$A:$AM,35,FALSE),"")</f>
        <v>22</v>
      </c>
      <c r="AJ3">
        <f>IFERROR(VLOOKUP($A3,koronahun!$A:$AM,36,FALSE),"")</f>
        <v>6207033</v>
      </c>
      <c r="AK3">
        <f>IFERROR(VLOOKUP($A3,koronahun!$A:$AM,37,FALSE),"")</f>
        <v>155</v>
      </c>
      <c r="AL3">
        <f>IFERROR(VLOOKUP($A3,koronahun!$A:$AM,38,FALSE),"")</f>
        <v>22.142857142857142</v>
      </c>
      <c r="AM3" s="14">
        <f>IFERROR(VLOOKUP($A3,koronahun!$A:$AM,39,FALSE),"")</f>
        <v>682.42857142857144</v>
      </c>
      <c r="AN3" s="11">
        <f ca="1">IFERROR(__xludf.DUMMYFUNCTION("""COMPUTED_VALUE"""),43895)</f>
        <v>43895</v>
      </c>
      <c r="AO3" s="12">
        <f ca="1">IFERROR(VLOOKUP(AN3,koronahun!A:B,2,FALSE),"")</f>
        <v>4</v>
      </c>
      <c r="AP3" s="11">
        <f t="shared" ca="1" si="0"/>
        <v>43895</v>
      </c>
      <c r="AQ3" s="11">
        <f ca="1">IFERROR(__xludf.DUMMYFUNCTION("""COMPUTED_VALUE"""),43895)</f>
        <v>43895</v>
      </c>
      <c r="AR3" s="11">
        <v>44923</v>
      </c>
      <c r="AS3" s="11">
        <f t="shared" si="1"/>
        <v>44923</v>
      </c>
      <c r="AT3" s="11">
        <f ca="1">IFERROR(__xludf.DUMMYFUNCTION("""COMPUTED_VALUE"""),44916)</f>
        <v>44916</v>
      </c>
    </row>
    <row r="4" spans="1:46" ht="15.75" customHeight="1">
      <c r="A4" s="11">
        <v>44909</v>
      </c>
      <c r="B4">
        <f>IFERROR(VLOOKUP($A4,koronahun!$A:$AM,2,FALSE),"")</f>
        <v>2176249</v>
      </c>
      <c r="C4">
        <f>IFERROR(VLOOKUP($A4,koronahun!$A:$AM,3,FALSE),"")</f>
        <v>5193</v>
      </c>
      <c r="D4">
        <f>IFERROR(VLOOKUP($A4,koronahun!$A:$AM,4,FALSE),"")</f>
        <v>48380</v>
      </c>
      <c r="E4">
        <f>IFERROR(VLOOKUP($A4,koronahun!$A:$AM,5,FALSE),"")</f>
        <v>2114134</v>
      </c>
      <c r="F4">
        <f>IFERROR(VLOOKUP($A4,koronahun!$A:$AM,6,FALSE),"")</f>
        <v>11394556</v>
      </c>
      <c r="G4" s="12">
        <f>IFERROR(VLOOKUP($A4,koronahun!$A:$AM,7,FALSE),"")</f>
        <v>1162709.7959183673</v>
      </c>
      <c r="H4">
        <f>IFERROR(VLOOKUP($A4,koronahun!$A:$AM,8,FALSE),"")</f>
        <v>0</v>
      </c>
      <c r="I4" s="13">
        <f>IFERROR(VLOOKUP($A4,koronahun!$A:$AM,9,FALSE),"")</f>
        <v>2.3919235616216257E-3</v>
      </c>
      <c r="J4" s="13">
        <f>IFERROR(VLOOKUP($A4,koronahun!$A:$AM,10,FALSE),"")</f>
        <v>0.19099024130470726</v>
      </c>
      <c r="K4" s="13">
        <f>IFERROR(VLOOKUP($A4,koronahun!$A:$AM,11,FALSE),"")</f>
        <v>0</v>
      </c>
      <c r="L4">
        <f>IFERROR(VLOOKUP($A4,koronahun!$A:$AM,12,FALSE),"")</f>
        <v>13735</v>
      </c>
      <c r="M4" s="13">
        <f>IFERROR(VLOOKUP($A4,koronahun!$A:$AM,13,FALSE),"")</f>
        <v>2.2230911995824006E-2</v>
      </c>
      <c r="N4" s="13">
        <f>IFERROR(VLOOKUP($A4,koronahun!$A:$AM,14,FALSE),"")</f>
        <v>0.97145776976807341</v>
      </c>
      <c r="O4">
        <f>IFERROR(VLOOKUP($A4,koronahun!$A:$AM,15,FALSE),"")</f>
        <v>0</v>
      </c>
      <c r="P4">
        <f>IFERROR(VLOOKUP($A4,koronahun!$A:$AM,16,FALSE),"")</f>
        <v>0</v>
      </c>
      <c r="Q4" s="13">
        <f>IFERROR(VLOOKUP($A4,koronahun!$A:$AM,17,FALSE),"")</f>
        <v>0</v>
      </c>
      <c r="R4">
        <f>IFERROR(VLOOKUP($A4,koronahun!$A:$AM,18,FALSE),"")</f>
        <v>43</v>
      </c>
      <c r="S4">
        <f>IFERROR(VLOOKUP($A4,koronahun!$A:$AM,19,FALSE),"")</f>
        <v>4499</v>
      </c>
      <c r="T4">
        <f>IFERROR(VLOOKUP($A4,koronahun!$A:$AM,20,FALSE),"")</f>
        <v>1124</v>
      </c>
      <c r="U4">
        <f>IFERROR(VLOOKUP($A4,koronahun!$A:$AM,21,FALSE),"")</f>
        <v>24</v>
      </c>
      <c r="V4" s="13">
        <f>IFERROR(VLOOKUP($A4,koronahun!$A:$AM,22,FALSE),"")</f>
        <v>6.3113182361025782E-3</v>
      </c>
      <c r="W4">
        <f>IFERROR(VLOOKUP($A4,koronahun!$A:$AM,23,FALSE),"")</f>
        <v>1345</v>
      </c>
      <c r="X4">
        <f>IFERROR(VLOOKUP($A4,koronahun!$A:$AM,24,FALSE),"")</f>
        <v>19</v>
      </c>
      <c r="Y4" s="14">
        <f>IFERROR(VLOOKUP($A4,koronahun!$A:$AM,25,FALSE),"")</f>
        <v>8.1834728795049147E-2</v>
      </c>
      <c r="Z4" s="14">
        <f>IFERROR(VLOOKUP($A4,koronahun!$A:$AM,26,FALSE),"")</f>
        <v>2.1352313167259787E-2</v>
      </c>
      <c r="AA4" s="14">
        <f>IFERROR(VLOOKUP($A4,koronahun!$A:$AM,27,FALSE),"")</f>
        <v>1.103954081632653</v>
      </c>
      <c r="AB4" s="14">
        <f>IFERROR(VLOOKUP($A4,koronahun!$A:$AM,28,FALSE),"")</f>
        <v>0</v>
      </c>
      <c r="AC4" s="14">
        <f>IFERROR(VLOOKUP($A4,koronahun!$A:$AM,29,FALSE),"")</f>
        <v>741.85714285714289</v>
      </c>
      <c r="AD4" s="14">
        <f>IFERROR(VLOOKUP($A4,koronahun!$A:$AM,30,FALSE),"")</f>
        <v>6.1428571428571432</v>
      </c>
      <c r="AE4" s="14">
        <f>IFERROR(VLOOKUP($A4,koronahun!$A:$AM,31,FALSE),"")</f>
        <v>0</v>
      </c>
      <c r="AF4" s="13">
        <f>IFERROR(VLOOKUP($A4,koronahun!$A:$AM,32,FALSE),"")</f>
        <v>0</v>
      </c>
      <c r="AG4">
        <f>IFERROR(VLOOKUP($A4,koronahun!$A:$AM,33,FALSE),"")</f>
        <v>6420546</v>
      </c>
      <c r="AH4">
        <f>IFERROR(VLOOKUP($A4,koronahun!$A:$AM,34,FALSE),"")</f>
        <v>192</v>
      </c>
      <c r="AI4">
        <f>IFERROR(VLOOKUP($A4,koronahun!$A:$AM,35,FALSE),"")</f>
        <v>27.428571428571427</v>
      </c>
      <c r="AJ4">
        <f>IFERROR(VLOOKUP($A4,koronahun!$A:$AM,36,FALSE),"")</f>
        <v>6206878</v>
      </c>
      <c r="AK4">
        <f>IFERROR(VLOOKUP($A4,koronahun!$A:$AM,37,FALSE),"")</f>
        <v>168</v>
      </c>
      <c r="AL4">
        <f>IFERROR(VLOOKUP($A4,koronahun!$A:$AM,38,FALSE),"")</f>
        <v>24</v>
      </c>
      <c r="AM4" s="14">
        <f>IFERROR(VLOOKUP($A4,koronahun!$A:$AM,39,FALSE),"")</f>
        <v>642.71428571428567</v>
      </c>
      <c r="AN4" s="11">
        <f ca="1">IFERROR(__xludf.DUMMYFUNCTION("""COMPUTED_VALUE"""),43896)</f>
        <v>43896</v>
      </c>
      <c r="AO4" s="12">
        <f ca="1">IFERROR(VLOOKUP(AN4,koronahun!A:B,2,FALSE),"")</f>
        <v>4</v>
      </c>
      <c r="AP4" s="11">
        <f t="shared" ca="1" si="0"/>
        <v>43896</v>
      </c>
      <c r="AQ4" s="11">
        <f ca="1">IFERROR(__xludf.DUMMYFUNCTION("""COMPUTED_VALUE"""),43896)</f>
        <v>43896</v>
      </c>
      <c r="AR4" s="11">
        <v>44916</v>
      </c>
      <c r="AS4" s="11">
        <f t="shared" si="1"/>
        <v>44916</v>
      </c>
      <c r="AT4" s="11">
        <f ca="1">IFERROR(__xludf.DUMMYFUNCTION("""COMPUTED_VALUE"""),44909)</f>
        <v>44909</v>
      </c>
    </row>
    <row r="5" spans="1:46" ht="15.75" customHeight="1">
      <c r="A5" s="11">
        <v>44902</v>
      </c>
      <c r="B5">
        <f>IFERROR(VLOOKUP($A5,koronahun!$A:$AM,2,FALSE),"")</f>
        <v>2171056</v>
      </c>
      <c r="C5">
        <f>IFERROR(VLOOKUP($A5,koronahun!$A:$AM,3,FALSE),"")</f>
        <v>4704</v>
      </c>
      <c r="D5">
        <f>IFERROR(VLOOKUP($A5,koronahun!$A:$AM,4,FALSE),"")</f>
        <v>48337</v>
      </c>
      <c r="E5">
        <f>IFERROR(VLOOKUP($A5,koronahun!$A:$AM,5,FALSE),"")</f>
        <v>2109635</v>
      </c>
      <c r="F5">
        <f>IFERROR(VLOOKUP($A5,koronahun!$A:$AM,6,FALSE),"")</f>
        <v>11394556</v>
      </c>
      <c r="G5" s="12">
        <f>IFERROR(VLOOKUP($A5,koronahun!$A:$AM,7,FALSE),"")</f>
        <v>1162709.7959183673</v>
      </c>
      <c r="H5">
        <f>IFERROR(VLOOKUP($A5,koronahun!$A:$AM,8,FALSE),"")</f>
        <v>0</v>
      </c>
      <c r="I5" s="13">
        <f>IFERROR(VLOOKUP($A5,koronahun!$A:$AM,9,FALSE),"")</f>
        <v>2.1713922760474751E-3</v>
      </c>
      <c r="J5" s="13">
        <f>IFERROR(VLOOKUP($A5,koronahun!$A:$AM,10,FALSE),"")</f>
        <v>0.19053449735119121</v>
      </c>
      <c r="K5" s="13">
        <f>IFERROR(VLOOKUP($A5,koronahun!$A:$AM,11,FALSE),"")</f>
        <v>0</v>
      </c>
      <c r="L5">
        <f>IFERROR(VLOOKUP($A5,koronahun!$A:$AM,12,FALSE),"")</f>
        <v>13084</v>
      </c>
      <c r="M5" s="13">
        <f>IFERROR(VLOOKUP($A5,koronahun!$A:$AM,13,FALSE),"")</f>
        <v>2.2264280608146451E-2</v>
      </c>
      <c r="N5" s="13">
        <f>IFERROR(VLOOKUP($A5,koronahun!$A:$AM,14,FALSE),"")</f>
        <v>0.97170915904518351</v>
      </c>
      <c r="O5">
        <f>IFERROR(VLOOKUP($A5,koronahun!$A:$AM,15,FALSE),"")</f>
        <v>0</v>
      </c>
      <c r="P5">
        <f>IFERROR(VLOOKUP($A5,koronahun!$A:$AM,16,FALSE),"")</f>
        <v>0</v>
      </c>
      <c r="Q5" s="13">
        <f>IFERROR(VLOOKUP($A5,koronahun!$A:$AM,17,FALSE),"")</f>
        <v>0</v>
      </c>
      <c r="R5">
        <f>IFERROR(VLOOKUP($A5,koronahun!$A:$AM,18,FALSE),"")</f>
        <v>50</v>
      </c>
      <c r="S5">
        <f>IFERROR(VLOOKUP($A5,koronahun!$A:$AM,19,FALSE),"")</f>
        <v>5277</v>
      </c>
      <c r="T5">
        <f>IFERROR(VLOOKUP($A5,koronahun!$A:$AM,20,FALSE),"")</f>
        <v>828</v>
      </c>
      <c r="U5">
        <f>IFERROR(VLOOKUP($A5,koronahun!$A:$AM,21,FALSE),"")</f>
        <v>14</v>
      </c>
      <c r="V5" s="13">
        <f>IFERROR(VLOOKUP($A5,koronahun!$A:$AM,22,FALSE),"")</f>
        <v>6.0265603466700072E-3</v>
      </c>
      <c r="W5">
        <f>IFERROR(VLOOKUP($A5,koronahun!$A:$AM,23,FALSE),"")</f>
        <v>1345</v>
      </c>
      <c r="X5">
        <f>IFERROR(VLOOKUP($A5,koronahun!$A:$AM,24,FALSE),"")</f>
        <v>19</v>
      </c>
      <c r="Y5" s="14">
        <f>IFERROR(VLOOKUP($A5,koronahun!$A:$AM,25,FALSE),"")</f>
        <v>6.3283399571996329E-2</v>
      </c>
      <c r="Z5" s="14">
        <f>IFERROR(VLOOKUP($A5,koronahun!$A:$AM,26,FALSE),"")</f>
        <v>1.6908212560386472E-2</v>
      </c>
      <c r="AA5" s="14">
        <f>IFERROR(VLOOKUP($A5,koronahun!$A:$AM,27,FALSE),"")</f>
        <v>1.1044846208030055</v>
      </c>
      <c r="AB5" s="14">
        <f>IFERROR(VLOOKUP($A5,koronahun!$A:$AM,28,FALSE),"")</f>
        <v>0</v>
      </c>
      <c r="AC5" s="14">
        <f>IFERROR(VLOOKUP($A5,koronahun!$A:$AM,29,FALSE),"")</f>
        <v>672</v>
      </c>
      <c r="AD5" s="14">
        <f>IFERROR(VLOOKUP($A5,koronahun!$A:$AM,30,FALSE),"")</f>
        <v>7.1428571428571432</v>
      </c>
      <c r="AE5" s="14">
        <f>IFERROR(VLOOKUP($A5,koronahun!$A:$AM,31,FALSE),"")</f>
        <v>0</v>
      </c>
      <c r="AF5" s="13">
        <f>IFERROR(VLOOKUP($A5,koronahun!$A:$AM,32,FALSE),"")</f>
        <v>0</v>
      </c>
      <c r="AG5">
        <f>IFERROR(VLOOKUP($A5,koronahun!$A:$AM,33,FALSE),"")</f>
        <v>6420354</v>
      </c>
      <c r="AH5">
        <f>IFERROR(VLOOKUP($A5,koronahun!$A:$AM,34,FALSE),"")</f>
        <v>152</v>
      </c>
      <c r="AI5">
        <f>IFERROR(VLOOKUP($A5,koronahun!$A:$AM,35,FALSE),"")</f>
        <v>21.714285714285715</v>
      </c>
      <c r="AJ5">
        <f>IFERROR(VLOOKUP($A5,koronahun!$A:$AM,36,FALSE),"")</f>
        <v>6206710</v>
      </c>
      <c r="AK5">
        <f>IFERROR(VLOOKUP($A5,koronahun!$A:$AM,37,FALSE),"")</f>
        <v>145</v>
      </c>
      <c r="AL5">
        <f>IFERROR(VLOOKUP($A5,koronahun!$A:$AM,38,FALSE),"")</f>
        <v>20.714285714285715</v>
      </c>
      <c r="AM5" s="14">
        <f>IFERROR(VLOOKUP($A5,koronahun!$A:$AM,39,FALSE),"")</f>
        <v>753.85714285714289</v>
      </c>
      <c r="AN5" s="11">
        <f ca="1">IFERROR(__xludf.DUMMYFUNCTION("""COMPUTED_VALUE"""),43897)</f>
        <v>43897</v>
      </c>
      <c r="AO5" s="12">
        <f ca="1">IFERROR(VLOOKUP(AN5,koronahun!A:B,2,FALSE),"")</f>
        <v>5</v>
      </c>
      <c r="AP5" s="11">
        <f t="shared" ca="1" si="0"/>
        <v>43897</v>
      </c>
      <c r="AQ5" s="11">
        <f ca="1">IFERROR(__xludf.DUMMYFUNCTION("""COMPUTED_VALUE"""),43897)</f>
        <v>43897</v>
      </c>
      <c r="AR5" s="11">
        <v>44909</v>
      </c>
      <c r="AS5" s="11">
        <f t="shared" si="1"/>
        <v>44909</v>
      </c>
      <c r="AT5" s="11">
        <f ca="1">IFERROR(__xludf.DUMMYFUNCTION("""COMPUTED_VALUE"""),44902)</f>
        <v>44902</v>
      </c>
    </row>
    <row r="6" spans="1:46" ht="15.75" customHeight="1">
      <c r="A6" s="11">
        <v>44895</v>
      </c>
      <c r="B6">
        <f>IFERROR(VLOOKUP($A6,koronahun!$A:$AM,2,FALSE),"")</f>
        <v>2166352</v>
      </c>
      <c r="C6">
        <f>IFERROR(VLOOKUP($A6,koronahun!$A:$AM,3,FALSE),"")</f>
        <v>4259</v>
      </c>
      <c r="D6">
        <f>IFERROR(VLOOKUP($A6,koronahun!$A:$AM,4,FALSE),"")</f>
        <v>48287</v>
      </c>
      <c r="E6">
        <f>IFERROR(VLOOKUP($A6,koronahun!$A:$AM,5,FALSE),"")</f>
        <v>2104358</v>
      </c>
      <c r="F6">
        <f>IFERROR(VLOOKUP($A6,koronahun!$A:$AM,6,FALSE),"")</f>
        <v>11394556</v>
      </c>
      <c r="G6" s="12">
        <f>IFERROR(VLOOKUP($A6,koronahun!$A:$AM,7,FALSE),"")</f>
        <v>1162709.7959183673</v>
      </c>
      <c r="H6">
        <f>IFERROR(VLOOKUP($A6,koronahun!$A:$AM,8,FALSE),"")</f>
        <v>0</v>
      </c>
      <c r="I6" s="13">
        <f>IFERROR(VLOOKUP($A6,koronahun!$A:$AM,9,FALSE),"")</f>
        <v>1.9698505105932075E-3</v>
      </c>
      <c r="J6" s="13">
        <f>IFERROR(VLOOKUP($A6,koronahun!$A:$AM,10,FALSE),"")</f>
        <v>0.1901216686284222</v>
      </c>
      <c r="K6" s="13">
        <f>IFERROR(VLOOKUP($A6,koronahun!$A:$AM,11,FALSE),"")</f>
        <v>0</v>
      </c>
      <c r="L6">
        <f>IFERROR(VLOOKUP($A6,koronahun!$A:$AM,12,FALSE),"")</f>
        <v>13707</v>
      </c>
      <c r="M6" s="13">
        <f>IFERROR(VLOOKUP($A6,koronahun!$A:$AM,13,FALSE),"")</f>
        <v>2.2289544820047712E-2</v>
      </c>
      <c r="N6" s="13">
        <f>IFERROR(VLOOKUP($A6,koronahun!$A:$AM,14,FALSE),"")</f>
        <v>0.97138322857965831</v>
      </c>
      <c r="O6">
        <f>IFERROR(VLOOKUP($A6,koronahun!$A:$AM,15,FALSE),"")</f>
        <v>0</v>
      </c>
      <c r="P6">
        <f>IFERROR(VLOOKUP($A6,koronahun!$A:$AM,16,FALSE),"")</f>
        <v>0</v>
      </c>
      <c r="Q6" s="13">
        <f>IFERROR(VLOOKUP($A6,koronahun!$A:$AM,17,FALSE),"")</f>
        <v>0</v>
      </c>
      <c r="R6">
        <f>IFERROR(VLOOKUP($A6,koronahun!$A:$AM,18,FALSE),"")</f>
        <v>42</v>
      </c>
      <c r="S6">
        <f>IFERROR(VLOOKUP($A6,koronahun!$A:$AM,19,FALSE),"")</f>
        <v>6118</v>
      </c>
      <c r="T6">
        <f>IFERROR(VLOOKUP($A6,koronahun!$A:$AM,20,FALSE),"")</f>
        <v>336</v>
      </c>
      <c r="U6">
        <f>IFERROR(VLOOKUP($A6,koronahun!$A:$AM,21,FALSE),"")</f>
        <v>7</v>
      </c>
      <c r="V6" s="13">
        <f>IFERROR(VLOOKUP($A6,koronahun!$A:$AM,22,FALSE),"")</f>
        <v>6.32722660029395E-3</v>
      </c>
      <c r="W6">
        <f>IFERROR(VLOOKUP($A6,koronahun!$A:$AM,23,FALSE),"")</f>
        <v>1345</v>
      </c>
      <c r="X6">
        <f>IFERROR(VLOOKUP($A6,koronahun!$A:$AM,24,FALSE),"")</f>
        <v>19</v>
      </c>
      <c r="Y6" s="14">
        <f>IFERROR(VLOOKUP($A6,koronahun!$A:$AM,25,FALSE),"")</f>
        <v>2.4513022543226088E-2</v>
      </c>
      <c r="Z6" s="14">
        <f>IFERROR(VLOOKUP($A6,koronahun!$A:$AM,26,FALSE),"")</f>
        <v>2.0833333333333332E-2</v>
      </c>
      <c r="AA6" s="14">
        <f>IFERROR(VLOOKUP($A6,koronahun!$A:$AM,27,FALSE),"")</f>
        <v>1.0392874572962421</v>
      </c>
      <c r="AB6" s="14">
        <f>IFERROR(VLOOKUP($A6,koronahun!$A:$AM,28,FALSE),"")</f>
        <v>0</v>
      </c>
      <c r="AC6" s="14">
        <f>IFERROR(VLOOKUP($A6,koronahun!$A:$AM,29,FALSE),"")</f>
        <v>608.42857142857144</v>
      </c>
      <c r="AD6" s="14">
        <f>IFERROR(VLOOKUP($A6,koronahun!$A:$AM,30,FALSE),"")</f>
        <v>6</v>
      </c>
      <c r="AE6" s="14">
        <f>IFERROR(VLOOKUP($A6,koronahun!$A:$AM,31,FALSE),"")</f>
        <v>0</v>
      </c>
      <c r="AF6" s="13">
        <f>IFERROR(VLOOKUP($A6,koronahun!$A:$AM,32,FALSE),"")</f>
        <v>0</v>
      </c>
      <c r="AG6">
        <f>IFERROR(VLOOKUP($A6,koronahun!$A:$AM,33,FALSE),"")</f>
        <v>6420202</v>
      </c>
      <c r="AH6">
        <f>IFERROR(VLOOKUP($A6,koronahun!$A:$AM,34,FALSE),"")</f>
        <v>206</v>
      </c>
      <c r="AI6">
        <f>IFERROR(VLOOKUP($A6,koronahun!$A:$AM,35,FALSE),"")</f>
        <v>29.428571428571427</v>
      </c>
      <c r="AJ6">
        <f>IFERROR(VLOOKUP($A6,koronahun!$A:$AM,36,FALSE),"")</f>
        <v>6206565</v>
      </c>
      <c r="AK6">
        <f>IFERROR(VLOOKUP($A6,koronahun!$A:$AM,37,FALSE),"")</f>
        <v>177</v>
      </c>
      <c r="AL6">
        <f>IFERROR(VLOOKUP($A6,koronahun!$A:$AM,38,FALSE),"")</f>
        <v>25.285714285714285</v>
      </c>
      <c r="AM6" s="14">
        <f>IFERROR(VLOOKUP($A6,koronahun!$A:$AM,39,FALSE),"")</f>
        <v>874</v>
      </c>
      <c r="AN6" s="11">
        <f ca="1">IFERROR(__xludf.DUMMYFUNCTION("""COMPUTED_VALUE"""),43898)</f>
        <v>43898</v>
      </c>
      <c r="AO6" s="12">
        <f ca="1">IFERROR(VLOOKUP(AN6,koronahun!A:B,2,FALSE),"")</f>
        <v>7</v>
      </c>
      <c r="AP6" s="11">
        <f t="shared" ca="1" si="0"/>
        <v>43898</v>
      </c>
      <c r="AQ6" s="11">
        <f ca="1">IFERROR(__xludf.DUMMYFUNCTION("""COMPUTED_VALUE"""),43898)</f>
        <v>43898</v>
      </c>
      <c r="AR6" s="11">
        <v>44902</v>
      </c>
      <c r="AS6" s="11">
        <f t="shared" si="1"/>
        <v>44902</v>
      </c>
      <c r="AT6" s="11">
        <f ca="1">IFERROR(__xludf.DUMMYFUNCTION("""COMPUTED_VALUE"""),44895)</f>
        <v>44895</v>
      </c>
    </row>
    <row r="7" spans="1:46" ht="15.75" customHeight="1">
      <c r="A7" s="11">
        <v>44888</v>
      </c>
      <c r="B7">
        <f>IFERROR(VLOOKUP($A7,koronahun!$A:$AM,2,FALSE),"")</f>
        <v>2162093</v>
      </c>
      <c r="C7">
        <f>IFERROR(VLOOKUP($A7,koronahun!$A:$AM,3,FALSE),"")</f>
        <v>4098</v>
      </c>
      <c r="D7">
        <f>IFERROR(VLOOKUP($A7,koronahun!$A:$AM,4,FALSE),"")</f>
        <v>48245</v>
      </c>
      <c r="E7">
        <f>IFERROR(VLOOKUP($A7,koronahun!$A:$AM,5,FALSE),"")</f>
        <v>2098240</v>
      </c>
      <c r="F7">
        <f>IFERROR(VLOOKUP($A7,koronahun!$A:$AM,6,FALSE),"")</f>
        <v>11394556</v>
      </c>
      <c r="G7" s="12">
        <f>IFERROR(VLOOKUP($A7,koronahun!$A:$AM,7,FALSE),"")</f>
        <v>1162709.7959183673</v>
      </c>
      <c r="H7">
        <f>IFERROR(VLOOKUP($A7,koronahun!$A:$AM,8,FALSE),"")</f>
        <v>0</v>
      </c>
      <c r="I7" s="13">
        <f>IFERROR(VLOOKUP($A7,koronahun!$A:$AM,9,FALSE),"")</f>
        <v>1.8989849374071767E-3</v>
      </c>
      <c r="J7" s="13">
        <f>IFERROR(VLOOKUP($A7,koronahun!$A:$AM,10,FALSE),"")</f>
        <v>0.18974789364324507</v>
      </c>
      <c r="K7" s="13">
        <f>IFERROR(VLOOKUP($A7,koronahun!$A:$AM,11,FALSE),"")</f>
        <v>0</v>
      </c>
      <c r="L7">
        <f>IFERROR(VLOOKUP($A7,koronahun!$A:$AM,12,FALSE),"")</f>
        <v>15608</v>
      </c>
      <c r="M7" s="13">
        <f>IFERROR(VLOOKUP($A7,koronahun!$A:$AM,13,FALSE),"")</f>
        <v>2.231402626991531E-2</v>
      </c>
      <c r="N7" s="13">
        <f>IFERROR(VLOOKUP($A7,koronahun!$A:$AM,14,FALSE),"")</f>
        <v>0.970467042814532</v>
      </c>
      <c r="O7">
        <f>IFERROR(VLOOKUP($A7,koronahun!$A:$AM,15,FALSE),"")</f>
        <v>0</v>
      </c>
      <c r="P7">
        <f>IFERROR(VLOOKUP($A7,koronahun!$A:$AM,16,FALSE),"")</f>
        <v>0</v>
      </c>
      <c r="Q7" s="13">
        <f>IFERROR(VLOOKUP($A7,koronahun!$A:$AM,17,FALSE),"")</f>
        <v>0</v>
      </c>
      <c r="R7">
        <f>IFERROR(VLOOKUP($A7,koronahun!$A:$AM,18,FALSE),"")</f>
        <v>61</v>
      </c>
      <c r="S7">
        <f>IFERROR(VLOOKUP($A7,koronahun!$A:$AM,19,FALSE),"")</f>
        <v>6962</v>
      </c>
      <c r="T7">
        <f>IFERROR(VLOOKUP($A7,koronahun!$A:$AM,20,FALSE),"")</f>
        <v>770</v>
      </c>
      <c r="U7">
        <f>IFERROR(VLOOKUP($A7,koronahun!$A:$AM,21,FALSE),"")</f>
        <v>11</v>
      </c>
      <c r="V7" s="13">
        <f>IFERROR(VLOOKUP($A7,koronahun!$A:$AM,22,FALSE),"")</f>
        <v>7.2189309155526616E-3</v>
      </c>
      <c r="W7">
        <f>IFERROR(VLOOKUP($A7,koronahun!$A:$AM,23,FALSE),"")</f>
        <v>1345</v>
      </c>
      <c r="X7">
        <f>IFERROR(VLOOKUP($A7,koronahun!$A:$AM,24,FALSE),"")</f>
        <v>19</v>
      </c>
      <c r="Y7" s="14">
        <f>IFERROR(VLOOKUP($A7,koronahun!$A:$AM,25,FALSE),"")</f>
        <v>4.9333675038441827E-2</v>
      </c>
      <c r="Z7" s="14">
        <f>IFERROR(VLOOKUP($A7,koronahun!$A:$AM,26,FALSE),"")</f>
        <v>1.4285714285714285E-2</v>
      </c>
      <c r="AA7" s="14">
        <f>IFERROR(VLOOKUP($A7,koronahun!$A:$AM,27,FALSE),"")</f>
        <v>0.92484766418415709</v>
      </c>
      <c r="AB7" s="14">
        <f>IFERROR(VLOOKUP($A7,koronahun!$A:$AM,28,FALSE),"")</f>
        <v>0</v>
      </c>
      <c r="AC7" s="14">
        <f>IFERROR(VLOOKUP($A7,koronahun!$A:$AM,29,FALSE),"")</f>
        <v>585.42857142857144</v>
      </c>
      <c r="AD7" s="14">
        <f>IFERROR(VLOOKUP($A7,koronahun!$A:$AM,30,FALSE),"")</f>
        <v>8.7142857142857135</v>
      </c>
      <c r="AE7" s="14">
        <f>IFERROR(VLOOKUP($A7,koronahun!$A:$AM,31,FALSE),"")</f>
        <v>0</v>
      </c>
      <c r="AF7" s="13">
        <f>IFERROR(VLOOKUP($A7,koronahun!$A:$AM,32,FALSE),"")</f>
        <v>0</v>
      </c>
      <c r="AG7">
        <f>IFERROR(VLOOKUP($A7,koronahun!$A:$AM,33,FALSE),"")</f>
        <v>6419996</v>
      </c>
      <c r="AH7">
        <f>IFERROR(VLOOKUP($A7,koronahun!$A:$AM,34,FALSE),"")</f>
        <v>238</v>
      </c>
      <c r="AI7">
        <f>IFERROR(VLOOKUP($A7,koronahun!$A:$AM,35,FALSE),"")</f>
        <v>34</v>
      </c>
      <c r="AJ7">
        <f>IFERROR(VLOOKUP($A7,koronahun!$A:$AM,36,FALSE),"")</f>
        <v>6206388</v>
      </c>
      <c r="AK7">
        <f>IFERROR(VLOOKUP($A7,koronahun!$A:$AM,37,FALSE),"")</f>
        <v>232</v>
      </c>
      <c r="AL7">
        <f>IFERROR(VLOOKUP($A7,koronahun!$A:$AM,38,FALSE),"")</f>
        <v>33.142857142857146</v>
      </c>
      <c r="AM7" s="14">
        <f>IFERROR(VLOOKUP($A7,koronahun!$A:$AM,39,FALSE),"")</f>
        <v>994.57142857142856</v>
      </c>
      <c r="AN7" s="11">
        <f ca="1">IFERROR(__xludf.DUMMYFUNCTION("""COMPUTED_VALUE"""),43899)</f>
        <v>43899</v>
      </c>
      <c r="AO7" s="12">
        <f ca="1">IFERROR(VLOOKUP(AN7,koronahun!A:B,2,FALSE),"")</f>
        <v>9</v>
      </c>
      <c r="AP7" s="11">
        <f t="shared" ca="1" si="0"/>
        <v>43899</v>
      </c>
      <c r="AQ7" s="11">
        <f ca="1">IFERROR(__xludf.DUMMYFUNCTION("""COMPUTED_VALUE"""),43899)</f>
        <v>43899</v>
      </c>
      <c r="AR7" s="11">
        <v>44895</v>
      </c>
      <c r="AS7" s="11">
        <f t="shared" si="1"/>
        <v>44895</v>
      </c>
      <c r="AT7" s="11">
        <f ca="1">IFERROR(__xludf.DUMMYFUNCTION("""COMPUTED_VALUE"""),44888)</f>
        <v>44888</v>
      </c>
    </row>
    <row r="8" spans="1:46" ht="15.75" customHeight="1">
      <c r="A8" s="11">
        <v>44881</v>
      </c>
      <c r="B8">
        <f>IFERROR(VLOOKUP($A8,koronahun!$A:$AM,2,FALSE),"")</f>
        <v>2157995</v>
      </c>
      <c r="C8">
        <f>IFERROR(VLOOKUP($A8,koronahun!$A:$AM,3,FALSE),"")</f>
        <v>4431</v>
      </c>
      <c r="D8">
        <f>IFERROR(VLOOKUP($A8,koronahun!$A:$AM,4,FALSE),"")</f>
        <v>48184</v>
      </c>
      <c r="E8">
        <f>IFERROR(VLOOKUP($A8,koronahun!$A:$AM,5,FALSE),"")</f>
        <v>2091278</v>
      </c>
      <c r="F8">
        <f>IFERROR(VLOOKUP($A8,koronahun!$A:$AM,6,FALSE),"")</f>
        <v>11394556</v>
      </c>
      <c r="G8" s="12">
        <f>IFERROR(VLOOKUP($A8,koronahun!$A:$AM,7,FALSE),"")</f>
        <v>1162709.7959183673</v>
      </c>
      <c r="H8">
        <f>IFERROR(VLOOKUP($A8,koronahun!$A:$AM,8,FALSE),"")</f>
        <v>0</v>
      </c>
      <c r="I8" s="13">
        <f>IFERROR(VLOOKUP($A8,koronahun!$A:$AM,9,FALSE),"")</f>
        <v>2.0575195350590928E-3</v>
      </c>
      <c r="J8" s="13">
        <f>IFERROR(VLOOKUP($A8,koronahun!$A:$AM,10,FALSE),"")</f>
        <v>0.18938824821256747</v>
      </c>
      <c r="K8" s="13">
        <f>IFERROR(VLOOKUP($A8,koronahun!$A:$AM,11,FALSE),"")</f>
        <v>0</v>
      </c>
      <c r="L8">
        <f>IFERROR(VLOOKUP($A8,koronahun!$A:$AM,12,FALSE),"")</f>
        <v>18533</v>
      </c>
      <c r="M8" s="13">
        <f>IFERROR(VLOOKUP($A8,koronahun!$A:$AM,13,FALSE),"")</f>
        <v>2.2328133290392238E-2</v>
      </c>
      <c r="N8" s="13">
        <f>IFERROR(VLOOKUP($A8,koronahun!$A:$AM,14,FALSE),"")</f>
        <v>0.96908380232576996</v>
      </c>
      <c r="O8">
        <f>IFERROR(VLOOKUP($A8,koronahun!$A:$AM,15,FALSE),"")</f>
        <v>0</v>
      </c>
      <c r="P8">
        <f>IFERROR(VLOOKUP($A8,koronahun!$A:$AM,16,FALSE),"")</f>
        <v>0</v>
      </c>
      <c r="Q8" s="13">
        <f>IFERROR(VLOOKUP($A8,koronahun!$A:$AM,17,FALSE),"")</f>
        <v>0</v>
      </c>
      <c r="R8">
        <f>IFERROR(VLOOKUP($A8,koronahun!$A:$AM,18,FALSE),"")</f>
        <v>73</v>
      </c>
      <c r="S8">
        <f>IFERROR(VLOOKUP($A8,koronahun!$A:$AM,19,FALSE),"")</f>
        <v>8753</v>
      </c>
      <c r="T8">
        <f>IFERROR(VLOOKUP($A8,koronahun!$A:$AM,20,FALSE),"")</f>
        <v>749</v>
      </c>
      <c r="U8">
        <f>IFERROR(VLOOKUP($A8,koronahun!$A:$AM,21,FALSE),"")</f>
        <v>10</v>
      </c>
      <c r="V8" s="13">
        <f>IFERROR(VLOOKUP($A8,koronahun!$A:$AM,22,FALSE),"")</f>
        <v>8.5880643838377752E-3</v>
      </c>
      <c r="W8">
        <f>IFERROR(VLOOKUP($A8,koronahun!$A:$AM,23,FALSE),"")</f>
        <v>1345</v>
      </c>
      <c r="X8">
        <f>IFERROR(VLOOKUP($A8,koronahun!$A:$AM,24,FALSE),"")</f>
        <v>19</v>
      </c>
      <c r="Y8" s="14">
        <f>IFERROR(VLOOKUP($A8,koronahun!$A:$AM,25,FALSE),"")</f>
        <v>4.0414395942373067E-2</v>
      </c>
      <c r="Z8" s="14">
        <f>IFERROR(VLOOKUP($A8,koronahun!$A:$AM,26,FALSE),"")</f>
        <v>1.335113484646195E-2</v>
      </c>
      <c r="AA8" s="14">
        <f>IFERROR(VLOOKUP($A8,koronahun!$A:$AM,27,FALSE),"")</f>
        <v>0.97256365232660225</v>
      </c>
      <c r="AB8" s="14">
        <f>IFERROR(VLOOKUP($A8,koronahun!$A:$AM,28,FALSE),"")</f>
        <v>0</v>
      </c>
      <c r="AC8" s="14">
        <f>IFERROR(VLOOKUP($A8,koronahun!$A:$AM,29,FALSE),"")</f>
        <v>633</v>
      </c>
      <c r="AD8" s="14">
        <f>IFERROR(VLOOKUP($A8,koronahun!$A:$AM,30,FALSE),"")</f>
        <v>10.428571428571429</v>
      </c>
      <c r="AE8" s="14">
        <f>IFERROR(VLOOKUP($A8,koronahun!$A:$AM,31,FALSE),"")</f>
        <v>0</v>
      </c>
      <c r="AF8" s="13">
        <f>IFERROR(VLOOKUP($A8,koronahun!$A:$AM,32,FALSE),"")</f>
        <v>0</v>
      </c>
      <c r="AG8">
        <f>IFERROR(VLOOKUP($A8,koronahun!$A:$AM,33,FALSE),"")</f>
        <v>6419758</v>
      </c>
      <c r="AH8">
        <f>IFERROR(VLOOKUP($A8,koronahun!$A:$AM,34,FALSE),"")</f>
        <v>191</v>
      </c>
      <c r="AI8">
        <f>IFERROR(VLOOKUP($A8,koronahun!$A:$AM,35,FALSE),"")</f>
        <v>27.285714285714285</v>
      </c>
      <c r="AJ8">
        <f>IFERROR(VLOOKUP($A8,koronahun!$A:$AM,36,FALSE),"")</f>
        <v>6206156</v>
      </c>
      <c r="AK8">
        <f>IFERROR(VLOOKUP($A8,koronahun!$A:$AM,37,FALSE),"")</f>
        <v>188</v>
      </c>
      <c r="AL8">
        <f>IFERROR(VLOOKUP($A8,koronahun!$A:$AM,38,FALSE),"")</f>
        <v>26.857142857142858</v>
      </c>
      <c r="AM8" s="14">
        <f>IFERROR(VLOOKUP($A8,koronahun!$A:$AM,39,FALSE),"")</f>
        <v>1250.4285714285713</v>
      </c>
      <c r="AN8" s="11">
        <f ca="1">IFERROR(__xludf.DUMMYFUNCTION("""COMPUTED_VALUE"""),43900)</f>
        <v>43900</v>
      </c>
      <c r="AO8" s="12">
        <f ca="1">IFERROR(VLOOKUP(AN8,koronahun!A:B,2,FALSE),"")</f>
        <v>12</v>
      </c>
      <c r="AP8" s="11">
        <f t="shared" ca="1" si="0"/>
        <v>43900</v>
      </c>
      <c r="AQ8" s="11">
        <f ca="1">IFERROR(__xludf.DUMMYFUNCTION("""COMPUTED_VALUE"""),43900)</f>
        <v>43900</v>
      </c>
      <c r="AR8" s="11">
        <v>44888</v>
      </c>
      <c r="AS8" s="11">
        <f t="shared" si="1"/>
        <v>44888</v>
      </c>
      <c r="AT8" s="11">
        <f ca="1">IFERROR(__xludf.DUMMYFUNCTION("""COMPUTED_VALUE"""),44881)</f>
        <v>44881</v>
      </c>
    </row>
    <row r="9" spans="1:46" ht="15.75" customHeight="1">
      <c r="A9" s="11">
        <v>44874</v>
      </c>
      <c r="B9">
        <f>IFERROR(VLOOKUP($A9,koronahun!$A:$AM,2,FALSE),"")</f>
        <v>2153564</v>
      </c>
      <c r="C9">
        <f>IFERROR(VLOOKUP($A9,koronahun!$A:$AM,3,FALSE),"")</f>
        <v>4556</v>
      </c>
      <c r="D9">
        <f>IFERROR(VLOOKUP($A9,koronahun!$A:$AM,4,FALSE),"")</f>
        <v>48111</v>
      </c>
      <c r="E9">
        <f>IFERROR(VLOOKUP($A9,koronahun!$A:$AM,5,FALSE),"")</f>
        <v>2082525</v>
      </c>
      <c r="F9">
        <f>IFERROR(VLOOKUP($A9,koronahun!$A:$AM,6,FALSE),"")</f>
        <v>11394556</v>
      </c>
      <c r="G9" s="12">
        <f>IFERROR(VLOOKUP($A9,koronahun!$A:$AM,7,FALSE),"")</f>
        <v>1162709.7959183673</v>
      </c>
      <c r="H9">
        <f>IFERROR(VLOOKUP($A9,koronahun!$A:$AM,8,FALSE),"")</f>
        <v>0</v>
      </c>
      <c r="I9" s="13">
        <f>IFERROR(VLOOKUP($A9,koronahun!$A:$AM,9,FALSE),"")</f>
        <v>2.1200479477042431E-3</v>
      </c>
      <c r="J9" s="13">
        <f>IFERROR(VLOOKUP($A9,koronahun!$A:$AM,10,FALSE),"")</f>
        <v>0.18899937829960203</v>
      </c>
      <c r="K9" s="13">
        <f>IFERROR(VLOOKUP($A9,koronahun!$A:$AM,11,FALSE),"")</f>
        <v>0</v>
      </c>
      <c r="L9">
        <f>IFERROR(VLOOKUP($A9,koronahun!$A:$AM,12,FALSE),"")</f>
        <v>22928</v>
      </c>
      <c r="M9" s="13">
        <f>IFERROR(VLOOKUP($A9,koronahun!$A:$AM,13,FALSE),"")</f>
        <v>2.2340176563129768E-2</v>
      </c>
      <c r="N9" s="13">
        <f>IFERROR(VLOOKUP($A9,koronahun!$A:$AM,14,FALSE),"")</f>
        <v>0.96701328588330782</v>
      </c>
      <c r="O9">
        <f>IFERROR(VLOOKUP($A9,koronahun!$A:$AM,15,FALSE),"")</f>
        <v>0</v>
      </c>
      <c r="P9">
        <f>IFERROR(VLOOKUP($A9,koronahun!$A:$AM,16,FALSE),"")</f>
        <v>0</v>
      </c>
      <c r="Q9" s="13">
        <f>IFERROR(VLOOKUP($A9,koronahun!$A:$AM,17,FALSE),"")</f>
        <v>0</v>
      </c>
      <c r="R9">
        <f>IFERROR(VLOOKUP($A9,koronahun!$A:$AM,18,FALSE),"")</f>
        <v>173</v>
      </c>
      <c r="S9">
        <f>IFERROR(VLOOKUP($A9,koronahun!$A:$AM,19,FALSE),"")</f>
        <v>20526</v>
      </c>
      <c r="T9">
        <f>IFERROR(VLOOKUP($A9,koronahun!$A:$AM,20,FALSE),"")</f>
        <v>985</v>
      </c>
      <c r="U9">
        <f>IFERROR(VLOOKUP($A9,koronahun!$A:$AM,21,FALSE),"")</f>
        <v>18</v>
      </c>
      <c r="V9" s="13">
        <f>IFERROR(VLOOKUP($A9,koronahun!$A:$AM,22,FALSE),"")</f>
        <v>1.0646537553562374E-2</v>
      </c>
      <c r="W9">
        <f>IFERROR(VLOOKUP($A9,koronahun!$A:$AM,23,FALSE),"")</f>
        <v>1345</v>
      </c>
      <c r="X9">
        <f>IFERROR(VLOOKUP($A9,koronahun!$A:$AM,24,FALSE),"")</f>
        <v>19</v>
      </c>
      <c r="Y9" s="14">
        <f>IFERROR(VLOOKUP($A9,koronahun!$A:$AM,25,FALSE),"")</f>
        <v>4.2960572226099093E-2</v>
      </c>
      <c r="Z9" s="14">
        <f>IFERROR(VLOOKUP($A9,koronahun!$A:$AM,26,FALSE),"")</f>
        <v>1.8274111675126905E-2</v>
      </c>
      <c r="AA9" s="14">
        <f>IFERROR(VLOOKUP($A9,koronahun!$A:$AM,27,FALSE),"")</f>
        <v>0.60787191460973977</v>
      </c>
      <c r="AB9" s="14">
        <f>IFERROR(VLOOKUP($A9,koronahun!$A:$AM,28,FALSE),"")</f>
        <v>0</v>
      </c>
      <c r="AC9" s="14">
        <f>IFERROR(VLOOKUP($A9,koronahun!$A:$AM,29,FALSE),"")</f>
        <v>650.85714285714289</v>
      </c>
      <c r="AD9" s="14">
        <f>IFERROR(VLOOKUP($A9,koronahun!$A:$AM,30,FALSE),"")</f>
        <v>12.357142857142858</v>
      </c>
      <c r="AE9" s="14">
        <f>IFERROR(VLOOKUP($A9,koronahun!$A:$AM,31,FALSE),"")</f>
        <v>0</v>
      </c>
      <c r="AF9" s="13">
        <f>IFERROR(VLOOKUP($A9,koronahun!$A:$AM,32,FALSE),"")</f>
        <v>0</v>
      </c>
      <c r="AG9">
        <f>IFERROR(VLOOKUP($A9,koronahun!$A:$AM,33,FALSE),"")</f>
        <v>6419567</v>
      </c>
      <c r="AH9">
        <f>IFERROR(VLOOKUP($A9,koronahun!$A:$AM,34,FALSE),"")</f>
        <v>384</v>
      </c>
      <c r="AI9">
        <f>IFERROR(VLOOKUP($A9,koronahun!$A:$AM,35,FALSE),"")</f>
        <v>54.857142857142854</v>
      </c>
      <c r="AJ9">
        <f>IFERROR(VLOOKUP($A9,koronahun!$A:$AM,36,FALSE),"")</f>
        <v>6205968</v>
      </c>
      <c r="AK9">
        <f>IFERROR(VLOOKUP($A9,koronahun!$A:$AM,37,FALSE),"")</f>
        <v>360</v>
      </c>
      <c r="AL9">
        <f>IFERROR(VLOOKUP($A9,koronahun!$A:$AM,38,FALSE),"")</f>
        <v>51.428571428571431</v>
      </c>
      <c r="AM9" s="14">
        <f>IFERROR(VLOOKUP($A9,koronahun!$A:$AM,39,FALSE),"")</f>
        <v>1466.1428571428571</v>
      </c>
      <c r="AN9" s="11">
        <f ca="1">IFERROR(__xludf.DUMMYFUNCTION("""COMPUTED_VALUE"""),43901)</f>
        <v>43901</v>
      </c>
      <c r="AO9" s="12">
        <f ca="1">IFERROR(VLOOKUP(AN9,koronahun!A:B,2,FALSE),"")</f>
        <v>13</v>
      </c>
      <c r="AP9" s="11">
        <f t="shared" ca="1" si="0"/>
        <v>43901</v>
      </c>
      <c r="AQ9" s="11">
        <f ca="1">IFERROR(__xludf.DUMMYFUNCTION("""COMPUTED_VALUE"""),43901)</f>
        <v>43901</v>
      </c>
      <c r="AR9" s="11">
        <v>44881</v>
      </c>
      <c r="AS9" s="11">
        <f t="shared" si="1"/>
        <v>44881</v>
      </c>
      <c r="AT9" s="11">
        <f ca="1">IFERROR(__xludf.DUMMYFUNCTION("""COMPUTED_VALUE"""),44874)</f>
        <v>44874</v>
      </c>
    </row>
    <row r="10" spans="1:46" ht="15.75" customHeight="1">
      <c r="A10" s="11">
        <v>44867</v>
      </c>
      <c r="B10">
        <f>IFERROR(VLOOKUP($A10,koronahun!$A:$AM,2,FALSE),"")</f>
        <v>2149008</v>
      </c>
      <c r="C10">
        <f>IFERROR(VLOOKUP($A10,koronahun!$A:$AM,3,FALSE),"")</f>
        <v>7495</v>
      </c>
      <c r="D10">
        <f>IFERROR(VLOOKUP($A10,koronahun!$A:$AM,4,FALSE),"")</f>
        <v>0</v>
      </c>
      <c r="E10">
        <f>IFERROR(VLOOKUP($A10,koronahun!$A:$AM,5,FALSE),"")</f>
        <v>0</v>
      </c>
      <c r="F10">
        <f>IFERROR(VLOOKUP($A10,koronahun!$A:$AM,6,FALSE),"")</f>
        <v>11394556</v>
      </c>
      <c r="G10" s="12">
        <f>IFERROR(VLOOKUP($A10,koronahun!$A:$AM,7,FALSE),"")</f>
        <v>1162709.7959183673</v>
      </c>
      <c r="H10">
        <f>IFERROR(VLOOKUP($A10,koronahun!$A:$AM,8,FALSE),"")</f>
        <v>0</v>
      </c>
      <c r="I10" s="13">
        <f>IFERROR(VLOOKUP($A10,koronahun!$A:$AM,9,FALSE),"")</f>
        <v>3.4998620134456342E-3</v>
      </c>
      <c r="J10" s="13">
        <f>IFERROR(VLOOKUP($A10,koronahun!$A:$AM,10,FALSE),"")</f>
        <v>0.18859953823562761</v>
      </c>
      <c r="K10" s="13">
        <f>IFERROR(VLOOKUP($A10,koronahun!$A:$AM,11,FALSE),"")</f>
        <v>0</v>
      </c>
      <c r="L10">
        <f>IFERROR(VLOOKUP($A10,koronahun!$A:$AM,12,FALSE),"")</f>
        <v>0</v>
      </c>
      <c r="M10" s="13">
        <f>IFERROR(VLOOKUP($A10,koronahun!$A:$AM,13,FALSE),"")</f>
        <v>0</v>
      </c>
      <c r="N10" s="13">
        <f>IFERROR(VLOOKUP($A10,koronahun!$A:$AM,14,FALSE),"")</f>
        <v>0</v>
      </c>
      <c r="O10">
        <f>IFERROR(VLOOKUP($A10,koronahun!$A:$AM,15,FALSE),"")</f>
        <v>0</v>
      </c>
      <c r="P10">
        <f>IFERROR(VLOOKUP($A10,koronahun!$A:$AM,16,FALSE),"")</f>
        <v>0</v>
      </c>
      <c r="Q10" s="13">
        <f>IFERROR(VLOOKUP($A10,koronahun!$A:$AM,17,FALSE),"")</f>
        <v>0</v>
      </c>
      <c r="R10">
        <f>IFERROR(VLOOKUP($A10,koronahun!$A:$AM,18,FALSE),"")</f>
        <v>0</v>
      </c>
      <c r="S10">
        <f>IFERROR(VLOOKUP($A10,koronahun!$A:$AM,19,FALSE),"")</f>
        <v>0</v>
      </c>
      <c r="T10">
        <f>IFERROR(VLOOKUP($A10,koronahun!$A:$AM,20,FALSE),"")</f>
        <v>0</v>
      </c>
      <c r="U10">
        <f>IFERROR(VLOOKUP($A10,koronahun!$A:$AM,21,FALSE),"")</f>
        <v>0</v>
      </c>
      <c r="V10" s="13">
        <f>IFERROR(VLOOKUP($A10,koronahun!$A:$AM,22,FALSE),"")</f>
        <v>0</v>
      </c>
      <c r="W10">
        <f>IFERROR(VLOOKUP($A10,koronahun!$A:$AM,23,FALSE),"")</f>
        <v>0</v>
      </c>
      <c r="X10">
        <f>IFERROR(VLOOKUP($A10,koronahun!$A:$AM,24,FALSE),"")</f>
        <v>0</v>
      </c>
      <c r="Y10" s="14">
        <f>IFERROR(VLOOKUP($A10,koronahun!$A:$AM,25,FALSE),"")</f>
        <v>0</v>
      </c>
      <c r="Z10" s="14">
        <f>IFERROR(VLOOKUP($A10,koronahun!$A:$AM,26,FALSE),"")</f>
        <v>0</v>
      </c>
      <c r="AA10" s="14">
        <f>IFERROR(VLOOKUP($A10,koronahun!$A:$AM,27,FALSE),"")</f>
        <v>0.83065499279618749</v>
      </c>
      <c r="AB10" s="14">
        <f>IFERROR(VLOOKUP($A10,koronahun!$A:$AM,28,FALSE),"")</f>
        <v>0</v>
      </c>
      <c r="AC10" s="14">
        <f>IFERROR(VLOOKUP($A10,koronahun!$A:$AM,29,FALSE),"")</f>
        <v>1070.7142857142858</v>
      </c>
      <c r="AD10" s="14">
        <f>IFERROR(VLOOKUP($A10,koronahun!$A:$AM,30,FALSE),"")</f>
        <v>0</v>
      </c>
      <c r="AE10" s="14">
        <f>IFERROR(VLOOKUP($A10,koronahun!$A:$AM,31,FALSE),"")</f>
        <v>0</v>
      </c>
      <c r="AF10" s="13">
        <f>IFERROR(VLOOKUP($A10,koronahun!$A:$AM,32,FALSE),"")</f>
        <v>0</v>
      </c>
      <c r="AG10">
        <f>IFERROR(VLOOKUP($A10,koronahun!$A:$AM,33,FALSE),"")</f>
        <v>0</v>
      </c>
      <c r="AH10">
        <f>IFERROR(VLOOKUP($A10,koronahun!$A:$AM,34,FALSE),"")</f>
        <v>0</v>
      </c>
      <c r="AI10">
        <f>IFERROR(VLOOKUP($A10,koronahun!$A:$AM,35,FALSE),"")</f>
        <v>0</v>
      </c>
      <c r="AJ10">
        <f>IFERROR(VLOOKUP($A10,koronahun!$A:$AM,36,FALSE),"")</f>
        <v>0</v>
      </c>
      <c r="AK10">
        <f>IFERROR(VLOOKUP($A10,koronahun!$A:$AM,37,FALSE),"")</f>
        <v>0</v>
      </c>
      <c r="AL10">
        <f>IFERROR(VLOOKUP($A10,koronahun!$A:$AM,38,FALSE),"")</f>
        <v>0</v>
      </c>
      <c r="AM10" s="14">
        <f>IFERROR(VLOOKUP($A10,koronahun!$A:$AM,39,FALSE),"")</f>
        <v>0</v>
      </c>
      <c r="AN10" s="11">
        <f ca="1">IFERROR(__xludf.DUMMYFUNCTION("""COMPUTED_VALUE"""),43902)</f>
        <v>43902</v>
      </c>
      <c r="AO10" s="12">
        <f ca="1">IFERROR(VLOOKUP(AN10,koronahun!A:B,2,FALSE),"")</f>
        <v>16</v>
      </c>
      <c r="AP10" s="11">
        <f t="shared" ca="1" si="0"/>
        <v>43902</v>
      </c>
      <c r="AQ10" s="11">
        <f ca="1">IFERROR(__xludf.DUMMYFUNCTION("""COMPUTED_VALUE"""),43902)</f>
        <v>43902</v>
      </c>
      <c r="AR10" s="11">
        <v>44874</v>
      </c>
      <c r="AS10" s="11">
        <f t="shared" si="1"/>
        <v>44874</v>
      </c>
      <c r="AT10" s="11">
        <f ca="1">IFERROR(__xludf.DUMMYFUNCTION("""COMPUTED_VALUE"""),44867)</f>
        <v>44867</v>
      </c>
    </row>
    <row r="11" spans="1:46" ht="15.75" customHeight="1">
      <c r="A11" s="11">
        <v>44860</v>
      </c>
      <c r="B11">
        <f>IFERROR(VLOOKUP($A11,koronahun!$A:$AM,2,FALSE),"")</f>
        <v>2141513</v>
      </c>
      <c r="C11">
        <f>IFERROR(VLOOKUP($A11,koronahun!$A:$AM,3,FALSE),"")</f>
        <v>9023</v>
      </c>
      <c r="D11">
        <f>IFERROR(VLOOKUP($A11,koronahun!$A:$AM,4,FALSE),"")</f>
        <v>47938</v>
      </c>
      <c r="E11">
        <f>IFERROR(VLOOKUP($A11,koronahun!$A:$AM,5,FALSE),"")</f>
        <v>2061999</v>
      </c>
      <c r="F11">
        <f>IFERROR(VLOOKUP($A11,koronahun!$A:$AM,6,FALSE),"")</f>
        <v>11394556</v>
      </c>
      <c r="G11" s="12">
        <f>IFERROR(VLOOKUP($A11,koronahun!$A:$AM,7,FALSE),"")</f>
        <v>1162709.7959183673</v>
      </c>
      <c r="H11">
        <f>IFERROR(VLOOKUP($A11,koronahun!$A:$AM,8,FALSE),"")</f>
        <v>0</v>
      </c>
      <c r="I11" s="13">
        <f>IFERROR(VLOOKUP($A11,koronahun!$A:$AM,9,FALSE),"")</f>
        <v>4.2312038977908454E-3</v>
      </c>
      <c r="J11" s="13">
        <f>IFERROR(VLOOKUP($A11,koronahun!$A:$AM,10,FALSE),"")</f>
        <v>0.18794176798113063</v>
      </c>
      <c r="K11" s="13">
        <f>IFERROR(VLOOKUP($A11,koronahun!$A:$AM,11,FALSE),"")</f>
        <v>0</v>
      </c>
      <c r="L11">
        <f>IFERROR(VLOOKUP($A11,koronahun!$A:$AM,12,FALSE),"")</f>
        <v>31576</v>
      </c>
      <c r="M11" s="13">
        <f>IFERROR(VLOOKUP($A11,koronahun!$A:$AM,13,FALSE),"")</f>
        <v>2.238510809880678E-2</v>
      </c>
      <c r="N11" s="13">
        <f>IFERROR(VLOOKUP($A11,koronahun!$A:$AM,14,FALSE),"")</f>
        <v>0.96287017636596184</v>
      </c>
      <c r="O11">
        <f>IFERROR(VLOOKUP($A11,koronahun!$A:$AM,15,FALSE),"")</f>
        <v>0</v>
      </c>
      <c r="P11">
        <f>IFERROR(VLOOKUP($A11,koronahun!$A:$AM,16,FALSE),"")</f>
        <v>0</v>
      </c>
      <c r="Q11" s="13">
        <f>IFERROR(VLOOKUP($A11,koronahun!$A:$AM,17,FALSE),"")</f>
        <v>0</v>
      </c>
      <c r="R11">
        <f>IFERROR(VLOOKUP($A11,koronahun!$A:$AM,18,FALSE),"")</f>
        <v>140</v>
      </c>
      <c r="S11">
        <f>IFERROR(VLOOKUP($A11,koronahun!$A:$AM,19,FALSE),"")</f>
        <v>12350</v>
      </c>
      <c r="T11">
        <f>IFERROR(VLOOKUP($A11,koronahun!$A:$AM,20,FALSE),"")</f>
        <v>1371</v>
      </c>
      <c r="U11">
        <f>IFERROR(VLOOKUP($A11,koronahun!$A:$AM,21,FALSE),"")</f>
        <v>25</v>
      </c>
      <c r="V11" s="13">
        <f>IFERROR(VLOOKUP($A11,koronahun!$A:$AM,22,FALSE),"")</f>
        <v>1.4744715535231399E-2</v>
      </c>
      <c r="W11">
        <f>IFERROR(VLOOKUP($A11,koronahun!$A:$AM,23,FALSE),"")</f>
        <v>1345</v>
      </c>
      <c r="X11">
        <f>IFERROR(VLOOKUP($A11,koronahun!$A:$AM,24,FALSE),"")</f>
        <v>19</v>
      </c>
      <c r="Y11" s="14">
        <f>IFERROR(VLOOKUP($A11,koronahun!$A:$AM,25,FALSE),"")</f>
        <v>4.3419052444894857E-2</v>
      </c>
      <c r="Z11" s="14">
        <f>IFERROR(VLOOKUP($A11,koronahun!$A:$AM,26,FALSE),"")</f>
        <v>1.8234865061998541E-2</v>
      </c>
      <c r="AA11" s="14">
        <f>IFERROR(VLOOKUP($A11,koronahun!$A:$AM,27,FALSE),"")</f>
        <v>0.75525236461036238</v>
      </c>
      <c r="AB11" s="14">
        <f>IFERROR(VLOOKUP($A11,koronahun!$A:$AM,28,FALSE),"")</f>
        <v>0</v>
      </c>
      <c r="AC11" s="14">
        <f>IFERROR(VLOOKUP($A11,koronahun!$A:$AM,29,FALSE),"")</f>
        <v>1289</v>
      </c>
      <c r="AD11" s="14">
        <f>IFERROR(VLOOKUP($A11,koronahun!$A:$AM,30,FALSE),"")</f>
        <v>20</v>
      </c>
      <c r="AE11" s="14">
        <f>IFERROR(VLOOKUP($A11,koronahun!$A:$AM,31,FALSE),"")</f>
        <v>0</v>
      </c>
      <c r="AF11" s="13">
        <f>IFERROR(VLOOKUP($A11,koronahun!$A:$AM,32,FALSE),"")</f>
        <v>0</v>
      </c>
      <c r="AG11">
        <f>IFERROR(VLOOKUP($A11,koronahun!$A:$AM,33,FALSE),"")</f>
        <v>6419183</v>
      </c>
      <c r="AH11">
        <f>IFERROR(VLOOKUP($A11,koronahun!$A:$AM,34,FALSE),"")</f>
        <v>373</v>
      </c>
      <c r="AI11">
        <f>IFERROR(VLOOKUP($A11,koronahun!$A:$AM,35,FALSE),"")</f>
        <v>53.285714285714285</v>
      </c>
      <c r="AJ11">
        <f>IFERROR(VLOOKUP($A11,koronahun!$A:$AM,36,FALSE),"")</f>
        <v>6205608</v>
      </c>
      <c r="AK11">
        <f>IFERROR(VLOOKUP($A11,koronahun!$A:$AM,37,FALSE),"")</f>
        <v>281</v>
      </c>
      <c r="AL11">
        <f>IFERROR(VLOOKUP($A11,koronahun!$A:$AM,38,FALSE),"")</f>
        <v>40.142857142857146</v>
      </c>
      <c r="AM11" s="14">
        <f>IFERROR(VLOOKUP($A11,koronahun!$A:$AM,39,FALSE),"")</f>
        <v>1764.2857142857142</v>
      </c>
      <c r="AN11" s="11">
        <f ca="1">IFERROR(__xludf.DUMMYFUNCTION("""COMPUTED_VALUE"""),43903)</f>
        <v>43903</v>
      </c>
      <c r="AO11" s="12">
        <f ca="1">IFERROR(VLOOKUP(AN11,koronahun!A:B,2,FALSE),"")</f>
        <v>19</v>
      </c>
      <c r="AP11" s="11">
        <f t="shared" ca="1" si="0"/>
        <v>43903</v>
      </c>
      <c r="AQ11" s="11">
        <f ca="1">IFERROR(__xludf.DUMMYFUNCTION("""COMPUTED_VALUE"""),43903)</f>
        <v>43903</v>
      </c>
      <c r="AR11" s="11">
        <v>44867</v>
      </c>
      <c r="AS11" s="11">
        <f t="shared" si="1"/>
        <v>44867</v>
      </c>
      <c r="AT11" s="11">
        <f ca="1">IFERROR(__xludf.DUMMYFUNCTION("""COMPUTED_VALUE"""),44860)</f>
        <v>44860</v>
      </c>
    </row>
    <row r="12" spans="1:46" ht="15.75" customHeight="1">
      <c r="A12" s="11">
        <v>44853</v>
      </c>
      <c r="B12">
        <f>IFERROR(VLOOKUP($A12,koronahun!$A:$AM,2,FALSE),"")</f>
        <v>2132490</v>
      </c>
      <c r="C12">
        <f>IFERROR(VLOOKUP($A12,koronahun!$A:$AM,3,FALSE),"")</f>
        <v>11947</v>
      </c>
      <c r="D12">
        <f>IFERROR(VLOOKUP($A12,koronahun!$A:$AM,4,FALSE),"")</f>
        <v>47798</v>
      </c>
      <c r="E12">
        <f>IFERROR(VLOOKUP($A12,koronahun!$A:$AM,5,FALSE),"")</f>
        <v>2049649</v>
      </c>
      <c r="F12">
        <f>IFERROR(VLOOKUP($A12,koronahun!$A:$AM,6,FALSE),"")</f>
        <v>11394556</v>
      </c>
      <c r="G12" s="12">
        <f>IFERROR(VLOOKUP($A12,koronahun!$A:$AM,7,FALSE),"")</f>
        <v>1162709.7959183673</v>
      </c>
      <c r="H12">
        <f>IFERROR(VLOOKUP($A12,koronahun!$A:$AM,8,FALSE),"")</f>
        <v>0</v>
      </c>
      <c r="I12" s="13">
        <f>IFERROR(VLOOKUP($A12,koronahun!$A:$AM,9,FALSE),"")</f>
        <v>5.6339343271982695E-3</v>
      </c>
      <c r="J12" s="13">
        <f>IFERROR(VLOOKUP($A12,koronahun!$A:$AM,10,FALSE),"")</f>
        <v>0.18714989860070019</v>
      </c>
      <c r="K12" s="13">
        <f>IFERROR(VLOOKUP($A12,koronahun!$A:$AM,11,FALSE),"")</f>
        <v>0</v>
      </c>
      <c r="L12">
        <f>IFERROR(VLOOKUP($A12,koronahun!$A:$AM,12,FALSE),"")</f>
        <v>35043</v>
      </c>
      <c r="M12" s="13">
        <f>IFERROR(VLOOKUP($A12,koronahun!$A:$AM,13,FALSE),"")</f>
        <v>2.2414173102804701E-2</v>
      </c>
      <c r="N12" s="13">
        <f>IFERROR(VLOOKUP($A12,koronahun!$A:$AM,14,FALSE),"")</f>
        <v>0.96115292451547252</v>
      </c>
      <c r="O12">
        <f>IFERROR(VLOOKUP($A12,koronahun!$A:$AM,15,FALSE),"")</f>
        <v>0</v>
      </c>
      <c r="P12">
        <f>IFERROR(VLOOKUP($A12,koronahun!$A:$AM,16,FALSE),"")</f>
        <v>0</v>
      </c>
      <c r="Q12" s="13">
        <f>IFERROR(VLOOKUP($A12,koronahun!$A:$AM,17,FALSE),"")</f>
        <v>0</v>
      </c>
      <c r="R12">
        <f>IFERROR(VLOOKUP($A12,koronahun!$A:$AM,18,FALSE),"")</f>
        <v>118</v>
      </c>
      <c r="S12">
        <f>IFERROR(VLOOKUP($A12,koronahun!$A:$AM,19,FALSE),"")</f>
        <v>12949</v>
      </c>
      <c r="T12">
        <f>IFERROR(VLOOKUP($A12,koronahun!$A:$AM,20,FALSE),"")</f>
        <v>1597</v>
      </c>
      <c r="U12">
        <f>IFERROR(VLOOKUP($A12,koronahun!$A:$AM,21,FALSE),"")</f>
        <v>18</v>
      </c>
      <c r="V12" s="13">
        <f>IFERROR(VLOOKUP($A12,koronahun!$A:$AM,22,FALSE),"")</f>
        <v>1.6432902381722774E-2</v>
      </c>
      <c r="W12">
        <f>IFERROR(VLOOKUP($A12,koronahun!$A:$AM,23,FALSE),"")</f>
        <v>1345</v>
      </c>
      <c r="X12">
        <f>IFERROR(VLOOKUP($A12,koronahun!$A:$AM,24,FALSE),"")</f>
        <v>19</v>
      </c>
      <c r="Y12" s="14">
        <f>IFERROR(VLOOKUP($A12,koronahun!$A:$AM,25,FALSE),"")</f>
        <v>4.5572582256085382E-2</v>
      </c>
      <c r="Z12" s="14">
        <f>IFERROR(VLOOKUP($A12,koronahun!$A:$AM,26,FALSE),"")</f>
        <v>1.1271133375078271E-2</v>
      </c>
      <c r="AA12" s="14">
        <f>IFERROR(VLOOKUP($A12,koronahun!$A:$AM,27,FALSE),"")</f>
        <v>0.94547325102880664</v>
      </c>
      <c r="AB12" s="14">
        <f>IFERROR(VLOOKUP($A12,koronahun!$A:$AM,28,FALSE),"")</f>
        <v>0</v>
      </c>
      <c r="AC12" s="14">
        <f>IFERROR(VLOOKUP($A12,koronahun!$A:$AM,29,FALSE),"")</f>
        <v>1706.7142857142858</v>
      </c>
      <c r="AD12" s="14">
        <f>IFERROR(VLOOKUP($A12,koronahun!$A:$AM,30,FALSE),"")</f>
        <v>16.857142857142858</v>
      </c>
      <c r="AE12" s="14">
        <f>IFERROR(VLOOKUP($A12,koronahun!$A:$AM,31,FALSE),"")</f>
        <v>0</v>
      </c>
      <c r="AF12" s="13">
        <f>IFERROR(VLOOKUP($A12,koronahun!$A:$AM,32,FALSE),"")</f>
        <v>0</v>
      </c>
      <c r="AG12">
        <f>IFERROR(VLOOKUP($A12,koronahun!$A:$AM,33,FALSE),"")</f>
        <v>6418810</v>
      </c>
      <c r="AH12">
        <f>IFERROR(VLOOKUP($A12,koronahun!$A:$AM,34,FALSE),"")</f>
        <v>230</v>
      </c>
      <c r="AI12">
        <f>IFERROR(VLOOKUP($A12,koronahun!$A:$AM,35,FALSE),"")</f>
        <v>32.857142857142854</v>
      </c>
      <c r="AJ12">
        <f>IFERROR(VLOOKUP($A12,koronahun!$A:$AM,36,FALSE),"")</f>
        <v>6205327</v>
      </c>
      <c r="AK12">
        <f>IFERROR(VLOOKUP($A12,koronahun!$A:$AM,37,FALSE),"")</f>
        <v>260</v>
      </c>
      <c r="AL12">
        <f>IFERROR(VLOOKUP($A12,koronahun!$A:$AM,38,FALSE),"")</f>
        <v>37.142857142857146</v>
      </c>
      <c r="AM12" s="14">
        <f>IFERROR(VLOOKUP($A12,koronahun!$A:$AM,39,FALSE),"")</f>
        <v>1849.8571428571429</v>
      </c>
      <c r="AN12" s="11">
        <f ca="1">IFERROR(__xludf.DUMMYFUNCTION("""COMPUTED_VALUE"""),43904)</f>
        <v>43904</v>
      </c>
      <c r="AO12" s="12">
        <f ca="1">IFERROR(VLOOKUP(AN12,koronahun!A:B,2,FALSE),"")</f>
        <v>30</v>
      </c>
      <c r="AP12" s="11">
        <f t="shared" ca="1" si="0"/>
        <v>43904</v>
      </c>
      <c r="AQ12" s="11">
        <f ca="1">IFERROR(__xludf.DUMMYFUNCTION("""COMPUTED_VALUE"""),43904)</f>
        <v>43904</v>
      </c>
      <c r="AR12" s="11">
        <v>44860</v>
      </c>
      <c r="AS12" s="11">
        <f t="shared" si="1"/>
        <v>44860</v>
      </c>
      <c r="AT12" s="11">
        <f ca="1">IFERROR(__xludf.DUMMYFUNCTION("""COMPUTED_VALUE"""),44853)</f>
        <v>44853</v>
      </c>
    </row>
    <row r="13" spans="1:46" ht="15.75" customHeight="1">
      <c r="A13" s="11">
        <v>44846</v>
      </c>
      <c r="B13">
        <f>IFERROR(VLOOKUP($A13,koronahun!$A:$AM,2,FALSE),"")</f>
        <v>2120543</v>
      </c>
      <c r="C13">
        <f>IFERROR(VLOOKUP($A13,koronahun!$A:$AM,3,FALSE),"")</f>
        <v>12636</v>
      </c>
      <c r="D13">
        <f>IFERROR(VLOOKUP($A13,koronahun!$A:$AM,4,FALSE),"")</f>
        <v>47680</v>
      </c>
      <c r="E13">
        <f>IFERROR(VLOOKUP($A13,koronahun!$A:$AM,5,FALSE),"")</f>
        <v>2036700</v>
      </c>
      <c r="F13">
        <f>IFERROR(VLOOKUP($A13,koronahun!$A:$AM,6,FALSE),"")</f>
        <v>11394556</v>
      </c>
      <c r="G13" s="12">
        <f>IFERROR(VLOOKUP($A13,koronahun!$A:$AM,7,FALSE),"")</f>
        <v>1162709.7959183673</v>
      </c>
      <c r="H13">
        <f>IFERROR(VLOOKUP($A13,koronahun!$A:$AM,8,FALSE),"")</f>
        <v>0</v>
      </c>
      <c r="I13" s="13">
        <f>IFERROR(VLOOKUP($A13,koronahun!$A:$AM,9,FALSE),"")</f>
        <v>5.9945718667853941E-3</v>
      </c>
      <c r="J13" s="13">
        <f>IFERROR(VLOOKUP($A13,koronahun!$A:$AM,10,FALSE),"")</f>
        <v>0.18610141544786826</v>
      </c>
      <c r="K13" s="13">
        <f>IFERROR(VLOOKUP($A13,koronahun!$A:$AM,11,FALSE),"")</f>
        <v>0</v>
      </c>
      <c r="L13">
        <f>IFERROR(VLOOKUP($A13,koronahun!$A:$AM,12,FALSE),"")</f>
        <v>36163</v>
      </c>
      <c r="M13" s="13">
        <f>IFERROR(VLOOKUP($A13,koronahun!$A:$AM,13,FALSE),"")</f>
        <v>2.2484806957463254E-2</v>
      </c>
      <c r="N13" s="13">
        <f>IFERROR(VLOOKUP($A13,koronahun!$A:$AM,14,FALSE),"")</f>
        <v>0.96046154216160673</v>
      </c>
      <c r="O13">
        <f>IFERROR(VLOOKUP($A13,koronahun!$A:$AM,15,FALSE),"")</f>
        <v>0</v>
      </c>
      <c r="P13">
        <f>IFERROR(VLOOKUP($A13,koronahun!$A:$AM,16,FALSE),"")</f>
        <v>0</v>
      </c>
      <c r="Q13" s="13">
        <f>IFERROR(VLOOKUP($A13,koronahun!$A:$AM,17,FALSE),"")</f>
        <v>0</v>
      </c>
      <c r="R13">
        <f>IFERROR(VLOOKUP($A13,koronahun!$A:$AM,18,FALSE),"")</f>
        <v>104</v>
      </c>
      <c r="S13">
        <f>IFERROR(VLOOKUP($A13,koronahun!$A:$AM,19,FALSE),"")</f>
        <v>11408</v>
      </c>
      <c r="T13">
        <f>IFERROR(VLOOKUP($A13,koronahun!$A:$AM,20,FALSE),"")</f>
        <v>1700</v>
      </c>
      <c r="U13">
        <f>IFERROR(VLOOKUP($A13,koronahun!$A:$AM,21,FALSE),"")</f>
        <v>32</v>
      </c>
      <c r="V13" s="13">
        <f>IFERROR(VLOOKUP($A13,koronahun!$A:$AM,22,FALSE),"")</f>
        <v>1.7053650880930027E-2</v>
      </c>
      <c r="W13">
        <f>IFERROR(VLOOKUP($A13,koronahun!$A:$AM,23,FALSE),"")</f>
        <v>1345</v>
      </c>
      <c r="X13">
        <f>IFERROR(VLOOKUP($A13,koronahun!$A:$AM,24,FALSE),"")</f>
        <v>19</v>
      </c>
      <c r="Y13" s="14">
        <f>IFERROR(VLOOKUP($A13,koronahun!$A:$AM,25,FALSE),"")</f>
        <v>4.7009374222271381E-2</v>
      </c>
      <c r="Z13" s="14">
        <f>IFERROR(VLOOKUP($A13,koronahun!$A:$AM,26,FALSE),"")</f>
        <v>1.8823529411764704E-2</v>
      </c>
      <c r="AA13" s="14">
        <f>IFERROR(VLOOKUP($A13,koronahun!$A:$AM,27,FALSE),"")</f>
        <v>0.91798038503450785</v>
      </c>
      <c r="AB13" s="14">
        <f>IFERROR(VLOOKUP($A13,koronahun!$A:$AM,28,FALSE),"")</f>
        <v>0</v>
      </c>
      <c r="AC13" s="14">
        <f>IFERROR(VLOOKUP($A13,koronahun!$A:$AM,29,FALSE),"")</f>
        <v>1805.1428571428571</v>
      </c>
      <c r="AD13" s="14">
        <f>IFERROR(VLOOKUP($A13,koronahun!$A:$AM,30,FALSE),"")</f>
        <v>14.857142857142858</v>
      </c>
      <c r="AE13" s="14">
        <f>IFERROR(VLOOKUP($A13,koronahun!$A:$AM,31,FALSE),"")</f>
        <v>0</v>
      </c>
      <c r="AF13" s="13">
        <f>IFERROR(VLOOKUP($A13,koronahun!$A:$AM,32,FALSE),"")</f>
        <v>0</v>
      </c>
      <c r="AG13">
        <f>IFERROR(VLOOKUP($A13,koronahun!$A:$AM,33,FALSE),"")</f>
        <v>6418580</v>
      </c>
      <c r="AH13">
        <f>IFERROR(VLOOKUP($A13,koronahun!$A:$AM,34,FALSE),"")</f>
        <v>228</v>
      </c>
      <c r="AI13">
        <f>IFERROR(VLOOKUP($A13,koronahun!$A:$AM,35,FALSE),"")</f>
        <v>32.571428571428569</v>
      </c>
      <c r="AJ13">
        <f>IFERROR(VLOOKUP($A13,koronahun!$A:$AM,36,FALSE),"")</f>
        <v>6205067</v>
      </c>
      <c r="AK13">
        <f>IFERROR(VLOOKUP($A13,koronahun!$A:$AM,37,FALSE),"")</f>
        <v>342</v>
      </c>
      <c r="AL13">
        <f>IFERROR(VLOOKUP($A13,koronahun!$A:$AM,38,FALSE),"")</f>
        <v>48.857142857142854</v>
      </c>
      <c r="AM13" s="14">
        <f>IFERROR(VLOOKUP($A13,koronahun!$A:$AM,39,FALSE),"")</f>
        <v>1629.7142857142858</v>
      </c>
      <c r="AN13" s="11">
        <f ca="1">IFERROR(__xludf.DUMMYFUNCTION("""COMPUTED_VALUE"""),43905)</f>
        <v>43905</v>
      </c>
      <c r="AO13" s="12">
        <f ca="1">IFERROR(VLOOKUP(AN13,koronahun!A:B,2,FALSE),"")</f>
        <v>32</v>
      </c>
      <c r="AP13" s="11">
        <f t="shared" ca="1" si="0"/>
        <v>43905</v>
      </c>
      <c r="AQ13" s="11">
        <f ca="1">IFERROR(__xludf.DUMMYFUNCTION("""COMPUTED_VALUE"""),43905)</f>
        <v>43905</v>
      </c>
      <c r="AR13" s="11">
        <v>44853</v>
      </c>
      <c r="AS13" s="11">
        <f t="shared" si="1"/>
        <v>44853</v>
      </c>
      <c r="AT13" s="11">
        <f ca="1">IFERROR(__xludf.DUMMYFUNCTION("""COMPUTED_VALUE"""),44846)</f>
        <v>44846</v>
      </c>
    </row>
    <row r="14" spans="1:46" ht="15.75" customHeight="1">
      <c r="A14" s="11">
        <v>44839</v>
      </c>
      <c r="B14">
        <f>IFERROR(VLOOKUP($A14,koronahun!$A:$AM,2,FALSE),"")</f>
        <v>2107907</v>
      </c>
      <c r="C14">
        <f>IFERROR(VLOOKUP($A14,koronahun!$A:$AM,3,FALSE),"")</f>
        <v>13765</v>
      </c>
      <c r="D14">
        <f>IFERROR(VLOOKUP($A14,koronahun!$A:$AM,4,FALSE),"")</f>
        <v>47576</v>
      </c>
      <c r="E14">
        <f>IFERROR(VLOOKUP($A14,koronahun!$A:$AM,5,FALSE),"")</f>
        <v>2025292</v>
      </c>
      <c r="F14">
        <f>IFERROR(VLOOKUP($A14,koronahun!$A:$AM,6,FALSE),"")</f>
        <v>11394556</v>
      </c>
      <c r="G14" s="12">
        <f>IFERROR(VLOOKUP($A14,koronahun!$A:$AM,7,FALSE),"")</f>
        <v>1162709.7959183673</v>
      </c>
      <c r="H14">
        <f>IFERROR(VLOOKUP($A14,koronahun!$A:$AM,8,FALSE),"")</f>
        <v>0</v>
      </c>
      <c r="I14" s="13">
        <f>IFERROR(VLOOKUP($A14,koronahun!$A:$AM,9,FALSE),"")</f>
        <v>6.5730977173467705E-3</v>
      </c>
      <c r="J14" s="13">
        <f>IFERROR(VLOOKUP($A14,koronahun!$A:$AM,10,FALSE),"")</f>
        <v>0.18499246482267498</v>
      </c>
      <c r="K14" s="13">
        <f>IFERROR(VLOOKUP($A14,koronahun!$A:$AM,11,FALSE),"")</f>
        <v>0</v>
      </c>
      <c r="L14">
        <f>IFERROR(VLOOKUP($A14,koronahun!$A:$AM,12,FALSE),"")</f>
        <v>35039</v>
      </c>
      <c r="M14" s="13">
        <f>IFERROR(VLOOKUP($A14,koronahun!$A:$AM,13,FALSE),"")</f>
        <v>2.2570255708624715E-2</v>
      </c>
      <c r="N14" s="13">
        <f>IFERROR(VLOOKUP($A14,koronahun!$A:$AM,14,FALSE),"")</f>
        <v>0.96080709443063661</v>
      </c>
      <c r="O14">
        <f>IFERROR(VLOOKUP($A14,koronahun!$A:$AM,15,FALSE),"")</f>
        <v>774</v>
      </c>
      <c r="P14">
        <f>IFERROR(VLOOKUP($A14,koronahun!$A:$AM,16,FALSE),"")</f>
        <v>0</v>
      </c>
      <c r="Q14" s="13">
        <f>IFERROR(VLOOKUP($A14,koronahun!$A:$AM,17,FALSE),"")</f>
        <v>0</v>
      </c>
      <c r="R14">
        <f>IFERROR(VLOOKUP($A14,koronahun!$A:$AM,18,FALSE),"")</f>
        <v>73</v>
      </c>
      <c r="S14">
        <f>IFERROR(VLOOKUP($A14,koronahun!$A:$AM,19,FALSE),"")</f>
        <v>11117</v>
      </c>
      <c r="T14">
        <f>IFERROR(VLOOKUP($A14,koronahun!$A:$AM,20,FALSE),"")</f>
        <v>1752</v>
      </c>
      <c r="U14">
        <f>IFERROR(VLOOKUP($A14,koronahun!$A:$AM,21,FALSE),"")</f>
        <v>32</v>
      </c>
      <c r="V14" s="13">
        <f>IFERROR(VLOOKUP($A14,koronahun!$A:$AM,22,FALSE),"")</f>
        <v>1.6622649860738636E-2</v>
      </c>
      <c r="W14">
        <f>IFERROR(VLOOKUP($A14,koronahun!$A:$AM,23,FALSE),"")</f>
        <v>1345</v>
      </c>
      <c r="X14">
        <f>IFERROR(VLOOKUP($A14,koronahun!$A:$AM,24,FALSE),"")</f>
        <v>19</v>
      </c>
      <c r="Y14" s="14">
        <f>IFERROR(VLOOKUP($A14,koronahun!$A:$AM,25,FALSE),"")</f>
        <v>5.0001426981363624E-2</v>
      </c>
      <c r="Z14" s="14">
        <f>IFERROR(VLOOKUP($A14,koronahun!$A:$AM,26,FALSE),"")</f>
        <v>1.8264840182648401E-2</v>
      </c>
      <c r="AA14" s="14">
        <f>IFERROR(VLOOKUP($A14,koronahun!$A:$AM,27,FALSE),"")</f>
        <v>1.2083040730337078</v>
      </c>
      <c r="AB14" s="14">
        <f>IFERROR(VLOOKUP($A14,koronahun!$A:$AM,28,FALSE),"")</f>
        <v>0</v>
      </c>
      <c r="AC14" s="14">
        <f>IFERROR(VLOOKUP($A14,koronahun!$A:$AM,29,FALSE),"")</f>
        <v>1966.4285714285713</v>
      </c>
      <c r="AD14" s="14">
        <f>IFERROR(VLOOKUP($A14,koronahun!$A:$AM,30,FALSE),"")</f>
        <v>10.428571428571429</v>
      </c>
      <c r="AE14" s="14">
        <f>IFERROR(VLOOKUP($A14,koronahun!$A:$AM,31,FALSE),"")</f>
        <v>0</v>
      </c>
      <c r="AF14" s="13">
        <f>IFERROR(VLOOKUP($A14,koronahun!$A:$AM,32,FALSE),"")</f>
        <v>0</v>
      </c>
      <c r="AG14">
        <f>IFERROR(VLOOKUP($A14,koronahun!$A:$AM,33,FALSE),"")</f>
        <v>6418352</v>
      </c>
      <c r="AH14">
        <f>IFERROR(VLOOKUP($A14,koronahun!$A:$AM,34,FALSE),"")</f>
        <v>295</v>
      </c>
      <c r="AI14">
        <f>IFERROR(VLOOKUP($A14,koronahun!$A:$AM,35,FALSE),"")</f>
        <v>42.142857142857146</v>
      </c>
      <c r="AJ14">
        <f>IFERROR(VLOOKUP($A14,koronahun!$A:$AM,36,FALSE),"")</f>
        <v>6204725</v>
      </c>
      <c r="AK14">
        <f>IFERROR(VLOOKUP($A14,koronahun!$A:$AM,37,FALSE),"")</f>
        <v>364</v>
      </c>
      <c r="AL14">
        <f>IFERROR(VLOOKUP($A14,koronahun!$A:$AM,38,FALSE),"")</f>
        <v>52</v>
      </c>
      <c r="AM14" s="14">
        <f>IFERROR(VLOOKUP($A14,koronahun!$A:$AM,39,FALSE),"")</f>
        <v>1588.1428571428571</v>
      </c>
      <c r="AN14" s="11">
        <f ca="1">IFERROR(__xludf.DUMMYFUNCTION("""COMPUTED_VALUE"""),43906)</f>
        <v>43906</v>
      </c>
      <c r="AO14" s="12">
        <f ca="1">IFERROR(VLOOKUP(AN14,koronahun!A:B,2,FALSE),"")</f>
        <v>39</v>
      </c>
      <c r="AP14" s="11">
        <f t="shared" ca="1" si="0"/>
        <v>43906</v>
      </c>
      <c r="AQ14" s="11">
        <f ca="1">IFERROR(__xludf.DUMMYFUNCTION("""COMPUTED_VALUE"""),43906)</f>
        <v>43906</v>
      </c>
      <c r="AR14" s="11">
        <v>44846</v>
      </c>
      <c r="AS14" s="11">
        <f t="shared" si="1"/>
        <v>44846</v>
      </c>
      <c r="AT14" s="11">
        <f ca="1">IFERROR(__xludf.DUMMYFUNCTION("""COMPUTED_VALUE"""),44839)</f>
        <v>44839</v>
      </c>
    </row>
    <row r="15" spans="1:46" ht="15.75" customHeight="1">
      <c r="A15" s="11">
        <v>44832</v>
      </c>
      <c r="B15">
        <f>IFERROR(VLOOKUP($A15,koronahun!$A:$AM,2,FALSE),"")</f>
        <v>2094142</v>
      </c>
      <c r="C15">
        <f>IFERROR(VLOOKUP($A15,koronahun!$A:$AM,3,FALSE),"")</f>
        <v>11392</v>
      </c>
      <c r="D15">
        <f>IFERROR(VLOOKUP($A15,koronahun!$A:$AM,4,FALSE),"")</f>
        <v>47503</v>
      </c>
      <c r="E15">
        <f>IFERROR(VLOOKUP($A15,koronahun!$A:$AM,5,FALSE),"")</f>
        <v>2014175</v>
      </c>
      <c r="F15">
        <f>IFERROR(VLOOKUP($A15,koronahun!$A:$AM,6,FALSE),"")</f>
        <v>11394556</v>
      </c>
      <c r="G15" s="12">
        <f>IFERROR(VLOOKUP($A15,koronahun!$A:$AM,7,FALSE),"")</f>
        <v>1162709.7959183673</v>
      </c>
      <c r="H15">
        <f>IFERROR(VLOOKUP($A15,koronahun!$A:$AM,8,FALSE),"")</f>
        <v>0</v>
      </c>
      <c r="I15" s="13">
        <f>IFERROR(VLOOKUP($A15,koronahun!$A:$AM,9,FALSE),"")</f>
        <v>5.469691513623815E-3</v>
      </c>
      <c r="J15" s="13">
        <f>IFERROR(VLOOKUP($A15,koronahun!$A:$AM,10,FALSE),"")</f>
        <v>0.18378443179356879</v>
      </c>
      <c r="K15" s="13">
        <f>IFERROR(VLOOKUP($A15,koronahun!$A:$AM,11,FALSE),"")</f>
        <v>0</v>
      </c>
      <c r="L15">
        <f>IFERROR(VLOOKUP($A15,koronahun!$A:$AM,12,FALSE),"")</f>
        <v>32464</v>
      </c>
      <c r="M15" s="13">
        <f>IFERROR(VLOOKUP($A15,koronahun!$A:$AM,13,FALSE),"")</f>
        <v>2.2683753059725652E-2</v>
      </c>
      <c r="N15" s="13">
        <f>IFERROR(VLOOKUP($A15,koronahun!$A:$AM,14,FALSE),"")</f>
        <v>0.96181395530962088</v>
      </c>
      <c r="O15">
        <f>IFERROR(VLOOKUP($A15,koronahun!$A:$AM,15,FALSE),"")</f>
        <v>1834</v>
      </c>
      <c r="P15">
        <f>IFERROR(VLOOKUP($A15,koronahun!$A:$AM,16,FALSE),"")</f>
        <v>0</v>
      </c>
      <c r="Q15" s="13">
        <f>IFERROR(VLOOKUP($A15,koronahun!$A:$AM,17,FALSE),"")</f>
        <v>0</v>
      </c>
      <c r="R15">
        <f>IFERROR(VLOOKUP($A15,koronahun!$A:$AM,18,FALSE),"")</f>
        <v>46</v>
      </c>
      <c r="S15">
        <f>IFERROR(VLOOKUP($A15,koronahun!$A:$AM,19,FALSE),"")</f>
        <v>12446</v>
      </c>
      <c r="T15">
        <f>IFERROR(VLOOKUP($A15,koronahun!$A:$AM,20,FALSE),"")</f>
        <v>1166</v>
      </c>
      <c r="U15">
        <f>IFERROR(VLOOKUP($A15,koronahun!$A:$AM,21,FALSE),"")</f>
        <v>18</v>
      </c>
      <c r="V15" s="13">
        <f>IFERROR(VLOOKUP($A15,koronahun!$A:$AM,22,FALSE),"")</f>
        <v>1.5502291630653508E-2</v>
      </c>
      <c r="W15">
        <f>IFERROR(VLOOKUP($A15,koronahun!$A:$AM,23,FALSE),"")</f>
        <v>1345</v>
      </c>
      <c r="X15">
        <f>IFERROR(VLOOKUP($A15,koronahun!$A:$AM,24,FALSE),"")</f>
        <v>19</v>
      </c>
      <c r="Y15" s="14">
        <f>IFERROR(VLOOKUP($A15,koronahun!$A:$AM,25,FALSE),"")</f>
        <v>3.5916707737801874E-2</v>
      </c>
      <c r="Z15" s="14">
        <f>IFERROR(VLOOKUP($A15,koronahun!$A:$AM,26,FALSE),"")</f>
        <v>1.5437392795883362E-2</v>
      </c>
      <c r="AA15" s="14">
        <f>IFERROR(VLOOKUP($A15,koronahun!$A:$AM,27,FALSE),"")</f>
        <v>0.92565206792882104</v>
      </c>
      <c r="AB15" s="14">
        <f>IFERROR(VLOOKUP($A15,koronahun!$A:$AM,28,FALSE),"")</f>
        <v>0</v>
      </c>
      <c r="AC15" s="14">
        <f>IFERROR(VLOOKUP($A15,koronahun!$A:$AM,29,FALSE),"")</f>
        <v>1627.4285714285713</v>
      </c>
      <c r="AD15" s="14">
        <f>IFERROR(VLOOKUP($A15,koronahun!$A:$AM,30,FALSE),"")</f>
        <v>6.5714285714285712</v>
      </c>
      <c r="AE15" s="14">
        <f>IFERROR(VLOOKUP($A15,koronahun!$A:$AM,31,FALSE),"")</f>
        <v>0</v>
      </c>
      <c r="AF15" s="13">
        <f>IFERROR(VLOOKUP($A15,koronahun!$A:$AM,32,FALSE),"")</f>
        <v>0</v>
      </c>
      <c r="AG15">
        <f>IFERROR(VLOOKUP($A15,koronahun!$A:$AM,33,FALSE),"")</f>
        <v>6418057</v>
      </c>
      <c r="AH15">
        <f>IFERROR(VLOOKUP($A15,koronahun!$A:$AM,34,FALSE),"")</f>
        <v>319</v>
      </c>
      <c r="AI15">
        <f>IFERROR(VLOOKUP($A15,koronahun!$A:$AM,35,FALSE),"")</f>
        <v>45.571428571428569</v>
      </c>
      <c r="AJ15">
        <f>IFERROR(VLOOKUP($A15,koronahun!$A:$AM,36,FALSE),"")</f>
        <v>6204361</v>
      </c>
      <c r="AK15">
        <f>IFERROR(VLOOKUP($A15,koronahun!$A:$AM,37,FALSE),"")</f>
        <v>389</v>
      </c>
      <c r="AL15">
        <f>IFERROR(VLOOKUP($A15,koronahun!$A:$AM,38,FALSE),"")</f>
        <v>55.571428571428569</v>
      </c>
      <c r="AM15" s="14">
        <f>IFERROR(VLOOKUP($A15,koronahun!$A:$AM,39,FALSE),"")</f>
        <v>1778</v>
      </c>
      <c r="AN15" s="11">
        <f ca="1">IFERROR(__xludf.DUMMYFUNCTION("""COMPUTED_VALUE"""),43907)</f>
        <v>43907</v>
      </c>
      <c r="AO15" s="12">
        <f ca="1">IFERROR(VLOOKUP(AN15,koronahun!A:B,2,FALSE),"")</f>
        <v>50</v>
      </c>
      <c r="AP15" s="11">
        <f t="shared" ca="1" si="0"/>
        <v>43907</v>
      </c>
      <c r="AQ15" s="11">
        <f ca="1">IFERROR(__xludf.DUMMYFUNCTION("""COMPUTED_VALUE"""),43907)</f>
        <v>43907</v>
      </c>
      <c r="AR15" s="11">
        <v>44839</v>
      </c>
      <c r="AS15" s="11">
        <f t="shared" si="1"/>
        <v>44839</v>
      </c>
      <c r="AT15" s="11">
        <f ca="1">IFERROR(__xludf.DUMMYFUNCTION("""COMPUTED_VALUE"""),44832)</f>
        <v>44832</v>
      </c>
    </row>
    <row r="16" spans="1:46" ht="15.75" customHeight="1">
      <c r="A16" s="11">
        <v>44825</v>
      </c>
      <c r="B16">
        <f>IFERROR(VLOOKUP($A16,koronahun!$A:$AM,2,FALSE),"")</f>
        <v>2082750</v>
      </c>
      <c r="C16">
        <f>IFERROR(VLOOKUP($A16,koronahun!$A:$AM,3,FALSE),"")</f>
        <v>12307</v>
      </c>
      <c r="D16">
        <f>IFERROR(VLOOKUP($A16,koronahun!$A:$AM,4,FALSE),"")</f>
        <v>47457</v>
      </c>
      <c r="E16">
        <f>IFERROR(VLOOKUP($A16,koronahun!$A:$AM,5,FALSE),"")</f>
        <v>2001729</v>
      </c>
      <c r="F16">
        <f>IFERROR(VLOOKUP($A16,koronahun!$A:$AM,6,FALSE),"")</f>
        <v>11394556</v>
      </c>
      <c r="G16" s="12">
        <f>IFERROR(VLOOKUP($A16,koronahun!$A:$AM,7,FALSE),"")</f>
        <v>1162709.7959183673</v>
      </c>
      <c r="H16">
        <f>IFERROR(VLOOKUP($A16,koronahun!$A:$AM,8,FALSE),"")</f>
        <v>0</v>
      </c>
      <c r="I16" s="13">
        <f>IFERROR(VLOOKUP($A16,koronahun!$A:$AM,9,FALSE),"")</f>
        <v>5.944138524943696E-3</v>
      </c>
      <c r="J16" s="13">
        <f>IFERROR(VLOOKUP($A16,koronahun!$A:$AM,10,FALSE),"")</f>
        <v>0.18278465611121661</v>
      </c>
      <c r="K16" s="13">
        <f>IFERROR(VLOOKUP($A16,koronahun!$A:$AM,11,FALSE),"")</f>
        <v>0</v>
      </c>
      <c r="L16">
        <f>IFERROR(VLOOKUP($A16,koronahun!$A:$AM,12,FALSE),"")</f>
        <v>33564</v>
      </c>
      <c r="M16" s="13">
        <f>IFERROR(VLOOKUP($A16,koronahun!$A:$AM,13,FALSE),"")</f>
        <v>2.2785740007202016E-2</v>
      </c>
      <c r="N16" s="13">
        <f>IFERROR(VLOOKUP($A16,koronahun!$A:$AM,14,FALSE),"")</f>
        <v>0.96109902772776379</v>
      </c>
      <c r="O16">
        <f>IFERROR(VLOOKUP($A16,koronahun!$A:$AM,15,FALSE),"")</f>
        <v>1834</v>
      </c>
      <c r="P16">
        <f>IFERROR(VLOOKUP($A16,koronahun!$A:$AM,16,FALSE),"")</f>
        <v>0</v>
      </c>
      <c r="Q16" s="13">
        <f>IFERROR(VLOOKUP($A16,koronahun!$A:$AM,17,FALSE),"")</f>
        <v>0</v>
      </c>
      <c r="R16">
        <f>IFERROR(VLOOKUP($A16,koronahun!$A:$AM,18,FALSE),"")</f>
        <v>48</v>
      </c>
      <c r="S16">
        <f>IFERROR(VLOOKUP($A16,koronahun!$A:$AM,19,FALSE),"")</f>
        <v>12970</v>
      </c>
      <c r="T16">
        <f>IFERROR(VLOOKUP($A16,koronahun!$A:$AM,20,FALSE),"")</f>
        <v>923</v>
      </c>
      <c r="U16">
        <f>IFERROR(VLOOKUP($A16,koronahun!$A:$AM,21,FALSE),"")</f>
        <v>14</v>
      </c>
      <c r="V16" s="13">
        <f>IFERROR(VLOOKUP($A16,koronahun!$A:$AM,22,FALSE),"")</f>
        <v>1.611523226503421E-2</v>
      </c>
      <c r="W16">
        <f>IFERROR(VLOOKUP($A16,koronahun!$A:$AM,23,FALSE),"")</f>
        <v>1345</v>
      </c>
      <c r="X16">
        <f>IFERROR(VLOOKUP($A16,koronahun!$A:$AM,24,FALSE),"")</f>
        <v>19</v>
      </c>
      <c r="Y16" s="14">
        <f>IFERROR(VLOOKUP($A16,koronahun!$A:$AM,25,FALSE),"")</f>
        <v>2.7499702061732807E-2</v>
      </c>
      <c r="Z16" s="14">
        <f>IFERROR(VLOOKUP($A16,koronahun!$A:$AM,26,FALSE),"")</f>
        <v>1.5167930660888408E-2</v>
      </c>
      <c r="AA16" s="14">
        <f>IFERROR(VLOOKUP($A16,koronahun!$A:$AM,27,FALSE),"")</f>
        <v>1.0613142462918248</v>
      </c>
      <c r="AB16" s="14">
        <f>IFERROR(VLOOKUP($A16,koronahun!$A:$AM,28,FALSE),"")</f>
        <v>0</v>
      </c>
      <c r="AC16" s="14">
        <f>IFERROR(VLOOKUP($A16,koronahun!$A:$AM,29,FALSE),"")</f>
        <v>1758.1428571428571</v>
      </c>
      <c r="AD16" s="14">
        <f>IFERROR(VLOOKUP($A16,koronahun!$A:$AM,30,FALSE),"")</f>
        <v>6.8571428571428568</v>
      </c>
      <c r="AE16" s="14">
        <f>IFERROR(VLOOKUP($A16,koronahun!$A:$AM,31,FALSE),"")</f>
        <v>0</v>
      </c>
      <c r="AF16" s="13">
        <f>IFERROR(VLOOKUP($A16,koronahun!$A:$AM,32,FALSE),"")</f>
        <v>0</v>
      </c>
      <c r="AG16">
        <f>IFERROR(VLOOKUP($A16,koronahun!$A:$AM,33,FALSE),"")</f>
        <v>6417738</v>
      </c>
      <c r="AH16">
        <f>IFERROR(VLOOKUP($A16,koronahun!$A:$AM,34,FALSE),"")</f>
        <v>431</v>
      </c>
      <c r="AI16">
        <f>IFERROR(VLOOKUP($A16,koronahun!$A:$AM,35,FALSE),"")</f>
        <v>61.571428571428569</v>
      </c>
      <c r="AJ16">
        <f>IFERROR(VLOOKUP($A16,koronahun!$A:$AM,36,FALSE),"")</f>
        <v>6203972</v>
      </c>
      <c r="AK16">
        <f>IFERROR(VLOOKUP($A16,koronahun!$A:$AM,37,FALSE),"")</f>
        <v>463</v>
      </c>
      <c r="AL16">
        <f>IFERROR(VLOOKUP($A16,koronahun!$A:$AM,38,FALSE),"")</f>
        <v>66.142857142857139</v>
      </c>
      <c r="AM16" s="14">
        <f>IFERROR(VLOOKUP($A16,koronahun!$A:$AM,39,FALSE),"")</f>
        <v>1852.8571428571429</v>
      </c>
      <c r="AN16" s="11">
        <f ca="1">IFERROR(__xludf.DUMMYFUNCTION("""COMPUTED_VALUE"""),43908)</f>
        <v>43908</v>
      </c>
      <c r="AO16" s="12">
        <f ca="1">IFERROR(VLOOKUP(AN16,koronahun!A:B,2,FALSE),"")</f>
        <v>58</v>
      </c>
      <c r="AP16" s="11">
        <f t="shared" ca="1" si="0"/>
        <v>43908</v>
      </c>
      <c r="AQ16" s="11">
        <f ca="1">IFERROR(__xludf.DUMMYFUNCTION("""COMPUTED_VALUE"""),43908)</f>
        <v>43908</v>
      </c>
      <c r="AR16" s="11">
        <v>44832</v>
      </c>
      <c r="AS16" s="11">
        <f t="shared" si="1"/>
        <v>44832</v>
      </c>
      <c r="AT16" s="11">
        <f ca="1">IFERROR(__xludf.DUMMYFUNCTION("""COMPUTED_VALUE"""),44825)</f>
        <v>44825</v>
      </c>
    </row>
    <row r="17" spans="1:46" ht="15.75" customHeight="1">
      <c r="A17" s="11">
        <v>44818</v>
      </c>
      <c r="B17">
        <f>IFERROR(VLOOKUP($A17,koronahun!$A:$AM,2,FALSE),"")</f>
        <v>2070443</v>
      </c>
      <c r="C17">
        <f>IFERROR(VLOOKUP($A17,koronahun!$A:$AM,3,FALSE),"")</f>
        <v>11596</v>
      </c>
      <c r="D17">
        <f>IFERROR(VLOOKUP($A17,koronahun!$A:$AM,4,FALSE),"")</f>
        <v>47409</v>
      </c>
      <c r="E17">
        <f>IFERROR(VLOOKUP($A17,koronahun!$A:$AM,5,FALSE),"")</f>
        <v>1988759</v>
      </c>
      <c r="F17">
        <f>IFERROR(VLOOKUP($A17,koronahun!$A:$AM,6,FALSE),"")</f>
        <v>11394556</v>
      </c>
      <c r="G17" s="12">
        <f>IFERROR(VLOOKUP($A17,koronahun!$A:$AM,7,FALSE),"")</f>
        <v>1162709.7959183673</v>
      </c>
      <c r="H17">
        <f>IFERROR(VLOOKUP($A17,koronahun!$A:$AM,8,FALSE),"")</f>
        <v>0</v>
      </c>
      <c r="I17" s="13">
        <f>IFERROR(VLOOKUP($A17,koronahun!$A:$AM,9,FALSE),"")</f>
        <v>5.6322786491662565E-3</v>
      </c>
      <c r="J17" s="13">
        <f>IFERROR(VLOOKUP($A17,koronahun!$A:$AM,10,FALSE),"")</f>
        <v>0.18170457892347891</v>
      </c>
      <c r="K17" s="13">
        <f>IFERROR(VLOOKUP($A17,koronahun!$A:$AM,11,FALSE),"")</f>
        <v>0</v>
      </c>
      <c r="L17">
        <f>IFERROR(VLOOKUP($A17,koronahun!$A:$AM,12,FALSE),"")</f>
        <v>34275</v>
      </c>
      <c r="M17" s="13">
        <f>IFERROR(VLOOKUP($A17,koronahun!$A:$AM,13,FALSE),"")</f>
        <v>2.2897998157882155E-2</v>
      </c>
      <c r="N17" s="13">
        <f>IFERROR(VLOOKUP($A17,koronahun!$A:$AM,14,FALSE),"")</f>
        <v>0.96054757363520749</v>
      </c>
      <c r="O17">
        <f>IFERROR(VLOOKUP($A17,koronahun!$A:$AM,15,FALSE),"")</f>
        <v>3167</v>
      </c>
      <c r="P17">
        <f>IFERROR(VLOOKUP($A17,koronahun!$A:$AM,16,FALSE),"")</f>
        <v>0</v>
      </c>
      <c r="Q17" s="13">
        <f>IFERROR(VLOOKUP($A17,koronahun!$A:$AM,17,FALSE),"")</f>
        <v>0</v>
      </c>
      <c r="R17">
        <f>IFERROR(VLOOKUP($A17,koronahun!$A:$AM,18,FALSE),"")</f>
        <v>42</v>
      </c>
      <c r="S17">
        <f>IFERROR(VLOOKUP($A17,koronahun!$A:$AM,19,FALSE),"")</f>
        <v>11951</v>
      </c>
      <c r="T17">
        <f>IFERROR(VLOOKUP($A17,koronahun!$A:$AM,20,FALSE),"")</f>
        <v>831</v>
      </c>
      <c r="U17">
        <f>IFERROR(VLOOKUP($A17,koronahun!$A:$AM,21,FALSE),"")</f>
        <v>10</v>
      </c>
      <c r="V17" s="13">
        <f>IFERROR(VLOOKUP($A17,koronahun!$A:$AM,22,FALSE),"")</f>
        <v>1.6554428206910308E-2</v>
      </c>
      <c r="W17">
        <f>IFERROR(VLOOKUP($A17,koronahun!$A:$AM,23,FALSE),"")</f>
        <v>1345</v>
      </c>
      <c r="X17">
        <f>IFERROR(VLOOKUP($A17,koronahun!$A:$AM,24,FALSE),"")</f>
        <v>19</v>
      </c>
      <c r="Y17" s="14">
        <f>IFERROR(VLOOKUP($A17,koronahun!$A:$AM,25,FALSE),"")</f>
        <v>2.424507658643326E-2</v>
      </c>
      <c r="Z17" s="14">
        <f>IFERROR(VLOOKUP($A17,koronahun!$A:$AM,26,FALSE),"")</f>
        <v>1.2033694344163659E-2</v>
      </c>
      <c r="AA17" s="14">
        <f>IFERROR(VLOOKUP($A17,koronahun!$A:$AM,27,FALSE),"")</f>
        <v>1.1258252427184465</v>
      </c>
      <c r="AB17" s="14">
        <f>IFERROR(VLOOKUP($A17,koronahun!$A:$AM,28,FALSE),"")</f>
        <v>0</v>
      </c>
      <c r="AC17" s="14">
        <f>IFERROR(VLOOKUP($A17,koronahun!$A:$AM,29,FALSE),"")</f>
        <v>1656.5714285714287</v>
      </c>
      <c r="AD17" s="14">
        <f>IFERROR(VLOOKUP($A17,koronahun!$A:$AM,30,FALSE),"")</f>
        <v>6</v>
      </c>
      <c r="AE17" s="14">
        <f>IFERROR(VLOOKUP($A17,koronahun!$A:$AM,31,FALSE),"")</f>
        <v>0</v>
      </c>
      <c r="AF17" s="13">
        <f>IFERROR(VLOOKUP($A17,koronahun!$A:$AM,32,FALSE),"")</f>
        <v>0</v>
      </c>
      <c r="AG17">
        <f>IFERROR(VLOOKUP($A17,koronahun!$A:$AM,33,FALSE),"")</f>
        <v>6417307</v>
      </c>
      <c r="AH17">
        <f>IFERROR(VLOOKUP($A17,koronahun!$A:$AM,34,FALSE),"")</f>
        <v>424</v>
      </c>
      <c r="AI17">
        <f>IFERROR(VLOOKUP($A17,koronahun!$A:$AM,35,FALSE),"")</f>
        <v>60.571428571428569</v>
      </c>
      <c r="AJ17">
        <f>IFERROR(VLOOKUP($A17,koronahun!$A:$AM,36,FALSE),"")</f>
        <v>6203509</v>
      </c>
      <c r="AK17">
        <f>IFERROR(VLOOKUP($A17,koronahun!$A:$AM,37,FALSE),"")</f>
        <v>419</v>
      </c>
      <c r="AL17">
        <f>IFERROR(VLOOKUP($A17,koronahun!$A:$AM,38,FALSE),"")</f>
        <v>59.857142857142854</v>
      </c>
      <c r="AM17" s="14">
        <f>IFERROR(VLOOKUP($A17,koronahun!$A:$AM,39,FALSE),"")</f>
        <v>1707.2857142857142</v>
      </c>
      <c r="AN17" s="11">
        <f ca="1">IFERROR(__xludf.DUMMYFUNCTION("""COMPUTED_VALUE"""),43909)</f>
        <v>43909</v>
      </c>
      <c r="AO17" s="12">
        <f ca="1">IFERROR(VLOOKUP(AN17,koronahun!A:B,2,FALSE),"")</f>
        <v>73</v>
      </c>
      <c r="AP17" s="11">
        <f t="shared" ca="1" si="0"/>
        <v>43909</v>
      </c>
      <c r="AQ17" s="11">
        <f ca="1">IFERROR(__xludf.DUMMYFUNCTION("""COMPUTED_VALUE"""),43909)</f>
        <v>43909</v>
      </c>
      <c r="AR17" s="11">
        <v>44825</v>
      </c>
      <c r="AS17" s="11">
        <f t="shared" si="1"/>
        <v>44825</v>
      </c>
      <c r="AT17" s="11">
        <f ca="1">IFERROR(__xludf.DUMMYFUNCTION("""COMPUTED_VALUE"""),44818)</f>
        <v>44818</v>
      </c>
    </row>
    <row r="18" spans="1:46" ht="15.75" customHeight="1">
      <c r="A18" s="11">
        <v>44811</v>
      </c>
      <c r="B18">
        <f>IFERROR(VLOOKUP($A18,koronahun!$A:$AM,2,FALSE),"")</f>
        <v>2058847</v>
      </c>
      <c r="C18">
        <f>IFERROR(VLOOKUP($A18,koronahun!$A:$AM,3,FALSE),"")</f>
        <v>10300</v>
      </c>
      <c r="D18">
        <f>IFERROR(VLOOKUP($A18,koronahun!$A:$AM,4,FALSE),"")</f>
        <v>47367</v>
      </c>
      <c r="E18">
        <f>IFERROR(VLOOKUP($A18,koronahun!$A:$AM,5,FALSE),"")</f>
        <v>1976808</v>
      </c>
      <c r="F18">
        <f>IFERROR(VLOOKUP($A18,koronahun!$A:$AM,6,FALSE),"")</f>
        <v>11394556</v>
      </c>
      <c r="G18" s="12">
        <f>IFERROR(VLOOKUP($A18,koronahun!$A:$AM,7,FALSE),"")</f>
        <v>1162709.7959183673</v>
      </c>
      <c r="H18">
        <f>IFERROR(VLOOKUP($A18,koronahun!$A:$AM,8,FALSE),"")</f>
        <v>0</v>
      </c>
      <c r="I18" s="13">
        <f>IFERROR(VLOOKUP($A18,koronahun!$A:$AM,9,FALSE),"")</f>
        <v>5.0279539595625578E-3</v>
      </c>
      <c r="J18" s="13">
        <f>IFERROR(VLOOKUP($A18,koronahun!$A:$AM,10,FALSE),"")</f>
        <v>0.18068689995468012</v>
      </c>
      <c r="K18" s="13">
        <f>IFERROR(VLOOKUP($A18,koronahun!$A:$AM,11,FALSE),"")</f>
        <v>0</v>
      </c>
      <c r="L18">
        <f>IFERROR(VLOOKUP($A18,koronahun!$A:$AM,12,FALSE),"")</f>
        <v>34672</v>
      </c>
      <c r="M18" s="13">
        <f>IFERROR(VLOOKUP($A18,koronahun!$A:$AM,13,FALSE),"")</f>
        <v>2.300656629657279E-2</v>
      </c>
      <c r="N18" s="13">
        <f>IFERROR(VLOOKUP($A18,koronahun!$A:$AM,14,FALSE),"")</f>
        <v>0.96015293997077</v>
      </c>
      <c r="O18">
        <f>IFERROR(VLOOKUP($A18,koronahun!$A:$AM,15,FALSE),"")</f>
        <v>2371</v>
      </c>
      <c r="P18">
        <f>IFERROR(VLOOKUP($A18,koronahun!$A:$AM,16,FALSE),"")</f>
        <v>0</v>
      </c>
      <c r="Q18" s="13">
        <f>IFERROR(VLOOKUP($A18,koronahun!$A:$AM,17,FALSE),"")</f>
        <v>0</v>
      </c>
      <c r="R18">
        <f>IFERROR(VLOOKUP($A18,koronahun!$A:$AM,18,FALSE),"")</f>
        <v>76</v>
      </c>
      <c r="S18">
        <f>IFERROR(VLOOKUP($A18,koronahun!$A:$AM,19,FALSE),"")</f>
        <v>14110</v>
      </c>
      <c r="T18">
        <f>IFERROR(VLOOKUP($A18,koronahun!$A:$AM,20,FALSE),"")</f>
        <v>832</v>
      </c>
      <c r="U18">
        <f>IFERROR(VLOOKUP($A18,koronahun!$A:$AM,21,FALSE),"")</f>
        <v>17</v>
      </c>
      <c r="V18" s="13">
        <f>IFERROR(VLOOKUP($A18,koronahun!$A:$AM,22,FALSE),"")</f>
        <v>1.6840493732657162E-2</v>
      </c>
      <c r="W18">
        <f>IFERROR(VLOOKUP($A18,koronahun!$A:$AM,23,FALSE),"")</f>
        <v>1345</v>
      </c>
      <c r="X18">
        <f>IFERROR(VLOOKUP($A18,koronahun!$A:$AM,24,FALSE),"")</f>
        <v>19</v>
      </c>
      <c r="Y18" s="14">
        <f>IFERROR(VLOOKUP($A18,koronahun!$A:$AM,25,FALSE),"")</f>
        <v>2.3996308260267652E-2</v>
      </c>
      <c r="Z18" s="14">
        <f>IFERROR(VLOOKUP($A18,koronahun!$A:$AM,26,FALSE),"")</f>
        <v>2.0432692307692308E-2</v>
      </c>
      <c r="AA18" s="14">
        <f>IFERROR(VLOOKUP($A18,koronahun!$A:$AM,27,FALSE),"")</f>
        <v>0.84724849880727149</v>
      </c>
      <c r="AB18" s="14">
        <f>IFERROR(VLOOKUP($A18,koronahun!$A:$AM,28,FALSE),"")</f>
        <v>0</v>
      </c>
      <c r="AC18" s="14">
        <f>IFERROR(VLOOKUP($A18,koronahun!$A:$AM,29,FALSE),"")</f>
        <v>1471.4285714285713</v>
      </c>
      <c r="AD18" s="14">
        <f>IFERROR(VLOOKUP($A18,koronahun!$A:$AM,30,FALSE),"")</f>
        <v>10.857142857142858</v>
      </c>
      <c r="AE18" s="14">
        <f>IFERROR(VLOOKUP($A18,koronahun!$A:$AM,31,FALSE),"")</f>
        <v>0</v>
      </c>
      <c r="AF18" s="13">
        <f>IFERROR(VLOOKUP($A18,koronahun!$A:$AM,32,FALSE),"")</f>
        <v>0</v>
      </c>
      <c r="AG18">
        <f>IFERROR(VLOOKUP($A18,koronahun!$A:$AM,33,FALSE),"")</f>
        <v>6416883</v>
      </c>
      <c r="AH18">
        <f>IFERROR(VLOOKUP($A18,koronahun!$A:$AM,34,FALSE),"")</f>
        <v>520</v>
      </c>
      <c r="AI18">
        <f>IFERROR(VLOOKUP($A18,koronahun!$A:$AM,35,FALSE),"")</f>
        <v>74.285714285714292</v>
      </c>
      <c r="AJ18">
        <f>IFERROR(VLOOKUP($A18,koronahun!$A:$AM,36,FALSE),"")</f>
        <v>6203090</v>
      </c>
      <c r="AK18">
        <f>IFERROR(VLOOKUP($A18,koronahun!$A:$AM,37,FALSE),"")</f>
        <v>568</v>
      </c>
      <c r="AL18">
        <f>IFERROR(VLOOKUP($A18,koronahun!$A:$AM,38,FALSE),"")</f>
        <v>81.142857142857139</v>
      </c>
      <c r="AM18" s="14">
        <f>IFERROR(VLOOKUP($A18,koronahun!$A:$AM,39,FALSE),"")</f>
        <v>2015.7142857142858</v>
      </c>
      <c r="AN18" s="11">
        <f ca="1">IFERROR(__xludf.DUMMYFUNCTION("""COMPUTED_VALUE"""),43910)</f>
        <v>43910</v>
      </c>
      <c r="AO18" s="12">
        <f ca="1">IFERROR(VLOOKUP(AN18,koronahun!A:B,2,FALSE),"")</f>
        <v>85</v>
      </c>
      <c r="AP18" s="11">
        <f t="shared" ca="1" si="0"/>
        <v>43910</v>
      </c>
      <c r="AQ18" s="11">
        <f ca="1">IFERROR(__xludf.DUMMYFUNCTION("""COMPUTED_VALUE"""),43910)</f>
        <v>43910</v>
      </c>
      <c r="AR18" s="11">
        <v>44818</v>
      </c>
      <c r="AS18" s="11">
        <f t="shared" si="1"/>
        <v>44818</v>
      </c>
      <c r="AT18" s="11">
        <f ca="1">IFERROR(__xludf.DUMMYFUNCTION("""COMPUTED_VALUE"""),44811)</f>
        <v>44811</v>
      </c>
    </row>
    <row r="19" spans="1:46" ht="15.75" customHeight="1">
      <c r="A19" s="11">
        <v>44804</v>
      </c>
      <c r="B19">
        <f>IFERROR(VLOOKUP($A19,koronahun!$A:$AM,2,FALSE),"")</f>
        <v>2048547</v>
      </c>
      <c r="C19">
        <f>IFERROR(VLOOKUP($A19,koronahun!$A:$AM,3,FALSE),"")</f>
        <v>12157</v>
      </c>
      <c r="D19">
        <f>IFERROR(VLOOKUP($A19,koronahun!$A:$AM,4,FALSE),"")</f>
        <v>47291</v>
      </c>
      <c r="E19">
        <f>IFERROR(VLOOKUP($A19,koronahun!$A:$AM,5,FALSE),"")</f>
        <v>1962698</v>
      </c>
      <c r="F19">
        <f>IFERROR(VLOOKUP($A19,koronahun!$A:$AM,6,FALSE),"")</f>
        <v>11394556</v>
      </c>
      <c r="G19" s="12">
        <f>IFERROR(VLOOKUP($A19,koronahun!$A:$AM,7,FALSE),"")</f>
        <v>1162709.7959183673</v>
      </c>
      <c r="H19">
        <f>IFERROR(VLOOKUP($A19,koronahun!$A:$AM,8,FALSE),"")</f>
        <v>0</v>
      </c>
      <c r="I19" s="13">
        <f>IFERROR(VLOOKUP($A19,koronahun!$A:$AM,9,FALSE),"")</f>
        <v>5.9698780685428629E-3</v>
      </c>
      <c r="J19" s="13">
        <f>IFERROR(VLOOKUP($A19,koronahun!$A:$AM,10,FALSE),"")</f>
        <v>0.17978295951154219</v>
      </c>
      <c r="K19" s="13">
        <f>IFERROR(VLOOKUP($A19,koronahun!$A:$AM,11,FALSE),"")</f>
        <v>0</v>
      </c>
      <c r="L19">
        <f>IFERROR(VLOOKUP($A19,koronahun!$A:$AM,12,FALSE),"")</f>
        <v>38558</v>
      </c>
      <c r="M19" s="13">
        <f>IFERROR(VLOOKUP($A19,koronahun!$A:$AM,13,FALSE),"")</f>
        <v>2.3085142786570187E-2</v>
      </c>
      <c r="N19" s="13">
        <f>IFERROR(VLOOKUP($A19,koronahun!$A:$AM,14,FALSE),"")</f>
        <v>0.95809273597335087</v>
      </c>
      <c r="O19">
        <f>IFERROR(VLOOKUP($A19,koronahun!$A:$AM,15,FALSE),"")</f>
        <v>1641</v>
      </c>
      <c r="P19">
        <f>IFERROR(VLOOKUP($A19,koronahun!$A:$AM,16,FALSE),"")</f>
        <v>0</v>
      </c>
      <c r="Q19" s="13">
        <f>IFERROR(VLOOKUP($A19,koronahun!$A:$AM,17,FALSE),"")</f>
        <v>0</v>
      </c>
      <c r="R19">
        <f>IFERROR(VLOOKUP($A19,koronahun!$A:$AM,18,FALSE),"")</f>
        <v>100</v>
      </c>
      <c r="S19">
        <f>IFERROR(VLOOKUP($A19,koronahun!$A:$AM,19,FALSE),"")</f>
        <v>16788</v>
      </c>
      <c r="T19">
        <f>IFERROR(VLOOKUP($A19,koronahun!$A:$AM,20,FALSE),"")</f>
        <v>978</v>
      </c>
      <c r="U19">
        <f>IFERROR(VLOOKUP($A19,koronahun!$A:$AM,21,FALSE),"")</f>
        <v>23</v>
      </c>
      <c r="V19" s="13">
        <f>IFERROR(VLOOKUP($A19,koronahun!$A:$AM,22,FALSE),"")</f>
        <v>1.8822121240078944E-2</v>
      </c>
      <c r="W19">
        <f>IFERROR(VLOOKUP($A19,koronahun!$A:$AM,23,FALSE),"")</f>
        <v>1345</v>
      </c>
      <c r="X19">
        <f>IFERROR(VLOOKUP($A19,koronahun!$A:$AM,24,FALSE),"")</f>
        <v>19</v>
      </c>
      <c r="Y19" s="14">
        <f>IFERROR(VLOOKUP($A19,koronahun!$A:$AM,25,FALSE),"")</f>
        <v>2.5364386119612014E-2</v>
      </c>
      <c r="Z19" s="14">
        <f>IFERROR(VLOOKUP($A19,koronahun!$A:$AM,26,FALSE),"")</f>
        <v>2.3517382413087935E-2</v>
      </c>
      <c r="AA19" s="14">
        <f>IFERROR(VLOOKUP($A19,koronahun!$A:$AM,27,FALSE),"")</f>
        <v>0.82465065798399129</v>
      </c>
      <c r="AB19" s="14">
        <f>IFERROR(VLOOKUP($A19,koronahun!$A:$AM,28,FALSE),"")</f>
        <v>0</v>
      </c>
      <c r="AC19" s="14">
        <f>IFERROR(VLOOKUP($A19,koronahun!$A:$AM,29,FALSE),"")</f>
        <v>1736.7142857142858</v>
      </c>
      <c r="AD19" s="14">
        <f>IFERROR(VLOOKUP($A19,koronahun!$A:$AM,30,FALSE),"")</f>
        <v>14.285714285714286</v>
      </c>
      <c r="AE19" s="14">
        <f>IFERROR(VLOOKUP($A19,koronahun!$A:$AM,31,FALSE),"")</f>
        <v>0</v>
      </c>
      <c r="AF19" s="13">
        <f>IFERROR(VLOOKUP($A19,koronahun!$A:$AM,32,FALSE),"")</f>
        <v>0</v>
      </c>
      <c r="AG19">
        <f>IFERROR(VLOOKUP($A19,koronahun!$A:$AM,33,FALSE),"")</f>
        <v>6416363</v>
      </c>
      <c r="AH19">
        <f>IFERROR(VLOOKUP($A19,koronahun!$A:$AM,34,FALSE),"")</f>
        <v>584</v>
      </c>
      <c r="AI19">
        <f>IFERROR(VLOOKUP($A19,koronahun!$A:$AM,35,FALSE),"")</f>
        <v>83.428571428571431</v>
      </c>
      <c r="AJ19">
        <f>IFERROR(VLOOKUP($A19,koronahun!$A:$AM,36,FALSE),"")</f>
        <v>6202522</v>
      </c>
      <c r="AK19">
        <f>IFERROR(VLOOKUP($A19,koronahun!$A:$AM,37,FALSE),"")</f>
        <v>553</v>
      </c>
      <c r="AL19">
        <f>IFERROR(VLOOKUP($A19,koronahun!$A:$AM,38,FALSE),"")</f>
        <v>79</v>
      </c>
      <c r="AM19" s="14">
        <f>IFERROR(VLOOKUP($A19,koronahun!$A:$AM,39,FALSE),"")</f>
        <v>2398.2857142857142</v>
      </c>
      <c r="AN19" s="11">
        <f ca="1">IFERROR(__xludf.DUMMYFUNCTION("""COMPUTED_VALUE"""),43911)</f>
        <v>43911</v>
      </c>
      <c r="AO19" s="12">
        <f ca="1">IFERROR(VLOOKUP(AN19,koronahun!A:B,2,FALSE),"")</f>
        <v>103</v>
      </c>
      <c r="AP19" s="11">
        <f t="shared" ca="1" si="0"/>
        <v>43911</v>
      </c>
      <c r="AQ19" s="11">
        <f ca="1">IFERROR(__xludf.DUMMYFUNCTION("""COMPUTED_VALUE"""),43911)</f>
        <v>43911</v>
      </c>
      <c r="AR19" s="11">
        <v>44811</v>
      </c>
      <c r="AS19" s="11">
        <f t="shared" si="1"/>
        <v>44811</v>
      </c>
      <c r="AT19" s="11">
        <f ca="1">IFERROR(__xludf.DUMMYFUNCTION("""COMPUTED_VALUE"""),44804)</f>
        <v>44804</v>
      </c>
    </row>
    <row r="20" spans="1:46" ht="15.75" customHeight="1">
      <c r="A20" s="11">
        <v>44797</v>
      </c>
      <c r="B20">
        <f>IFERROR(VLOOKUP($A20,koronahun!$A:$AM,2,FALSE),"")</f>
        <v>2036390</v>
      </c>
      <c r="C20">
        <f>IFERROR(VLOOKUP($A20,koronahun!$A:$AM,3,FALSE),"")</f>
        <v>14742</v>
      </c>
      <c r="D20">
        <f>IFERROR(VLOOKUP($A20,koronahun!$A:$AM,4,FALSE),"")</f>
        <v>47191</v>
      </c>
      <c r="E20">
        <f>IFERROR(VLOOKUP($A20,koronahun!$A:$AM,5,FALSE),"")</f>
        <v>1945910</v>
      </c>
      <c r="F20">
        <f>IFERROR(VLOOKUP($A20,koronahun!$A:$AM,6,FALSE),"")</f>
        <v>11394556</v>
      </c>
      <c r="G20" s="12">
        <f>IFERROR(VLOOKUP($A20,koronahun!$A:$AM,7,FALSE),"")</f>
        <v>1162709.7959183673</v>
      </c>
      <c r="H20">
        <f>IFERROR(VLOOKUP($A20,koronahun!$A:$AM,8,FALSE),"")</f>
        <v>0</v>
      </c>
      <c r="I20" s="13">
        <f>IFERROR(VLOOKUP($A20,koronahun!$A:$AM,9,FALSE),"")</f>
        <v>7.2920706275276404E-3</v>
      </c>
      <c r="J20" s="13">
        <f>IFERROR(VLOOKUP($A20,koronahun!$A:$AM,10,FALSE),"")</f>
        <v>0.17871604650501521</v>
      </c>
      <c r="K20" s="13">
        <f>IFERROR(VLOOKUP($A20,koronahun!$A:$AM,11,FALSE),"")</f>
        <v>0</v>
      </c>
      <c r="L20">
        <f>IFERROR(VLOOKUP($A20,koronahun!$A:$AM,12,FALSE),"")</f>
        <v>43289</v>
      </c>
      <c r="M20" s="13">
        <f>IFERROR(VLOOKUP($A20,koronahun!$A:$AM,13,FALSE),"")</f>
        <v>2.3173851767097658E-2</v>
      </c>
      <c r="N20" s="13">
        <f>IFERROR(VLOOKUP($A20,koronahun!$A:$AM,14,FALSE),"")</f>
        <v>0.95556843237297373</v>
      </c>
      <c r="O20">
        <f>IFERROR(VLOOKUP($A20,koronahun!$A:$AM,15,FALSE),"")</f>
        <v>1811</v>
      </c>
      <c r="P20">
        <f>IFERROR(VLOOKUP($A20,koronahun!$A:$AM,16,FALSE),"")</f>
        <v>0</v>
      </c>
      <c r="Q20" s="13">
        <f>IFERROR(VLOOKUP($A20,koronahun!$A:$AM,17,FALSE),"")</f>
        <v>0</v>
      </c>
      <c r="R20">
        <f>IFERROR(VLOOKUP($A20,koronahun!$A:$AM,18,FALSE),"")</f>
        <v>108</v>
      </c>
      <c r="S20">
        <f>IFERROR(VLOOKUP($A20,koronahun!$A:$AM,19,FALSE),"")</f>
        <v>21888</v>
      </c>
      <c r="T20">
        <f>IFERROR(VLOOKUP($A20,koronahun!$A:$AM,20,FALSE),"")</f>
        <v>1251</v>
      </c>
      <c r="U20">
        <f>IFERROR(VLOOKUP($A20,koronahun!$A:$AM,21,FALSE),"")</f>
        <v>27</v>
      </c>
      <c r="V20" s="13">
        <f>IFERROR(VLOOKUP($A20,koronahun!$A:$AM,22,FALSE),"")</f>
        <v>2.12577158599286E-2</v>
      </c>
      <c r="W20">
        <f>IFERROR(VLOOKUP($A20,koronahun!$A:$AM,23,FALSE),"")</f>
        <v>1345</v>
      </c>
      <c r="X20">
        <f>IFERROR(VLOOKUP($A20,koronahun!$A:$AM,24,FALSE),"")</f>
        <v>19</v>
      </c>
      <c r="Y20" s="14">
        <f>IFERROR(VLOOKUP($A20,koronahun!$A:$AM,25,FALSE),"")</f>
        <v>2.8898796460994709E-2</v>
      </c>
      <c r="Z20" s="14">
        <f>IFERROR(VLOOKUP($A20,koronahun!$A:$AM,26,FALSE),"")</f>
        <v>2.1582733812949641E-2</v>
      </c>
      <c r="AA20" s="14">
        <f>IFERROR(VLOOKUP($A20,koronahun!$A:$AM,27,FALSE),"")</f>
        <v>0.9072558311280694</v>
      </c>
      <c r="AB20" s="14">
        <f>IFERROR(VLOOKUP($A20,koronahun!$A:$AM,28,FALSE),"")</f>
        <v>0</v>
      </c>
      <c r="AC20" s="14">
        <f>IFERROR(VLOOKUP($A20,koronahun!$A:$AM,29,FALSE),"")</f>
        <v>2106</v>
      </c>
      <c r="AD20" s="14">
        <f>IFERROR(VLOOKUP($A20,koronahun!$A:$AM,30,FALSE),"")</f>
        <v>15.428571428571429</v>
      </c>
      <c r="AE20" s="14">
        <f>IFERROR(VLOOKUP($A20,koronahun!$A:$AM,31,FALSE),"")</f>
        <v>0</v>
      </c>
      <c r="AF20" s="13">
        <f>IFERROR(VLOOKUP($A20,koronahun!$A:$AM,32,FALSE),"")</f>
        <v>0</v>
      </c>
      <c r="AG20">
        <f>IFERROR(VLOOKUP($A20,koronahun!$A:$AM,33,FALSE),"")</f>
        <v>6415779</v>
      </c>
      <c r="AH20">
        <f>IFERROR(VLOOKUP($A20,koronahun!$A:$AM,34,FALSE),"")</f>
        <v>602</v>
      </c>
      <c r="AI20">
        <f>IFERROR(VLOOKUP($A20,koronahun!$A:$AM,35,FALSE),"")</f>
        <v>86</v>
      </c>
      <c r="AJ20">
        <f>IFERROR(VLOOKUP($A20,koronahun!$A:$AM,36,FALSE),"")</f>
        <v>6201969</v>
      </c>
      <c r="AK20">
        <f>IFERROR(VLOOKUP($A20,koronahun!$A:$AM,37,FALSE),"")</f>
        <v>497</v>
      </c>
      <c r="AL20">
        <f>IFERROR(VLOOKUP($A20,koronahun!$A:$AM,38,FALSE),"")</f>
        <v>71</v>
      </c>
      <c r="AM20" s="14">
        <f>IFERROR(VLOOKUP($A20,koronahun!$A:$AM,39,FALSE),"")</f>
        <v>3126.8571428571427</v>
      </c>
      <c r="AN20" s="11">
        <f ca="1">IFERROR(__xludf.DUMMYFUNCTION("""COMPUTED_VALUE"""),43912)</f>
        <v>43912</v>
      </c>
      <c r="AO20" s="12">
        <f ca="1">IFERROR(VLOOKUP(AN20,koronahun!A:B,2,FALSE),"")</f>
        <v>131</v>
      </c>
      <c r="AP20" s="11">
        <f t="shared" ca="1" si="0"/>
        <v>43912</v>
      </c>
      <c r="AQ20" s="11">
        <f ca="1">IFERROR(__xludf.DUMMYFUNCTION("""COMPUTED_VALUE"""),43912)</f>
        <v>43912</v>
      </c>
      <c r="AR20" s="11">
        <v>44804</v>
      </c>
      <c r="AS20" s="11">
        <f t="shared" si="1"/>
        <v>44804</v>
      </c>
      <c r="AT20" s="11">
        <f ca="1">IFERROR(__xludf.DUMMYFUNCTION("""COMPUTED_VALUE"""),44797)</f>
        <v>44797</v>
      </c>
    </row>
    <row r="21" spans="1:46" ht="15.75" customHeight="1">
      <c r="A21" s="11">
        <v>44790</v>
      </c>
      <c r="B21">
        <f>IFERROR(VLOOKUP($A21,koronahun!$A:$AM,2,FALSE),"")</f>
        <v>2021648</v>
      </c>
      <c r="C21">
        <f>IFERROR(VLOOKUP($A21,koronahun!$A:$AM,3,FALSE),"")</f>
        <v>16249</v>
      </c>
      <c r="D21">
        <f>IFERROR(VLOOKUP($A21,koronahun!$A:$AM,4,FALSE),"")</f>
        <v>47083</v>
      </c>
      <c r="E21">
        <f>IFERROR(VLOOKUP($A21,koronahun!$A:$AM,5,FALSE),"")</f>
        <v>1924022</v>
      </c>
      <c r="F21">
        <f>IFERROR(VLOOKUP($A21,koronahun!$A:$AM,6,FALSE),"")</f>
        <v>11394556</v>
      </c>
      <c r="G21" s="12">
        <f>IFERROR(VLOOKUP($A21,koronahun!$A:$AM,7,FALSE),"")</f>
        <v>1162709.7959183673</v>
      </c>
      <c r="H21">
        <f>IFERROR(VLOOKUP($A21,koronahun!$A:$AM,8,FALSE),"")</f>
        <v>0</v>
      </c>
      <c r="I21" s="13">
        <f>IFERROR(VLOOKUP($A21,koronahun!$A:$AM,9,FALSE),"")</f>
        <v>8.1026269585254603E-3</v>
      </c>
      <c r="J21" s="13">
        <f>IFERROR(VLOOKUP($A21,koronahun!$A:$AM,10,FALSE),"")</f>
        <v>0.17742227077562303</v>
      </c>
      <c r="K21" s="13">
        <f>IFERROR(VLOOKUP($A21,koronahun!$A:$AM,11,FALSE),"")</f>
        <v>0</v>
      </c>
      <c r="L21">
        <f>IFERROR(VLOOKUP($A21,koronahun!$A:$AM,12,FALSE),"")</f>
        <v>50543</v>
      </c>
      <c r="M21" s="13">
        <f>IFERROR(VLOOKUP($A21,koronahun!$A:$AM,13,FALSE),"")</f>
        <v>2.3289415368056159E-2</v>
      </c>
      <c r="N21" s="13">
        <f>IFERROR(VLOOKUP($A21,koronahun!$A:$AM,14,FALSE),"")</f>
        <v>0.95170969426922991</v>
      </c>
      <c r="O21">
        <f>IFERROR(VLOOKUP($A21,koronahun!$A:$AM,15,FALSE),"")</f>
        <v>2015</v>
      </c>
      <c r="P21">
        <f>IFERROR(VLOOKUP($A21,koronahun!$A:$AM,16,FALSE),"")</f>
        <v>0</v>
      </c>
      <c r="Q21" s="13">
        <f>IFERROR(VLOOKUP($A21,koronahun!$A:$AM,17,FALSE),"")</f>
        <v>0</v>
      </c>
      <c r="R21">
        <f>IFERROR(VLOOKUP($A21,koronahun!$A:$AM,18,FALSE),"")</f>
        <v>117</v>
      </c>
      <c r="S21">
        <f>IFERROR(VLOOKUP($A21,koronahun!$A:$AM,19,FALSE),"")</f>
        <v>15115</v>
      </c>
      <c r="T21">
        <f>IFERROR(VLOOKUP($A21,koronahun!$A:$AM,20,FALSE),"")</f>
        <v>570</v>
      </c>
      <c r="U21">
        <f>IFERROR(VLOOKUP($A21,koronahun!$A:$AM,21,FALSE),"")</f>
        <v>9</v>
      </c>
      <c r="V21" s="13">
        <f>IFERROR(VLOOKUP($A21,koronahun!$A:$AM,22,FALSE),"")</f>
        <v>2.5000890362713985E-2</v>
      </c>
      <c r="W21">
        <f>IFERROR(VLOOKUP($A21,koronahun!$A:$AM,23,FALSE),"")</f>
        <v>1345</v>
      </c>
      <c r="X21">
        <f>IFERROR(VLOOKUP($A21,koronahun!$A:$AM,24,FALSE),"")</f>
        <v>19</v>
      </c>
      <c r="Y21" s="14">
        <f>IFERROR(VLOOKUP($A21,koronahun!$A:$AM,25,FALSE),"")</f>
        <v>1.1277526066913322E-2</v>
      </c>
      <c r="Z21" s="14">
        <f>IFERROR(VLOOKUP($A21,koronahun!$A:$AM,26,FALSE),"")</f>
        <v>1.5789473684210527E-2</v>
      </c>
      <c r="AA21" s="14">
        <f>IFERROR(VLOOKUP($A21,koronahun!$A:$AM,27,FALSE),"")</f>
        <v>0.8988273039052993</v>
      </c>
      <c r="AB21" s="14">
        <f>IFERROR(VLOOKUP($A21,koronahun!$A:$AM,28,FALSE),"")</f>
        <v>0</v>
      </c>
      <c r="AC21" s="14">
        <f>IFERROR(VLOOKUP($A21,koronahun!$A:$AM,29,FALSE),"")</f>
        <v>2321.2857142857142</v>
      </c>
      <c r="AD21" s="14">
        <f>IFERROR(VLOOKUP($A21,koronahun!$A:$AM,30,FALSE),"")</f>
        <v>16.714285714285715</v>
      </c>
      <c r="AE21" s="14">
        <f>IFERROR(VLOOKUP($A21,koronahun!$A:$AM,31,FALSE),"")</f>
        <v>0</v>
      </c>
      <c r="AF21" s="13">
        <f>IFERROR(VLOOKUP($A21,koronahun!$A:$AM,32,FALSE),"")</f>
        <v>0</v>
      </c>
      <c r="AG21">
        <f>IFERROR(VLOOKUP($A21,koronahun!$A:$AM,33,FALSE),"")</f>
        <v>6415177</v>
      </c>
      <c r="AH21">
        <f>IFERROR(VLOOKUP($A21,koronahun!$A:$AM,34,FALSE),"")</f>
        <v>614</v>
      </c>
      <c r="AI21">
        <f>IFERROR(VLOOKUP($A21,koronahun!$A:$AM,35,FALSE),"")</f>
        <v>87.714285714285708</v>
      </c>
      <c r="AJ21">
        <f>IFERROR(VLOOKUP($A21,koronahun!$A:$AM,36,FALSE),"")</f>
        <v>6201472</v>
      </c>
      <c r="AK21">
        <f>IFERROR(VLOOKUP($A21,koronahun!$A:$AM,37,FALSE),"")</f>
        <v>450</v>
      </c>
      <c r="AL21">
        <f>IFERROR(VLOOKUP($A21,koronahun!$A:$AM,38,FALSE),"")</f>
        <v>64.285714285714292</v>
      </c>
      <c r="AM21" s="14">
        <f>IFERROR(VLOOKUP($A21,koronahun!$A:$AM,39,FALSE),"")</f>
        <v>2159.2857142857142</v>
      </c>
      <c r="AN21" s="11">
        <f ca="1">IFERROR(__xludf.DUMMYFUNCTION("""COMPUTED_VALUE"""),43913)</f>
        <v>43913</v>
      </c>
      <c r="AO21" s="12">
        <f ca="1">IFERROR(VLOOKUP(AN21,koronahun!A:B,2,FALSE),"")</f>
        <v>167</v>
      </c>
      <c r="AP21" s="11">
        <f t="shared" ca="1" si="0"/>
        <v>43913</v>
      </c>
      <c r="AQ21" s="11">
        <f ca="1">IFERROR(__xludf.DUMMYFUNCTION("""COMPUTED_VALUE"""),43913)</f>
        <v>43913</v>
      </c>
      <c r="AR21" s="11">
        <v>44797</v>
      </c>
      <c r="AS21" s="11">
        <f t="shared" si="1"/>
        <v>44797</v>
      </c>
      <c r="AT21" s="11">
        <f ca="1">IFERROR(__xludf.DUMMYFUNCTION("""COMPUTED_VALUE"""),44790)</f>
        <v>44790</v>
      </c>
    </row>
    <row r="22" spans="1:46" ht="15.75" customHeight="1">
      <c r="A22" s="11">
        <v>44783</v>
      </c>
      <c r="B22">
        <f>IFERROR(VLOOKUP($A22,koronahun!$A:$AM,2,FALSE),"")</f>
        <v>2005399</v>
      </c>
      <c r="C22">
        <f>IFERROR(VLOOKUP($A22,koronahun!$A:$AM,3,FALSE),"")</f>
        <v>18078</v>
      </c>
      <c r="D22">
        <f>IFERROR(VLOOKUP($A22,koronahun!$A:$AM,4,FALSE),"")</f>
        <v>46966</v>
      </c>
      <c r="E22">
        <f>IFERROR(VLOOKUP($A22,koronahun!$A:$AM,5,FALSE),"")</f>
        <v>1908907</v>
      </c>
      <c r="F22">
        <f>IFERROR(VLOOKUP($A22,koronahun!$A:$AM,6,FALSE),"")</f>
        <v>11394556</v>
      </c>
      <c r="G22" s="12">
        <f>IFERROR(VLOOKUP($A22,koronahun!$A:$AM,7,FALSE),"")</f>
        <v>1162709.7959183673</v>
      </c>
      <c r="H22">
        <f>IFERROR(VLOOKUP($A22,koronahun!$A:$AM,8,FALSE),"")</f>
        <v>0</v>
      </c>
      <c r="I22" s="13">
        <f>IFERROR(VLOOKUP($A22,koronahun!$A:$AM,9,FALSE),"")</f>
        <v>9.0966683288708772E-3</v>
      </c>
      <c r="J22" s="13">
        <f>IFERROR(VLOOKUP($A22,koronahun!$A:$AM,10,FALSE),"")</f>
        <v>0.17599623890566687</v>
      </c>
      <c r="K22" s="13">
        <f>IFERROR(VLOOKUP($A22,koronahun!$A:$AM,11,FALSE),"")</f>
        <v>0</v>
      </c>
      <c r="L22">
        <f>IFERROR(VLOOKUP($A22,koronahun!$A:$AM,12,FALSE),"")</f>
        <v>49526</v>
      </c>
      <c r="M22" s="13">
        <f>IFERROR(VLOOKUP($A22,koronahun!$A:$AM,13,FALSE),"")</f>
        <v>2.3419778308456322E-2</v>
      </c>
      <c r="N22" s="13">
        <f>IFERROR(VLOOKUP($A22,koronahun!$A:$AM,14,FALSE),"")</f>
        <v>0.95188388944045554</v>
      </c>
      <c r="O22">
        <f>IFERROR(VLOOKUP($A22,koronahun!$A:$AM,15,FALSE),"")</f>
        <v>2099</v>
      </c>
      <c r="P22">
        <f>IFERROR(VLOOKUP($A22,koronahun!$A:$AM,16,FALSE),"")</f>
        <v>0</v>
      </c>
      <c r="Q22" s="13">
        <f>IFERROR(VLOOKUP($A22,koronahun!$A:$AM,17,FALSE),"")</f>
        <v>0</v>
      </c>
      <c r="R22">
        <f>IFERROR(VLOOKUP($A22,koronahun!$A:$AM,18,FALSE),"")</f>
        <v>80</v>
      </c>
      <c r="S22">
        <f>IFERROR(VLOOKUP($A22,koronahun!$A:$AM,19,FALSE),"")</f>
        <v>10533</v>
      </c>
      <c r="T22">
        <f>IFERROR(VLOOKUP($A22,koronahun!$A:$AM,20,FALSE),"")</f>
        <v>1501</v>
      </c>
      <c r="U22">
        <f>IFERROR(VLOOKUP($A22,koronahun!$A:$AM,21,FALSE),"")</f>
        <v>22</v>
      </c>
      <c r="V22" s="13">
        <f>IFERROR(VLOOKUP($A22,koronahun!$A:$AM,22,FALSE),"")</f>
        <v>2.4696332251088186E-2</v>
      </c>
      <c r="W22">
        <f>IFERROR(VLOOKUP($A22,koronahun!$A:$AM,23,FALSE),"")</f>
        <v>1345</v>
      </c>
      <c r="X22">
        <f>IFERROR(VLOOKUP($A22,koronahun!$A:$AM,24,FALSE),"")</f>
        <v>19</v>
      </c>
      <c r="Y22" s="14">
        <f>IFERROR(VLOOKUP($A22,koronahun!$A:$AM,25,FALSE),"")</f>
        <v>3.0307313330371927E-2</v>
      </c>
      <c r="Z22" s="14">
        <f>IFERROR(VLOOKUP($A22,koronahun!$A:$AM,26,FALSE),"")</f>
        <v>1.4656895403064623E-2</v>
      </c>
      <c r="AA22" s="14">
        <f>IFERROR(VLOOKUP($A22,koronahun!$A:$AM,27,FALSE),"")</f>
        <v>0.82774725274725269</v>
      </c>
      <c r="AB22" s="14">
        <f>IFERROR(VLOOKUP($A22,koronahun!$A:$AM,28,FALSE),"")</f>
        <v>0</v>
      </c>
      <c r="AC22" s="14">
        <f>IFERROR(VLOOKUP($A22,koronahun!$A:$AM,29,FALSE),"")</f>
        <v>2582.5714285714284</v>
      </c>
      <c r="AD22" s="14">
        <f>IFERROR(VLOOKUP($A22,koronahun!$A:$AM,30,FALSE),"")</f>
        <v>11.428571428571429</v>
      </c>
      <c r="AE22" s="14">
        <f>IFERROR(VLOOKUP($A22,koronahun!$A:$AM,31,FALSE),"")</f>
        <v>0</v>
      </c>
      <c r="AF22" s="13">
        <f>IFERROR(VLOOKUP($A22,koronahun!$A:$AM,32,FALSE),"")</f>
        <v>0</v>
      </c>
      <c r="AG22">
        <f>IFERROR(VLOOKUP($A22,koronahun!$A:$AM,33,FALSE),"")</f>
        <v>6414563</v>
      </c>
      <c r="AH22">
        <f>IFERROR(VLOOKUP($A22,koronahun!$A:$AM,34,FALSE),"")</f>
        <v>592</v>
      </c>
      <c r="AI22">
        <f>IFERROR(VLOOKUP($A22,koronahun!$A:$AM,35,FALSE),"")</f>
        <v>84.571428571428569</v>
      </c>
      <c r="AJ22">
        <f>IFERROR(VLOOKUP($A22,koronahun!$A:$AM,36,FALSE),"")</f>
        <v>6201022</v>
      </c>
      <c r="AK22">
        <f>IFERROR(VLOOKUP($A22,koronahun!$A:$AM,37,FALSE),"")</f>
        <v>391</v>
      </c>
      <c r="AL22">
        <f>IFERROR(VLOOKUP($A22,koronahun!$A:$AM,38,FALSE),"")</f>
        <v>55.857142857142854</v>
      </c>
      <c r="AM22" s="14">
        <f>IFERROR(VLOOKUP($A22,koronahun!$A:$AM,39,FALSE),"")</f>
        <v>1504.7142857142858</v>
      </c>
      <c r="AN22" s="11">
        <f ca="1">IFERROR(__xludf.DUMMYFUNCTION("""COMPUTED_VALUE"""),43914)</f>
        <v>43914</v>
      </c>
      <c r="AO22" s="12">
        <f ca="1">IFERROR(VLOOKUP(AN22,koronahun!A:B,2,FALSE),"")</f>
        <v>187</v>
      </c>
      <c r="AP22" s="11">
        <f t="shared" ca="1" si="0"/>
        <v>43914</v>
      </c>
      <c r="AQ22" s="11">
        <f ca="1">IFERROR(__xludf.DUMMYFUNCTION("""COMPUTED_VALUE"""),43914)</f>
        <v>43914</v>
      </c>
      <c r="AR22" s="11">
        <v>44790</v>
      </c>
      <c r="AS22" s="11">
        <f t="shared" si="1"/>
        <v>44790</v>
      </c>
      <c r="AT22" s="11">
        <f ca="1">IFERROR(__xludf.DUMMYFUNCTION("""COMPUTED_VALUE"""),44783)</f>
        <v>44783</v>
      </c>
    </row>
    <row r="23" spans="1:46" ht="15.75" customHeight="1">
      <c r="A23" s="11">
        <v>44776</v>
      </c>
      <c r="B23">
        <f>IFERROR(VLOOKUP($A23,koronahun!$A:$AM,2,FALSE),"")</f>
        <v>1987321</v>
      </c>
      <c r="C23">
        <f>IFERROR(VLOOKUP($A23,koronahun!$A:$AM,3,FALSE),"")</f>
        <v>21840</v>
      </c>
      <c r="D23">
        <f>IFERROR(VLOOKUP($A23,koronahun!$A:$AM,4,FALSE),"")</f>
        <v>46886</v>
      </c>
      <c r="E23">
        <f>IFERROR(VLOOKUP($A23,koronahun!$A:$AM,5,FALSE),"")</f>
        <v>1898374</v>
      </c>
      <c r="F23">
        <f>IFERROR(VLOOKUP($A23,koronahun!$A:$AM,6,FALSE),"")</f>
        <v>11394556</v>
      </c>
      <c r="G23" s="12">
        <f>IFERROR(VLOOKUP($A23,koronahun!$A:$AM,7,FALSE),"")</f>
        <v>1162709.7959183673</v>
      </c>
      <c r="H23">
        <f>IFERROR(VLOOKUP($A23,koronahun!$A:$AM,8,FALSE),"")</f>
        <v>0</v>
      </c>
      <c r="I23" s="13">
        <f>IFERROR(VLOOKUP($A23,koronahun!$A:$AM,9,FALSE),"")</f>
        <v>1.1111783833066817E-2</v>
      </c>
      <c r="J23" s="13">
        <f>IFERROR(VLOOKUP($A23,koronahun!$A:$AM,10,FALSE),"")</f>
        <v>0.17440969178614771</v>
      </c>
      <c r="K23" s="13">
        <f>IFERROR(VLOOKUP($A23,koronahun!$A:$AM,11,FALSE),"")</f>
        <v>0</v>
      </c>
      <c r="L23">
        <f>IFERROR(VLOOKUP($A23,koronahun!$A:$AM,12,FALSE),"")</f>
        <v>42061</v>
      </c>
      <c r="M23" s="13">
        <f>IFERROR(VLOOKUP($A23,koronahun!$A:$AM,13,FALSE),"")</f>
        <v>2.3592565066237411E-2</v>
      </c>
      <c r="N23" s="13">
        <f>IFERROR(VLOOKUP($A23,koronahun!$A:$AM,14,FALSE),"")</f>
        <v>0.95524276148644327</v>
      </c>
      <c r="O23">
        <f>IFERROR(VLOOKUP($A23,koronahun!$A:$AM,15,FALSE),"")</f>
        <v>2115</v>
      </c>
      <c r="P23">
        <f>IFERROR(VLOOKUP($A23,koronahun!$A:$AM,16,FALSE),"")</f>
        <v>0</v>
      </c>
      <c r="Q23" s="13">
        <f>IFERROR(VLOOKUP($A23,koronahun!$A:$AM,17,FALSE),"")</f>
        <v>0</v>
      </c>
      <c r="R23">
        <f>IFERROR(VLOOKUP($A23,koronahun!$A:$AM,18,FALSE),"")</f>
        <v>96</v>
      </c>
      <c r="S23">
        <f>IFERROR(VLOOKUP($A23,koronahun!$A:$AM,19,FALSE),"")</f>
        <v>8193</v>
      </c>
      <c r="T23">
        <f>IFERROR(VLOOKUP($A23,koronahun!$A:$AM,20,FALSE),"")</f>
        <v>1593</v>
      </c>
      <c r="U23">
        <f>IFERROR(VLOOKUP($A23,koronahun!$A:$AM,21,FALSE),"")</f>
        <v>19</v>
      </c>
      <c r="V23" s="13">
        <f>IFERROR(VLOOKUP($A23,koronahun!$A:$AM,22,FALSE),"")</f>
        <v>2.1164673447319281E-2</v>
      </c>
      <c r="W23">
        <f>IFERROR(VLOOKUP($A23,koronahun!$A:$AM,23,FALSE),"")</f>
        <v>1345</v>
      </c>
      <c r="X23">
        <f>IFERROR(VLOOKUP($A23,koronahun!$A:$AM,24,FALSE),"")</f>
        <v>19</v>
      </c>
      <c r="Y23" s="14">
        <f>IFERROR(VLOOKUP($A23,koronahun!$A:$AM,25,FALSE),"")</f>
        <v>3.7873564584769738E-2</v>
      </c>
      <c r="Z23" s="14">
        <f>IFERROR(VLOOKUP($A23,koronahun!$A:$AM,26,FALSE),"")</f>
        <v>1.1927181418706842E-2</v>
      </c>
      <c r="AA23" s="14">
        <f>IFERROR(VLOOKUP($A23,koronahun!$A:$AM,27,FALSE),"")</f>
        <v>1.5164560477711428</v>
      </c>
      <c r="AB23" s="14">
        <f>IFERROR(VLOOKUP($A23,koronahun!$A:$AM,28,FALSE),"")</f>
        <v>0</v>
      </c>
      <c r="AC23" s="14">
        <f>IFERROR(VLOOKUP($A23,koronahun!$A:$AM,29,FALSE),"")</f>
        <v>3120</v>
      </c>
      <c r="AD23" s="14">
        <f>IFERROR(VLOOKUP($A23,koronahun!$A:$AM,30,FALSE),"")</f>
        <v>13.714285714285714</v>
      </c>
      <c r="AE23" s="14">
        <f>IFERROR(VLOOKUP($A23,koronahun!$A:$AM,31,FALSE),"")</f>
        <v>0</v>
      </c>
      <c r="AF23" s="13">
        <f>IFERROR(VLOOKUP($A23,koronahun!$A:$AM,32,FALSE),"")</f>
        <v>0</v>
      </c>
      <c r="AG23">
        <f>IFERROR(VLOOKUP($A23,koronahun!$A:$AM,33,FALSE),"")</f>
        <v>6413971</v>
      </c>
      <c r="AH23">
        <f>IFERROR(VLOOKUP($A23,koronahun!$A:$AM,34,FALSE),"")</f>
        <v>551</v>
      </c>
      <c r="AI23">
        <f>IFERROR(VLOOKUP($A23,koronahun!$A:$AM,35,FALSE),"")</f>
        <v>78.714285714285708</v>
      </c>
      <c r="AJ23">
        <f>IFERROR(VLOOKUP($A23,koronahun!$A:$AM,36,FALSE),"")</f>
        <v>6200631</v>
      </c>
      <c r="AK23">
        <f>IFERROR(VLOOKUP($A23,koronahun!$A:$AM,37,FALSE),"")</f>
        <v>406</v>
      </c>
      <c r="AL23">
        <f>IFERROR(VLOOKUP($A23,koronahun!$A:$AM,38,FALSE),"")</f>
        <v>58</v>
      </c>
      <c r="AM23" s="14">
        <f>IFERROR(VLOOKUP($A23,koronahun!$A:$AM,39,FALSE),"")</f>
        <v>1170.4285714285713</v>
      </c>
      <c r="AN23" s="11">
        <f ca="1">IFERROR(__xludf.DUMMYFUNCTION("""COMPUTED_VALUE"""),43915)</f>
        <v>43915</v>
      </c>
      <c r="AO23" s="12">
        <f ca="1">IFERROR(VLOOKUP(AN23,koronahun!A:B,2,FALSE),"")</f>
        <v>226</v>
      </c>
      <c r="AP23" s="11">
        <f t="shared" ca="1" si="0"/>
        <v>43915</v>
      </c>
      <c r="AQ23" s="11">
        <f ca="1">IFERROR(__xludf.DUMMYFUNCTION("""COMPUTED_VALUE"""),43915)</f>
        <v>43915</v>
      </c>
      <c r="AR23" s="11">
        <v>44783</v>
      </c>
      <c r="AS23" s="11">
        <f t="shared" si="1"/>
        <v>44783</v>
      </c>
      <c r="AT23" s="11">
        <f ca="1">IFERROR(__xludf.DUMMYFUNCTION("""COMPUTED_VALUE"""),44776)</f>
        <v>44776</v>
      </c>
    </row>
    <row r="24" spans="1:46" ht="15.75" customHeight="1">
      <c r="A24" s="11">
        <v>44769</v>
      </c>
      <c r="B24">
        <f>IFERROR(VLOOKUP($A24,koronahun!$A:$AM,2,FALSE),"")</f>
        <v>1965481</v>
      </c>
      <c r="C24">
        <f>IFERROR(VLOOKUP($A24,koronahun!$A:$AM,3,FALSE),"")</f>
        <v>14402</v>
      </c>
      <c r="D24">
        <f>IFERROR(VLOOKUP($A24,koronahun!$A:$AM,4,FALSE),"")</f>
        <v>46790</v>
      </c>
      <c r="E24">
        <f>IFERROR(VLOOKUP($A24,koronahun!$A:$AM,5,FALSE),"")</f>
        <v>1890181</v>
      </c>
      <c r="F24">
        <f>IFERROR(VLOOKUP($A24,koronahun!$A:$AM,6,FALSE),"")</f>
        <v>11394556</v>
      </c>
      <c r="G24" s="12">
        <f>IFERROR(VLOOKUP($A24,koronahun!$A:$AM,7,FALSE),"")</f>
        <v>1162709.7959183673</v>
      </c>
      <c r="H24">
        <f>IFERROR(VLOOKUP($A24,koronahun!$A:$AM,8,FALSE),"")</f>
        <v>0</v>
      </c>
      <c r="I24" s="13">
        <f>IFERROR(VLOOKUP($A24,koronahun!$A:$AM,9,FALSE),"")</f>
        <v>7.3815565643420896E-3</v>
      </c>
      <c r="J24" s="13">
        <f>IFERROR(VLOOKUP($A24,koronahun!$A:$AM,10,FALSE),"")</f>
        <v>0.172492987001863</v>
      </c>
      <c r="K24" s="13">
        <f>IFERROR(VLOOKUP($A24,koronahun!$A:$AM,11,FALSE),"")</f>
        <v>0</v>
      </c>
      <c r="L24">
        <f>IFERROR(VLOOKUP($A24,koronahun!$A:$AM,12,FALSE),"")</f>
        <v>28510</v>
      </c>
      <c r="M24" s="13">
        <f>IFERROR(VLOOKUP($A24,koronahun!$A:$AM,13,FALSE),"")</f>
        <v>2.3805877543461373E-2</v>
      </c>
      <c r="N24" s="13">
        <f>IFERROR(VLOOKUP($A24,koronahun!$A:$AM,14,FALSE),"")</f>
        <v>0.96168876727884933</v>
      </c>
      <c r="O24">
        <f>IFERROR(VLOOKUP($A24,koronahun!$A:$AM,15,FALSE),"")</f>
        <v>1757</v>
      </c>
      <c r="P24">
        <f>IFERROR(VLOOKUP($A24,koronahun!$A:$AM,16,FALSE),"")</f>
        <v>0</v>
      </c>
      <c r="Q24" s="13">
        <f>IFERROR(VLOOKUP($A24,koronahun!$A:$AM,17,FALSE),"")</f>
        <v>0</v>
      </c>
      <c r="R24">
        <f>IFERROR(VLOOKUP($A24,koronahun!$A:$AM,18,FALSE),"")</f>
        <v>54</v>
      </c>
      <c r="S24">
        <f>IFERROR(VLOOKUP($A24,koronahun!$A:$AM,19,FALSE),"")</f>
        <v>7096</v>
      </c>
      <c r="T24">
        <f>IFERROR(VLOOKUP($A24,koronahun!$A:$AM,20,FALSE),"")</f>
        <v>866</v>
      </c>
      <c r="U24">
        <f>IFERROR(VLOOKUP($A24,koronahun!$A:$AM,21,FALSE),"")</f>
        <v>17</v>
      </c>
      <c r="V24" s="13">
        <f>IFERROR(VLOOKUP($A24,koronahun!$A:$AM,22,FALSE),"")</f>
        <v>1.450535517768933E-2</v>
      </c>
      <c r="W24">
        <f>IFERROR(VLOOKUP($A24,koronahun!$A:$AM,23,FALSE),"")</f>
        <v>1345</v>
      </c>
      <c r="X24">
        <f>IFERROR(VLOOKUP($A24,koronahun!$A:$AM,24,FALSE),"")</f>
        <v>19</v>
      </c>
      <c r="Y24" s="14">
        <f>IFERROR(VLOOKUP($A24,koronahun!$A:$AM,25,FALSE),"")</f>
        <v>3.0375306909856192E-2</v>
      </c>
      <c r="Z24" s="14">
        <f>IFERROR(VLOOKUP($A24,koronahun!$A:$AM,26,FALSE),"")</f>
        <v>1.9630484988452657E-2</v>
      </c>
      <c r="AA24" s="14">
        <f>IFERROR(VLOOKUP($A24,koronahun!$A:$AM,27,FALSE),"")</f>
        <v>1.4043881033642125</v>
      </c>
      <c r="AB24" s="14">
        <f>IFERROR(VLOOKUP($A24,koronahun!$A:$AM,28,FALSE),"")</f>
        <v>0</v>
      </c>
      <c r="AC24" s="14">
        <f>IFERROR(VLOOKUP($A24,koronahun!$A:$AM,29,FALSE),"")</f>
        <v>2057.4285714285716</v>
      </c>
      <c r="AD24" s="14">
        <f>IFERROR(VLOOKUP($A24,koronahun!$A:$AM,30,FALSE),"")</f>
        <v>7.7142857142857144</v>
      </c>
      <c r="AE24" s="14">
        <f>IFERROR(VLOOKUP($A24,koronahun!$A:$AM,31,FALSE),"")</f>
        <v>0</v>
      </c>
      <c r="AF24" s="13">
        <f>IFERROR(VLOOKUP($A24,koronahun!$A:$AM,32,FALSE),"")</f>
        <v>0</v>
      </c>
      <c r="AG24">
        <f>IFERROR(VLOOKUP($A24,koronahun!$A:$AM,33,FALSE),"")</f>
        <v>6413420</v>
      </c>
      <c r="AH24">
        <f>IFERROR(VLOOKUP($A24,koronahun!$A:$AM,34,FALSE),"")</f>
        <v>577</v>
      </c>
      <c r="AI24">
        <f>IFERROR(VLOOKUP($A24,koronahun!$A:$AM,35,FALSE),"")</f>
        <v>82.428571428571431</v>
      </c>
      <c r="AJ24">
        <f>IFERROR(VLOOKUP($A24,koronahun!$A:$AM,36,FALSE),"")</f>
        <v>6200225</v>
      </c>
      <c r="AK24">
        <f>IFERROR(VLOOKUP($A24,koronahun!$A:$AM,37,FALSE),"")</f>
        <v>380</v>
      </c>
      <c r="AL24">
        <f>IFERROR(VLOOKUP($A24,koronahun!$A:$AM,38,FALSE),"")</f>
        <v>54.285714285714285</v>
      </c>
      <c r="AM24" s="14">
        <f>IFERROR(VLOOKUP($A24,koronahun!$A:$AM,39,FALSE),"")</f>
        <v>1013.7142857142857</v>
      </c>
      <c r="AN24" s="11">
        <f ca="1">IFERROR(__xludf.DUMMYFUNCTION("""COMPUTED_VALUE"""),43916)</f>
        <v>43916</v>
      </c>
      <c r="AO24" s="12">
        <f ca="1">IFERROR(VLOOKUP(AN24,koronahun!A:B,2,FALSE),"")</f>
        <v>261</v>
      </c>
      <c r="AP24" s="11">
        <f t="shared" ca="1" si="0"/>
        <v>43916</v>
      </c>
      <c r="AQ24" s="11">
        <f ca="1">IFERROR(__xludf.DUMMYFUNCTION("""COMPUTED_VALUE"""),43916)</f>
        <v>43916</v>
      </c>
      <c r="AR24" s="11">
        <v>44776</v>
      </c>
      <c r="AS24" s="11">
        <f t="shared" si="1"/>
        <v>44776</v>
      </c>
      <c r="AT24" s="11">
        <f ca="1">IFERROR(__xludf.DUMMYFUNCTION("""COMPUTED_VALUE"""),44769)</f>
        <v>44769</v>
      </c>
    </row>
    <row r="25" spans="1:46" ht="15.75" customHeight="1">
      <c r="A25" s="11">
        <v>44762</v>
      </c>
      <c r="B25">
        <f>IFERROR(VLOOKUP($A25,koronahun!$A:$AM,2,FALSE),"")</f>
        <v>1951079</v>
      </c>
      <c r="C25">
        <f>IFERROR(VLOOKUP($A25,koronahun!$A:$AM,3,FALSE),"")</f>
        <v>10255</v>
      </c>
      <c r="D25">
        <f>IFERROR(VLOOKUP($A25,koronahun!$A:$AM,4,FALSE),"")</f>
        <v>46736</v>
      </c>
      <c r="E25">
        <f>IFERROR(VLOOKUP($A25,koronahun!$A:$AM,5,FALSE),"")</f>
        <v>1883085</v>
      </c>
      <c r="F25">
        <f>IFERROR(VLOOKUP($A25,koronahun!$A:$AM,6,FALSE),"")</f>
        <v>11394556</v>
      </c>
      <c r="G25" s="12">
        <f>IFERROR(VLOOKUP($A25,koronahun!$A:$AM,7,FALSE),"")</f>
        <v>1162709.7959183673</v>
      </c>
      <c r="H25">
        <f>IFERROR(VLOOKUP($A25,koronahun!$A:$AM,8,FALSE),"")</f>
        <v>0</v>
      </c>
      <c r="I25" s="13">
        <f>IFERROR(VLOOKUP($A25,koronahun!$A:$AM,9,FALSE),"")</f>
        <v>5.2838382048037329E-3</v>
      </c>
      <c r="J25" s="13">
        <f>IFERROR(VLOOKUP($A25,koronahun!$A:$AM,10,FALSE),"")</f>
        <v>0.17122905008321518</v>
      </c>
      <c r="K25" s="13">
        <f>IFERROR(VLOOKUP($A25,koronahun!$A:$AM,11,FALSE),"")</f>
        <v>0</v>
      </c>
      <c r="L25">
        <f>IFERROR(VLOOKUP($A25,koronahun!$A:$AM,12,FALSE),"")</f>
        <v>21258</v>
      </c>
      <c r="M25" s="13">
        <f>IFERROR(VLOOKUP($A25,koronahun!$A:$AM,13,FALSE),"")</f>
        <v>2.3953924982022767E-2</v>
      </c>
      <c r="N25" s="13">
        <f>IFERROR(VLOOKUP($A25,koronahun!$A:$AM,14,FALSE),"")</f>
        <v>0.96515056540509125</v>
      </c>
      <c r="O25">
        <f>IFERROR(VLOOKUP($A25,koronahun!$A:$AM,15,FALSE),"")</f>
        <v>1083</v>
      </c>
      <c r="P25">
        <f>IFERROR(VLOOKUP($A25,koronahun!$A:$AM,16,FALSE),"")</f>
        <v>0</v>
      </c>
      <c r="Q25" s="13">
        <f>IFERROR(VLOOKUP($A25,koronahun!$A:$AM,17,FALSE),"")</f>
        <v>0</v>
      </c>
      <c r="R25">
        <f>IFERROR(VLOOKUP($A25,koronahun!$A:$AM,18,FALSE),"")</f>
        <v>40</v>
      </c>
      <c r="S25">
        <f>IFERROR(VLOOKUP($A25,koronahun!$A:$AM,19,FALSE),"")</f>
        <v>4864</v>
      </c>
      <c r="T25">
        <f>IFERROR(VLOOKUP($A25,koronahun!$A:$AM,20,FALSE),"")</f>
        <v>866</v>
      </c>
      <c r="U25">
        <f>IFERROR(VLOOKUP($A25,koronahun!$A:$AM,21,FALSE),"")</f>
        <v>17</v>
      </c>
      <c r="V25" s="13">
        <f>IFERROR(VLOOKUP($A25,koronahun!$A:$AM,22,FALSE),"")</f>
        <v>1.0895509612885998E-2</v>
      </c>
      <c r="W25">
        <f>IFERROR(VLOOKUP($A25,koronahun!$A:$AM,23,FALSE),"")</f>
        <v>238</v>
      </c>
      <c r="X25">
        <f>IFERROR(VLOOKUP($A25,koronahun!$A:$AM,24,FALSE),"")</f>
        <v>1</v>
      </c>
      <c r="Y25" s="14">
        <f>IFERROR(VLOOKUP($A25,koronahun!$A:$AM,25,FALSE),"")</f>
        <v>4.0737604666478501E-2</v>
      </c>
      <c r="Z25" s="14">
        <f>IFERROR(VLOOKUP($A25,koronahun!$A:$AM,26,FALSE),"")</f>
        <v>1.9630484988452657E-2</v>
      </c>
      <c r="AA25" s="14">
        <f>IFERROR(VLOOKUP($A25,koronahun!$A:$AM,27,FALSE),"")</f>
        <v>1.2761324041811846</v>
      </c>
      <c r="AB25" s="14">
        <f>IFERROR(VLOOKUP($A25,koronahun!$A:$AM,28,FALSE),"")</f>
        <v>0</v>
      </c>
      <c r="AC25" s="14">
        <f>IFERROR(VLOOKUP($A25,koronahun!$A:$AM,29,FALSE),"")</f>
        <v>1465</v>
      </c>
      <c r="AD25" s="14">
        <f>IFERROR(VLOOKUP($A25,koronahun!$A:$AM,30,FALSE),"")</f>
        <v>5.7142857142857144</v>
      </c>
      <c r="AE25" s="14">
        <f>IFERROR(VLOOKUP($A25,koronahun!$A:$AM,31,FALSE),"")</f>
        <v>0</v>
      </c>
      <c r="AF25" s="13">
        <f>IFERROR(VLOOKUP($A25,koronahun!$A:$AM,32,FALSE),"")</f>
        <v>0</v>
      </c>
      <c r="AG25">
        <f>IFERROR(VLOOKUP($A25,koronahun!$A:$AM,33,FALSE),"")</f>
        <v>6412843</v>
      </c>
      <c r="AH25">
        <f>IFERROR(VLOOKUP($A25,koronahun!$A:$AM,34,FALSE),"")</f>
        <v>457</v>
      </c>
      <c r="AI25">
        <f>IFERROR(VLOOKUP($A25,koronahun!$A:$AM,35,FALSE),"")</f>
        <v>65.285714285714292</v>
      </c>
      <c r="AJ25">
        <f>IFERROR(VLOOKUP($A25,koronahun!$A:$AM,36,FALSE),"")</f>
        <v>6199845</v>
      </c>
      <c r="AK25">
        <f>IFERROR(VLOOKUP($A25,koronahun!$A:$AM,37,FALSE),"")</f>
        <v>414</v>
      </c>
      <c r="AL25">
        <f>IFERROR(VLOOKUP($A25,koronahun!$A:$AM,38,FALSE),"")</f>
        <v>59.142857142857146</v>
      </c>
      <c r="AM25" s="14">
        <f>IFERROR(VLOOKUP($A25,koronahun!$A:$AM,39,FALSE),"")</f>
        <v>694.85714285714289</v>
      </c>
      <c r="AN25" s="11">
        <f ca="1">IFERROR(__xludf.DUMMYFUNCTION("""COMPUTED_VALUE"""),43917)</f>
        <v>43917</v>
      </c>
      <c r="AO25" s="12">
        <f ca="1">IFERROR(VLOOKUP(AN25,koronahun!A:B,2,FALSE),"")</f>
        <v>300</v>
      </c>
      <c r="AP25" s="11">
        <f t="shared" ca="1" si="0"/>
        <v>43917</v>
      </c>
      <c r="AQ25" s="11">
        <f ca="1">IFERROR(__xludf.DUMMYFUNCTION("""COMPUTED_VALUE"""),43917)</f>
        <v>43917</v>
      </c>
      <c r="AR25" s="11">
        <v>44769</v>
      </c>
      <c r="AS25" s="11">
        <f t="shared" si="1"/>
        <v>44769</v>
      </c>
      <c r="AT25" s="11">
        <f ca="1">IFERROR(__xludf.DUMMYFUNCTION("""COMPUTED_VALUE"""),44762)</f>
        <v>44762</v>
      </c>
    </row>
    <row r="26" spans="1:46" ht="15.75" customHeight="1">
      <c r="A26" s="11">
        <v>44755</v>
      </c>
      <c r="B26">
        <f>IFERROR(VLOOKUP($A26,koronahun!$A:$AM,2,FALSE),"")</f>
        <v>1940824</v>
      </c>
      <c r="C26">
        <f>IFERROR(VLOOKUP($A26,koronahun!$A:$AM,3,FALSE),"")</f>
        <v>8036</v>
      </c>
      <c r="D26">
        <f>IFERROR(VLOOKUP($A26,koronahun!$A:$AM,4,FALSE),"")</f>
        <v>46696</v>
      </c>
      <c r="E26">
        <f>IFERROR(VLOOKUP($A26,koronahun!$A:$AM,5,FALSE),"")</f>
        <v>1878221</v>
      </c>
      <c r="F26">
        <f>IFERROR(VLOOKUP($A26,koronahun!$A:$AM,6,FALSE),"")</f>
        <v>11394556</v>
      </c>
      <c r="G26" s="12">
        <f>IFERROR(VLOOKUP($A26,koronahun!$A:$AM,7,FALSE),"")</f>
        <v>1162709.7959183673</v>
      </c>
      <c r="H26">
        <f>IFERROR(VLOOKUP($A26,koronahun!$A:$AM,8,FALSE),"")</f>
        <v>0</v>
      </c>
      <c r="I26" s="13">
        <f>IFERROR(VLOOKUP($A26,koronahun!$A:$AM,9,FALSE),"")</f>
        <v>4.1577244891835008E-3</v>
      </c>
      <c r="J26" s="13">
        <f>IFERROR(VLOOKUP($A26,koronahun!$A:$AM,10,FALSE),"")</f>
        <v>0.17032905889444047</v>
      </c>
      <c r="K26" s="13">
        <f>IFERROR(VLOOKUP($A26,koronahun!$A:$AM,11,FALSE),"")</f>
        <v>0</v>
      </c>
      <c r="L26">
        <f>IFERROR(VLOOKUP($A26,koronahun!$A:$AM,12,FALSE),"")</f>
        <v>15907</v>
      </c>
      <c r="M26" s="13">
        <f>IFERROR(VLOOKUP($A26,koronahun!$A:$AM,13,FALSE),"")</f>
        <v>2.4059883843151157E-2</v>
      </c>
      <c r="N26" s="13">
        <f>IFERROR(VLOOKUP($A26,koronahun!$A:$AM,14,FALSE),"")</f>
        <v>0.96774411280981687</v>
      </c>
      <c r="O26">
        <f>IFERROR(VLOOKUP($A26,koronahun!$A:$AM,15,FALSE),"")</f>
        <v>727</v>
      </c>
      <c r="P26">
        <f>IFERROR(VLOOKUP($A26,koronahun!$A:$AM,16,FALSE),"")</f>
        <v>0</v>
      </c>
      <c r="Q26" s="13">
        <f>IFERROR(VLOOKUP($A26,koronahun!$A:$AM,17,FALSE),"")</f>
        <v>0</v>
      </c>
      <c r="R26">
        <f>IFERROR(VLOOKUP($A26,koronahun!$A:$AM,18,FALSE),"")</f>
        <v>35</v>
      </c>
      <c r="S26">
        <f>IFERROR(VLOOKUP($A26,koronahun!$A:$AM,19,FALSE),"")</f>
        <v>3289</v>
      </c>
      <c r="T26">
        <f>IFERROR(VLOOKUP($A26,koronahun!$A:$AM,20,FALSE),"")</f>
        <v>628</v>
      </c>
      <c r="U26">
        <f>IFERROR(VLOOKUP($A26,koronahun!$A:$AM,21,FALSE),"")</f>
        <v>16</v>
      </c>
      <c r="V26" s="13">
        <f>IFERROR(VLOOKUP($A26,koronahun!$A:$AM,22,FALSE),"")</f>
        <v>8.1960033470319816E-3</v>
      </c>
      <c r="W26">
        <f>IFERROR(VLOOKUP($A26,koronahun!$A:$AM,23,FALSE),"")</f>
        <v>140</v>
      </c>
      <c r="X26">
        <f>IFERROR(VLOOKUP($A26,koronahun!$A:$AM,24,FALSE),"")</f>
        <v>6</v>
      </c>
      <c r="Y26" s="14">
        <f>IFERROR(VLOOKUP($A26,koronahun!$A:$AM,25,FALSE),"")</f>
        <v>3.9479474445212798E-2</v>
      </c>
      <c r="Z26" s="14">
        <f>IFERROR(VLOOKUP($A26,koronahun!$A:$AM,26,FALSE),"")</f>
        <v>2.5477707006369428E-2</v>
      </c>
      <c r="AA26" s="14">
        <f>IFERROR(VLOOKUP($A26,koronahun!$A:$AM,27,FALSE),"")</f>
        <v>1.7233540639073557</v>
      </c>
      <c r="AB26" s="14">
        <f>IFERROR(VLOOKUP($A26,koronahun!$A:$AM,28,FALSE),"")</f>
        <v>0</v>
      </c>
      <c r="AC26" s="14">
        <f>IFERROR(VLOOKUP($A26,koronahun!$A:$AM,29,FALSE),"")</f>
        <v>1148</v>
      </c>
      <c r="AD26" s="14">
        <f>IFERROR(VLOOKUP($A26,koronahun!$A:$AM,30,FALSE),"")</f>
        <v>5</v>
      </c>
      <c r="AE26" s="14">
        <f>IFERROR(VLOOKUP($A26,koronahun!$A:$AM,31,FALSE),"")</f>
        <v>0</v>
      </c>
      <c r="AF26" s="13">
        <f>IFERROR(VLOOKUP($A26,koronahun!$A:$AM,32,FALSE),"")</f>
        <v>0</v>
      </c>
      <c r="AG26">
        <f>IFERROR(VLOOKUP($A26,koronahun!$A:$AM,33,FALSE),"")</f>
        <v>6412386</v>
      </c>
      <c r="AH26">
        <f>IFERROR(VLOOKUP($A26,koronahun!$A:$AM,34,FALSE),"")</f>
        <v>389</v>
      </c>
      <c r="AI26">
        <f>IFERROR(VLOOKUP($A26,koronahun!$A:$AM,35,FALSE),"")</f>
        <v>55.571428571428569</v>
      </c>
      <c r="AJ26">
        <f>IFERROR(VLOOKUP($A26,koronahun!$A:$AM,36,FALSE),"")</f>
        <v>6199431</v>
      </c>
      <c r="AK26">
        <f>IFERROR(VLOOKUP($A26,koronahun!$A:$AM,37,FALSE),"")</f>
        <v>393</v>
      </c>
      <c r="AL26">
        <f>IFERROR(VLOOKUP($A26,koronahun!$A:$AM,38,FALSE),"")</f>
        <v>56.142857142857146</v>
      </c>
      <c r="AM26" s="14">
        <f>IFERROR(VLOOKUP($A26,koronahun!$A:$AM,39,FALSE),"")</f>
        <v>469.85714285714283</v>
      </c>
      <c r="AN26" s="11">
        <f ca="1">IFERROR(__xludf.DUMMYFUNCTION("""COMPUTED_VALUE"""),43918)</f>
        <v>43918</v>
      </c>
      <c r="AO26" s="12">
        <f ca="1">IFERROR(VLOOKUP(AN26,koronahun!A:B,2,FALSE),"")</f>
        <v>343</v>
      </c>
      <c r="AP26" s="11">
        <f t="shared" ca="1" si="0"/>
        <v>43918</v>
      </c>
      <c r="AQ26" s="11">
        <f ca="1">IFERROR(__xludf.DUMMYFUNCTION("""COMPUTED_VALUE"""),43918)</f>
        <v>43918</v>
      </c>
      <c r="AR26" s="11">
        <v>44762</v>
      </c>
      <c r="AS26" s="11">
        <f t="shared" si="1"/>
        <v>44762</v>
      </c>
      <c r="AT26" s="11">
        <f ca="1">IFERROR(__xludf.DUMMYFUNCTION("""COMPUTED_VALUE"""),44755)</f>
        <v>44755</v>
      </c>
    </row>
    <row r="27" spans="1:46" ht="15.75" customHeight="1">
      <c r="A27" s="11">
        <v>44748</v>
      </c>
      <c r="B27">
        <f>IFERROR(VLOOKUP($A27,koronahun!$A:$AM,2,FALSE),"")</f>
        <v>1932788</v>
      </c>
      <c r="C27">
        <f>IFERROR(VLOOKUP($A27,koronahun!$A:$AM,3,FALSE),"")</f>
        <v>4663</v>
      </c>
      <c r="D27">
        <f>IFERROR(VLOOKUP($A27,koronahun!$A:$AM,4,FALSE),"")</f>
        <v>46661</v>
      </c>
      <c r="E27">
        <f>IFERROR(VLOOKUP($A27,koronahun!$A:$AM,5,FALSE),"")</f>
        <v>1874932</v>
      </c>
      <c r="F27">
        <f>IFERROR(VLOOKUP($A27,koronahun!$A:$AM,6,FALSE),"")</f>
        <v>11394556</v>
      </c>
      <c r="G27" s="12">
        <f>IFERROR(VLOOKUP($A27,koronahun!$A:$AM,7,FALSE),"")</f>
        <v>1162709.7959183673</v>
      </c>
      <c r="H27">
        <f>IFERROR(VLOOKUP($A27,koronahun!$A:$AM,8,FALSE),"")</f>
        <v>0</v>
      </c>
      <c r="I27" s="13">
        <f>IFERROR(VLOOKUP($A27,koronahun!$A:$AM,9,FALSE),"")</f>
        <v>2.4184116693679093E-3</v>
      </c>
      <c r="J27" s="13">
        <f>IFERROR(VLOOKUP($A27,koronahun!$A:$AM,10,FALSE),"")</f>
        <v>0.16962380982637673</v>
      </c>
      <c r="K27" s="13">
        <f>IFERROR(VLOOKUP($A27,koronahun!$A:$AM,11,FALSE),"")</f>
        <v>0</v>
      </c>
      <c r="L27">
        <f>IFERROR(VLOOKUP($A27,koronahun!$A:$AM,12,FALSE),"")</f>
        <v>11195</v>
      </c>
      <c r="M27" s="13">
        <f>IFERROR(VLOOKUP($A27,koronahun!$A:$AM,13,FALSE),"")</f>
        <v>2.4141809655275178E-2</v>
      </c>
      <c r="N27" s="13">
        <f>IFERROR(VLOOKUP($A27,koronahun!$A:$AM,14,FALSE),"")</f>
        <v>0.97006603931729707</v>
      </c>
      <c r="O27">
        <f>IFERROR(VLOOKUP($A27,koronahun!$A:$AM,15,FALSE),"")</f>
        <v>428</v>
      </c>
      <c r="P27">
        <f>IFERROR(VLOOKUP($A27,koronahun!$A:$AM,16,FALSE),"")</f>
        <v>0</v>
      </c>
      <c r="Q27" s="13">
        <f>IFERROR(VLOOKUP($A27,koronahun!$A:$AM,17,FALSE),"")</f>
        <v>0</v>
      </c>
      <c r="R27">
        <f>IFERROR(VLOOKUP($A27,koronahun!$A:$AM,18,FALSE),"")</f>
        <v>14</v>
      </c>
      <c r="S27">
        <f>IFERROR(VLOOKUP($A27,koronahun!$A:$AM,19,FALSE),"")</f>
        <v>3002</v>
      </c>
      <c r="T27">
        <f>IFERROR(VLOOKUP($A27,koronahun!$A:$AM,20,FALSE),"")</f>
        <v>488</v>
      </c>
      <c r="U27">
        <f>IFERROR(VLOOKUP($A27,koronahun!$A:$AM,21,FALSE),"")</f>
        <v>10</v>
      </c>
      <c r="V27" s="13">
        <f>IFERROR(VLOOKUP($A27,koronahun!$A:$AM,22,FALSE),"")</f>
        <v>5.7921510274277369E-3</v>
      </c>
      <c r="W27">
        <f>IFERROR(VLOOKUP($A27,koronahun!$A:$AM,23,FALSE),"")</f>
        <v>255</v>
      </c>
      <c r="X27">
        <f>IFERROR(VLOOKUP($A27,koronahun!$A:$AM,24,FALSE),"")</f>
        <v>5</v>
      </c>
      <c r="Y27" s="14">
        <f>IFERROR(VLOOKUP($A27,koronahun!$A:$AM,25,FALSE),"")</f>
        <v>4.3590888789638231E-2</v>
      </c>
      <c r="Z27" s="14">
        <f>IFERROR(VLOOKUP($A27,koronahun!$A:$AM,26,FALSE),"")</f>
        <v>2.0491803278688523E-2</v>
      </c>
      <c r="AA27" s="14">
        <f>IFERROR(VLOOKUP($A27,koronahun!$A:$AM,27,FALSE),"")</f>
        <v>1.5328731097961867</v>
      </c>
      <c r="AB27" s="14">
        <f>IFERROR(VLOOKUP($A27,koronahun!$A:$AM,28,FALSE),"")</f>
        <v>0</v>
      </c>
      <c r="AC27" s="14">
        <f>IFERROR(VLOOKUP($A27,koronahun!$A:$AM,29,FALSE),"")</f>
        <v>666.14285714285711</v>
      </c>
      <c r="AD27" s="14">
        <f>IFERROR(VLOOKUP($A27,koronahun!$A:$AM,30,FALSE),"")</f>
        <v>2</v>
      </c>
      <c r="AE27" s="14">
        <f>IFERROR(VLOOKUP($A27,koronahun!$A:$AM,31,FALSE),"")</f>
        <v>0</v>
      </c>
      <c r="AF27" s="13">
        <f>IFERROR(VLOOKUP($A27,koronahun!$A:$AM,32,FALSE),"")</f>
        <v>0</v>
      </c>
      <c r="AG27">
        <f>IFERROR(VLOOKUP($A27,koronahun!$A:$AM,33,FALSE),"")</f>
        <v>6411997</v>
      </c>
      <c r="AH27">
        <f>IFERROR(VLOOKUP($A27,koronahun!$A:$AM,34,FALSE),"")</f>
        <v>193</v>
      </c>
      <c r="AI27">
        <f>IFERROR(VLOOKUP($A27,koronahun!$A:$AM,35,FALSE),"")</f>
        <v>27.571428571428573</v>
      </c>
      <c r="AJ27">
        <f>IFERROR(VLOOKUP($A27,koronahun!$A:$AM,36,FALSE),"")</f>
        <v>6199038</v>
      </c>
      <c r="AK27">
        <f>IFERROR(VLOOKUP($A27,koronahun!$A:$AM,37,FALSE),"")</f>
        <v>240</v>
      </c>
      <c r="AL27">
        <f>IFERROR(VLOOKUP($A27,koronahun!$A:$AM,38,FALSE),"")</f>
        <v>34.285714285714285</v>
      </c>
      <c r="AM27" s="14">
        <f>IFERROR(VLOOKUP($A27,koronahun!$A:$AM,39,FALSE),"")</f>
        <v>428.85714285714283</v>
      </c>
      <c r="AN27" s="11">
        <f ca="1">IFERROR(__xludf.DUMMYFUNCTION("""COMPUTED_VALUE"""),43919)</f>
        <v>43919</v>
      </c>
      <c r="AO27" s="12">
        <f ca="1">IFERROR(VLOOKUP(AN27,koronahun!A:B,2,FALSE),"")</f>
        <v>408</v>
      </c>
      <c r="AP27" s="11">
        <f t="shared" ca="1" si="0"/>
        <v>43919</v>
      </c>
      <c r="AQ27" s="11">
        <f ca="1">IFERROR(__xludf.DUMMYFUNCTION("""COMPUTED_VALUE"""),43919)</f>
        <v>43919</v>
      </c>
      <c r="AR27" s="11">
        <v>44755</v>
      </c>
      <c r="AS27" s="11">
        <f t="shared" si="1"/>
        <v>44755</v>
      </c>
      <c r="AT27" s="11">
        <f ca="1">IFERROR(__xludf.DUMMYFUNCTION("""COMPUTED_VALUE"""),44748)</f>
        <v>44748</v>
      </c>
    </row>
    <row r="28" spans="1:46" ht="15.75" customHeight="1">
      <c r="A28" s="11">
        <v>44741</v>
      </c>
      <c r="B28">
        <f>IFERROR(VLOOKUP($A28,koronahun!$A:$AM,2,FALSE),"")</f>
        <v>1928125</v>
      </c>
      <c r="C28">
        <f>IFERROR(VLOOKUP($A28,koronahun!$A:$AM,3,FALSE),"")</f>
        <v>3042</v>
      </c>
      <c r="D28">
        <f>IFERROR(VLOOKUP($A28,koronahun!$A:$AM,4,FALSE),"")</f>
        <v>46647</v>
      </c>
      <c r="E28">
        <f>IFERROR(VLOOKUP($A28,koronahun!$A:$AM,5,FALSE),"")</f>
        <v>1871930</v>
      </c>
      <c r="F28">
        <f>IFERROR(VLOOKUP($A28,koronahun!$A:$AM,6,FALSE),"")</f>
        <v>11394556</v>
      </c>
      <c r="G28" s="12">
        <f>IFERROR(VLOOKUP($A28,koronahun!$A:$AM,7,FALSE),"")</f>
        <v>1162709.7959183673</v>
      </c>
      <c r="H28">
        <f>IFERROR(VLOOKUP($A28,koronahun!$A:$AM,8,FALSE),"")</f>
        <v>0</v>
      </c>
      <c r="I28" s="13">
        <f>IFERROR(VLOOKUP($A28,koronahun!$A:$AM,9,FALSE),"")</f>
        <v>1.580191607322905E-3</v>
      </c>
      <c r="J28" s="13">
        <f>IFERROR(VLOOKUP($A28,koronahun!$A:$AM,10,FALSE),"")</f>
        <v>0.16921457931313866</v>
      </c>
      <c r="K28" s="13">
        <f>IFERROR(VLOOKUP($A28,koronahun!$A:$AM,11,FALSE),"")</f>
        <v>0</v>
      </c>
      <c r="L28">
        <f>IFERROR(VLOOKUP($A28,koronahun!$A:$AM,12,FALSE),"")</f>
        <v>9548</v>
      </c>
      <c r="M28" s="13">
        <f>IFERROR(VLOOKUP($A28,koronahun!$A:$AM,13,FALSE),"")</f>
        <v>2.4192933549432739E-2</v>
      </c>
      <c r="N28" s="13">
        <f>IFERROR(VLOOKUP($A28,koronahun!$A:$AM,14,FALSE),"")</f>
        <v>0.97085510534846031</v>
      </c>
      <c r="O28">
        <f>IFERROR(VLOOKUP($A28,koronahun!$A:$AM,15,FALSE),"")</f>
        <v>208</v>
      </c>
      <c r="P28">
        <f>IFERROR(VLOOKUP($A28,koronahun!$A:$AM,16,FALSE),"")</f>
        <v>0</v>
      </c>
      <c r="Q28" s="13">
        <f>IFERROR(VLOOKUP($A28,koronahun!$A:$AM,17,FALSE),"")</f>
        <v>0</v>
      </c>
      <c r="R28">
        <f>IFERROR(VLOOKUP($A28,koronahun!$A:$AM,18,FALSE),"")</f>
        <v>21</v>
      </c>
      <c r="S28">
        <f>IFERROR(VLOOKUP($A28,koronahun!$A:$AM,19,FALSE),"")</f>
        <v>2686</v>
      </c>
      <c r="T28">
        <f>IFERROR(VLOOKUP($A28,koronahun!$A:$AM,20,FALSE),"")</f>
        <v>233</v>
      </c>
      <c r="U28">
        <f>IFERROR(VLOOKUP($A28,koronahun!$A:$AM,21,FALSE),"")</f>
        <v>5</v>
      </c>
      <c r="V28" s="13">
        <f>IFERROR(VLOOKUP($A28,koronahun!$A:$AM,22,FALSE),"")</f>
        <v>4.9519611021069691E-3</v>
      </c>
      <c r="W28">
        <f>IFERROR(VLOOKUP($A28,koronahun!$A:$AM,23,FALSE),"")</f>
        <v>36</v>
      </c>
      <c r="X28">
        <f>IFERROR(VLOOKUP($A28,koronahun!$A:$AM,24,FALSE),"")</f>
        <v>-1</v>
      </c>
      <c r="Y28" s="14">
        <f>IFERROR(VLOOKUP($A28,koronahun!$A:$AM,25,FALSE),"")</f>
        <v>2.440301633850021E-2</v>
      </c>
      <c r="Z28" s="14">
        <f>IFERROR(VLOOKUP($A28,koronahun!$A:$AM,26,FALSE),"")</f>
        <v>2.1459227467811159E-2</v>
      </c>
      <c r="AA28" s="14">
        <f>IFERROR(VLOOKUP($A28,koronahun!$A:$AM,27,FALSE),"")</f>
        <v>1.5512493625701174</v>
      </c>
      <c r="AB28" s="14">
        <f>IFERROR(VLOOKUP($A28,koronahun!$A:$AM,28,FALSE),"")</f>
        <v>0</v>
      </c>
      <c r="AC28" s="14">
        <f>IFERROR(VLOOKUP($A28,koronahun!$A:$AM,29,FALSE),"")</f>
        <v>434.57142857142856</v>
      </c>
      <c r="AD28" s="14">
        <f>IFERROR(VLOOKUP($A28,koronahun!$A:$AM,30,FALSE),"")</f>
        <v>3</v>
      </c>
      <c r="AE28" s="14">
        <f>IFERROR(VLOOKUP($A28,koronahun!$A:$AM,31,FALSE),"")</f>
        <v>0</v>
      </c>
      <c r="AF28" s="13">
        <f>IFERROR(VLOOKUP($A28,koronahun!$A:$AM,32,FALSE),"")</f>
        <v>0</v>
      </c>
      <c r="AG28">
        <f>IFERROR(VLOOKUP($A28,koronahun!$A:$AM,33,FALSE),"")</f>
        <v>6411804</v>
      </c>
      <c r="AH28">
        <f>IFERROR(VLOOKUP($A28,koronahun!$A:$AM,34,FALSE),"")</f>
        <v>420</v>
      </c>
      <c r="AI28">
        <f>IFERROR(VLOOKUP($A28,koronahun!$A:$AM,35,FALSE),"")</f>
        <v>60</v>
      </c>
      <c r="AJ28">
        <f>IFERROR(VLOOKUP($A28,koronahun!$A:$AM,36,FALSE),"")</f>
        <v>6198798</v>
      </c>
      <c r="AK28">
        <f>IFERROR(VLOOKUP($A28,koronahun!$A:$AM,37,FALSE),"")</f>
        <v>480</v>
      </c>
      <c r="AL28">
        <f>IFERROR(VLOOKUP($A28,koronahun!$A:$AM,38,FALSE),"")</f>
        <v>68.571428571428569</v>
      </c>
      <c r="AM28" s="14">
        <f>IFERROR(VLOOKUP($A28,koronahun!$A:$AM,39,FALSE),"")</f>
        <v>383.71428571428572</v>
      </c>
      <c r="AN28" s="11">
        <f ca="1">IFERROR(__xludf.DUMMYFUNCTION("""COMPUTED_VALUE"""),43920)</f>
        <v>43920</v>
      </c>
      <c r="AO28" s="12">
        <f ca="1">IFERROR(VLOOKUP(AN28,koronahun!A:B,2,FALSE),"")</f>
        <v>447</v>
      </c>
      <c r="AP28" s="11">
        <f t="shared" ca="1" si="0"/>
        <v>43920</v>
      </c>
      <c r="AQ28" s="11">
        <f ca="1">IFERROR(__xludf.DUMMYFUNCTION("""COMPUTED_VALUE"""),43920)</f>
        <v>43920</v>
      </c>
      <c r="AR28" s="11">
        <v>44748</v>
      </c>
      <c r="AS28" s="11">
        <f t="shared" si="1"/>
        <v>44748</v>
      </c>
      <c r="AT28" s="11">
        <f ca="1">IFERROR(__xludf.DUMMYFUNCTION("""COMPUTED_VALUE"""),44741)</f>
        <v>44741</v>
      </c>
    </row>
    <row r="29" spans="1:46" ht="15.75" customHeight="1">
      <c r="A29" s="11">
        <v>44734</v>
      </c>
      <c r="B29">
        <f>IFERROR(VLOOKUP($A29,koronahun!$A:$AM,2,FALSE),"")</f>
        <v>1925083</v>
      </c>
      <c r="C29">
        <f>IFERROR(VLOOKUP($A29,koronahun!$A:$AM,3,FALSE),"")</f>
        <v>1961</v>
      </c>
      <c r="D29">
        <f>IFERROR(VLOOKUP($A29,koronahun!$A:$AM,4,FALSE),"")</f>
        <v>46626</v>
      </c>
      <c r="E29">
        <f>IFERROR(VLOOKUP($A29,koronahun!$A:$AM,5,FALSE),"")</f>
        <v>1869244</v>
      </c>
      <c r="F29">
        <f>IFERROR(VLOOKUP($A29,koronahun!$A:$AM,6,FALSE),"")</f>
        <v>11394556</v>
      </c>
      <c r="G29" s="12">
        <f>IFERROR(VLOOKUP($A29,koronahun!$A:$AM,7,FALSE),"")</f>
        <v>1162709.7959183673</v>
      </c>
      <c r="H29">
        <f>IFERROR(VLOOKUP($A29,koronahun!$A:$AM,8,FALSE),"")</f>
        <v>0</v>
      </c>
      <c r="I29" s="13">
        <f>IFERROR(VLOOKUP($A29,koronahun!$A:$AM,9,FALSE),"")</f>
        <v>1.0196960983234553E-3</v>
      </c>
      <c r="J29" s="13">
        <f>IFERROR(VLOOKUP($A29,koronahun!$A:$AM,10,FALSE),"")</f>
        <v>0.16894760971818473</v>
      </c>
      <c r="K29" s="13">
        <f>IFERROR(VLOOKUP($A29,koronahun!$A:$AM,11,FALSE),"")</f>
        <v>0</v>
      </c>
      <c r="L29">
        <f>IFERROR(VLOOKUP($A29,koronahun!$A:$AM,12,FALSE),"")</f>
        <v>9213</v>
      </c>
      <c r="M29" s="13">
        <f>IFERROR(VLOOKUP($A29,koronahun!$A:$AM,13,FALSE),"")</f>
        <v>2.4220254399420701E-2</v>
      </c>
      <c r="N29" s="13">
        <f>IFERROR(VLOOKUP($A29,koronahun!$A:$AM,14,FALSE),"")</f>
        <v>0.97099397792199094</v>
      </c>
      <c r="O29">
        <f>IFERROR(VLOOKUP($A29,koronahun!$A:$AM,15,FALSE),"")</f>
        <v>237</v>
      </c>
      <c r="P29">
        <f>IFERROR(VLOOKUP($A29,koronahun!$A:$AM,16,FALSE),"")</f>
        <v>0</v>
      </c>
      <c r="Q29" s="13">
        <f>IFERROR(VLOOKUP($A29,koronahun!$A:$AM,17,FALSE),"")</f>
        <v>0</v>
      </c>
      <c r="R29">
        <f>IFERROR(VLOOKUP($A29,koronahun!$A:$AM,18,FALSE),"")</f>
        <v>32</v>
      </c>
      <c r="S29">
        <f>IFERROR(VLOOKUP($A29,koronahun!$A:$AM,19,FALSE),"")</f>
        <v>6910</v>
      </c>
      <c r="T29">
        <f>IFERROR(VLOOKUP($A29,koronahun!$A:$AM,20,FALSE),"")</f>
        <v>197</v>
      </c>
      <c r="U29">
        <f>IFERROR(VLOOKUP($A29,koronahun!$A:$AM,21,FALSE),"")</f>
        <v>6</v>
      </c>
      <c r="V29" s="13">
        <f>IFERROR(VLOOKUP($A29,koronahun!$A:$AM,22,FALSE),"")</f>
        <v>4.785767678588404E-3</v>
      </c>
      <c r="W29">
        <f>IFERROR(VLOOKUP($A29,koronahun!$A:$AM,23,FALSE),"")</f>
        <v>-35</v>
      </c>
      <c r="X29">
        <f>IFERROR(VLOOKUP($A29,koronahun!$A:$AM,24,FALSE),"")</f>
        <v>-1</v>
      </c>
      <c r="Y29" s="14">
        <f>IFERROR(VLOOKUP($A29,koronahun!$A:$AM,25,FALSE),"")</f>
        <v>2.1382828611744273E-2</v>
      </c>
      <c r="Z29" s="14">
        <f>IFERROR(VLOOKUP($A29,koronahun!$A:$AM,26,FALSE),"")</f>
        <v>3.0456852791878174E-2</v>
      </c>
      <c r="AA29" s="14">
        <f>IFERROR(VLOOKUP($A29,koronahun!$A:$AM,27,FALSE),"")</f>
        <v>1.1986552567237163</v>
      </c>
      <c r="AB29" s="14">
        <f>IFERROR(VLOOKUP($A29,koronahun!$A:$AM,28,FALSE),"")</f>
        <v>0</v>
      </c>
      <c r="AC29" s="14">
        <f>IFERROR(VLOOKUP($A29,koronahun!$A:$AM,29,FALSE),"")</f>
        <v>280.14285714285717</v>
      </c>
      <c r="AD29" s="14">
        <f>IFERROR(VLOOKUP($A29,koronahun!$A:$AM,30,FALSE),"")</f>
        <v>4.5714285714285712</v>
      </c>
      <c r="AE29" s="14">
        <f>IFERROR(VLOOKUP($A29,koronahun!$A:$AM,31,FALSE),"")</f>
        <v>0</v>
      </c>
      <c r="AF29" s="13">
        <f>IFERROR(VLOOKUP($A29,koronahun!$A:$AM,32,FALSE),"")</f>
        <v>0</v>
      </c>
      <c r="AG29">
        <f>IFERROR(VLOOKUP($A29,koronahun!$A:$AM,33,FALSE),"")</f>
        <v>6411384</v>
      </c>
      <c r="AH29">
        <f>IFERROR(VLOOKUP($A29,koronahun!$A:$AM,34,FALSE),"")</f>
        <v>438</v>
      </c>
      <c r="AI29">
        <f>IFERROR(VLOOKUP($A29,koronahun!$A:$AM,35,FALSE),"")</f>
        <v>62.571428571428569</v>
      </c>
      <c r="AJ29">
        <f>IFERROR(VLOOKUP($A29,koronahun!$A:$AM,36,FALSE),"")</f>
        <v>6198318</v>
      </c>
      <c r="AK29">
        <f>IFERROR(VLOOKUP($A29,koronahun!$A:$AM,37,FALSE),"")</f>
        <v>350</v>
      </c>
      <c r="AL29">
        <f>IFERROR(VLOOKUP($A29,koronahun!$A:$AM,38,FALSE),"")</f>
        <v>50</v>
      </c>
      <c r="AM29" s="14">
        <f>IFERROR(VLOOKUP($A29,koronahun!$A:$AM,39,FALSE),"")</f>
        <v>987.14285714285711</v>
      </c>
      <c r="AN29" s="11">
        <f ca="1">IFERROR(__xludf.DUMMYFUNCTION("""COMPUTED_VALUE"""),43921)</f>
        <v>43921</v>
      </c>
      <c r="AO29" s="12">
        <f ca="1">IFERROR(VLOOKUP(AN29,koronahun!A:B,2,FALSE),"")</f>
        <v>492</v>
      </c>
      <c r="AP29" s="11">
        <f t="shared" ca="1" si="0"/>
        <v>43921</v>
      </c>
      <c r="AQ29" s="11">
        <f ca="1">IFERROR(__xludf.DUMMYFUNCTION("""COMPUTED_VALUE"""),43921)</f>
        <v>43921</v>
      </c>
      <c r="AR29" s="11">
        <v>44741</v>
      </c>
      <c r="AS29" s="11">
        <f t="shared" si="1"/>
        <v>44741</v>
      </c>
      <c r="AT29" s="11">
        <f ca="1">IFERROR(__xludf.DUMMYFUNCTION("""COMPUTED_VALUE"""),44734)</f>
        <v>44734</v>
      </c>
    </row>
    <row r="30" spans="1:46" ht="15.75" customHeight="1">
      <c r="A30" s="11">
        <v>44727</v>
      </c>
      <c r="B30">
        <f>IFERROR(VLOOKUP($A30,koronahun!$A:$AM,2,FALSE),"")</f>
        <v>1923122</v>
      </c>
      <c r="C30">
        <f>IFERROR(VLOOKUP($A30,koronahun!$A:$AM,3,FALSE),"")</f>
        <v>1636</v>
      </c>
      <c r="D30">
        <f>IFERROR(VLOOKUP($A30,koronahun!$A:$AM,4,FALSE),"")</f>
        <v>46594</v>
      </c>
      <c r="E30">
        <f>IFERROR(VLOOKUP($A30,koronahun!$A:$AM,5,FALSE),"")</f>
        <v>1862334</v>
      </c>
      <c r="F30">
        <f>IFERROR(VLOOKUP($A30,koronahun!$A:$AM,6,FALSE),"")</f>
        <v>11394556</v>
      </c>
      <c r="G30" s="12">
        <f>IFERROR(VLOOKUP($A30,koronahun!$A:$AM,7,FALSE),"")</f>
        <v>1162709.7959183673</v>
      </c>
      <c r="H30">
        <f>IFERROR(VLOOKUP($A30,koronahun!$A:$AM,8,FALSE),"")</f>
        <v>0</v>
      </c>
      <c r="I30" s="13">
        <f>IFERROR(VLOOKUP($A30,koronahun!$A:$AM,9,FALSE),"")</f>
        <v>8.5142436634979386E-4</v>
      </c>
      <c r="J30" s="13">
        <f>IFERROR(VLOOKUP($A30,koronahun!$A:$AM,10,FALSE),"")</f>
        <v>0.16877550998915622</v>
      </c>
      <c r="K30" s="13">
        <f>IFERROR(VLOOKUP($A30,koronahun!$A:$AM,11,FALSE),"")</f>
        <v>0</v>
      </c>
      <c r="L30">
        <f>IFERROR(VLOOKUP($A30,koronahun!$A:$AM,12,FALSE),"")</f>
        <v>14194</v>
      </c>
      <c r="M30" s="13">
        <f>IFERROR(VLOOKUP($A30,koronahun!$A:$AM,13,FALSE),"")</f>
        <v>2.4228312088364647E-2</v>
      </c>
      <c r="N30" s="13">
        <f>IFERROR(VLOOKUP($A30,koronahun!$A:$AM,14,FALSE),"")</f>
        <v>0.96839098091540732</v>
      </c>
      <c r="O30">
        <f>IFERROR(VLOOKUP($A30,koronahun!$A:$AM,15,FALSE),"")</f>
        <v>237</v>
      </c>
      <c r="P30">
        <f>IFERROR(VLOOKUP($A30,koronahun!$A:$AM,16,FALSE),"")</f>
        <v>0</v>
      </c>
      <c r="Q30" s="13">
        <f>IFERROR(VLOOKUP($A30,koronahun!$A:$AM,17,FALSE),"")</f>
        <v>0</v>
      </c>
      <c r="R30">
        <f>IFERROR(VLOOKUP($A30,koronahun!$A:$AM,18,FALSE),"")</f>
        <v>23</v>
      </c>
      <c r="S30">
        <f>IFERROR(VLOOKUP($A30,koronahun!$A:$AM,19,FALSE),"")</f>
        <v>9240</v>
      </c>
      <c r="T30">
        <f>IFERROR(VLOOKUP($A30,koronahun!$A:$AM,20,FALSE),"")</f>
        <v>232</v>
      </c>
      <c r="U30">
        <f>IFERROR(VLOOKUP($A30,koronahun!$A:$AM,21,FALSE),"")</f>
        <v>7</v>
      </c>
      <c r="V30" s="13">
        <f>IFERROR(VLOOKUP($A30,koronahun!$A:$AM,22,FALSE),"")</f>
        <v>7.3807069962280088E-3</v>
      </c>
      <c r="W30">
        <f>IFERROR(VLOOKUP($A30,koronahun!$A:$AM,23,FALSE),"")</f>
        <v>-60</v>
      </c>
      <c r="X30">
        <f>IFERROR(VLOOKUP($A30,koronahun!$A:$AM,24,FALSE),"")</f>
        <v>-1</v>
      </c>
      <c r="Y30" s="14">
        <f>IFERROR(VLOOKUP($A30,koronahun!$A:$AM,25,FALSE),"")</f>
        <v>1.6344934479357476E-2</v>
      </c>
      <c r="Z30" s="14">
        <f>IFERROR(VLOOKUP($A30,koronahun!$A:$AM,26,FALSE),"")</f>
        <v>3.017241379310345E-2</v>
      </c>
      <c r="AA30" s="14">
        <f>IFERROR(VLOOKUP($A30,koronahun!$A:$AM,27,FALSE),"")</f>
        <v>0.99392466585662209</v>
      </c>
      <c r="AB30" s="14">
        <f>IFERROR(VLOOKUP($A30,koronahun!$A:$AM,28,FALSE),"")</f>
        <v>0</v>
      </c>
      <c r="AC30" s="14">
        <f>IFERROR(VLOOKUP($A30,koronahun!$A:$AM,29,FALSE),"")</f>
        <v>233.71428571428572</v>
      </c>
      <c r="AD30" s="14">
        <f>IFERROR(VLOOKUP($A30,koronahun!$A:$AM,30,FALSE),"")</f>
        <v>3.2857142857142856</v>
      </c>
      <c r="AE30" s="14">
        <f>IFERROR(VLOOKUP($A30,koronahun!$A:$AM,31,FALSE),"")</f>
        <v>0</v>
      </c>
      <c r="AF30" s="13">
        <f>IFERROR(VLOOKUP($A30,koronahun!$A:$AM,32,FALSE),"")</f>
        <v>0</v>
      </c>
      <c r="AG30">
        <f>IFERROR(VLOOKUP($A30,koronahun!$A:$AM,33,FALSE),"")</f>
        <v>6410946</v>
      </c>
      <c r="AH30">
        <f>IFERROR(VLOOKUP($A30,koronahun!$A:$AM,34,FALSE),"")</f>
        <v>413</v>
      </c>
      <c r="AI30">
        <f>IFERROR(VLOOKUP($A30,koronahun!$A:$AM,35,FALSE),"")</f>
        <v>59</v>
      </c>
      <c r="AJ30">
        <f>IFERROR(VLOOKUP($A30,koronahun!$A:$AM,36,FALSE),"")</f>
        <v>6197968</v>
      </c>
      <c r="AK30">
        <f>IFERROR(VLOOKUP($A30,koronahun!$A:$AM,37,FALSE),"")</f>
        <v>841</v>
      </c>
      <c r="AL30">
        <f>IFERROR(VLOOKUP($A30,koronahun!$A:$AM,38,FALSE),"")</f>
        <v>120.14285714285714</v>
      </c>
      <c r="AM30" s="14">
        <f>IFERROR(VLOOKUP($A30,koronahun!$A:$AM,39,FALSE),"")</f>
        <v>1320</v>
      </c>
      <c r="AN30" s="11">
        <f ca="1">IFERROR(__xludf.DUMMYFUNCTION("""COMPUTED_VALUE"""),43922)</f>
        <v>43922</v>
      </c>
      <c r="AO30" s="12">
        <f ca="1">IFERROR(VLOOKUP(AN30,koronahun!A:B,2,FALSE),"")</f>
        <v>525</v>
      </c>
      <c r="AP30" s="11">
        <f t="shared" ca="1" si="0"/>
        <v>43922</v>
      </c>
      <c r="AQ30" s="11">
        <f ca="1">IFERROR(__xludf.DUMMYFUNCTION("""COMPUTED_VALUE"""),43922)</f>
        <v>43922</v>
      </c>
      <c r="AR30" s="11">
        <v>44734</v>
      </c>
      <c r="AS30" s="11">
        <f t="shared" si="1"/>
        <v>44734</v>
      </c>
      <c r="AT30" s="11">
        <f ca="1">IFERROR(__xludf.DUMMYFUNCTION("""COMPUTED_VALUE"""),44727)</f>
        <v>44727</v>
      </c>
    </row>
    <row r="31" spans="1:46" ht="15.75" customHeight="1">
      <c r="A31" s="11">
        <v>44720</v>
      </c>
      <c r="B31">
        <f>IFERROR(VLOOKUP($A31,koronahun!$A:$AM,2,FALSE),"")</f>
        <v>1921486</v>
      </c>
      <c r="C31">
        <f>IFERROR(VLOOKUP($A31,koronahun!$A:$AM,3,FALSE),"")</f>
        <v>1646</v>
      </c>
      <c r="D31">
        <f>IFERROR(VLOOKUP($A31,koronahun!$A:$AM,4,FALSE),"")</f>
        <v>46571</v>
      </c>
      <c r="E31">
        <f>IFERROR(VLOOKUP($A31,koronahun!$A:$AM,5,FALSE),"")</f>
        <v>1853094</v>
      </c>
      <c r="F31">
        <f>IFERROR(VLOOKUP($A31,koronahun!$A:$AM,6,FALSE),"")</f>
        <v>11394556</v>
      </c>
      <c r="G31" s="12">
        <f>IFERROR(VLOOKUP($A31,koronahun!$A:$AM,7,FALSE),"")</f>
        <v>1162709.7959183673</v>
      </c>
      <c r="H31">
        <f>IFERROR(VLOOKUP($A31,koronahun!$A:$AM,8,FALSE),"")</f>
        <v>0</v>
      </c>
      <c r="I31" s="13">
        <f>IFERROR(VLOOKUP($A31,koronahun!$A:$AM,9,FALSE),"")</f>
        <v>8.5736311359279943E-4</v>
      </c>
      <c r="J31" s="13">
        <f>IFERROR(VLOOKUP($A31,koronahun!$A:$AM,10,FALSE),"")</f>
        <v>0.168631932652751</v>
      </c>
      <c r="K31" s="13">
        <f>IFERROR(VLOOKUP($A31,koronahun!$A:$AM,11,FALSE),"")</f>
        <v>0</v>
      </c>
      <c r="L31">
        <f>IFERROR(VLOOKUP($A31,koronahun!$A:$AM,12,FALSE),"")</f>
        <v>21821</v>
      </c>
      <c r="M31" s="13">
        <f>IFERROR(VLOOKUP($A31,koronahun!$A:$AM,13,FALSE),"")</f>
        <v>2.4236970761171303E-2</v>
      </c>
      <c r="N31" s="13">
        <f>IFERROR(VLOOKUP($A31,koronahun!$A:$AM,14,FALSE),"")</f>
        <v>0.9644067143866778</v>
      </c>
      <c r="O31">
        <f>IFERROR(VLOOKUP($A31,koronahun!$A:$AM,15,FALSE),"")</f>
        <v>238</v>
      </c>
      <c r="P31">
        <f>IFERROR(VLOOKUP($A31,koronahun!$A:$AM,16,FALSE),"")</f>
        <v>0</v>
      </c>
      <c r="Q31" s="13">
        <f>IFERROR(VLOOKUP($A31,koronahun!$A:$AM,17,FALSE),"")</f>
        <v>0</v>
      </c>
      <c r="R31">
        <f>IFERROR(VLOOKUP($A31,koronahun!$A:$AM,18,FALSE),"")</f>
        <v>24</v>
      </c>
      <c r="S31">
        <f>IFERROR(VLOOKUP($A31,koronahun!$A:$AM,19,FALSE),"")</f>
        <v>5348</v>
      </c>
      <c r="T31">
        <f>IFERROR(VLOOKUP($A31,koronahun!$A:$AM,20,FALSE),"")</f>
        <v>292</v>
      </c>
      <c r="U31">
        <f>IFERROR(VLOOKUP($A31,koronahun!$A:$AM,21,FALSE),"")</f>
        <v>8</v>
      </c>
      <c r="V31" s="13">
        <f>IFERROR(VLOOKUP($A31,koronahun!$A:$AM,22,FALSE),"")</f>
        <v>1.1356314852150887E-2</v>
      </c>
      <c r="W31">
        <f>IFERROR(VLOOKUP($A31,koronahun!$A:$AM,23,FALSE),"")</f>
        <v>-70</v>
      </c>
      <c r="X31">
        <f>IFERROR(VLOOKUP($A31,koronahun!$A:$AM,24,FALSE),"")</f>
        <v>-5</v>
      </c>
      <c r="Y31" s="14">
        <f>IFERROR(VLOOKUP($A31,koronahun!$A:$AM,25,FALSE),"")</f>
        <v>1.3381604876036846E-2</v>
      </c>
      <c r="Z31" s="14">
        <f>IFERROR(VLOOKUP($A31,koronahun!$A:$AM,26,FALSE),"")</f>
        <v>2.7397260273972601E-2</v>
      </c>
      <c r="AA31" s="14">
        <f>IFERROR(VLOOKUP($A31,koronahun!$A:$AM,27,FALSE),"")</f>
        <v>0.79786718371303922</v>
      </c>
      <c r="AB31" s="14">
        <f>IFERROR(VLOOKUP($A31,koronahun!$A:$AM,28,FALSE),"")</f>
        <v>0</v>
      </c>
      <c r="AC31" s="14">
        <f>IFERROR(VLOOKUP($A31,koronahun!$A:$AM,29,FALSE),"")</f>
        <v>235.14285714285714</v>
      </c>
      <c r="AD31" s="14">
        <f>IFERROR(VLOOKUP($A31,koronahun!$A:$AM,30,FALSE),"")</f>
        <v>3.4285714285714284</v>
      </c>
      <c r="AE31" s="14">
        <f>IFERROR(VLOOKUP($A31,koronahun!$A:$AM,31,FALSE),"")</f>
        <v>0</v>
      </c>
      <c r="AF31" s="13">
        <f>IFERROR(VLOOKUP($A31,koronahun!$A:$AM,32,FALSE),"")</f>
        <v>0</v>
      </c>
      <c r="AG31">
        <f>IFERROR(VLOOKUP($A31,koronahun!$A:$AM,33,FALSE),"")</f>
        <v>6410533</v>
      </c>
      <c r="AH31">
        <f>IFERROR(VLOOKUP($A31,koronahun!$A:$AM,34,FALSE),"")</f>
        <v>474</v>
      </c>
      <c r="AI31">
        <f>IFERROR(VLOOKUP($A31,koronahun!$A:$AM,35,FALSE),"")</f>
        <v>67.714285714285708</v>
      </c>
      <c r="AJ31">
        <f>IFERROR(VLOOKUP($A31,koronahun!$A:$AM,36,FALSE),"")</f>
        <v>6197127</v>
      </c>
      <c r="AK31">
        <f>IFERROR(VLOOKUP($A31,koronahun!$A:$AM,37,FALSE),"")</f>
        <v>644</v>
      </c>
      <c r="AL31">
        <f>IFERROR(VLOOKUP($A31,koronahun!$A:$AM,38,FALSE),"")</f>
        <v>92</v>
      </c>
      <c r="AM31" s="14">
        <f>IFERROR(VLOOKUP($A31,koronahun!$A:$AM,39,FALSE),"")</f>
        <v>764</v>
      </c>
      <c r="AN31" s="11">
        <f ca="1">IFERROR(__xludf.DUMMYFUNCTION("""COMPUTED_VALUE"""),43923)</f>
        <v>43923</v>
      </c>
      <c r="AO31" s="12">
        <f ca="1">IFERROR(VLOOKUP(AN31,koronahun!A:B,2,FALSE),"")</f>
        <v>585</v>
      </c>
      <c r="AP31" s="11">
        <f t="shared" ca="1" si="0"/>
        <v>43923</v>
      </c>
      <c r="AQ31" s="11">
        <f ca="1">IFERROR(__xludf.DUMMYFUNCTION("""COMPUTED_VALUE"""),43923)</f>
        <v>43923</v>
      </c>
      <c r="AR31" s="11">
        <v>44727</v>
      </c>
      <c r="AS31" s="11">
        <f t="shared" si="1"/>
        <v>44727</v>
      </c>
      <c r="AT31" s="11">
        <f ca="1">IFERROR(__xludf.DUMMYFUNCTION("""COMPUTED_VALUE"""),44720)</f>
        <v>44720</v>
      </c>
    </row>
    <row r="32" spans="1:46" ht="15.75" customHeight="1">
      <c r="A32" s="11">
        <v>44713</v>
      </c>
      <c r="B32">
        <f>IFERROR(VLOOKUP($A32,koronahun!$A:$AM,2,FALSE),"")</f>
        <v>1919840</v>
      </c>
      <c r="C32">
        <f>IFERROR(VLOOKUP($A32,koronahun!$A:$AM,3,FALSE),"")</f>
        <v>2063</v>
      </c>
      <c r="D32">
        <f>IFERROR(VLOOKUP($A32,koronahun!$A:$AM,4,FALSE),"")</f>
        <v>46547</v>
      </c>
      <c r="E32">
        <f>IFERROR(VLOOKUP($A32,koronahun!$A:$AM,5,FALSE),"")</f>
        <v>1847746</v>
      </c>
      <c r="F32">
        <f>IFERROR(VLOOKUP($A32,koronahun!$A:$AM,6,FALSE),"")</f>
        <v>11394556</v>
      </c>
      <c r="G32" s="12">
        <f>IFERROR(VLOOKUP($A32,koronahun!$A:$AM,7,FALSE),"")</f>
        <v>1162709.7959183673</v>
      </c>
      <c r="H32">
        <f>IFERROR(VLOOKUP($A32,koronahun!$A:$AM,8,FALSE),"")</f>
        <v>0</v>
      </c>
      <c r="I32" s="13">
        <f>IFERROR(VLOOKUP($A32,koronahun!$A:$AM,9,FALSE),"")</f>
        <v>1.0757246541177625E-3</v>
      </c>
      <c r="J32" s="13">
        <f>IFERROR(VLOOKUP($A32,koronahun!$A:$AM,10,FALSE),"")</f>
        <v>0.16848747770426509</v>
      </c>
      <c r="K32" s="13">
        <f>IFERROR(VLOOKUP($A32,koronahun!$A:$AM,11,FALSE),"")</f>
        <v>0</v>
      </c>
      <c r="L32">
        <f>IFERROR(VLOOKUP($A32,koronahun!$A:$AM,12,FALSE),"")</f>
        <v>25547</v>
      </c>
      <c r="M32" s="13">
        <f>IFERROR(VLOOKUP($A32,koronahun!$A:$AM,13,FALSE),"")</f>
        <v>2.4245249604133677E-2</v>
      </c>
      <c r="N32" s="13">
        <f>IFERROR(VLOOKUP($A32,koronahun!$A:$AM,14,FALSE),"")</f>
        <v>0.96244791232602722</v>
      </c>
      <c r="O32">
        <f>IFERROR(VLOOKUP($A32,koronahun!$A:$AM,15,FALSE),"")</f>
        <v>345</v>
      </c>
      <c r="P32">
        <f>IFERROR(VLOOKUP($A32,koronahun!$A:$AM,16,FALSE),"")</f>
        <v>0</v>
      </c>
      <c r="Q32" s="13">
        <f>IFERROR(VLOOKUP($A32,koronahun!$A:$AM,17,FALSE),"")</f>
        <v>0</v>
      </c>
      <c r="R32">
        <f>IFERROR(VLOOKUP($A32,koronahun!$A:$AM,18,FALSE),"")</f>
        <v>40</v>
      </c>
      <c r="S32">
        <f>IFERROR(VLOOKUP($A32,koronahun!$A:$AM,19,FALSE),"")</f>
        <v>6015</v>
      </c>
      <c r="T32">
        <f>IFERROR(VLOOKUP($A32,koronahun!$A:$AM,20,FALSE),"")</f>
        <v>362</v>
      </c>
      <c r="U32">
        <f>IFERROR(VLOOKUP($A32,koronahun!$A:$AM,21,FALSE),"")</f>
        <v>13</v>
      </c>
      <c r="V32" s="13">
        <f>IFERROR(VLOOKUP($A32,koronahun!$A:$AM,22,FALSE),"")</f>
        <v>1.3306838069839153E-2</v>
      </c>
      <c r="W32">
        <f>IFERROR(VLOOKUP($A32,koronahun!$A:$AM,23,FALSE),"")</f>
        <v>-121</v>
      </c>
      <c r="X32">
        <f>IFERROR(VLOOKUP($A32,koronahun!$A:$AM,24,FALSE),"")</f>
        <v>-5</v>
      </c>
      <c r="Y32" s="14">
        <f>IFERROR(VLOOKUP($A32,koronahun!$A:$AM,25,FALSE),"")</f>
        <v>1.4169961247896035E-2</v>
      </c>
      <c r="Z32" s="14">
        <f>IFERROR(VLOOKUP($A32,koronahun!$A:$AM,26,FALSE),"")</f>
        <v>3.591160220994475E-2</v>
      </c>
      <c r="AA32" s="14">
        <f>IFERROR(VLOOKUP($A32,koronahun!$A:$AM,27,FALSE),"")</f>
        <v>0.66980519480519485</v>
      </c>
      <c r="AB32" s="14">
        <f>IFERROR(VLOOKUP($A32,koronahun!$A:$AM,28,FALSE),"")</f>
        <v>0</v>
      </c>
      <c r="AC32" s="14">
        <f>IFERROR(VLOOKUP($A32,koronahun!$A:$AM,29,FALSE),"")</f>
        <v>294.71428571428572</v>
      </c>
      <c r="AD32" s="14">
        <f>IFERROR(VLOOKUP($A32,koronahun!$A:$AM,30,FALSE),"")</f>
        <v>5.7142857142857144</v>
      </c>
      <c r="AE32" s="14">
        <f>IFERROR(VLOOKUP($A32,koronahun!$A:$AM,31,FALSE),"")</f>
        <v>0</v>
      </c>
      <c r="AF32" s="13">
        <f>IFERROR(VLOOKUP($A32,koronahun!$A:$AM,32,FALSE),"")</f>
        <v>0</v>
      </c>
      <c r="AG32">
        <f>IFERROR(VLOOKUP($A32,koronahun!$A:$AM,33,FALSE),"")</f>
        <v>6410059</v>
      </c>
      <c r="AH32">
        <f>IFERROR(VLOOKUP($A32,koronahun!$A:$AM,34,FALSE),"")</f>
        <v>608</v>
      </c>
      <c r="AI32">
        <f>IFERROR(VLOOKUP($A32,koronahun!$A:$AM,35,FALSE),"")</f>
        <v>86.857142857142861</v>
      </c>
      <c r="AJ32">
        <f>IFERROR(VLOOKUP($A32,koronahun!$A:$AM,36,FALSE),"")</f>
        <v>6196483</v>
      </c>
      <c r="AK32">
        <f>IFERROR(VLOOKUP($A32,koronahun!$A:$AM,37,FALSE),"")</f>
        <v>799</v>
      </c>
      <c r="AL32">
        <f>IFERROR(VLOOKUP($A32,koronahun!$A:$AM,38,FALSE),"")</f>
        <v>114.14285714285714</v>
      </c>
      <c r="AM32" s="14">
        <f>IFERROR(VLOOKUP($A32,koronahun!$A:$AM,39,FALSE),"")</f>
        <v>859.28571428571433</v>
      </c>
      <c r="AN32" s="11">
        <f ca="1">IFERROR(__xludf.DUMMYFUNCTION("""COMPUTED_VALUE"""),43924)</f>
        <v>43924</v>
      </c>
      <c r="AO32" s="12">
        <f ca="1">IFERROR(VLOOKUP(AN32,koronahun!A:B,2,FALSE),"")</f>
        <v>623</v>
      </c>
      <c r="AP32" s="11">
        <f t="shared" ca="1" si="0"/>
        <v>43924</v>
      </c>
      <c r="AQ32" s="11">
        <f ca="1">IFERROR(__xludf.DUMMYFUNCTION("""COMPUTED_VALUE"""),43924)</f>
        <v>43924</v>
      </c>
      <c r="AR32" s="11">
        <v>44720</v>
      </c>
      <c r="AS32" s="11">
        <f t="shared" si="1"/>
        <v>44720</v>
      </c>
      <c r="AT32" s="11">
        <f ca="1">IFERROR(__xludf.DUMMYFUNCTION("""COMPUTED_VALUE"""),44713)</f>
        <v>44713</v>
      </c>
    </row>
    <row r="33" spans="1:46" ht="15.75" customHeight="1">
      <c r="A33" s="11">
        <v>44706</v>
      </c>
      <c r="B33">
        <f>IFERROR(VLOOKUP($A33,koronahun!$A:$AM,2,FALSE),"")</f>
        <v>1917777</v>
      </c>
      <c r="C33">
        <f>IFERROR(VLOOKUP($A33,koronahun!$A:$AM,3,FALSE),"")</f>
        <v>3080</v>
      </c>
      <c r="D33">
        <f>IFERROR(VLOOKUP($A33,koronahun!$A:$AM,4,FALSE),"")</f>
        <v>46507</v>
      </c>
      <c r="E33">
        <f>IFERROR(VLOOKUP($A33,koronahun!$A:$AM,5,FALSE),"")</f>
        <v>1841731</v>
      </c>
      <c r="F33">
        <f>IFERROR(VLOOKUP($A33,koronahun!$A:$AM,6,FALSE),"")</f>
        <v>11394556</v>
      </c>
      <c r="G33" s="12">
        <f>IFERROR(VLOOKUP($A33,koronahun!$A:$AM,7,FALSE),"")</f>
        <v>1162709.7959183673</v>
      </c>
      <c r="H33">
        <f>IFERROR(VLOOKUP($A33,koronahun!$A:$AM,8,FALSE),"")</f>
        <v>0</v>
      </c>
      <c r="I33" s="13">
        <f>IFERROR(VLOOKUP($A33,koronahun!$A:$AM,9,FALSE),"")</f>
        <v>1.6086096129048096E-3</v>
      </c>
      <c r="J33" s="13">
        <f>IFERROR(VLOOKUP($A33,koronahun!$A:$AM,10,FALSE),"")</f>
        <v>0.16830642633201329</v>
      </c>
      <c r="K33" s="13">
        <f>IFERROR(VLOOKUP($A33,koronahun!$A:$AM,11,FALSE),"")</f>
        <v>0</v>
      </c>
      <c r="L33">
        <f>IFERROR(VLOOKUP($A33,koronahun!$A:$AM,12,FALSE),"")</f>
        <v>29539</v>
      </c>
      <c r="M33" s="13">
        <f>IFERROR(VLOOKUP($A33,koronahun!$A:$AM,13,FALSE),"")</f>
        <v>2.4250473334490923E-2</v>
      </c>
      <c r="N33" s="13">
        <f>IFERROR(VLOOKUP($A33,koronahun!$A:$AM,14,FALSE),"")</f>
        <v>0.96034679735965134</v>
      </c>
      <c r="O33">
        <f>IFERROR(VLOOKUP($A33,koronahun!$A:$AM,15,FALSE),"")</f>
        <v>523</v>
      </c>
      <c r="P33">
        <f>IFERROR(VLOOKUP($A33,koronahun!$A:$AM,16,FALSE),"")</f>
        <v>0</v>
      </c>
      <c r="Q33" s="13">
        <f>IFERROR(VLOOKUP($A33,koronahun!$A:$AM,17,FALSE),"")</f>
        <v>0</v>
      </c>
      <c r="R33">
        <f>IFERROR(VLOOKUP($A33,koronahun!$A:$AM,18,FALSE),"")</f>
        <v>61</v>
      </c>
      <c r="S33">
        <f>IFERROR(VLOOKUP($A33,koronahun!$A:$AM,19,FALSE),"")</f>
        <v>10928</v>
      </c>
      <c r="T33">
        <f>IFERROR(VLOOKUP($A33,koronahun!$A:$AM,20,FALSE),"")</f>
        <v>483</v>
      </c>
      <c r="U33">
        <f>IFERROR(VLOOKUP($A33,koronahun!$A:$AM,21,FALSE),"")</f>
        <v>18</v>
      </c>
      <c r="V33" s="13">
        <f>IFERROR(VLOOKUP($A33,koronahun!$A:$AM,22,FALSE),"")</f>
        <v>1.5402729305857772E-2</v>
      </c>
      <c r="W33">
        <f>IFERROR(VLOOKUP($A33,koronahun!$A:$AM,23,FALSE),"")</f>
        <v>-259</v>
      </c>
      <c r="X33">
        <f>IFERROR(VLOOKUP($A33,koronahun!$A:$AM,24,FALSE),"")</f>
        <v>-3</v>
      </c>
      <c r="Y33" s="14">
        <f>IFERROR(VLOOKUP($A33,koronahun!$A:$AM,25,FALSE),"")</f>
        <v>1.6351264430075493E-2</v>
      </c>
      <c r="Z33" s="14">
        <f>IFERROR(VLOOKUP($A33,koronahun!$A:$AM,26,FALSE),"")</f>
        <v>3.7267080745341616E-2</v>
      </c>
      <c r="AA33" s="14">
        <f>IFERROR(VLOOKUP($A33,koronahun!$A:$AM,27,FALSE),"")</f>
        <v>0.64855759107180455</v>
      </c>
      <c r="AB33" s="14">
        <f>IFERROR(VLOOKUP($A33,koronahun!$A:$AM,28,FALSE),"")</f>
        <v>0</v>
      </c>
      <c r="AC33" s="14">
        <f>IFERROR(VLOOKUP($A33,koronahun!$A:$AM,29,FALSE),"")</f>
        <v>440</v>
      </c>
      <c r="AD33" s="14">
        <f>IFERROR(VLOOKUP($A33,koronahun!$A:$AM,30,FALSE),"")</f>
        <v>8.7142857142857135</v>
      </c>
      <c r="AE33" s="14">
        <f>IFERROR(VLOOKUP($A33,koronahun!$A:$AM,31,FALSE),"")</f>
        <v>0</v>
      </c>
      <c r="AF33" s="13">
        <f>IFERROR(VLOOKUP($A33,koronahun!$A:$AM,32,FALSE),"")</f>
        <v>0</v>
      </c>
      <c r="AG33">
        <f>IFERROR(VLOOKUP($A33,koronahun!$A:$AM,33,FALSE),"")</f>
        <v>6409451</v>
      </c>
      <c r="AH33">
        <f>IFERROR(VLOOKUP($A33,koronahun!$A:$AM,34,FALSE),"")</f>
        <v>709</v>
      </c>
      <c r="AI33">
        <f>IFERROR(VLOOKUP($A33,koronahun!$A:$AM,35,FALSE),"")</f>
        <v>101.28571428571429</v>
      </c>
      <c r="AJ33">
        <f>IFERROR(VLOOKUP($A33,koronahun!$A:$AM,36,FALSE),"")</f>
        <v>6195684</v>
      </c>
      <c r="AK33">
        <f>IFERROR(VLOOKUP($A33,koronahun!$A:$AM,37,FALSE),"")</f>
        <v>720</v>
      </c>
      <c r="AL33">
        <f>IFERROR(VLOOKUP($A33,koronahun!$A:$AM,38,FALSE),"")</f>
        <v>102.85714285714286</v>
      </c>
      <c r="AM33" s="14">
        <f>IFERROR(VLOOKUP($A33,koronahun!$A:$AM,39,FALSE),"")</f>
        <v>1561.1428571428571</v>
      </c>
      <c r="AN33" s="11">
        <f ca="1">IFERROR(__xludf.DUMMYFUNCTION("""COMPUTED_VALUE"""),43925)</f>
        <v>43925</v>
      </c>
      <c r="AO33" s="12">
        <f ca="1">IFERROR(VLOOKUP(AN33,koronahun!A:B,2,FALSE),"")</f>
        <v>678</v>
      </c>
      <c r="AP33" s="11">
        <f t="shared" ca="1" si="0"/>
        <v>43925</v>
      </c>
      <c r="AQ33" s="11">
        <f ca="1">IFERROR(__xludf.DUMMYFUNCTION("""COMPUTED_VALUE"""),43925)</f>
        <v>43925</v>
      </c>
      <c r="AR33" s="11">
        <v>44713</v>
      </c>
      <c r="AS33" s="11">
        <f t="shared" si="1"/>
        <v>44713</v>
      </c>
      <c r="AT33" s="11">
        <f ca="1">IFERROR(__xludf.DUMMYFUNCTION("""COMPUTED_VALUE"""),44706)</f>
        <v>44706</v>
      </c>
    </row>
    <row r="34" spans="1:46" ht="15.75" customHeight="1">
      <c r="A34" s="11">
        <v>44699</v>
      </c>
      <c r="B34">
        <f>IFERROR(VLOOKUP($A34,koronahun!$A:$AM,2,FALSE),"")</f>
        <v>1914697</v>
      </c>
      <c r="C34">
        <f>IFERROR(VLOOKUP($A34,koronahun!$A:$AM,3,FALSE),"")</f>
        <v>4749</v>
      </c>
      <c r="D34">
        <f>IFERROR(VLOOKUP($A34,koronahun!$A:$AM,4,FALSE),"")</f>
        <v>46446</v>
      </c>
      <c r="E34">
        <f>IFERROR(VLOOKUP($A34,koronahun!$A:$AM,5,FALSE),"")</f>
        <v>1830803</v>
      </c>
      <c r="F34">
        <f>IFERROR(VLOOKUP($A34,koronahun!$A:$AM,6,FALSE),"")</f>
        <v>11394556</v>
      </c>
      <c r="G34" s="12">
        <f>IFERROR(VLOOKUP($A34,koronahun!$A:$AM,7,FALSE),"")</f>
        <v>1162709.7959183673</v>
      </c>
      <c r="H34">
        <f>IFERROR(VLOOKUP($A34,koronahun!$A:$AM,8,FALSE),"")</f>
        <v>0</v>
      </c>
      <c r="I34" s="13">
        <f>IFERROR(VLOOKUP($A34,koronahun!$A:$AM,9,FALSE),"")</f>
        <v>2.4864551286213027E-3</v>
      </c>
      <c r="J34" s="13">
        <f>IFERROR(VLOOKUP($A34,koronahun!$A:$AM,10,FALSE),"")</f>
        <v>0.16803612181115263</v>
      </c>
      <c r="K34" s="13">
        <f>IFERROR(VLOOKUP($A34,koronahun!$A:$AM,11,FALSE),"")</f>
        <v>0</v>
      </c>
      <c r="L34">
        <f>IFERROR(VLOOKUP($A34,koronahun!$A:$AM,12,FALSE),"")</f>
        <v>37448</v>
      </c>
      <c r="M34" s="13">
        <f>IFERROR(VLOOKUP($A34,koronahun!$A:$AM,13,FALSE),"")</f>
        <v>2.4257624052265187E-2</v>
      </c>
      <c r="N34" s="13">
        <f>IFERROR(VLOOKUP($A34,koronahun!$A:$AM,14,FALSE),"")</f>
        <v>0.95618418997888444</v>
      </c>
      <c r="O34">
        <f>IFERROR(VLOOKUP($A34,koronahun!$A:$AM,15,FALSE),"")</f>
        <v>694</v>
      </c>
      <c r="P34">
        <f>IFERROR(VLOOKUP($A34,koronahun!$A:$AM,16,FALSE),"")</f>
        <v>0</v>
      </c>
      <c r="Q34" s="13">
        <f>IFERROR(VLOOKUP($A34,koronahun!$A:$AM,17,FALSE),"")</f>
        <v>0</v>
      </c>
      <c r="R34">
        <f>IFERROR(VLOOKUP($A34,koronahun!$A:$AM,18,FALSE),"")</f>
        <v>103</v>
      </c>
      <c r="S34">
        <f>IFERROR(VLOOKUP($A34,koronahun!$A:$AM,19,FALSE),"")</f>
        <v>9368</v>
      </c>
      <c r="T34">
        <f>IFERROR(VLOOKUP($A34,koronahun!$A:$AM,20,FALSE),"")</f>
        <v>742</v>
      </c>
      <c r="U34">
        <f>IFERROR(VLOOKUP($A34,koronahun!$A:$AM,21,FALSE),"")</f>
        <v>21</v>
      </c>
      <c r="V34" s="13">
        <f>IFERROR(VLOOKUP($A34,koronahun!$A:$AM,22,FALSE),"")</f>
        <v>1.9558185968850422E-2</v>
      </c>
      <c r="W34">
        <f>IFERROR(VLOOKUP($A34,koronahun!$A:$AM,23,FALSE),"")</f>
        <v>-273</v>
      </c>
      <c r="X34">
        <f>IFERROR(VLOOKUP($A34,koronahun!$A:$AM,24,FALSE),"")</f>
        <v>-8</v>
      </c>
      <c r="Y34" s="14">
        <f>IFERROR(VLOOKUP($A34,koronahun!$A:$AM,25,FALSE),"")</f>
        <v>1.9814142277291176E-2</v>
      </c>
      <c r="Z34" s="14">
        <f>IFERROR(VLOOKUP($A34,koronahun!$A:$AM,26,FALSE),"")</f>
        <v>2.8301886792452831E-2</v>
      </c>
      <c r="AA34" s="14">
        <f>IFERROR(VLOOKUP($A34,koronahun!$A:$AM,27,FALSE),"")</f>
        <v>0.7037640782454061</v>
      </c>
      <c r="AB34" s="14">
        <f>IFERROR(VLOOKUP($A34,koronahun!$A:$AM,28,FALSE),"")</f>
        <v>0</v>
      </c>
      <c r="AC34" s="14">
        <f>IFERROR(VLOOKUP($A34,koronahun!$A:$AM,29,FALSE),"")</f>
        <v>678.42857142857144</v>
      </c>
      <c r="AD34" s="14">
        <f>IFERROR(VLOOKUP($A34,koronahun!$A:$AM,30,FALSE),"")</f>
        <v>14.714285714285714</v>
      </c>
      <c r="AE34" s="14">
        <f>IFERROR(VLOOKUP($A34,koronahun!$A:$AM,31,FALSE),"")</f>
        <v>0</v>
      </c>
      <c r="AF34" s="13">
        <f>IFERROR(VLOOKUP($A34,koronahun!$A:$AM,32,FALSE),"")</f>
        <v>0</v>
      </c>
      <c r="AG34">
        <f>IFERROR(VLOOKUP($A34,koronahun!$A:$AM,33,FALSE),"")</f>
        <v>6408742</v>
      </c>
      <c r="AH34">
        <f>IFERROR(VLOOKUP($A34,koronahun!$A:$AM,34,FALSE),"")</f>
        <v>824</v>
      </c>
      <c r="AI34">
        <f>IFERROR(VLOOKUP($A34,koronahun!$A:$AM,35,FALSE),"")</f>
        <v>117.71428571428571</v>
      </c>
      <c r="AJ34">
        <f>IFERROR(VLOOKUP($A34,koronahun!$A:$AM,36,FALSE),"")</f>
        <v>6194964</v>
      </c>
      <c r="AK34">
        <f>IFERROR(VLOOKUP($A34,koronahun!$A:$AM,37,FALSE),"")</f>
        <v>862</v>
      </c>
      <c r="AL34">
        <f>IFERROR(VLOOKUP($A34,koronahun!$A:$AM,38,FALSE),"")</f>
        <v>123.14285714285714</v>
      </c>
      <c r="AM34" s="14">
        <f>IFERROR(VLOOKUP($A34,koronahun!$A:$AM,39,FALSE),"")</f>
        <v>1338.2857142857142</v>
      </c>
      <c r="AN34" s="11">
        <f ca="1">IFERROR(__xludf.DUMMYFUNCTION("""COMPUTED_VALUE"""),43926)</f>
        <v>43926</v>
      </c>
      <c r="AO34" s="12">
        <f ca="1">IFERROR(VLOOKUP(AN34,koronahun!A:B,2,FALSE),"")</f>
        <v>733</v>
      </c>
      <c r="AP34" s="11">
        <f t="shared" ca="1" si="0"/>
        <v>43926</v>
      </c>
      <c r="AQ34" s="11">
        <f ca="1">IFERROR(__xludf.DUMMYFUNCTION("""COMPUTED_VALUE"""),43926)</f>
        <v>43926</v>
      </c>
      <c r="AR34" s="11">
        <v>44706</v>
      </c>
      <c r="AS34" s="11">
        <f t="shared" si="1"/>
        <v>44706</v>
      </c>
      <c r="AT34" s="11">
        <f ca="1">IFERROR(__xludf.DUMMYFUNCTION("""COMPUTED_VALUE"""),44699)</f>
        <v>44699</v>
      </c>
    </row>
    <row r="35" spans="1:46" ht="15.75" customHeight="1">
      <c r="A35" s="11">
        <v>44692</v>
      </c>
      <c r="B35">
        <f>IFERROR(VLOOKUP($A35,koronahun!$A:$AM,2,FALSE),"")</f>
        <v>1909948</v>
      </c>
      <c r="C35">
        <f>IFERROR(VLOOKUP($A35,koronahun!$A:$AM,3,FALSE),"")</f>
        <v>6748</v>
      </c>
      <c r="D35">
        <f>IFERROR(VLOOKUP($A35,koronahun!$A:$AM,4,FALSE),"")</f>
        <v>46343</v>
      </c>
      <c r="E35">
        <f>IFERROR(VLOOKUP($A35,koronahun!$A:$AM,5,FALSE),"")</f>
        <v>1821435</v>
      </c>
      <c r="F35">
        <f>IFERROR(VLOOKUP($A35,koronahun!$A:$AM,6,FALSE),"")</f>
        <v>11394556</v>
      </c>
      <c r="G35" s="12">
        <f>IFERROR(VLOOKUP($A35,koronahun!$A:$AM,7,FALSE),"")</f>
        <v>1162709.7959183673</v>
      </c>
      <c r="H35">
        <f>IFERROR(VLOOKUP($A35,koronahun!$A:$AM,8,FALSE),"")</f>
        <v>0</v>
      </c>
      <c r="I35" s="13">
        <f>IFERROR(VLOOKUP($A35,koronahun!$A:$AM,9,FALSE),"")</f>
        <v>3.5456073980664146E-3</v>
      </c>
      <c r="J35" s="13">
        <f>IFERROR(VLOOKUP($A35,koronahun!$A:$AM,10,FALSE),"")</f>
        <v>0.16761934383402038</v>
      </c>
      <c r="K35" s="13">
        <f>IFERROR(VLOOKUP($A35,koronahun!$A:$AM,11,FALSE),"")</f>
        <v>3.4427485204917246E-3</v>
      </c>
      <c r="L35">
        <f>IFERROR(VLOOKUP($A35,koronahun!$A:$AM,12,FALSE),"")</f>
        <v>42170</v>
      </c>
      <c r="M35" s="13">
        <f>IFERROR(VLOOKUP($A35,koronahun!$A:$AM,13,FALSE),"")</f>
        <v>2.4264011376225948E-2</v>
      </c>
      <c r="N35" s="13">
        <f>IFERROR(VLOOKUP($A35,koronahun!$A:$AM,14,FALSE),"")</f>
        <v>0.95365685348501639</v>
      </c>
      <c r="O35">
        <f>IFERROR(VLOOKUP($A35,koronahun!$A:$AM,15,FALSE),"")</f>
        <v>1365</v>
      </c>
      <c r="P35">
        <f>IFERROR(VLOOKUP($A35,koronahun!$A:$AM,16,FALSE),"")</f>
        <v>39094</v>
      </c>
      <c r="Q35" s="13">
        <f>IFERROR(VLOOKUP($A35,koronahun!$A:$AM,17,FALSE),"")</f>
        <v>0.17260960761242133</v>
      </c>
      <c r="R35">
        <f>IFERROR(VLOOKUP($A35,koronahun!$A:$AM,18,FALSE),"")</f>
        <v>77</v>
      </c>
      <c r="S35">
        <f>IFERROR(VLOOKUP($A35,koronahun!$A:$AM,19,FALSE),"")</f>
        <v>13374</v>
      </c>
      <c r="T35">
        <f>IFERROR(VLOOKUP($A35,koronahun!$A:$AM,20,FALSE),"")</f>
        <v>1015</v>
      </c>
      <c r="U35">
        <f>IFERROR(VLOOKUP($A35,koronahun!$A:$AM,21,FALSE),"")</f>
        <v>29</v>
      </c>
      <c r="V35" s="13">
        <f>IFERROR(VLOOKUP($A35,koronahun!$A:$AM,22,FALSE),"")</f>
        <v>2.2079135138757703E-2</v>
      </c>
      <c r="W35">
        <f>IFERROR(VLOOKUP($A35,koronahun!$A:$AM,23,FALSE),"")</f>
        <v>-295</v>
      </c>
      <c r="X35">
        <f>IFERROR(VLOOKUP($A35,koronahun!$A:$AM,24,FALSE),"")</f>
        <v>-11</v>
      </c>
      <c r="Y35" s="14">
        <f>IFERROR(VLOOKUP($A35,koronahun!$A:$AM,25,FALSE),"")</f>
        <v>2.4069243538060232E-2</v>
      </c>
      <c r="Z35" s="14">
        <f>IFERROR(VLOOKUP($A35,koronahun!$A:$AM,26,FALSE),"")</f>
        <v>2.8571428571428571E-2</v>
      </c>
      <c r="AA35" s="14">
        <f>IFERROR(VLOOKUP($A35,koronahun!$A:$AM,27,FALSE),"")</f>
        <v>1.2724872713558364</v>
      </c>
      <c r="AB35" s="14">
        <f>IFERROR(VLOOKUP($A35,koronahun!$A:$AM,28,FALSE),"")</f>
        <v>0</v>
      </c>
      <c r="AC35" s="14">
        <f>IFERROR(VLOOKUP($A35,koronahun!$A:$AM,29,FALSE),"")</f>
        <v>964</v>
      </c>
      <c r="AD35" s="14">
        <f>IFERROR(VLOOKUP($A35,koronahun!$A:$AM,30,FALSE),"")</f>
        <v>11</v>
      </c>
      <c r="AE35" s="14">
        <f>IFERROR(VLOOKUP($A35,koronahun!$A:$AM,31,FALSE),"")</f>
        <v>5584.8571428571431</v>
      </c>
      <c r="AF35" s="13">
        <f>IFERROR(VLOOKUP($A35,koronahun!$A:$AM,32,FALSE),"")</f>
        <v>2.4658515373203047E-2</v>
      </c>
      <c r="AG35">
        <f>IFERROR(VLOOKUP($A35,koronahun!$A:$AM,33,FALSE),"")</f>
        <v>6407918</v>
      </c>
      <c r="AH35">
        <f>IFERROR(VLOOKUP($A35,koronahun!$A:$AM,34,FALSE),"")</f>
        <v>876</v>
      </c>
      <c r="AI35">
        <f>IFERROR(VLOOKUP($A35,koronahun!$A:$AM,35,FALSE),"")</f>
        <v>125.14285714285714</v>
      </c>
      <c r="AJ35">
        <f>IFERROR(VLOOKUP($A35,koronahun!$A:$AM,36,FALSE),"")</f>
        <v>6194102</v>
      </c>
      <c r="AK35">
        <f>IFERROR(VLOOKUP($A35,koronahun!$A:$AM,37,FALSE),"")</f>
        <v>864</v>
      </c>
      <c r="AL35">
        <f>IFERROR(VLOOKUP($A35,koronahun!$A:$AM,38,FALSE),"")</f>
        <v>123.42857142857143</v>
      </c>
      <c r="AM35" s="14">
        <f>IFERROR(VLOOKUP($A35,koronahun!$A:$AM,39,FALSE),"")</f>
        <v>1910.5714285714287</v>
      </c>
      <c r="AN35" s="11">
        <f ca="1">IFERROR(__xludf.DUMMYFUNCTION("""COMPUTED_VALUE"""),43927)</f>
        <v>43927</v>
      </c>
      <c r="AO35" s="12">
        <f ca="1">IFERROR(VLOOKUP(AN35,koronahun!A:B,2,FALSE),"")</f>
        <v>744</v>
      </c>
      <c r="AP35" s="11">
        <f t="shared" ca="1" si="0"/>
        <v>43927</v>
      </c>
      <c r="AQ35" s="11">
        <f ca="1">IFERROR(__xludf.DUMMYFUNCTION("""COMPUTED_VALUE"""),43927)</f>
        <v>43927</v>
      </c>
      <c r="AR35" s="11">
        <v>44699</v>
      </c>
      <c r="AS35" s="11">
        <f t="shared" si="1"/>
        <v>44699</v>
      </c>
      <c r="AT35" s="11">
        <f ca="1">IFERROR(__xludf.DUMMYFUNCTION("""COMPUTED_VALUE"""),44692)</f>
        <v>44692</v>
      </c>
    </row>
    <row r="36" spans="1:46" ht="15.75" customHeight="1">
      <c r="A36" s="11">
        <v>44683</v>
      </c>
      <c r="B36">
        <f>IFERROR(VLOOKUP($A36,koronahun!$A:$AM,2,FALSE),"")</f>
        <v>1903200</v>
      </c>
      <c r="C36">
        <f>IFERROR(VLOOKUP($A36,koronahun!$A:$AM,3,FALSE),"")</f>
        <v>2183</v>
      </c>
      <c r="D36">
        <f>IFERROR(VLOOKUP($A36,koronahun!$A:$AM,4,FALSE),"")</f>
        <v>46266</v>
      </c>
      <c r="E36">
        <f>IFERROR(VLOOKUP($A36,koronahun!$A:$AM,5,FALSE),"")</f>
        <v>1808061</v>
      </c>
      <c r="F36">
        <f>IFERROR(VLOOKUP($A36,koronahun!$A:$AM,6,FALSE),"")</f>
        <v>11355462</v>
      </c>
      <c r="G36" s="12">
        <f>IFERROR(VLOOKUP($A36,koronahun!$A:$AM,7,FALSE),"")</f>
        <v>1158720.612244898</v>
      </c>
      <c r="H36">
        <f>IFERROR(VLOOKUP($A36,koronahun!$A:$AM,8,FALSE),"")</f>
        <v>0</v>
      </c>
      <c r="I36" s="13">
        <f>IFERROR(VLOOKUP($A36,koronahun!$A:$AM,9,FALSE),"")</f>
        <v>1.1483327082293319E-3</v>
      </c>
      <c r="J36" s="13">
        <f>IFERROR(VLOOKUP($A36,koronahun!$A:$AM,10,FALSE),"")</f>
        <v>0.16760216361078042</v>
      </c>
      <c r="K36" s="13">
        <f>IFERROR(VLOOKUP($A36,koronahun!$A:$AM,11,FALSE),"")</f>
        <v>1.4124146805761057E-3</v>
      </c>
      <c r="L36">
        <f>IFERROR(VLOOKUP($A36,koronahun!$A:$AM,12,FALSE),"")</f>
        <v>48873</v>
      </c>
      <c r="M36" s="13">
        <f>IFERROR(VLOOKUP($A36,koronahun!$A:$AM,13,FALSE),"")</f>
        <v>2.4309583858764187E-2</v>
      </c>
      <c r="N36" s="13">
        <f>IFERROR(VLOOKUP($A36,koronahun!$A:$AM,14,FALSE),"")</f>
        <v>0.95001103404791931</v>
      </c>
      <c r="O36">
        <f>IFERROR(VLOOKUP($A36,koronahun!$A:$AM,15,FALSE),"")</f>
        <v>2401</v>
      </c>
      <c r="P36">
        <f>IFERROR(VLOOKUP($A36,koronahun!$A:$AM,16,FALSE),"")</f>
        <v>16016</v>
      </c>
      <c r="Q36" s="13">
        <f>IFERROR(VLOOKUP($A36,koronahun!$A:$AM,17,FALSE),"")</f>
        <v>0.13630119880119881</v>
      </c>
      <c r="R36">
        <f>IFERROR(VLOOKUP($A36,koronahun!$A:$AM,18,FALSE),"")</f>
        <v>65</v>
      </c>
      <c r="S36">
        <f>IFERROR(VLOOKUP($A36,koronahun!$A:$AM,19,FALSE),"")</f>
        <v>3766</v>
      </c>
      <c r="T36">
        <f>IFERROR(VLOOKUP($A36,koronahun!$A:$AM,20,FALSE),"")</f>
        <v>1310</v>
      </c>
      <c r="U36">
        <f>IFERROR(VLOOKUP($A36,koronahun!$A:$AM,21,FALSE),"")</f>
        <v>40</v>
      </c>
      <c r="V36" s="13">
        <f>IFERROR(VLOOKUP($A36,koronahun!$A:$AM,22,FALSE),"")</f>
        <v>2.5679382093316518E-2</v>
      </c>
      <c r="W36">
        <f>IFERROR(VLOOKUP($A36,koronahun!$A:$AM,23,FALSE),"")</f>
        <v>-117</v>
      </c>
      <c r="X36">
        <f>IFERROR(VLOOKUP($A36,koronahun!$A:$AM,24,FALSE),"")</f>
        <v>-1</v>
      </c>
      <c r="Y36" s="14">
        <f>IFERROR(VLOOKUP($A36,koronahun!$A:$AM,25,FALSE),"")</f>
        <v>2.6804165899371842E-2</v>
      </c>
      <c r="Z36" s="14">
        <f>IFERROR(VLOOKUP($A36,koronahun!$A:$AM,26,FALSE),"")</f>
        <v>3.0534351145038167E-2</v>
      </c>
      <c r="AA36" s="14">
        <f>IFERROR(VLOOKUP($A36,koronahun!$A:$AM,27,FALSE),"")</f>
        <v>0.60291931342073257</v>
      </c>
      <c r="AB36" s="14">
        <f>IFERROR(VLOOKUP($A36,koronahun!$A:$AM,28,FALSE),"")</f>
        <v>0</v>
      </c>
      <c r="AC36" s="14">
        <f>IFERROR(VLOOKUP($A36,koronahun!$A:$AM,29,FALSE),"")</f>
        <v>1274.5714285714287</v>
      </c>
      <c r="AD36" s="14">
        <f>IFERROR(VLOOKUP($A36,koronahun!$A:$AM,30,FALSE),"")</f>
        <v>23.571428571428573</v>
      </c>
      <c r="AE36" s="14">
        <f>IFERROR(VLOOKUP($A36,koronahun!$A:$AM,31,FALSE),"")</f>
        <v>5754.8571428571431</v>
      </c>
      <c r="AF36" s="13">
        <f>IFERROR(VLOOKUP($A36,koronahun!$A:$AM,32,FALSE),"")</f>
        <v>0.28539796034010123</v>
      </c>
      <c r="AG36">
        <f>IFERROR(VLOOKUP($A36,koronahun!$A:$AM,33,FALSE),"")</f>
        <v>6407042</v>
      </c>
      <c r="AH36">
        <f>IFERROR(VLOOKUP($A36,koronahun!$A:$AM,34,FALSE),"")</f>
        <v>541</v>
      </c>
      <c r="AI36">
        <f>IFERROR(VLOOKUP($A36,koronahun!$A:$AM,35,FALSE),"")</f>
        <v>187.8</v>
      </c>
      <c r="AJ36">
        <f>IFERROR(VLOOKUP($A36,koronahun!$A:$AM,36,FALSE),"")</f>
        <v>6193238</v>
      </c>
      <c r="AK36">
        <f>IFERROR(VLOOKUP($A36,koronahun!$A:$AM,37,FALSE),"")</f>
        <v>595</v>
      </c>
      <c r="AL36">
        <f>IFERROR(VLOOKUP($A36,koronahun!$A:$AM,38,FALSE),"")</f>
        <v>238</v>
      </c>
      <c r="AM36" s="14">
        <f>IFERROR(VLOOKUP($A36,koronahun!$A:$AM,39,FALSE),"")</f>
        <v>2838.5714285714284</v>
      </c>
      <c r="AN36" s="11">
        <f ca="1">IFERROR(__xludf.DUMMYFUNCTION("""COMPUTED_VALUE"""),43928)</f>
        <v>43928</v>
      </c>
      <c r="AO36" s="12">
        <f ca="1">IFERROR(VLOOKUP(AN36,koronahun!A:B,2,FALSE),"")</f>
        <v>817</v>
      </c>
      <c r="AP36" s="11">
        <f t="shared" ca="1" si="0"/>
        <v>43928</v>
      </c>
      <c r="AQ36" s="11">
        <f ca="1">IFERROR(__xludf.DUMMYFUNCTION("""COMPUTED_VALUE"""),43928)</f>
        <v>43928</v>
      </c>
      <c r="AR36" s="11">
        <v>44692</v>
      </c>
      <c r="AS36" s="11">
        <f t="shared" si="1"/>
        <v>44692</v>
      </c>
      <c r="AT36" s="11">
        <f ca="1">IFERROR(__xludf.DUMMYFUNCTION("""COMPUTED_VALUE"""),44683)</f>
        <v>44683</v>
      </c>
    </row>
    <row r="37" spans="1:46" ht="15.75" customHeight="1">
      <c r="A37" s="11">
        <v>44680</v>
      </c>
      <c r="B37">
        <f>IFERROR(VLOOKUP($A37,koronahun!$A:$AM,2,FALSE),"")</f>
        <v>1901017</v>
      </c>
      <c r="C37">
        <f>IFERROR(VLOOKUP($A37,koronahun!$A:$AM,3,FALSE),"")</f>
        <v>1384</v>
      </c>
      <c r="D37">
        <f>IFERROR(VLOOKUP($A37,koronahun!$A:$AM,4,FALSE),"")</f>
        <v>46201</v>
      </c>
      <c r="E37">
        <f>IFERROR(VLOOKUP($A37,koronahun!$A:$AM,5,FALSE),"")</f>
        <v>1804295</v>
      </c>
      <c r="F37">
        <f>IFERROR(VLOOKUP($A37,koronahun!$A:$AM,6,FALSE),"")</f>
        <v>11339446</v>
      </c>
      <c r="G37" s="12">
        <f>IFERROR(VLOOKUP($A37,koronahun!$A:$AM,7,FALSE),"")</f>
        <v>1157086.3265306121</v>
      </c>
      <c r="H37">
        <f>IFERROR(VLOOKUP($A37,koronahun!$A:$AM,8,FALSE),"")</f>
        <v>0</v>
      </c>
      <c r="I37" s="13">
        <f>IFERROR(VLOOKUP($A37,koronahun!$A:$AM,9,FALSE),"")</f>
        <v>7.2856178009120709E-4</v>
      </c>
      <c r="J37" s="13">
        <f>IFERROR(VLOOKUP($A37,koronahun!$A:$AM,10,FALSE),"")</f>
        <v>0.16764637355299369</v>
      </c>
      <c r="K37" s="13">
        <f>IFERROR(VLOOKUP($A37,koronahun!$A:$AM,11,FALSE),"")</f>
        <v>7.055583614137325E-4</v>
      </c>
      <c r="L37">
        <f>IFERROR(VLOOKUP($A37,koronahun!$A:$AM,12,FALSE),"")</f>
        <v>50521</v>
      </c>
      <c r="M37" s="13">
        <f>IFERROR(VLOOKUP($A37,koronahun!$A:$AM,13,FALSE),"")</f>
        <v>2.4303307124554908E-2</v>
      </c>
      <c r="N37" s="13">
        <f>IFERROR(VLOOKUP($A37,koronahun!$A:$AM,14,FALSE),"")</f>
        <v>0.94912091790867725</v>
      </c>
      <c r="O37">
        <f>IFERROR(VLOOKUP($A37,koronahun!$A:$AM,15,FALSE),"")</f>
        <v>2360</v>
      </c>
      <c r="P37">
        <f>IFERROR(VLOOKUP($A37,koronahun!$A:$AM,16,FALSE),"")</f>
        <v>7995</v>
      </c>
      <c r="Q37" s="13">
        <f>IFERROR(VLOOKUP($A37,koronahun!$A:$AM,17,FALSE),"")</f>
        <v>0.17310819262038774</v>
      </c>
      <c r="R37">
        <f>IFERROR(VLOOKUP($A37,koronahun!$A:$AM,18,FALSE),"")</f>
        <v>12</v>
      </c>
      <c r="S37">
        <f>IFERROR(VLOOKUP($A37,koronahun!$A:$AM,19,FALSE),"")</f>
        <v>2482</v>
      </c>
      <c r="T37">
        <f>IFERROR(VLOOKUP($A37,koronahun!$A:$AM,20,FALSE),"")</f>
        <v>1427</v>
      </c>
      <c r="U37">
        <f>IFERROR(VLOOKUP($A37,koronahun!$A:$AM,21,FALSE),"")</f>
        <v>41</v>
      </c>
      <c r="V37" s="13">
        <f>IFERROR(VLOOKUP($A37,koronahun!$A:$AM,22,FALSE),"")</f>
        <v>2.6575774966767787E-2</v>
      </c>
      <c r="W37">
        <f>IFERROR(VLOOKUP($A37,koronahun!$A:$AM,23,FALSE),"")</f>
        <v>-10</v>
      </c>
      <c r="X37">
        <f>IFERROR(VLOOKUP($A37,koronahun!$A:$AM,24,FALSE),"")</f>
        <v>5</v>
      </c>
      <c r="Y37" s="14">
        <f>IFERROR(VLOOKUP($A37,koronahun!$A:$AM,25,FALSE),"")</f>
        <v>2.8245680014251498E-2</v>
      </c>
      <c r="Z37" s="14">
        <f>IFERROR(VLOOKUP($A37,koronahun!$A:$AM,26,FALSE),"")</f>
        <v>2.8731604765241767E-2</v>
      </c>
      <c r="AA37" s="14">
        <f>IFERROR(VLOOKUP($A37,koronahun!$A:$AM,27,FALSE),"")</f>
        <v>0.87718992416978991</v>
      </c>
      <c r="AB37" s="14">
        <f>IFERROR(VLOOKUP($A37,koronahun!$A:$AM,28,FALSE),"")</f>
        <v>1.325926741903352</v>
      </c>
      <c r="AC37" s="14">
        <f>IFERROR(VLOOKUP($A37,koronahun!$A:$AM,29,FALSE),"")</f>
        <v>1437.7142857142858</v>
      </c>
      <c r="AD37" s="14">
        <f>IFERROR(VLOOKUP($A37,koronahun!$A:$AM,30,FALSE),"")</f>
        <v>21.857142857142858</v>
      </c>
      <c r="AE37" s="14">
        <f>IFERROR(VLOOKUP($A37,koronahun!$A:$AM,31,FALSE),"")</f>
        <v>6332.4285714285716</v>
      </c>
      <c r="AF37" s="13">
        <f>IFERROR(VLOOKUP($A37,koronahun!$A:$AM,32,FALSE),"")</f>
        <v>0.29128992158689071</v>
      </c>
      <c r="AG37">
        <f>IFERROR(VLOOKUP($A37,koronahun!$A:$AM,33,FALSE),"")</f>
        <v>6406501</v>
      </c>
      <c r="AH37">
        <f>IFERROR(VLOOKUP($A37,koronahun!$A:$AM,34,FALSE),"")</f>
        <v>89</v>
      </c>
      <c r="AI37">
        <f>IFERROR(VLOOKUP($A37,koronahun!$A:$AM,35,FALSE),"")</f>
        <v>205.8</v>
      </c>
      <c r="AJ37">
        <f>IFERROR(VLOOKUP($A37,koronahun!$A:$AM,36,FALSE),"")</f>
        <v>6192643</v>
      </c>
      <c r="AK37">
        <f>IFERROR(VLOOKUP($A37,koronahun!$A:$AM,37,FALSE),"")</f>
        <v>173</v>
      </c>
      <c r="AL37">
        <f>IFERROR(VLOOKUP($A37,koronahun!$A:$AM,38,FALSE),"")</f>
        <v>259.60000000000002</v>
      </c>
      <c r="AM37" s="14">
        <f>IFERROR(VLOOKUP($A37,koronahun!$A:$AM,39,FALSE),"")</f>
        <v>3954</v>
      </c>
      <c r="AN37" s="11">
        <f ca="1">IFERROR(__xludf.DUMMYFUNCTION("""COMPUTED_VALUE"""),43929)</f>
        <v>43929</v>
      </c>
      <c r="AO37" s="12">
        <f ca="1">IFERROR(VLOOKUP(AN37,koronahun!A:B,2,FALSE),"")</f>
        <v>895</v>
      </c>
      <c r="AP37" s="11">
        <f t="shared" ca="1" si="0"/>
        <v>43929</v>
      </c>
      <c r="AQ37" s="11">
        <f ca="1">IFERROR(__xludf.DUMMYFUNCTION("""COMPUTED_VALUE"""),43929)</f>
        <v>43929</v>
      </c>
      <c r="AR37" s="11">
        <v>44683</v>
      </c>
      <c r="AS37" s="11">
        <f t="shared" si="1"/>
        <v>44683</v>
      </c>
      <c r="AT37" s="11">
        <f ca="1">IFERROR(__xludf.DUMMYFUNCTION("""COMPUTED_VALUE"""),44680)</f>
        <v>44680</v>
      </c>
    </row>
    <row r="38" spans="1:46" ht="15.75" customHeight="1">
      <c r="A38" s="11">
        <v>44679</v>
      </c>
      <c r="B38">
        <f>IFERROR(VLOOKUP($A38,koronahun!$A:$AM,2,FALSE),"")</f>
        <v>1899633</v>
      </c>
      <c r="C38">
        <f>IFERROR(VLOOKUP($A38,koronahun!$A:$AM,3,FALSE),"")</f>
        <v>1736</v>
      </c>
      <c r="D38">
        <f>IFERROR(VLOOKUP($A38,koronahun!$A:$AM,4,FALSE),"")</f>
        <v>46189</v>
      </c>
      <c r="E38">
        <f>IFERROR(VLOOKUP($A38,koronahun!$A:$AM,5,FALSE),"")</f>
        <v>1801813</v>
      </c>
      <c r="F38">
        <f>IFERROR(VLOOKUP($A38,koronahun!$A:$AM,6,FALSE),"")</f>
        <v>11331451</v>
      </c>
      <c r="G38" s="12">
        <f>IFERROR(VLOOKUP($A38,koronahun!$A:$AM,7,FALSE),"")</f>
        <v>1156270.5102040817</v>
      </c>
      <c r="H38">
        <f>IFERROR(VLOOKUP($A38,koronahun!$A:$AM,8,FALSE),"")</f>
        <v>0</v>
      </c>
      <c r="I38" s="13">
        <f>IFERROR(VLOOKUP($A38,koronahun!$A:$AM,9,FALSE),"")</f>
        <v>9.1469663527578152E-4</v>
      </c>
      <c r="J38" s="13">
        <f>IFERROR(VLOOKUP($A38,koronahun!$A:$AM,10,FALSE),"")</f>
        <v>0.16764251992088217</v>
      </c>
      <c r="K38" s="13">
        <f>IFERROR(VLOOKUP($A38,koronahun!$A:$AM,11,FALSE),"")</f>
        <v>6.3500838023853212E-4</v>
      </c>
      <c r="L38">
        <f>IFERROR(VLOOKUP($A38,koronahun!$A:$AM,12,FALSE),"")</f>
        <v>51631</v>
      </c>
      <c r="M38" s="13">
        <f>IFERROR(VLOOKUP($A38,koronahun!$A:$AM,13,FALSE),"")</f>
        <v>2.4314696575601709E-2</v>
      </c>
      <c r="N38" s="13">
        <f>IFERROR(VLOOKUP($A38,koronahun!$A:$AM,14,FALSE),"")</f>
        <v>0.94850584297072116</v>
      </c>
      <c r="O38">
        <f>IFERROR(VLOOKUP($A38,koronahun!$A:$AM,15,FALSE),"")</f>
        <v>2218</v>
      </c>
      <c r="P38">
        <f>IFERROR(VLOOKUP($A38,koronahun!$A:$AM,16,FALSE),"")</f>
        <v>7191</v>
      </c>
      <c r="Q38" s="13">
        <f>IFERROR(VLOOKUP($A38,koronahun!$A:$AM,17,FALSE),"")</f>
        <v>0.24141287720762064</v>
      </c>
      <c r="R38">
        <f>IFERROR(VLOOKUP($A38,koronahun!$A:$AM,18,FALSE),"")</f>
        <v>27</v>
      </c>
      <c r="S38">
        <f>IFERROR(VLOOKUP($A38,koronahun!$A:$AM,19,FALSE),"")</f>
        <v>4669</v>
      </c>
      <c r="T38">
        <f>IFERROR(VLOOKUP($A38,koronahun!$A:$AM,20,FALSE),"")</f>
        <v>1437</v>
      </c>
      <c r="U38">
        <f>IFERROR(VLOOKUP($A38,koronahun!$A:$AM,21,FALSE),"")</f>
        <v>36</v>
      </c>
      <c r="V38" s="13">
        <f>IFERROR(VLOOKUP($A38,koronahun!$A:$AM,22,FALSE),"")</f>
        <v>2.7179460453677105E-2</v>
      </c>
      <c r="W38">
        <f>IFERROR(VLOOKUP($A38,koronahun!$A:$AM,23,FALSE),"")</f>
        <v>-14</v>
      </c>
      <c r="X38">
        <f>IFERROR(VLOOKUP($A38,koronahun!$A:$AM,24,FALSE),"")</f>
        <v>-2</v>
      </c>
      <c r="Y38" s="14">
        <f>IFERROR(VLOOKUP($A38,koronahun!$A:$AM,25,FALSE),"")</f>
        <v>2.7832116364199803E-2</v>
      </c>
      <c r="Z38" s="14">
        <f>IFERROR(VLOOKUP($A38,koronahun!$A:$AM,26,FALSE),"")</f>
        <v>2.5052192066805846E-2</v>
      </c>
      <c r="AA38" s="14">
        <f>IFERROR(VLOOKUP($A38,koronahun!$A:$AM,27,FALSE),"")</f>
        <v>1.1380224909823891</v>
      </c>
      <c r="AB38" s="14">
        <f>IFERROR(VLOOKUP($A38,koronahun!$A:$AM,28,FALSE),"")</f>
        <v>1.3504887570693938</v>
      </c>
      <c r="AC38" s="14">
        <f>IFERROR(VLOOKUP($A38,koronahun!$A:$AM,29,FALSE),"")</f>
        <v>1532.4285714285713</v>
      </c>
      <c r="AD38" s="14">
        <f>IFERROR(VLOOKUP($A38,koronahun!$A:$AM,30,FALSE),"")</f>
        <v>23.571428571428573</v>
      </c>
      <c r="AE38" s="14">
        <f>IFERROR(VLOOKUP($A38,koronahun!$A:$AM,31,FALSE),"")</f>
        <v>6560.5714285714284</v>
      </c>
      <c r="AF38" s="13">
        <f>IFERROR(VLOOKUP($A38,koronahun!$A:$AM,32,FALSE),"")</f>
        <v>0.29934968423045288</v>
      </c>
      <c r="AG38">
        <f>IFERROR(VLOOKUP($A38,koronahun!$A:$AM,33,FALSE),"")</f>
        <v>6406412</v>
      </c>
      <c r="AH38">
        <f>IFERROR(VLOOKUP($A38,koronahun!$A:$AM,34,FALSE),"")</f>
        <v>73</v>
      </c>
      <c r="AI38">
        <f>IFERROR(VLOOKUP($A38,koronahun!$A:$AM,35,FALSE),"")</f>
        <v>214</v>
      </c>
      <c r="AJ38">
        <f>IFERROR(VLOOKUP($A38,koronahun!$A:$AM,36,FALSE),"")</f>
        <v>6192470</v>
      </c>
      <c r="AK38">
        <f>IFERROR(VLOOKUP($A38,koronahun!$A:$AM,37,FALSE),"")</f>
        <v>96</v>
      </c>
      <c r="AL38">
        <f>IFERROR(VLOOKUP($A38,koronahun!$A:$AM,38,FALSE),"")</f>
        <v>263.2</v>
      </c>
      <c r="AM38" s="14">
        <f>IFERROR(VLOOKUP($A38,koronahun!$A:$AM,39,FALSE),"")</f>
        <v>4535.2857142857147</v>
      </c>
      <c r="AN38" s="11">
        <f ca="1">IFERROR(__xludf.DUMMYFUNCTION("""COMPUTED_VALUE"""),43930)</f>
        <v>43930</v>
      </c>
      <c r="AO38" s="12">
        <f ca="1">IFERROR(VLOOKUP(AN38,koronahun!A:B,2,FALSE),"")</f>
        <v>980</v>
      </c>
      <c r="AP38" s="11">
        <f t="shared" ca="1" si="0"/>
        <v>43930</v>
      </c>
      <c r="AQ38" s="11">
        <f ca="1">IFERROR(__xludf.DUMMYFUNCTION("""COMPUTED_VALUE"""),43930)</f>
        <v>43930</v>
      </c>
      <c r="AR38" s="11">
        <v>44680</v>
      </c>
      <c r="AS38" s="11">
        <f t="shared" si="1"/>
        <v>44680</v>
      </c>
      <c r="AT38" s="11">
        <f ca="1">IFERROR(__xludf.DUMMYFUNCTION("""COMPUTED_VALUE"""),44679)</f>
        <v>44679</v>
      </c>
    </row>
    <row r="39" spans="1:46" ht="15.75" customHeight="1">
      <c r="A39" s="11">
        <v>44678</v>
      </c>
      <c r="B39">
        <f>IFERROR(VLOOKUP($A39,koronahun!$A:$AM,2,FALSE),"")</f>
        <v>1897897</v>
      </c>
      <c r="C39">
        <f>IFERROR(VLOOKUP($A39,koronahun!$A:$AM,3,FALSE),"")</f>
        <v>2220</v>
      </c>
      <c r="D39">
        <f>IFERROR(VLOOKUP($A39,koronahun!$A:$AM,4,FALSE),"")</f>
        <v>46162</v>
      </c>
      <c r="E39">
        <f>IFERROR(VLOOKUP($A39,koronahun!$A:$AM,5,FALSE),"")</f>
        <v>1797144</v>
      </c>
      <c r="F39">
        <f>IFERROR(VLOOKUP($A39,koronahun!$A:$AM,6,FALSE),"")</f>
        <v>11324260</v>
      </c>
      <c r="G39" s="12">
        <f>IFERROR(VLOOKUP($A39,koronahun!$A:$AM,7,FALSE),"")</f>
        <v>1155536.7346938774</v>
      </c>
      <c r="H39">
        <f>IFERROR(VLOOKUP($A39,koronahun!$A:$AM,8,FALSE),"")</f>
        <v>0</v>
      </c>
      <c r="I39" s="13">
        <f>IFERROR(VLOOKUP($A39,koronahun!$A:$AM,9,FALSE),"")</f>
        <v>1.1710855805076499E-3</v>
      </c>
      <c r="J39" s="13">
        <f>IFERROR(VLOOKUP($A39,koronahun!$A:$AM,10,FALSE),"")</f>
        <v>0.16759567512579188</v>
      </c>
      <c r="K39" s="13">
        <f>IFERROR(VLOOKUP($A39,koronahun!$A:$AM,11,FALSE),"")</f>
        <v>5.7016346011201635E-4</v>
      </c>
      <c r="L39">
        <f>IFERROR(VLOOKUP($A39,koronahun!$A:$AM,12,FALSE),"")</f>
        <v>54591</v>
      </c>
      <c r="M39" s="13">
        <f>IFERROR(VLOOKUP($A39,koronahun!$A:$AM,13,FALSE),"")</f>
        <v>2.4322710874193909E-2</v>
      </c>
      <c r="N39" s="13">
        <f>IFERROR(VLOOKUP($A39,koronahun!$A:$AM,14,FALSE),"")</f>
        <v>0.94691334672008021</v>
      </c>
      <c r="O39">
        <f>IFERROR(VLOOKUP($A39,koronahun!$A:$AM,15,FALSE),"")</f>
        <v>1451</v>
      </c>
      <c r="P39">
        <f>IFERROR(VLOOKUP($A39,koronahun!$A:$AM,16,FALSE),"")</f>
        <v>6453</v>
      </c>
      <c r="Q39" s="13">
        <f>IFERROR(VLOOKUP($A39,koronahun!$A:$AM,17,FALSE),"")</f>
        <v>0.34402603440260343</v>
      </c>
      <c r="R39">
        <f>IFERROR(VLOOKUP($A39,koronahun!$A:$AM,18,FALSE),"")</f>
        <v>29</v>
      </c>
      <c r="S39">
        <f>IFERROR(VLOOKUP($A39,koronahun!$A:$AM,19,FALSE),"")</f>
        <v>4528</v>
      </c>
      <c r="T39">
        <f>IFERROR(VLOOKUP($A39,koronahun!$A:$AM,20,FALSE),"")</f>
        <v>1451</v>
      </c>
      <c r="U39">
        <f>IFERROR(VLOOKUP($A39,koronahun!$A:$AM,21,FALSE),"")</f>
        <v>38</v>
      </c>
      <c r="V39" s="13">
        <f>IFERROR(VLOOKUP($A39,koronahun!$A:$AM,22,FALSE),"")</f>
        <v>2.8763942405725915E-2</v>
      </c>
      <c r="W39">
        <f>IFERROR(VLOOKUP($A39,koronahun!$A:$AM,23,FALSE),"")</f>
        <v>-48</v>
      </c>
      <c r="X39">
        <f>IFERROR(VLOOKUP($A39,koronahun!$A:$AM,24,FALSE),"")</f>
        <v>1</v>
      </c>
      <c r="Y39" s="14">
        <f>IFERROR(VLOOKUP($A39,koronahun!$A:$AM,25,FALSE),"")</f>
        <v>2.6579472806872929E-2</v>
      </c>
      <c r="Z39" s="14">
        <f>IFERROR(VLOOKUP($A39,koronahun!$A:$AM,26,FALSE),"")</f>
        <v>2.6188835286009647E-2</v>
      </c>
      <c r="AA39" s="14">
        <f>IFERROR(VLOOKUP($A39,koronahun!$A:$AM,27,FALSE),"")</f>
        <v>1.3490301603318757</v>
      </c>
      <c r="AB39" s="14">
        <f>IFERROR(VLOOKUP($A39,koronahun!$A:$AM,28,FALSE),"")</f>
        <v>1.2587741168704651</v>
      </c>
      <c r="AC39" s="14">
        <f>IFERROR(VLOOKUP($A39,koronahun!$A:$AM,29,FALSE),"")</f>
        <v>1718.8571428571429</v>
      </c>
      <c r="AD39" s="14">
        <f>IFERROR(VLOOKUP($A39,koronahun!$A:$AM,30,FALSE),"")</f>
        <v>23.142857142857142</v>
      </c>
      <c r="AE39" s="14">
        <f>IFERROR(VLOOKUP($A39,koronahun!$A:$AM,31,FALSE),"")</f>
        <v>6480.8571428571431</v>
      </c>
      <c r="AF39" s="13">
        <f>IFERROR(VLOOKUP($A39,koronahun!$A:$AM,32,FALSE),"")</f>
        <v>0.34276015869093379</v>
      </c>
      <c r="AG39">
        <f>IFERROR(VLOOKUP($A39,koronahun!$A:$AM,33,FALSE),"")</f>
        <v>6406339</v>
      </c>
      <c r="AH39">
        <f>IFERROR(VLOOKUP($A39,koronahun!$A:$AM,34,FALSE),"")</f>
        <v>189</v>
      </c>
      <c r="AI39">
        <f>IFERROR(VLOOKUP($A39,koronahun!$A:$AM,35,FALSE),"")</f>
        <v>215.8</v>
      </c>
      <c r="AJ39">
        <f>IFERROR(VLOOKUP($A39,koronahun!$A:$AM,36,FALSE),"")</f>
        <v>6192374</v>
      </c>
      <c r="AK39">
        <f>IFERROR(VLOOKUP($A39,koronahun!$A:$AM,37,FALSE),"")</f>
        <v>232</v>
      </c>
      <c r="AL39">
        <f>IFERROR(VLOOKUP($A39,koronahun!$A:$AM,38,FALSE),"")</f>
        <v>271.2</v>
      </c>
      <c r="AM39" s="14">
        <f>IFERROR(VLOOKUP($A39,koronahun!$A:$AM,39,FALSE),"")</f>
        <v>4747.5714285714284</v>
      </c>
      <c r="AN39" s="11">
        <f ca="1">IFERROR(__xludf.DUMMYFUNCTION("""COMPUTED_VALUE"""),43931)</f>
        <v>43931</v>
      </c>
      <c r="AO39" s="12">
        <f ca="1">IFERROR(VLOOKUP(AN39,koronahun!A:B,2,FALSE),"")</f>
        <v>1190</v>
      </c>
      <c r="AP39" s="11">
        <f t="shared" ca="1" si="0"/>
        <v>43931</v>
      </c>
      <c r="AQ39" s="11">
        <f ca="1">IFERROR(__xludf.DUMMYFUNCTION("""COMPUTED_VALUE"""),43931)</f>
        <v>43931</v>
      </c>
      <c r="AR39" s="11">
        <v>44679</v>
      </c>
      <c r="AS39" s="11">
        <f t="shared" si="1"/>
        <v>44679</v>
      </c>
      <c r="AT39" s="11">
        <f ca="1">IFERROR(__xludf.DUMMYFUNCTION("""COMPUTED_VALUE"""),44678)</f>
        <v>44678</v>
      </c>
    </row>
    <row r="40" spans="1:46" ht="15.75" customHeight="1">
      <c r="A40" s="11">
        <v>44677</v>
      </c>
      <c r="B40">
        <f>IFERROR(VLOOKUP($A40,koronahun!$A:$AM,2,FALSE),"")</f>
        <v>1895677</v>
      </c>
      <c r="C40">
        <f>IFERROR(VLOOKUP($A40,koronahun!$A:$AM,3,FALSE),"")</f>
        <v>1399</v>
      </c>
      <c r="D40">
        <f>IFERROR(VLOOKUP($A40,koronahun!$A:$AM,4,FALSE),"")</f>
        <v>46133</v>
      </c>
      <c r="E40">
        <f>IFERROR(VLOOKUP($A40,koronahun!$A:$AM,5,FALSE),"")</f>
        <v>1792616</v>
      </c>
      <c r="F40">
        <f>IFERROR(VLOOKUP($A40,koronahun!$A:$AM,6,FALSE),"")</f>
        <v>11317807</v>
      </c>
      <c r="G40" s="12">
        <f>IFERROR(VLOOKUP($A40,koronahun!$A:$AM,7,FALSE),"")</f>
        <v>1154878.2653061224</v>
      </c>
      <c r="H40">
        <f>IFERROR(VLOOKUP($A40,koronahun!$A:$AM,8,FALSE),"")</f>
        <v>0</v>
      </c>
      <c r="I40" s="13">
        <f>IFERROR(VLOOKUP($A40,koronahun!$A:$AM,9,FALSE),"")</f>
        <v>7.3853996087163548E-4</v>
      </c>
      <c r="J40" s="13">
        <f>IFERROR(VLOOKUP($A40,koronahun!$A:$AM,10,FALSE),"")</f>
        <v>0.16749508098167781</v>
      </c>
      <c r="K40" s="13">
        <f>IFERROR(VLOOKUP($A40,koronahun!$A:$AM,11,FALSE),"")</f>
        <v>2.3234278771398911E-4</v>
      </c>
      <c r="L40">
        <f>IFERROR(VLOOKUP($A40,koronahun!$A:$AM,12,FALSE),"")</f>
        <v>56928</v>
      </c>
      <c r="M40" s="13">
        <f>IFERROR(VLOOKUP($A40,koronahun!$A:$AM,13,FALSE),"")</f>
        <v>2.433589688538712E-2</v>
      </c>
      <c r="N40" s="13">
        <f>IFERROR(VLOOKUP($A40,koronahun!$A:$AM,14,FALSE),"")</f>
        <v>0.94563367071500048</v>
      </c>
      <c r="O40">
        <f>IFERROR(VLOOKUP($A40,koronahun!$A:$AM,15,FALSE),"")</f>
        <v>1915</v>
      </c>
      <c r="P40">
        <f>IFERROR(VLOOKUP($A40,koronahun!$A:$AM,16,FALSE),"")</f>
        <v>2629</v>
      </c>
      <c r="Q40" s="13">
        <f>IFERROR(VLOOKUP($A40,koronahun!$A:$AM,17,FALSE),"")</f>
        <v>0.53214149866869531</v>
      </c>
      <c r="R40">
        <f>IFERROR(VLOOKUP($A40,koronahun!$A:$AM,18,FALSE),"")</f>
        <v>32</v>
      </c>
      <c r="S40">
        <f>IFERROR(VLOOKUP($A40,koronahun!$A:$AM,19,FALSE),"")</f>
        <v>4425</v>
      </c>
      <c r="T40">
        <f>IFERROR(VLOOKUP($A40,koronahun!$A:$AM,20,FALSE),"")</f>
        <v>1499</v>
      </c>
      <c r="U40">
        <f>IFERROR(VLOOKUP($A40,koronahun!$A:$AM,21,FALSE),"")</f>
        <v>37</v>
      </c>
      <c r="V40" s="13">
        <f>IFERROR(VLOOKUP($A40,koronahun!$A:$AM,22,FALSE),"")</f>
        <v>3.0030432399612381E-2</v>
      </c>
      <c r="W40">
        <f>IFERROR(VLOOKUP($A40,koronahun!$A:$AM,23,FALSE),"")</f>
        <v>39</v>
      </c>
      <c r="X40">
        <f>IFERROR(VLOOKUP($A40,koronahun!$A:$AM,24,FALSE),"")</f>
        <v>-3</v>
      </c>
      <c r="Y40" s="14">
        <f>IFERROR(VLOOKUP($A40,koronahun!$A:$AM,25,FALSE),"")</f>
        <v>2.6331506464305789E-2</v>
      </c>
      <c r="Z40" s="14">
        <f>IFERROR(VLOOKUP($A40,koronahun!$A:$AM,26,FALSE),"")</f>
        <v>2.4683122081387593E-2</v>
      </c>
      <c r="AA40" s="14">
        <f>IFERROR(VLOOKUP($A40,koronahun!$A:$AM,27,FALSE),"")</f>
        <v>1.0943230589153337</v>
      </c>
      <c r="AB40" s="14">
        <f>IFERROR(VLOOKUP($A40,koronahun!$A:$AM,28,FALSE),"")</f>
        <v>1.1172344254958282</v>
      </c>
      <c r="AC40" s="14">
        <f>IFERROR(VLOOKUP($A40,koronahun!$A:$AM,29,FALSE),"")</f>
        <v>1602.7142857142858</v>
      </c>
      <c r="AD40" s="14">
        <f>IFERROR(VLOOKUP($A40,koronahun!$A:$AM,30,FALSE),"")</f>
        <v>23.142857142857142</v>
      </c>
      <c r="AE40" s="14">
        <f>IFERROR(VLOOKUP($A40,koronahun!$A:$AM,31,FALSE),"")</f>
        <v>6076.5714285714284</v>
      </c>
      <c r="AF40" s="13">
        <f>IFERROR(VLOOKUP($A40,koronahun!$A:$AM,32,FALSE),"")</f>
        <v>0.35162539067323406</v>
      </c>
      <c r="AG40">
        <f>IFERROR(VLOOKUP($A40,koronahun!$A:$AM,33,FALSE),"")</f>
        <v>6406150</v>
      </c>
      <c r="AH40">
        <f>IFERROR(VLOOKUP($A40,koronahun!$A:$AM,34,FALSE),"")</f>
        <v>47</v>
      </c>
      <c r="AI40">
        <f>IFERROR(VLOOKUP($A40,koronahun!$A:$AM,35,FALSE),"")</f>
        <v>205.4</v>
      </c>
      <c r="AJ40">
        <f>IFERROR(VLOOKUP($A40,koronahun!$A:$AM,36,FALSE),"")</f>
        <v>6192142</v>
      </c>
      <c r="AK40">
        <f>IFERROR(VLOOKUP($A40,koronahun!$A:$AM,37,FALSE),"")</f>
        <v>94</v>
      </c>
      <c r="AL40">
        <f>IFERROR(VLOOKUP($A40,koronahun!$A:$AM,38,FALSE),"")</f>
        <v>269.8</v>
      </c>
      <c r="AM40" s="14">
        <f>IFERROR(VLOOKUP($A40,koronahun!$A:$AM,39,FALSE),"")</f>
        <v>4548.4285714285716</v>
      </c>
      <c r="AN40" s="11">
        <f ca="1">IFERROR(__xludf.DUMMYFUNCTION("""COMPUTED_VALUE"""),43932)</f>
        <v>43932</v>
      </c>
      <c r="AO40" s="12">
        <f ca="1">IFERROR(VLOOKUP(AN40,koronahun!A:B,2,FALSE),"")</f>
        <v>1310</v>
      </c>
      <c r="AP40" s="11">
        <f t="shared" ca="1" si="0"/>
        <v>43932</v>
      </c>
      <c r="AQ40" s="11">
        <f ca="1">IFERROR(__xludf.DUMMYFUNCTION("""COMPUTED_VALUE"""),43932)</f>
        <v>43932</v>
      </c>
      <c r="AR40" s="11">
        <v>44678</v>
      </c>
      <c r="AS40" s="11">
        <f t="shared" si="1"/>
        <v>44678</v>
      </c>
      <c r="AT40" s="11">
        <f ca="1">IFERROR(__xludf.DUMMYFUNCTION("""COMPUTED_VALUE"""),44677)</f>
        <v>44677</v>
      </c>
    </row>
    <row r="41" spans="1:46" ht="15.75" customHeight="1">
      <c r="A41" s="11">
        <v>44676</v>
      </c>
      <c r="B41">
        <f>IFERROR(VLOOKUP($A41,koronahun!$A:$AM,2,FALSE),"")</f>
        <v>1894278</v>
      </c>
      <c r="C41">
        <f>IFERROR(VLOOKUP($A41,koronahun!$A:$AM,3,FALSE),"")</f>
        <v>3325</v>
      </c>
      <c r="D41">
        <f>IFERROR(VLOOKUP($A41,koronahun!$A:$AM,4,FALSE),"")</f>
        <v>46101</v>
      </c>
      <c r="E41">
        <f>IFERROR(VLOOKUP($A41,koronahun!$A:$AM,5,FALSE),"")</f>
        <v>1788191</v>
      </c>
      <c r="F41">
        <f>IFERROR(VLOOKUP($A41,koronahun!$A:$AM,6,FALSE),"")</f>
        <v>11315178</v>
      </c>
      <c r="G41" s="12">
        <f>IFERROR(VLOOKUP($A41,koronahun!$A:$AM,7,FALSE),"")</f>
        <v>1154610</v>
      </c>
      <c r="H41">
        <f>IFERROR(VLOOKUP($A41,koronahun!$A:$AM,8,FALSE),"")</f>
        <v>0</v>
      </c>
      <c r="I41" s="13">
        <f>IFERROR(VLOOKUP($A41,koronahun!$A:$AM,9,FALSE),"")</f>
        <v>1.7583726300970991E-3</v>
      </c>
      <c r="J41" s="13">
        <f>IFERROR(VLOOKUP($A41,koronahun!$A:$AM,10,FALSE),"")</f>
        <v>0.16741035801646248</v>
      </c>
      <c r="K41" s="13">
        <f>IFERROR(VLOOKUP($A41,koronahun!$A:$AM,11,FALSE),"")</f>
        <v>1.7758998377971937E-3</v>
      </c>
      <c r="L41">
        <f>IFERROR(VLOOKUP($A41,koronahun!$A:$AM,12,FALSE),"")</f>
        <v>59986</v>
      </c>
      <c r="M41" s="13">
        <f>IFERROR(VLOOKUP($A41,koronahun!$A:$AM,13,FALSE),"")</f>
        <v>2.4336976937915131E-2</v>
      </c>
      <c r="N41" s="13">
        <f>IFERROR(VLOOKUP($A41,koronahun!$A:$AM,14,FALSE),"")</f>
        <v>0.94399607660544016</v>
      </c>
      <c r="O41">
        <f>IFERROR(VLOOKUP($A41,koronahun!$A:$AM,15,FALSE),"")</f>
        <v>1757</v>
      </c>
      <c r="P41">
        <f>IFERROR(VLOOKUP($A41,koronahun!$A:$AM,16,FALSE),"")</f>
        <v>20059</v>
      </c>
      <c r="Q41" s="13">
        <f>IFERROR(VLOOKUP($A41,koronahun!$A:$AM,17,FALSE),"")</f>
        <v>0.16576100503514632</v>
      </c>
      <c r="R41">
        <f>IFERROR(VLOOKUP($A41,koronahun!$A:$AM,18,FALSE),"")</f>
        <v>53</v>
      </c>
      <c r="S41">
        <f>IFERROR(VLOOKUP($A41,koronahun!$A:$AM,19,FALSE),"")</f>
        <v>11574</v>
      </c>
      <c r="T41">
        <f>IFERROR(VLOOKUP($A41,koronahun!$A:$AM,20,FALSE),"")</f>
        <v>1460</v>
      </c>
      <c r="U41">
        <f>IFERROR(VLOOKUP($A41,koronahun!$A:$AM,21,FALSE),"")</f>
        <v>40</v>
      </c>
      <c r="V41" s="13">
        <f>IFERROR(VLOOKUP($A41,koronahun!$A:$AM,22,FALSE),"")</f>
        <v>3.1666946456644696E-2</v>
      </c>
      <c r="W41">
        <f>IFERROR(VLOOKUP($A41,koronahun!$A:$AM,23,FALSE),"")</f>
        <v>11</v>
      </c>
      <c r="X41">
        <f>IFERROR(VLOOKUP($A41,koronahun!$A:$AM,24,FALSE),"")</f>
        <v>-5</v>
      </c>
      <c r="Y41" s="14">
        <f>IFERROR(VLOOKUP($A41,koronahun!$A:$AM,25,FALSE),"")</f>
        <v>2.4339012436235121E-2</v>
      </c>
      <c r="Z41" s="14">
        <f>IFERROR(VLOOKUP($A41,koronahun!$A:$AM,26,FALSE),"")</f>
        <v>2.7397260273972601E-2</v>
      </c>
      <c r="AA41" s="14">
        <f>IFERROR(VLOOKUP($A41,koronahun!$A:$AM,27,FALSE),"")</f>
        <v>2.171068075117371</v>
      </c>
      <c r="AB41" s="14">
        <f>IFERROR(VLOOKUP($A41,koronahun!$A:$AM,28,FALSE),"")</f>
        <v>1.0443369241277964</v>
      </c>
      <c r="AC41" s="14">
        <f>IFERROR(VLOOKUP($A41,koronahun!$A:$AM,29,FALSE),"")</f>
        <v>2114</v>
      </c>
      <c r="AD41" s="14">
        <f>IFERROR(VLOOKUP($A41,koronahun!$A:$AM,30,FALSE),"")</f>
        <v>33.714285714285715</v>
      </c>
      <c r="AE41" s="14">
        <f>IFERROR(VLOOKUP($A41,koronahun!$A:$AM,31,FALSE),"")</f>
        <v>10086.428571428571</v>
      </c>
      <c r="AF41" s="13">
        <f>IFERROR(VLOOKUP($A41,koronahun!$A:$AM,32,FALSE),"")</f>
        <v>0.27762917120531033</v>
      </c>
      <c r="AG41">
        <f>IFERROR(VLOOKUP($A41,koronahun!$A:$AM,33,FALSE),"")</f>
        <v>6406103</v>
      </c>
      <c r="AH41">
        <f>IFERROR(VLOOKUP($A41,koronahun!$A:$AM,34,FALSE),"")</f>
        <v>631</v>
      </c>
      <c r="AI41">
        <f>IFERROR(VLOOKUP($A41,koronahun!$A:$AM,35,FALSE),"")</f>
        <v>283.2</v>
      </c>
      <c r="AJ41">
        <f>IFERROR(VLOOKUP($A41,koronahun!$A:$AM,36,FALSE),"")</f>
        <v>6192048</v>
      </c>
      <c r="AK41">
        <f>IFERROR(VLOOKUP($A41,koronahun!$A:$AM,37,FALSE),"")</f>
        <v>703</v>
      </c>
      <c r="AL41">
        <f>IFERROR(VLOOKUP($A41,koronahun!$A:$AM,38,FALSE),"")</f>
        <v>347.6</v>
      </c>
      <c r="AM41" s="14">
        <f>IFERROR(VLOOKUP($A41,koronahun!$A:$AM,39,FALSE),"")</f>
        <v>5640.5714285714284</v>
      </c>
      <c r="AN41" s="11">
        <f ca="1">IFERROR(__xludf.DUMMYFUNCTION("""COMPUTED_VALUE"""),43933)</f>
        <v>43933</v>
      </c>
      <c r="AO41" s="12">
        <f ca="1">IFERROR(VLOOKUP(AN41,koronahun!A:B,2,FALSE),"")</f>
        <v>1410</v>
      </c>
      <c r="AP41" s="11">
        <f t="shared" ca="1" si="0"/>
        <v>43933</v>
      </c>
      <c r="AQ41" s="11">
        <f ca="1">IFERROR(__xludf.DUMMYFUNCTION("""COMPUTED_VALUE"""),43933)</f>
        <v>43933</v>
      </c>
      <c r="AR41" s="11">
        <v>44677</v>
      </c>
      <c r="AS41" s="11">
        <f t="shared" si="1"/>
        <v>44677</v>
      </c>
      <c r="AT41" s="11">
        <f ca="1">IFERROR(__xludf.DUMMYFUNCTION("""COMPUTED_VALUE"""),44676)</f>
        <v>44676</v>
      </c>
    </row>
    <row r="42" spans="1:46" ht="15.75" customHeight="1">
      <c r="A42" s="11">
        <v>44673</v>
      </c>
      <c r="B42">
        <f>IFERROR(VLOOKUP($A42,koronahun!$A:$AM,2,FALSE),"")</f>
        <v>1890953</v>
      </c>
      <c r="C42">
        <f>IFERROR(VLOOKUP($A42,koronahun!$A:$AM,3,FALSE),"")</f>
        <v>2047</v>
      </c>
      <c r="D42">
        <f>IFERROR(VLOOKUP($A42,koronahun!$A:$AM,4,FALSE),"")</f>
        <v>46048</v>
      </c>
      <c r="E42">
        <f>IFERROR(VLOOKUP($A42,koronahun!$A:$AM,5,FALSE),"")</f>
        <v>1776617</v>
      </c>
      <c r="F42">
        <f>IFERROR(VLOOKUP($A42,koronahun!$A:$AM,6,FALSE),"")</f>
        <v>11295119</v>
      </c>
      <c r="G42" s="12">
        <f>IFERROR(VLOOKUP($A42,koronahun!$A:$AM,7,FALSE),"")</f>
        <v>1152563.163265306</v>
      </c>
      <c r="H42">
        <f>IFERROR(VLOOKUP($A42,koronahun!$A:$AM,8,FALSE),"")</f>
        <v>0</v>
      </c>
      <c r="I42" s="13">
        <f>IFERROR(VLOOKUP($A42,koronahun!$A:$AM,9,FALSE),"")</f>
        <v>1.0836960653415257E-3</v>
      </c>
      <c r="J42" s="13">
        <f>IFERROR(VLOOKUP($A42,koronahun!$A:$AM,10,FALSE),"")</f>
        <v>0.16741328710215447</v>
      </c>
      <c r="K42" s="13">
        <f>IFERROR(VLOOKUP($A42,koronahun!$A:$AM,11,FALSE),"")</f>
        <v>8.4993815530280507E-4</v>
      </c>
      <c r="L42">
        <f>IFERROR(VLOOKUP($A42,koronahun!$A:$AM,12,FALSE),"")</f>
        <v>68288</v>
      </c>
      <c r="M42" s="13">
        <f>IFERROR(VLOOKUP($A42,koronahun!$A:$AM,13,FALSE),"")</f>
        <v>2.4351742216755255E-2</v>
      </c>
      <c r="N42" s="13">
        <f>IFERROR(VLOOKUP($A42,koronahun!$A:$AM,14,FALSE),"")</f>
        <v>0.9395352502151032</v>
      </c>
      <c r="O42">
        <f>IFERROR(VLOOKUP($A42,koronahun!$A:$AM,15,FALSE),"")</f>
        <v>1612</v>
      </c>
      <c r="P42">
        <f>IFERROR(VLOOKUP($A42,koronahun!$A:$AM,16,FALSE),"")</f>
        <v>9592</v>
      </c>
      <c r="Q42" s="13">
        <f>IFERROR(VLOOKUP($A42,koronahun!$A:$AM,17,FALSE),"")</f>
        <v>0.21340700583819849</v>
      </c>
      <c r="R42">
        <f>IFERROR(VLOOKUP($A42,koronahun!$A:$AM,18,FALSE),"")</f>
        <v>24</v>
      </c>
      <c r="S42">
        <f>IFERROR(VLOOKUP($A42,koronahun!$A:$AM,19,FALSE),"")</f>
        <v>6551</v>
      </c>
      <c r="T42">
        <f>IFERROR(VLOOKUP($A42,koronahun!$A:$AM,20,FALSE),"")</f>
        <v>1449</v>
      </c>
      <c r="U42">
        <f>IFERROR(VLOOKUP($A42,koronahun!$A:$AM,21,FALSE),"")</f>
        <v>45</v>
      </c>
      <c r="V42" s="13">
        <f>IFERROR(VLOOKUP($A42,koronahun!$A:$AM,22,FALSE),"")</f>
        <v>3.6113007568141564E-2</v>
      </c>
      <c r="W42">
        <f>IFERROR(VLOOKUP($A42,koronahun!$A:$AM,23,FALSE),"")</f>
        <v>-51</v>
      </c>
      <c r="X42">
        <f>IFERROR(VLOOKUP($A42,koronahun!$A:$AM,24,FALSE),"")</f>
        <v>-3</v>
      </c>
      <c r="Y42" s="14">
        <f>IFERROR(VLOOKUP($A42,koronahun!$A:$AM,25,FALSE),"")</f>
        <v>2.1218955014058107E-2</v>
      </c>
      <c r="Z42" s="14">
        <f>IFERROR(VLOOKUP($A42,koronahun!$A:$AM,26,FALSE),"")</f>
        <v>3.1055900621118012E-2</v>
      </c>
      <c r="AA42" s="14">
        <f>IFERROR(VLOOKUP($A42,koronahun!$A:$AM,27,FALSE),"")</f>
        <v>1</v>
      </c>
      <c r="AB42" s="14">
        <f>IFERROR(VLOOKUP($A42,koronahun!$A:$AM,28,FALSE),"")</f>
        <v>0.61012330910432233</v>
      </c>
      <c r="AC42" s="14">
        <f>IFERROR(VLOOKUP($A42,koronahun!$A:$AM,29,FALSE),"")</f>
        <v>1639</v>
      </c>
      <c r="AD42" s="14">
        <f>IFERROR(VLOOKUP($A42,koronahun!$A:$AM,30,FALSE),"")</f>
        <v>26.142857142857142</v>
      </c>
      <c r="AE42" s="14">
        <f>IFERROR(VLOOKUP($A42,koronahun!$A:$AM,31,FALSE),"")</f>
        <v>7220.8571428571431</v>
      </c>
      <c r="AF42" s="13">
        <f>IFERROR(VLOOKUP($A42,koronahun!$A:$AM,32,FALSE),"")</f>
        <v>0.24447697019828105</v>
      </c>
      <c r="AG42">
        <f>IFERROR(VLOOKUP($A42,koronahun!$A:$AM,33,FALSE),"")</f>
        <v>6405472</v>
      </c>
      <c r="AH42">
        <f>IFERROR(VLOOKUP($A42,koronahun!$A:$AM,34,FALSE),"")</f>
        <v>130</v>
      </c>
      <c r="AI42">
        <f>IFERROR(VLOOKUP($A42,koronahun!$A:$AM,35,FALSE),"")</f>
        <v>157</v>
      </c>
      <c r="AJ42">
        <f>IFERROR(VLOOKUP($A42,koronahun!$A:$AM,36,FALSE),"")</f>
        <v>6191345</v>
      </c>
      <c r="AK42">
        <f>IFERROR(VLOOKUP($A42,koronahun!$A:$AM,37,FALSE),"")</f>
        <v>191</v>
      </c>
      <c r="AL42">
        <f>IFERROR(VLOOKUP($A42,koronahun!$A:$AM,38,FALSE),"")</f>
        <v>207</v>
      </c>
      <c r="AM42" s="14">
        <f>IFERROR(VLOOKUP($A42,koronahun!$A:$AM,39,FALSE),"")</f>
        <v>3987.1428571428573</v>
      </c>
      <c r="AN42" s="11">
        <f ca="1">IFERROR(__xludf.DUMMYFUNCTION("""COMPUTED_VALUE"""),43934)</f>
        <v>43934</v>
      </c>
      <c r="AO42" s="12">
        <f ca="1">IFERROR(VLOOKUP(AN42,koronahun!A:B,2,FALSE),"")</f>
        <v>1458</v>
      </c>
      <c r="AP42" s="11">
        <f t="shared" ca="1" si="0"/>
        <v>43934</v>
      </c>
      <c r="AQ42" s="11">
        <f ca="1">IFERROR(__xludf.DUMMYFUNCTION("""COMPUTED_VALUE"""),43934)</f>
        <v>43934</v>
      </c>
      <c r="AR42" s="11">
        <v>44676</v>
      </c>
      <c r="AS42" s="11">
        <f t="shared" si="1"/>
        <v>44676</v>
      </c>
      <c r="AT42" s="11">
        <f ca="1">IFERROR(__xludf.DUMMYFUNCTION("""COMPUTED_VALUE"""),44673)</f>
        <v>44673</v>
      </c>
    </row>
    <row r="43" spans="1:46" ht="15.75" customHeight="1">
      <c r="A43" s="11">
        <v>44672</v>
      </c>
      <c r="B43">
        <f>IFERROR(VLOOKUP($A43,koronahun!$A:$AM,2,FALSE),"")</f>
        <v>1888906</v>
      </c>
      <c r="C43">
        <f>IFERROR(VLOOKUP($A43,koronahun!$A:$AM,3,FALSE),"")</f>
        <v>3041</v>
      </c>
      <c r="D43">
        <f>IFERROR(VLOOKUP($A43,koronahun!$A:$AM,4,FALSE),"")</f>
        <v>46024</v>
      </c>
      <c r="E43">
        <f>IFERROR(VLOOKUP($A43,koronahun!$A:$AM,5,FALSE),"")</f>
        <v>1770066</v>
      </c>
      <c r="F43">
        <f>IFERROR(VLOOKUP($A43,koronahun!$A:$AM,6,FALSE),"")</f>
        <v>11285527</v>
      </c>
      <c r="G43" s="12">
        <f>IFERROR(VLOOKUP($A43,koronahun!$A:$AM,7,FALSE),"")</f>
        <v>1151584.387755102</v>
      </c>
      <c r="H43">
        <f>IFERROR(VLOOKUP($A43,koronahun!$A:$AM,8,FALSE),"")</f>
        <v>0</v>
      </c>
      <c r="I43" s="13">
        <f>IFERROR(VLOOKUP($A43,koronahun!$A:$AM,9,FALSE),"")</f>
        <v>1.6125226355014808E-3</v>
      </c>
      <c r="J43" s="13">
        <f>IFERROR(VLOOKUP($A43,koronahun!$A:$AM,10,FALSE),"")</f>
        <v>0.16737419528569644</v>
      </c>
      <c r="K43" s="13">
        <f>IFERROR(VLOOKUP($A43,koronahun!$A:$AM,11,FALSE),"")</f>
        <v>5.8808957686808658E-4</v>
      </c>
      <c r="L43">
        <f>IFERROR(VLOOKUP($A43,koronahun!$A:$AM,12,FALSE),"")</f>
        <v>72816</v>
      </c>
      <c r="M43" s="13">
        <f>IFERROR(VLOOKUP($A43,koronahun!$A:$AM,13,FALSE),"")</f>
        <v>2.4365426336726125E-2</v>
      </c>
      <c r="N43" s="13">
        <f>IFERROR(VLOOKUP($A43,koronahun!$A:$AM,14,FALSE),"")</f>
        <v>0.93708527581573675</v>
      </c>
      <c r="O43">
        <f>IFERROR(VLOOKUP($A43,koronahun!$A:$AM,15,FALSE),"")</f>
        <v>1652</v>
      </c>
      <c r="P43">
        <f>IFERROR(VLOOKUP($A43,koronahun!$A:$AM,16,FALSE),"")</f>
        <v>6633</v>
      </c>
      <c r="Q43" s="13">
        <f>IFERROR(VLOOKUP($A43,koronahun!$A:$AM,17,FALSE),"")</f>
        <v>0.45846524951002565</v>
      </c>
      <c r="R43">
        <f>IFERROR(VLOOKUP($A43,koronahun!$A:$AM,18,FALSE),"")</f>
        <v>24</v>
      </c>
      <c r="S43">
        <f>IFERROR(VLOOKUP($A43,koronahun!$A:$AM,19,FALSE),"")</f>
        <v>6155</v>
      </c>
      <c r="T43">
        <f>IFERROR(VLOOKUP($A43,koronahun!$A:$AM,20,FALSE),"")</f>
        <v>1500</v>
      </c>
      <c r="U43">
        <f>IFERROR(VLOOKUP($A43,koronahun!$A:$AM,21,FALSE),"")</f>
        <v>48</v>
      </c>
      <c r="V43" s="13">
        <f>IFERROR(VLOOKUP($A43,koronahun!$A:$AM,22,FALSE),"")</f>
        <v>3.8549297847537148E-2</v>
      </c>
      <c r="W43">
        <f>IFERROR(VLOOKUP($A43,koronahun!$A:$AM,23,FALSE),"")</f>
        <v>-103</v>
      </c>
      <c r="X43">
        <f>IFERROR(VLOOKUP($A43,koronahun!$A:$AM,24,FALSE),"")</f>
        <v>1</v>
      </c>
      <c r="Y43" s="14">
        <f>IFERROR(VLOOKUP($A43,koronahun!$A:$AM,25,FALSE),"")</f>
        <v>2.0599868160843769E-2</v>
      </c>
      <c r="Z43" s="14">
        <f>IFERROR(VLOOKUP($A43,koronahun!$A:$AM,26,FALSE),"")</f>
        <v>3.2000000000000001E-2</v>
      </c>
      <c r="AA43" s="14">
        <f>IFERROR(VLOOKUP($A43,koronahun!$A:$AM,27,FALSE),"")</f>
        <v>0.67944928998774601</v>
      </c>
      <c r="AB43" s="14">
        <f>IFERROR(VLOOKUP($A43,koronahun!$A:$AM,28,FALSE),"")</f>
        <v>0.41012330910432232</v>
      </c>
      <c r="AC43" s="14">
        <f>IFERROR(VLOOKUP($A43,koronahun!$A:$AM,29,FALSE),"")</f>
        <v>1346.5714285714287</v>
      </c>
      <c r="AD43" s="14">
        <f>IFERROR(VLOOKUP($A43,koronahun!$A:$AM,30,FALSE),"")</f>
        <v>22.714285714285715</v>
      </c>
      <c r="AE43" s="14">
        <f>IFERROR(VLOOKUP($A43,koronahun!$A:$AM,31,FALSE),"")</f>
        <v>5850.5714285714284</v>
      </c>
      <c r="AF43" s="13">
        <f>IFERROR(VLOOKUP($A43,koronahun!$A:$AM,32,FALSE),"")</f>
        <v>0.20179556903064136</v>
      </c>
      <c r="AG43">
        <f>IFERROR(VLOOKUP($A43,koronahun!$A:$AM,33,FALSE),"")</f>
        <v>6405342</v>
      </c>
      <c r="AH43">
        <f>IFERROR(VLOOKUP($A43,koronahun!$A:$AM,34,FALSE),"")</f>
        <v>82</v>
      </c>
      <c r="AI43">
        <f>IFERROR(VLOOKUP($A43,koronahun!$A:$AM,35,FALSE),"")</f>
        <v>131</v>
      </c>
      <c r="AJ43">
        <f>IFERROR(VLOOKUP($A43,koronahun!$A:$AM,36,FALSE),"")</f>
        <v>6191154</v>
      </c>
      <c r="AK43">
        <f>IFERROR(VLOOKUP($A43,koronahun!$A:$AM,37,FALSE),"")</f>
        <v>136</v>
      </c>
      <c r="AL43">
        <f>IFERROR(VLOOKUP($A43,koronahun!$A:$AM,38,FALSE),"")</f>
        <v>168.8</v>
      </c>
      <c r="AM43" s="14">
        <f>IFERROR(VLOOKUP($A43,koronahun!$A:$AM,39,FALSE),"")</f>
        <v>3051.2857142857142</v>
      </c>
      <c r="AN43" s="11">
        <f ca="1">IFERROR(__xludf.DUMMYFUNCTION("""COMPUTED_VALUE"""),43935)</f>
        <v>43935</v>
      </c>
      <c r="AO43" s="12">
        <f ca="1">IFERROR(VLOOKUP(AN43,koronahun!A:B,2,FALSE),"")</f>
        <v>1512</v>
      </c>
      <c r="AP43" s="11">
        <f t="shared" ca="1" si="0"/>
        <v>43935</v>
      </c>
      <c r="AQ43" s="11">
        <f ca="1">IFERROR(__xludf.DUMMYFUNCTION("""COMPUTED_VALUE"""),43935)</f>
        <v>43935</v>
      </c>
      <c r="AR43" s="11">
        <v>44673</v>
      </c>
      <c r="AS43" s="11">
        <f t="shared" si="1"/>
        <v>44673</v>
      </c>
      <c r="AT43" s="11">
        <f ca="1">IFERROR(__xludf.DUMMYFUNCTION("""COMPUTED_VALUE"""),44672)</f>
        <v>44672</v>
      </c>
    </row>
    <row r="44" spans="1:46" ht="15.75" customHeight="1">
      <c r="A44" s="11">
        <v>44671</v>
      </c>
      <c r="B44">
        <f>IFERROR(VLOOKUP($A44,koronahun!$A:$AM,2,FALSE),"")</f>
        <v>1885865</v>
      </c>
      <c r="C44">
        <f>IFERROR(VLOOKUP($A44,koronahun!$A:$AM,3,FALSE),"")</f>
        <v>1407</v>
      </c>
      <c r="D44">
        <f>IFERROR(VLOOKUP($A44,koronahun!$A:$AM,4,FALSE),"")</f>
        <v>46000</v>
      </c>
      <c r="E44">
        <f>IFERROR(VLOOKUP($A44,koronahun!$A:$AM,5,FALSE),"")</f>
        <v>1763911</v>
      </c>
      <c r="F44">
        <f>IFERROR(VLOOKUP($A44,koronahun!$A:$AM,6,FALSE),"")</f>
        <v>11278894</v>
      </c>
      <c r="G44" s="12">
        <f>IFERROR(VLOOKUP($A44,koronahun!$A:$AM,7,FALSE),"")</f>
        <v>1150907.551020408</v>
      </c>
      <c r="H44">
        <f>IFERROR(VLOOKUP($A44,koronahun!$A:$AM,8,FALSE),"")</f>
        <v>0</v>
      </c>
      <c r="I44" s="13">
        <f>IFERROR(VLOOKUP($A44,koronahun!$A:$AM,9,FALSE),"")</f>
        <v>7.4663378011077981E-4</v>
      </c>
      <c r="J44" s="13">
        <f>IFERROR(VLOOKUP($A44,koronahun!$A:$AM,10,FALSE),"")</f>
        <v>0.16720300767078758</v>
      </c>
      <c r="K44" s="13">
        <f>IFERROR(VLOOKUP($A44,koronahun!$A:$AM,11,FALSE),"")</f>
        <v>3.2132265379696863E-4</v>
      </c>
      <c r="L44">
        <f>IFERROR(VLOOKUP($A44,koronahun!$A:$AM,12,FALSE),"")</f>
        <v>75954</v>
      </c>
      <c r="M44" s="13">
        <f>IFERROR(VLOOKUP($A44,koronahun!$A:$AM,13,FALSE),"")</f>
        <v>2.4391989882626804E-2</v>
      </c>
      <c r="N44" s="13">
        <f>IFERROR(VLOOKUP($A44,koronahun!$A:$AM,14,FALSE),"")</f>
        <v>0.93533259273595937</v>
      </c>
      <c r="O44">
        <f>IFERROR(VLOOKUP($A44,koronahun!$A:$AM,15,FALSE),"")</f>
        <v>1715</v>
      </c>
      <c r="P44">
        <f>IFERROR(VLOOKUP($A44,koronahun!$A:$AM,16,FALSE),"")</f>
        <v>3623</v>
      </c>
      <c r="Q44" s="13">
        <f>IFERROR(VLOOKUP($A44,koronahun!$A:$AM,17,FALSE),"")</f>
        <v>0.38835219431410434</v>
      </c>
      <c r="R44">
        <f>IFERROR(VLOOKUP($A44,koronahun!$A:$AM,18,FALSE),"")</f>
        <v>29</v>
      </c>
      <c r="S44">
        <f>IFERROR(VLOOKUP($A44,koronahun!$A:$AM,19,FALSE),"")</f>
        <v>3134</v>
      </c>
      <c r="T44">
        <f>IFERROR(VLOOKUP($A44,koronahun!$A:$AM,20,FALSE),"")</f>
        <v>1603</v>
      </c>
      <c r="U44">
        <f>IFERROR(VLOOKUP($A44,koronahun!$A:$AM,21,FALSE),"")</f>
        <v>47</v>
      </c>
      <c r="V44" s="13">
        <f>IFERROR(VLOOKUP($A44,koronahun!$A:$AM,22,FALSE),"")</f>
        <v>4.0275417381413832E-2</v>
      </c>
      <c r="W44">
        <f>IFERROR(VLOOKUP($A44,koronahun!$A:$AM,23,FALSE),"")</f>
        <v>43</v>
      </c>
      <c r="X44">
        <f>IFERROR(VLOOKUP($A44,koronahun!$A:$AM,24,FALSE),"")</f>
        <v>-2</v>
      </c>
      <c r="Y44" s="14">
        <f>IFERROR(VLOOKUP($A44,koronahun!$A:$AM,25,FALSE),"")</f>
        <v>2.1104879269031256E-2</v>
      </c>
      <c r="Z44" s="14">
        <f>IFERROR(VLOOKUP($A44,koronahun!$A:$AM,26,FALSE),"")</f>
        <v>2.9320024953212728E-2</v>
      </c>
      <c r="AA44" s="14">
        <f>IFERROR(VLOOKUP($A44,koronahun!$A:$AM,27,FALSE),"")</f>
        <v>0.64133170345868984</v>
      </c>
      <c r="AB44" s="14">
        <f>IFERROR(VLOOKUP($A44,koronahun!$A:$AM,28,FALSE),"")</f>
        <v>0.47622820940613247</v>
      </c>
      <c r="AC44" s="14">
        <f>IFERROR(VLOOKUP($A44,koronahun!$A:$AM,29,FALSE),"")</f>
        <v>1274.1428571428571</v>
      </c>
      <c r="AD44" s="14">
        <f>IFERROR(VLOOKUP($A44,koronahun!$A:$AM,30,FALSE),"")</f>
        <v>23.142857142857142</v>
      </c>
      <c r="AE44" s="14">
        <f>IFERROR(VLOOKUP($A44,koronahun!$A:$AM,31,FALSE),"")</f>
        <v>6504.5714285714284</v>
      </c>
      <c r="AF44" s="13">
        <f>IFERROR(VLOOKUP($A44,koronahun!$A:$AM,32,FALSE),"")</f>
        <v>0.15530812076988143</v>
      </c>
      <c r="AG44">
        <f>IFERROR(VLOOKUP($A44,koronahun!$A:$AM,33,FALSE),"")</f>
        <v>6405260</v>
      </c>
      <c r="AH44">
        <f>IFERROR(VLOOKUP($A44,koronahun!$A:$AM,34,FALSE),"")</f>
        <v>137</v>
      </c>
      <c r="AI44">
        <f>IFERROR(VLOOKUP($A44,koronahun!$A:$AM,35,FALSE),"")</f>
        <v>143.80000000000001</v>
      </c>
      <c r="AJ44">
        <f>IFERROR(VLOOKUP($A44,koronahun!$A:$AM,36,FALSE),"")</f>
        <v>6191018</v>
      </c>
      <c r="AK44">
        <f>IFERROR(VLOOKUP($A44,koronahun!$A:$AM,37,FALSE),"")</f>
        <v>225</v>
      </c>
      <c r="AL44">
        <f>IFERROR(VLOOKUP($A44,koronahun!$A:$AM,38,FALSE),"")</f>
        <v>175.6</v>
      </c>
      <c r="AM44" s="14">
        <f>IFERROR(VLOOKUP($A44,koronahun!$A:$AM,39,FALSE),"")</f>
        <v>3122.8571428571427</v>
      </c>
      <c r="AN44" s="11">
        <f ca="1">IFERROR(__xludf.DUMMYFUNCTION("""COMPUTED_VALUE"""),43936)</f>
        <v>43936</v>
      </c>
      <c r="AO44" s="12">
        <f ca="1">IFERROR(VLOOKUP(AN44,koronahun!A:B,2,FALSE),"")</f>
        <v>1579</v>
      </c>
      <c r="AP44" s="11">
        <f t="shared" ca="1" si="0"/>
        <v>43936</v>
      </c>
      <c r="AQ44" s="11">
        <f ca="1">IFERROR(__xludf.DUMMYFUNCTION("""COMPUTED_VALUE"""),43936)</f>
        <v>43936</v>
      </c>
      <c r="AR44" s="11">
        <v>44672</v>
      </c>
      <c r="AS44" s="11">
        <f t="shared" si="1"/>
        <v>44672</v>
      </c>
      <c r="AT44" s="11">
        <f ca="1">IFERROR(__xludf.DUMMYFUNCTION("""COMPUTED_VALUE"""),44671)</f>
        <v>44671</v>
      </c>
    </row>
    <row r="45" spans="1:46" ht="15.75" customHeight="1">
      <c r="A45" s="11">
        <v>44670</v>
      </c>
      <c r="B45">
        <f>IFERROR(VLOOKUP($A45,koronahun!$A:$AM,2,FALSE),"")</f>
        <v>1884458</v>
      </c>
      <c r="C45">
        <f>IFERROR(VLOOKUP($A45,koronahun!$A:$AM,3,FALSE),"")</f>
        <v>4978</v>
      </c>
      <c r="D45">
        <f>IFERROR(VLOOKUP($A45,koronahun!$A:$AM,4,FALSE),"")</f>
        <v>45971</v>
      </c>
      <c r="E45">
        <f>IFERROR(VLOOKUP($A45,koronahun!$A:$AM,5,FALSE),"")</f>
        <v>1760777</v>
      </c>
      <c r="F45">
        <f>IFERROR(VLOOKUP($A45,koronahun!$A:$AM,6,FALSE),"")</f>
        <v>11275271</v>
      </c>
      <c r="G45" s="12">
        <f>IFERROR(VLOOKUP($A45,koronahun!$A:$AM,7,FALSE),"")</f>
        <v>1150537.857142857</v>
      </c>
      <c r="H45">
        <f>IFERROR(VLOOKUP($A45,koronahun!$A:$AM,8,FALSE),"")</f>
        <v>0</v>
      </c>
      <c r="I45" s="13">
        <f>IFERROR(VLOOKUP($A45,koronahun!$A:$AM,9,FALSE),"")</f>
        <v>2.6486049332794179E-3</v>
      </c>
      <c r="J45" s="13">
        <f>IFERROR(VLOOKUP($A45,koronahun!$A:$AM,10,FALSE),"")</f>
        <v>0.16713194742725029</v>
      </c>
      <c r="K45" s="13">
        <f>IFERROR(VLOOKUP($A45,koronahun!$A:$AM,11,FALSE),"")</f>
        <v>2.7300280766552895E-3</v>
      </c>
      <c r="L45">
        <f>IFERROR(VLOOKUP($A45,koronahun!$A:$AM,12,FALSE),"")</f>
        <v>77710</v>
      </c>
      <c r="M45" s="13">
        <f>IFERROR(VLOOKUP($A45,koronahun!$A:$AM,13,FALSE),"")</f>
        <v>2.4394812725993361E-2</v>
      </c>
      <c r="N45" s="13">
        <f>IFERROR(VLOOKUP($A45,koronahun!$A:$AM,14,FALSE),"")</f>
        <v>0.93436786598586963</v>
      </c>
      <c r="O45">
        <f>IFERROR(VLOOKUP($A45,koronahun!$A:$AM,15,FALSE),"")</f>
        <v>3609</v>
      </c>
      <c r="P45">
        <f>IFERROR(VLOOKUP($A45,koronahun!$A:$AM,16,FALSE),"")</f>
        <v>30698</v>
      </c>
      <c r="Q45" s="13">
        <f>IFERROR(VLOOKUP($A45,koronahun!$A:$AM,17,FALSE),"")</f>
        <v>0.1621604013290768</v>
      </c>
      <c r="R45">
        <f>IFERROR(VLOOKUP($A45,koronahun!$A:$AM,18,FALSE),"")</f>
        <v>106</v>
      </c>
      <c r="S45">
        <f>IFERROR(VLOOKUP($A45,koronahun!$A:$AM,19,FALSE),"")</f>
        <v>12070</v>
      </c>
      <c r="T45">
        <f>IFERROR(VLOOKUP($A45,koronahun!$A:$AM,20,FALSE),"")</f>
        <v>1560</v>
      </c>
      <c r="U45">
        <f>IFERROR(VLOOKUP($A45,koronahun!$A:$AM,21,FALSE),"")</f>
        <v>49</v>
      </c>
      <c r="V45" s="13">
        <f>IFERROR(VLOOKUP($A45,koronahun!$A:$AM,22,FALSE),"")</f>
        <v>4.1237321288136959E-2</v>
      </c>
      <c r="W45">
        <f>IFERROR(VLOOKUP($A45,koronahun!$A:$AM,23,FALSE),"")</f>
        <v>-88</v>
      </c>
      <c r="X45">
        <f>IFERROR(VLOOKUP($A45,koronahun!$A:$AM,24,FALSE),"")</f>
        <v>-1</v>
      </c>
      <c r="Y45" s="14">
        <f>IFERROR(VLOOKUP($A45,koronahun!$A:$AM,25,FALSE),"")</f>
        <v>2.0074636468922918E-2</v>
      </c>
      <c r="Z45" s="14">
        <f>IFERROR(VLOOKUP($A45,koronahun!$A:$AM,26,FALSE),"")</f>
        <v>3.141025641025641E-2</v>
      </c>
      <c r="AA45" s="14">
        <f>IFERROR(VLOOKUP($A45,koronahun!$A:$AM,27,FALSE),"")</f>
        <v>0.72983555207517614</v>
      </c>
      <c r="AB45" s="14">
        <f>IFERROR(VLOOKUP($A45,koronahun!$A:$AM,28,FALSE),"")</f>
        <v>0.54919179202505874</v>
      </c>
      <c r="AC45" s="14">
        <f>IFERROR(VLOOKUP($A45,koronahun!$A:$AM,29,FALSE),"")</f>
        <v>1464.5714285714287</v>
      </c>
      <c r="AD45" s="14">
        <f>IFERROR(VLOOKUP($A45,koronahun!$A:$AM,30,FALSE),"")</f>
        <v>22.714285714285715</v>
      </c>
      <c r="AE45" s="14">
        <f>IFERROR(VLOOKUP($A45,koronahun!$A:$AM,31,FALSE),"")</f>
        <v>7178.7142857142853</v>
      </c>
      <c r="AF45" s="13">
        <f>IFERROR(VLOOKUP($A45,koronahun!$A:$AM,32,FALSE),"")</f>
        <v>0.14332936255918238</v>
      </c>
      <c r="AG45">
        <f>IFERROR(VLOOKUP($A45,koronahun!$A:$AM,33,FALSE),"")</f>
        <v>6405123</v>
      </c>
      <c r="AH45">
        <f>IFERROR(VLOOKUP($A45,koronahun!$A:$AM,34,FALSE),"")</f>
        <v>436</v>
      </c>
      <c r="AI45">
        <f>IFERROR(VLOOKUP($A45,koronahun!$A:$AM,35,FALSE),"")</f>
        <v>137.4</v>
      </c>
      <c r="AJ45">
        <f>IFERROR(VLOOKUP($A45,koronahun!$A:$AM,36,FALSE),"")</f>
        <v>6190793</v>
      </c>
      <c r="AK45">
        <f>IFERROR(VLOOKUP($A45,koronahun!$A:$AM,37,FALSE),"")</f>
        <v>483</v>
      </c>
      <c r="AL45">
        <f>IFERROR(VLOOKUP($A45,koronahun!$A:$AM,38,FALSE),"")</f>
        <v>176</v>
      </c>
      <c r="AM45" s="14">
        <f>IFERROR(VLOOKUP($A45,koronahun!$A:$AM,39,FALSE),"")</f>
        <v>3549.7142857142858</v>
      </c>
      <c r="AN45" s="11">
        <f ca="1">IFERROR(__xludf.DUMMYFUNCTION("""COMPUTED_VALUE"""),43937)</f>
        <v>43937</v>
      </c>
      <c r="AO45" s="12">
        <f ca="1">IFERROR(VLOOKUP(AN45,koronahun!A:B,2,FALSE),"")</f>
        <v>1652</v>
      </c>
      <c r="AP45" s="11">
        <f t="shared" ca="1" si="0"/>
        <v>43937</v>
      </c>
      <c r="AQ45" s="11">
        <f ca="1">IFERROR(__xludf.DUMMYFUNCTION("""COMPUTED_VALUE"""),43937)</f>
        <v>43937</v>
      </c>
      <c r="AR45" s="11">
        <v>44671</v>
      </c>
      <c r="AS45" s="11">
        <f t="shared" si="1"/>
        <v>44671</v>
      </c>
      <c r="AT45" s="11">
        <f ca="1">IFERROR(__xludf.DUMMYFUNCTION("""COMPUTED_VALUE"""),44670)</f>
        <v>44670</v>
      </c>
    </row>
    <row r="46" spans="1:46" ht="15.75" customHeight="1">
      <c r="A46" s="11">
        <v>44665</v>
      </c>
      <c r="B46">
        <f>IFERROR(VLOOKUP($A46,koronahun!$A:$AM,2,FALSE),"")</f>
        <v>1879480</v>
      </c>
      <c r="C46">
        <f>IFERROR(VLOOKUP($A46,koronahun!$A:$AM,3,FALSE),"")</f>
        <v>2534</v>
      </c>
      <c r="D46">
        <f>IFERROR(VLOOKUP($A46,koronahun!$A:$AM,4,FALSE),"")</f>
        <v>45865</v>
      </c>
      <c r="E46">
        <f>IFERROR(VLOOKUP($A46,koronahun!$A:$AM,5,FALSE),"")</f>
        <v>1748707</v>
      </c>
      <c r="F46">
        <f>IFERROR(VLOOKUP($A46,koronahun!$A:$AM,6,FALSE),"")</f>
        <v>11244573</v>
      </c>
      <c r="G46" s="12">
        <f>IFERROR(VLOOKUP($A46,koronahun!$A:$AM,7,FALSE),"")</f>
        <v>1147405.4081632653</v>
      </c>
      <c r="H46">
        <f>IFERROR(VLOOKUP($A46,koronahun!$A:$AM,8,FALSE),"")</f>
        <v>0</v>
      </c>
      <c r="I46" s="13">
        <f>IFERROR(VLOOKUP($A46,koronahun!$A:$AM,9,FALSE),"")</f>
        <v>1.3500654787084977E-3</v>
      </c>
      <c r="J46" s="13">
        <f>IFERROR(VLOOKUP($A46,koronahun!$A:$AM,10,FALSE),"")</f>
        <v>0.1671455198876827</v>
      </c>
      <c r="K46" s="13">
        <f>IFERROR(VLOOKUP($A46,koronahun!$A:$AM,11,FALSE),"")</f>
        <v>9.9800932258748538E-4</v>
      </c>
      <c r="L46">
        <f>IFERROR(VLOOKUP($A46,koronahun!$A:$AM,12,FALSE),"")</f>
        <v>84908</v>
      </c>
      <c r="M46" s="13">
        <f>IFERROR(VLOOKUP($A46,koronahun!$A:$AM,13,FALSE),"")</f>
        <v>2.4403026368995679E-2</v>
      </c>
      <c r="N46" s="13">
        <f>IFERROR(VLOOKUP($A46,koronahun!$A:$AM,14,FALSE),"")</f>
        <v>0.93042064826441351</v>
      </c>
      <c r="O46">
        <f>IFERROR(VLOOKUP($A46,koronahun!$A:$AM,15,FALSE),"")</f>
        <v>3931</v>
      </c>
      <c r="P46">
        <f>IFERROR(VLOOKUP($A46,koronahun!$A:$AM,16,FALSE),"")</f>
        <v>11211</v>
      </c>
      <c r="Q46" s="13">
        <f>IFERROR(VLOOKUP($A46,koronahun!$A:$AM,17,FALSE),"")</f>
        <v>0.22602800820622604</v>
      </c>
      <c r="R46">
        <f>IFERROR(VLOOKUP($A46,koronahun!$A:$AM,18,FALSE),"")</f>
        <v>27</v>
      </c>
      <c r="S46">
        <f>IFERROR(VLOOKUP($A46,koronahun!$A:$AM,19,FALSE),"")</f>
        <v>6656</v>
      </c>
      <c r="T46">
        <f>IFERROR(VLOOKUP($A46,koronahun!$A:$AM,20,FALSE),"")</f>
        <v>1648</v>
      </c>
      <c r="U46">
        <f>IFERROR(VLOOKUP($A46,koronahun!$A:$AM,21,FALSE),"")</f>
        <v>50</v>
      </c>
      <c r="V46" s="13">
        <f>IFERROR(VLOOKUP($A46,koronahun!$A:$AM,22,FALSE),"")</f>
        <v>4.5176325366590761E-2</v>
      </c>
      <c r="W46">
        <f>IFERROR(VLOOKUP($A46,koronahun!$A:$AM,23,FALSE),"")</f>
        <v>-69</v>
      </c>
      <c r="X46">
        <f>IFERROR(VLOOKUP($A46,koronahun!$A:$AM,24,FALSE),"")</f>
        <v>3</v>
      </c>
      <c r="Y46" s="14">
        <f>IFERROR(VLOOKUP($A46,koronahun!$A:$AM,25,FALSE),"")</f>
        <v>1.9409242945305508E-2</v>
      </c>
      <c r="Z46" s="14">
        <f>IFERROR(VLOOKUP($A46,koronahun!$A:$AM,26,FALSE),"")</f>
        <v>3.0339805825242719E-2</v>
      </c>
      <c r="AA46" s="14">
        <f>IFERROR(VLOOKUP($A46,koronahun!$A:$AM,27,FALSE),"")</f>
        <v>1.0099737914967968</v>
      </c>
      <c r="AB46" s="14">
        <f>IFERROR(VLOOKUP($A46,koronahun!$A:$AM,28,FALSE),"")</f>
        <v>1.1762321473885178</v>
      </c>
      <c r="AC46" s="14">
        <f>IFERROR(VLOOKUP($A46,koronahun!$A:$AM,29,FALSE),"")</f>
        <v>1981.8571428571429</v>
      </c>
      <c r="AD46" s="14">
        <f>IFERROR(VLOOKUP($A46,koronahun!$A:$AM,30,FALSE),"")</f>
        <v>25.857142857142858</v>
      </c>
      <c r="AE46" s="14">
        <f>IFERROR(VLOOKUP($A46,koronahun!$A:$AM,31,FALSE),"")</f>
        <v>9213.8571428571431</v>
      </c>
      <c r="AF46" s="13">
        <f>IFERROR(VLOOKUP($A46,koronahun!$A:$AM,32,FALSE),"")</f>
        <v>0.26077619044282407</v>
      </c>
      <c r="AG46">
        <f>IFERROR(VLOOKUP($A46,koronahun!$A:$AM,33,FALSE),"")</f>
        <v>6404687</v>
      </c>
      <c r="AH46">
        <f>IFERROR(VLOOKUP($A46,koronahun!$A:$AM,34,FALSE),"")</f>
        <v>146</v>
      </c>
      <c r="AI46">
        <f>IFERROR(VLOOKUP($A46,koronahun!$A:$AM,35,FALSE),"")</f>
        <v>204</v>
      </c>
      <c r="AJ46">
        <f>IFERROR(VLOOKUP($A46,koronahun!$A:$AM,36,FALSE),"")</f>
        <v>6190310</v>
      </c>
      <c r="AK46">
        <f>IFERROR(VLOOKUP($A46,koronahun!$A:$AM,37,FALSE),"")</f>
        <v>170</v>
      </c>
      <c r="AL46">
        <f>IFERROR(VLOOKUP($A46,koronahun!$A:$AM,38,FALSE),"")</f>
        <v>300.60000000000002</v>
      </c>
      <c r="AM46" s="14">
        <f>IFERROR(VLOOKUP($A46,koronahun!$A:$AM,39,FALSE),"")</f>
        <v>3669.5714285714284</v>
      </c>
      <c r="AN46" s="11">
        <f ca="1">IFERROR(__xludf.DUMMYFUNCTION("""COMPUTED_VALUE"""),43938)</f>
        <v>43938</v>
      </c>
      <c r="AO46" s="12">
        <f ca="1">IFERROR(VLOOKUP(AN46,koronahun!A:B,2,FALSE),"")</f>
        <v>1763</v>
      </c>
      <c r="AP46" s="11">
        <f t="shared" ca="1" si="0"/>
        <v>43938</v>
      </c>
      <c r="AQ46" s="11">
        <f ca="1">IFERROR(__xludf.DUMMYFUNCTION("""COMPUTED_VALUE"""),43938)</f>
        <v>43938</v>
      </c>
      <c r="AR46" s="11">
        <v>44670</v>
      </c>
      <c r="AS46" s="11">
        <f t="shared" si="1"/>
        <v>44670</v>
      </c>
      <c r="AT46" s="11">
        <f ca="1">IFERROR(__xludf.DUMMYFUNCTION("""COMPUTED_VALUE"""),44665)</f>
        <v>44665</v>
      </c>
    </row>
    <row r="47" spans="1:46" ht="15.75" customHeight="1">
      <c r="A47" s="11">
        <v>44664</v>
      </c>
      <c r="B47">
        <f>IFERROR(VLOOKUP($A47,koronahun!$A:$AM,2,FALSE),"")</f>
        <v>1876946</v>
      </c>
      <c r="C47">
        <f>IFERROR(VLOOKUP($A47,koronahun!$A:$AM,3,FALSE),"")</f>
        <v>2740</v>
      </c>
      <c r="D47">
        <f>IFERROR(VLOOKUP($A47,koronahun!$A:$AM,4,FALSE),"")</f>
        <v>45838</v>
      </c>
      <c r="E47">
        <f>IFERROR(VLOOKUP($A47,koronahun!$A:$AM,5,FALSE),"")</f>
        <v>1742051</v>
      </c>
      <c r="F47">
        <f>IFERROR(VLOOKUP($A47,koronahun!$A:$AM,6,FALSE),"")</f>
        <v>11233362</v>
      </c>
      <c r="G47" s="12">
        <f>IFERROR(VLOOKUP($A47,koronahun!$A:$AM,7,FALSE),"")</f>
        <v>1146261.4285714284</v>
      </c>
      <c r="H47">
        <f>IFERROR(VLOOKUP($A47,koronahun!$A:$AM,8,FALSE),"")</f>
        <v>0</v>
      </c>
      <c r="I47" s="13">
        <f>IFERROR(VLOOKUP($A47,koronahun!$A:$AM,9,FALSE),"")</f>
        <v>1.4619524214520708E-3</v>
      </c>
      <c r="J47" s="13">
        <f>IFERROR(VLOOKUP($A47,koronahun!$A:$AM,10,FALSE),"")</f>
        <v>0.16708675461540365</v>
      </c>
      <c r="K47" s="13">
        <f>IFERROR(VLOOKUP($A47,koronahun!$A:$AM,11,FALSE),"")</f>
        <v>7.4316125940087415E-4</v>
      </c>
      <c r="L47">
        <f>IFERROR(VLOOKUP($A47,koronahun!$A:$AM,12,FALSE),"")</f>
        <v>89057</v>
      </c>
      <c r="M47" s="13">
        <f>IFERROR(VLOOKUP($A47,koronahun!$A:$AM,13,FALSE),"")</f>
        <v>2.4421586982257347E-2</v>
      </c>
      <c r="N47" s="13">
        <f>IFERROR(VLOOKUP($A47,koronahun!$A:$AM,14,FALSE),"")</f>
        <v>0.92813059086409522</v>
      </c>
      <c r="O47">
        <f>IFERROR(VLOOKUP($A47,koronahun!$A:$AM,15,FALSE),"")</f>
        <v>5027</v>
      </c>
      <c r="P47">
        <f>IFERROR(VLOOKUP($A47,koronahun!$A:$AM,16,FALSE),"")</f>
        <v>8342</v>
      </c>
      <c r="Q47" s="13">
        <f>IFERROR(VLOOKUP($A47,koronahun!$A:$AM,17,FALSE),"")</f>
        <v>0.32845840326060899</v>
      </c>
      <c r="R47">
        <f>IFERROR(VLOOKUP($A47,koronahun!$A:$AM,18,FALSE),"")</f>
        <v>26</v>
      </c>
      <c r="S47">
        <f>IFERROR(VLOOKUP($A47,koronahun!$A:$AM,19,FALSE),"")</f>
        <v>6122</v>
      </c>
      <c r="T47">
        <f>IFERROR(VLOOKUP($A47,koronahun!$A:$AM,20,FALSE),"")</f>
        <v>1717</v>
      </c>
      <c r="U47">
        <f>IFERROR(VLOOKUP($A47,koronahun!$A:$AM,21,FALSE),"")</f>
        <v>47</v>
      </c>
      <c r="V47" s="13">
        <f>IFERROR(VLOOKUP($A47,koronahun!$A:$AM,22,FALSE),"")</f>
        <v>4.744782215364747E-2</v>
      </c>
      <c r="W47">
        <f>IFERROR(VLOOKUP($A47,koronahun!$A:$AM,23,FALSE),"")</f>
        <v>-83</v>
      </c>
      <c r="X47">
        <f>IFERROR(VLOOKUP($A47,koronahun!$A:$AM,24,FALSE),"")</f>
        <v>-4</v>
      </c>
      <c r="Y47" s="14">
        <f>IFERROR(VLOOKUP($A47,koronahun!$A:$AM,25,FALSE),"")</f>
        <v>1.9279787102642127E-2</v>
      </c>
      <c r="Z47" s="14">
        <f>IFERROR(VLOOKUP($A47,koronahun!$A:$AM,26,FALSE),"")</f>
        <v>2.7373325567850902E-2</v>
      </c>
      <c r="AA47" s="14">
        <f>IFERROR(VLOOKUP($A47,koronahun!$A:$AM,27,FALSE),"")</f>
        <v>1.0061496165533208</v>
      </c>
      <c r="AB47" s="14">
        <f>IFERROR(VLOOKUP($A47,koronahun!$A:$AM,28,FALSE),"")</f>
        <v>1.1579720065316412</v>
      </c>
      <c r="AC47" s="14">
        <f>IFERROR(VLOOKUP($A47,koronahun!$A:$AM,29,FALSE),"")</f>
        <v>1986.7142857142858</v>
      </c>
      <c r="AD47" s="14">
        <f>IFERROR(VLOOKUP($A47,koronahun!$A:$AM,30,FALSE),"")</f>
        <v>27.285714285714285</v>
      </c>
      <c r="AE47" s="14">
        <f>IFERROR(VLOOKUP($A47,koronahun!$A:$AM,31,FALSE),"")</f>
        <v>9241.1428571428569</v>
      </c>
      <c r="AF47" s="13">
        <f>IFERROR(VLOOKUP($A47,koronahun!$A:$AM,32,FALSE),"")</f>
        <v>0.26061531779649205</v>
      </c>
      <c r="AG47">
        <f>IFERROR(VLOOKUP($A47,koronahun!$A:$AM,33,FALSE),"")</f>
        <v>6404541</v>
      </c>
      <c r="AH47">
        <f>IFERROR(VLOOKUP($A47,koronahun!$A:$AM,34,FALSE),"")</f>
        <v>105</v>
      </c>
      <c r="AI47">
        <f>IFERROR(VLOOKUP($A47,koronahun!$A:$AM,35,FALSE),"")</f>
        <v>201.8</v>
      </c>
      <c r="AJ47">
        <f>IFERROR(VLOOKUP($A47,koronahun!$A:$AM,36,FALSE),"")</f>
        <v>6190140</v>
      </c>
      <c r="AK47">
        <f>IFERROR(VLOOKUP($A47,koronahun!$A:$AM,37,FALSE),"")</f>
        <v>227</v>
      </c>
      <c r="AL47">
        <f>IFERROR(VLOOKUP($A47,koronahun!$A:$AM,38,FALSE),"")</f>
        <v>304</v>
      </c>
      <c r="AM47" s="14">
        <f>IFERROR(VLOOKUP($A47,koronahun!$A:$AM,39,FALSE),"")</f>
        <v>3079.1428571428573</v>
      </c>
      <c r="AN47" s="11">
        <f ca="1">IFERROR(__xludf.DUMMYFUNCTION("""COMPUTED_VALUE"""),43939)</f>
        <v>43939</v>
      </c>
      <c r="AO47" s="12">
        <f ca="1">IFERROR(VLOOKUP(AN47,koronahun!A:B,2,FALSE),"")</f>
        <v>1834</v>
      </c>
      <c r="AP47" s="11">
        <f t="shared" ca="1" si="0"/>
        <v>43939</v>
      </c>
      <c r="AQ47" s="11">
        <f ca="1">IFERROR(__xludf.DUMMYFUNCTION("""COMPUTED_VALUE"""),43939)</f>
        <v>43939</v>
      </c>
      <c r="AR47" s="11">
        <v>44665</v>
      </c>
      <c r="AS47" s="11">
        <f t="shared" si="1"/>
        <v>44665</v>
      </c>
      <c r="AT47" s="11">
        <f ca="1">IFERROR(__xludf.DUMMYFUNCTION("""COMPUTED_VALUE"""),44664)</f>
        <v>44664</v>
      </c>
    </row>
    <row r="48" spans="1:46" ht="15.75" customHeight="1">
      <c r="A48" s="11">
        <v>44663</v>
      </c>
      <c r="B48">
        <f>IFERROR(VLOOKUP($A48,koronahun!$A:$AM,2,FALSE),"")</f>
        <v>1874206</v>
      </c>
      <c r="C48">
        <f>IFERROR(VLOOKUP($A48,koronahun!$A:$AM,3,FALSE),"")</f>
        <v>1542</v>
      </c>
      <c r="D48">
        <f>IFERROR(VLOOKUP($A48,koronahun!$A:$AM,4,FALSE),"")</f>
        <v>45812</v>
      </c>
      <c r="E48">
        <f>IFERROR(VLOOKUP($A48,koronahun!$A:$AM,5,FALSE),"")</f>
        <v>1735929</v>
      </c>
      <c r="F48">
        <f>IFERROR(VLOOKUP($A48,koronahun!$A:$AM,6,FALSE),"")</f>
        <v>11225020</v>
      </c>
      <c r="G48" s="12">
        <f>IFERROR(VLOOKUP($A48,koronahun!$A:$AM,7,FALSE),"")</f>
        <v>1145410.2040816327</v>
      </c>
      <c r="H48">
        <f>IFERROR(VLOOKUP($A48,koronahun!$A:$AM,8,FALSE),"")</f>
        <v>0</v>
      </c>
      <c r="I48" s="13">
        <f>IFERROR(VLOOKUP($A48,koronahun!$A:$AM,9,FALSE),"")</f>
        <v>8.2342587885493612E-4</v>
      </c>
      <c r="J48" s="13">
        <f>IFERROR(VLOOKUP($A48,koronahun!$A:$AM,10,FALSE),"")</f>
        <v>0.16696682945776489</v>
      </c>
      <c r="K48" s="13">
        <f>IFERROR(VLOOKUP($A48,koronahun!$A:$AM,11,FALSE),"")</f>
        <v>3.5558233067730857E-4</v>
      </c>
      <c r="L48">
        <f>IFERROR(VLOOKUP($A48,koronahun!$A:$AM,12,FALSE),"")</f>
        <v>92465</v>
      </c>
      <c r="M48" s="13">
        <f>IFERROR(VLOOKUP($A48,koronahun!$A:$AM,13,FALSE),"")</f>
        <v>2.4443417639256303E-2</v>
      </c>
      <c r="N48" s="13">
        <f>IFERROR(VLOOKUP($A48,koronahun!$A:$AM,14,FALSE),"")</f>
        <v>0.92622102372951531</v>
      </c>
      <c r="O48">
        <f>IFERROR(VLOOKUP($A48,koronahun!$A:$AM,15,FALSE),"")</f>
        <v>8681</v>
      </c>
      <c r="P48">
        <f>IFERROR(VLOOKUP($A48,koronahun!$A:$AM,16,FALSE),"")</f>
        <v>3990</v>
      </c>
      <c r="Q48" s="13">
        <f>IFERROR(VLOOKUP($A48,koronahun!$A:$AM,17,FALSE),"")</f>
        <v>0.38646616541353385</v>
      </c>
      <c r="R48">
        <f>IFERROR(VLOOKUP($A48,koronahun!$A:$AM,18,FALSE),"")</f>
        <v>31</v>
      </c>
      <c r="S48">
        <f>IFERROR(VLOOKUP($A48,koronahun!$A:$AM,19,FALSE),"")</f>
        <v>4113</v>
      </c>
      <c r="T48">
        <f>IFERROR(VLOOKUP($A48,koronahun!$A:$AM,20,FALSE),"")</f>
        <v>1800</v>
      </c>
      <c r="U48">
        <f>IFERROR(VLOOKUP($A48,koronahun!$A:$AM,21,FALSE),"")</f>
        <v>51</v>
      </c>
      <c r="V48" s="13">
        <f>IFERROR(VLOOKUP($A48,koronahun!$A:$AM,22,FALSE),"")</f>
        <v>4.933555863122837E-2</v>
      </c>
      <c r="W48">
        <f>IFERROR(VLOOKUP($A48,koronahun!$A:$AM,23,FALSE),"")</f>
        <v>45</v>
      </c>
      <c r="X48">
        <f>IFERROR(VLOOKUP($A48,koronahun!$A:$AM,24,FALSE),"")</f>
        <v>3</v>
      </c>
      <c r="Y48" s="14">
        <f>IFERROR(VLOOKUP($A48,koronahun!$A:$AM,25,FALSE),"")</f>
        <v>1.9466825285243065E-2</v>
      </c>
      <c r="Z48" s="14">
        <f>IFERROR(VLOOKUP($A48,koronahun!$A:$AM,26,FALSE),"")</f>
        <v>2.8333333333333332E-2</v>
      </c>
      <c r="AA48" s="14">
        <f>IFERROR(VLOOKUP($A48,koronahun!$A:$AM,27,FALSE),"")</f>
        <v>1.014370306181398</v>
      </c>
      <c r="AB48" s="14">
        <f>IFERROR(VLOOKUP($A48,koronahun!$A:$AM,28,FALSE),"")</f>
        <v>1.1416641515867541</v>
      </c>
      <c r="AC48" s="14">
        <f>IFERROR(VLOOKUP($A48,koronahun!$A:$AM,29,FALSE),"")</f>
        <v>2006.7142857142858</v>
      </c>
      <c r="AD48" s="14">
        <f>IFERROR(VLOOKUP($A48,koronahun!$A:$AM,30,FALSE),"")</f>
        <v>28.714285714285715</v>
      </c>
      <c r="AE48" s="14">
        <f>IFERROR(VLOOKUP($A48,koronahun!$A:$AM,31,FALSE),"")</f>
        <v>9441.4285714285706</v>
      </c>
      <c r="AF48" s="13">
        <f>IFERROR(VLOOKUP($A48,koronahun!$A:$AM,32,FALSE),"")</f>
        <v>0.2540369376369811</v>
      </c>
      <c r="AG48">
        <f>IFERROR(VLOOKUP($A48,koronahun!$A:$AM,33,FALSE),"")</f>
        <v>6404436</v>
      </c>
      <c r="AH48">
        <f>IFERROR(VLOOKUP($A48,koronahun!$A:$AM,34,FALSE),"")</f>
        <v>88</v>
      </c>
      <c r="AI48">
        <f>IFERROR(VLOOKUP($A48,koronahun!$A:$AM,35,FALSE),"")</f>
        <v>202.2</v>
      </c>
      <c r="AJ48">
        <f>IFERROR(VLOOKUP($A48,koronahun!$A:$AM,36,FALSE),"")</f>
        <v>6189913</v>
      </c>
      <c r="AK48">
        <f>IFERROR(VLOOKUP($A48,koronahun!$A:$AM,37,FALSE),"")</f>
        <v>126</v>
      </c>
      <c r="AL48">
        <f>IFERROR(VLOOKUP($A48,koronahun!$A:$AM,38,FALSE),"")</f>
        <v>282.39999999999998</v>
      </c>
      <c r="AM48" s="14">
        <f>IFERROR(VLOOKUP($A48,koronahun!$A:$AM,39,FALSE),"")</f>
        <v>2665.8571428571427</v>
      </c>
      <c r="AN48" s="11">
        <f ca="1">IFERROR(__xludf.DUMMYFUNCTION("""COMPUTED_VALUE"""),43940)</f>
        <v>43940</v>
      </c>
      <c r="AO48" s="12">
        <f ca="1">IFERROR(VLOOKUP(AN48,koronahun!A:B,2,FALSE),"")</f>
        <v>1916</v>
      </c>
      <c r="AP48" s="11">
        <f t="shared" ca="1" si="0"/>
        <v>43940</v>
      </c>
      <c r="AQ48" s="11">
        <f ca="1">IFERROR(__xludf.DUMMYFUNCTION("""COMPUTED_VALUE"""),43940)</f>
        <v>43940</v>
      </c>
      <c r="AR48" s="11">
        <v>44664</v>
      </c>
      <c r="AS48" s="11">
        <f t="shared" si="1"/>
        <v>44664</v>
      </c>
      <c r="AT48" s="11">
        <f ca="1">IFERROR(__xludf.DUMMYFUNCTION("""COMPUTED_VALUE"""),44663)</f>
        <v>44663</v>
      </c>
    </row>
    <row r="49" spans="1:46" ht="15.75" customHeight="1">
      <c r="A49" s="11">
        <v>44662</v>
      </c>
      <c r="B49">
        <f>IFERROR(VLOOKUP($A49,koronahun!$A:$AM,2,FALSE),"")</f>
        <v>1872664</v>
      </c>
      <c r="C49">
        <f>IFERROR(VLOOKUP($A49,koronahun!$A:$AM,3,FALSE),"")</f>
        <v>4657</v>
      </c>
      <c r="D49">
        <f>IFERROR(VLOOKUP($A49,koronahun!$A:$AM,4,FALSE),"")</f>
        <v>45781</v>
      </c>
      <c r="E49">
        <f>IFERROR(VLOOKUP($A49,koronahun!$A:$AM,5,FALSE),"")</f>
        <v>1731816</v>
      </c>
      <c r="F49">
        <f>IFERROR(VLOOKUP($A49,koronahun!$A:$AM,6,FALSE),"")</f>
        <v>11221030</v>
      </c>
      <c r="G49" s="12">
        <f>IFERROR(VLOOKUP($A49,koronahun!$A:$AM,7,FALSE),"")</f>
        <v>1145003.0612244897</v>
      </c>
      <c r="H49">
        <f>IFERROR(VLOOKUP($A49,koronahun!$A:$AM,8,FALSE),"")</f>
        <v>0</v>
      </c>
      <c r="I49" s="13">
        <f>IFERROR(VLOOKUP($A49,koronahun!$A:$AM,9,FALSE),"")</f>
        <v>2.4930313430302992E-3</v>
      </c>
      <c r="J49" s="13">
        <f>IFERROR(VLOOKUP($A49,koronahun!$A:$AM,10,FALSE),"")</f>
        <v>0.16688877937230362</v>
      </c>
      <c r="K49" s="13">
        <f>IFERROR(VLOOKUP($A49,koronahun!$A:$AM,11,FALSE),"")</f>
        <v>2.6034023020055676E-3</v>
      </c>
      <c r="L49">
        <f>IFERROR(VLOOKUP($A49,koronahun!$A:$AM,12,FALSE),"")</f>
        <v>95067</v>
      </c>
      <c r="M49" s="13">
        <f>IFERROR(VLOOKUP($A49,koronahun!$A:$AM,13,FALSE),"")</f>
        <v>2.4446991024551119E-2</v>
      </c>
      <c r="N49" s="13">
        <f>IFERROR(VLOOKUP($A49,koronahun!$A:$AM,14,FALSE),"")</f>
        <v>0.92478736174775611</v>
      </c>
      <c r="O49">
        <f>IFERROR(VLOOKUP($A49,koronahun!$A:$AM,15,FALSE),"")</f>
        <v>8258</v>
      </c>
      <c r="P49">
        <f>IFERROR(VLOOKUP($A49,koronahun!$A:$AM,16,FALSE),"")</f>
        <v>29137</v>
      </c>
      <c r="Q49" s="13">
        <f>IFERROR(VLOOKUP($A49,koronahun!$A:$AM,17,FALSE),"")</f>
        <v>0.15983114253354841</v>
      </c>
      <c r="R49">
        <f>IFERROR(VLOOKUP($A49,koronahun!$A:$AM,18,FALSE),"")</f>
        <v>60</v>
      </c>
      <c r="S49">
        <f>IFERROR(VLOOKUP($A49,koronahun!$A:$AM,19,FALSE),"")</f>
        <v>6492</v>
      </c>
      <c r="T49">
        <f>IFERROR(VLOOKUP($A49,koronahun!$A:$AM,20,FALSE),"")</f>
        <v>1755</v>
      </c>
      <c r="U49">
        <f>IFERROR(VLOOKUP($A49,koronahun!$A:$AM,21,FALSE),"")</f>
        <v>48</v>
      </c>
      <c r="V49" s="13">
        <f>IFERROR(VLOOKUP($A49,koronahun!$A:$AM,22,FALSE),"")</f>
        <v>5.0765647227692744E-2</v>
      </c>
      <c r="W49">
        <f>IFERROR(VLOOKUP($A49,koronahun!$A:$AM,23,FALSE),"")</f>
        <v>67</v>
      </c>
      <c r="X49">
        <f>IFERROR(VLOOKUP($A49,koronahun!$A:$AM,24,FALSE),"")</f>
        <v>-2</v>
      </c>
      <c r="Y49" s="14">
        <f>IFERROR(VLOOKUP($A49,koronahun!$A:$AM,25,FALSE),"")</f>
        <v>1.8460664583925021E-2</v>
      </c>
      <c r="Z49" s="14">
        <f>IFERROR(VLOOKUP($A49,koronahun!$A:$AM,26,FALSE),"")</f>
        <v>2.735042735042735E-2</v>
      </c>
      <c r="AA49" s="14">
        <f>IFERROR(VLOOKUP($A49,koronahun!$A:$AM,27,FALSE),"")</f>
        <v>1.9201414162420714</v>
      </c>
      <c r="AB49" s="14">
        <f>IFERROR(VLOOKUP($A49,koronahun!$A:$AM,28,FALSE),"")</f>
        <v>1.1248191070081854</v>
      </c>
      <c r="AC49" s="14">
        <f>IFERROR(VLOOKUP($A49,koronahun!$A:$AM,29,FALSE),"")</f>
        <v>2638</v>
      </c>
      <c r="AD49" s="14">
        <f>IFERROR(VLOOKUP($A49,koronahun!$A:$AM,30,FALSE),"")</f>
        <v>38.714285714285715</v>
      </c>
      <c r="AE49" s="14">
        <f>IFERROR(VLOOKUP($A49,koronahun!$A:$AM,31,FALSE),"")</f>
        <v>13378.285714285714</v>
      </c>
      <c r="AF49" s="13">
        <f>IFERROR(VLOOKUP($A49,koronahun!$A:$AM,32,FALSE),"")</f>
        <v>0.21453373878782322</v>
      </c>
      <c r="AG49">
        <f>IFERROR(VLOOKUP($A49,koronahun!$A:$AM,33,FALSE),"")</f>
        <v>6404348</v>
      </c>
      <c r="AH49">
        <f>IFERROR(VLOOKUP($A49,koronahun!$A:$AM,34,FALSE),"")</f>
        <v>392</v>
      </c>
      <c r="AI49">
        <f>IFERROR(VLOOKUP($A49,koronahun!$A:$AM,35,FALSE),"")</f>
        <v>317.2</v>
      </c>
      <c r="AJ49">
        <f>IFERROR(VLOOKUP($A49,koronahun!$A:$AM,36,FALSE),"")</f>
        <v>6189787</v>
      </c>
      <c r="AK49">
        <f>IFERROR(VLOOKUP($A49,koronahun!$A:$AM,37,FALSE),"")</f>
        <v>567</v>
      </c>
      <c r="AL49">
        <f>IFERROR(VLOOKUP($A49,koronahun!$A:$AM,38,FALSE),"")</f>
        <v>437.4</v>
      </c>
      <c r="AM49" s="14">
        <f>IFERROR(VLOOKUP($A49,koronahun!$A:$AM,39,FALSE),"")</f>
        <v>3206.5714285714284</v>
      </c>
      <c r="AN49" s="11">
        <f ca="1">IFERROR(__xludf.DUMMYFUNCTION("""COMPUTED_VALUE"""),43941)</f>
        <v>43941</v>
      </c>
      <c r="AO49" s="12">
        <f ca="1">IFERROR(VLOOKUP(AN49,koronahun!A:B,2,FALSE),"")</f>
        <v>1984</v>
      </c>
      <c r="AP49" s="11">
        <f t="shared" ca="1" si="0"/>
        <v>43941</v>
      </c>
      <c r="AQ49" s="11">
        <f ca="1">IFERROR(__xludf.DUMMYFUNCTION("""COMPUTED_VALUE"""),43941)</f>
        <v>43941</v>
      </c>
      <c r="AR49" s="11">
        <v>44663</v>
      </c>
      <c r="AS49" s="11">
        <f t="shared" si="1"/>
        <v>44663</v>
      </c>
      <c r="AT49" s="11">
        <f ca="1">IFERROR(__xludf.DUMMYFUNCTION("""COMPUTED_VALUE"""),44662)</f>
        <v>44662</v>
      </c>
    </row>
    <row r="50" spans="1:46" ht="15.75" customHeight="1">
      <c r="A50" s="11">
        <v>44659</v>
      </c>
      <c r="B50">
        <f>IFERROR(VLOOKUP($A50,koronahun!$A:$AM,2,FALSE),"")</f>
        <v>1868007</v>
      </c>
      <c r="C50">
        <f>IFERROR(VLOOKUP($A50,koronahun!$A:$AM,3,FALSE),"")</f>
        <v>2400</v>
      </c>
      <c r="D50">
        <f>IFERROR(VLOOKUP($A50,koronahun!$A:$AM,4,FALSE),"")</f>
        <v>45721</v>
      </c>
      <c r="E50">
        <f>IFERROR(VLOOKUP($A50,koronahun!$A:$AM,5,FALSE),"")</f>
        <v>1725324</v>
      </c>
      <c r="F50">
        <f>IFERROR(VLOOKUP($A50,koronahun!$A:$AM,6,FALSE),"")</f>
        <v>11191893</v>
      </c>
      <c r="G50" s="12">
        <f>IFERROR(VLOOKUP($A50,koronahun!$A:$AM,7,FALSE),"")</f>
        <v>1142029.8979591837</v>
      </c>
      <c r="H50">
        <f>IFERROR(VLOOKUP($A50,koronahun!$A:$AM,8,FALSE),"")</f>
        <v>0</v>
      </c>
      <c r="I50" s="13">
        <f>IFERROR(VLOOKUP($A50,koronahun!$A:$AM,9,FALSE),"")</f>
        <v>1.2864445727315561E-3</v>
      </c>
      <c r="J50" s="13">
        <f>IFERROR(VLOOKUP($A50,koronahun!$A:$AM,10,FALSE),"")</f>
        <v>0.16690715324029634</v>
      </c>
      <c r="K50" s="13">
        <f>IFERROR(VLOOKUP($A50,koronahun!$A:$AM,11,FALSE),"")</f>
        <v>1.0569695590620315E-3</v>
      </c>
      <c r="L50">
        <f>IFERROR(VLOOKUP($A50,koronahun!$A:$AM,12,FALSE),"")</f>
        <v>96962</v>
      </c>
      <c r="M50" s="13">
        <f>IFERROR(VLOOKUP($A50,koronahun!$A:$AM,13,FALSE),"")</f>
        <v>2.4475818345434466E-2</v>
      </c>
      <c r="N50" s="13">
        <f>IFERROR(VLOOKUP($A50,koronahun!$A:$AM,14,FALSE),"")</f>
        <v>0.92361752391720164</v>
      </c>
      <c r="O50">
        <f>IFERROR(VLOOKUP($A50,koronahun!$A:$AM,15,FALSE),"")</f>
        <v>8258</v>
      </c>
      <c r="P50">
        <f>IFERROR(VLOOKUP($A50,koronahun!$A:$AM,16,FALSE),"")</f>
        <v>11817</v>
      </c>
      <c r="Q50" s="13">
        <f>IFERROR(VLOOKUP($A50,koronahun!$A:$AM,17,FALSE),"")</f>
        <v>0.20309723280020309</v>
      </c>
      <c r="R50">
        <f>IFERROR(VLOOKUP($A50,koronahun!$A:$AM,18,FALSE),"")</f>
        <v>37</v>
      </c>
      <c r="S50">
        <f>IFERROR(VLOOKUP($A50,koronahun!$A:$AM,19,FALSE),"")</f>
        <v>2304</v>
      </c>
      <c r="T50">
        <f>IFERROR(VLOOKUP($A50,koronahun!$A:$AM,20,FALSE),"")</f>
        <v>1688</v>
      </c>
      <c r="U50">
        <f>IFERROR(VLOOKUP($A50,koronahun!$A:$AM,21,FALSE),"")</f>
        <v>50</v>
      </c>
      <c r="V50" s="13">
        <f>IFERROR(VLOOKUP($A50,koronahun!$A:$AM,22,FALSE),"")</f>
        <v>5.1906657737363943E-2</v>
      </c>
      <c r="W50">
        <f>IFERROR(VLOOKUP($A50,koronahun!$A:$AM,23,FALSE),"")</f>
        <v>-36</v>
      </c>
      <c r="X50">
        <f>IFERROR(VLOOKUP($A50,koronahun!$A:$AM,24,FALSE),"")</f>
        <v>-1</v>
      </c>
      <c r="Y50" s="14">
        <f>IFERROR(VLOOKUP($A50,koronahun!$A:$AM,25,FALSE),"")</f>
        <v>1.7408881829995258E-2</v>
      </c>
      <c r="Z50" s="14">
        <f>IFERROR(VLOOKUP($A50,koronahun!$A:$AM,26,FALSE),"")</f>
        <v>2.9620853080568721E-2</v>
      </c>
      <c r="AA50" s="14">
        <f>IFERROR(VLOOKUP($A50,koronahun!$A:$AM,27,FALSE),"")</f>
        <v>0.93052560646900273</v>
      </c>
      <c r="AB50" s="14">
        <f>IFERROR(VLOOKUP($A50,koronahun!$A:$AM,28,FALSE),"")</f>
        <v>0.74079082375977101</v>
      </c>
      <c r="AC50" s="14">
        <f>IFERROR(VLOOKUP($A50,koronahun!$A:$AM,29,FALSE),"")</f>
        <v>1972.7142857142858</v>
      </c>
      <c r="AD50" s="14">
        <f>IFERROR(VLOOKUP($A50,koronahun!$A:$AM,30,FALSE),"")</f>
        <v>30.142857142857142</v>
      </c>
      <c r="AE50" s="14">
        <f>IFERROR(VLOOKUP($A50,koronahun!$A:$AM,31,FALSE),"")</f>
        <v>9215.8571428571431</v>
      </c>
      <c r="AF50" s="13">
        <f>IFERROR(VLOOKUP($A50,koronahun!$A:$AM,32,FALSE),"")</f>
        <v>0.18256751028111354</v>
      </c>
      <c r="AG50">
        <f>IFERROR(VLOOKUP($A50,koronahun!$A:$AM,33,FALSE),"")</f>
        <v>6403956</v>
      </c>
      <c r="AH50">
        <f>IFERROR(VLOOKUP($A50,koronahun!$A:$AM,34,FALSE),"")</f>
        <v>289</v>
      </c>
      <c r="AI50">
        <f>IFERROR(VLOOKUP($A50,koronahun!$A:$AM,35,FALSE),"")</f>
        <v>238.8</v>
      </c>
      <c r="AJ50">
        <f>IFERROR(VLOOKUP($A50,koronahun!$A:$AM,36,FALSE),"")</f>
        <v>6189220</v>
      </c>
      <c r="AK50">
        <f>IFERROR(VLOOKUP($A50,koronahun!$A:$AM,37,FALSE),"")</f>
        <v>413</v>
      </c>
      <c r="AL50">
        <f>IFERROR(VLOOKUP($A50,koronahun!$A:$AM,38,FALSE),"")</f>
        <v>324</v>
      </c>
      <c r="AM50" s="14">
        <f>IFERROR(VLOOKUP($A50,koronahun!$A:$AM,39,FALSE),"")</f>
        <v>2279.1428571428573</v>
      </c>
      <c r="AN50" s="11">
        <f ca="1">IFERROR(__xludf.DUMMYFUNCTION("""COMPUTED_VALUE"""),43942)</f>
        <v>43942</v>
      </c>
      <c r="AO50" s="12">
        <f ca="1">IFERROR(VLOOKUP(AN50,koronahun!A:B,2,FALSE),"")</f>
        <v>2098</v>
      </c>
      <c r="AP50" s="11">
        <f t="shared" ca="1" si="0"/>
        <v>43942</v>
      </c>
      <c r="AQ50" s="11">
        <f ca="1">IFERROR(__xludf.DUMMYFUNCTION("""COMPUTED_VALUE"""),43942)</f>
        <v>43942</v>
      </c>
      <c r="AR50" s="11">
        <v>44662</v>
      </c>
      <c r="AS50" s="11">
        <f t="shared" si="1"/>
        <v>44662</v>
      </c>
      <c r="AT50" s="11">
        <f ca="1">IFERROR(__xludf.DUMMYFUNCTION("""COMPUTED_VALUE"""),44659)</f>
        <v>44659</v>
      </c>
    </row>
    <row r="51" spans="1:46" ht="15.75" customHeight="1">
      <c r="A51" s="11">
        <v>44658</v>
      </c>
      <c r="B51">
        <f>IFERROR(VLOOKUP($A51,koronahun!$A:$AM,2,FALSE),"")</f>
        <v>1865607</v>
      </c>
      <c r="C51">
        <f>IFERROR(VLOOKUP($A51,koronahun!$A:$AM,3,FALSE),"")</f>
        <v>2568</v>
      </c>
      <c r="D51">
        <f>IFERROR(VLOOKUP($A51,koronahun!$A:$AM,4,FALSE),"")</f>
        <v>45684</v>
      </c>
      <c r="E51">
        <f>IFERROR(VLOOKUP($A51,koronahun!$A:$AM,5,FALSE),"")</f>
        <v>1723020</v>
      </c>
      <c r="F51">
        <f>IFERROR(VLOOKUP($A51,koronahun!$A:$AM,6,FALSE),"")</f>
        <v>11180076</v>
      </c>
      <c r="G51" s="12">
        <f>IFERROR(VLOOKUP($A51,koronahun!$A:$AM,7,FALSE),"")</f>
        <v>1140824.081632653</v>
      </c>
      <c r="H51">
        <f>IFERROR(VLOOKUP($A51,koronahun!$A:$AM,8,FALSE),"")</f>
        <v>0</v>
      </c>
      <c r="I51" s="13">
        <f>IFERROR(VLOOKUP($A51,koronahun!$A:$AM,9,FALSE),"")</f>
        <v>1.3783930449121032E-3</v>
      </c>
      <c r="J51" s="13">
        <f>IFERROR(VLOOKUP($A51,koronahun!$A:$AM,10,FALSE),"")</f>
        <v>0.16686890142786148</v>
      </c>
      <c r="K51" s="13">
        <f>IFERROR(VLOOKUP($A51,koronahun!$A:$AM,11,FALSE),"")</f>
        <v>1.0208911102607167E-3</v>
      </c>
      <c r="L51">
        <f>IFERROR(VLOOKUP($A51,koronahun!$A:$AM,12,FALSE),"")</f>
        <v>96903</v>
      </c>
      <c r="M51" s="13">
        <f>IFERROR(VLOOKUP($A51,koronahun!$A:$AM,13,FALSE),"")</f>
        <v>2.4487472441945168E-2</v>
      </c>
      <c r="N51" s="13">
        <f>IFERROR(VLOOKUP($A51,koronahun!$A:$AM,14,FALSE),"")</f>
        <v>0.9235707198783023</v>
      </c>
      <c r="O51">
        <f>IFERROR(VLOOKUP($A51,koronahun!$A:$AM,15,FALSE),"")</f>
        <v>7799</v>
      </c>
      <c r="P51">
        <f>IFERROR(VLOOKUP($A51,koronahun!$A:$AM,16,FALSE),"")</f>
        <v>11402</v>
      </c>
      <c r="Q51" s="13">
        <f>IFERROR(VLOOKUP($A51,koronahun!$A:$AM,17,FALSE),"")</f>
        <v>0.22522364497456587</v>
      </c>
      <c r="R51">
        <f>IFERROR(VLOOKUP($A51,koronahun!$A:$AM,18,FALSE),"")</f>
        <v>37</v>
      </c>
      <c r="S51">
        <f>IFERROR(VLOOKUP($A51,koronahun!$A:$AM,19,FALSE),"")</f>
        <v>2523</v>
      </c>
      <c r="T51">
        <f>IFERROR(VLOOKUP($A51,koronahun!$A:$AM,20,FALSE),"")</f>
        <v>1724</v>
      </c>
      <c r="U51">
        <f>IFERROR(VLOOKUP($A51,koronahun!$A:$AM,21,FALSE),"")</f>
        <v>51</v>
      </c>
      <c r="V51" s="13">
        <f>IFERROR(VLOOKUP($A51,koronahun!$A:$AM,22,FALSE),"")</f>
        <v>5.194180767975249E-2</v>
      </c>
      <c r="W51">
        <f>IFERROR(VLOOKUP($A51,koronahun!$A:$AM,23,FALSE),"")</f>
        <v>-61</v>
      </c>
      <c r="X51">
        <f>IFERROR(VLOOKUP($A51,koronahun!$A:$AM,24,FALSE),"")</f>
        <v>2</v>
      </c>
      <c r="Y51" s="14">
        <f>IFERROR(VLOOKUP($A51,koronahun!$A:$AM,25,FALSE),"")</f>
        <v>1.7790986863151812E-2</v>
      </c>
      <c r="Z51" s="14">
        <f>IFERROR(VLOOKUP($A51,koronahun!$A:$AM,26,FALSE),"")</f>
        <v>2.9582366589327145E-2</v>
      </c>
      <c r="AA51" s="14">
        <f>IFERROR(VLOOKUP($A51,koronahun!$A:$AM,27,FALSE),"")</f>
        <v>0.91867308721241303</v>
      </c>
      <c r="AB51" s="14">
        <f>IFERROR(VLOOKUP($A51,koronahun!$A:$AM,28,FALSE),"")</f>
        <v>0.74906647396377646</v>
      </c>
      <c r="AC51" s="14">
        <f>IFERROR(VLOOKUP($A51,koronahun!$A:$AM,29,FALSE),"")</f>
        <v>1962.2857142857142</v>
      </c>
      <c r="AD51" s="14">
        <f>IFERROR(VLOOKUP($A51,koronahun!$A:$AM,30,FALSE),"")</f>
        <v>30.571428571428573</v>
      </c>
      <c r="AE51" s="14">
        <f>IFERROR(VLOOKUP($A51,koronahun!$A:$AM,31,FALSE),"")</f>
        <v>9199.1428571428569</v>
      </c>
      <c r="AF51" s="13">
        <f>IFERROR(VLOOKUP($A51,koronahun!$A:$AM,32,FALSE),"")</f>
        <v>0.18172584149885068</v>
      </c>
      <c r="AG51">
        <f>IFERROR(VLOOKUP($A51,koronahun!$A:$AM,33,FALSE),"")</f>
        <v>6403667</v>
      </c>
      <c r="AH51">
        <f>IFERROR(VLOOKUP($A51,koronahun!$A:$AM,34,FALSE),"")</f>
        <v>135</v>
      </c>
      <c r="AI51">
        <f>IFERROR(VLOOKUP($A51,koronahun!$A:$AM,35,FALSE),"")</f>
        <v>261.60000000000002</v>
      </c>
      <c r="AJ51">
        <f>IFERROR(VLOOKUP($A51,koronahun!$A:$AM,36,FALSE),"")</f>
        <v>6188807</v>
      </c>
      <c r="AK51">
        <f>IFERROR(VLOOKUP($A51,koronahun!$A:$AM,37,FALSE),"")</f>
        <v>187</v>
      </c>
      <c r="AL51">
        <f>IFERROR(VLOOKUP($A51,koronahun!$A:$AM,38,FALSE),"")</f>
        <v>373.6</v>
      </c>
      <c r="AM51" s="14">
        <f>IFERROR(VLOOKUP($A51,koronahun!$A:$AM,39,FALSE),"")</f>
        <v>2327.7142857142858</v>
      </c>
      <c r="AN51" s="11">
        <f ca="1">IFERROR(__xludf.DUMMYFUNCTION("""COMPUTED_VALUE"""),43943)</f>
        <v>43943</v>
      </c>
      <c r="AO51" s="12">
        <f ca="1">IFERROR(VLOOKUP(AN51,koronahun!A:B,2,FALSE),"")</f>
        <v>2168</v>
      </c>
      <c r="AP51" s="11">
        <f t="shared" ca="1" si="0"/>
        <v>43943</v>
      </c>
      <c r="AQ51" s="11">
        <f ca="1">IFERROR(__xludf.DUMMYFUNCTION("""COMPUTED_VALUE"""),43943)</f>
        <v>43943</v>
      </c>
      <c r="AR51" s="11">
        <v>44659</v>
      </c>
      <c r="AS51" s="11">
        <f t="shared" si="1"/>
        <v>44659</v>
      </c>
      <c r="AT51" s="11">
        <f ca="1">IFERROR(__xludf.DUMMYFUNCTION("""COMPUTED_VALUE"""),44658)</f>
        <v>44658</v>
      </c>
    </row>
    <row r="52" spans="1:46" ht="15.75" customHeight="1">
      <c r="A52" s="11">
        <v>44657</v>
      </c>
      <c r="B52">
        <f>IFERROR(VLOOKUP($A52,koronahun!$A:$AM,2,FALSE),"")</f>
        <v>1863039</v>
      </c>
      <c r="C52">
        <f>IFERROR(VLOOKUP($A52,koronahun!$A:$AM,3,FALSE),"")</f>
        <v>2880</v>
      </c>
      <c r="D52">
        <f>IFERROR(VLOOKUP($A52,koronahun!$A:$AM,4,FALSE),"")</f>
        <v>45647</v>
      </c>
      <c r="E52">
        <f>IFERROR(VLOOKUP($A52,koronahun!$A:$AM,5,FALSE),"")</f>
        <v>1720497</v>
      </c>
      <c r="F52">
        <f>IFERROR(VLOOKUP($A52,koronahun!$A:$AM,6,FALSE),"")</f>
        <v>11168674</v>
      </c>
      <c r="G52" s="12">
        <f>IFERROR(VLOOKUP($A52,koronahun!$A:$AM,7,FALSE),"")</f>
        <v>1139660.612244898</v>
      </c>
      <c r="H52">
        <f>IFERROR(VLOOKUP($A52,koronahun!$A:$AM,8,FALSE),"")</f>
        <v>0</v>
      </c>
      <c r="I52" s="13">
        <f>IFERROR(VLOOKUP($A52,koronahun!$A:$AM,9,FALSE),"")</f>
        <v>1.5482547459652642E-3</v>
      </c>
      <c r="J52" s="13">
        <f>IFERROR(VLOOKUP($A52,koronahun!$A:$AM,10,FALSE),"")</f>
        <v>0.1668093275889331</v>
      </c>
      <c r="K52" s="13">
        <f>IFERROR(VLOOKUP($A52,koronahun!$A:$AM,11,FALSE),"")</f>
        <v>8.7320200055023196E-4</v>
      </c>
      <c r="L52">
        <f>IFERROR(VLOOKUP($A52,koronahun!$A:$AM,12,FALSE),"")</f>
        <v>96895</v>
      </c>
      <c r="M52" s="13">
        <f>IFERROR(VLOOKUP($A52,koronahun!$A:$AM,13,FALSE),"")</f>
        <v>2.450136577924563E-2</v>
      </c>
      <c r="N52" s="13">
        <f>IFERROR(VLOOKUP($A52,koronahun!$A:$AM,14,FALSE),"")</f>
        <v>0.92348952437388587</v>
      </c>
      <c r="O52">
        <f>IFERROR(VLOOKUP($A52,koronahun!$A:$AM,15,FALSE),"")</f>
        <v>7340</v>
      </c>
      <c r="P52">
        <f>IFERROR(VLOOKUP($A52,koronahun!$A:$AM,16,FALSE),"")</f>
        <v>9744</v>
      </c>
      <c r="Q52" s="13">
        <f>IFERROR(VLOOKUP($A52,koronahun!$A:$AM,17,FALSE),"")</f>
        <v>0.29556650246305421</v>
      </c>
      <c r="R52">
        <f>IFERROR(VLOOKUP($A52,koronahun!$A:$AM,18,FALSE),"")</f>
        <v>36</v>
      </c>
      <c r="S52">
        <f>IFERROR(VLOOKUP($A52,koronahun!$A:$AM,19,FALSE),"")</f>
        <v>3229</v>
      </c>
      <c r="T52">
        <f>IFERROR(VLOOKUP($A52,koronahun!$A:$AM,20,FALSE),"")</f>
        <v>1785</v>
      </c>
      <c r="U52">
        <f>IFERROR(VLOOKUP($A52,koronahun!$A:$AM,21,FALSE),"")</f>
        <v>49</v>
      </c>
      <c r="V52" s="13">
        <f>IFERROR(VLOOKUP($A52,koronahun!$A:$AM,22,FALSE),"")</f>
        <v>5.2009109846868476E-2</v>
      </c>
      <c r="W52">
        <f>IFERROR(VLOOKUP($A52,koronahun!$A:$AM,23,FALSE),"")</f>
        <v>-48</v>
      </c>
      <c r="X52">
        <f>IFERROR(VLOOKUP($A52,koronahun!$A:$AM,24,FALSE),"")</f>
        <v>0</v>
      </c>
      <c r="Y52" s="14">
        <f>IFERROR(VLOOKUP($A52,koronahun!$A:$AM,25,FALSE),"")</f>
        <v>1.8422003199339492E-2</v>
      </c>
      <c r="Z52" s="14">
        <f>IFERROR(VLOOKUP($A52,koronahun!$A:$AM,26,FALSE),"")</f>
        <v>2.7450980392156862E-2</v>
      </c>
      <c r="AA52" s="14">
        <f>IFERROR(VLOOKUP($A52,koronahun!$A:$AM,27,FALSE),"")</f>
        <v>0.92461034182888491</v>
      </c>
      <c r="AB52" s="14">
        <f>IFERROR(VLOOKUP($A52,koronahun!$A:$AM,28,FALSE),"")</f>
        <v>0.75047301551089274</v>
      </c>
      <c r="AC52" s="14">
        <f>IFERROR(VLOOKUP($A52,koronahun!$A:$AM,29,FALSE),"")</f>
        <v>1974.5714285714287</v>
      </c>
      <c r="AD52" s="14">
        <f>IFERROR(VLOOKUP($A52,koronahun!$A:$AM,30,FALSE),"")</f>
        <v>31</v>
      </c>
      <c r="AE52" s="14">
        <f>IFERROR(VLOOKUP($A52,koronahun!$A:$AM,31,FALSE),"")</f>
        <v>9373.4285714285706</v>
      </c>
      <c r="AF52" s="13">
        <f>IFERROR(VLOOKUP($A52,koronahun!$A:$AM,32,FALSE),"")</f>
        <v>0.17873466978487557</v>
      </c>
      <c r="AG52">
        <f>IFERROR(VLOOKUP($A52,koronahun!$A:$AM,33,FALSE),"")</f>
        <v>6403532</v>
      </c>
      <c r="AH52">
        <f>IFERROR(VLOOKUP($A52,koronahun!$A:$AM,34,FALSE),"")</f>
        <v>107</v>
      </c>
      <c r="AI52">
        <f>IFERROR(VLOOKUP($A52,koronahun!$A:$AM,35,FALSE),"")</f>
        <v>265</v>
      </c>
      <c r="AJ52">
        <f>IFERROR(VLOOKUP($A52,koronahun!$A:$AM,36,FALSE),"")</f>
        <v>6188620</v>
      </c>
      <c r="AK52">
        <f>IFERROR(VLOOKUP($A52,koronahun!$A:$AM,37,FALSE),"")</f>
        <v>119</v>
      </c>
      <c r="AL52">
        <f>IFERROR(VLOOKUP($A52,koronahun!$A:$AM,38,FALSE),"")</f>
        <v>389.6</v>
      </c>
      <c r="AM52" s="14">
        <f>IFERROR(VLOOKUP($A52,koronahun!$A:$AM,39,FALSE),"")</f>
        <v>2366.4285714285716</v>
      </c>
      <c r="AN52" s="11">
        <f ca="1">IFERROR(__xludf.DUMMYFUNCTION("""COMPUTED_VALUE"""),43944)</f>
        <v>43944</v>
      </c>
      <c r="AO52" s="12">
        <f ca="1">IFERROR(VLOOKUP(AN52,koronahun!A:B,2,FALSE),"")</f>
        <v>2284</v>
      </c>
      <c r="AP52" s="11">
        <f t="shared" ca="1" si="0"/>
        <v>43944</v>
      </c>
      <c r="AQ52" s="11">
        <f ca="1">IFERROR(__xludf.DUMMYFUNCTION("""COMPUTED_VALUE"""),43944)</f>
        <v>43944</v>
      </c>
      <c r="AR52" s="11">
        <v>44658</v>
      </c>
      <c r="AS52" s="11">
        <f t="shared" si="1"/>
        <v>44658</v>
      </c>
      <c r="AT52" s="11">
        <f ca="1">IFERROR(__xludf.DUMMYFUNCTION("""COMPUTED_VALUE"""),44657)</f>
        <v>44657</v>
      </c>
    </row>
    <row r="53" spans="1:46" ht="15.75" customHeight="1">
      <c r="A53" s="11">
        <v>44656</v>
      </c>
      <c r="B53">
        <f>IFERROR(VLOOKUP($A53,koronahun!$A:$AM,2,FALSE),"")</f>
        <v>1860159</v>
      </c>
      <c r="C53">
        <f>IFERROR(VLOOKUP($A53,koronahun!$A:$AM,3,FALSE),"")</f>
        <v>5961</v>
      </c>
      <c r="D53">
        <f>IFERROR(VLOOKUP($A53,koronahun!$A:$AM,4,FALSE),"")</f>
        <v>45611</v>
      </c>
      <c r="E53">
        <f>IFERROR(VLOOKUP($A53,koronahun!$A:$AM,5,FALSE),"")</f>
        <v>1717268</v>
      </c>
      <c r="F53">
        <f>IFERROR(VLOOKUP($A53,koronahun!$A:$AM,6,FALSE),"")</f>
        <v>11158930</v>
      </c>
      <c r="G53" s="12">
        <f>IFERROR(VLOOKUP($A53,koronahun!$A:$AM,7,FALSE),"")</f>
        <v>1138666.3265306121</v>
      </c>
      <c r="H53">
        <f>IFERROR(VLOOKUP($A53,koronahun!$A:$AM,8,FALSE),"")</f>
        <v>0</v>
      </c>
      <c r="I53" s="13">
        <f>IFERROR(VLOOKUP($A53,koronahun!$A:$AM,9,FALSE),"")</f>
        <v>3.2148670206741674E-3</v>
      </c>
      <c r="J53" s="13">
        <f>IFERROR(VLOOKUP($A53,koronahun!$A:$AM,10,FALSE),"")</f>
        <v>0.16669689656624784</v>
      </c>
      <c r="K53" s="13">
        <f>IFERROR(VLOOKUP($A53,koronahun!$A:$AM,11,FALSE),"")</f>
        <v>2.8351682363380714E-3</v>
      </c>
      <c r="L53">
        <f>IFERROR(VLOOKUP($A53,koronahun!$A:$AM,12,FALSE),"")</f>
        <v>97280</v>
      </c>
      <c r="M53" s="13">
        <f>IFERROR(VLOOKUP($A53,koronahun!$A:$AM,13,FALSE),"")</f>
        <v>2.4519946950771414E-2</v>
      </c>
      <c r="N53" s="13">
        <f>IFERROR(VLOOKUP($A53,koronahun!$A:$AM,14,FALSE),"")</f>
        <v>0.92318344829662413</v>
      </c>
      <c r="O53">
        <f>IFERROR(VLOOKUP($A53,koronahun!$A:$AM,15,FALSE),"")</f>
        <v>7540</v>
      </c>
      <c r="P53">
        <f>IFERROR(VLOOKUP($A53,koronahun!$A:$AM,16,FALSE),"")</f>
        <v>31548</v>
      </c>
      <c r="Q53" s="13">
        <f>IFERROR(VLOOKUP($A53,koronahun!$A:$AM,17,FALSE),"")</f>
        <v>0.1889501711677444</v>
      </c>
      <c r="R53">
        <f>IFERROR(VLOOKUP($A53,koronahun!$A:$AM,18,FALSE),"")</f>
        <v>101</v>
      </c>
      <c r="S53">
        <f>IFERROR(VLOOKUP($A53,koronahun!$A:$AM,19,FALSE),"")</f>
        <v>7898</v>
      </c>
      <c r="T53">
        <f>IFERROR(VLOOKUP($A53,koronahun!$A:$AM,20,FALSE),"")</f>
        <v>1833</v>
      </c>
      <c r="U53">
        <f>IFERROR(VLOOKUP($A53,koronahun!$A:$AM,21,FALSE),"")</f>
        <v>49</v>
      </c>
      <c r="V53" s="13">
        <f>IFERROR(VLOOKUP($A53,koronahun!$A:$AM,22,FALSE),"")</f>
        <v>5.2296604752604482E-2</v>
      </c>
      <c r="W53">
        <f>IFERROR(VLOOKUP($A53,koronahun!$A:$AM,23,FALSE),"")</f>
        <v>-25</v>
      </c>
      <c r="X53">
        <f>IFERROR(VLOOKUP($A53,koronahun!$A:$AM,24,FALSE),"")</f>
        <v>-7</v>
      </c>
      <c r="Y53" s="14">
        <f>IFERROR(VLOOKUP($A53,koronahun!$A:$AM,25,FALSE),"")</f>
        <v>1.884251644736842E-2</v>
      </c>
      <c r="Z53" s="14">
        <f>IFERROR(VLOOKUP($A53,koronahun!$A:$AM,26,FALSE),"")</f>
        <v>2.6732133115111838E-2</v>
      </c>
      <c r="AA53" s="14">
        <f>IFERROR(VLOOKUP($A53,koronahun!$A:$AM,27,FALSE),"")</f>
        <v>0.9301450832885545</v>
      </c>
      <c r="AB53" s="14">
        <f>IFERROR(VLOOKUP($A53,koronahun!$A:$AM,28,FALSE),"")</f>
        <v>0.76481780931520371</v>
      </c>
      <c r="AC53" s="14">
        <f>IFERROR(VLOOKUP($A53,koronahun!$A:$AM,29,FALSE),"")</f>
        <v>1978.2857142857142</v>
      </c>
      <c r="AD53" s="14">
        <f>IFERROR(VLOOKUP($A53,koronahun!$A:$AM,30,FALSE),"")</f>
        <v>31.571428571428573</v>
      </c>
      <c r="AE53" s="14">
        <f>IFERROR(VLOOKUP($A53,koronahun!$A:$AM,31,FALSE),"")</f>
        <v>9236.8571428571431</v>
      </c>
      <c r="AF53" s="13">
        <f>IFERROR(VLOOKUP($A53,koronahun!$A:$AM,32,FALSE),"")</f>
        <v>0.18575700880068527</v>
      </c>
      <c r="AG53">
        <f>IFERROR(VLOOKUP($A53,koronahun!$A:$AM,33,FALSE),"")</f>
        <v>6403425</v>
      </c>
      <c r="AH53">
        <f>IFERROR(VLOOKUP($A53,koronahun!$A:$AM,34,FALSE),"")</f>
        <v>663</v>
      </c>
      <c r="AI53">
        <f>IFERROR(VLOOKUP($A53,koronahun!$A:$AM,35,FALSE),"")</f>
        <v>265</v>
      </c>
      <c r="AJ53">
        <f>IFERROR(VLOOKUP($A53,koronahun!$A:$AM,36,FALSE),"")</f>
        <v>6188501</v>
      </c>
      <c r="AK53">
        <f>IFERROR(VLOOKUP($A53,koronahun!$A:$AM,37,FALSE),"")</f>
        <v>901</v>
      </c>
      <c r="AL53">
        <f>IFERROR(VLOOKUP($A53,koronahun!$A:$AM,38,FALSE),"")</f>
        <v>403</v>
      </c>
      <c r="AM53" s="14">
        <f>IFERROR(VLOOKUP($A53,koronahun!$A:$AM,39,FALSE),"")</f>
        <v>2362.8571428571427</v>
      </c>
      <c r="AN53" s="11">
        <f ca="1">IFERROR(__xludf.DUMMYFUNCTION("""COMPUTED_VALUE"""),43945)</f>
        <v>43945</v>
      </c>
      <c r="AO53" s="12">
        <f ca="1">IFERROR(VLOOKUP(AN53,koronahun!A:B,2,FALSE),"")</f>
        <v>2383</v>
      </c>
      <c r="AP53" s="11">
        <f t="shared" ca="1" si="0"/>
        <v>43945</v>
      </c>
      <c r="AQ53" s="11">
        <f ca="1">IFERROR(__xludf.DUMMYFUNCTION("""COMPUTED_VALUE"""),43945)</f>
        <v>43945</v>
      </c>
      <c r="AR53" s="11">
        <v>44657</v>
      </c>
      <c r="AS53" s="11">
        <f t="shared" si="1"/>
        <v>44657</v>
      </c>
      <c r="AT53" s="11">
        <f ca="1">IFERROR(__xludf.DUMMYFUNCTION("""COMPUTED_VALUE"""),44656)</f>
        <v>44656</v>
      </c>
    </row>
    <row r="54" spans="1:46" ht="15.75" customHeight="1">
      <c r="A54" s="11">
        <v>44652</v>
      </c>
      <c r="B54">
        <f>IFERROR(VLOOKUP($A54,koronahun!$A:$AM,2,FALSE),"")</f>
        <v>1854198</v>
      </c>
      <c r="C54">
        <f>IFERROR(VLOOKUP($A54,koronahun!$A:$AM,3,FALSE),"")</f>
        <v>2327</v>
      </c>
      <c r="D54">
        <f>IFERROR(VLOOKUP($A54,koronahun!$A:$AM,4,FALSE),"")</f>
        <v>45510</v>
      </c>
      <c r="E54">
        <f>IFERROR(VLOOKUP($A54,koronahun!$A:$AM,5,FALSE),"")</f>
        <v>1709370</v>
      </c>
      <c r="F54">
        <f>IFERROR(VLOOKUP($A54,koronahun!$A:$AM,6,FALSE),"")</f>
        <v>11127382</v>
      </c>
      <c r="G54" s="12">
        <f>IFERROR(VLOOKUP($A54,koronahun!$A:$AM,7,FALSE),"")</f>
        <v>1135447.1428571427</v>
      </c>
      <c r="H54">
        <f>IFERROR(VLOOKUP($A54,koronahun!$A:$AM,8,FALSE),"")</f>
        <v>0</v>
      </c>
      <c r="I54" s="13">
        <f>IFERROR(VLOOKUP($A54,koronahun!$A:$AM,9,FALSE),"")</f>
        <v>1.2565670070971465E-3</v>
      </c>
      <c r="J54" s="13">
        <f>IFERROR(VLOOKUP($A54,koronahun!$A:$AM,10,FALSE),"")</f>
        <v>0.16663380478894316</v>
      </c>
      <c r="K54" s="13">
        <f>IFERROR(VLOOKUP($A54,koronahun!$A:$AM,11,FALSE),"")</f>
        <v>1.0525669949896011E-3</v>
      </c>
      <c r="L54">
        <f>IFERROR(VLOOKUP($A54,koronahun!$A:$AM,12,FALSE),"")</f>
        <v>99318</v>
      </c>
      <c r="M54" s="13">
        <f>IFERROR(VLOOKUP($A54,koronahun!$A:$AM,13,FALSE),"")</f>
        <v>2.4544304329958289E-2</v>
      </c>
      <c r="N54" s="13">
        <f>IFERROR(VLOOKUP($A54,koronahun!$A:$AM,14,FALSE),"")</f>
        <v>0.92189183679412878</v>
      </c>
      <c r="O54">
        <f>IFERROR(VLOOKUP($A54,koronahun!$A:$AM,15,FALSE),"")</f>
        <v>9191</v>
      </c>
      <c r="P54">
        <f>IFERROR(VLOOKUP($A54,koronahun!$A:$AM,16,FALSE),"")</f>
        <v>11700</v>
      </c>
      <c r="Q54" s="13">
        <f>IFERROR(VLOOKUP($A54,koronahun!$A:$AM,17,FALSE),"")</f>
        <v>0.19888888888888889</v>
      </c>
      <c r="R54">
        <f>IFERROR(VLOOKUP($A54,koronahun!$A:$AM,18,FALSE),"")</f>
        <v>40</v>
      </c>
      <c r="S54">
        <f>IFERROR(VLOOKUP($A54,koronahun!$A:$AM,19,FALSE),"")</f>
        <v>2644</v>
      </c>
      <c r="T54">
        <f>IFERROR(VLOOKUP($A54,koronahun!$A:$AM,20,FALSE),"")</f>
        <v>1858</v>
      </c>
      <c r="U54">
        <f>IFERROR(VLOOKUP($A54,koronahun!$A:$AM,21,FALSE),"")</f>
        <v>56</v>
      </c>
      <c r="V54" s="13">
        <f>IFERROR(VLOOKUP($A54,koronahun!$A:$AM,22,FALSE),"")</f>
        <v>5.3563858875912931E-2</v>
      </c>
      <c r="W54">
        <f>IFERROR(VLOOKUP($A54,koronahun!$A:$AM,23,FALSE),"")</f>
        <v>-7</v>
      </c>
      <c r="X54">
        <f>IFERROR(VLOOKUP($A54,koronahun!$A:$AM,24,FALSE),"")</f>
        <v>4</v>
      </c>
      <c r="Y54" s="14">
        <f>IFERROR(VLOOKUP($A54,koronahun!$A:$AM,25,FALSE),"")</f>
        <v>1.8707585734710729E-2</v>
      </c>
      <c r="Z54" s="14">
        <f>IFERROR(VLOOKUP($A54,koronahun!$A:$AM,26,FALSE),"")</f>
        <v>3.0139935414424113E-2</v>
      </c>
      <c r="AA54" s="14">
        <f>IFERROR(VLOOKUP($A54,koronahun!$A:$AM,27,FALSE),"")</f>
        <v>0.97190385748903008</v>
      </c>
      <c r="AB54" s="14">
        <f>IFERROR(VLOOKUP($A54,koronahun!$A:$AM,28,FALSE),"")</f>
        <v>0.94158479587057831</v>
      </c>
      <c r="AC54" s="14">
        <f>IFERROR(VLOOKUP($A54,koronahun!$A:$AM,29,FALSE),"")</f>
        <v>2120</v>
      </c>
      <c r="AD54" s="14">
        <f>IFERROR(VLOOKUP($A54,koronahun!$A:$AM,30,FALSE),"")</f>
        <v>36</v>
      </c>
      <c r="AE54" s="14">
        <f>IFERROR(VLOOKUP($A54,koronahun!$A:$AM,31,FALSE),"")</f>
        <v>10610</v>
      </c>
      <c r="AF54" s="13">
        <f>IFERROR(VLOOKUP($A54,koronahun!$A:$AM,32,FALSE),"")</f>
        <v>0.22393623311891825</v>
      </c>
      <c r="AG54">
        <f>IFERROR(VLOOKUP($A54,koronahun!$A:$AM,33,FALSE),"")</f>
        <v>6402762</v>
      </c>
      <c r="AH54">
        <f>IFERROR(VLOOKUP($A54,koronahun!$A:$AM,34,FALSE),"")</f>
        <v>403</v>
      </c>
      <c r="AI54">
        <f>IFERROR(VLOOKUP($A54,koronahun!$A:$AM,35,FALSE),"")</f>
        <v>291</v>
      </c>
      <c r="AJ54">
        <f>IFERROR(VLOOKUP($A54,koronahun!$A:$AM,36,FALSE),"")</f>
        <v>6187600</v>
      </c>
      <c r="AK54">
        <f>IFERROR(VLOOKUP($A54,koronahun!$A:$AM,37,FALSE),"")</f>
        <v>661</v>
      </c>
      <c r="AL54">
        <f>IFERROR(VLOOKUP($A54,koronahun!$A:$AM,38,FALSE),"")</f>
        <v>511.8</v>
      </c>
      <c r="AM54" s="14">
        <f>IFERROR(VLOOKUP($A54,koronahun!$A:$AM,39,FALSE),"")</f>
        <v>2282.4285714285716</v>
      </c>
      <c r="AN54" s="11">
        <f ca="1">IFERROR(__xludf.DUMMYFUNCTION("""COMPUTED_VALUE"""),43946)</f>
        <v>43946</v>
      </c>
      <c r="AO54" s="12">
        <f ca="1">IFERROR(VLOOKUP(AN54,koronahun!A:B,2,FALSE),"")</f>
        <v>2443</v>
      </c>
      <c r="AP54" s="11">
        <f t="shared" ca="1" si="0"/>
        <v>43946</v>
      </c>
      <c r="AQ54" s="11">
        <f ca="1">IFERROR(__xludf.DUMMYFUNCTION("""COMPUTED_VALUE"""),43946)</f>
        <v>43946</v>
      </c>
      <c r="AR54" s="11">
        <v>44656</v>
      </c>
      <c r="AS54" s="11">
        <f t="shared" si="1"/>
        <v>44656</v>
      </c>
      <c r="AT54" s="11">
        <f ca="1">IFERROR(__xludf.DUMMYFUNCTION("""COMPUTED_VALUE"""),44652)</f>
        <v>44652</v>
      </c>
    </row>
    <row r="55" spans="1:46" ht="15.75" customHeight="1">
      <c r="A55" s="11">
        <v>44651</v>
      </c>
      <c r="B55">
        <f>IFERROR(VLOOKUP($A55,koronahun!$A:$AM,2,FALSE),"")</f>
        <v>1851871</v>
      </c>
      <c r="C55">
        <f>IFERROR(VLOOKUP($A55,koronahun!$A:$AM,3,FALSE),"")</f>
        <v>2654</v>
      </c>
      <c r="D55">
        <f>IFERROR(VLOOKUP($A55,koronahun!$A:$AM,4,FALSE),"")</f>
        <v>45470</v>
      </c>
      <c r="E55">
        <f>IFERROR(VLOOKUP($A55,koronahun!$A:$AM,5,FALSE),"")</f>
        <v>1706726</v>
      </c>
      <c r="F55">
        <f>IFERROR(VLOOKUP($A55,koronahun!$A:$AM,6,FALSE),"")</f>
        <v>11115682</v>
      </c>
      <c r="G55" s="12">
        <f>IFERROR(VLOOKUP($A55,koronahun!$A:$AM,7,FALSE),"")</f>
        <v>1134253.2653061224</v>
      </c>
      <c r="H55">
        <f>IFERROR(VLOOKUP($A55,koronahun!$A:$AM,8,FALSE),"")</f>
        <v>0</v>
      </c>
      <c r="I55" s="13">
        <f>IFERROR(VLOOKUP($A55,koronahun!$A:$AM,9,FALSE),"")</f>
        <v>1.4352020341582411E-3</v>
      </c>
      <c r="J55" s="13">
        <f>IFERROR(VLOOKUP($A55,koronahun!$A:$AM,10,FALSE),"")</f>
        <v>0.16659985415199896</v>
      </c>
      <c r="K55" s="13">
        <f>IFERROR(VLOOKUP($A55,koronahun!$A:$AM,11,FALSE),"")</f>
        <v>1.1368037279812953E-3</v>
      </c>
      <c r="L55">
        <f>IFERROR(VLOOKUP($A55,koronahun!$A:$AM,12,FALSE),"")</f>
        <v>99675</v>
      </c>
      <c r="M55" s="13">
        <f>IFERROR(VLOOKUP($A55,koronahun!$A:$AM,13,FALSE),"")</f>
        <v>2.4553546116333157E-2</v>
      </c>
      <c r="N55" s="13">
        <f>IFERROR(VLOOKUP($A55,koronahun!$A:$AM,14,FALSE),"")</f>
        <v>0.92162251042324217</v>
      </c>
      <c r="O55">
        <f>IFERROR(VLOOKUP($A55,koronahun!$A:$AM,15,FALSE),"")</f>
        <v>8412</v>
      </c>
      <c r="P55">
        <f>IFERROR(VLOOKUP($A55,koronahun!$A:$AM,16,FALSE),"")</f>
        <v>12622</v>
      </c>
      <c r="Q55" s="13">
        <f>IFERROR(VLOOKUP($A55,koronahun!$A:$AM,17,FALSE),"")</f>
        <v>0.21026778640469021</v>
      </c>
      <c r="R55">
        <f>IFERROR(VLOOKUP($A55,koronahun!$A:$AM,18,FALSE),"")</f>
        <v>40</v>
      </c>
      <c r="S55">
        <f>IFERROR(VLOOKUP($A55,koronahun!$A:$AM,19,FALSE),"")</f>
        <v>2794</v>
      </c>
      <c r="T55">
        <f>IFERROR(VLOOKUP($A55,koronahun!$A:$AM,20,FALSE),"")</f>
        <v>1865</v>
      </c>
      <c r="U55">
        <f>IFERROR(VLOOKUP($A55,koronahun!$A:$AM,21,FALSE),"")</f>
        <v>52</v>
      </c>
      <c r="V55" s="13">
        <f>IFERROR(VLOOKUP($A55,koronahun!$A:$AM,22,FALSE),"")</f>
        <v>5.3823943460424621E-2</v>
      </c>
      <c r="W55">
        <f>IFERROR(VLOOKUP($A55,koronahun!$A:$AM,23,FALSE),"")</f>
        <v>-8</v>
      </c>
      <c r="X55">
        <f>IFERROR(VLOOKUP($A55,koronahun!$A:$AM,24,FALSE),"")</f>
        <v>-3</v>
      </c>
      <c r="Y55" s="14">
        <f>IFERROR(VLOOKUP($A55,koronahun!$A:$AM,25,FALSE),"")</f>
        <v>1.8710810132932028E-2</v>
      </c>
      <c r="Z55" s="14">
        <f>IFERROR(VLOOKUP($A55,koronahun!$A:$AM,26,FALSE),"")</f>
        <v>2.7882037533512063E-2</v>
      </c>
      <c r="AA55" s="14">
        <f>IFERROR(VLOOKUP($A55,koronahun!$A:$AM,27,FALSE),"")</f>
        <v>0.9257057949479941</v>
      </c>
      <c r="AB55" s="14">
        <f>IFERROR(VLOOKUP($A55,koronahun!$A:$AM,28,FALSE),"")</f>
        <v>1.0611548828080557</v>
      </c>
      <c r="AC55" s="14">
        <f>IFERROR(VLOOKUP($A55,koronahun!$A:$AM,29,FALSE),"")</f>
        <v>2136</v>
      </c>
      <c r="AD55" s="14">
        <f>IFERROR(VLOOKUP($A55,koronahun!$A:$AM,30,FALSE),"")</f>
        <v>35.714285714285715</v>
      </c>
      <c r="AE55" s="14">
        <f>IFERROR(VLOOKUP($A55,koronahun!$A:$AM,31,FALSE),"")</f>
        <v>10772.714285714286</v>
      </c>
      <c r="AF55" s="13">
        <f>IFERROR(VLOOKUP($A55,koronahun!$A:$AM,32,FALSE),"")</f>
        <v>0.22215206855089203</v>
      </c>
      <c r="AG55">
        <f>IFERROR(VLOOKUP($A55,koronahun!$A:$AM,33,FALSE),"")</f>
        <v>6402359</v>
      </c>
      <c r="AH55">
        <f>IFERROR(VLOOKUP($A55,koronahun!$A:$AM,34,FALSE),"")</f>
        <v>152</v>
      </c>
      <c r="AI55">
        <f>IFERROR(VLOOKUP($A55,koronahun!$A:$AM,35,FALSE),"")</f>
        <v>296.8</v>
      </c>
      <c r="AJ55">
        <f>IFERROR(VLOOKUP($A55,koronahun!$A:$AM,36,FALSE),"")</f>
        <v>6186939</v>
      </c>
      <c r="AK55">
        <f>IFERROR(VLOOKUP($A55,koronahun!$A:$AM,37,FALSE),"")</f>
        <v>267</v>
      </c>
      <c r="AL55">
        <f>IFERROR(VLOOKUP($A55,koronahun!$A:$AM,38,FALSE),"")</f>
        <v>572.6</v>
      </c>
      <c r="AM55" s="14">
        <f>IFERROR(VLOOKUP($A55,koronahun!$A:$AM,39,FALSE),"")</f>
        <v>2466.5714285714284</v>
      </c>
      <c r="AN55" s="11">
        <f ca="1">IFERROR(__xludf.DUMMYFUNCTION("""COMPUTED_VALUE"""),43947)</f>
        <v>43947</v>
      </c>
      <c r="AO55" s="12">
        <f ca="1">IFERROR(VLOOKUP(AN55,koronahun!A:B,2,FALSE),"")</f>
        <v>2500</v>
      </c>
      <c r="AP55" s="11">
        <f t="shared" ca="1" si="0"/>
        <v>43947</v>
      </c>
      <c r="AQ55" s="11">
        <f ca="1">IFERROR(__xludf.DUMMYFUNCTION("""COMPUTED_VALUE"""),43947)</f>
        <v>43947</v>
      </c>
      <c r="AR55" s="11">
        <v>44652</v>
      </c>
      <c r="AS55" s="11">
        <f t="shared" si="1"/>
        <v>44652</v>
      </c>
      <c r="AT55" s="11">
        <f ca="1">IFERROR(__xludf.DUMMYFUNCTION("""COMPUTED_VALUE"""),44651)</f>
        <v>44651</v>
      </c>
    </row>
    <row r="56" spans="1:46" ht="15.75" customHeight="1">
      <c r="A56" s="11">
        <v>44650</v>
      </c>
      <c r="B56">
        <f>IFERROR(VLOOKUP($A56,koronahun!$A:$AM,2,FALSE),"")</f>
        <v>1849217</v>
      </c>
      <c r="C56">
        <f>IFERROR(VLOOKUP($A56,koronahun!$A:$AM,3,FALSE),"")</f>
        <v>2906</v>
      </c>
      <c r="D56">
        <f>IFERROR(VLOOKUP($A56,koronahun!$A:$AM,4,FALSE),"")</f>
        <v>45430</v>
      </c>
      <c r="E56">
        <f>IFERROR(VLOOKUP($A56,koronahun!$A:$AM,5,FALSE),"")</f>
        <v>1703932</v>
      </c>
      <c r="F56">
        <f>IFERROR(VLOOKUP($A56,koronahun!$A:$AM,6,FALSE),"")</f>
        <v>11103060</v>
      </c>
      <c r="G56" s="12">
        <f>IFERROR(VLOOKUP($A56,koronahun!$A:$AM,7,FALSE),"")</f>
        <v>1132965.306122449</v>
      </c>
      <c r="H56">
        <f>IFERROR(VLOOKUP($A56,koronahun!$A:$AM,8,FALSE),"")</f>
        <v>0</v>
      </c>
      <c r="I56" s="13">
        <f>IFERROR(VLOOKUP($A56,koronahun!$A:$AM,9,FALSE),"")</f>
        <v>1.5739493508948384E-3</v>
      </c>
      <c r="J56" s="13">
        <f>IFERROR(VLOOKUP($A56,koronahun!$A:$AM,10,FALSE),"")</f>
        <v>0.16655021228382086</v>
      </c>
      <c r="K56" s="13">
        <f>IFERROR(VLOOKUP($A56,koronahun!$A:$AM,11,FALSE),"")</f>
        <v>7.9212047442139507E-4</v>
      </c>
      <c r="L56">
        <f>IFERROR(VLOOKUP($A56,koronahun!$A:$AM,12,FALSE),"")</f>
        <v>99855</v>
      </c>
      <c r="M56" s="13">
        <f>IFERROR(VLOOKUP($A56,koronahun!$A:$AM,13,FALSE),"")</f>
        <v>2.4567154638963411E-2</v>
      </c>
      <c r="N56" s="13">
        <f>IFERROR(VLOOKUP($A56,koronahun!$A:$AM,14,FALSE),"")</f>
        <v>0.92143431517231345</v>
      </c>
      <c r="O56">
        <f>IFERROR(VLOOKUP($A56,koronahun!$A:$AM,15,FALSE),"")</f>
        <v>8296</v>
      </c>
      <c r="P56">
        <f>IFERROR(VLOOKUP($A56,koronahun!$A:$AM,16,FALSE),"")</f>
        <v>8788</v>
      </c>
      <c r="Q56" s="13">
        <f>IFERROR(VLOOKUP($A56,koronahun!$A:$AM,17,FALSE),"")</f>
        <v>0.33067819754210287</v>
      </c>
      <c r="R56">
        <f>IFERROR(VLOOKUP($A56,koronahun!$A:$AM,18,FALSE),"")</f>
        <v>40</v>
      </c>
      <c r="S56">
        <f>IFERROR(VLOOKUP($A56,koronahun!$A:$AM,19,FALSE),"")</f>
        <v>3204</v>
      </c>
      <c r="T56">
        <f>IFERROR(VLOOKUP($A56,koronahun!$A:$AM,20,FALSE),"")</f>
        <v>1873</v>
      </c>
      <c r="U56">
        <f>IFERROR(VLOOKUP($A56,koronahun!$A:$AM,21,FALSE),"")</f>
        <v>55</v>
      </c>
      <c r="V56" s="13">
        <f>IFERROR(VLOOKUP($A56,koronahun!$A:$AM,22,FALSE),"")</f>
        <v>5.3998530188723116E-2</v>
      </c>
      <c r="W56">
        <f>IFERROR(VLOOKUP($A56,koronahun!$A:$AM,23,FALSE),"")</f>
        <v>-23</v>
      </c>
      <c r="X56">
        <f>IFERROR(VLOOKUP($A56,koronahun!$A:$AM,24,FALSE),"")</f>
        <v>0</v>
      </c>
      <c r="Y56" s="14">
        <f>IFERROR(VLOOKUP($A56,koronahun!$A:$AM,25,FALSE),"")</f>
        <v>1.8757197937008661E-2</v>
      </c>
      <c r="Z56" s="14">
        <f>IFERROR(VLOOKUP($A56,koronahun!$A:$AM,26,FALSE),"")</f>
        <v>2.9364655632674853E-2</v>
      </c>
      <c r="AA56" s="14">
        <f>IFERROR(VLOOKUP($A56,koronahun!$A:$AM,27,FALSE),"")</f>
        <v>0.99633431085043989</v>
      </c>
      <c r="AB56" s="14">
        <f>IFERROR(VLOOKUP($A56,koronahun!$A:$AM,28,FALSE),"")</f>
        <v>1.2572718378276622</v>
      </c>
      <c r="AC56" s="14">
        <f>IFERROR(VLOOKUP($A56,koronahun!$A:$AM,29,FALSE),"")</f>
        <v>2135.5714285714284</v>
      </c>
      <c r="AD56" s="14">
        <f>IFERROR(VLOOKUP($A56,koronahun!$A:$AM,30,FALSE),"")</f>
        <v>35</v>
      </c>
      <c r="AE56" s="14">
        <f>IFERROR(VLOOKUP($A56,koronahun!$A:$AM,31,FALSE),"")</f>
        <v>10210.428571428571</v>
      </c>
      <c r="AF56" s="13">
        <f>IFERROR(VLOOKUP($A56,koronahun!$A:$AM,32,FALSE),"")</f>
        <v>0.2411392665082685</v>
      </c>
      <c r="AG56">
        <f>IFERROR(VLOOKUP($A56,koronahun!$A:$AM,33,FALSE),"")</f>
        <v>6402207</v>
      </c>
      <c r="AH56">
        <f>IFERROR(VLOOKUP($A56,koronahun!$A:$AM,34,FALSE),"")</f>
        <v>107</v>
      </c>
      <c r="AI56">
        <f>IFERROR(VLOOKUP($A56,koronahun!$A:$AM,35,FALSE),"")</f>
        <v>295.2</v>
      </c>
      <c r="AJ56">
        <f>IFERROR(VLOOKUP($A56,koronahun!$A:$AM,36,FALSE),"")</f>
        <v>6186672</v>
      </c>
      <c r="AK56">
        <f>IFERROR(VLOOKUP($A56,koronahun!$A:$AM,37,FALSE),"")</f>
        <v>186</v>
      </c>
      <c r="AL56">
        <f>IFERROR(VLOOKUP($A56,koronahun!$A:$AM,38,FALSE),"")</f>
        <v>582.20000000000005</v>
      </c>
      <c r="AM56" s="14">
        <f>IFERROR(VLOOKUP($A56,koronahun!$A:$AM,39,FALSE),"")</f>
        <v>2516.1428571428573</v>
      </c>
      <c r="AN56" s="11">
        <f ca="1">IFERROR(__xludf.DUMMYFUNCTION("""COMPUTED_VALUE"""),43948)</f>
        <v>43948</v>
      </c>
      <c r="AO56" s="12">
        <f ca="1">IFERROR(VLOOKUP(AN56,koronahun!A:B,2,FALSE),"")</f>
        <v>2583</v>
      </c>
      <c r="AP56" s="11">
        <f t="shared" ca="1" si="0"/>
        <v>43948</v>
      </c>
      <c r="AQ56" s="11">
        <f ca="1">IFERROR(__xludf.DUMMYFUNCTION("""COMPUTED_VALUE"""),43948)</f>
        <v>43948</v>
      </c>
      <c r="AR56" s="11">
        <v>44651</v>
      </c>
      <c r="AS56" s="11">
        <f t="shared" si="1"/>
        <v>44651</v>
      </c>
      <c r="AT56" s="11">
        <f ca="1">IFERROR(__xludf.DUMMYFUNCTION("""COMPUTED_VALUE"""),44650)</f>
        <v>44650</v>
      </c>
    </row>
    <row r="57" spans="1:46" ht="15.75" customHeight="1">
      <c r="A57" s="11">
        <v>44649</v>
      </c>
      <c r="B57">
        <f>IFERROR(VLOOKUP($A57,koronahun!$A:$AM,2,FALSE),"")</f>
        <v>1846311</v>
      </c>
      <c r="C57">
        <f>IFERROR(VLOOKUP($A57,koronahun!$A:$AM,3,FALSE),"")</f>
        <v>1730</v>
      </c>
      <c r="D57">
        <f>IFERROR(VLOOKUP($A57,koronahun!$A:$AM,4,FALSE),"")</f>
        <v>45390</v>
      </c>
      <c r="E57">
        <f>IFERROR(VLOOKUP($A57,koronahun!$A:$AM,5,FALSE),"")</f>
        <v>1700728</v>
      </c>
      <c r="F57">
        <f>IFERROR(VLOOKUP($A57,koronahun!$A:$AM,6,FALSE),"")</f>
        <v>11094272</v>
      </c>
      <c r="G57" s="12">
        <f>IFERROR(VLOOKUP($A57,koronahun!$A:$AM,7,FALSE),"")</f>
        <v>1132068.5714285714</v>
      </c>
      <c r="H57">
        <f>IFERROR(VLOOKUP($A57,koronahun!$A:$AM,8,FALSE),"")</f>
        <v>0</v>
      </c>
      <c r="I57" s="13">
        <f>IFERROR(VLOOKUP($A57,koronahun!$A:$AM,9,FALSE),"")</f>
        <v>9.3788237003417031E-4</v>
      </c>
      <c r="J57" s="13">
        <f>IFERROR(VLOOKUP($A57,koronahun!$A:$AM,10,FALSE),"")</f>
        <v>0.16642020314627223</v>
      </c>
      <c r="K57" s="13">
        <f>IFERROR(VLOOKUP($A57,koronahun!$A:$AM,11,FALSE),"")</f>
        <v>6.9796385416758748E-4</v>
      </c>
      <c r="L57">
        <f>IFERROR(VLOOKUP($A57,koronahun!$A:$AM,12,FALSE),"")</f>
        <v>100193</v>
      </c>
      <c r="M57" s="13">
        <f>IFERROR(VLOOKUP($A57,koronahun!$A:$AM,13,FALSE),"")</f>
        <v>2.4584157273612083E-2</v>
      </c>
      <c r="N57" s="13">
        <f>IFERROR(VLOOKUP($A57,koronahun!$A:$AM,14,FALSE),"")</f>
        <v>0.92114925383643387</v>
      </c>
      <c r="O57">
        <f>IFERROR(VLOOKUP($A57,koronahun!$A:$AM,15,FALSE),"")</f>
        <v>8234</v>
      </c>
      <c r="P57">
        <f>IFERROR(VLOOKUP($A57,koronahun!$A:$AM,16,FALSE),"")</f>
        <v>7738</v>
      </c>
      <c r="Q57" s="13">
        <f>IFERROR(VLOOKUP($A57,koronahun!$A:$AM,17,FALSE),"")</f>
        <v>0.22357198242439907</v>
      </c>
      <c r="R57">
        <f>IFERROR(VLOOKUP($A57,koronahun!$A:$AM,18,FALSE),"")</f>
        <v>48</v>
      </c>
      <c r="S57">
        <f>IFERROR(VLOOKUP($A57,koronahun!$A:$AM,19,FALSE),"")</f>
        <v>1556</v>
      </c>
      <c r="T57">
        <f>IFERROR(VLOOKUP($A57,koronahun!$A:$AM,20,FALSE),"")</f>
        <v>1896</v>
      </c>
      <c r="U57">
        <f>IFERROR(VLOOKUP($A57,koronahun!$A:$AM,21,FALSE),"")</f>
        <v>55</v>
      </c>
      <c r="V57" s="13">
        <f>IFERROR(VLOOKUP($A57,koronahun!$A:$AM,22,FALSE),"")</f>
        <v>5.4266588889954073E-2</v>
      </c>
      <c r="W57">
        <f>IFERROR(VLOOKUP($A57,koronahun!$A:$AM,23,FALSE),"")</f>
        <v>9</v>
      </c>
      <c r="X57">
        <f>IFERROR(VLOOKUP($A57,koronahun!$A:$AM,24,FALSE),"")</f>
        <v>-5</v>
      </c>
      <c r="Y57" s="14">
        <f>IFERROR(VLOOKUP($A57,koronahun!$A:$AM,25,FALSE),"")</f>
        <v>1.8923477688062039E-2</v>
      </c>
      <c r="Z57" s="14">
        <f>IFERROR(VLOOKUP($A57,koronahun!$A:$AM,26,FALSE),"")</f>
        <v>2.90084388185654E-2</v>
      </c>
      <c r="AA57" s="14">
        <f>IFERROR(VLOOKUP($A57,koronahun!$A:$AM,27,FALSE),"")</f>
        <v>0.87263349158900416</v>
      </c>
      <c r="AB57" s="14">
        <f>IFERROR(VLOOKUP($A57,koronahun!$A:$AM,28,FALSE),"")</f>
        <v>1.3790491609576709</v>
      </c>
      <c r="AC57" s="14">
        <f>IFERROR(VLOOKUP($A57,koronahun!$A:$AM,29,FALSE),"")</f>
        <v>2126.8571428571427</v>
      </c>
      <c r="AD57" s="14">
        <f>IFERROR(VLOOKUP($A57,koronahun!$A:$AM,30,FALSE),"")</f>
        <v>35.285714285714285</v>
      </c>
      <c r="AE57" s="14">
        <f>IFERROR(VLOOKUP($A57,koronahun!$A:$AM,31,FALSE),"")</f>
        <v>10290</v>
      </c>
      <c r="AF57" s="13">
        <f>IFERROR(VLOOKUP($A57,koronahun!$A:$AM,32,FALSE),"")</f>
        <v>0.23589180249476499</v>
      </c>
      <c r="AG57">
        <f>IFERROR(VLOOKUP($A57,koronahun!$A:$AM,33,FALSE),"")</f>
        <v>6402100</v>
      </c>
      <c r="AH57">
        <f>IFERROR(VLOOKUP($A57,koronahun!$A:$AM,34,FALSE),"")</f>
        <v>120</v>
      </c>
      <c r="AI57">
        <f>IFERROR(VLOOKUP($A57,koronahun!$A:$AM,35,FALSE),"")</f>
        <v>293.39999999999998</v>
      </c>
      <c r="AJ57">
        <f>IFERROR(VLOOKUP($A57,koronahun!$A:$AM,36,FALSE),"")</f>
        <v>6186486</v>
      </c>
      <c r="AK57">
        <f>IFERROR(VLOOKUP($A57,koronahun!$A:$AM,37,FALSE),"")</f>
        <v>217</v>
      </c>
      <c r="AL57">
        <f>IFERROR(VLOOKUP($A57,koronahun!$A:$AM,38,FALSE),"")</f>
        <v>599.79999999999995</v>
      </c>
      <c r="AM57" s="14">
        <f>IFERROR(VLOOKUP($A57,koronahun!$A:$AM,39,FALSE),"")</f>
        <v>2530.5714285714284</v>
      </c>
      <c r="AN57" s="11">
        <f ca="1">IFERROR(__xludf.DUMMYFUNCTION("""COMPUTED_VALUE"""),43949)</f>
        <v>43949</v>
      </c>
      <c r="AO57" s="12">
        <f ca="1">IFERROR(VLOOKUP(AN57,koronahun!A:B,2,FALSE),"")</f>
        <v>2649</v>
      </c>
      <c r="AP57" s="11">
        <f t="shared" ca="1" si="0"/>
        <v>43949</v>
      </c>
      <c r="AQ57" s="11">
        <f ca="1">IFERROR(__xludf.DUMMYFUNCTION("""COMPUTED_VALUE"""),43949)</f>
        <v>43949</v>
      </c>
      <c r="AR57" s="11">
        <v>44650</v>
      </c>
      <c r="AS57" s="11">
        <f t="shared" si="1"/>
        <v>44650</v>
      </c>
      <c r="AT57" s="11">
        <f ca="1">IFERROR(__xludf.DUMMYFUNCTION("""COMPUTED_VALUE"""),44649)</f>
        <v>44649</v>
      </c>
    </row>
    <row r="58" spans="1:46" ht="15.75" customHeight="1">
      <c r="A58" s="11">
        <v>44648</v>
      </c>
      <c r="B58">
        <f>IFERROR(VLOOKUP($A58,koronahun!$A:$AM,2,FALSE),"")</f>
        <v>1844581</v>
      </c>
      <c r="C58">
        <f>IFERROR(VLOOKUP($A58,koronahun!$A:$AM,3,FALSE),"")</f>
        <v>5223</v>
      </c>
      <c r="D58">
        <f>IFERROR(VLOOKUP($A58,koronahun!$A:$AM,4,FALSE),"")</f>
        <v>45342</v>
      </c>
      <c r="E58">
        <f>IFERROR(VLOOKUP($A58,koronahun!$A:$AM,5,FALSE),"")</f>
        <v>1699172</v>
      </c>
      <c r="F58">
        <f>IFERROR(VLOOKUP($A58,koronahun!$A:$AM,6,FALSE),"")</f>
        <v>11086534</v>
      </c>
      <c r="G58" s="12">
        <f>IFERROR(VLOOKUP($A58,koronahun!$A:$AM,7,FALSE),"")</f>
        <v>1131278.9795918367</v>
      </c>
      <c r="H58">
        <f>IFERROR(VLOOKUP($A58,koronahun!$A:$AM,8,FALSE),"")</f>
        <v>0</v>
      </c>
      <c r="I58" s="13">
        <f>IFERROR(VLOOKUP($A58,koronahun!$A:$AM,9,FALSE),"")</f>
        <v>2.8395777222269946E-3</v>
      </c>
      <c r="J58" s="13">
        <f>IFERROR(VLOOKUP($A58,koronahun!$A:$AM,10,FALSE),"")</f>
        <v>0.16638031327013475</v>
      </c>
      <c r="K58" s="13">
        <f>IFERROR(VLOOKUP($A58,koronahun!$A:$AM,11,FALSE),"")</f>
        <v>3.0237638051618405E-3</v>
      </c>
      <c r="L58">
        <f>IFERROR(VLOOKUP($A58,koronahun!$A:$AM,12,FALSE),"")</f>
        <v>100067</v>
      </c>
      <c r="M58" s="13">
        <f>IFERROR(VLOOKUP($A58,koronahun!$A:$AM,13,FALSE),"")</f>
        <v>2.4581192151496737E-2</v>
      </c>
      <c r="N58" s="13">
        <f>IFERROR(VLOOKUP($A58,koronahun!$A:$AM,14,FALSE),"")</f>
        <v>0.92116963147728403</v>
      </c>
      <c r="O58">
        <f>IFERROR(VLOOKUP($A58,koronahun!$A:$AM,15,FALSE),"")</f>
        <v>8857</v>
      </c>
      <c r="P58">
        <f>IFERROR(VLOOKUP($A58,koronahun!$A:$AM,16,FALSE),"")</f>
        <v>33422</v>
      </c>
      <c r="Q58" s="13">
        <f>IFERROR(VLOOKUP($A58,koronahun!$A:$AM,17,FALSE),"")</f>
        <v>0.1562743103345102</v>
      </c>
      <c r="R58">
        <f>IFERROR(VLOOKUP($A58,koronahun!$A:$AM,18,FALSE),"")</f>
        <v>84</v>
      </c>
      <c r="S58">
        <f>IFERROR(VLOOKUP($A58,koronahun!$A:$AM,19,FALSE),"")</f>
        <v>5779</v>
      </c>
      <c r="T58">
        <f>IFERROR(VLOOKUP($A58,koronahun!$A:$AM,20,FALSE),"")</f>
        <v>1887</v>
      </c>
      <c r="U58">
        <f>IFERROR(VLOOKUP($A58,koronahun!$A:$AM,21,FALSE),"")</f>
        <v>60</v>
      </c>
      <c r="V58" s="13">
        <f>IFERROR(VLOOKUP($A58,koronahun!$A:$AM,22,FALSE),"")</f>
        <v>5.4249176371219267E-2</v>
      </c>
      <c r="W58">
        <f>IFERROR(VLOOKUP($A58,koronahun!$A:$AM,23,FALSE),"")</f>
        <v>-66</v>
      </c>
      <c r="X58">
        <f>IFERROR(VLOOKUP($A58,koronahun!$A:$AM,24,FALSE),"")</f>
        <v>-10</v>
      </c>
      <c r="Y58" s="14">
        <f>IFERROR(VLOOKUP($A58,koronahun!$A:$AM,25,FALSE),"")</f>
        <v>1.8857365565071404E-2</v>
      </c>
      <c r="Z58" s="14">
        <f>IFERROR(VLOOKUP($A58,koronahun!$A:$AM,26,FALSE),"")</f>
        <v>3.1796502384737677E-2</v>
      </c>
      <c r="AA58" s="14">
        <f>IFERROR(VLOOKUP($A58,koronahun!$A:$AM,27,FALSE),"")</f>
        <v>0.94134652447642297</v>
      </c>
      <c r="AB58" s="14">
        <f>IFERROR(VLOOKUP($A58,koronahun!$A:$AM,28,FALSE),"")</f>
        <v>1.6866759174936212</v>
      </c>
      <c r="AC58" s="14">
        <f>IFERROR(VLOOKUP($A58,koronahun!$A:$AM,29,FALSE),"")</f>
        <v>2093.2857142857142</v>
      </c>
      <c r="AD58" s="14">
        <f>IFERROR(VLOOKUP($A58,koronahun!$A:$AM,30,FALSE),"")</f>
        <v>35.285714285714285</v>
      </c>
      <c r="AE58" s="14">
        <f>IFERROR(VLOOKUP($A58,koronahun!$A:$AM,31,FALSE),"")</f>
        <v>9729.4285714285706</v>
      </c>
      <c r="AF58" s="13">
        <f>IFERROR(VLOOKUP($A58,koronahun!$A:$AM,32,FALSE),"")</f>
        <v>0.26957279143201418</v>
      </c>
      <c r="AG58">
        <f>IFERROR(VLOOKUP($A58,koronahun!$A:$AM,33,FALSE),"")</f>
        <v>6401980</v>
      </c>
      <c r="AH58">
        <f>IFERROR(VLOOKUP($A58,koronahun!$A:$AM,34,FALSE),"")</f>
        <v>673</v>
      </c>
      <c r="AI58">
        <f>IFERROR(VLOOKUP($A58,koronahun!$A:$AM,35,FALSE),"")</f>
        <v>286.60000000000002</v>
      </c>
      <c r="AJ58">
        <f>IFERROR(VLOOKUP($A58,koronahun!$A:$AM,36,FALSE),"")</f>
        <v>6186269</v>
      </c>
      <c r="AK58">
        <f>IFERROR(VLOOKUP($A58,koronahun!$A:$AM,37,FALSE),"")</f>
        <v>1228</v>
      </c>
      <c r="AL58">
        <f>IFERROR(VLOOKUP($A58,koronahun!$A:$AM,38,FALSE),"")</f>
        <v>604.4</v>
      </c>
      <c r="AM58" s="14">
        <f>IFERROR(VLOOKUP($A58,koronahun!$A:$AM,39,FALSE),"")</f>
        <v>2557.7142857142858</v>
      </c>
      <c r="AN58" s="11">
        <f ca="1">IFERROR(__xludf.DUMMYFUNCTION("""COMPUTED_VALUE"""),43950)</f>
        <v>43950</v>
      </c>
      <c r="AO58" s="12">
        <f ca="1">IFERROR(VLOOKUP(AN58,koronahun!A:B,2,FALSE),"")</f>
        <v>2727</v>
      </c>
      <c r="AP58" s="11">
        <f t="shared" ca="1" si="0"/>
        <v>43950</v>
      </c>
      <c r="AQ58" s="11">
        <f ca="1">IFERROR(__xludf.DUMMYFUNCTION("""COMPUTED_VALUE"""),43950)</f>
        <v>43950</v>
      </c>
      <c r="AR58" s="11">
        <v>44649</v>
      </c>
      <c r="AS58" s="11">
        <f t="shared" si="1"/>
        <v>44649</v>
      </c>
      <c r="AT58" s="11">
        <f ca="1">IFERROR(__xludf.DUMMYFUNCTION("""COMPUTED_VALUE"""),44648)</f>
        <v>44648</v>
      </c>
    </row>
    <row r="59" spans="1:46" ht="15.75" customHeight="1">
      <c r="A59" s="11">
        <v>44645</v>
      </c>
      <c r="B59">
        <f>IFERROR(VLOOKUP($A59,koronahun!$A:$AM,2,FALSE),"")</f>
        <v>1839358</v>
      </c>
      <c r="C59">
        <f>IFERROR(VLOOKUP($A59,koronahun!$A:$AM,3,FALSE),"")</f>
        <v>2439</v>
      </c>
      <c r="D59">
        <f>IFERROR(VLOOKUP($A59,koronahun!$A:$AM,4,FALSE),"")</f>
        <v>45258</v>
      </c>
      <c r="E59">
        <f>IFERROR(VLOOKUP($A59,koronahun!$A:$AM,5,FALSE),"")</f>
        <v>1693393</v>
      </c>
      <c r="F59">
        <f>IFERROR(VLOOKUP($A59,koronahun!$A:$AM,6,FALSE),"")</f>
        <v>11053112</v>
      </c>
      <c r="G59" s="12">
        <f>IFERROR(VLOOKUP($A59,koronahun!$A:$AM,7,FALSE),"")</f>
        <v>1127868.5714285714</v>
      </c>
      <c r="H59">
        <f>IFERROR(VLOOKUP($A59,koronahun!$A:$AM,8,FALSE),"")</f>
        <v>0</v>
      </c>
      <c r="I59" s="13">
        <f>IFERROR(VLOOKUP($A59,koronahun!$A:$AM,9,FALSE),"")</f>
        <v>1.3277667659815158E-3</v>
      </c>
      <c r="J59" s="13">
        <f>IFERROR(VLOOKUP($A59,koronahun!$A:$AM,10,FALSE),"")</f>
        <v>0.16641087143602634</v>
      </c>
      <c r="K59" s="13">
        <f>IFERROR(VLOOKUP($A59,koronahun!$A:$AM,11,FALSE),"")</f>
        <v>1.1629241414591832E-3</v>
      </c>
      <c r="L59">
        <f>IFERROR(VLOOKUP($A59,koronahun!$A:$AM,12,FALSE),"")</f>
        <v>100707</v>
      </c>
      <c r="M59" s="13">
        <f>IFERROR(VLOOKUP($A59,koronahun!$A:$AM,13,FALSE),"")</f>
        <v>2.4605324249004273E-2</v>
      </c>
      <c r="N59" s="13">
        <f>IFERROR(VLOOKUP($A59,koronahun!$A:$AM,14,FALSE),"")</f>
        <v>0.92064350713672927</v>
      </c>
      <c r="O59">
        <f>IFERROR(VLOOKUP($A59,koronahun!$A:$AM,15,FALSE),"")</f>
        <v>8857</v>
      </c>
      <c r="P59">
        <f>IFERROR(VLOOKUP($A59,koronahun!$A:$AM,16,FALSE),"")</f>
        <v>12839</v>
      </c>
      <c r="Q59" s="13">
        <f>IFERROR(VLOOKUP($A59,koronahun!$A:$AM,17,FALSE),"")</f>
        <v>0.18996806604875768</v>
      </c>
      <c r="R59">
        <f>IFERROR(VLOOKUP($A59,koronahun!$A:$AM,18,FALSE),"")</f>
        <v>38</v>
      </c>
      <c r="S59">
        <f>IFERROR(VLOOKUP($A59,koronahun!$A:$AM,19,FALSE),"")</f>
        <v>3933</v>
      </c>
      <c r="T59">
        <f>IFERROR(VLOOKUP($A59,koronahun!$A:$AM,20,FALSE),"")</f>
        <v>1953</v>
      </c>
      <c r="U59">
        <f>IFERROR(VLOOKUP($A59,koronahun!$A:$AM,21,FALSE),"")</f>
        <v>70</v>
      </c>
      <c r="V59" s="13">
        <f>IFERROR(VLOOKUP($A59,koronahun!$A:$AM,22,FALSE),"")</f>
        <v>5.4751168614266502E-2</v>
      </c>
      <c r="W59">
        <f>IFERROR(VLOOKUP($A59,koronahun!$A:$AM,23,FALSE),"")</f>
        <v>-18</v>
      </c>
      <c r="X59">
        <f>IFERROR(VLOOKUP($A59,koronahun!$A:$AM,24,FALSE),"")</f>
        <v>-1</v>
      </c>
      <c r="Y59" s="14">
        <f>IFERROR(VLOOKUP($A59,koronahun!$A:$AM,25,FALSE),"")</f>
        <v>1.9392892251779915E-2</v>
      </c>
      <c r="Z59" s="14">
        <f>IFERROR(VLOOKUP($A59,koronahun!$A:$AM,26,FALSE),"")</f>
        <v>3.5842293906810034E-2</v>
      </c>
      <c r="AA59" s="14">
        <f>IFERROR(VLOOKUP($A59,koronahun!$A:$AM,27,FALSE),"")</f>
        <v>1.5697542921764163</v>
      </c>
      <c r="AB59" s="14">
        <f>IFERROR(VLOOKUP($A59,koronahun!$A:$AM,28,FALSE),"")</f>
        <v>1.8662232477590173</v>
      </c>
      <c r="AC59" s="14">
        <f>IFERROR(VLOOKUP($A59,koronahun!$A:$AM,29,FALSE),"")</f>
        <v>2181.2857142857142</v>
      </c>
      <c r="AD59" s="14">
        <f>IFERROR(VLOOKUP($A59,koronahun!$A:$AM,30,FALSE),"")</f>
        <v>42.428571428571431</v>
      </c>
      <c r="AE59" s="14">
        <f>IFERROR(VLOOKUP($A59,koronahun!$A:$AM,31,FALSE),"")</f>
        <v>11089.571428571429</v>
      </c>
      <c r="AF59" s="13">
        <f>IFERROR(VLOOKUP($A59,koronahun!$A:$AM,32,FALSE),"")</f>
        <v>0.26551211700919847</v>
      </c>
      <c r="AG59">
        <f>IFERROR(VLOOKUP($A59,koronahun!$A:$AM,33,FALSE),"")</f>
        <v>6401307</v>
      </c>
      <c r="AH59">
        <f>IFERROR(VLOOKUP($A59,koronahun!$A:$AM,34,FALSE),"")</f>
        <v>432</v>
      </c>
      <c r="AI59">
        <f>IFERROR(VLOOKUP($A59,koronahun!$A:$AM,35,FALSE),"")</f>
        <v>282.60000000000002</v>
      </c>
      <c r="AJ59">
        <f>IFERROR(VLOOKUP($A59,koronahun!$A:$AM,36,FALSE),"")</f>
        <v>6185041</v>
      </c>
      <c r="AK59">
        <f>IFERROR(VLOOKUP($A59,koronahun!$A:$AM,37,FALSE),"")</f>
        <v>965</v>
      </c>
      <c r="AL59">
        <f>IFERROR(VLOOKUP($A59,koronahun!$A:$AM,38,FALSE),"")</f>
        <v>645.4</v>
      </c>
      <c r="AM59" s="14">
        <f>IFERROR(VLOOKUP($A59,koronahun!$A:$AM,39,FALSE),"")</f>
        <v>2956.2857142857142</v>
      </c>
      <c r="AN59" s="11">
        <f ca="1">IFERROR(__xludf.DUMMYFUNCTION("""COMPUTED_VALUE"""),43951)</f>
        <v>43951</v>
      </c>
      <c r="AO59" s="12">
        <f ca="1">IFERROR(VLOOKUP(AN59,koronahun!A:B,2,FALSE),"")</f>
        <v>2775</v>
      </c>
      <c r="AP59" s="11">
        <f t="shared" ca="1" si="0"/>
        <v>43951</v>
      </c>
      <c r="AQ59" s="11">
        <f ca="1">IFERROR(__xludf.DUMMYFUNCTION("""COMPUTED_VALUE"""),43951)</f>
        <v>43951</v>
      </c>
      <c r="AR59" s="11">
        <v>44648</v>
      </c>
      <c r="AS59" s="11">
        <f t="shared" si="1"/>
        <v>44648</v>
      </c>
      <c r="AT59" s="11">
        <f ca="1">IFERROR(__xludf.DUMMYFUNCTION("""COMPUTED_VALUE"""),44645)</f>
        <v>44645</v>
      </c>
    </row>
    <row r="60" spans="1:46" ht="15.75" customHeight="1">
      <c r="A60" s="11">
        <v>44644</v>
      </c>
      <c r="B60">
        <f>IFERROR(VLOOKUP($A60,koronahun!$A:$AM,2,FALSE),"")</f>
        <v>1836919</v>
      </c>
      <c r="C60">
        <f>IFERROR(VLOOKUP($A60,koronahun!$A:$AM,3,FALSE),"")</f>
        <v>2651</v>
      </c>
      <c r="D60">
        <f>IFERROR(VLOOKUP($A60,koronahun!$A:$AM,4,FALSE),"")</f>
        <v>45220</v>
      </c>
      <c r="E60">
        <f>IFERROR(VLOOKUP($A60,koronahun!$A:$AM,5,FALSE),"")</f>
        <v>1689460</v>
      </c>
      <c r="F60">
        <f>IFERROR(VLOOKUP($A60,koronahun!$A:$AM,6,FALSE),"")</f>
        <v>11040273</v>
      </c>
      <c r="G60" s="12">
        <f>IFERROR(VLOOKUP($A60,koronahun!$A:$AM,7,FALSE),"")</f>
        <v>1126558.469387755</v>
      </c>
      <c r="H60">
        <f>IFERROR(VLOOKUP($A60,koronahun!$A:$AM,8,FALSE),"")</f>
        <v>0</v>
      </c>
      <c r="I60" s="13">
        <f>IFERROR(VLOOKUP($A60,koronahun!$A:$AM,9,FALSE),"")</f>
        <v>1.4452631785540609E-3</v>
      </c>
      <c r="J60" s="13">
        <f>IFERROR(VLOOKUP($A60,koronahun!$A:$AM,10,FALSE),"")</f>
        <v>0.16638347620570615</v>
      </c>
      <c r="K60" s="13">
        <f>IFERROR(VLOOKUP($A60,koronahun!$A:$AM,11,FALSE),"")</f>
        <v>7.8737537944449881E-4</v>
      </c>
      <c r="L60">
        <f>IFERROR(VLOOKUP($A60,koronahun!$A:$AM,12,FALSE),"")</f>
        <v>102239</v>
      </c>
      <c r="M60" s="13">
        <f>IFERROR(VLOOKUP($A60,koronahun!$A:$AM,13,FALSE),"")</f>
        <v>2.4617307567726177E-2</v>
      </c>
      <c r="N60" s="13">
        <f>IFERROR(VLOOKUP($A60,koronahun!$A:$AM,14,FALSE),"")</f>
        <v>0.91972482183482229</v>
      </c>
      <c r="O60">
        <f>IFERROR(VLOOKUP($A60,koronahun!$A:$AM,15,FALSE),"")</f>
        <v>8411</v>
      </c>
      <c r="P60">
        <f>IFERROR(VLOOKUP($A60,koronahun!$A:$AM,16,FALSE),"")</f>
        <v>8686</v>
      </c>
      <c r="Q60" s="13">
        <f>IFERROR(VLOOKUP($A60,koronahun!$A:$AM,17,FALSE),"")</f>
        <v>0.30520377619157263</v>
      </c>
      <c r="R60">
        <f>IFERROR(VLOOKUP($A60,koronahun!$A:$AM,18,FALSE),"")</f>
        <v>35</v>
      </c>
      <c r="S60">
        <f>IFERROR(VLOOKUP($A60,koronahun!$A:$AM,19,FALSE),"")</f>
        <v>3141</v>
      </c>
      <c r="T60">
        <f>IFERROR(VLOOKUP($A60,koronahun!$A:$AM,20,FALSE),"")</f>
        <v>1971</v>
      </c>
      <c r="U60">
        <f>IFERROR(VLOOKUP($A60,koronahun!$A:$AM,21,FALSE),"")</f>
        <v>71</v>
      </c>
      <c r="V60" s="13">
        <f>IFERROR(VLOOKUP($A60,koronahun!$A:$AM,22,FALSE),"")</f>
        <v>5.5657870597451496E-2</v>
      </c>
      <c r="W60">
        <f>IFERROR(VLOOKUP($A60,koronahun!$A:$AM,23,FALSE),"")</f>
        <v>-35</v>
      </c>
      <c r="X60">
        <f>IFERROR(VLOOKUP($A60,koronahun!$A:$AM,24,FALSE),"")</f>
        <v>-6</v>
      </c>
      <c r="Y60" s="14">
        <f>IFERROR(VLOOKUP($A60,koronahun!$A:$AM,25,FALSE),"")</f>
        <v>1.9278357573919932E-2</v>
      </c>
      <c r="Z60" s="14">
        <f>IFERROR(VLOOKUP($A60,koronahun!$A:$AM,26,FALSE),"")</f>
        <v>3.6022323693556568E-2</v>
      </c>
      <c r="AA60" s="14">
        <f>IFERROR(VLOOKUP($A60,koronahun!$A:$AM,27,FALSE),"")</f>
        <v>1.9062905700460286</v>
      </c>
      <c r="AB60" s="14">
        <f>IFERROR(VLOOKUP($A60,koronahun!$A:$AM,28,FALSE),"")</f>
        <v>1.6881623027073609</v>
      </c>
      <c r="AC60" s="14">
        <f>IFERROR(VLOOKUP($A60,koronahun!$A:$AM,29,FALSE),"")</f>
        <v>2307.4285714285716</v>
      </c>
      <c r="AD60" s="14">
        <f>IFERROR(VLOOKUP($A60,koronahun!$A:$AM,30,FALSE),"")</f>
        <v>46.428571428571431</v>
      </c>
      <c r="AE60" s="14">
        <f>IFERROR(VLOOKUP($A60,koronahun!$A:$AM,31,FALSE),"")</f>
        <v>10636.857142857143</v>
      </c>
      <c r="AF60" s="13">
        <f>IFERROR(VLOOKUP($A60,koronahun!$A:$AM,32,FALSE),"")</f>
        <v>0.29622584609520702</v>
      </c>
      <c r="AG60">
        <f>IFERROR(VLOOKUP($A60,koronahun!$A:$AM,33,FALSE),"")</f>
        <v>6400875</v>
      </c>
      <c r="AH60">
        <f>IFERROR(VLOOKUP($A60,koronahun!$A:$AM,34,FALSE),"")</f>
        <v>144</v>
      </c>
      <c r="AI60">
        <f>IFERROR(VLOOKUP($A60,koronahun!$A:$AM,35,FALSE),"")</f>
        <v>268.60000000000002</v>
      </c>
      <c r="AJ60">
        <f>IFERROR(VLOOKUP($A60,koronahun!$A:$AM,36,FALSE),"")</f>
        <v>6184076</v>
      </c>
      <c r="AK60">
        <f>IFERROR(VLOOKUP($A60,koronahun!$A:$AM,37,FALSE),"")</f>
        <v>315</v>
      </c>
      <c r="AL60">
        <f>IFERROR(VLOOKUP($A60,koronahun!$A:$AM,38,FALSE),"")</f>
        <v>641.79999999999995</v>
      </c>
      <c r="AM60" s="14">
        <f>IFERROR(VLOOKUP($A60,koronahun!$A:$AM,39,FALSE),"")</f>
        <v>3192.7142857142858</v>
      </c>
      <c r="AN60" s="11">
        <f ca="1">IFERROR(__xludf.DUMMYFUNCTION("""COMPUTED_VALUE"""),43952)</f>
        <v>43952</v>
      </c>
      <c r="AO60" s="12">
        <f ca="1">IFERROR(VLOOKUP(AN60,koronahun!A:B,2,FALSE),"")</f>
        <v>2863</v>
      </c>
      <c r="AP60" s="11">
        <f t="shared" ca="1" si="0"/>
        <v>43952</v>
      </c>
      <c r="AQ60" s="11">
        <f ca="1">IFERROR(__xludf.DUMMYFUNCTION("""COMPUTED_VALUE"""),43952)</f>
        <v>43952</v>
      </c>
      <c r="AR60" s="11">
        <v>44645</v>
      </c>
      <c r="AS60" s="11">
        <f t="shared" si="1"/>
        <v>44645</v>
      </c>
      <c r="AT60" s="11">
        <f ca="1">IFERROR(__xludf.DUMMYFUNCTION("""COMPUTED_VALUE"""),44644)</f>
        <v>44644</v>
      </c>
    </row>
    <row r="61" spans="1:46" ht="15.75" customHeight="1">
      <c r="A61" s="11">
        <v>44643</v>
      </c>
      <c r="B61">
        <f>IFERROR(VLOOKUP($A61,koronahun!$A:$AM,2,FALSE),"")</f>
        <v>1834268</v>
      </c>
      <c r="C61">
        <f>IFERROR(VLOOKUP($A61,koronahun!$A:$AM,3,FALSE),"")</f>
        <v>2845</v>
      </c>
      <c r="D61">
        <f>IFERROR(VLOOKUP($A61,koronahun!$A:$AM,4,FALSE),"")</f>
        <v>45185</v>
      </c>
      <c r="E61">
        <f>IFERROR(VLOOKUP($A61,koronahun!$A:$AM,5,FALSE),"")</f>
        <v>1686319</v>
      </c>
      <c r="F61">
        <f>IFERROR(VLOOKUP($A61,koronahun!$A:$AM,6,FALSE),"")</f>
        <v>11031587</v>
      </c>
      <c r="G61" s="12">
        <f>IFERROR(VLOOKUP($A61,koronahun!$A:$AM,7,FALSE),"")</f>
        <v>1125672.1428571427</v>
      </c>
      <c r="H61">
        <f>IFERROR(VLOOKUP($A61,koronahun!$A:$AM,8,FALSE),"")</f>
        <v>0</v>
      </c>
      <c r="I61" s="13">
        <f>IFERROR(VLOOKUP($A61,koronahun!$A:$AM,9,FALSE),"")</f>
        <v>1.5534368630294585E-3</v>
      </c>
      <c r="J61" s="13">
        <f>IFERROR(VLOOKUP($A61,koronahun!$A:$AM,10,FALSE),"")</f>
        <v>0.16627417251933019</v>
      </c>
      <c r="K61" s="13">
        <f>IFERROR(VLOOKUP($A61,koronahun!$A:$AM,11,FALSE),"")</f>
        <v>8.4783113998041415E-4</v>
      </c>
      <c r="L61">
        <f>IFERROR(VLOOKUP($A61,koronahun!$A:$AM,12,FALSE),"")</f>
        <v>102764</v>
      </c>
      <c r="M61" s="13">
        <f>IFERROR(VLOOKUP($A61,koronahun!$A:$AM,13,FALSE),"")</f>
        <v>2.4633804874751128E-2</v>
      </c>
      <c r="N61" s="13">
        <f>IFERROR(VLOOKUP($A61,koronahun!$A:$AM,14,FALSE),"")</f>
        <v>0.91934166653945881</v>
      </c>
      <c r="O61">
        <f>IFERROR(VLOOKUP($A61,koronahun!$A:$AM,15,FALSE),"")</f>
        <v>7342</v>
      </c>
      <c r="P61">
        <f>IFERROR(VLOOKUP($A61,koronahun!$A:$AM,16,FALSE),"")</f>
        <v>9345</v>
      </c>
      <c r="Q61" s="13">
        <f>IFERROR(VLOOKUP($A61,koronahun!$A:$AM,17,FALSE),"")</f>
        <v>0.30444087747458531</v>
      </c>
      <c r="R61">
        <f>IFERROR(VLOOKUP($A61,koronahun!$A:$AM,18,FALSE),"")</f>
        <v>42</v>
      </c>
      <c r="S61">
        <f>IFERROR(VLOOKUP($A61,koronahun!$A:$AM,19,FALSE),"")</f>
        <v>3305</v>
      </c>
      <c r="T61">
        <f>IFERROR(VLOOKUP($A61,koronahun!$A:$AM,20,FALSE),"")</f>
        <v>2006</v>
      </c>
      <c r="U61">
        <f>IFERROR(VLOOKUP($A61,koronahun!$A:$AM,21,FALSE),"")</f>
        <v>77</v>
      </c>
      <c r="V61" s="13">
        <f>IFERROR(VLOOKUP($A61,koronahun!$A:$AM,22,FALSE),"")</f>
        <v>5.602452858579008E-2</v>
      </c>
      <c r="W61">
        <f>IFERROR(VLOOKUP($A61,koronahun!$A:$AM,23,FALSE),"")</f>
        <v>-56</v>
      </c>
      <c r="X61">
        <f>IFERROR(VLOOKUP($A61,koronahun!$A:$AM,24,FALSE),"")</f>
        <v>-1</v>
      </c>
      <c r="Y61" s="14">
        <f>IFERROR(VLOOKUP($A61,koronahun!$A:$AM,25,FALSE),"")</f>
        <v>1.9520454633918494E-2</v>
      </c>
      <c r="Z61" s="14">
        <f>IFERROR(VLOOKUP($A61,koronahun!$A:$AM,26,FALSE),"")</f>
        <v>3.8384845463609173E-2</v>
      </c>
      <c r="AA61" s="14">
        <f>IFERROR(VLOOKUP($A61,koronahun!$A:$AM,27,FALSE),"")</f>
        <v>1.6052209265004815</v>
      </c>
      <c r="AB61" s="14">
        <f>IFERROR(VLOOKUP($A61,koronahun!$A:$AM,28,FALSE),"")</f>
        <v>1.4175755575591791</v>
      </c>
      <c r="AC61" s="14">
        <f>IFERROR(VLOOKUP($A61,koronahun!$A:$AM,29,FALSE),"")</f>
        <v>2143.4285714285716</v>
      </c>
      <c r="AD61" s="14">
        <f>IFERROR(VLOOKUP($A61,koronahun!$A:$AM,30,FALSE),"")</f>
        <v>50.571428571428569</v>
      </c>
      <c r="AE61" s="14">
        <f>IFERROR(VLOOKUP($A61,koronahun!$A:$AM,31,FALSE),"")</f>
        <v>9929</v>
      </c>
      <c r="AF61" s="13">
        <f>IFERROR(VLOOKUP($A61,koronahun!$A:$AM,32,FALSE),"")</f>
        <v>0.31575330313242184</v>
      </c>
      <c r="AG61">
        <f>IFERROR(VLOOKUP($A61,koronahun!$A:$AM,33,FALSE),"")</f>
        <v>6400731</v>
      </c>
      <c r="AH61">
        <f>IFERROR(VLOOKUP($A61,koronahun!$A:$AM,34,FALSE),"")</f>
        <v>98</v>
      </c>
      <c r="AI61">
        <f>IFERROR(VLOOKUP($A61,koronahun!$A:$AM,35,FALSE),"")</f>
        <v>263.60000000000002</v>
      </c>
      <c r="AJ61">
        <f>IFERROR(VLOOKUP($A61,koronahun!$A:$AM,36,FALSE),"")</f>
        <v>6183761</v>
      </c>
      <c r="AK61">
        <f>IFERROR(VLOOKUP($A61,koronahun!$A:$AM,37,FALSE),"")</f>
        <v>274</v>
      </c>
      <c r="AL61">
        <f>IFERROR(VLOOKUP($A61,koronahun!$A:$AM,38,FALSE),"")</f>
        <v>671</v>
      </c>
      <c r="AM61" s="14">
        <f>IFERROR(VLOOKUP($A61,koronahun!$A:$AM,39,FALSE),"")</f>
        <v>3201.7142857142858</v>
      </c>
      <c r="AN61" s="11">
        <f ca="1">IFERROR(__xludf.DUMMYFUNCTION("""COMPUTED_VALUE"""),43953)</f>
        <v>43953</v>
      </c>
      <c r="AO61" s="12">
        <f ca="1">IFERROR(VLOOKUP(AN61,koronahun!A:B,2,FALSE),"")</f>
        <v>2942</v>
      </c>
      <c r="AP61" s="11">
        <f t="shared" ca="1" si="0"/>
        <v>43953</v>
      </c>
      <c r="AQ61" s="11">
        <f ca="1">IFERROR(__xludf.DUMMYFUNCTION("""COMPUTED_VALUE"""),43953)</f>
        <v>43953</v>
      </c>
      <c r="AR61" s="11">
        <v>44644</v>
      </c>
      <c r="AS61" s="11">
        <f t="shared" si="1"/>
        <v>44644</v>
      </c>
      <c r="AT61" s="11">
        <f ca="1">IFERROR(__xludf.DUMMYFUNCTION("""COMPUTED_VALUE"""),44643)</f>
        <v>44643</v>
      </c>
    </row>
    <row r="62" spans="1:46" ht="13">
      <c r="A62" s="11">
        <v>44642</v>
      </c>
      <c r="B62">
        <f>IFERROR(VLOOKUP($A62,koronahun!$A:$AM,2,FALSE),"")</f>
        <v>1831423</v>
      </c>
      <c r="C62">
        <f>IFERROR(VLOOKUP($A62,koronahun!$A:$AM,3,FALSE),"")</f>
        <v>1495</v>
      </c>
      <c r="D62">
        <f>IFERROR(VLOOKUP($A62,koronahun!$A:$AM,4,FALSE),"")</f>
        <v>45143</v>
      </c>
      <c r="E62">
        <f>IFERROR(VLOOKUP($A62,koronahun!$A:$AM,5,FALSE),"")</f>
        <v>1683014</v>
      </c>
      <c r="F62">
        <f>IFERROR(VLOOKUP($A62,koronahun!$A:$AM,6,FALSE),"")</f>
        <v>11022242</v>
      </c>
      <c r="G62" s="12">
        <f>IFERROR(VLOOKUP($A62,koronahun!$A:$AM,7,FALSE),"")</f>
        <v>1124718.5714285714</v>
      </c>
      <c r="H62">
        <f>IFERROR(VLOOKUP($A62,koronahun!$A:$AM,8,FALSE),"")</f>
        <v>0</v>
      </c>
      <c r="I62" s="13">
        <f>IFERROR(VLOOKUP($A62,koronahun!$A:$AM,9,FALSE),"")</f>
        <v>8.1697203387237096E-4</v>
      </c>
      <c r="J62" s="13">
        <f>IFERROR(VLOOKUP($A62,koronahun!$A:$AM,10,FALSE),"")</f>
        <v>0.16615703048436062</v>
      </c>
      <c r="K62" s="13">
        <f>IFERROR(VLOOKUP($A62,koronahun!$A:$AM,11,FALSE),"")</f>
        <v>3.4614738145949674E-4</v>
      </c>
      <c r="L62">
        <f>IFERROR(VLOOKUP($A62,koronahun!$A:$AM,12,FALSE),"")</f>
        <v>103266</v>
      </c>
      <c r="M62" s="13">
        <f>IFERROR(VLOOKUP($A62,koronahun!$A:$AM,13,FALSE),"")</f>
        <v>2.464913894823861E-2</v>
      </c>
      <c r="N62" s="13">
        <f>IFERROR(VLOOKUP($A62,koronahun!$A:$AM,14,FALSE),"")</f>
        <v>0.91896519810005661</v>
      </c>
      <c r="O62">
        <f>IFERROR(VLOOKUP($A62,koronahun!$A:$AM,15,FALSE),"")</f>
        <v>7342</v>
      </c>
      <c r="P62">
        <f>IFERROR(VLOOKUP($A62,koronahun!$A:$AM,16,FALSE),"")</f>
        <v>3814</v>
      </c>
      <c r="Q62" s="13">
        <f>IFERROR(VLOOKUP($A62,koronahun!$A:$AM,17,FALSE),"")</f>
        <v>0.39197692711064497</v>
      </c>
      <c r="R62">
        <f>IFERROR(VLOOKUP($A62,koronahun!$A:$AM,18,FALSE),"")</f>
        <v>48</v>
      </c>
      <c r="S62">
        <f>IFERROR(VLOOKUP($A62,koronahun!$A:$AM,19,FALSE),"")</f>
        <v>1746</v>
      </c>
      <c r="T62">
        <f>IFERROR(VLOOKUP($A62,koronahun!$A:$AM,20,FALSE),"")</f>
        <v>2062</v>
      </c>
      <c r="U62">
        <f>IFERROR(VLOOKUP($A62,koronahun!$A:$AM,21,FALSE),"")</f>
        <v>78</v>
      </c>
      <c r="V62" s="13">
        <f>IFERROR(VLOOKUP($A62,koronahun!$A:$AM,22,FALSE),"")</f>
        <v>5.6385662951704767E-2</v>
      </c>
      <c r="W62">
        <f>IFERROR(VLOOKUP($A62,koronahun!$A:$AM,23,FALSE),"")</f>
        <v>1</v>
      </c>
      <c r="X62">
        <f>IFERROR(VLOOKUP($A62,koronahun!$A:$AM,24,FALSE),"")</f>
        <v>4</v>
      </c>
      <c r="Y62" s="14">
        <f>IFERROR(VLOOKUP($A62,koronahun!$A:$AM,25,FALSE),"")</f>
        <v>1.9967850018399087E-2</v>
      </c>
      <c r="Z62" s="14">
        <f>IFERROR(VLOOKUP($A62,koronahun!$A:$AM,26,FALSE),"")</f>
        <v>3.7827352085354024E-2</v>
      </c>
      <c r="AA62" s="14">
        <f>IFERROR(VLOOKUP($A62,koronahun!$A:$AM,27,FALSE),"")</f>
        <v>2.4107672742687578</v>
      </c>
      <c r="AB62" s="14">
        <f>IFERROR(VLOOKUP($A62,koronahun!$A:$AM,28,FALSE),"")</f>
        <v>1.2078250556549273</v>
      </c>
      <c r="AC62" s="14">
        <f>IFERROR(VLOOKUP($A62,koronahun!$A:$AM,29,FALSE),"")</f>
        <v>2437.2857142857142</v>
      </c>
      <c r="AD62" s="14">
        <f>IFERROR(VLOOKUP($A62,koronahun!$A:$AM,30,FALSE),"")</f>
        <v>70</v>
      </c>
      <c r="AE62" s="14">
        <f>IFERROR(VLOOKUP($A62,koronahun!$A:$AM,31,FALSE),"")</f>
        <v>14383.428571428571</v>
      </c>
      <c r="AF62" s="13">
        <f>IFERROR(VLOOKUP($A62,koronahun!$A:$AM,32,FALSE),"")</f>
        <v>0.27905700445732418</v>
      </c>
      <c r="AG62">
        <f>IFERROR(VLOOKUP($A62,koronahun!$A:$AM,33,FALSE),"")</f>
        <v>6400633</v>
      </c>
      <c r="AH62">
        <f>IFERROR(VLOOKUP($A62,koronahun!$A:$AM,34,FALSE),"")</f>
        <v>86</v>
      </c>
      <c r="AI62">
        <f>IFERROR(VLOOKUP($A62,koronahun!$A:$AM,35,FALSE),"")</f>
        <v>403.6</v>
      </c>
      <c r="AJ62">
        <f>IFERROR(VLOOKUP($A62,koronahun!$A:$AM,36,FALSE),"")</f>
        <v>6183487</v>
      </c>
      <c r="AK62">
        <f>IFERROR(VLOOKUP($A62,koronahun!$A:$AM,37,FALSE),"")</f>
        <v>240</v>
      </c>
      <c r="AL62">
        <f>IFERROR(VLOOKUP($A62,koronahun!$A:$AM,38,FALSE),"")</f>
        <v>969.8</v>
      </c>
      <c r="AM62" s="14">
        <f>IFERROR(VLOOKUP($A62,koronahun!$A:$AM,39,FALSE),"")</f>
        <v>4624.4285714285716</v>
      </c>
      <c r="AN62" s="11">
        <f ca="1">IFERROR(__xludf.DUMMYFUNCTION("""COMPUTED_VALUE"""),43954)</f>
        <v>43954</v>
      </c>
      <c r="AO62" s="12">
        <f ca="1">IFERROR(VLOOKUP(AN62,koronahun!A:B,2,FALSE),"")</f>
        <v>2998</v>
      </c>
      <c r="AP62" s="11">
        <f t="shared" ca="1" si="0"/>
        <v>43954</v>
      </c>
      <c r="AQ62" s="11">
        <f ca="1">IFERROR(__xludf.DUMMYFUNCTION("""COMPUTED_VALUE"""),43954)</f>
        <v>43954</v>
      </c>
      <c r="AR62" s="11">
        <v>44643</v>
      </c>
      <c r="AS62" s="11">
        <f t="shared" si="1"/>
        <v>44643</v>
      </c>
      <c r="AT62" s="11">
        <f ca="1">IFERROR(__xludf.DUMMYFUNCTION("""COMPUTED_VALUE"""),44642)</f>
        <v>44642</v>
      </c>
    </row>
    <row r="63" spans="1:46" ht="13">
      <c r="A63" s="11">
        <v>44641</v>
      </c>
      <c r="B63">
        <f>IFERROR(VLOOKUP($A63,koronahun!$A:$AM,2,FALSE),"")</f>
        <v>1829928</v>
      </c>
      <c r="C63">
        <f>IFERROR(VLOOKUP($A63,koronahun!$A:$AM,3,FALSE),"")</f>
        <v>5839</v>
      </c>
      <c r="D63">
        <f>IFERROR(VLOOKUP($A63,koronahun!$A:$AM,4,FALSE),"")</f>
        <v>45095</v>
      </c>
      <c r="E63">
        <f>IFERROR(VLOOKUP($A63,koronahun!$A:$AM,5,FALSE),"")</f>
        <v>1681268</v>
      </c>
      <c r="F63">
        <f>IFERROR(VLOOKUP($A63,koronahun!$A:$AM,6,FALSE),"")</f>
        <v>11018428</v>
      </c>
      <c r="G63" s="12">
        <f>IFERROR(VLOOKUP($A63,koronahun!$A:$AM,7,FALSE),"")</f>
        <v>1124329.387755102</v>
      </c>
      <c r="H63">
        <f>IFERROR(VLOOKUP($A63,koronahun!$A:$AM,8,FALSE),"")</f>
        <v>0</v>
      </c>
      <c r="I63" s="13">
        <f>IFERROR(VLOOKUP($A63,koronahun!$A:$AM,9,FALSE),"")</f>
        <v>3.2010499487689472E-3</v>
      </c>
      <c r="J63" s="13">
        <f>IFERROR(VLOOKUP($A63,koronahun!$A:$AM,10,FALSE),"")</f>
        <v>0.16607886351846199</v>
      </c>
      <c r="K63" s="13">
        <f>IFERROR(VLOOKUP($A63,koronahun!$A:$AM,11,FALSE),"")</f>
        <v>3.9126289179931455E-3</v>
      </c>
      <c r="L63">
        <f>IFERROR(VLOOKUP($A63,koronahun!$A:$AM,12,FALSE),"")</f>
        <v>103565</v>
      </c>
      <c r="M63" s="13">
        <f>IFERROR(VLOOKUP($A63,koronahun!$A:$AM,13,FALSE),"")</f>
        <v>2.4643046065200378E-2</v>
      </c>
      <c r="N63" s="13">
        <f>IFERROR(VLOOKUP($A63,koronahun!$A:$AM,14,FALSE),"")</f>
        <v>0.91876183106657749</v>
      </c>
      <c r="O63">
        <f>IFERROR(VLOOKUP($A63,koronahun!$A:$AM,15,FALSE),"")</f>
        <v>7342</v>
      </c>
      <c r="P63">
        <f>IFERROR(VLOOKUP($A63,koronahun!$A:$AM,16,FALSE),"")</f>
        <v>42943</v>
      </c>
      <c r="Q63" s="13">
        <f>IFERROR(VLOOKUP($A63,koronahun!$A:$AM,17,FALSE),"")</f>
        <v>0.13597093822043174</v>
      </c>
      <c r="R63">
        <f>IFERROR(VLOOKUP($A63,koronahun!$A:$AM,18,FALSE),"")</f>
        <v>134</v>
      </c>
      <c r="S63">
        <f>IFERROR(VLOOKUP($A63,koronahun!$A:$AM,19,FALSE),"")</f>
        <v>8569</v>
      </c>
      <c r="T63">
        <f>IFERROR(VLOOKUP($A63,koronahun!$A:$AM,20,FALSE),"")</f>
        <v>2061</v>
      </c>
      <c r="U63">
        <f>IFERROR(VLOOKUP($A63,koronahun!$A:$AM,21,FALSE),"")</f>
        <v>74</v>
      </c>
      <c r="V63" s="13">
        <f>IFERROR(VLOOKUP($A63,koronahun!$A:$AM,22,FALSE),"")</f>
        <v>5.6595122868222138E-2</v>
      </c>
      <c r="W63">
        <f>IFERROR(VLOOKUP($A63,koronahun!$A:$AM,23,FALSE),"")</f>
        <v>-144</v>
      </c>
      <c r="X63">
        <f>IFERROR(VLOOKUP($A63,koronahun!$A:$AM,24,FALSE),"")</f>
        <v>-16</v>
      </c>
      <c r="Y63" s="14">
        <f>IFERROR(VLOOKUP($A63,koronahun!$A:$AM,25,FALSE),"")</f>
        <v>1.9900545551103172E-2</v>
      </c>
      <c r="Z63" s="14">
        <f>IFERROR(VLOOKUP($A63,koronahun!$A:$AM,26,FALSE),"")</f>
        <v>3.5904900533721494E-2</v>
      </c>
      <c r="AA63" s="14">
        <f>IFERROR(VLOOKUP($A63,koronahun!$A:$AM,27,FALSE),"")</f>
        <v>1.8390831758034027</v>
      </c>
      <c r="AB63" s="14">
        <f>IFERROR(VLOOKUP($A63,koronahun!$A:$AM,28,FALSE),"")</f>
        <v>0.72567160080117576</v>
      </c>
      <c r="AC63" s="14">
        <f>IFERROR(VLOOKUP($A63,koronahun!$A:$AM,29,FALSE),"")</f>
        <v>2223.7142857142858</v>
      </c>
      <c r="AD63" s="14">
        <f>IFERROR(VLOOKUP($A63,koronahun!$A:$AM,30,FALSE),"")</f>
        <v>63.142857142857146</v>
      </c>
      <c r="AE63" s="14">
        <f>IFERROR(VLOOKUP($A63,koronahun!$A:$AM,31,FALSE),"")</f>
        <v>13838.571428571429</v>
      </c>
      <c r="AF63" s="13">
        <f>IFERROR(VLOOKUP($A63,koronahun!$A:$AM,32,FALSE),"")</f>
        <v>0.20066161903519517</v>
      </c>
      <c r="AG63">
        <f>IFERROR(VLOOKUP($A63,koronahun!$A:$AM,33,FALSE),"")</f>
        <v>6400547</v>
      </c>
      <c r="AH63">
        <f>IFERROR(VLOOKUP($A63,koronahun!$A:$AM,34,FALSE),"")</f>
        <v>653</v>
      </c>
      <c r="AI63">
        <f>IFERROR(VLOOKUP($A63,koronahun!$A:$AM,35,FALSE),"")</f>
        <v>386.4</v>
      </c>
      <c r="AJ63">
        <f>IFERROR(VLOOKUP($A63,koronahun!$A:$AM,36,FALSE),"")</f>
        <v>6183247</v>
      </c>
      <c r="AK63">
        <f>IFERROR(VLOOKUP($A63,koronahun!$A:$AM,37,FALSE),"")</f>
        <v>1433</v>
      </c>
      <c r="AL63">
        <f>IFERROR(VLOOKUP($A63,koronahun!$A:$AM,38,FALSE),"")</f>
        <v>921.8</v>
      </c>
      <c r="AM63" s="14">
        <f>IFERROR(VLOOKUP($A63,koronahun!$A:$AM,39,FALSE),"")</f>
        <v>4375</v>
      </c>
      <c r="AN63" s="11">
        <f ca="1">IFERROR(__xludf.DUMMYFUNCTION("""COMPUTED_VALUE"""),43955)</f>
        <v>43955</v>
      </c>
      <c r="AO63" s="12">
        <f ca="1">IFERROR(VLOOKUP(AN63,koronahun!A:B,2,FALSE),"")</f>
        <v>3035</v>
      </c>
      <c r="AP63" s="11">
        <f t="shared" ca="1" si="0"/>
        <v>43955</v>
      </c>
      <c r="AQ63" s="11">
        <f ca="1">IFERROR(__xludf.DUMMYFUNCTION("""COMPUTED_VALUE"""),43955)</f>
        <v>43955</v>
      </c>
      <c r="AR63" s="11">
        <v>44642</v>
      </c>
      <c r="AS63" s="11">
        <f t="shared" si="1"/>
        <v>44642</v>
      </c>
      <c r="AT63" s="11">
        <f ca="1">IFERROR(__xludf.DUMMYFUNCTION("""COMPUTED_VALUE"""),44641)</f>
        <v>44641</v>
      </c>
    </row>
    <row r="64" spans="1:46" ht="13">
      <c r="A64" s="11">
        <v>44638</v>
      </c>
      <c r="B64">
        <f>IFERROR(VLOOKUP($A64,koronahun!$A:$AM,2,FALSE),"")</f>
        <v>1824089</v>
      </c>
      <c r="C64">
        <f>IFERROR(VLOOKUP($A64,koronahun!$A:$AM,3,FALSE),"")</f>
        <v>3322</v>
      </c>
      <c r="D64">
        <f>IFERROR(VLOOKUP($A64,koronahun!$A:$AM,4,FALSE),"")</f>
        <v>44961</v>
      </c>
      <c r="E64">
        <f>IFERROR(VLOOKUP($A64,koronahun!$A:$AM,5,FALSE),"")</f>
        <v>1672699</v>
      </c>
      <c r="F64">
        <f>IFERROR(VLOOKUP($A64,koronahun!$A:$AM,6,FALSE),"")</f>
        <v>10975485</v>
      </c>
      <c r="G64" s="12">
        <f>IFERROR(VLOOKUP($A64,koronahun!$A:$AM,7,FALSE),"")</f>
        <v>1119947.4489795917</v>
      </c>
      <c r="H64">
        <f>IFERROR(VLOOKUP($A64,koronahun!$A:$AM,8,FALSE),"")</f>
        <v>0</v>
      </c>
      <c r="I64" s="13">
        <f>IFERROR(VLOOKUP($A64,koronahun!$A:$AM,9,FALSE),"")</f>
        <v>1.8245058263907463E-3</v>
      </c>
      <c r="J64" s="13">
        <f>IFERROR(VLOOKUP($A64,koronahun!$A:$AM,10,FALSE),"")</f>
        <v>0.16619666465764382</v>
      </c>
      <c r="K64" s="13">
        <f>IFERROR(VLOOKUP($A64,koronahun!$A:$AM,11,FALSE),"")</f>
        <v>8.8183140058445267E-4</v>
      </c>
      <c r="L64">
        <f>IFERROR(VLOOKUP($A64,koronahun!$A:$AM,12,FALSE),"")</f>
        <v>106429</v>
      </c>
      <c r="M64" s="13">
        <f>IFERROR(VLOOKUP($A64,koronahun!$A:$AM,13,FALSE),"")</f>
        <v>2.4648468358725917E-2</v>
      </c>
      <c r="N64" s="13">
        <f>IFERROR(VLOOKUP($A64,koronahun!$A:$AM,14,FALSE),"")</f>
        <v>0.91700514613047934</v>
      </c>
      <c r="O64">
        <f>IFERROR(VLOOKUP($A64,koronahun!$A:$AM,15,FALSE),"")</f>
        <v>7342</v>
      </c>
      <c r="P64">
        <f>IFERROR(VLOOKUP($A64,koronahun!$A:$AM,16,FALSE),"")</f>
        <v>9670</v>
      </c>
      <c r="Q64" s="13">
        <f>IFERROR(VLOOKUP($A64,koronahun!$A:$AM,17,FALSE),"")</f>
        <v>0.34353671147880044</v>
      </c>
      <c r="R64">
        <f>IFERROR(VLOOKUP($A64,koronahun!$A:$AM,18,FALSE),"")</f>
        <v>66</v>
      </c>
      <c r="S64">
        <f>IFERROR(VLOOKUP($A64,koronahun!$A:$AM,19,FALSE),"")</f>
        <v>5588</v>
      </c>
      <c r="T64">
        <f>IFERROR(VLOOKUP($A64,koronahun!$A:$AM,20,FALSE),"")</f>
        <v>2205</v>
      </c>
      <c r="U64">
        <f>IFERROR(VLOOKUP($A64,koronahun!$A:$AM,21,FALSE),"")</f>
        <v>90</v>
      </c>
      <c r="V64" s="13">
        <f>IFERROR(VLOOKUP($A64,koronahun!$A:$AM,22,FALSE),"")</f>
        <v>5.8346385510794706E-2</v>
      </c>
      <c r="W64">
        <f>IFERROR(VLOOKUP($A64,koronahun!$A:$AM,23,FALSE),"")</f>
        <v>-82</v>
      </c>
      <c r="X64">
        <f>IFERROR(VLOOKUP($A64,koronahun!$A:$AM,24,FALSE),"")</f>
        <v>0</v>
      </c>
      <c r="Y64" s="14">
        <f>IFERROR(VLOOKUP($A64,koronahun!$A:$AM,25,FALSE),"")</f>
        <v>2.0718037377030697E-2</v>
      </c>
      <c r="Z64" s="14">
        <f>IFERROR(VLOOKUP($A64,koronahun!$A:$AM,26,FALSE),"")</f>
        <v>4.0816326530612242E-2</v>
      </c>
      <c r="AA64" s="14">
        <f>IFERROR(VLOOKUP($A64,koronahun!$A:$AM,27,FALSE),"")</f>
        <v>0.67944956691813352</v>
      </c>
      <c r="AB64" s="14">
        <f>IFERROR(VLOOKUP($A64,koronahun!$A:$AM,28,FALSE),"")</f>
        <v>0.35785496564049524</v>
      </c>
      <c r="AC64" s="14">
        <f>IFERROR(VLOOKUP($A64,koronahun!$A:$AM,29,FALSE),"")</f>
        <v>1389.5714285714287</v>
      </c>
      <c r="AD64" s="14">
        <f>IFERROR(VLOOKUP($A64,koronahun!$A:$AM,30,FALSE),"")</f>
        <v>44</v>
      </c>
      <c r="AE64" s="14">
        <f>IFERROR(VLOOKUP($A64,koronahun!$A:$AM,31,FALSE),"")</f>
        <v>7703.8571428571431</v>
      </c>
      <c r="AF64" s="13">
        <f>IFERROR(VLOOKUP($A64,koronahun!$A:$AM,32,FALSE),"")</f>
        <v>0.17346743139110882</v>
      </c>
      <c r="AG64">
        <f>IFERROR(VLOOKUP($A64,koronahun!$A:$AM,33,FALSE),"")</f>
        <v>6399894</v>
      </c>
      <c r="AH64">
        <f>IFERROR(VLOOKUP($A64,koronahun!$A:$AM,34,FALSE),"")</f>
        <v>362</v>
      </c>
      <c r="AI64">
        <f>IFERROR(VLOOKUP($A64,koronahun!$A:$AM,35,FALSE),"")</f>
        <v>255.8</v>
      </c>
      <c r="AJ64">
        <f>IFERROR(VLOOKUP($A64,koronahun!$A:$AM,36,FALSE),"")</f>
        <v>6181814</v>
      </c>
      <c r="AK64">
        <f>IFERROR(VLOOKUP($A64,koronahun!$A:$AM,37,FALSE),"")</f>
        <v>947</v>
      </c>
      <c r="AL64">
        <f>IFERROR(VLOOKUP($A64,koronahun!$A:$AM,38,FALSE),"")</f>
        <v>635.20000000000005</v>
      </c>
      <c r="AM64" s="14">
        <f>IFERROR(VLOOKUP($A64,koronahun!$A:$AM,39,FALSE),"")</f>
        <v>3150.8571428571427</v>
      </c>
      <c r="AN64" s="11">
        <f ca="1">IFERROR(__xludf.DUMMYFUNCTION("""COMPUTED_VALUE"""),43956)</f>
        <v>43956</v>
      </c>
      <c r="AO64" s="12">
        <f ca="1">IFERROR(VLOOKUP(AN64,koronahun!A:B,2,FALSE),"")</f>
        <v>3065</v>
      </c>
      <c r="AP64" s="11">
        <f t="shared" ca="1" si="0"/>
        <v>43956</v>
      </c>
      <c r="AQ64" s="11">
        <f ca="1">IFERROR(__xludf.DUMMYFUNCTION("""COMPUTED_VALUE"""),43956)</f>
        <v>43956</v>
      </c>
      <c r="AR64" s="11">
        <v>44641</v>
      </c>
      <c r="AS64" s="11">
        <f t="shared" si="1"/>
        <v>44641</v>
      </c>
      <c r="AT64" s="11">
        <f ca="1">IFERROR(__xludf.DUMMYFUNCTION("""COMPUTED_VALUE"""),44638)</f>
        <v>44638</v>
      </c>
    </row>
    <row r="65" spans="1:46" ht="13">
      <c r="A65" s="11">
        <v>44637</v>
      </c>
      <c r="B65">
        <f>IFERROR(VLOOKUP($A65,koronahun!$A:$AM,2,FALSE),"")</f>
        <v>1820767</v>
      </c>
      <c r="C65">
        <f>IFERROR(VLOOKUP($A65,koronahun!$A:$AM,3,FALSE),"")</f>
        <v>1503</v>
      </c>
      <c r="D65">
        <f>IFERROR(VLOOKUP($A65,koronahun!$A:$AM,4,FALSE),"")</f>
        <v>44895</v>
      </c>
      <c r="E65">
        <f>IFERROR(VLOOKUP($A65,koronahun!$A:$AM,5,FALSE),"")</f>
        <v>1667111</v>
      </c>
      <c r="F65">
        <f>IFERROR(VLOOKUP($A65,koronahun!$A:$AM,6,FALSE),"")</f>
        <v>10965815</v>
      </c>
      <c r="G65" s="12">
        <f>IFERROR(VLOOKUP($A65,koronahun!$A:$AM,7,FALSE),"")</f>
        <v>1118960.7142857143</v>
      </c>
      <c r="H65">
        <f>IFERROR(VLOOKUP($A65,koronahun!$A:$AM,8,FALSE),"")</f>
        <v>0</v>
      </c>
      <c r="I65" s="13">
        <f>IFERROR(VLOOKUP($A65,koronahun!$A:$AM,9,FALSE),"")</f>
        <v>8.2615827059734045E-4</v>
      </c>
      <c r="J65" s="13">
        <f>IFERROR(VLOOKUP($A65,koronahun!$A:$AM,10,FALSE),"")</f>
        <v>0.16604028063577581</v>
      </c>
      <c r="K65" s="13">
        <f>IFERROR(VLOOKUP($A65,koronahun!$A:$AM,11,FALSE),"")</f>
        <v>3.4035499089406723E-4</v>
      </c>
      <c r="L65">
        <f>IFERROR(VLOOKUP($A65,koronahun!$A:$AM,12,FALSE),"")</f>
        <v>108761</v>
      </c>
      <c r="M65" s="13">
        <f>IFERROR(VLOOKUP($A65,koronahun!$A:$AM,13,FALSE),"")</f>
        <v>2.4657191172731054E-2</v>
      </c>
      <c r="N65" s="13">
        <f>IFERROR(VLOOKUP($A65,koronahun!$A:$AM,14,FALSE),"")</f>
        <v>0.91560919107167471</v>
      </c>
      <c r="O65">
        <f>IFERROR(VLOOKUP($A65,koronahun!$A:$AM,15,FALSE),"")</f>
        <v>7342</v>
      </c>
      <c r="P65">
        <f>IFERROR(VLOOKUP($A65,koronahun!$A:$AM,16,FALSE),"")</f>
        <v>3731</v>
      </c>
      <c r="Q65" s="13">
        <f>IFERROR(VLOOKUP($A65,koronahun!$A:$AM,17,FALSE),"")</f>
        <v>0.40284106137764675</v>
      </c>
      <c r="R65">
        <f>IFERROR(VLOOKUP($A65,koronahun!$A:$AM,18,FALSE),"")</f>
        <v>64</v>
      </c>
      <c r="S65">
        <f>IFERROR(VLOOKUP($A65,koronahun!$A:$AM,19,FALSE),"")</f>
        <v>3204</v>
      </c>
      <c r="T65">
        <f>IFERROR(VLOOKUP($A65,koronahun!$A:$AM,20,FALSE),"")</f>
        <v>2287</v>
      </c>
      <c r="U65">
        <f>IFERROR(VLOOKUP($A65,koronahun!$A:$AM,21,FALSE),"")</f>
        <v>90</v>
      </c>
      <c r="V65" s="13">
        <f>IFERROR(VLOOKUP($A65,koronahun!$A:$AM,22,FALSE),"")</f>
        <v>5.9733617755594208E-2</v>
      </c>
      <c r="W65">
        <f>IFERROR(VLOOKUP($A65,koronahun!$A:$AM,23,FALSE),"")</f>
        <v>28</v>
      </c>
      <c r="X65">
        <f>IFERROR(VLOOKUP($A65,koronahun!$A:$AM,24,FALSE),"")</f>
        <v>-11</v>
      </c>
      <c r="Y65" s="14">
        <f>IFERROR(VLOOKUP($A65,koronahun!$A:$AM,25,FALSE),"")</f>
        <v>2.1027758111823173E-2</v>
      </c>
      <c r="Z65" s="14">
        <f>IFERROR(VLOOKUP($A65,koronahun!$A:$AM,26,FALSE),"")</f>
        <v>3.9352864013992128E-2</v>
      </c>
      <c r="AA65" s="14">
        <f>IFERROR(VLOOKUP($A65,koronahun!$A:$AM,27,FALSE),"")</f>
        <v>0.55335684430512022</v>
      </c>
      <c r="AB65" s="14">
        <f>IFERROR(VLOOKUP($A65,koronahun!$A:$AM,28,FALSE),"")</f>
        <v>0.35914404804069372</v>
      </c>
      <c r="AC65" s="14">
        <f>IFERROR(VLOOKUP($A65,koronahun!$A:$AM,29,FALSE),"")</f>
        <v>1210.4285714285713</v>
      </c>
      <c r="AD65" s="14">
        <f>IFERROR(VLOOKUP($A65,koronahun!$A:$AM,30,FALSE),"")</f>
        <v>41.714285714285715</v>
      </c>
      <c r="AE65" s="14">
        <f>IFERROR(VLOOKUP($A65,koronahun!$A:$AM,31,FALSE),"")</f>
        <v>8384.5714285714294</v>
      </c>
      <c r="AF65" s="13">
        <f>IFERROR(VLOOKUP($A65,koronahun!$A:$AM,32,FALSE),"")</f>
        <v>0.13341266962877443</v>
      </c>
      <c r="AG65">
        <f>IFERROR(VLOOKUP($A65,koronahun!$A:$AM,33,FALSE),"")</f>
        <v>6399532</v>
      </c>
      <c r="AH65">
        <f>IFERROR(VLOOKUP($A65,koronahun!$A:$AM,34,FALSE),"")</f>
        <v>119</v>
      </c>
      <c r="AI65">
        <f>IFERROR(VLOOKUP($A65,koronahun!$A:$AM,35,FALSE),"")</f>
        <v>288.2</v>
      </c>
      <c r="AJ65">
        <f>IFERROR(VLOOKUP($A65,koronahun!$A:$AM,36,FALSE),"")</f>
        <v>6180867</v>
      </c>
      <c r="AK65">
        <f>IFERROR(VLOOKUP($A65,koronahun!$A:$AM,37,FALSE),"")</f>
        <v>461</v>
      </c>
      <c r="AL65">
        <f>IFERROR(VLOOKUP($A65,koronahun!$A:$AM,38,FALSE),"")</f>
        <v>693</v>
      </c>
      <c r="AM65" s="14">
        <f>IFERROR(VLOOKUP($A65,koronahun!$A:$AM,39,FALSE),"")</f>
        <v>3010.5714285714284</v>
      </c>
      <c r="AN65" s="11">
        <f ca="1">IFERROR(__xludf.DUMMYFUNCTION("""COMPUTED_VALUE"""),43957)</f>
        <v>43957</v>
      </c>
      <c r="AO65" s="12">
        <f ca="1">IFERROR(VLOOKUP(AN65,koronahun!A:B,2,FALSE),"")</f>
        <v>3111</v>
      </c>
      <c r="AP65" s="11">
        <f t="shared" ca="1" si="0"/>
        <v>43957</v>
      </c>
      <c r="AQ65" s="11">
        <f ca="1">IFERROR(__xludf.DUMMYFUNCTION("""COMPUTED_VALUE"""),43957)</f>
        <v>43957</v>
      </c>
      <c r="AR65" s="11">
        <v>44638</v>
      </c>
      <c r="AS65" s="11">
        <f t="shared" si="1"/>
        <v>44638</v>
      </c>
      <c r="AT65" s="11">
        <f ca="1">IFERROR(__xludf.DUMMYFUNCTION("""COMPUTED_VALUE"""),44637)</f>
        <v>44637</v>
      </c>
    </row>
    <row r="66" spans="1:46" ht="13">
      <c r="A66" s="11">
        <v>44636</v>
      </c>
      <c r="B66">
        <f>IFERROR(VLOOKUP($A66,koronahun!$A:$AM,2,FALSE),"")</f>
        <v>1819264</v>
      </c>
      <c r="C66">
        <f>IFERROR(VLOOKUP($A66,koronahun!$A:$AM,3,FALSE),"")</f>
        <v>4902</v>
      </c>
      <c r="D66">
        <f>IFERROR(VLOOKUP($A66,koronahun!$A:$AM,4,FALSE),"")</f>
        <v>44831</v>
      </c>
      <c r="E66">
        <f>IFERROR(VLOOKUP($A66,koronahun!$A:$AM,5,FALSE),"")</f>
        <v>1663907</v>
      </c>
      <c r="F66">
        <f>IFERROR(VLOOKUP($A66,koronahun!$A:$AM,6,FALSE),"")</f>
        <v>10962084</v>
      </c>
      <c r="G66" s="12">
        <f>IFERROR(VLOOKUP($A66,koronahun!$A:$AM,7,FALSE),"")</f>
        <v>1118580</v>
      </c>
      <c r="H66">
        <f>IFERROR(VLOOKUP($A66,koronahun!$A:$AM,8,FALSE),"")</f>
        <v>0</v>
      </c>
      <c r="I66" s="13">
        <f>IFERROR(VLOOKUP($A66,koronahun!$A:$AM,9,FALSE),"")</f>
        <v>2.7017761615377748E-3</v>
      </c>
      <c r="J66" s="13">
        <f>IFERROR(VLOOKUP($A66,koronahun!$A:$AM,10,FALSE),"")</f>
        <v>0.16595968430820271</v>
      </c>
      <c r="K66" s="13">
        <f>IFERROR(VLOOKUP($A66,koronahun!$A:$AM,11,FALSE),"")</f>
        <v>3.7106427489557807E-3</v>
      </c>
      <c r="L66">
        <f>IFERROR(VLOOKUP($A66,koronahun!$A:$AM,12,FALSE),"")</f>
        <v>110526</v>
      </c>
      <c r="M66" s="13">
        <f>IFERROR(VLOOKUP($A66,koronahun!$A:$AM,13,FALSE),"")</f>
        <v>2.4642382853725463E-2</v>
      </c>
      <c r="N66" s="13">
        <f>IFERROR(VLOOKUP($A66,koronahun!$A:$AM,14,FALSE),"")</f>
        <v>0.91460447741504258</v>
      </c>
      <c r="O66">
        <f>IFERROR(VLOOKUP($A66,koronahun!$A:$AM,15,FALSE),"")</f>
        <v>7342</v>
      </c>
      <c r="P66">
        <f>IFERROR(VLOOKUP($A66,koronahun!$A:$AM,16,FALSE),"")</f>
        <v>40526</v>
      </c>
      <c r="Q66" s="13">
        <f>IFERROR(VLOOKUP($A66,koronahun!$A:$AM,17,FALSE),"")</f>
        <v>0.12095938409909687</v>
      </c>
      <c r="R66">
        <f>IFERROR(VLOOKUP($A66,koronahun!$A:$AM,18,FALSE),"")</f>
        <v>178</v>
      </c>
      <c r="S66">
        <f>IFERROR(VLOOKUP($A66,koronahun!$A:$AM,19,FALSE),"")</f>
        <v>13264</v>
      </c>
      <c r="T66">
        <f>IFERROR(VLOOKUP($A66,koronahun!$A:$AM,20,FALSE),"")</f>
        <v>2259</v>
      </c>
      <c r="U66">
        <f>IFERROR(VLOOKUP($A66,koronahun!$A:$AM,21,FALSE),"")</f>
        <v>101</v>
      </c>
      <c r="V66" s="13">
        <f>IFERROR(VLOOKUP($A66,koronahun!$A:$AM,22,FALSE),"")</f>
        <v>6.0753139731231968E-2</v>
      </c>
      <c r="W66">
        <f>IFERROR(VLOOKUP($A66,koronahun!$A:$AM,23,FALSE),"")</f>
        <v>-79</v>
      </c>
      <c r="X66">
        <f>IFERROR(VLOOKUP($A66,koronahun!$A:$AM,24,FALSE),"")</f>
        <v>-8</v>
      </c>
      <c r="Y66" s="14">
        <f>IFERROR(VLOOKUP($A66,koronahun!$A:$AM,25,FALSE),"")</f>
        <v>2.0438629824656641E-2</v>
      </c>
      <c r="Z66" s="14">
        <f>IFERROR(VLOOKUP($A66,koronahun!$A:$AM,26,FALSE),"")</f>
        <v>4.4710048694112436E-2</v>
      </c>
      <c r="AA66" s="14">
        <f>IFERROR(VLOOKUP($A66,koronahun!$A:$AM,27,FALSE),"")</f>
        <v>0.55646841697922245</v>
      </c>
      <c r="AB66" s="14">
        <f>IFERROR(VLOOKUP($A66,koronahun!$A:$AM,28,FALSE),"")</f>
        <v>0.38576309431461098</v>
      </c>
      <c r="AC66" s="14">
        <f>IFERROR(VLOOKUP($A66,koronahun!$A:$AM,29,FALSE),"")</f>
        <v>1335.2857142857142</v>
      </c>
      <c r="AD66" s="14">
        <f>IFERROR(VLOOKUP($A66,koronahun!$A:$AM,30,FALSE),"")</f>
        <v>40.285714285714285</v>
      </c>
      <c r="AE66" s="14">
        <f>IFERROR(VLOOKUP($A66,koronahun!$A:$AM,31,FALSE),"")</f>
        <v>9929</v>
      </c>
      <c r="AF66" s="13">
        <f>IFERROR(VLOOKUP($A66,koronahun!$A:$AM,32,FALSE),"")</f>
        <v>8.5535971587875806E-2</v>
      </c>
      <c r="AG66">
        <f>IFERROR(VLOOKUP($A66,koronahun!$A:$AM,33,FALSE),"")</f>
        <v>6399413</v>
      </c>
      <c r="AH66">
        <f>IFERROR(VLOOKUP($A66,koronahun!$A:$AM,34,FALSE),"")</f>
        <v>798</v>
      </c>
      <c r="AI66">
        <f>IFERROR(VLOOKUP($A66,koronahun!$A:$AM,35,FALSE),"")</f>
        <v>321.39999999999998</v>
      </c>
      <c r="AJ66">
        <f>IFERROR(VLOOKUP($A66,koronahun!$A:$AM,36,FALSE),"")</f>
        <v>6180406</v>
      </c>
      <c r="AK66">
        <f>IFERROR(VLOOKUP($A66,koronahun!$A:$AM,37,FALSE),"")</f>
        <v>1768</v>
      </c>
      <c r="AL66">
        <f>IFERROR(VLOOKUP($A66,koronahun!$A:$AM,38,FALSE),"")</f>
        <v>751.4</v>
      </c>
      <c r="AM66" s="14">
        <f>IFERROR(VLOOKUP($A66,koronahun!$A:$AM,39,FALSE),"")</f>
        <v>3235.8571428571427</v>
      </c>
      <c r="AN66" s="11">
        <f ca="1">IFERROR(__xludf.DUMMYFUNCTION("""COMPUTED_VALUE"""),43958)</f>
        <v>43958</v>
      </c>
      <c r="AO66" s="12">
        <f ca="1">IFERROR(VLOOKUP(AN66,koronahun!A:B,2,FALSE),"")</f>
        <v>3150</v>
      </c>
      <c r="AP66" s="11">
        <f t="shared" ca="1" si="0"/>
        <v>43958</v>
      </c>
      <c r="AQ66" s="11">
        <f ca="1">IFERROR(__xludf.DUMMYFUNCTION("""COMPUTED_VALUE"""),43958)</f>
        <v>43958</v>
      </c>
      <c r="AR66" s="11">
        <v>44637</v>
      </c>
      <c r="AS66" s="11">
        <f t="shared" si="1"/>
        <v>44637</v>
      </c>
      <c r="AT66" s="11">
        <f ca="1">IFERROR(__xludf.DUMMYFUNCTION("""COMPUTED_VALUE"""),44636)</f>
        <v>44636</v>
      </c>
    </row>
    <row r="67" spans="1:46" ht="13">
      <c r="A67" s="11">
        <v>44631</v>
      </c>
      <c r="B67">
        <f>IFERROR(VLOOKUP($A67,koronahun!$A:$AM,2,FALSE),"")</f>
        <v>1814362</v>
      </c>
      <c r="C67">
        <f>IFERROR(VLOOKUP($A67,koronahun!$A:$AM,3,FALSE),"")</f>
        <v>2068</v>
      </c>
      <c r="D67">
        <f>IFERROR(VLOOKUP($A67,koronahun!$A:$AM,4,FALSE),"")</f>
        <v>44653</v>
      </c>
      <c r="E67">
        <f>IFERROR(VLOOKUP($A67,koronahun!$A:$AM,5,FALSE),"")</f>
        <v>1650643</v>
      </c>
      <c r="F67">
        <f>IFERROR(VLOOKUP($A67,koronahun!$A:$AM,6,FALSE),"")</f>
        <v>10921558</v>
      </c>
      <c r="G67" s="12">
        <f>IFERROR(VLOOKUP($A67,koronahun!$A:$AM,7,FALSE),"")</f>
        <v>1114444.693877551</v>
      </c>
      <c r="H67">
        <f>IFERROR(VLOOKUP($A67,koronahun!$A:$AM,8,FALSE),"")</f>
        <v>0</v>
      </c>
      <c r="I67" s="13">
        <f>IFERROR(VLOOKUP($A67,koronahun!$A:$AM,9,FALSE),"")</f>
        <v>1.1410952086140548E-3</v>
      </c>
      <c r="J67" s="13">
        <f>IFERROR(VLOOKUP($A67,koronahun!$A:$AM,10,FALSE),"")</f>
        <v>0.16612666434587448</v>
      </c>
      <c r="K67" s="13">
        <f>IFERROR(VLOOKUP($A67,koronahun!$A:$AM,11,FALSE),"")</f>
        <v>1.3234470721564247E-3</v>
      </c>
      <c r="L67">
        <f>IFERROR(VLOOKUP($A67,koronahun!$A:$AM,12,FALSE),"")</f>
        <v>119066</v>
      </c>
      <c r="M67" s="13">
        <f>IFERROR(VLOOKUP($A67,koronahun!$A:$AM,13,FALSE),"")</f>
        <v>2.4610854945154276E-2</v>
      </c>
      <c r="N67" s="13">
        <f>IFERROR(VLOOKUP($A67,koronahun!$A:$AM,14,FALSE),"")</f>
        <v>0.90976497523647426</v>
      </c>
      <c r="O67">
        <f>IFERROR(VLOOKUP($A67,koronahun!$A:$AM,15,FALSE),"")</f>
        <v>7342</v>
      </c>
      <c r="P67">
        <f>IFERROR(VLOOKUP($A67,koronahun!$A:$AM,16,FALSE),"")</f>
        <v>14435</v>
      </c>
      <c r="Q67" s="13">
        <f>IFERROR(VLOOKUP($A67,koronahun!$A:$AM,17,FALSE),"")</f>
        <v>0.14326290266712852</v>
      </c>
      <c r="R67">
        <f>IFERROR(VLOOKUP($A67,koronahun!$A:$AM,18,FALSE),"")</f>
        <v>50</v>
      </c>
      <c r="S67">
        <f>IFERROR(VLOOKUP($A67,koronahun!$A:$AM,19,FALSE),"")</f>
        <v>4606</v>
      </c>
      <c r="T67">
        <f>IFERROR(VLOOKUP($A67,koronahun!$A:$AM,20,FALSE),"")</f>
        <v>2338</v>
      </c>
      <c r="U67">
        <f>IFERROR(VLOOKUP($A67,koronahun!$A:$AM,21,FALSE),"")</f>
        <v>109</v>
      </c>
      <c r="V67" s="13">
        <f>IFERROR(VLOOKUP($A67,koronahun!$A:$AM,22,FALSE),"")</f>
        <v>6.5624169818371422E-2</v>
      </c>
      <c r="W67">
        <f>IFERROR(VLOOKUP($A67,koronahun!$A:$AM,23,FALSE),"")</f>
        <v>-161</v>
      </c>
      <c r="X67">
        <f>IFERROR(VLOOKUP($A67,koronahun!$A:$AM,24,FALSE),"")</f>
        <v>-8</v>
      </c>
      <c r="Y67" s="14">
        <f>IFERROR(VLOOKUP($A67,koronahun!$A:$AM,25,FALSE),"")</f>
        <v>1.9636168175633684E-2</v>
      </c>
      <c r="Z67" s="14">
        <f>IFERROR(VLOOKUP($A67,koronahun!$A:$AM,26,FALSE),"")</f>
        <v>4.662104362703165E-2</v>
      </c>
      <c r="AA67" s="14">
        <f>IFERROR(VLOOKUP($A67,koronahun!$A:$AM,27,FALSE),"")</f>
        <v>0.6858949789191261</v>
      </c>
      <c r="AB67" s="14">
        <f>IFERROR(VLOOKUP($A67,koronahun!$A:$AM,28,FALSE),"")</f>
        <v>0.67906435995338488</v>
      </c>
      <c r="AC67" s="14">
        <f>IFERROR(VLOOKUP($A67,koronahun!$A:$AM,29,FALSE),"")</f>
        <v>2045.1428571428571</v>
      </c>
      <c r="AD67" s="14">
        <f>IFERROR(VLOOKUP($A67,koronahun!$A:$AM,30,FALSE),"")</f>
        <v>52.428571428571431</v>
      </c>
      <c r="AE67" s="14">
        <f>IFERROR(VLOOKUP($A67,koronahun!$A:$AM,31,FALSE),"")</f>
        <v>12085.142857142857</v>
      </c>
      <c r="AF67" s="13">
        <f>IFERROR(VLOOKUP($A67,koronahun!$A:$AM,32,FALSE),"")</f>
        <v>0.21629534214238996</v>
      </c>
      <c r="AG67">
        <f>IFERROR(VLOOKUP($A67,koronahun!$A:$AM,33,FALSE),"")</f>
        <v>6398615</v>
      </c>
      <c r="AH67">
        <f>IFERROR(VLOOKUP($A67,koronahun!$A:$AM,34,FALSE),"")</f>
        <v>524</v>
      </c>
      <c r="AI67">
        <f>IFERROR(VLOOKUP($A67,koronahun!$A:$AM,35,FALSE),"")</f>
        <v>442.2</v>
      </c>
      <c r="AJ67">
        <f>IFERROR(VLOOKUP($A67,koronahun!$A:$AM,36,FALSE),"")</f>
        <v>6178638</v>
      </c>
      <c r="AK67">
        <f>IFERROR(VLOOKUP($A67,koronahun!$A:$AM,37,FALSE),"")</f>
        <v>1236</v>
      </c>
      <c r="AL67">
        <f>IFERROR(VLOOKUP($A67,koronahun!$A:$AM,38,FALSE),"")</f>
        <v>1080.2</v>
      </c>
      <c r="AM67" s="14">
        <f>IFERROR(VLOOKUP($A67,koronahun!$A:$AM,39,FALSE),"")</f>
        <v>4581.2857142857147</v>
      </c>
      <c r="AN67" s="11">
        <f ca="1">IFERROR(__xludf.DUMMYFUNCTION("""COMPUTED_VALUE"""),43959)</f>
        <v>43959</v>
      </c>
      <c r="AO67" s="12">
        <f ca="1">IFERROR(VLOOKUP(AN67,koronahun!A:B,2,FALSE),"")</f>
        <v>3178</v>
      </c>
      <c r="AP67" s="11">
        <f t="shared" ca="1" si="0"/>
        <v>43959</v>
      </c>
      <c r="AQ67" s="11">
        <f ca="1">IFERROR(__xludf.DUMMYFUNCTION("""COMPUTED_VALUE"""),43959)</f>
        <v>43959</v>
      </c>
      <c r="AR67" s="11">
        <v>44636</v>
      </c>
      <c r="AS67" s="11">
        <f t="shared" si="1"/>
        <v>44636</v>
      </c>
      <c r="AT67" s="11">
        <f ca="1">IFERROR(__xludf.DUMMYFUNCTION("""COMPUTED_VALUE"""),44631)</f>
        <v>44631</v>
      </c>
    </row>
    <row r="68" spans="1:46" ht="13">
      <c r="A68" s="11">
        <v>44630</v>
      </c>
      <c r="B68">
        <f>IFERROR(VLOOKUP($A68,koronahun!$A:$AM,2,FALSE),"")</f>
        <v>1812294</v>
      </c>
      <c r="C68">
        <f>IFERROR(VLOOKUP($A68,koronahun!$A:$AM,3,FALSE),"")</f>
        <v>2377</v>
      </c>
      <c r="D68">
        <f>IFERROR(VLOOKUP($A68,koronahun!$A:$AM,4,FALSE),"")</f>
        <v>44603</v>
      </c>
      <c r="E68">
        <f>IFERROR(VLOOKUP($A68,koronahun!$A:$AM,5,FALSE),"")</f>
        <v>1646037</v>
      </c>
      <c r="F68">
        <f>IFERROR(VLOOKUP($A68,koronahun!$A:$AM,6,FALSE),"")</f>
        <v>10907123</v>
      </c>
      <c r="G68" s="12">
        <f>IFERROR(VLOOKUP($A68,koronahun!$A:$AM,7,FALSE),"")</f>
        <v>1112971.7346938774</v>
      </c>
      <c r="H68">
        <f>IFERROR(VLOOKUP($A68,koronahun!$A:$AM,8,FALSE),"")</f>
        <v>0</v>
      </c>
      <c r="I68" s="13">
        <f>IFERROR(VLOOKUP($A68,koronahun!$A:$AM,9,FALSE),"")</f>
        <v>1.3133198925696593E-3</v>
      </c>
      <c r="J68" s="13">
        <f>IFERROR(VLOOKUP($A68,koronahun!$A:$AM,10,FALSE),"")</f>
        <v>0.16615692332432669</v>
      </c>
      <c r="K68" s="13">
        <f>IFERROR(VLOOKUP($A68,koronahun!$A:$AM,11,FALSE),"")</f>
        <v>1.3350371229738846E-3</v>
      </c>
      <c r="L68">
        <f>IFERROR(VLOOKUP($A68,koronahun!$A:$AM,12,FALSE),"")</f>
        <v>121654</v>
      </c>
      <c r="M68" s="13">
        <f>IFERROR(VLOOKUP($A68,koronahun!$A:$AM,13,FALSE),"")</f>
        <v>2.4611348931244049E-2</v>
      </c>
      <c r="N68" s="13">
        <f>IFERROR(VLOOKUP($A68,koronahun!$A:$AM,14,FALSE),"")</f>
        <v>0.90826157345331382</v>
      </c>
      <c r="O68">
        <f>IFERROR(VLOOKUP($A68,koronahun!$A:$AM,15,FALSE),"")</f>
        <v>7342</v>
      </c>
      <c r="P68">
        <f>IFERROR(VLOOKUP($A68,koronahun!$A:$AM,16,FALSE),"")</f>
        <v>14542</v>
      </c>
      <c r="Q68" s="13">
        <f>IFERROR(VLOOKUP($A68,koronahun!$A:$AM,17,FALSE),"")</f>
        <v>0.16345757117315363</v>
      </c>
      <c r="R68">
        <f>IFERROR(VLOOKUP($A68,koronahun!$A:$AM,18,FALSE),"")</f>
        <v>54</v>
      </c>
      <c r="S68">
        <f>IFERROR(VLOOKUP($A68,koronahun!$A:$AM,19,FALSE),"")</f>
        <v>4781</v>
      </c>
      <c r="T68">
        <f>IFERROR(VLOOKUP($A68,koronahun!$A:$AM,20,FALSE),"")</f>
        <v>2499</v>
      </c>
      <c r="U68">
        <f>IFERROR(VLOOKUP($A68,koronahun!$A:$AM,21,FALSE),"")</f>
        <v>117</v>
      </c>
      <c r="V68" s="13">
        <f>IFERROR(VLOOKUP($A68,koronahun!$A:$AM,22,FALSE),"")</f>
        <v>6.712707761544208E-2</v>
      </c>
      <c r="W68">
        <f>IFERROR(VLOOKUP($A68,koronahun!$A:$AM,23,FALSE),"")</f>
        <v>-118</v>
      </c>
      <c r="X68">
        <f>IFERROR(VLOOKUP($A68,koronahun!$A:$AM,24,FALSE),"")</f>
        <v>-1</v>
      </c>
      <c r="Y68" s="14">
        <f>IFERROR(VLOOKUP($A68,koronahun!$A:$AM,25,FALSE),"")</f>
        <v>2.0541864632482285E-2</v>
      </c>
      <c r="Z68" s="14">
        <f>IFERROR(VLOOKUP($A68,koronahun!$A:$AM,26,FALSE),"")</f>
        <v>4.6818727490996401E-2</v>
      </c>
      <c r="AA68" s="14">
        <f>IFERROR(VLOOKUP($A68,koronahun!$A:$AM,27,FALSE),"")</f>
        <v>0.68645207567470634</v>
      </c>
      <c r="AB68" s="14">
        <f>IFERROR(VLOOKUP($A68,koronahun!$A:$AM,28,FALSE),"")</f>
        <v>0.66934795958940685</v>
      </c>
      <c r="AC68" s="14">
        <f>IFERROR(VLOOKUP($A68,koronahun!$A:$AM,29,FALSE),"")</f>
        <v>2187.4285714285716</v>
      </c>
      <c r="AD68" s="14">
        <f>IFERROR(VLOOKUP($A68,koronahun!$A:$AM,30,FALSE),"")</f>
        <v>56</v>
      </c>
      <c r="AE68" s="14">
        <f>IFERROR(VLOOKUP($A68,koronahun!$A:$AM,31,FALSE),"")</f>
        <v>12592.142857142857</v>
      </c>
      <c r="AF68" s="13">
        <f>IFERROR(VLOOKUP($A68,koronahun!$A:$AM,32,FALSE),"")</f>
        <v>0.22171749470504967</v>
      </c>
      <c r="AG68">
        <f>IFERROR(VLOOKUP($A68,koronahun!$A:$AM,33,FALSE),"")</f>
        <v>6398091</v>
      </c>
      <c r="AH68">
        <f>IFERROR(VLOOKUP($A68,koronahun!$A:$AM,34,FALSE),"")</f>
        <v>285</v>
      </c>
      <c r="AI68">
        <f>IFERROR(VLOOKUP($A68,koronahun!$A:$AM,35,FALSE),"")</f>
        <v>516.4</v>
      </c>
      <c r="AJ68">
        <f>IFERROR(VLOOKUP($A68,koronahun!$A:$AM,36,FALSE),"")</f>
        <v>6177402</v>
      </c>
      <c r="AK68">
        <f>IFERROR(VLOOKUP($A68,koronahun!$A:$AM,37,FALSE),"")</f>
        <v>753</v>
      </c>
      <c r="AL68">
        <f>IFERROR(VLOOKUP($A68,koronahun!$A:$AM,38,FALSE),"")</f>
        <v>1170</v>
      </c>
      <c r="AM68" s="14">
        <f>IFERROR(VLOOKUP($A68,koronahun!$A:$AM,39,FALSE),"")</f>
        <v>5103.1428571428569</v>
      </c>
      <c r="AN68" s="11">
        <f ca="1">IFERROR(__xludf.DUMMYFUNCTION("""COMPUTED_VALUE"""),43960)</f>
        <v>43960</v>
      </c>
      <c r="AO68" s="12">
        <f ca="1">IFERROR(VLOOKUP(AN68,koronahun!A:B,2,FALSE),"")</f>
        <v>3213</v>
      </c>
      <c r="AP68" s="11">
        <f t="shared" ca="1" si="0"/>
        <v>43960</v>
      </c>
      <c r="AQ68" s="11">
        <f ca="1">IFERROR(__xludf.DUMMYFUNCTION("""COMPUTED_VALUE"""),43960)</f>
        <v>43960</v>
      </c>
      <c r="AR68" s="11">
        <v>44631</v>
      </c>
      <c r="AS68" s="11">
        <f t="shared" si="1"/>
        <v>44631</v>
      </c>
      <c r="AT68" s="11">
        <f ca="1">IFERROR(__xludf.DUMMYFUNCTION("""COMPUTED_VALUE"""),44630)</f>
        <v>44630</v>
      </c>
    </row>
    <row r="69" spans="1:46" ht="13">
      <c r="A69" s="11">
        <v>44629</v>
      </c>
      <c r="B69">
        <f>IFERROR(VLOOKUP($A69,koronahun!$A:$AM,2,FALSE),"")</f>
        <v>1809917</v>
      </c>
      <c r="C69">
        <f>IFERROR(VLOOKUP($A69,koronahun!$A:$AM,3,FALSE),"")</f>
        <v>2632</v>
      </c>
      <c r="D69">
        <f>IFERROR(VLOOKUP($A69,koronahun!$A:$AM,4,FALSE),"")</f>
        <v>44549</v>
      </c>
      <c r="E69">
        <f>IFERROR(VLOOKUP($A69,koronahun!$A:$AM,5,FALSE),"")</f>
        <v>1641256</v>
      </c>
      <c r="F69">
        <f>IFERROR(VLOOKUP($A69,koronahun!$A:$AM,6,FALSE),"")</f>
        <v>10892581</v>
      </c>
      <c r="G69" s="12">
        <f>IFERROR(VLOOKUP($A69,koronahun!$A:$AM,7,FALSE),"")</f>
        <v>1111487.857142857</v>
      </c>
      <c r="H69">
        <f>IFERROR(VLOOKUP($A69,koronahun!$A:$AM,8,FALSE),"")</f>
        <v>0</v>
      </c>
      <c r="I69" s="13">
        <f>IFERROR(VLOOKUP($A69,koronahun!$A:$AM,9,FALSE),"")</f>
        <v>1.456328138616765E-3</v>
      </c>
      <c r="J69" s="13">
        <f>IFERROR(VLOOKUP($A69,koronahun!$A:$AM,10,FALSE),"")</f>
        <v>0.16616052705965648</v>
      </c>
      <c r="K69" s="13">
        <f>IFERROR(VLOOKUP($A69,koronahun!$A:$AM,11,FALSE),"")</f>
        <v>9.0942638782859082E-4</v>
      </c>
      <c r="L69">
        <f>IFERROR(VLOOKUP($A69,koronahun!$A:$AM,12,FALSE),"")</f>
        <v>124112</v>
      </c>
      <c r="M69" s="13">
        <f>IFERROR(VLOOKUP($A69,koronahun!$A:$AM,13,FALSE),"")</f>
        <v>2.4613835883081931E-2</v>
      </c>
      <c r="N69" s="13">
        <f>IFERROR(VLOOKUP($A69,koronahun!$A:$AM,14,FALSE),"")</f>
        <v>0.90681285384909915</v>
      </c>
      <c r="O69">
        <f>IFERROR(VLOOKUP($A69,koronahun!$A:$AM,15,FALSE),"")</f>
        <v>7342</v>
      </c>
      <c r="P69">
        <f>IFERROR(VLOOKUP($A69,koronahun!$A:$AM,16,FALSE),"")</f>
        <v>9897</v>
      </c>
      <c r="Q69" s="13">
        <f>IFERROR(VLOOKUP($A69,koronahun!$A:$AM,17,FALSE),"")</f>
        <v>0.2659391734869152</v>
      </c>
      <c r="R69">
        <f>IFERROR(VLOOKUP($A69,koronahun!$A:$AM,18,FALSE),"")</f>
        <v>54</v>
      </c>
      <c r="S69">
        <f>IFERROR(VLOOKUP($A69,koronahun!$A:$AM,19,FALSE),"")</f>
        <v>4475</v>
      </c>
      <c r="T69">
        <f>IFERROR(VLOOKUP($A69,koronahun!$A:$AM,20,FALSE),"")</f>
        <v>2617</v>
      </c>
      <c r="U69">
        <f>IFERROR(VLOOKUP($A69,koronahun!$A:$AM,21,FALSE),"")</f>
        <v>118</v>
      </c>
      <c r="V69" s="13">
        <f>IFERROR(VLOOKUP($A69,koronahun!$A:$AM,22,FALSE),"")</f>
        <v>6.8573310267818904E-2</v>
      </c>
      <c r="W69">
        <f>IFERROR(VLOOKUP($A69,koronahun!$A:$AM,23,FALSE),"")</f>
        <v>-149</v>
      </c>
      <c r="X69">
        <f>IFERROR(VLOOKUP($A69,koronahun!$A:$AM,24,FALSE),"")</f>
        <v>4</v>
      </c>
      <c r="Y69" s="14">
        <f>IFERROR(VLOOKUP($A69,koronahun!$A:$AM,25,FALSE),"")</f>
        <v>2.1085793476859609E-2</v>
      </c>
      <c r="Z69" s="14">
        <f>IFERROR(VLOOKUP($A69,koronahun!$A:$AM,26,FALSE),"")</f>
        <v>4.5089797478028278E-2</v>
      </c>
      <c r="AA69" s="14">
        <f>IFERROR(VLOOKUP($A69,koronahun!$A:$AM,27,FALSE),"")</f>
        <v>0.70116046084488226</v>
      </c>
      <c r="AB69" s="14">
        <f>IFERROR(VLOOKUP($A69,koronahun!$A:$AM,28,FALSE),"")</f>
        <v>0.65690921802437485</v>
      </c>
      <c r="AC69" s="14">
        <f>IFERROR(VLOOKUP($A69,koronahun!$A:$AM,29,FALSE),"")</f>
        <v>2399.5714285714284</v>
      </c>
      <c r="AD69" s="14">
        <f>IFERROR(VLOOKUP($A69,koronahun!$A:$AM,30,FALSE),"")</f>
        <v>59.285714285714285</v>
      </c>
      <c r="AE69" s="14">
        <f>IFERROR(VLOOKUP($A69,koronahun!$A:$AM,31,FALSE),"")</f>
        <v>13161.285714285714</v>
      </c>
      <c r="AF69" s="13">
        <f>IFERROR(VLOOKUP($A69,koronahun!$A:$AM,32,FALSE),"")</f>
        <v>0.23071873659694386</v>
      </c>
      <c r="AG69">
        <f>IFERROR(VLOOKUP($A69,koronahun!$A:$AM,33,FALSE),"")</f>
        <v>6397806</v>
      </c>
      <c r="AH69">
        <f>IFERROR(VLOOKUP($A69,koronahun!$A:$AM,34,FALSE),"")</f>
        <v>183</v>
      </c>
      <c r="AI69">
        <f>IFERROR(VLOOKUP($A69,koronahun!$A:$AM,35,FALSE),"")</f>
        <v>544.20000000000005</v>
      </c>
      <c r="AJ69">
        <f>IFERROR(VLOOKUP($A69,koronahun!$A:$AM,36,FALSE),"")</f>
        <v>6176649</v>
      </c>
      <c r="AK69">
        <f>IFERROR(VLOOKUP($A69,koronahun!$A:$AM,37,FALSE),"")</f>
        <v>458</v>
      </c>
      <c r="AL69">
        <f>IFERROR(VLOOKUP($A69,koronahun!$A:$AM,38,FALSE),"")</f>
        <v>1203.8</v>
      </c>
      <c r="AM69" s="14">
        <f>IFERROR(VLOOKUP($A69,koronahun!$A:$AM,39,FALSE),"")</f>
        <v>5024.5714285714284</v>
      </c>
      <c r="AN69" s="11">
        <f ca="1">IFERROR(__xludf.DUMMYFUNCTION("""COMPUTED_VALUE"""),43961)</f>
        <v>43961</v>
      </c>
      <c r="AO69" s="12">
        <f ca="1">IFERROR(VLOOKUP(AN69,koronahun!A:B,2,FALSE),"")</f>
        <v>3263</v>
      </c>
      <c r="AP69" s="11">
        <f t="shared" ca="1" si="0"/>
        <v>43961</v>
      </c>
      <c r="AQ69" s="11">
        <f ca="1">IFERROR(__xludf.DUMMYFUNCTION("""COMPUTED_VALUE"""),43961)</f>
        <v>43961</v>
      </c>
      <c r="AR69" s="11">
        <v>44630</v>
      </c>
      <c r="AS69" s="11">
        <f t="shared" si="1"/>
        <v>44630</v>
      </c>
      <c r="AT69" s="11">
        <f ca="1">IFERROR(__xludf.DUMMYFUNCTION("""COMPUTED_VALUE"""),44629)</f>
        <v>44629</v>
      </c>
    </row>
    <row r="70" spans="1:46" ht="13">
      <c r="A70" s="11">
        <v>44628</v>
      </c>
      <c r="B70">
        <f>IFERROR(VLOOKUP($A70,koronahun!$A:$AM,2,FALSE),"")</f>
        <v>1807285</v>
      </c>
      <c r="C70">
        <f>IFERROR(VLOOKUP($A70,koronahun!$A:$AM,3,FALSE),"")</f>
        <v>1387</v>
      </c>
      <c r="D70">
        <f>IFERROR(VLOOKUP($A70,koronahun!$A:$AM,4,FALSE),"")</f>
        <v>44495</v>
      </c>
      <c r="E70">
        <f>IFERROR(VLOOKUP($A70,koronahun!$A:$AM,5,FALSE),"")</f>
        <v>1636781</v>
      </c>
      <c r="F70">
        <f>IFERROR(VLOOKUP($A70,koronahun!$A:$AM,6,FALSE),"")</f>
        <v>10882684</v>
      </c>
      <c r="G70" s="12">
        <f>IFERROR(VLOOKUP($A70,koronahun!$A:$AM,7,FALSE),"")</f>
        <v>1110477.9591836734</v>
      </c>
      <c r="H70">
        <f>IFERROR(VLOOKUP($A70,koronahun!$A:$AM,8,FALSE),"")</f>
        <v>0</v>
      </c>
      <c r="I70" s="13">
        <f>IFERROR(VLOOKUP($A70,koronahun!$A:$AM,9,FALSE),"")</f>
        <v>7.6803894793615142E-4</v>
      </c>
      <c r="J70" s="13">
        <f>IFERROR(VLOOKUP($A70,koronahun!$A:$AM,10,FALSE),"")</f>
        <v>0.1660697857256537</v>
      </c>
      <c r="K70" s="13">
        <f>IFERROR(VLOOKUP($A70,koronahun!$A:$AM,11,FALSE),"")</f>
        <v>3.4516265341928422E-4</v>
      </c>
      <c r="L70">
        <f>IFERROR(VLOOKUP($A70,koronahun!$A:$AM,12,FALSE),"")</f>
        <v>126009</v>
      </c>
      <c r="M70" s="13">
        <f>IFERROR(VLOOKUP($A70,koronahun!$A:$AM,13,FALSE),"")</f>
        <v>2.4619802632124984E-2</v>
      </c>
      <c r="N70" s="13">
        <f>IFERROR(VLOOKUP($A70,koronahun!$A:$AM,14,FALSE),"")</f>
        <v>0.90565738109927318</v>
      </c>
      <c r="O70">
        <f>IFERROR(VLOOKUP($A70,koronahun!$A:$AM,15,FALSE),"")</f>
        <v>7342</v>
      </c>
      <c r="P70">
        <f>IFERROR(VLOOKUP($A70,koronahun!$A:$AM,16,FALSE),"")</f>
        <v>3755</v>
      </c>
      <c r="Q70" s="13">
        <f>IFERROR(VLOOKUP($A70,koronahun!$A:$AM,17,FALSE),"")</f>
        <v>0.36937416777629828</v>
      </c>
      <c r="R70">
        <f>IFERROR(VLOOKUP($A70,koronahun!$A:$AM,18,FALSE),"")</f>
        <v>59</v>
      </c>
      <c r="S70">
        <f>IFERROR(VLOOKUP($A70,koronahun!$A:$AM,19,FALSE),"")</f>
        <v>4456</v>
      </c>
      <c r="T70">
        <f>IFERROR(VLOOKUP($A70,koronahun!$A:$AM,20,FALSE),"")</f>
        <v>2766</v>
      </c>
      <c r="U70">
        <f>IFERROR(VLOOKUP($A70,koronahun!$A:$AM,21,FALSE),"")</f>
        <v>114</v>
      </c>
      <c r="V70" s="13">
        <f>IFERROR(VLOOKUP($A70,koronahun!$A:$AM,22,FALSE),"")</f>
        <v>6.97228162686018E-2</v>
      </c>
      <c r="W70">
        <f>IFERROR(VLOOKUP($A70,koronahun!$A:$AM,23,FALSE),"")</f>
        <v>21</v>
      </c>
      <c r="X70">
        <f>IFERROR(VLOOKUP($A70,koronahun!$A:$AM,24,FALSE),"")</f>
        <v>-3</v>
      </c>
      <c r="Y70" s="14">
        <f>IFERROR(VLOOKUP($A70,koronahun!$A:$AM,25,FALSE),"")</f>
        <v>2.1950813037164011E-2</v>
      </c>
      <c r="Z70" s="14">
        <f>IFERROR(VLOOKUP($A70,koronahun!$A:$AM,26,FALSE),"")</f>
        <v>4.1214750542299353E-2</v>
      </c>
      <c r="AA70" s="14">
        <f>IFERROR(VLOOKUP($A70,koronahun!$A:$AM,27,FALSE),"")</f>
        <v>0.66299666704115645</v>
      </c>
      <c r="AB70" s="14">
        <f>IFERROR(VLOOKUP($A70,koronahun!$A:$AM,28,FALSE),"")</f>
        <v>0.64016802744826395</v>
      </c>
      <c r="AC70" s="14">
        <f>IFERROR(VLOOKUP($A70,koronahun!$A:$AM,29,FALSE),"")</f>
        <v>2529.1428571428573</v>
      </c>
      <c r="AD70" s="14">
        <f>IFERROR(VLOOKUP($A70,koronahun!$A:$AM,30,FALSE),"")</f>
        <v>63.428571428571431</v>
      </c>
      <c r="AE70" s="14">
        <f>IFERROR(VLOOKUP($A70,koronahun!$A:$AM,31,FALSE),"")</f>
        <v>13266.428571428571</v>
      </c>
      <c r="AF70" s="13">
        <f>IFERROR(VLOOKUP($A70,koronahun!$A:$AM,32,FALSE),"")</f>
        <v>0.24409725194188187</v>
      </c>
      <c r="AG70">
        <f>IFERROR(VLOOKUP($A70,koronahun!$A:$AM,33,FALSE),"")</f>
        <v>6397623</v>
      </c>
      <c r="AH70">
        <f>IFERROR(VLOOKUP($A70,koronahun!$A:$AM,34,FALSE),"")</f>
        <v>168</v>
      </c>
      <c r="AI70">
        <f>IFERROR(VLOOKUP($A70,koronahun!$A:$AM,35,FALSE),"")</f>
        <v>568.20000000000005</v>
      </c>
      <c r="AJ70">
        <f>IFERROR(VLOOKUP($A70,koronahun!$A:$AM,36,FALSE),"")</f>
        <v>6176191</v>
      </c>
      <c r="AK70">
        <f>IFERROR(VLOOKUP($A70,koronahun!$A:$AM,37,FALSE),"")</f>
        <v>517</v>
      </c>
      <c r="AL70">
        <f>IFERROR(VLOOKUP($A70,koronahun!$A:$AM,38,FALSE),"")</f>
        <v>1239.2</v>
      </c>
      <c r="AM70" s="14">
        <f>IFERROR(VLOOKUP($A70,koronahun!$A:$AM,39,FALSE),"")</f>
        <v>5967.5714285714284</v>
      </c>
      <c r="AN70" s="11">
        <f ca="1">IFERROR(__xludf.DUMMYFUNCTION("""COMPUTED_VALUE"""),43962)</f>
        <v>43962</v>
      </c>
      <c r="AO70" s="12">
        <f ca="1">IFERROR(VLOOKUP(AN70,koronahun!A:B,2,FALSE),"")</f>
        <v>3284</v>
      </c>
      <c r="AP70" s="11">
        <f t="shared" ca="1" si="0"/>
        <v>43962</v>
      </c>
      <c r="AQ70" s="11">
        <f ca="1">IFERROR(__xludf.DUMMYFUNCTION("""COMPUTED_VALUE"""),43962)</f>
        <v>43962</v>
      </c>
      <c r="AR70" s="11">
        <v>44629</v>
      </c>
      <c r="AS70" s="11">
        <f t="shared" si="1"/>
        <v>44629</v>
      </c>
      <c r="AT70" s="11">
        <f ca="1">IFERROR(__xludf.DUMMYFUNCTION("""COMPUTED_VALUE"""),44628)</f>
        <v>44628</v>
      </c>
    </row>
    <row r="71" spans="1:46" ht="13">
      <c r="A71" s="11">
        <v>44627</v>
      </c>
      <c r="B71">
        <f>IFERROR(VLOOKUP($A71,koronahun!$A:$AM,2,FALSE),"")</f>
        <v>1805898</v>
      </c>
      <c r="C71">
        <f>IFERROR(VLOOKUP($A71,koronahun!$A:$AM,3,FALSE),"")</f>
        <v>5852</v>
      </c>
      <c r="D71">
        <f>IFERROR(VLOOKUP($A71,koronahun!$A:$AM,4,FALSE),"")</f>
        <v>44436</v>
      </c>
      <c r="E71">
        <f>IFERROR(VLOOKUP($A71,koronahun!$A:$AM,5,FALSE),"")</f>
        <v>1632325</v>
      </c>
      <c r="F71">
        <f>IFERROR(VLOOKUP($A71,koronahun!$A:$AM,6,FALSE),"")</f>
        <v>10878929</v>
      </c>
      <c r="G71" s="12">
        <f>IFERROR(VLOOKUP($A71,koronahun!$A:$AM,7,FALSE),"")</f>
        <v>1110094.7959183673</v>
      </c>
      <c r="H71">
        <f>IFERROR(VLOOKUP($A71,koronahun!$A:$AM,8,FALSE),"")</f>
        <v>0</v>
      </c>
      <c r="I71" s="13">
        <f>IFERROR(VLOOKUP($A71,koronahun!$A:$AM,9,FALSE),"")</f>
        <v>3.2510280292836961E-3</v>
      </c>
      <c r="J71" s="13">
        <f>IFERROR(VLOOKUP($A71,koronahun!$A:$AM,10,FALSE),"")</f>
        <v>0.16599961264569335</v>
      </c>
      <c r="K71" s="13">
        <f>IFERROR(VLOOKUP($A71,koronahun!$A:$AM,11,FALSE),"")</f>
        <v>3.8725797875825345E-3</v>
      </c>
      <c r="L71">
        <f>IFERROR(VLOOKUP($A71,koronahun!$A:$AM,12,FALSE),"")</f>
        <v>129137</v>
      </c>
      <c r="M71" s="13">
        <f>IFERROR(VLOOKUP($A71,koronahun!$A:$AM,13,FALSE),"")</f>
        <v>2.460604087274032E-2</v>
      </c>
      <c r="N71" s="13">
        <f>IFERROR(VLOOKUP($A71,koronahun!$A:$AM,14,FALSE),"")</f>
        <v>0.9038854907641517</v>
      </c>
      <c r="O71">
        <f>IFERROR(VLOOKUP($A71,koronahun!$A:$AM,15,FALSE),"")</f>
        <v>7342</v>
      </c>
      <c r="P71">
        <f>IFERROR(VLOOKUP($A71,koronahun!$A:$AM,16,FALSE),"")</f>
        <v>41967</v>
      </c>
      <c r="Q71" s="13">
        <f>IFERROR(VLOOKUP($A71,koronahun!$A:$AM,17,FALSE),"")</f>
        <v>0.13944289560845427</v>
      </c>
      <c r="R71">
        <f>IFERROR(VLOOKUP($A71,koronahun!$A:$AM,18,FALSE),"")</f>
        <v>150</v>
      </c>
      <c r="S71">
        <f>IFERROR(VLOOKUP($A71,koronahun!$A:$AM,19,FALSE),"")</f>
        <v>13751</v>
      </c>
      <c r="T71">
        <f>IFERROR(VLOOKUP($A71,koronahun!$A:$AM,20,FALSE),"")</f>
        <v>2745</v>
      </c>
      <c r="U71">
        <f>IFERROR(VLOOKUP($A71,koronahun!$A:$AM,21,FALSE),"")</f>
        <v>117</v>
      </c>
      <c r="V71" s="13">
        <f>IFERROR(VLOOKUP($A71,koronahun!$A:$AM,22,FALSE),"")</f>
        <v>7.1508468363107994E-2</v>
      </c>
      <c r="W71">
        <f>IFERROR(VLOOKUP($A71,koronahun!$A:$AM,23,FALSE),"")</f>
        <v>-216</v>
      </c>
      <c r="X71">
        <f>IFERROR(VLOOKUP($A71,koronahun!$A:$AM,24,FALSE),"")</f>
        <v>-10</v>
      </c>
      <c r="Y71" s="14">
        <f>IFERROR(VLOOKUP($A71,koronahun!$A:$AM,25,FALSE),"")</f>
        <v>2.1256495040151157E-2</v>
      </c>
      <c r="Z71" s="14">
        <f>IFERROR(VLOOKUP($A71,koronahun!$A:$AM,26,FALSE),"")</f>
        <v>4.2622950819672129E-2</v>
      </c>
      <c r="AA71" s="14">
        <f>IFERROR(VLOOKUP($A71,koronahun!$A:$AM,27,FALSE),"")</f>
        <v>0.65881761728705268</v>
      </c>
      <c r="AB71" s="14">
        <f>IFERROR(VLOOKUP($A71,koronahun!$A:$AM,28,FALSE),"")</f>
        <v>0.63658427563201248</v>
      </c>
      <c r="AC71" s="14">
        <f>IFERROR(VLOOKUP($A71,koronahun!$A:$AM,29,FALSE),"")</f>
        <v>2622</v>
      </c>
      <c r="AD71" s="14">
        <f>IFERROR(VLOOKUP($A71,koronahun!$A:$AM,30,FALSE),"")</f>
        <v>69.571428571428569</v>
      </c>
      <c r="AE71" s="14">
        <f>IFERROR(VLOOKUP($A71,koronahun!$A:$AM,31,FALSE),"")</f>
        <v>13420.285714285714</v>
      </c>
      <c r="AF71" s="13">
        <f>IFERROR(VLOOKUP($A71,koronahun!$A:$AM,32,FALSE),"")</f>
        <v>0.25453533229390701</v>
      </c>
      <c r="AG71">
        <f>IFERROR(VLOOKUP($A71,koronahun!$A:$AM,33,FALSE),"")</f>
        <v>6397455</v>
      </c>
      <c r="AH71">
        <f>IFERROR(VLOOKUP($A71,koronahun!$A:$AM,34,FALSE),"")</f>
        <v>1051</v>
      </c>
      <c r="AI71">
        <f>IFERROR(VLOOKUP($A71,koronahun!$A:$AM,35,FALSE),"")</f>
        <v>615.20000000000005</v>
      </c>
      <c r="AJ71">
        <f>IFERROR(VLOOKUP($A71,koronahun!$A:$AM,36,FALSE),"")</f>
        <v>6175674</v>
      </c>
      <c r="AK71">
        <f>IFERROR(VLOOKUP($A71,koronahun!$A:$AM,37,FALSE),"")</f>
        <v>2437</v>
      </c>
      <c r="AL71">
        <f>IFERROR(VLOOKUP($A71,koronahun!$A:$AM,38,FALSE),"")</f>
        <v>1349.6</v>
      </c>
      <c r="AM71" s="14">
        <f>IFERROR(VLOOKUP($A71,koronahun!$A:$AM,39,FALSE),"")</f>
        <v>6211.7142857142853</v>
      </c>
      <c r="AN71" s="11">
        <f ca="1">IFERROR(__xludf.DUMMYFUNCTION("""COMPUTED_VALUE"""),43963)</f>
        <v>43963</v>
      </c>
      <c r="AO71" s="12">
        <f ca="1">IFERROR(VLOOKUP(AN71,koronahun!A:B,2,FALSE),"")</f>
        <v>3313</v>
      </c>
      <c r="AP71" s="11">
        <f t="shared" ca="1" si="0"/>
        <v>43963</v>
      </c>
      <c r="AQ71" s="11">
        <f ca="1">IFERROR(__xludf.DUMMYFUNCTION("""COMPUTED_VALUE"""),43963)</f>
        <v>43963</v>
      </c>
      <c r="AR71" s="11">
        <v>44628</v>
      </c>
      <c r="AS71" s="11">
        <f t="shared" si="1"/>
        <v>44628</v>
      </c>
      <c r="AT71" s="11">
        <f ca="1">IFERROR(__xludf.DUMMYFUNCTION("""COMPUTED_VALUE"""),44627)</f>
        <v>44627</v>
      </c>
    </row>
    <row r="72" spans="1:46" ht="13">
      <c r="A72" s="11">
        <v>44624</v>
      </c>
      <c r="B72">
        <f>IFERROR(VLOOKUP($A72,koronahun!$A:$AM,2,FALSE),"")</f>
        <v>1800046</v>
      </c>
      <c r="C72">
        <f>IFERROR(VLOOKUP($A72,koronahun!$A:$AM,3,FALSE),"")</f>
        <v>3064</v>
      </c>
      <c r="D72">
        <f>IFERROR(VLOOKUP($A72,koronahun!$A:$AM,4,FALSE),"")</f>
        <v>44286</v>
      </c>
      <c r="E72">
        <f>IFERROR(VLOOKUP($A72,koronahun!$A:$AM,5,FALSE),"")</f>
        <v>1618574</v>
      </c>
      <c r="F72">
        <f>IFERROR(VLOOKUP($A72,koronahun!$A:$AM,6,FALSE),"")</f>
        <v>10836962</v>
      </c>
      <c r="G72" s="12">
        <f>IFERROR(VLOOKUP($A72,koronahun!$A:$AM,7,FALSE),"")</f>
        <v>1105812.4489795917</v>
      </c>
      <c r="H72">
        <f>IFERROR(VLOOKUP($A72,koronahun!$A:$AM,8,FALSE),"")</f>
        <v>0</v>
      </c>
      <c r="I72" s="13">
        <f>IFERROR(VLOOKUP($A72,koronahun!$A:$AM,9,FALSE),"")</f>
        <v>1.7050810748243444E-3</v>
      </c>
      <c r="J72" s="13">
        <f>IFERROR(VLOOKUP($A72,koronahun!$A:$AM,10,FALSE),"")</f>
        <v>0.16610245565131629</v>
      </c>
      <c r="K72" s="13">
        <f>IFERROR(VLOOKUP($A72,koronahun!$A:$AM,11,FALSE),"")</f>
        <v>1.6622642175628788E-3</v>
      </c>
      <c r="L72">
        <f>IFERROR(VLOOKUP($A72,koronahun!$A:$AM,12,FALSE),"")</f>
        <v>137186</v>
      </c>
      <c r="M72" s="13">
        <f>IFERROR(VLOOKUP($A72,koronahun!$A:$AM,13,FALSE),"")</f>
        <v>2.4602704597549173E-2</v>
      </c>
      <c r="N72" s="13">
        <f>IFERROR(VLOOKUP($A72,koronahun!$A:$AM,14,FALSE),"")</f>
        <v>0.89918479861070222</v>
      </c>
      <c r="O72">
        <f>IFERROR(VLOOKUP($A72,koronahun!$A:$AM,15,FALSE),"")</f>
        <v>9718</v>
      </c>
      <c r="P72">
        <f>IFERROR(VLOOKUP($A72,koronahun!$A:$AM,16,FALSE),"")</f>
        <v>17984</v>
      </c>
      <c r="Q72" s="13">
        <f>IFERROR(VLOOKUP($A72,koronahun!$A:$AM,17,FALSE),"")</f>
        <v>0.17037366548042704</v>
      </c>
      <c r="R72">
        <f>IFERROR(VLOOKUP($A72,koronahun!$A:$AM,18,FALSE),"")</f>
        <v>75</v>
      </c>
      <c r="S72">
        <f>IFERROR(VLOOKUP($A72,koronahun!$A:$AM,19,FALSE),"")</f>
        <v>8259</v>
      </c>
      <c r="T72">
        <f>IFERROR(VLOOKUP($A72,koronahun!$A:$AM,20,FALSE),"")</f>
        <v>2961</v>
      </c>
      <c r="U72">
        <f>IFERROR(VLOOKUP($A72,koronahun!$A:$AM,21,FALSE),"")</f>
        <v>127</v>
      </c>
      <c r="V72" s="13">
        <f>IFERROR(VLOOKUP($A72,koronahun!$A:$AM,22,FALSE),"")</f>
        <v>7.6212496791748657E-2</v>
      </c>
      <c r="W72">
        <f>IFERROR(VLOOKUP($A72,koronahun!$A:$AM,23,FALSE),"")</f>
        <v>-159</v>
      </c>
      <c r="X72">
        <f>IFERROR(VLOOKUP($A72,koronahun!$A:$AM,24,FALSE),"")</f>
        <v>1</v>
      </c>
      <c r="Y72" s="14">
        <f>IFERROR(VLOOKUP($A72,koronahun!$A:$AM,25,FALSE),"")</f>
        <v>2.1583835085212777E-2</v>
      </c>
      <c r="Z72" s="14">
        <f>IFERROR(VLOOKUP($A72,koronahun!$A:$AM,26,FALSE),"")</f>
        <v>4.2890915231340761E-2</v>
      </c>
      <c r="AA72" s="14">
        <f>IFERROR(VLOOKUP($A72,koronahun!$A:$AM,27,FALSE),"")</f>
        <v>0.63731297709923662</v>
      </c>
      <c r="AB72" s="14">
        <f>IFERROR(VLOOKUP($A72,koronahun!$A:$AM,28,FALSE),"")</f>
        <v>0.63557427809392242</v>
      </c>
      <c r="AC72" s="14">
        <f>IFERROR(VLOOKUP($A72,koronahun!$A:$AM,29,FALSE),"")</f>
        <v>2981.7142857142858</v>
      </c>
      <c r="AD72" s="14">
        <f>IFERROR(VLOOKUP($A72,koronahun!$A:$AM,30,FALSE),"")</f>
        <v>76.285714285714292</v>
      </c>
      <c r="AE72" s="14">
        <f>IFERROR(VLOOKUP($A72,koronahun!$A:$AM,31,FALSE),"")</f>
        <v>14721.285714285714</v>
      </c>
      <c r="AF72" s="13">
        <f>IFERROR(VLOOKUP($A72,koronahun!$A:$AM,32,FALSE),"")</f>
        <v>0.25942272529110244</v>
      </c>
      <c r="AG72">
        <f>IFERROR(VLOOKUP($A72,koronahun!$A:$AM,33,FALSE),"")</f>
        <v>6396404</v>
      </c>
      <c r="AH72">
        <f>IFERROR(VLOOKUP($A72,koronahun!$A:$AM,34,FALSE),"")</f>
        <v>895</v>
      </c>
      <c r="AI72">
        <f>IFERROR(VLOOKUP($A72,koronahun!$A:$AM,35,FALSE),"")</f>
        <v>892.8</v>
      </c>
      <c r="AJ72">
        <f>IFERROR(VLOOKUP($A72,koronahun!$A:$AM,36,FALSE),"")</f>
        <v>6173237</v>
      </c>
      <c r="AK72">
        <f>IFERROR(VLOOKUP($A72,koronahun!$A:$AM,37,FALSE),"")</f>
        <v>1685</v>
      </c>
      <c r="AL72">
        <f>IFERROR(VLOOKUP($A72,koronahun!$A:$AM,38,FALSE),"")</f>
        <v>1907.4</v>
      </c>
      <c r="AM72" s="14">
        <f>IFERROR(VLOOKUP($A72,koronahun!$A:$AM,39,FALSE),"")</f>
        <v>7437.8571428571431</v>
      </c>
      <c r="AN72" s="11">
        <f ca="1">IFERROR(__xludf.DUMMYFUNCTION("""COMPUTED_VALUE"""),43964)</f>
        <v>43964</v>
      </c>
      <c r="AO72" s="12">
        <f ca="1">IFERROR(VLOOKUP(AN72,koronahun!A:B,2,FALSE),"")</f>
        <v>3341</v>
      </c>
      <c r="AP72" s="11">
        <f t="shared" ca="1" si="0"/>
        <v>43964</v>
      </c>
      <c r="AQ72" s="11">
        <f ca="1">IFERROR(__xludf.DUMMYFUNCTION("""COMPUTED_VALUE"""),43964)</f>
        <v>43964</v>
      </c>
      <c r="AR72" s="11">
        <v>44627</v>
      </c>
      <c r="AS72" s="11">
        <f t="shared" si="1"/>
        <v>44627</v>
      </c>
      <c r="AT72" s="11">
        <f ca="1">IFERROR(__xludf.DUMMYFUNCTION("""COMPUTED_VALUE"""),44624)</f>
        <v>44624</v>
      </c>
    </row>
    <row r="73" spans="1:46" ht="13">
      <c r="A73" s="11">
        <v>44623</v>
      </c>
      <c r="B73">
        <f>IFERROR(VLOOKUP($A73,koronahun!$A:$AM,2,FALSE),"")</f>
        <v>1796982</v>
      </c>
      <c r="C73">
        <f>IFERROR(VLOOKUP($A73,koronahun!$A:$AM,3,FALSE),"")</f>
        <v>3862</v>
      </c>
      <c r="D73">
        <f>IFERROR(VLOOKUP($A73,koronahun!$A:$AM,4,FALSE),"")</f>
        <v>44211</v>
      </c>
      <c r="E73">
        <f>IFERROR(VLOOKUP($A73,koronahun!$A:$AM,5,FALSE),"")</f>
        <v>1610315</v>
      </c>
      <c r="F73">
        <f>IFERROR(VLOOKUP($A73,koronahun!$A:$AM,6,FALSE),"")</f>
        <v>10818978</v>
      </c>
      <c r="G73" s="12">
        <f>IFERROR(VLOOKUP($A73,koronahun!$A:$AM,7,FALSE),"")</f>
        <v>1103977.3469387754</v>
      </c>
      <c r="H73">
        <f>IFERROR(VLOOKUP($A73,koronahun!$A:$AM,8,FALSE),"")</f>
        <v>0</v>
      </c>
      <c r="I73" s="13">
        <f>IFERROR(VLOOKUP($A73,koronahun!$A:$AM,9,FALSE),"")</f>
        <v>2.1537878111894354E-3</v>
      </c>
      <c r="J73" s="13">
        <f>IFERROR(VLOOKUP($A73,koronahun!$A:$AM,10,FALSE),"")</f>
        <v>0.16609535577205167</v>
      </c>
      <c r="K73" s="13">
        <f>IFERROR(VLOOKUP($A73,koronahun!$A:$AM,11,FALSE),"")</f>
        <v>1.7152985819482371E-3</v>
      </c>
      <c r="L73">
        <f>IFERROR(VLOOKUP($A73,koronahun!$A:$AM,12,FALSE),"")</f>
        <v>142456</v>
      </c>
      <c r="M73" s="13">
        <f>IFERROR(VLOOKUP($A73,koronahun!$A:$AM,13,FALSE),"")</f>
        <v>2.4602917558439651E-2</v>
      </c>
      <c r="N73" s="13">
        <f>IFERROR(VLOOKUP($A73,koronahun!$A:$AM,14,FALSE),"")</f>
        <v>0.89612194223425723</v>
      </c>
      <c r="O73">
        <f>IFERROR(VLOOKUP($A73,koronahun!$A:$AM,15,FALSE),"")</f>
        <v>9646</v>
      </c>
      <c r="P73">
        <f>IFERROR(VLOOKUP($A73,koronahun!$A:$AM,16,FALSE),"")</f>
        <v>18526</v>
      </c>
      <c r="Q73" s="13">
        <f>IFERROR(VLOOKUP($A73,koronahun!$A:$AM,17,FALSE),"")</f>
        <v>0.20846378063262441</v>
      </c>
      <c r="R73">
        <f>IFERROR(VLOOKUP($A73,koronahun!$A:$AM,18,FALSE),"")</f>
        <v>77</v>
      </c>
      <c r="S73">
        <f>IFERROR(VLOOKUP($A73,koronahun!$A:$AM,19,FALSE),"")</f>
        <v>4231</v>
      </c>
      <c r="T73">
        <f>IFERROR(VLOOKUP($A73,koronahun!$A:$AM,20,FALSE),"")</f>
        <v>3120</v>
      </c>
      <c r="U73">
        <f>IFERROR(VLOOKUP($A73,koronahun!$A:$AM,21,FALSE),"")</f>
        <v>126</v>
      </c>
      <c r="V73" s="13">
        <f>IFERROR(VLOOKUP($A73,koronahun!$A:$AM,22,FALSE),"")</f>
        <v>7.9275140207303127E-2</v>
      </c>
      <c r="W73">
        <f>IFERROR(VLOOKUP($A73,koronahun!$A:$AM,23,FALSE),"")</f>
        <v>-193</v>
      </c>
      <c r="X73">
        <f>IFERROR(VLOOKUP($A73,koronahun!$A:$AM,24,FALSE),"")</f>
        <v>-7</v>
      </c>
      <c r="Y73" s="14">
        <f>IFERROR(VLOOKUP($A73,koronahun!$A:$AM,25,FALSE),"")</f>
        <v>2.1901499410344246E-2</v>
      </c>
      <c r="Z73" s="14">
        <f>IFERROR(VLOOKUP($A73,koronahun!$A:$AM,26,FALSE),"")</f>
        <v>4.0384615384615387E-2</v>
      </c>
      <c r="AA73" s="14">
        <f>IFERROR(VLOOKUP($A73,koronahun!$A:$AM,27,FALSE),"")</f>
        <v>0.62425836784954658</v>
      </c>
      <c r="AB73" s="14">
        <f>IFERROR(VLOOKUP($A73,koronahun!$A:$AM,28,FALSE),"")</f>
        <v>0.63798696274862932</v>
      </c>
      <c r="AC73" s="14">
        <f>IFERROR(VLOOKUP($A73,koronahun!$A:$AM,29,FALSE),"")</f>
        <v>3186.5714285714284</v>
      </c>
      <c r="AD73" s="14">
        <f>IFERROR(VLOOKUP($A73,koronahun!$A:$AM,30,FALSE),"")</f>
        <v>78.142857142857139</v>
      </c>
      <c r="AE73" s="14">
        <f>IFERROR(VLOOKUP($A73,koronahun!$A:$AM,31,FALSE),"")</f>
        <v>15385.571428571429</v>
      </c>
      <c r="AF73" s="13">
        <f>IFERROR(VLOOKUP($A73,koronahun!$A:$AM,32,FALSE),"")</f>
        <v>0.26509350779102309</v>
      </c>
      <c r="AG73">
        <f>IFERROR(VLOOKUP($A73,koronahun!$A:$AM,33,FALSE),"")</f>
        <v>6395509</v>
      </c>
      <c r="AH73">
        <f>IFERROR(VLOOKUP($A73,koronahun!$A:$AM,34,FALSE),"")</f>
        <v>424</v>
      </c>
      <c r="AI73">
        <f>IFERROR(VLOOKUP($A73,koronahun!$A:$AM,35,FALSE),"")</f>
        <v>988.2</v>
      </c>
      <c r="AJ73">
        <f>IFERROR(VLOOKUP($A73,koronahun!$A:$AM,36,FALSE),"")</f>
        <v>6171552</v>
      </c>
      <c r="AK73">
        <f>IFERROR(VLOOKUP($A73,koronahun!$A:$AM,37,FALSE),"")</f>
        <v>922</v>
      </c>
      <c r="AL73">
        <f>IFERROR(VLOOKUP($A73,koronahun!$A:$AM,38,FALSE),"")</f>
        <v>2110.4</v>
      </c>
      <c r="AM73" s="14">
        <f>IFERROR(VLOOKUP($A73,koronahun!$A:$AM,39,FALSE),"")</f>
        <v>7585.8571428571431</v>
      </c>
      <c r="AN73" s="11">
        <f ca="1">IFERROR(__xludf.DUMMYFUNCTION("""COMPUTED_VALUE"""),43965)</f>
        <v>43965</v>
      </c>
      <c r="AO73" s="12">
        <f ca="1">IFERROR(VLOOKUP(AN73,koronahun!A:B,2,FALSE),"")</f>
        <v>3380</v>
      </c>
      <c r="AP73" s="11">
        <f t="shared" ca="1" si="0"/>
        <v>43965</v>
      </c>
      <c r="AQ73" s="11">
        <f ca="1">IFERROR(__xludf.DUMMYFUNCTION("""COMPUTED_VALUE"""),43965)</f>
        <v>43965</v>
      </c>
      <c r="AR73" s="11">
        <v>44624</v>
      </c>
      <c r="AS73" s="11">
        <f t="shared" si="1"/>
        <v>44624</v>
      </c>
      <c r="AT73" s="11">
        <f ca="1">IFERROR(__xludf.DUMMYFUNCTION("""COMPUTED_VALUE"""),44623)</f>
        <v>44623</v>
      </c>
    </row>
    <row r="74" spans="1:46" ht="13">
      <c r="A74" s="11">
        <v>44622</v>
      </c>
      <c r="B74">
        <f>IFERROR(VLOOKUP($A74,koronahun!$A:$AM,2,FALSE),"")</f>
        <v>1793120</v>
      </c>
      <c r="C74">
        <f>IFERROR(VLOOKUP($A74,koronahun!$A:$AM,3,FALSE),"")</f>
        <v>3539</v>
      </c>
      <c r="D74">
        <f>IFERROR(VLOOKUP($A74,koronahun!$A:$AM,4,FALSE),"")</f>
        <v>44134</v>
      </c>
      <c r="E74">
        <f>IFERROR(VLOOKUP($A74,koronahun!$A:$AM,5,FALSE),"")</f>
        <v>1606084</v>
      </c>
      <c r="F74">
        <f>IFERROR(VLOOKUP($A74,koronahun!$A:$AM,6,FALSE),"")</f>
        <v>10800452</v>
      </c>
      <c r="G74" s="12">
        <f>IFERROR(VLOOKUP($A74,koronahun!$A:$AM,7,FALSE),"")</f>
        <v>1102086.9387755101</v>
      </c>
      <c r="H74">
        <f>IFERROR(VLOOKUP($A74,koronahun!$A:$AM,8,FALSE),"")</f>
        <v>0</v>
      </c>
      <c r="I74" s="13">
        <f>IFERROR(VLOOKUP($A74,koronahun!$A:$AM,9,FALSE),"")</f>
        <v>1.9775578752791855E-3</v>
      </c>
      <c r="J74" s="13">
        <f>IFERROR(VLOOKUP($A74,koronahun!$A:$AM,10,FALSE),"")</f>
        <v>0.16602268127296896</v>
      </c>
      <c r="K74" s="13">
        <f>IFERROR(VLOOKUP($A74,koronahun!$A:$AM,11,FALSE),"")</f>
        <v>9.8546602125577833E-4</v>
      </c>
      <c r="L74">
        <f>IFERROR(VLOOKUP($A74,koronahun!$A:$AM,12,FALSE),"")</f>
        <v>142902</v>
      </c>
      <c r="M74" s="13">
        <f>IFERROR(VLOOKUP($A74,koronahun!$A:$AM,13,FALSE),"")</f>
        <v>2.4612965111091283E-2</v>
      </c>
      <c r="N74" s="13">
        <f>IFERROR(VLOOKUP($A74,koronahun!$A:$AM,14,FALSE),"")</f>
        <v>0.89569242437762109</v>
      </c>
      <c r="O74">
        <f>IFERROR(VLOOKUP($A74,koronahun!$A:$AM,15,FALSE),"")</f>
        <v>9800</v>
      </c>
      <c r="P74">
        <f>IFERROR(VLOOKUP($A74,koronahun!$A:$AM,16,FALSE),"")</f>
        <v>10633</v>
      </c>
      <c r="Q74" s="13">
        <f>IFERROR(VLOOKUP($A74,koronahun!$A:$AM,17,FALSE),"")</f>
        <v>0.33283175021160538</v>
      </c>
      <c r="R74">
        <f>IFERROR(VLOOKUP($A74,koronahun!$A:$AM,18,FALSE),"")</f>
        <v>83</v>
      </c>
      <c r="S74">
        <f>IFERROR(VLOOKUP($A74,koronahun!$A:$AM,19,FALSE),"")</f>
        <v>11076</v>
      </c>
      <c r="T74">
        <f>IFERROR(VLOOKUP($A74,koronahun!$A:$AM,20,FALSE),"")</f>
        <v>3313</v>
      </c>
      <c r="U74">
        <f>IFERROR(VLOOKUP($A74,koronahun!$A:$AM,21,FALSE),"")</f>
        <v>133</v>
      </c>
      <c r="V74" s="13">
        <f>IFERROR(VLOOKUP($A74,koronahun!$A:$AM,22,FALSE),"")</f>
        <v>7.9694610511287595E-2</v>
      </c>
      <c r="W74">
        <f>IFERROR(VLOOKUP($A74,koronahun!$A:$AM,23,FALSE),"")</f>
        <v>-297</v>
      </c>
      <c r="X74">
        <f>IFERROR(VLOOKUP($A74,koronahun!$A:$AM,24,FALSE),"")</f>
        <v>-3</v>
      </c>
      <c r="Y74" s="14">
        <f>IFERROR(VLOOKUP($A74,koronahun!$A:$AM,25,FALSE),"")</f>
        <v>2.3183720311822087E-2</v>
      </c>
      <c r="Z74" s="14">
        <f>IFERROR(VLOOKUP($A74,koronahun!$A:$AM,26,FALSE),"")</f>
        <v>4.0144883791125865E-2</v>
      </c>
      <c r="AA74" s="14">
        <f>IFERROR(VLOOKUP($A74,koronahun!$A:$AM,27,FALSE),"")</f>
        <v>0.6174545079643281</v>
      </c>
      <c r="AB74" s="14">
        <f>IFERROR(VLOOKUP($A74,koronahun!$A:$AM,28,FALSE),"")</f>
        <v>0.64423302912588765</v>
      </c>
      <c r="AC74" s="14">
        <f>IFERROR(VLOOKUP($A74,koronahun!$A:$AM,29,FALSE),"")</f>
        <v>3422.2857142857142</v>
      </c>
      <c r="AD74" s="14">
        <f>IFERROR(VLOOKUP($A74,koronahun!$A:$AM,30,FALSE),"")</f>
        <v>81.714285714285708</v>
      </c>
      <c r="AE74" s="14">
        <f>IFERROR(VLOOKUP($A74,koronahun!$A:$AM,31,FALSE),"")</f>
        <v>16301.714285714286</v>
      </c>
      <c r="AF74" s="13">
        <f>IFERROR(VLOOKUP($A74,koronahun!$A:$AM,32,FALSE),"")</f>
        <v>0.26760460907658368</v>
      </c>
      <c r="AG74">
        <f>IFERROR(VLOOKUP($A74,koronahun!$A:$AM,33,FALSE),"")</f>
        <v>6395085</v>
      </c>
      <c r="AH74">
        <f>IFERROR(VLOOKUP($A74,koronahun!$A:$AM,34,FALSE),"")</f>
        <v>303</v>
      </c>
      <c r="AI74">
        <f>IFERROR(VLOOKUP($A74,koronahun!$A:$AM,35,FALSE),"")</f>
        <v>997</v>
      </c>
      <c r="AJ74">
        <f>IFERROR(VLOOKUP($A74,koronahun!$A:$AM,36,FALSE),"")</f>
        <v>6170630</v>
      </c>
      <c r="AK74">
        <f>IFERROR(VLOOKUP($A74,koronahun!$A:$AM,37,FALSE),"")</f>
        <v>635</v>
      </c>
      <c r="AL74">
        <f>IFERROR(VLOOKUP($A74,koronahun!$A:$AM,38,FALSE),"")</f>
        <v>2217.4</v>
      </c>
      <c r="AM74" s="14">
        <f>IFERROR(VLOOKUP($A74,koronahun!$A:$AM,39,FALSE),"")</f>
        <v>8458.8571428571431</v>
      </c>
      <c r="AN74" s="11">
        <f ca="1">IFERROR(__xludf.DUMMYFUNCTION("""COMPUTED_VALUE"""),43966)</f>
        <v>43966</v>
      </c>
      <c r="AO74" s="12">
        <f ca="1">IFERROR(VLOOKUP(AN74,koronahun!A:B,2,FALSE),"")</f>
        <v>3417</v>
      </c>
      <c r="AP74" s="11">
        <f t="shared" ca="1" si="0"/>
        <v>43966</v>
      </c>
      <c r="AQ74" s="11">
        <f ca="1">IFERROR(__xludf.DUMMYFUNCTION("""COMPUTED_VALUE"""),43966)</f>
        <v>43966</v>
      </c>
      <c r="AR74" s="11">
        <v>44623</v>
      </c>
      <c r="AS74" s="11">
        <f t="shared" si="1"/>
        <v>44623</v>
      </c>
      <c r="AT74" s="11">
        <f ca="1">IFERROR(__xludf.DUMMYFUNCTION("""COMPUTED_VALUE"""),44622)</f>
        <v>44622</v>
      </c>
    </row>
    <row r="75" spans="1:46" ht="13">
      <c r="A75" s="11">
        <v>44621</v>
      </c>
      <c r="B75">
        <f>IFERROR(VLOOKUP($A75,koronahun!$A:$AM,2,FALSE),"")</f>
        <v>1789581</v>
      </c>
      <c r="C75">
        <f>IFERROR(VLOOKUP($A75,koronahun!$A:$AM,3,FALSE),"")</f>
        <v>2037</v>
      </c>
      <c r="D75">
        <f>IFERROR(VLOOKUP($A75,koronahun!$A:$AM,4,FALSE),"")</f>
        <v>44051</v>
      </c>
      <c r="E75">
        <f>IFERROR(VLOOKUP($A75,koronahun!$A:$AM,5,FALSE),"")</f>
        <v>1595008</v>
      </c>
      <c r="F75">
        <f>IFERROR(VLOOKUP($A75,koronahun!$A:$AM,6,FALSE),"")</f>
        <v>10789819</v>
      </c>
      <c r="G75" s="12">
        <f>IFERROR(VLOOKUP($A75,koronahun!$A:$AM,7,FALSE),"")</f>
        <v>1101001.9387755101</v>
      </c>
      <c r="H75">
        <f>IFERROR(VLOOKUP($A75,koronahun!$A:$AM,8,FALSE),"")</f>
        <v>0</v>
      </c>
      <c r="I75" s="13">
        <f>IFERROR(VLOOKUP($A75,koronahun!$A:$AM,9,FALSE),"")</f>
        <v>1.1395523690605658E-3</v>
      </c>
      <c r="J75" s="13">
        <f>IFERROR(VLOOKUP($A75,koronahun!$A:$AM,10,FALSE),"")</f>
        <v>0.16585829660349261</v>
      </c>
      <c r="K75" s="13">
        <f>IFERROR(VLOOKUP($A75,koronahun!$A:$AM,11,FALSE),"")</f>
        <v>4.480302108848161E-4</v>
      </c>
      <c r="L75">
        <f>IFERROR(VLOOKUP($A75,koronahun!$A:$AM,12,FALSE),"")</f>
        <v>150522</v>
      </c>
      <c r="M75" s="13">
        <f>IFERROR(VLOOKUP($A75,koronahun!$A:$AM,13,FALSE),"")</f>
        <v>2.4615259102549702E-2</v>
      </c>
      <c r="N75" s="13">
        <f>IFERROR(VLOOKUP($A75,koronahun!$A:$AM,14,FALSE),"")</f>
        <v>0.89127454974097287</v>
      </c>
      <c r="O75">
        <f>IFERROR(VLOOKUP($A75,koronahun!$A:$AM,15,FALSE),"")</f>
        <v>10799</v>
      </c>
      <c r="P75">
        <f>IFERROR(VLOOKUP($A75,koronahun!$A:$AM,16,FALSE),"")</f>
        <v>4832</v>
      </c>
      <c r="Q75" s="13">
        <f>IFERROR(VLOOKUP($A75,koronahun!$A:$AM,17,FALSE),"")</f>
        <v>0.42156456953642385</v>
      </c>
      <c r="R75">
        <f>IFERROR(VLOOKUP($A75,koronahun!$A:$AM,18,FALSE),"")</f>
        <v>102</v>
      </c>
      <c r="S75">
        <f>IFERROR(VLOOKUP($A75,koronahun!$A:$AM,19,FALSE),"")</f>
        <v>6165</v>
      </c>
      <c r="T75">
        <f>IFERROR(VLOOKUP($A75,koronahun!$A:$AM,20,FALSE),"")</f>
        <v>3610</v>
      </c>
      <c r="U75">
        <f>IFERROR(VLOOKUP($A75,koronahun!$A:$AM,21,FALSE),"")</f>
        <v>136</v>
      </c>
      <c r="V75" s="13">
        <f>IFERROR(VLOOKUP($A75,koronahun!$A:$AM,22,FALSE),"")</f>
        <v>8.4110191156477415E-2</v>
      </c>
      <c r="W75">
        <f>IFERROR(VLOOKUP($A75,koronahun!$A:$AM,23,FALSE),"")</f>
        <v>-5</v>
      </c>
      <c r="X75">
        <f>IFERROR(VLOOKUP($A75,koronahun!$A:$AM,24,FALSE),"")</f>
        <v>4</v>
      </c>
      <c r="Y75" s="14">
        <f>IFERROR(VLOOKUP($A75,koronahun!$A:$AM,25,FALSE),"")</f>
        <v>2.3983205112873867E-2</v>
      </c>
      <c r="Z75" s="14">
        <f>IFERROR(VLOOKUP($A75,koronahun!$A:$AM,26,FALSE),"")</f>
        <v>3.7673130193905814E-2</v>
      </c>
      <c r="AA75" s="14">
        <f>IFERROR(VLOOKUP($A75,koronahun!$A:$AM,27,FALSE),"")</f>
        <v>0.6450779079598985</v>
      </c>
      <c r="AB75" s="14">
        <f>IFERROR(VLOOKUP($A75,koronahun!$A:$AM,28,FALSE),"")</f>
        <v>0.65266548563159565</v>
      </c>
      <c r="AC75" s="14">
        <f>IFERROR(VLOOKUP($A75,koronahun!$A:$AM,29,FALSE),"")</f>
        <v>3814.7142857142858</v>
      </c>
      <c r="AD75" s="14">
        <f>IFERROR(VLOOKUP($A75,koronahun!$A:$AM,30,FALSE),"")</f>
        <v>88.714285714285708</v>
      </c>
      <c r="AE75" s="14">
        <f>IFERROR(VLOOKUP($A75,koronahun!$A:$AM,31,FALSE),"")</f>
        <v>17252.714285714286</v>
      </c>
      <c r="AF75" s="13">
        <f>IFERROR(VLOOKUP($A75,koronahun!$A:$AM,32,FALSE),"")</f>
        <v>0.27375080964155007</v>
      </c>
      <c r="AG75">
        <f>IFERROR(VLOOKUP($A75,koronahun!$A:$AM,33,FALSE),"")</f>
        <v>6394782</v>
      </c>
      <c r="AH75">
        <f>IFERROR(VLOOKUP($A75,koronahun!$A:$AM,34,FALSE),"")</f>
        <v>403</v>
      </c>
      <c r="AI75">
        <f>IFERROR(VLOOKUP($A75,koronahun!$A:$AM,35,FALSE),"")</f>
        <v>1014.2</v>
      </c>
      <c r="AJ75">
        <f>IFERROR(VLOOKUP($A75,koronahun!$A:$AM,36,FALSE),"")</f>
        <v>6169995</v>
      </c>
      <c r="AK75">
        <f>IFERROR(VLOOKUP($A75,koronahun!$A:$AM,37,FALSE),"")</f>
        <v>1069</v>
      </c>
      <c r="AL75">
        <f>IFERROR(VLOOKUP($A75,koronahun!$A:$AM,38,FALSE),"")</f>
        <v>2362.1999999999998</v>
      </c>
      <c r="AM75" s="14">
        <f>IFERROR(VLOOKUP($A75,koronahun!$A:$AM,39,FALSE),"")</f>
        <v>8507.4285714285706</v>
      </c>
      <c r="AN75" s="11">
        <f ca="1">IFERROR(__xludf.DUMMYFUNCTION("""COMPUTED_VALUE"""),43967)</f>
        <v>43967</v>
      </c>
      <c r="AO75" s="12">
        <f ca="1">IFERROR(VLOOKUP(AN75,koronahun!A:B,2,FALSE),"")</f>
        <v>3473</v>
      </c>
      <c r="AP75" s="11">
        <f t="shared" ca="1" si="0"/>
        <v>43967</v>
      </c>
      <c r="AQ75" s="11">
        <f ca="1">IFERROR(__xludf.DUMMYFUNCTION("""COMPUTED_VALUE"""),43967)</f>
        <v>43967</v>
      </c>
      <c r="AR75" s="11">
        <v>44622</v>
      </c>
      <c r="AS75" s="11">
        <f t="shared" si="1"/>
        <v>44622</v>
      </c>
      <c r="AT75" s="11">
        <f ca="1">IFERROR(__xludf.DUMMYFUNCTION("""COMPUTED_VALUE"""),44621)</f>
        <v>44621</v>
      </c>
    </row>
    <row r="76" spans="1:46" ht="13">
      <c r="A76" s="11">
        <v>44620</v>
      </c>
      <c r="B76">
        <f>IFERROR(VLOOKUP($A76,koronahun!$A:$AM,2,FALSE),"")</f>
        <v>1787544</v>
      </c>
      <c r="C76">
        <f>IFERROR(VLOOKUP($A76,koronahun!$A:$AM,3,FALSE),"")</f>
        <v>8370</v>
      </c>
      <c r="D76">
        <f>IFERROR(VLOOKUP($A76,koronahun!$A:$AM,4,FALSE),"")</f>
        <v>43949</v>
      </c>
      <c r="E76">
        <f>IFERROR(VLOOKUP($A76,koronahun!$A:$AM,5,FALSE),"")</f>
        <v>1588843</v>
      </c>
      <c r="F76">
        <f>IFERROR(VLOOKUP($A76,koronahun!$A:$AM,6,FALSE),"")</f>
        <v>10784987</v>
      </c>
      <c r="G76" s="12">
        <f>IFERROR(VLOOKUP($A76,koronahun!$A:$AM,7,FALSE),"")</f>
        <v>1100508.8775510204</v>
      </c>
      <c r="H76">
        <f>IFERROR(VLOOKUP($A76,koronahun!$A:$AM,8,FALSE),"")</f>
        <v>0</v>
      </c>
      <c r="I76" s="13">
        <f>IFERROR(VLOOKUP($A76,koronahun!$A:$AM,9,FALSE),"")</f>
        <v>4.7044302580860559E-3</v>
      </c>
      <c r="J76" s="13">
        <f>IFERROR(VLOOKUP($A76,koronahun!$A:$AM,10,FALSE),"")</f>
        <v>0.16574373246810589</v>
      </c>
      <c r="K76" s="13">
        <f>IFERROR(VLOOKUP($A76,koronahun!$A:$AM,11,FALSE),"")</f>
        <v>4.7581902331423776E-3</v>
      </c>
      <c r="L76">
        <f>IFERROR(VLOOKUP($A76,koronahun!$A:$AM,12,FALSE),"")</f>
        <v>154752</v>
      </c>
      <c r="M76" s="13">
        <f>IFERROR(VLOOKUP($A76,koronahun!$A:$AM,13,FALSE),"")</f>
        <v>2.4586247946903686E-2</v>
      </c>
      <c r="N76" s="13">
        <f>IFERROR(VLOOKUP($A76,koronahun!$A:$AM,14,FALSE),"")</f>
        <v>0.88884133761182937</v>
      </c>
      <c r="O76">
        <f>IFERROR(VLOOKUP($A76,koronahun!$A:$AM,15,FALSE),"")</f>
        <v>11624</v>
      </c>
      <c r="P76">
        <f>IFERROR(VLOOKUP($A76,koronahun!$A:$AM,16,FALSE),"")</f>
        <v>51074</v>
      </c>
      <c r="Q76" s="13">
        <f>IFERROR(VLOOKUP($A76,koronahun!$A:$AM,17,FALSE),"")</f>
        <v>0.1638798605944316</v>
      </c>
      <c r="R76">
        <f>IFERROR(VLOOKUP($A76,koronahun!$A:$AM,18,FALSE),"")</f>
        <v>197</v>
      </c>
      <c r="S76">
        <f>IFERROR(VLOOKUP($A76,koronahun!$A:$AM,19,FALSE),"")</f>
        <v>22334</v>
      </c>
      <c r="T76">
        <f>IFERROR(VLOOKUP($A76,koronahun!$A:$AM,20,FALSE),"")</f>
        <v>3615</v>
      </c>
      <c r="U76">
        <f>IFERROR(VLOOKUP($A76,koronahun!$A:$AM,21,FALSE),"")</f>
        <v>132</v>
      </c>
      <c r="V76" s="13">
        <f>IFERROR(VLOOKUP($A76,koronahun!$A:$AM,22,FALSE),"")</f>
        <v>8.6572414441266898E-2</v>
      </c>
      <c r="W76">
        <f>IFERROR(VLOOKUP($A76,koronahun!$A:$AM,23,FALSE),"")</f>
        <v>-382</v>
      </c>
      <c r="X76">
        <f>IFERROR(VLOOKUP($A76,koronahun!$A:$AM,24,FALSE),"")</f>
        <v>-16</v>
      </c>
      <c r="Y76" s="14">
        <f>IFERROR(VLOOKUP($A76,koronahun!$A:$AM,25,FALSE),"")</f>
        <v>2.3359956575682381E-2</v>
      </c>
      <c r="Z76" s="14">
        <f>IFERROR(VLOOKUP($A76,koronahun!$A:$AM,26,FALSE),"")</f>
        <v>3.6514522821576766E-2</v>
      </c>
      <c r="AA76" s="14">
        <f>IFERROR(VLOOKUP($A76,koronahun!$A:$AM,27,FALSE),"")</f>
        <v>0.65376762959660195</v>
      </c>
      <c r="AB76" s="14">
        <f>IFERROR(VLOOKUP($A76,koronahun!$A:$AM,28,FALSE),"")</f>
        <v>0.65327663417051096</v>
      </c>
      <c r="AC76" s="14">
        <f>IFERROR(VLOOKUP($A76,koronahun!$A:$AM,29,FALSE),"")</f>
        <v>3979.8571428571427</v>
      </c>
      <c r="AD76" s="14">
        <f>IFERROR(VLOOKUP($A76,koronahun!$A:$AM,30,FALSE),"")</f>
        <v>92.857142857142861</v>
      </c>
      <c r="AE76" s="14">
        <f>IFERROR(VLOOKUP($A76,koronahun!$A:$AM,31,FALSE),"")</f>
        <v>17452.142857142859</v>
      </c>
      <c r="AF76" s="13">
        <f>IFERROR(VLOOKUP($A76,koronahun!$A:$AM,32,FALSE),"")</f>
        <v>0.29197482572784267</v>
      </c>
      <c r="AG76">
        <f>IFERROR(VLOOKUP($A76,koronahun!$A:$AM,33,FALSE),"")</f>
        <v>6394379</v>
      </c>
      <c r="AH76">
        <f>IFERROR(VLOOKUP($A76,koronahun!$A:$AM,34,FALSE),"")</f>
        <v>2439</v>
      </c>
      <c r="AI76">
        <f>IFERROR(VLOOKUP($A76,koronahun!$A:$AM,35,FALSE),"")</f>
        <v>1008.6</v>
      </c>
      <c r="AJ76">
        <f>IFERROR(VLOOKUP($A76,koronahun!$A:$AM,36,FALSE),"")</f>
        <v>6168926</v>
      </c>
      <c r="AK76">
        <f>IFERROR(VLOOKUP($A76,koronahun!$A:$AM,37,FALSE),"")</f>
        <v>5226</v>
      </c>
      <c r="AL76">
        <f>IFERROR(VLOOKUP($A76,koronahun!$A:$AM,38,FALSE),"")</f>
        <v>2455.4</v>
      </c>
      <c r="AM76" s="14">
        <f>IFERROR(VLOOKUP($A76,koronahun!$A:$AM,39,FALSE),"")</f>
        <v>8859.5714285714294</v>
      </c>
      <c r="AN76" s="11">
        <f ca="1">IFERROR(__xludf.DUMMYFUNCTION("""COMPUTED_VALUE"""),43968)</f>
        <v>43968</v>
      </c>
      <c r="AO76" s="12">
        <f ca="1">IFERROR(VLOOKUP(AN76,koronahun!A:B,2,FALSE),"")</f>
        <v>3509</v>
      </c>
      <c r="AP76" s="11">
        <f t="shared" ca="1" si="0"/>
        <v>43968</v>
      </c>
      <c r="AQ76" s="11">
        <f ca="1">IFERROR(__xludf.DUMMYFUNCTION("""COMPUTED_VALUE"""),43968)</f>
        <v>43968</v>
      </c>
      <c r="AR76" s="11">
        <v>44621</v>
      </c>
      <c r="AS76" s="11">
        <f t="shared" si="1"/>
        <v>44621</v>
      </c>
      <c r="AT76" s="11">
        <f ca="1">IFERROR(__xludf.DUMMYFUNCTION("""COMPUTED_VALUE"""),44620)</f>
        <v>44620</v>
      </c>
    </row>
    <row r="77" spans="1:46" ht="13">
      <c r="A77" s="11">
        <v>44617</v>
      </c>
      <c r="B77">
        <f>IFERROR(VLOOKUP($A77,koronahun!$A:$AM,2,FALSE),"")</f>
        <v>1779174</v>
      </c>
      <c r="C77">
        <f>IFERROR(VLOOKUP($A77,koronahun!$A:$AM,3,FALSE),"")</f>
        <v>4498</v>
      </c>
      <c r="D77">
        <f>IFERROR(VLOOKUP($A77,koronahun!$A:$AM,4,FALSE),"")</f>
        <v>43752</v>
      </c>
      <c r="E77">
        <f>IFERROR(VLOOKUP($A77,koronahun!$A:$AM,5,FALSE),"")</f>
        <v>1566509</v>
      </c>
      <c r="F77">
        <f>IFERROR(VLOOKUP($A77,koronahun!$A:$AM,6,FALSE),"")</f>
        <v>10733913</v>
      </c>
      <c r="G77" s="12">
        <f>IFERROR(VLOOKUP($A77,koronahun!$A:$AM,7,FALSE),"")</f>
        <v>1095297.2448979591</v>
      </c>
      <c r="H77">
        <f>IFERROR(VLOOKUP($A77,koronahun!$A:$AM,8,FALSE),"")</f>
        <v>0</v>
      </c>
      <c r="I77" s="13">
        <f>IFERROR(VLOOKUP($A77,koronahun!$A:$AM,9,FALSE),"")</f>
        <v>2.5345471511419551E-3</v>
      </c>
      <c r="J77" s="13">
        <f>IFERROR(VLOOKUP($A77,koronahun!$A:$AM,10,FALSE),"")</f>
        <v>0.16575260112505105</v>
      </c>
      <c r="K77" s="13">
        <f>IFERROR(VLOOKUP($A77,koronahun!$A:$AM,11,FALSE),"")</f>
        <v>2.1130996587802446E-3</v>
      </c>
      <c r="L77">
        <f>IFERROR(VLOOKUP($A77,koronahun!$A:$AM,12,FALSE),"")</f>
        <v>168913</v>
      </c>
      <c r="M77" s="13">
        <f>IFERROR(VLOOKUP($A77,koronahun!$A:$AM,13,FALSE),"")</f>
        <v>2.4591186696748042E-2</v>
      </c>
      <c r="N77" s="13">
        <f>IFERROR(VLOOKUP($A77,koronahun!$A:$AM,14,FALSE),"")</f>
        <v>0.88046981352020659</v>
      </c>
      <c r="O77">
        <f>IFERROR(VLOOKUP($A77,koronahun!$A:$AM,15,FALSE),"")</f>
        <v>14999</v>
      </c>
      <c r="P77">
        <f>IFERROR(VLOOKUP($A77,koronahun!$A:$AM,16,FALSE),"")</f>
        <v>22634</v>
      </c>
      <c r="Q77" s="13">
        <f>IFERROR(VLOOKUP($A77,koronahun!$A:$AM,17,FALSE),"")</f>
        <v>0.19872757798003005</v>
      </c>
      <c r="R77">
        <f>IFERROR(VLOOKUP($A77,koronahun!$A:$AM,18,FALSE),"")</f>
        <v>88</v>
      </c>
      <c r="S77">
        <f>IFERROR(VLOOKUP($A77,koronahun!$A:$AM,19,FALSE),"")</f>
        <v>9295</v>
      </c>
      <c r="T77">
        <f>IFERROR(VLOOKUP($A77,koronahun!$A:$AM,20,FALSE),"")</f>
        <v>3997</v>
      </c>
      <c r="U77">
        <f>IFERROR(VLOOKUP($A77,koronahun!$A:$AM,21,FALSE),"")</f>
        <v>148</v>
      </c>
      <c r="V77" s="13">
        <f>IFERROR(VLOOKUP($A77,koronahun!$A:$AM,22,FALSE),"")</f>
        <v>9.4938999783045389E-2</v>
      </c>
      <c r="W77">
        <f>IFERROR(VLOOKUP($A77,koronahun!$A:$AM,23,FALSE),"")</f>
        <v>-202</v>
      </c>
      <c r="X77">
        <f>IFERROR(VLOOKUP($A77,koronahun!$A:$AM,24,FALSE),"")</f>
        <v>-17</v>
      </c>
      <c r="Y77" s="14">
        <f>IFERROR(VLOOKUP($A77,koronahun!$A:$AM,25,FALSE),"")</f>
        <v>2.3663069153943155E-2</v>
      </c>
      <c r="Z77" s="14">
        <f>IFERROR(VLOOKUP($A77,koronahun!$A:$AM,26,FALSE),"")</f>
        <v>3.7027770828121094E-2</v>
      </c>
      <c r="AA77" s="14">
        <f>IFERROR(VLOOKUP($A77,koronahun!$A:$AM,27,FALSE),"")</f>
        <v>0.64937640037277178</v>
      </c>
      <c r="AB77" s="14">
        <f>IFERROR(VLOOKUP($A77,koronahun!$A:$AM,28,FALSE),"")</f>
        <v>0.65066323755505451</v>
      </c>
      <c r="AC77" s="14">
        <f>IFERROR(VLOOKUP($A77,koronahun!$A:$AM,29,FALSE),"")</f>
        <v>4678.5714285714284</v>
      </c>
      <c r="AD77" s="14">
        <f>IFERROR(VLOOKUP($A77,koronahun!$A:$AM,30,FALSE),"")</f>
        <v>98</v>
      </c>
      <c r="AE77" s="14">
        <f>IFERROR(VLOOKUP($A77,koronahun!$A:$AM,31,FALSE),"")</f>
        <v>19551.857142857141</v>
      </c>
      <c r="AF77" s="13">
        <f>IFERROR(VLOOKUP($A77,koronahun!$A:$AM,32,FALSE),"")</f>
        <v>0.29952300370322138</v>
      </c>
      <c r="AG77">
        <f>IFERROR(VLOOKUP($A77,koronahun!$A:$AM,33,FALSE),"")</f>
        <v>6391940</v>
      </c>
      <c r="AH77">
        <f>IFERROR(VLOOKUP($A77,koronahun!$A:$AM,34,FALSE),"")</f>
        <v>1372</v>
      </c>
      <c r="AI77">
        <f>IFERROR(VLOOKUP($A77,koronahun!$A:$AM,35,FALSE),"")</f>
        <v>1104.8</v>
      </c>
      <c r="AJ77">
        <f>IFERROR(VLOOKUP($A77,koronahun!$A:$AM,36,FALSE),"")</f>
        <v>6163700</v>
      </c>
      <c r="AK77">
        <f>IFERROR(VLOOKUP($A77,koronahun!$A:$AM,37,FALSE),"")</f>
        <v>2700</v>
      </c>
      <c r="AL77">
        <f>IFERROR(VLOOKUP($A77,koronahun!$A:$AM,38,FALSE),"")</f>
        <v>2873.2</v>
      </c>
      <c r="AM77" s="14">
        <f>IFERROR(VLOOKUP($A77,koronahun!$A:$AM,39,FALSE),"")</f>
        <v>8922</v>
      </c>
      <c r="AN77" s="11">
        <f ca="1">IFERROR(__xludf.DUMMYFUNCTION("""COMPUTED_VALUE"""),43969)</f>
        <v>43969</v>
      </c>
      <c r="AO77" s="12">
        <f ca="1">IFERROR(VLOOKUP(AN77,koronahun!A:B,2,FALSE),"")</f>
        <v>3535</v>
      </c>
      <c r="AP77" s="11">
        <f t="shared" ca="1" si="0"/>
        <v>43969</v>
      </c>
      <c r="AQ77" s="11">
        <f ca="1">IFERROR(__xludf.DUMMYFUNCTION("""COMPUTED_VALUE"""),43969)</f>
        <v>43969</v>
      </c>
      <c r="AR77" s="11">
        <v>44620</v>
      </c>
      <c r="AS77" s="11">
        <f t="shared" si="1"/>
        <v>44620</v>
      </c>
      <c r="AT77" s="11">
        <f ca="1">IFERROR(__xludf.DUMMYFUNCTION("""COMPUTED_VALUE"""),44617)</f>
        <v>44617</v>
      </c>
    </row>
    <row r="78" spans="1:46" ht="13">
      <c r="A78" s="11">
        <v>44616</v>
      </c>
      <c r="B78">
        <f>IFERROR(VLOOKUP($A78,koronahun!$A:$AM,2,FALSE),"")</f>
        <v>1774676</v>
      </c>
      <c r="C78">
        <f>IFERROR(VLOOKUP($A78,koronahun!$A:$AM,3,FALSE),"")</f>
        <v>5512</v>
      </c>
      <c r="D78">
        <f>IFERROR(VLOOKUP($A78,koronahun!$A:$AM,4,FALSE),"")</f>
        <v>43664</v>
      </c>
      <c r="E78">
        <f>IFERROR(VLOOKUP($A78,koronahun!$A:$AM,5,FALSE),"")</f>
        <v>1557214</v>
      </c>
      <c r="F78">
        <f>IFERROR(VLOOKUP($A78,koronahun!$A:$AM,6,FALSE),"")</f>
        <v>10711279</v>
      </c>
      <c r="G78" s="12">
        <f>IFERROR(VLOOKUP($A78,koronahun!$A:$AM,7,FALSE),"")</f>
        <v>1092987.6530612244</v>
      </c>
      <c r="H78">
        <f>IFERROR(VLOOKUP($A78,koronahun!$A:$AM,8,FALSE),"")</f>
        <v>0</v>
      </c>
      <c r="I78" s="13">
        <f>IFERROR(VLOOKUP($A78,koronahun!$A:$AM,9,FALSE),"")</f>
        <v>3.1155958407473811E-3</v>
      </c>
      <c r="J78" s="13">
        <f>IFERROR(VLOOKUP($A78,koronahun!$A:$AM,10,FALSE),"")</f>
        <v>0.16568292171271051</v>
      </c>
      <c r="K78" s="13">
        <f>IFERROR(VLOOKUP($A78,koronahun!$A:$AM,11,FALSE),"")</f>
        <v>2.3337269822970258E-3</v>
      </c>
      <c r="L78">
        <f>IFERROR(VLOOKUP($A78,koronahun!$A:$AM,12,FALSE),"")</f>
        <v>173798</v>
      </c>
      <c r="M78" s="13">
        <f>IFERROR(VLOOKUP($A78,koronahun!$A:$AM,13,FALSE),"")</f>
        <v>2.4603927702859563E-2</v>
      </c>
      <c r="N78" s="13">
        <f>IFERROR(VLOOKUP($A78,koronahun!$A:$AM,14,FALSE),"")</f>
        <v>0.8774638300174229</v>
      </c>
      <c r="O78">
        <f>IFERROR(VLOOKUP($A78,koronahun!$A:$AM,15,FALSE),"")</f>
        <v>14566</v>
      </c>
      <c r="P78">
        <f>IFERROR(VLOOKUP($A78,koronahun!$A:$AM,16,FALSE),"")</f>
        <v>24939</v>
      </c>
      <c r="Q78" s="13">
        <f>IFERROR(VLOOKUP($A78,koronahun!$A:$AM,17,FALSE),"")</f>
        <v>0.22101928706042745</v>
      </c>
      <c r="R78">
        <f>IFERROR(VLOOKUP($A78,koronahun!$A:$AM,18,FALSE),"")</f>
        <v>102</v>
      </c>
      <c r="S78">
        <f>IFERROR(VLOOKUP($A78,koronahun!$A:$AM,19,FALSE),"")</f>
        <v>10342</v>
      </c>
      <c r="T78">
        <f>IFERROR(VLOOKUP($A78,koronahun!$A:$AM,20,FALSE),"")</f>
        <v>4199</v>
      </c>
      <c r="U78">
        <f>IFERROR(VLOOKUP($A78,koronahun!$A:$AM,21,FALSE),"")</f>
        <v>165</v>
      </c>
      <c r="V78" s="13">
        <f>IFERROR(VLOOKUP($A78,koronahun!$A:$AM,22,FALSE),"")</f>
        <v>9.7932242279717543E-2</v>
      </c>
      <c r="W78">
        <f>IFERROR(VLOOKUP($A78,koronahun!$A:$AM,23,FALSE),"")</f>
        <v>-264</v>
      </c>
      <c r="X78">
        <f>IFERROR(VLOOKUP($A78,koronahun!$A:$AM,24,FALSE),"")</f>
        <v>-5</v>
      </c>
      <c r="Y78" s="14">
        <f>IFERROR(VLOOKUP($A78,koronahun!$A:$AM,25,FALSE),"")</f>
        <v>2.4160231993463677E-2</v>
      </c>
      <c r="Z78" s="14">
        <f>IFERROR(VLOOKUP($A78,koronahun!$A:$AM,26,FALSE),"")</f>
        <v>3.9295070254822574E-2</v>
      </c>
      <c r="AA78" s="14">
        <f>IFERROR(VLOOKUP($A78,koronahun!$A:$AM,27,FALSE),"")</f>
        <v>0.65548869973583801</v>
      </c>
      <c r="AB78" s="14">
        <f>IFERROR(VLOOKUP($A78,koronahun!$A:$AM,28,FALSE),"")</f>
        <v>0.64823252125584929</v>
      </c>
      <c r="AC78" s="14">
        <f>IFERROR(VLOOKUP($A78,koronahun!$A:$AM,29,FALSE),"")</f>
        <v>5104.5714285714284</v>
      </c>
      <c r="AD78" s="14">
        <f>IFERROR(VLOOKUP($A78,koronahun!$A:$AM,30,FALSE),"")</f>
        <v>99.714285714285708</v>
      </c>
      <c r="AE78" s="14">
        <f>IFERROR(VLOOKUP($A78,koronahun!$A:$AM,31,FALSE),"")</f>
        <v>20178.857142857141</v>
      </c>
      <c r="AF78" s="13">
        <f>IFERROR(VLOOKUP($A78,koronahun!$A:$AM,32,FALSE),"")</f>
        <v>0.31513773678426826</v>
      </c>
      <c r="AG78">
        <f>IFERROR(VLOOKUP($A78,koronahun!$A:$AM,33,FALSE),"")</f>
        <v>6390568</v>
      </c>
      <c r="AH78">
        <f>IFERROR(VLOOKUP($A78,koronahun!$A:$AM,34,FALSE),"")</f>
        <v>468</v>
      </c>
      <c r="AI78">
        <f>IFERROR(VLOOKUP($A78,koronahun!$A:$AM,35,FALSE),"")</f>
        <v>1148</v>
      </c>
      <c r="AJ78">
        <f>IFERROR(VLOOKUP($A78,koronahun!$A:$AM,36,FALSE),"")</f>
        <v>6161000</v>
      </c>
      <c r="AK78">
        <f>IFERROR(VLOOKUP($A78,koronahun!$A:$AM,37,FALSE),"")</f>
        <v>1457</v>
      </c>
      <c r="AL78">
        <f>IFERROR(VLOOKUP($A78,koronahun!$A:$AM,38,FALSE),"")</f>
        <v>2994.4</v>
      </c>
      <c r="AM78" s="14">
        <f>IFERROR(VLOOKUP($A78,koronahun!$A:$AM,39,FALSE),"")</f>
        <v>9139.1428571428569</v>
      </c>
      <c r="AN78" s="11">
        <f ca="1">IFERROR(__xludf.DUMMYFUNCTION("""COMPUTED_VALUE"""),43970)</f>
        <v>43970</v>
      </c>
      <c r="AO78" s="12">
        <f ca="1">IFERROR(VLOOKUP(AN78,koronahun!A:B,2,FALSE),"")</f>
        <v>3556</v>
      </c>
      <c r="AP78" s="11">
        <f t="shared" ca="1" si="0"/>
        <v>43970</v>
      </c>
      <c r="AQ78" s="11">
        <f ca="1">IFERROR(__xludf.DUMMYFUNCTION("""COMPUTED_VALUE"""),43970)</f>
        <v>43970</v>
      </c>
      <c r="AR78" s="11">
        <v>44617</v>
      </c>
      <c r="AS78" s="11">
        <f t="shared" si="1"/>
        <v>44617</v>
      </c>
      <c r="AT78" s="11">
        <f ca="1">IFERROR(__xludf.DUMMYFUNCTION("""COMPUTED_VALUE"""),44616)</f>
        <v>44616</v>
      </c>
    </row>
    <row r="79" spans="1:46" ht="13">
      <c r="A79" s="11">
        <v>44615</v>
      </c>
      <c r="B79">
        <f>IFERROR(VLOOKUP($A79,koronahun!$A:$AM,2,FALSE),"")</f>
        <v>1769164</v>
      </c>
      <c r="C79">
        <f>IFERROR(VLOOKUP($A79,koronahun!$A:$AM,3,FALSE),"")</f>
        <v>6286</v>
      </c>
      <c r="D79">
        <f>IFERROR(VLOOKUP($A79,koronahun!$A:$AM,4,FALSE),"")</f>
        <v>43562</v>
      </c>
      <c r="E79">
        <f>IFERROR(VLOOKUP($A79,koronahun!$A:$AM,5,FALSE),"")</f>
        <v>1546872</v>
      </c>
      <c r="F79">
        <f>IFERROR(VLOOKUP($A79,koronahun!$A:$AM,6,FALSE),"")</f>
        <v>10686340</v>
      </c>
      <c r="G79" s="12">
        <f>IFERROR(VLOOKUP($A79,koronahun!$A:$AM,7,FALSE),"")</f>
        <v>1090442.857142857</v>
      </c>
      <c r="H79">
        <f>IFERROR(VLOOKUP($A79,koronahun!$A:$AM,8,FALSE),"")</f>
        <v>0</v>
      </c>
      <c r="I79" s="13">
        <f>IFERROR(VLOOKUP($A79,koronahun!$A:$AM,9,FALSE),"")</f>
        <v>3.5657600809585236E-3</v>
      </c>
      <c r="J79" s="13">
        <f>IFERROR(VLOOKUP($A79,koronahun!$A:$AM,10,FALSE),"")</f>
        <v>0.16555378174379629</v>
      </c>
      <c r="K79" s="13">
        <f>IFERROR(VLOOKUP($A79,koronahun!$A:$AM,11,FALSE),"")</f>
        <v>1.6205754026834629E-3</v>
      </c>
      <c r="L79">
        <f>IFERROR(VLOOKUP($A79,koronahun!$A:$AM,12,FALSE),"")</f>
        <v>178730</v>
      </c>
      <c r="M79" s="13">
        <f>IFERROR(VLOOKUP($A79,koronahun!$A:$AM,13,FALSE),"")</f>
        <v>2.4622929247938574E-2</v>
      </c>
      <c r="N79" s="13">
        <f>IFERROR(VLOOKUP($A79,koronahun!$A:$AM,14,FALSE),"")</f>
        <v>0.87435195380416963</v>
      </c>
      <c r="O79">
        <f>IFERROR(VLOOKUP($A79,koronahun!$A:$AM,15,FALSE),"")</f>
        <v>14632</v>
      </c>
      <c r="P79">
        <f>IFERROR(VLOOKUP($A79,koronahun!$A:$AM,16,FALSE),"")</f>
        <v>17290</v>
      </c>
      <c r="Q79" s="13">
        <f>IFERROR(VLOOKUP($A79,koronahun!$A:$AM,17,FALSE),"")</f>
        <v>0.36356275303643726</v>
      </c>
      <c r="R79">
        <f>IFERROR(VLOOKUP($A79,koronahun!$A:$AM,18,FALSE),"")</f>
        <v>132</v>
      </c>
      <c r="S79">
        <f>IFERROR(VLOOKUP($A79,koronahun!$A:$AM,19,FALSE),"")</f>
        <v>11416</v>
      </c>
      <c r="T79">
        <f>IFERROR(VLOOKUP($A79,koronahun!$A:$AM,20,FALSE),"")</f>
        <v>4463</v>
      </c>
      <c r="U79">
        <f>IFERROR(VLOOKUP($A79,koronahun!$A:$AM,21,FALSE),"")</f>
        <v>170</v>
      </c>
      <c r="V79" s="13">
        <f>IFERROR(VLOOKUP($A79,koronahun!$A:$AM,22,FALSE),"")</f>
        <v>0.10102511694789178</v>
      </c>
      <c r="W79">
        <f>IFERROR(VLOOKUP($A79,koronahun!$A:$AM,23,FALSE),"")</f>
        <v>-277</v>
      </c>
      <c r="X79">
        <f>IFERROR(VLOOKUP($A79,koronahun!$A:$AM,24,FALSE),"")</f>
        <v>-7</v>
      </c>
      <c r="Y79" s="14">
        <f>IFERROR(VLOOKUP($A79,koronahun!$A:$AM,25,FALSE),"")</f>
        <v>2.4970626084037374E-2</v>
      </c>
      <c r="Z79" s="14">
        <f>IFERROR(VLOOKUP($A79,koronahun!$A:$AM,26,FALSE),"")</f>
        <v>3.8090970199417429E-2</v>
      </c>
      <c r="AA79" s="14">
        <f>IFERROR(VLOOKUP($A79,koronahun!$A:$AM,27,FALSE),"")</f>
        <v>0.65961679049286792</v>
      </c>
      <c r="AB79" s="14">
        <f>IFERROR(VLOOKUP($A79,koronahun!$A:$AM,28,FALSE),"")</f>
        <v>0.64689281798998755</v>
      </c>
      <c r="AC79" s="14">
        <f>IFERROR(VLOOKUP($A79,koronahun!$A:$AM,29,FALSE),"")</f>
        <v>5542.5714285714284</v>
      </c>
      <c r="AD79" s="14">
        <f>IFERROR(VLOOKUP($A79,koronahun!$A:$AM,30,FALSE),"")</f>
        <v>101.57142857142857</v>
      </c>
      <c r="AE79" s="14">
        <f>IFERROR(VLOOKUP($A79,koronahun!$A:$AM,31,FALSE),"")</f>
        <v>21091.714285714286</v>
      </c>
      <c r="AF79" s="13">
        <f>IFERROR(VLOOKUP($A79,koronahun!$A:$AM,32,FALSE),"")</f>
        <v>0.32569464415880223</v>
      </c>
      <c r="AG79">
        <f>IFERROR(VLOOKUP($A79,koronahun!$A:$AM,33,FALSE),"")</f>
        <v>6390100</v>
      </c>
      <c r="AH79">
        <f>IFERROR(VLOOKUP($A79,koronahun!$A:$AM,34,FALSE),"")</f>
        <v>389</v>
      </c>
      <c r="AI79">
        <f>IFERROR(VLOOKUP($A79,koronahun!$A:$AM,35,FALSE),"")</f>
        <v>1202.4000000000001</v>
      </c>
      <c r="AJ79">
        <f>IFERROR(VLOOKUP($A79,koronahun!$A:$AM,36,FALSE),"")</f>
        <v>6159543</v>
      </c>
      <c r="AK79">
        <f>IFERROR(VLOOKUP($A79,koronahun!$A:$AM,37,FALSE),"")</f>
        <v>1359</v>
      </c>
      <c r="AL79">
        <f>IFERROR(VLOOKUP($A79,koronahun!$A:$AM,38,FALSE),"")</f>
        <v>3104.8</v>
      </c>
      <c r="AM79" s="14">
        <f>IFERROR(VLOOKUP($A79,koronahun!$A:$AM,39,FALSE),"")</f>
        <v>9770.2857142857138</v>
      </c>
      <c r="AN79" s="11">
        <f ca="1">IFERROR(__xludf.DUMMYFUNCTION("""COMPUTED_VALUE"""),43971)</f>
        <v>43971</v>
      </c>
      <c r="AO79" s="12">
        <f ca="1">IFERROR(VLOOKUP(AN79,koronahun!A:B,2,FALSE),"")</f>
        <v>3598</v>
      </c>
      <c r="AP79" s="11">
        <f t="shared" ca="1" si="0"/>
        <v>43971</v>
      </c>
      <c r="AQ79" s="11">
        <f ca="1">IFERROR(__xludf.DUMMYFUNCTION("""COMPUTED_VALUE"""),43971)</f>
        <v>43971</v>
      </c>
      <c r="AR79" s="11">
        <v>44616</v>
      </c>
      <c r="AS79" s="11">
        <f t="shared" si="1"/>
        <v>44616</v>
      </c>
      <c r="AT79" s="11">
        <f ca="1">IFERROR(__xludf.DUMMYFUNCTION("""COMPUTED_VALUE"""),44615)</f>
        <v>44615</v>
      </c>
    </row>
    <row r="80" spans="1:46" ht="13">
      <c r="A80" s="11">
        <v>44614</v>
      </c>
      <c r="B80">
        <f>IFERROR(VLOOKUP($A80,koronahun!$A:$AM,2,FALSE),"")</f>
        <v>1762878</v>
      </c>
      <c r="C80">
        <f>IFERROR(VLOOKUP($A80,koronahun!$A:$AM,3,FALSE),"")</f>
        <v>3193</v>
      </c>
      <c r="D80">
        <f>IFERROR(VLOOKUP($A80,koronahun!$A:$AM,4,FALSE),"")</f>
        <v>43430</v>
      </c>
      <c r="E80">
        <f>IFERROR(VLOOKUP($A80,koronahun!$A:$AM,5,FALSE),"")</f>
        <v>1535456</v>
      </c>
      <c r="F80">
        <f>IFERROR(VLOOKUP($A80,koronahun!$A:$AM,6,FALSE),"")</f>
        <v>10669050</v>
      </c>
      <c r="G80" s="12">
        <f>IFERROR(VLOOKUP($A80,koronahun!$A:$AM,7,FALSE),"")</f>
        <v>1088678.5714285714</v>
      </c>
      <c r="H80">
        <f>IFERROR(VLOOKUP($A80,koronahun!$A:$AM,8,FALSE),"")</f>
        <v>0</v>
      </c>
      <c r="I80" s="13">
        <f>IFERROR(VLOOKUP($A80,koronahun!$A:$AM,9,FALSE),"")</f>
        <v>1.8145293049608312E-3</v>
      </c>
      <c r="J80" s="13">
        <f>IFERROR(VLOOKUP($A80,koronahun!$A:$AM,10,FALSE),"")</f>
        <v>0.16523289327540877</v>
      </c>
      <c r="K80" s="13">
        <f>IFERROR(VLOOKUP($A80,koronahun!$A:$AM,11,FALSE),"")</f>
        <v>5.840855263268954E-4</v>
      </c>
      <c r="L80">
        <f>IFERROR(VLOOKUP($A80,koronahun!$A:$AM,12,FALSE),"")</f>
        <v>183992</v>
      </c>
      <c r="M80" s="13">
        <f>IFERROR(VLOOKUP($A80,koronahun!$A:$AM,13,FALSE),"")</f>
        <v>2.4635851147952383E-2</v>
      </c>
      <c r="N80" s="13">
        <f>IFERROR(VLOOKUP($A80,koronahun!$A:$AM,14,FALSE),"")</f>
        <v>0.87099390882409333</v>
      </c>
      <c r="O80">
        <f>IFERROR(VLOOKUP($A80,koronahun!$A:$AM,15,FALSE),"")</f>
        <v>15314</v>
      </c>
      <c r="P80">
        <f>IFERROR(VLOOKUP($A80,koronahun!$A:$AM,16,FALSE),"")</f>
        <v>6228</v>
      </c>
      <c r="Q80" s="13">
        <f>IFERROR(VLOOKUP($A80,koronahun!$A:$AM,17,FALSE),"")</f>
        <v>0.51268464996788699</v>
      </c>
      <c r="R80">
        <f>IFERROR(VLOOKUP($A80,koronahun!$A:$AM,18,FALSE),"")</f>
        <v>131</v>
      </c>
      <c r="S80">
        <f>IFERROR(VLOOKUP($A80,koronahun!$A:$AM,19,FALSE),"")</f>
        <v>8630</v>
      </c>
      <c r="T80">
        <f>IFERROR(VLOOKUP($A80,koronahun!$A:$AM,20,FALSE),"")</f>
        <v>4740</v>
      </c>
      <c r="U80">
        <f>IFERROR(VLOOKUP($A80,koronahun!$A:$AM,21,FALSE),"")</f>
        <v>177</v>
      </c>
      <c r="V80" s="13">
        <f>IFERROR(VLOOKUP($A80,koronahun!$A:$AM,22,FALSE),"")</f>
        <v>0.10437024002795429</v>
      </c>
      <c r="W80">
        <f>IFERROR(VLOOKUP($A80,koronahun!$A:$AM,23,FALSE),"")</f>
        <v>-1</v>
      </c>
      <c r="X80">
        <f>IFERROR(VLOOKUP($A80,koronahun!$A:$AM,24,FALSE),"")</f>
        <v>1</v>
      </c>
      <c r="Y80" s="14">
        <f>IFERROR(VLOOKUP($A80,koronahun!$A:$AM,25,FALSE),"")</f>
        <v>2.5761989651723986E-2</v>
      </c>
      <c r="Z80" s="14">
        <f>IFERROR(VLOOKUP($A80,koronahun!$A:$AM,26,FALSE),"")</f>
        <v>3.7341772151898732E-2</v>
      </c>
      <c r="AA80" s="14">
        <f>IFERROR(VLOOKUP($A80,koronahun!$A:$AM,27,FALSE),"")</f>
        <v>0.64813365065447481</v>
      </c>
      <c r="AB80" s="14">
        <f>IFERROR(VLOOKUP($A80,koronahun!$A:$AM,28,FALSE),"")</f>
        <v>0.64710244877156664</v>
      </c>
      <c r="AC80" s="14">
        <f>IFERROR(VLOOKUP($A80,koronahun!$A:$AM,29,FALSE),"")</f>
        <v>5913.5714285714284</v>
      </c>
      <c r="AD80" s="14">
        <f>IFERROR(VLOOKUP($A80,koronahun!$A:$AM,30,FALSE),"")</f>
        <v>96.571428571428569</v>
      </c>
      <c r="AE80" s="14">
        <f>IFERROR(VLOOKUP($A80,koronahun!$A:$AM,31,FALSE),"")</f>
        <v>21183.571428571428</v>
      </c>
      <c r="AF80" s="13">
        <f>IFERROR(VLOOKUP($A80,koronahun!$A:$AM,32,FALSE),"")</f>
        <v>0.35205084947634607</v>
      </c>
      <c r="AG80">
        <f>IFERROR(VLOOKUP($A80,koronahun!$A:$AM,33,FALSE),"")</f>
        <v>6389711</v>
      </c>
      <c r="AH80">
        <f>IFERROR(VLOOKUP($A80,koronahun!$A:$AM,34,FALSE),"")</f>
        <v>375</v>
      </c>
      <c r="AI80">
        <f>IFERROR(VLOOKUP($A80,koronahun!$A:$AM,35,FALSE),"")</f>
        <v>1230.4000000000001</v>
      </c>
      <c r="AJ80">
        <f>IFERROR(VLOOKUP($A80,koronahun!$A:$AM,36,FALSE),"")</f>
        <v>6158184</v>
      </c>
      <c r="AK80">
        <f>IFERROR(VLOOKUP($A80,koronahun!$A:$AM,37,FALSE),"")</f>
        <v>1535</v>
      </c>
      <c r="AL80">
        <f>IFERROR(VLOOKUP($A80,koronahun!$A:$AM,38,FALSE),"")</f>
        <v>3149.2</v>
      </c>
      <c r="AM80" s="14">
        <f>IFERROR(VLOOKUP($A80,koronahun!$A:$AM,39,FALSE),"")</f>
        <v>9573.1428571428569</v>
      </c>
      <c r="AN80" s="11">
        <f ca="1">IFERROR(__xludf.DUMMYFUNCTION("""COMPUTED_VALUE"""),43972)</f>
        <v>43972</v>
      </c>
      <c r="AO80" s="12">
        <f ca="1">IFERROR(VLOOKUP(AN80,koronahun!A:B,2,FALSE),"")</f>
        <v>3641</v>
      </c>
      <c r="AP80" s="11">
        <f t="shared" ca="1" si="0"/>
        <v>43972</v>
      </c>
      <c r="AQ80" s="11">
        <f ca="1">IFERROR(__xludf.DUMMYFUNCTION("""COMPUTED_VALUE"""),43972)</f>
        <v>43972</v>
      </c>
      <c r="AR80" s="11">
        <v>44615</v>
      </c>
      <c r="AS80" s="11">
        <f t="shared" si="1"/>
        <v>44615</v>
      </c>
      <c r="AT80" s="11">
        <f ca="1">IFERROR(__xludf.DUMMYFUNCTION("""COMPUTED_VALUE"""),44614)</f>
        <v>44614</v>
      </c>
    </row>
    <row r="81" spans="1:46" ht="13">
      <c r="A81" s="11">
        <v>44613</v>
      </c>
      <c r="B81">
        <f>IFERROR(VLOOKUP($A81,koronahun!$A:$AM,2,FALSE),"")</f>
        <v>1759685</v>
      </c>
      <c r="C81">
        <f>IFERROR(VLOOKUP($A81,koronahun!$A:$AM,3,FALSE),"")</f>
        <v>13261</v>
      </c>
      <c r="D81">
        <f>IFERROR(VLOOKUP($A81,koronahun!$A:$AM,4,FALSE),"")</f>
        <v>43299</v>
      </c>
      <c r="E81">
        <f>IFERROR(VLOOKUP($A81,koronahun!$A:$AM,5,FALSE),"")</f>
        <v>1526826</v>
      </c>
      <c r="F81">
        <f>IFERROR(VLOOKUP($A81,koronahun!$A:$AM,6,FALSE),"")</f>
        <v>10662822</v>
      </c>
      <c r="G81" s="12">
        <f>IFERROR(VLOOKUP($A81,koronahun!$A:$AM,7,FALSE),"")</f>
        <v>1088043.0612244897</v>
      </c>
      <c r="H81">
        <f>IFERROR(VLOOKUP($A81,koronahun!$A:$AM,8,FALSE),"")</f>
        <v>0</v>
      </c>
      <c r="I81" s="13">
        <f>IFERROR(VLOOKUP($A81,koronahun!$A:$AM,9,FALSE),"")</f>
        <v>7.5932305098876333E-3</v>
      </c>
      <c r="J81" s="13">
        <f>IFERROR(VLOOKUP($A81,koronahun!$A:$AM,10,FALSE),"")</f>
        <v>0.16502995173322785</v>
      </c>
      <c r="K81" s="13">
        <f>IFERROR(VLOOKUP($A81,koronahun!$A:$AM,11,FALSE),"")</f>
        <v>6.2066329780457773E-3</v>
      </c>
      <c r="L81">
        <f>IFERROR(VLOOKUP($A81,koronahun!$A:$AM,12,FALSE),"")</f>
        <v>189560</v>
      </c>
      <c r="M81" s="13">
        <f>IFERROR(VLOOKUP($A81,koronahun!$A:$AM,13,FALSE),"")</f>
        <v>2.4606108479642664E-2</v>
      </c>
      <c r="N81" s="13">
        <f>IFERROR(VLOOKUP($A81,koronahun!$A:$AM,14,FALSE),"")</f>
        <v>0.8676700659493034</v>
      </c>
      <c r="O81">
        <f>IFERROR(VLOOKUP($A81,koronahun!$A:$AM,15,FALSE),"")</f>
        <v>16290</v>
      </c>
      <c r="P81">
        <f>IFERROR(VLOOKUP($A81,koronahun!$A:$AM,16,FALSE),"")</f>
        <v>65772</v>
      </c>
      <c r="Q81" s="13">
        <f>IFERROR(VLOOKUP($A81,koronahun!$A:$AM,17,FALSE),"")</f>
        <v>0.20162075047132519</v>
      </c>
      <c r="R81">
        <f>IFERROR(VLOOKUP($A81,koronahun!$A:$AM,18,FALSE),"")</f>
        <v>233</v>
      </c>
      <c r="S81">
        <f>IFERROR(VLOOKUP($A81,koronahun!$A:$AM,19,FALSE),"")</f>
        <v>22771</v>
      </c>
      <c r="T81">
        <f>IFERROR(VLOOKUP($A81,koronahun!$A:$AM,20,FALSE),"")</f>
        <v>4741</v>
      </c>
      <c r="U81">
        <f>IFERROR(VLOOKUP($A81,koronahun!$A:$AM,21,FALSE),"")</f>
        <v>176</v>
      </c>
      <c r="V81" s="13">
        <f>IFERROR(VLOOKUP($A81,koronahun!$A:$AM,22,FALSE),"")</f>
        <v>0.10772382557105391</v>
      </c>
      <c r="W81">
        <f>IFERROR(VLOOKUP($A81,koronahun!$A:$AM,23,FALSE),"")</f>
        <v>-178</v>
      </c>
      <c r="X81">
        <f>IFERROR(VLOOKUP($A81,koronahun!$A:$AM,24,FALSE),"")</f>
        <v>-25</v>
      </c>
      <c r="Y81" s="14">
        <f>IFERROR(VLOOKUP($A81,koronahun!$A:$AM,25,FALSE),"")</f>
        <v>2.5010550749103185E-2</v>
      </c>
      <c r="Z81" s="14">
        <f>IFERROR(VLOOKUP($A81,koronahun!$A:$AM,26,FALSE),"")</f>
        <v>3.7122969837587005E-2</v>
      </c>
      <c r="AA81" s="14">
        <f>IFERROR(VLOOKUP($A81,koronahun!$A:$AM,27,FALSE),"")</f>
        <v>0.64070064651932035</v>
      </c>
      <c r="AB81" s="14">
        <f>IFERROR(VLOOKUP($A81,koronahun!$A:$AM,28,FALSE),"")</f>
        <v>0.65223539286103716</v>
      </c>
      <c r="AC81" s="14">
        <f>IFERROR(VLOOKUP($A81,koronahun!$A:$AM,29,FALSE),"")</f>
        <v>6087.5714285714284</v>
      </c>
      <c r="AD81" s="14">
        <f>IFERROR(VLOOKUP($A81,koronahun!$A:$AM,30,FALSE),"")</f>
        <v>95.428571428571431</v>
      </c>
      <c r="AE81" s="14">
        <f>IFERROR(VLOOKUP($A81,koronahun!$A:$AM,31,FALSE),"")</f>
        <v>21391.714285714286</v>
      </c>
      <c r="AF81" s="13">
        <f>IFERROR(VLOOKUP($A81,koronahun!$A:$AM,32,FALSE),"")</f>
        <v>0.36430897478530611</v>
      </c>
      <c r="AG81">
        <f>IFERROR(VLOOKUP($A81,koronahun!$A:$AM,33,FALSE),"")</f>
        <v>6389336</v>
      </c>
      <c r="AH81">
        <f>IFERROR(VLOOKUP($A81,koronahun!$A:$AM,34,FALSE),"")</f>
        <v>2920</v>
      </c>
      <c r="AI81">
        <f>IFERROR(VLOOKUP($A81,koronahun!$A:$AM,35,FALSE),"")</f>
        <v>1265.8</v>
      </c>
      <c r="AJ81">
        <f>IFERROR(VLOOKUP($A81,koronahun!$A:$AM,36,FALSE),"")</f>
        <v>6156649</v>
      </c>
      <c r="AK81">
        <f>IFERROR(VLOOKUP($A81,koronahun!$A:$AM,37,FALSE),"")</f>
        <v>7315</v>
      </c>
      <c r="AL81">
        <f>IFERROR(VLOOKUP($A81,koronahun!$A:$AM,38,FALSE),"")</f>
        <v>3263.6</v>
      </c>
      <c r="AM81" s="14">
        <f>IFERROR(VLOOKUP($A81,koronahun!$A:$AM,39,FALSE),"")</f>
        <v>10885</v>
      </c>
      <c r="AN81" s="11">
        <f ca="1">IFERROR(__xludf.DUMMYFUNCTION("""COMPUTED_VALUE"""),43973)</f>
        <v>43973</v>
      </c>
      <c r="AO81" s="12">
        <f ca="1">IFERROR(VLOOKUP(AN81,koronahun!A:B,2,FALSE),"")</f>
        <v>3678</v>
      </c>
      <c r="AP81" s="11">
        <f t="shared" ca="1" si="0"/>
        <v>43973</v>
      </c>
      <c r="AQ81" s="11">
        <f ca="1">IFERROR(__xludf.DUMMYFUNCTION("""COMPUTED_VALUE"""),43973)</f>
        <v>43973</v>
      </c>
      <c r="AR81" s="11">
        <v>44614</v>
      </c>
      <c r="AS81" s="11">
        <f t="shared" si="1"/>
        <v>44614</v>
      </c>
      <c r="AT81" s="11">
        <f ca="1">IFERROR(__xludf.DUMMYFUNCTION("""COMPUTED_VALUE"""),44613)</f>
        <v>44613</v>
      </c>
    </row>
    <row r="82" spans="1:46" ht="13">
      <c r="A82" s="11">
        <v>44610</v>
      </c>
      <c r="B82">
        <f>IFERROR(VLOOKUP($A82,koronahun!$A:$AM,2,FALSE),"")</f>
        <v>1746424</v>
      </c>
      <c r="C82">
        <f>IFERROR(VLOOKUP($A82,koronahun!$A:$AM,3,FALSE),"")</f>
        <v>7480</v>
      </c>
      <c r="D82">
        <f>IFERROR(VLOOKUP($A82,koronahun!$A:$AM,4,FALSE),"")</f>
        <v>43066</v>
      </c>
      <c r="E82">
        <f>IFERROR(VLOOKUP($A82,koronahun!$A:$AM,5,FALSE),"")</f>
        <v>1504055</v>
      </c>
      <c r="F82">
        <f>IFERROR(VLOOKUP($A82,koronahun!$A:$AM,6,FALSE),"")</f>
        <v>10597050</v>
      </c>
      <c r="G82" s="12">
        <f>IFERROR(VLOOKUP($A82,koronahun!$A:$AM,7,FALSE),"")</f>
        <v>1081331.6326530611</v>
      </c>
      <c r="H82">
        <f>IFERROR(VLOOKUP($A82,koronahun!$A:$AM,8,FALSE),"")</f>
        <v>0</v>
      </c>
      <c r="I82" s="13">
        <f>IFERROR(VLOOKUP($A82,koronahun!$A:$AM,9,FALSE),"")</f>
        <v>4.3014611166317029E-3</v>
      </c>
      <c r="J82" s="13">
        <f>IFERROR(VLOOKUP($A82,koronahun!$A:$AM,10,FALSE),"")</f>
        <v>0.16480284607508694</v>
      </c>
      <c r="K82" s="13">
        <f>IFERROR(VLOOKUP($A82,koronahun!$A:$AM,11,FALSE),"")</f>
        <v>2.5565686823694964E-3</v>
      </c>
      <c r="L82">
        <f>IFERROR(VLOOKUP($A82,koronahun!$A:$AM,12,FALSE),"")</f>
        <v>199303</v>
      </c>
      <c r="M82" s="13">
        <f>IFERROR(VLOOKUP($A82,koronahun!$A:$AM,13,FALSE),"")</f>
        <v>2.4659532851128936E-2</v>
      </c>
      <c r="N82" s="13">
        <f>IFERROR(VLOOKUP($A82,koronahun!$A:$AM,14,FALSE),"")</f>
        <v>0.86121984122985029</v>
      </c>
      <c r="O82">
        <f>IFERROR(VLOOKUP($A82,koronahun!$A:$AM,15,FALSE),"")</f>
        <v>19612</v>
      </c>
      <c r="P82">
        <f>IFERROR(VLOOKUP($A82,koronahun!$A:$AM,16,FALSE),"")</f>
        <v>27023</v>
      </c>
      <c r="Q82" s="13">
        <f>IFERROR(VLOOKUP($A82,koronahun!$A:$AM,17,FALSE),"")</f>
        <v>0.27680124338526441</v>
      </c>
      <c r="R82">
        <f>IFERROR(VLOOKUP($A82,koronahun!$A:$AM,18,FALSE),"")</f>
        <v>100</v>
      </c>
      <c r="S82">
        <f>IFERROR(VLOOKUP($A82,koronahun!$A:$AM,19,FALSE),"")</f>
        <v>10815</v>
      </c>
      <c r="T82">
        <f>IFERROR(VLOOKUP($A82,koronahun!$A:$AM,20,FALSE),"")</f>
        <v>4919</v>
      </c>
      <c r="U82">
        <f>IFERROR(VLOOKUP($A82,koronahun!$A:$AM,21,FALSE),"")</f>
        <v>201</v>
      </c>
      <c r="V82" s="13">
        <f>IFERROR(VLOOKUP($A82,koronahun!$A:$AM,22,FALSE),"")</f>
        <v>0.11412062591902081</v>
      </c>
      <c r="W82">
        <f>IFERROR(VLOOKUP($A82,koronahun!$A:$AM,23,FALSE),"")</f>
        <v>-143</v>
      </c>
      <c r="X82">
        <f>IFERROR(VLOOKUP($A82,koronahun!$A:$AM,24,FALSE),"")</f>
        <v>-5</v>
      </c>
      <c r="Y82" s="14">
        <f>IFERROR(VLOOKUP($A82,koronahun!$A:$AM,25,FALSE),"")</f>
        <v>2.4681013331460139E-2</v>
      </c>
      <c r="Z82" s="14">
        <f>IFERROR(VLOOKUP($A82,koronahun!$A:$AM,26,FALSE),"")</f>
        <v>4.0861963813783292E-2</v>
      </c>
      <c r="AA82" s="14">
        <f>IFERROR(VLOOKUP($A82,koronahun!$A:$AM,27,FALSE),"")</f>
        <v>0.63722281887674526</v>
      </c>
      <c r="AB82" s="14">
        <f>IFERROR(VLOOKUP($A82,koronahun!$A:$AM,28,FALSE),"")</f>
        <v>0.66100768366071683</v>
      </c>
      <c r="AC82" s="14">
        <f>IFERROR(VLOOKUP($A82,koronahun!$A:$AM,29,FALSE),"")</f>
        <v>7204.7142857142853</v>
      </c>
      <c r="AD82" s="14">
        <f>IFERROR(VLOOKUP($A82,koronahun!$A:$AM,30,FALSE),"")</f>
        <v>100.85714285714286</v>
      </c>
      <c r="AE82" s="14">
        <f>IFERROR(VLOOKUP($A82,koronahun!$A:$AM,31,FALSE),"")</f>
        <v>23905.285714285714</v>
      </c>
      <c r="AF82" s="13">
        <f>IFERROR(VLOOKUP($A82,koronahun!$A:$AM,32,FALSE),"")</f>
        <v>0.37455879280792181</v>
      </c>
      <c r="AG82">
        <f>IFERROR(VLOOKUP($A82,koronahun!$A:$AM,33,FALSE),"")</f>
        <v>6386416</v>
      </c>
      <c r="AH82">
        <f>IFERROR(VLOOKUP($A82,koronahun!$A:$AM,34,FALSE),"")</f>
        <v>1588</v>
      </c>
      <c r="AI82">
        <f>IFERROR(VLOOKUP($A82,koronahun!$A:$AM,35,FALSE),"")</f>
        <v>1470.2</v>
      </c>
      <c r="AJ82">
        <f>IFERROR(VLOOKUP($A82,koronahun!$A:$AM,36,FALSE),"")</f>
        <v>6149334</v>
      </c>
      <c r="AK82">
        <f>IFERROR(VLOOKUP($A82,koronahun!$A:$AM,37,FALSE),"")</f>
        <v>3306</v>
      </c>
      <c r="AL82">
        <f>IFERROR(VLOOKUP($A82,koronahun!$A:$AM,38,FALSE),"")</f>
        <v>3594.6</v>
      </c>
      <c r="AM82" s="14">
        <f>IFERROR(VLOOKUP($A82,koronahun!$A:$AM,39,FALSE),"")</f>
        <v>11447.714285714286</v>
      </c>
      <c r="AN82" s="11">
        <f ca="1">IFERROR(__xludf.DUMMYFUNCTION("""COMPUTED_VALUE"""),43974)</f>
        <v>43974</v>
      </c>
      <c r="AO82" s="12">
        <f ca="1">IFERROR(VLOOKUP(AN82,koronahun!A:B,2,FALSE),"")</f>
        <v>3713</v>
      </c>
      <c r="AP82" s="11">
        <f t="shared" ca="1" si="0"/>
        <v>43974</v>
      </c>
      <c r="AQ82" s="11">
        <f ca="1">IFERROR(__xludf.DUMMYFUNCTION("""COMPUTED_VALUE"""),43974)</f>
        <v>43974</v>
      </c>
      <c r="AR82" s="11">
        <v>44613</v>
      </c>
      <c r="AS82" s="11">
        <f t="shared" si="1"/>
        <v>44613</v>
      </c>
      <c r="AT82" s="11">
        <f ca="1">IFERROR(__xludf.DUMMYFUNCTION("""COMPUTED_VALUE"""),44610)</f>
        <v>44610</v>
      </c>
    </row>
    <row r="83" spans="1:46" ht="13">
      <c r="A83" s="11">
        <v>44609</v>
      </c>
      <c r="B83">
        <f>IFERROR(VLOOKUP($A83,koronahun!$A:$AM,2,FALSE),"")</f>
        <v>1738944</v>
      </c>
      <c r="C83">
        <f>IFERROR(VLOOKUP($A83,koronahun!$A:$AM,3,FALSE),"")</f>
        <v>8578</v>
      </c>
      <c r="D83">
        <f>IFERROR(VLOOKUP($A83,koronahun!$A:$AM,4,FALSE),"")</f>
        <v>42966</v>
      </c>
      <c r="E83">
        <f>IFERROR(VLOOKUP($A83,koronahun!$A:$AM,5,FALSE),"")</f>
        <v>1493240</v>
      </c>
      <c r="F83">
        <f>IFERROR(VLOOKUP($A83,koronahun!$A:$AM,6,FALSE),"")</f>
        <v>10570027</v>
      </c>
      <c r="G83" s="12">
        <f>IFERROR(VLOOKUP($A83,koronahun!$A:$AM,7,FALSE),"")</f>
        <v>1078574.1836734693</v>
      </c>
      <c r="H83">
        <f>IFERROR(VLOOKUP($A83,koronahun!$A:$AM,8,FALSE),"")</f>
        <v>0</v>
      </c>
      <c r="I83" s="13">
        <f>IFERROR(VLOOKUP($A83,koronahun!$A:$AM,9,FALSE),"")</f>
        <v>4.9573327261400188E-3</v>
      </c>
      <c r="J83" s="13">
        <f>IFERROR(VLOOKUP($A83,koronahun!$A:$AM,10,FALSE),"")</f>
        <v>0.16451651448004817</v>
      </c>
      <c r="K83" s="13">
        <f>IFERROR(VLOOKUP($A83,koronahun!$A:$AM,11,FALSE),"")</f>
        <v>2.97275811490186E-3</v>
      </c>
      <c r="L83">
        <f>IFERROR(VLOOKUP($A83,koronahun!$A:$AM,12,FALSE),"")</f>
        <v>202738</v>
      </c>
      <c r="M83" s="13">
        <f>IFERROR(VLOOKUP($A83,koronahun!$A:$AM,13,FALSE),"")</f>
        <v>2.4708098708181518E-2</v>
      </c>
      <c r="N83" s="13">
        <f>IFERROR(VLOOKUP($A83,koronahun!$A:$AM,14,FALSE),"")</f>
        <v>0.85870505318170109</v>
      </c>
      <c r="O83">
        <f>IFERROR(VLOOKUP($A83,koronahun!$A:$AM,15,FALSE),"")</f>
        <v>18627</v>
      </c>
      <c r="P83">
        <f>IFERROR(VLOOKUP($A83,koronahun!$A:$AM,16,FALSE),"")</f>
        <v>31329</v>
      </c>
      <c r="Q83" s="13">
        <f>IFERROR(VLOOKUP($A83,koronahun!$A:$AM,17,FALSE),"")</f>
        <v>0.27380382393309716</v>
      </c>
      <c r="R83">
        <f>IFERROR(VLOOKUP($A83,koronahun!$A:$AM,18,FALSE),"")</f>
        <v>115</v>
      </c>
      <c r="S83">
        <f>IFERROR(VLOOKUP($A83,koronahun!$A:$AM,19,FALSE),"")</f>
        <v>14760</v>
      </c>
      <c r="T83">
        <f>IFERROR(VLOOKUP($A83,koronahun!$A:$AM,20,FALSE),"")</f>
        <v>5062</v>
      </c>
      <c r="U83">
        <f>IFERROR(VLOOKUP($A83,koronahun!$A:$AM,21,FALSE),"")</f>
        <v>206</v>
      </c>
      <c r="V83" s="13">
        <f>IFERROR(VLOOKUP($A83,koronahun!$A:$AM,22,FALSE),"")</f>
        <v>0.11658684811011741</v>
      </c>
      <c r="W83">
        <f>IFERROR(VLOOKUP($A83,koronahun!$A:$AM,23,FALSE),"")</f>
        <v>-104</v>
      </c>
      <c r="X83">
        <f>IFERROR(VLOOKUP($A83,koronahun!$A:$AM,24,FALSE),"")</f>
        <v>3</v>
      </c>
      <c r="Y83" s="14">
        <f>IFERROR(VLOOKUP($A83,koronahun!$A:$AM,25,FALSE),"")</f>
        <v>2.4968185539957975E-2</v>
      </c>
      <c r="Z83" s="14">
        <f>IFERROR(VLOOKUP($A83,koronahun!$A:$AM,26,FALSE),"")</f>
        <v>4.0695377321216912E-2</v>
      </c>
      <c r="AA83" s="14">
        <f>IFERROR(VLOOKUP($A83,koronahun!$A:$AM,27,FALSE),"")</f>
        <v>0.64879018340652927</v>
      </c>
      <c r="AB83" s="14">
        <f>IFERROR(VLOOKUP($A83,koronahun!$A:$AM,28,FALSE),"")</f>
        <v>0.67946865782504773</v>
      </c>
      <c r="AC83" s="14">
        <f>IFERROR(VLOOKUP($A83,koronahun!$A:$AM,29,FALSE),"")</f>
        <v>7787.4285714285716</v>
      </c>
      <c r="AD83" s="14">
        <f>IFERROR(VLOOKUP($A83,koronahun!$A:$AM,30,FALSE),"")</f>
        <v>99.571428571428569</v>
      </c>
      <c r="AE83" s="14">
        <f>IFERROR(VLOOKUP($A83,koronahun!$A:$AM,31,FALSE),"")</f>
        <v>25435.714285714286</v>
      </c>
      <c r="AF83" s="13">
        <f>IFERROR(VLOOKUP($A83,koronahun!$A:$AM,32,FALSE),"")</f>
        <v>0.38046099908104913</v>
      </c>
      <c r="AG83">
        <f>IFERROR(VLOOKUP($A83,koronahun!$A:$AM,33,FALSE),"")</f>
        <v>6384828</v>
      </c>
      <c r="AH83">
        <f>IFERROR(VLOOKUP($A83,koronahun!$A:$AM,34,FALSE),"")</f>
        <v>740</v>
      </c>
      <c r="AI83">
        <f>IFERROR(VLOOKUP($A83,koronahun!$A:$AM,35,FALSE),"")</f>
        <v>1585.2</v>
      </c>
      <c r="AJ83">
        <f>IFERROR(VLOOKUP($A83,koronahun!$A:$AM,36,FALSE),"")</f>
        <v>6146028</v>
      </c>
      <c r="AK83">
        <f>IFERROR(VLOOKUP($A83,koronahun!$A:$AM,37,FALSE),"")</f>
        <v>2009</v>
      </c>
      <c r="AL83">
        <f>IFERROR(VLOOKUP($A83,koronahun!$A:$AM,38,FALSE),"")</f>
        <v>3683.8</v>
      </c>
      <c r="AM83" s="14">
        <f>IFERROR(VLOOKUP($A83,koronahun!$A:$AM,39,FALSE),"")</f>
        <v>11812.857142857143</v>
      </c>
      <c r="AN83" s="11">
        <f ca="1">IFERROR(__xludf.DUMMYFUNCTION("""COMPUTED_VALUE"""),43975)</f>
        <v>43975</v>
      </c>
      <c r="AO83" s="12">
        <f ca="1">IFERROR(VLOOKUP(AN83,koronahun!A:B,2,FALSE),"")</f>
        <v>3741</v>
      </c>
      <c r="AP83" s="11">
        <f t="shared" ca="1" si="0"/>
        <v>43975</v>
      </c>
      <c r="AQ83" s="11">
        <f ca="1">IFERROR(__xludf.DUMMYFUNCTION("""COMPUTED_VALUE"""),43975)</f>
        <v>43975</v>
      </c>
      <c r="AR83" s="11">
        <v>44610</v>
      </c>
      <c r="AS83" s="11">
        <f t="shared" si="1"/>
        <v>44610</v>
      </c>
      <c r="AT83" s="11">
        <f ca="1">IFERROR(__xludf.DUMMYFUNCTION("""COMPUTED_VALUE"""),44609)</f>
        <v>44609</v>
      </c>
    </row>
    <row r="84" spans="1:46" ht="13">
      <c r="A84" s="11">
        <v>44608</v>
      </c>
      <c r="B84">
        <f>IFERROR(VLOOKUP($A84,koronahun!$A:$AM,2,FALSE),"")</f>
        <v>1730366</v>
      </c>
      <c r="C84">
        <f>IFERROR(VLOOKUP($A84,koronahun!$A:$AM,3,FALSE),"")</f>
        <v>8883</v>
      </c>
      <c r="D84">
        <f>IFERROR(VLOOKUP($A84,koronahun!$A:$AM,4,FALSE),"")</f>
        <v>42851</v>
      </c>
      <c r="E84">
        <f>IFERROR(VLOOKUP($A84,koronahun!$A:$AM,5,FALSE),"")</f>
        <v>1478480</v>
      </c>
      <c r="F84">
        <f>IFERROR(VLOOKUP($A84,koronahun!$A:$AM,6,FALSE),"")</f>
        <v>10538698</v>
      </c>
      <c r="G84" s="12">
        <f>IFERROR(VLOOKUP($A84,koronahun!$A:$AM,7,FALSE),"")</f>
        <v>1075377.3469387754</v>
      </c>
      <c r="H84">
        <f>IFERROR(VLOOKUP($A84,koronahun!$A:$AM,8,FALSE),"")</f>
        <v>0</v>
      </c>
      <c r="I84" s="13">
        <f>IFERROR(VLOOKUP($A84,koronahun!$A:$AM,9,FALSE),"")</f>
        <v>5.1600858097349787E-3</v>
      </c>
      <c r="J84" s="13">
        <f>IFERROR(VLOOKUP($A84,koronahun!$A:$AM,10,FALSE),"")</f>
        <v>0.16419162974401583</v>
      </c>
      <c r="K84" s="13">
        <f>IFERROR(VLOOKUP($A84,koronahun!$A:$AM,11,FALSE),"")</f>
        <v>1.704533843308923E-3</v>
      </c>
      <c r="L84">
        <f>IFERROR(VLOOKUP($A84,koronahun!$A:$AM,12,FALSE),"")</f>
        <v>209035</v>
      </c>
      <c r="M84" s="13">
        <f>IFERROR(VLOOKUP($A84,koronahun!$A:$AM,13,FALSE),"")</f>
        <v>2.4764125046377473E-2</v>
      </c>
      <c r="N84" s="13">
        <f>IFERROR(VLOOKUP($A84,koronahun!$A:$AM,14,FALSE),"")</f>
        <v>0.85443195254645554</v>
      </c>
      <c r="O84">
        <f>IFERROR(VLOOKUP($A84,koronahun!$A:$AM,15,FALSE),"")</f>
        <v>18079</v>
      </c>
      <c r="P84">
        <f>IFERROR(VLOOKUP($A84,koronahun!$A:$AM,16,FALSE),"")</f>
        <v>17933</v>
      </c>
      <c r="Q84" s="13">
        <f>IFERROR(VLOOKUP($A84,koronahun!$A:$AM,17,FALSE),"")</f>
        <v>0.4953437796241566</v>
      </c>
      <c r="R84">
        <f>IFERROR(VLOOKUP($A84,koronahun!$A:$AM,18,FALSE),"")</f>
        <v>97</v>
      </c>
      <c r="S84">
        <f>IFERROR(VLOOKUP($A84,koronahun!$A:$AM,19,FALSE),"")</f>
        <v>10036</v>
      </c>
      <c r="T84">
        <f>IFERROR(VLOOKUP($A84,koronahun!$A:$AM,20,FALSE),"")</f>
        <v>5166</v>
      </c>
      <c r="U84">
        <f>IFERROR(VLOOKUP($A84,koronahun!$A:$AM,21,FALSE),"")</f>
        <v>203</v>
      </c>
      <c r="V84" s="13">
        <f>IFERROR(VLOOKUP($A84,koronahun!$A:$AM,22,FALSE),"")</f>
        <v>0.12080392240716704</v>
      </c>
      <c r="W84">
        <f>IFERROR(VLOOKUP($A84,koronahun!$A:$AM,23,FALSE),"")</f>
        <v>-125</v>
      </c>
      <c r="X84">
        <f>IFERROR(VLOOKUP($A84,koronahun!$A:$AM,24,FALSE),"")</f>
        <v>-8</v>
      </c>
      <c r="Y84" s="14">
        <f>IFERROR(VLOOKUP($A84,koronahun!$A:$AM,25,FALSE),"")</f>
        <v>2.4713564714043103E-2</v>
      </c>
      <c r="Z84" s="14">
        <f>IFERROR(VLOOKUP($A84,koronahun!$A:$AM,26,FALSE),"")</f>
        <v>3.9295392953929538E-2</v>
      </c>
      <c r="AA84" s="14">
        <f>IFERROR(VLOOKUP($A84,koronahun!$A:$AM,27,FALSE),"")</f>
        <v>0.66066494440076384</v>
      </c>
      <c r="AB84" s="14">
        <f>IFERROR(VLOOKUP($A84,koronahun!$A:$AM,28,FALSE),"")</f>
        <v>0.70258447715072869</v>
      </c>
      <c r="AC84" s="14">
        <f>IFERROR(VLOOKUP($A84,koronahun!$A:$AM,29,FALSE),"")</f>
        <v>8402.7142857142862</v>
      </c>
      <c r="AD84" s="14">
        <f>IFERROR(VLOOKUP($A84,koronahun!$A:$AM,30,FALSE),"")</f>
        <v>97.285714285714292</v>
      </c>
      <c r="AE84" s="14">
        <f>IFERROR(VLOOKUP($A84,koronahun!$A:$AM,31,FALSE),"")</f>
        <v>26332</v>
      </c>
      <c r="AF84" s="13">
        <f>IFERROR(VLOOKUP($A84,koronahun!$A:$AM,32,FALSE),"")</f>
        <v>0.39423200037692319</v>
      </c>
      <c r="AG84">
        <f>IFERROR(VLOOKUP($A84,koronahun!$A:$AM,33,FALSE),"")</f>
        <v>6384088</v>
      </c>
      <c r="AH84">
        <f>IFERROR(VLOOKUP($A84,koronahun!$A:$AM,34,FALSE),"")</f>
        <v>529</v>
      </c>
      <c r="AI84">
        <f>IFERROR(VLOOKUP($A84,koronahun!$A:$AM,35,FALSE),"")</f>
        <v>1656</v>
      </c>
      <c r="AJ84">
        <f>IFERROR(VLOOKUP($A84,koronahun!$A:$AM,36,FALSE),"")</f>
        <v>6144019</v>
      </c>
      <c r="AK84">
        <f>IFERROR(VLOOKUP($A84,koronahun!$A:$AM,37,FALSE),"")</f>
        <v>1581</v>
      </c>
      <c r="AL84">
        <f>IFERROR(VLOOKUP($A84,koronahun!$A:$AM,38,FALSE),"")</f>
        <v>3800</v>
      </c>
      <c r="AM84" s="14">
        <f>IFERROR(VLOOKUP($A84,koronahun!$A:$AM,39,FALSE),"")</f>
        <v>11191.857142857143</v>
      </c>
      <c r="AN84" s="11">
        <f ca="1">IFERROR(__xludf.DUMMYFUNCTION("""COMPUTED_VALUE"""),43976)</f>
        <v>43976</v>
      </c>
      <c r="AO84" s="12">
        <f ca="1">IFERROR(VLOOKUP(AN84,koronahun!A:B,2,FALSE),"")</f>
        <v>3756</v>
      </c>
      <c r="AP84" s="11">
        <f t="shared" ca="1" si="0"/>
        <v>43976</v>
      </c>
      <c r="AQ84" s="11">
        <f ca="1">IFERROR(__xludf.DUMMYFUNCTION("""COMPUTED_VALUE"""),43976)</f>
        <v>43976</v>
      </c>
      <c r="AR84" s="11">
        <v>44609</v>
      </c>
      <c r="AS84" s="11">
        <f t="shared" si="1"/>
        <v>44609</v>
      </c>
      <c r="AT84" s="11">
        <f ca="1">IFERROR(__xludf.DUMMYFUNCTION("""COMPUTED_VALUE"""),44608)</f>
        <v>44608</v>
      </c>
    </row>
    <row r="85" spans="1:46" ht="13">
      <c r="A85" s="11">
        <v>44607</v>
      </c>
      <c r="B85">
        <f>IFERROR(VLOOKUP($A85,koronahun!$A:$AM,2,FALSE),"")</f>
        <v>1721483</v>
      </c>
      <c r="C85">
        <f>IFERROR(VLOOKUP($A85,koronahun!$A:$AM,3,FALSE),"")</f>
        <v>4411</v>
      </c>
      <c r="D85">
        <f>IFERROR(VLOOKUP($A85,koronahun!$A:$AM,4,FALSE),"")</f>
        <v>42754</v>
      </c>
      <c r="E85">
        <f>IFERROR(VLOOKUP($A85,koronahun!$A:$AM,5,FALSE),"")</f>
        <v>1468444</v>
      </c>
      <c r="F85">
        <f>IFERROR(VLOOKUP($A85,koronahun!$A:$AM,6,FALSE),"")</f>
        <v>10520765</v>
      </c>
      <c r="G85" s="12">
        <f>IFERROR(VLOOKUP($A85,koronahun!$A:$AM,7,FALSE),"")</f>
        <v>1073547.4489795917</v>
      </c>
      <c r="H85">
        <f>IFERROR(VLOOKUP($A85,koronahun!$A:$AM,8,FALSE),"")</f>
        <v>0</v>
      </c>
      <c r="I85" s="13">
        <f>IFERROR(VLOOKUP($A85,koronahun!$A:$AM,9,FALSE),"")</f>
        <v>2.5689080015281829E-3</v>
      </c>
      <c r="J85" s="13">
        <f>IFERROR(VLOOKUP($A85,koronahun!$A:$AM,10,FALSE),"")</f>
        <v>0.1636271696972606</v>
      </c>
      <c r="K85" s="13">
        <f>IFERROR(VLOOKUP($A85,koronahun!$A:$AM,11,FALSE),"")</f>
        <v>7.3099415204678359E-4</v>
      </c>
      <c r="L85">
        <f>IFERROR(VLOOKUP($A85,koronahun!$A:$AM,12,FALSE),"")</f>
        <v>210285</v>
      </c>
      <c r="M85" s="13">
        <f>IFERROR(VLOOKUP($A85,koronahun!$A:$AM,13,FALSE),"")</f>
        <v>2.4835563290488492E-2</v>
      </c>
      <c r="N85" s="13">
        <f>IFERROR(VLOOKUP($A85,koronahun!$A:$AM,14,FALSE),"")</f>
        <v>0.85301103757632224</v>
      </c>
      <c r="O85">
        <f>IFERROR(VLOOKUP($A85,koronahun!$A:$AM,15,FALSE),"")</f>
        <v>18572</v>
      </c>
      <c r="P85">
        <f>IFERROR(VLOOKUP($A85,koronahun!$A:$AM,16,FALSE),"")</f>
        <v>7685</v>
      </c>
      <c r="Q85" s="13">
        <f>IFERROR(VLOOKUP($A85,koronahun!$A:$AM,17,FALSE),"")</f>
        <v>0.57397527651268709</v>
      </c>
      <c r="R85">
        <f>IFERROR(VLOOKUP($A85,koronahun!$A:$AM,18,FALSE),"")</f>
        <v>123</v>
      </c>
      <c r="S85">
        <f>IFERROR(VLOOKUP($A85,koronahun!$A:$AM,19,FALSE),"")</f>
        <v>17813</v>
      </c>
      <c r="T85">
        <f>IFERROR(VLOOKUP($A85,koronahun!$A:$AM,20,FALSE),"")</f>
        <v>5291</v>
      </c>
      <c r="U85">
        <f>IFERROR(VLOOKUP($A85,koronahun!$A:$AM,21,FALSE),"")</f>
        <v>211</v>
      </c>
      <c r="V85" s="13">
        <f>IFERROR(VLOOKUP($A85,koronahun!$A:$AM,22,FALSE),"")</f>
        <v>0.12215339913318923</v>
      </c>
      <c r="W85">
        <f>IFERROR(VLOOKUP($A85,koronahun!$A:$AM,23,FALSE),"")</f>
        <v>105</v>
      </c>
      <c r="X85">
        <f>IFERROR(VLOOKUP($A85,koronahun!$A:$AM,24,FALSE),"")</f>
        <v>12</v>
      </c>
      <c r="Y85" s="14">
        <f>IFERROR(VLOOKUP($A85,koronahun!$A:$AM,25,FALSE),"")</f>
        <v>2.5161090900444636E-2</v>
      </c>
      <c r="Z85" s="14">
        <f>IFERROR(VLOOKUP($A85,koronahun!$A:$AM,26,FALSE),"")</f>
        <v>3.9879039879039881E-2</v>
      </c>
      <c r="AA85" s="14">
        <f>IFERROR(VLOOKUP($A85,koronahun!$A:$AM,27,FALSE),"")</f>
        <v>0.67379837110182728</v>
      </c>
      <c r="AB85" s="14">
        <f>IFERROR(VLOOKUP($A85,koronahun!$A:$AM,28,FALSE),"")</f>
        <v>0.73051837008573395</v>
      </c>
      <c r="AC85" s="14">
        <f>IFERROR(VLOOKUP($A85,koronahun!$A:$AM,29,FALSE),"")</f>
        <v>9124</v>
      </c>
      <c r="AD85" s="14">
        <f>IFERROR(VLOOKUP($A85,koronahun!$A:$AM,30,FALSE),"")</f>
        <v>97.857142857142861</v>
      </c>
      <c r="AE85" s="14">
        <f>IFERROR(VLOOKUP($A85,koronahun!$A:$AM,31,FALSE),"")</f>
        <v>26845.285714285714</v>
      </c>
      <c r="AF85" s="13">
        <f>IFERROR(VLOOKUP($A85,koronahun!$A:$AM,32,FALSE),"")</f>
        <v>0.42460670817038598</v>
      </c>
      <c r="AG85">
        <f>IFERROR(VLOOKUP($A85,koronahun!$A:$AM,33,FALSE),"")</f>
        <v>6383559</v>
      </c>
      <c r="AH85">
        <f>IFERROR(VLOOKUP($A85,koronahun!$A:$AM,34,FALSE),"")</f>
        <v>552</v>
      </c>
      <c r="AI85">
        <f>IFERROR(VLOOKUP($A85,koronahun!$A:$AM,35,FALSE),"")</f>
        <v>1707.8</v>
      </c>
      <c r="AJ85">
        <f>IFERROR(VLOOKUP($A85,koronahun!$A:$AM,36,FALSE),"")</f>
        <v>6142438</v>
      </c>
      <c r="AK85">
        <f>IFERROR(VLOOKUP($A85,koronahun!$A:$AM,37,FALSE),"")</f>
        <v>2107</v>
      </c>
      <c r="AL85">
        <f>IFERROR(VLOOKUP($A85,koronahun!$A:$AM,38,FALSE),"")</f>
        <v>3856.8</v>
      </c>
      <c r="AM85" s="14">
        <f>IFERROR(VLOOKUP($A85,koronahun!$A:$AM,39,FALSE),"")</f>
        <v>12039.142857142857</v>
      </c>
      <c r="AN85" s="11">
        <f ca="1">IFERROR(__xludf.DUMMYFUNCTION("""COMPUTED_VALUE"""),43977)</f>
        <v>43977</v>
      </c>
      <c r="AO85" s="12">
        <f ca="1">IFERROR(VLOOKUP(AN85,koronahun!A:B,2,FALSE),"")</f>
        <v>3771</v>
      </c>
      <c r="AP85" s="11">
        <f t="shared" ca="1" si="0"/>
        <v>43977</v>
      </c>
      <c r="AQ85" s="11">
        <f ca="1">IFERROR(__xludf.DUMMYFUNCTION("""COMPUTED_VALUE"""),43977)</f>
        <v>43977</v>
      </c>
      <c r="AR85" s="11">
        <v>44608</v>
      </c>
      <c r="AS85" s="11">
        <f t="shared" si="1"/>
        <v>44608</v>
      </c>
      <c r="AT85" s="11">
        <f ca="1">IFERROR(__xludf.DUMMYFUNCTION("""COMPUTED_VALUE"""),44607)</f>
        <v>44607</v>
      </c>
    </row>
    <row r="86" spans="1:46" ht="13">
      <c r="A86" s="11">
        <v>44606</v>
      </c>
      <c r="B86">
        <f>IFERROR(VLOOKUP($A86,koronahun!$A:$AM,2,FALSE),"")</f>
        <v>1717072</v>
      </c>
      <c r="C86">
        <f>IFERROR(VLOOKUP($A86,koronahun!$A:$AM,3,FALSE),"")</f>
        <v>21081</v>
      </c>
      <c r="D86">
        <f>IFERROR(VLOOKUP($A86,koronahun!$A:$AM,4,FALSE),"")</f>
        <v>42631</v>
      </c>
      <c r="E86">
        <f>IFERROR(VLOOKUP($A86,koronahun!$A:$AM,5,FALSE),"")</f>
        <v>1450631</v>
      </c>
      <c r="F86">
        <f>IFERROR(VLOOKUP($A86,koronahun!$A:$AM,6,FALSE),"")</f>
        <v>10513080</v>
      </c>
      <c r="G86" s="12">
        <f>IFERROR(VLOOKUP($A86,koronahun!$A:$AM,7,FALSE),"")</f>
        <v>1072763.2653061224</v>
      </c>
      <c r="H86">
        <f>IFERROR(VLOOKUP($A86,koronahun!$A:$AM,8,FALSE),"")</f>
        <v>0</v>
      </c>
      <c r="I86" s="13">
        <f>IFERROR(VLOOKUP($A86,koronahun!$A:$AM,9,FALSE),"")</f>
        <v>1.2429900866219219E-2</v>
      </c>
      <c r="J86" s="13">
        <f>IFERROR(VLOOKUP($A86,koronahun!$A:$AM,10,FALSE),"")</f>
        <v>0.16332720763087505</v>
      </c>
      <c r="K86" s="13">
        <f>IFERROR(VLOOKUP($A86,koronahun!$A:$AM,11,FALSE),"")</f>
        <v>7.9932209064621437E-3</v>
      </c>
      <c r="L86">
        <f>IFERROR(VLOOKUP($A86,koronahun!$A:$AM,12,FALSE),"")</f>
        <v>223810</v>
      </c>
      <c r="M86" s="13">
        <f>IFERROR(VLOOKUP($A86,koronahun!$A:$AM,13,FALSE),"")</f>
        <v>2.4827729996179541E-2</v>
      </c>
      <c r="N86" s="13">
        <f>IFERROR(VLOOKUP($A86,koronahun!$A:$AM,14,FALSE),"")</f>
        <v>0.84482828908746987</v>
      </c>
      <c r="O86">
        <f>IFERROR(VLOOKUP($A86,koronahun!$A:$AM,15,FALSE),"")</f>
        <v>20046</v>
      </c>
      <c r="P86">
        <f>IFERROR(VLOOKUP($A86,koronahun!$A:$AM,16,FALSE),"")</f>
        <v>83367</v>
      </c>
      <c r="Q86" s="13">
        <f>IFERROR(VLOOKUP($A86,koronahun!$A:$AM,17,FALSE),"")</f>
        <v>0.25286984058440393</v>
      </c>
      <c r="R86">
        <f>IFERROR(VLOOKUP($A86,koronahun!$A:$AM,18,FALSE),"")</f>
        <v>271</v>
      </c>
      <c r="S86">
        <f>IFERROR(VLOOKUP($A86,koronahun!$A:$AM,19,FALSE),"")</f>
        <v>26710</v>
      </c>
      <c r="T86">
        <f>IFERROR(VLOOKUP($A86,koronahun!$A:$AM,20,FALSE),"")</f>
        <v>5186</v>
      </c>
      <c r="U86">
        <f>IFERROR(VLOOKUP($A86,koronahun!$A:$AM,21,FALSE),"")</f>
        <v>199</v>
      </c>
      <c r="V86" s="13">
        <f>IFERROR(VLOOKUP($A86,koronahun!$A:$AM,22,FALSE),"")</f>
        <v>0.13034398091635063</v>
      </c>
      <c r="W86">
        <f>IFERROR(VLOOKUP($A86,koronahun!$A:$AM,23,FALSE),"")</f>
        <v>34</v>
      </c>
      <c r="X86">
        <f>IFERROR(VLOOKUP($A86,koronahun!$A:$AM,24,FALSE),"")</f>
        <v>-10</v>
      </c>
      <c r="Y86" s="14">
        <f>IFERROR(VLOOKUP($A86,koronahun!$A:$AM,25,FALSE),"")</f>
        <v>2.3171440060765828E-2</v>
      </c>
      <c r="Z86" s="14">
        <f>IFERROR(VLOOKUP($A86,koronahun!$A:$AM,26,FALSE),"")</f>
        <v>3.8372541457770921E-2</v>
      </c>
      <c r="AA86" s="14">
        <f>IFERROR(VLOOKUP($A86,koronahun!$A:$AM,27,FALSE),"")</f>
        <v>0.68456210051771871</v>
      </c>
      <c r="AB86" s="14">
        <f>IFERROR(VLOOKUP($A86,koronahun!$A:$AM,28,FALSE),"")</f>
        <v>0.76543960882128714</v>
      </c>
      <c r="AC86" s="14">
        <f>IFERROR(VLOOKUP($A86,koronahun!$A:$AM,29,FALSE),"")</f>
        <v>9501.4285714285706</v>
      </c>
      <c r="AD86" s="14">
        <f>IFERROR(VLOOKUP($A86,koronahun!$A:$AM,30,FALSE),"")</f>
        <v>93.714285714285708</v>
      </c>
      <c r="AE86" s="14">
        <f>IFERROR(VLOOKUP($A86,koronahun!$A:$AM,31,FALSE),"")</f>
        <v>27563.714285714286</v>
      </c>
      <c r="AF86" s="13">
        <f>IFERROR(VLOOKUP($A86,koronahun!$A:$AM,32,FALSE),"")</f>
        <v>0.42076021350966075</v>
      </c>
      <c r="AG86">
        <f>IFERROR(VLOOKUP($A86,koronahun!$A:$AM,33,FALSE),"")</f>
        <v>6383007</v>
      </c>
      <c r="AH86">
        <f>IFERROR(VLOOKUP($A86,koronahun!$A:$AM,34,FALSE),"")</f>
        <v>3942</v>
      </c>
      <c r="AI86">
        <f>IFERROR(VLOOKUP($A86,koronahun!$A:$AM,35,FALSE),"")</f>
        <v>1742.8</v>
      </c>
      <c r="AJ86">
        <f>IFERROR(VLOOKUP($A86,koronahun!$A:$AM,36,FALSE),"")</f>
        <v>6140331</v>
      </c>
      <c r="AK86">
        <f>IFERROR(VLOOKUP($A86,koronahun!$A:$AM,37,FALSE),"")</f>
        <v>8970</v>
      </c>
      <c r="AL86">
        <f>IFERROR(VLOOKUP($A86,koronahun!$A:$AM,38,FALSE),"")</f>
        <v>3883.4</v>
      </c>
      <c r="AM86" s="14">
        <f>IFERROR(VLOOKUP($A86,koronahun!$A:$AM,39,FALSE),"")</f>
        <v>10504.857142857143</v>
      </c>
      <c r="AN86" s="11">
        <f ca="1">IFERROR(__xludf.DUMMYFUNCTION("""COMPUTED_VALUE"""),43978)</f>
        <v>43978</v>
      </c>
      <c r="AO86" s="12">
        <f ca="1">IFERROR(VLOOKUP(AN86,koronahun!A:B,2,FALSE),"")</f>
        <v>3793</v>
      </c>
      <c r="AP86" s="11">
        <f t="shared" ca="1" si="0"/>
        <v>43978</v>
      </c>
      <c r="AQ86" s="11">
        <f ca="1">IFERROR(__xludf.DUMMYFUNCTION("""COMPUTED_VALUE"""),43978)</f>
        <v>43978</v>
      </c>
      <c r="AR86" s="11">
        <v>44607</v>
      </c>
      <c r="AS86" s="11">
        <f t="shared" si="1"/>
        <v>44607</v>
      </c>
      <c r="AT86" s="11">
        <f ca="1">IFERROR(__xludf.DUMMYFUNCTION("""COMPUTED_VALUE"""),44606)</f>
        <v>44606</v>
      </c>
    </row>
    <row r="87" spans="1:46" ht="13">
      <c r="A87" s="11">
        <v>44603</v>
      </c>
      <c r="B87">
        <f>IFERROR(VLOOKUP($A87,koronahun!$A:$AM,2,FALSE),"")</f>
        <v>1695991</v>
      </c>
      <c r="C87">
        <f>IFERROR(VLOOKUP($A87,koronahun!$A:$AM,3,FALSE),"")</f>
        <v>11559</v>
      </c>
      <c r="D87">
        <f>IFERROR(VLOOKUP($A87,koronahun!$A:$AM,4,FALSE),"")</f>
        <v>42360</v>
      </c>
      <c r="E87">
        <f>IFERROR(VLOOKUP($A87,koronahun!$A:$AM,5,FALSE),"")</f>
        <v>1423921</v>
      </c>
      <c r="F87">
        <f>IFERROR(VLOOKUP($A87,koronahun!$A:$AM,6,FALSE),"")</f>
        <v>10429713</v>
      </c>
      <c r="G87" s="12">
        <f>IFERROR(VLOOKUP($A87,koronahun!$A:$AM,7,FALSE),"")</f>
        <v>1064256.4285714284</v>
      </c>
      <c r="H87">
        <f>IFERROR(VLOOKUP($A87,koronahun!$A:$AM,8,FALSE),"")</f>
        <v>0</v>
      </c>
      <c r="I87" s="13">
        <f>IFERROR(VLOOKUP($A87,koronahun!$A:$AM,9,FALSE),"")</f>
        <v>6.8622538636169345E-3</v>
      </c>
      <c r="J87" s="13">
        <f>IFERROR(VLOOKUP($A87,koronahun!$A:$AM,10,FALSE),"")</f>
        <v>0.16261147358513126</v>
      </c>
      <c r="K87" s="13">
        <f>IFERROR(VLOOKUP($A87,koronahun!$A:$AM,11,FALSE),"")</f>
        <v>3.6312628482530322E-3</v>
      </c>
      <c r="L87">
        <f>IFERROR(VLOOKUP($A87,koronahun!$A:$AM,12,FALSE),"")</f>
        <v>229710</v>
      </c>
      <c r="M87" s="13">
        <f>IFERROR(VLOOKUP($A87,koronahun!$A:$AM,13,FALSE),"")</f>
        <v>2.4976547634981555E-2</v>
      </c>
      <c r="N87" s="13">
        <f>IFERROR(VLOOKUP($A87,koronahun!$A:$AM,14,FALSE),"")</f>
        <v>0.83958051664189259</v>
      </c>
      <c r="O87">
        <f>IFERROR(VLOOKUP($A87,koronahun!$A:$AM,15,FALSE),"")</f>
        <v>24341</v>
      </c>
      <c r="P87">
        <f>IFERROR(VLOOKUP($A87,koronahun!$A:$AM,16,FALSE),"")</f>
        <v>37736</v>
      </c>
      <c r="Q87" s="13">
        <f>IFERROR(VLOOKUP($A87,koronahun!$A:$AM,17,FALSE),"")</f>
        <v>0.306312274750901</v>
      </c>
      <c r="R87">
        <f>IFERROR(VLOOKUP($A87,koronahun!$A:$AM,18,FALSE),"")</f>
        <v>91</v>
      </c>
      <c r="S87">
        <f>IFERROR(VLOOKUP($A87,koronahun!$A:$AM,19,FALSE),"")</f>
        <v>13371</v>
      </c>
      <c r="T87">
        <f>IFERROR(VLOOKUP($A87,koronahun!$A:$AM,20,FALSE),"")</f>
        <v>5152</v>
      </c>
      <c r="U87">
        <f>IFERROR(VLOOKUP($A87,koronahun!$A:$AM,21,FALSE),"")</f>
        <v>209</v>
      </c>
      <c r="V87" s="13">
        <f>IFERROR(VLOOKUP($A87,koronahun!$A:$AM,22,FALSE),"")</f>
        <v>0.13544293572312588</v>
      </c>
      <c r="W87">
        <f>IFERROR(VLOOKUP($A87,koronahun!$A:$AM,23,FALSE),"")</f>
        <v>-46</v>
      </c>
      <c r="X87">
        <f>IFERROR(VLOOKUP($A87,koronahun!$A:$AM,24,FALSE),"")</f>
        <v>11</v>
      </c>
      <c r="Y87" s="14">
        <f>IFERROR(VLOOKUP($A87,koronahun!$A:$AM,25,FALSE),"")</f>
        <v>2.2428279134560969E-2</v>
      </c>
      <c r="Z87" s="14">
        <f>IFERROR(VLOOKUP($A87,koronahun!$A:$AM,26,FALSE),"")</f>
        <v>4.05667701863354E-2</v>
      </c>
      <c r="AA87" s="14">
        <f>IFERROR(VLOOKUP($A87,koronahun!$A:$AM,27,FALSE),"")</f>
        <v>0.72952768969839987</v>
      </c>
      <c r="AB87" s="14">
        <f>IFERROR(VLOOKUP($A87,koronahun!$A:$AM,28,FALSE),"")</f>
        <v>0.80199085592002872</v>
      </c>
      <c r="AC87" s="14">
        <f>IFERROR(VLOOKUP($A87,koronahun!$A:$AM,29,FALSE),"")</f>
        <v>11306.428571428571</v>
      </c>
      <c r="AD87" s="14">
        <f>IFERROR(VLOOKUP($A87,koronahun!$A:$AM,30,FALSE),"")</f>
        <v>88.428571428571431</v>
      </c>
      <c r="AE87" s="14">
        <f>IFERROR(VLOOKUP($A87,koronahun!$A:$AM,31,FALSE),"")</f>
        <v>31752.714285714286</v>
      </c>
      <c r="AF87" s="13">
        <f>IFERROR(VLOOKUP($A87,koronahun!$A:$AM,32,FALSE),"")</f>
        <v>0.43002474037902544</v>
      </c>
      <c r="AG87">
        <f>IFERROR(VLOOKUP($A87,koronahun!$A:$AM,33,FALSE),"")</f>
        <v>6379065</v>
      </c>
      <c r="AH87">
        <f>IFERROR(VLOOKUP($A87,koronahun!$A:$AM,34,FALSE),"")</f>
        <v>2163</v>
      </c>
      <c r="AI87">
        <f>IFERROR(VLOOKUP($A87,koronahun!$A:$AM,35,FALSE),"")</f>
        <v>1995.2</v>
      </c>
      <c r="AJ87">
        <f>IFERROR(VLOOKUP($A87,koronahun!$A:$AM,36,FALSE),"")</f>
        <v>6131361</v>
      </c>
      <c r="AK87">
        <f>IFERROR(VLOOKUP($A87,koronahun!$A:$AM,37,FALSE),"")</f>
        <v>3752</v>
      </c>
      <c r="AL87">
        <f>IFERROR(VLOOKUP($A87,koronahun!$A:$AM,38,FALSE),"")</f>
        <v>3945.8</v>
      </c>
      <c r="AM87" s="14">
        <f>IFERROR(VLOOKUP($A87,koronahun!$A:$AM,39,FALSE),"")</f>
        <v>10889</v>
      </c>
      <c r="AN87" s="11">
        <f ca="1">IFERROR(__xludf.DUMMYFUNCTION("""COMPUTED_VALUE"""),43979)</f>
        <v>43979</v>
      </c>
      <c r="AO87" s="12">
        <f ca="1">IFERROR(VLOOKUP(AN87,koronahun!A:B,2,FALSE),"")</f>
        <v>3816</v>
      </c>
      <c r="AP87" s="11">
        <f t="shared" ca="1" si="0"/>
        <v>43979</v>
      </c>
      <c r="AQ87" s="11">
        <f ca="1">IFERROR(__xludf.DUMMYFUNCTION("""COMPUTED_VALUE"""),43979)</f>
        <v>43979</v>
      </c>
      <c r="AR87" s="11">
        <v>44606</v>
      </c>
      <c r="AS87" s="11">
        <f t="shared" si="1"/>
        <v>44606</v>
      </c>
      <c r="AT87" s="11">
        <f ca="1">IFERROR(__xludf.DUMMYFUNCTION("""COMPUTED_VALUE"""),44603)</f>
        <v>44603</v>
      </c>
    </row>
    <row r="88" spans="1:46" ht="13">
      <c r="A88" s="11">
        <v>44602</v>
      </c>
      <c r="B88">
        <f>IFERROR(VLOOKUP($A88,koronahun!$A:$AM,2,FALSE),"")</f>
        <v>1684432</v>
      </c>
      <c r="C88">
        <f>IFERROR(VLOOKUP($A88,koronahun!$A:$AM,3,FALSE),"")</f>
        <v>12885</v>
      </c>
      <c r="D88">
        <f>IFERROR(VLOOKUP($A88,koronahun!$A:$AM,4,FALSE),"")</f>
        <v>42269</v>
      </c>
      <c r="E88">
        <f>IFERROR(VLOOKUP($A88,koronahun!$A:$AM,5,FALSE),"")</f>
        <v>1410550</v>
      </c>
      <c r="F88">
        <f>IFERROR(VLOOKUP($A88,koronahun!$A:$AM,6,FALSE),"")</f>
        <v>10391977</v>
      </c>
      <c r="G88" s="12">
        <f>IFERROR(VLOOKUP($A88,koronahun!$A:$AM,7,FALSE),"")</f>
        <v>1060405.8163265307</v>
      </c>
      <c r="H88">
        <f>IFERROR(VLOOKUP($A88,koronahun!$A:$AM,8,FALSE),"")</f>
        <v>0</v>
      </c>
      <c r="I88" s="13">
        <f>IFERROR(VLOOKUP($A88,koronahun!$A:$AM,9,FALSE),"")</f>
        <v>7.7084281806015622E-3</v>
      </c>
      <c r="J88" s="13">
        <f>IFERROR(VLOOKUP($A88,koronahun!$A:$AM,10,FALSE),"")</f>
        <v>0.16208965820459378</v>
      </c>
      <c r="K88" s="13">
        <f>IFERROR(VLOOKUP($A88,koronahun!$A:$AM,11,FALSE),"")</f>
        <v>3.6316053486188543E-3</v>
      </c>
      <c r="L88">
        <f>IFERROR(VLOOKUP($A88,koronahun!$A:$AM,12,FALSE),"")</f>
        <v>231613</v>
      </c>
      <c r="M88" s="13">
        <f>IFERROR(VLOOKUP($A88,koronahun!$A:$AM,13,FALSE),"")</f>
        <v>2.5093918899664693E-2</v>
      </c>
      <c r="N88" s="13">
        <f>IFERROR(VLOOKUP($A88,koronahun!$A:$AM,14,FALSE),"")</f>
        <v>0.83740394388137962</v>
      </c>
      <c r="O88">
        <f>IFERROR(VLOOKUP($A88,koronahun!$A:$AM,15,FALSE),"")</f>
        <v>23046</v>
      </c>
      <c r="P88">
        <f>IFERROR(VLOOKUP($A88,koronahun!$A:$AM,16,FALSE),"")</f>
        <v>37603</v>
      </c>
      <c r="Q88" s="13">
        <f>IFERROR(VLOOKUP($A88,koronahun!$A:$AM,17,FALSE),"")</f>
        <v>0.34265883041246709</v>
      </c>
      <c r="R88">
        <f>IFERROR(VLOOKUP($A88,koronahun!$A:$AM,18,FALSE),"")</f>
        <v>99</v>
      </c>
      <c r="S88">
        <f>IFERROR(VLOOKUP($A88,koronahun!$A:$AM,19,FALSE),"")</f>
        <v>10413</v>
      </c>
      <c r="T88">
        <f>IFERROR(VLOOKUP($A88,koronahun!$A:$AM,20,FALSE),"")</f>
        <v>5198</v>
      </c>
      <c r="U88">
        <f>IFERROR(VLOOKUP($A88,koronahun!$A:$AM,21,FALSE),"")</f>
        <v>198</v>
      </c>
      <c r="V88" s="13">
        <f>IFERROR(VLOOKUP($A88,koronahun!$A:$AM,22,FALSE),"")</f>
        <v>0.13750213721895571</v>
      </c>
      <c r="W88">
        <f>IFERROR(VLOOKUP($A88,koronahun!$A:$AM,23,FALSE),"")</f>
        <v>90</v>
      </c>
      <c r="X88">
        <f>IFERROR(VLOOKUP($A88,koronahun!$A:$AM,24,FALSE),"")</f>
        <v>5</v>
      </c>
      <c r="Y88" s="14">
        <f>IFERROR(VLOOKUP($A88,koronahun!$A:$AM,25,FALSE),"")</f>
        <v>2.2442609007266433E-2</v>
      </c>
      <c r="Z88" s="14">
        <f>IFERROR(VLOOKUP($A88,koronahun!$A:$AM,26,FALSE),"")</f>
        <v>3.8091573682185458E-2</v>
      </c>
      <c r="AA88" s="14">
        <f>IFERROR(VLOOKUP($A88,koronahun!$A:$AM,27,FALSE),"")</f>
        <v>0.76436928003493387</v>
      </c>
      <c r="AB88" s="14">
        <f>IFERROR(VLOOKUP($A88,koronahun!$A:$AM,28,FALSE),"")</f>
        <v>0.85905442023383549</v>
      </c>
      <c r="AC88" s="14">
        <f>IFERROR(VLOOKUP($A88,koronahun!$A:$AM,29,FALSE),"")</f>
        <v>12003</v>
      </c>
      <c r="AD88" s="14">
        <f>IFERROR(VLOOKUP($A88,koronahun!$A:$AM,30,FALSE),"")</f>
        <v>90.428571428571431</v>
      </c>
      <c r="AE88" s="14">
        <f>IFERROR(VLOOKUP($A88,koronahun!$A:$AM,31,FALSE),"")</f>
        <v>32866.571428571428</v>
      </c>
      <c r="AF88" s="13">
        <f>IFERROR(VLOOKUP($A88,koronahun!$A:$AM,32,FALSE),"")</f>
        <v>0.44095168652255745</v>
      </c>
      <c r="AG88">
        <f>IFERROR(VLOOKUP($A88,koronahun!$A:$AM,33,FALSE),"")</f>
        <v>6376902</v>
      </c>
      <c r="AH88">
        <f>IFERROR(VLOOKUP($A88,koronahun!$A:$AM,34,FALSE),"")</f>
        <v>1094</v>
      </c>
      <c r="AI88">
        <f>IFERROR(VLOOKUP($A88,koronahun!$A:$AM,35,FALSE),"")</f>
        <v>2100</v>
      </c>
      <c r="AJ88">
        <f>IFERROR(VLOOKUP($A88,koronahun!$A:$AM,36,FALSE),"")</f>
        <v>6127609</v>
      </c>
      <c r="AK88">
        <f>IFERROR(VLOOKUP($A88,koronahun!$A:$AM,37,FALSE),"")</f>
        <v>2590</v>
      </c>
      <c r="AL88">
        <f>IFERROR(VLOOKUP($A88,koronahun!$A:$AM,38,FALSE),"")</f>
        <v>3953.2</v>
      </c>
      <c r="AM88" s="14">
        <f>IFERROR(VLOOKUP($A88,koronahun!$A:$AM,39,FALSE),"")</f>
        <v>11382</v>
      </c>
      <c r="AN88" s="11">
        <f ca="1">IFERROR(__xludf.DUMMYFUNCTION("""COMPUTED_VALUE"""),43980)</f>
        <v>43980</v>
      </c>
      <c r="AO88" s="12">
        <f ca="1">IFERROR(VLOOKUP(AN88,koronahun!A:B,2,FALSE),"")</f>
        <v>3841</v>
      </c>
      <c r="AP88" s="11">
        <f t="shared" ca="1" si="0"/>
        <v>43980</v>
      </c>
      <c r="AQ88" s="11">
        <f ca="1">IFERROR(__xludf.DUMMYFUNCTION("""COMPUTED_VALUE"""),43980)</f>
        <v>43980</v>
      </c>
      <c r="AR88" s="11">
        <v>44603</v>
      </c>
      <c r="AS88" s="11">
        <f t="shared" si="1"/>
        <v>44603</v>
      </c>
      <c r="AT88" s="11">
        <f ca="1">IFERROR(__xludf.DUMMYFUNCTION("""COMPUTED_VALUE"""),44602)</f>
        <v>44602</v>
      </c>
    </row>
    <row r="89" spans="1:46" ht="13">
      <c r="A89" s="11">
        <v>44601</v>
      </c>
      <c r="B89">
        <f>IFERROR(VLOOKUP($A89,koronahun!$A:$AM,2,FALSE),"")</f>
        <v>1671547</v>
      </c>
      <c r="C89">
        <f>IFERROR(VLOOKUP($A89,koronahun!$A:$AM,3,FALSE),"")</f>
        <v>13932</v>
      </c>
      <c r="D89">
        <f>IFERROR(VLOOKUP($A89,koronahun!$A:$AM,4,FALSE),"")</f>
        <v>42170</v>
      </c>
      <c r="E89">
        <f>IFERROR(VLOOKUP($A89,koronahun!$A:$AM,5,FALSE),"")</f>
        <v>1400137</v>
      </c>
      <c r="F89">
        <f>IFERROR(VLOOKUP($A89,koronahun!$A:$AM,6,FALSE),"")</f>
        <v>10354374</v>
      </c>
      <c r="G89" s="12">
        <f>IFERROR(VLOOKUP($A89,koronahun!$A:$AM,7,FALSE),"")</f>
        <v>1056568.775510204</v>
      </c>
      <c r="H89">
        <f>IFERROR(VLOOKUP($A89,koronahun!$A:$AM,8,FALSE),"")</f>
        <v>0</v>
      </c>
      <c r="I89" s="13">
        <f>IFERROR(VLOOKUP($A89,koronahun!$A:$AM,9,FALSE),"")</f>
        <v>8.4048467225501695E-3</v>
      </c>
      <c r="J89" s="13">
        <f>IFERROR(VLOOKUP($A89,koronahun!$A:$AM,10,FALSE),"")</f>
        <v>0.16143390223300799</v>
      </c>
      <c r="K89" s="13">
        <f>IFERROR(VLOOKUP($A89,koronahun!$A:$AM,11,FALSE),"")</f>
        <v>2.0832591363000789E-3</v>
      </c>
      <c r="L89">
        <f>IFERROR(VLOOKUP($A89,koronahun!$A:$AM,12,FALSE),"")</f>
        <v>229240</v>
      </c>
      <c r="M89" s="13">
        <f>IFERROR(VLOOKUP($A89,koronahun!$A:$AM,13,FALSE),"")</f>
        <v>2.5228126998522924E-2</v>
      </c>
      <c r="N89" s="13">
        <f>IFERROR(VLOOKUP($A89,koronahun!$A:$AM,14,FALSE),"")</f>
        <v>0.83762945343445327</v>
      </c>
      <c r="O89">
        <f>IFERROR(VLOOKUP($A89,koronahun!$A:$AM,15,FALSE),"")</f>
        <v>22242</v>
      </c>
      <c r="P89">
        <f>IFERROR(VLOOKUP($A89,koronahun!$A:$AM,16,FALSE),"")</f>
        <v>21526</v>
      </c>
      <c r="Q89" s="13">
        <f>IFERROR(VLOOKUP($A89,koronahun!$A:$AM,17,FALSE),"")</f>
        <v>0.6472173185914708</v>
      </c>
      <c r="R89">
        <f>IFERROR(VLOOKUP($A89,koronahun!$A:$AM,18,FALSE),"")</f>
        <v>101</v>
      </c>
      <c r="S89">
        <f>IFERROR(VLOOKUP($A89,koronahun!$A:$AM,19,FALSE),"")</f>
        <v>15967</v>
      </c>
      <c r="T89">
        <f>IFERROR(VLOOKUP($A89,koronahun!$A:$AM,20,FALSE),"")</f>
        <v>5108</v>
      </c>
      <c r="U89">
        <f>IFERROR(VLOOKUP($A89,koronahun!$A:$AM,21,FALSE),"")</f>
        <v>193</v>
      </c>
      <c r="V89" s="13">
        <f>IFERROR(VLOOKUP($A89,koronahun!$A:$AM,22,FALSE),"")</f>
        <v>0.13714241956702383</v>
      </c>
      <c r="W89">
        <f>IFERROR(VLOOKUP($A89,koronahun!$A:$AM,23,FALSE),"")</f>
        <v>-59</v>
      </c>
      <c r="X89">
        <f>IFERROR(VLOOKUP($A89,koronahun!$A:$AM,24,FALSE),"")</f>
        <v>17</v>
      </c>
      <c r="Y89" s="14">
        <f>IFERROR(VLOOKUP($A89,koronahun!$A:$AM,25,FALSE),"")</f>
        <v>2.2282324201709999E-2</v>
      </c>
      <c r="Z89" s="14">
        <f>IFERROR(VLOOKUP($A89,koronahun!$A:$AM,26,FALSE),"")</f>
        <v>3.7783868441660144E-2</v>
      </c>
      <c r="AA89" s="14">
        <f>IFERROR(VLOOKUP($A89,koronahun!$A:$AM,27,FALSE),"")</f>
        <v>0.80033440907579045</v>
      </c>
      <c r="AB89" s="14">
        <f>IFERROR(VLOOKUP($A89,koronahun!$A:$AM,28,FALSE),"")</f>
        <v>0.91557773916898566</v>
      </c>
      <c r="AC89" s="14">
        <f>IFERROR(VLOOKUP($A89,koronahun!$A:$AM,29,FALSE),"")</f>
        <v>12718.571428571429</v>
      </c>
      <c r="AD89" s="14">
        <f>IFERROR(VLOOKUP($A89,koronahun!$A:$AM,30,FALSE),"")</f>
        <v>88.857142857142861</v>
      </c>
      <c r="AE89" s="14">
        <f>IFERROR(VLOOKUP($A89,koronahun!$A:$AM,31,FALSE),"")</f>
        <v>34042.714285714283</v>
      </c>
      <c r="AF89" s="13">
        <f>IFERROR(VLOOKUP($A89,koronahun!$A:$AM,32,FALSE),"")</f>
        <v>0.4504982867896582</v>
      </c>
      <c r="AG89">
        <f>IFERROR(VLOOKUP($A89,koronahun!$A:$AM,33,FALSE),"")</f>
        <v>6375808</v>
      </c>
      <c r="AH89">
        <f>IFERROR(VLOOKUP($A89,koronahun!$A:$AM,34,FALSE),"")</f>
        <v>788</v>
      </c>
      <c r="AI89">
        <f>IFERROR(VLOOKUP($A89,koronahun!$A:$AM,35,FALSE),"")</f>
        <v>2111.6</v>
      </c>
      <c r="AJ89">
        <f>IFERROR(VLOOKUP($A89,koronahun!$A:$AM,36,FALSE),"")</f>
        <v>6125019</v>
      </c>
      <c r="AK89">
        <f>IFERROR(VLOOKUP($A89,koronahun!$A:$AM,37,FALSE),"")</f>
        <v>1865</v>
      </c>
      <c r="AL89">
        <f>IFERROR(VLOOKUP($A89,koronahun!$A:$AM,38,FALSE),"")</f>
        <v>3935.4</v>
      </c>
      <c r="AM89" s="14">
        <f>IFERROR(VLOOKUP($A89,koronahun!$A:$AM,39,FALSE),"")</f>
        <v>12816.714285714286</v>
      </c>
      <c r="AN89" s="11">
        <f ca="1">IFERROR(__xludf.DUMMYFUNCTION("""COMPUTED_VALUE"""),43981)</f>
        <v>43981</v>
      </c>
      <c r="AO89" s="12">
        <f ca="1">IFERROR(VLOOKUP(AN89,koronahun!A:B,2,FALSE),"")</f>
        <v>3867</v>
      </c>
      <c r="AP89" s="11">
        <f t="shared" ca="1" si="0"/>
        <v>43981</v>
      </c>
      <c r="AQ89" s="11">
        <f ca="1">IFERROR(__xludf.DUMMYFUNCTION("""COMPUTED_VALUE"""),43981)</f>
        <v>43981</v>
      </c>
      <c r="AR89" s="11">
        <v>44602</v>
      </c>
      <c r="AS89" s="11">
        <f t="shared" si="1"/>
        <v>44602</v>
      </c>
      <c r="AT89" s="11">
        <f ca="1">IFERROR(__xludf.DUMMYFUNCTION("""COMPUTED_VALUE"""),44601)</f>
        <v>44601</v>
      </c>
    </row>
    <row r="90" spans="1:46" ht="13">
      <c r="A90" s="11">
        <v>44600</v>
      </c>
      <c r="B90">
        <f>IFERROR(VLOOKUP($A90,koronahun!$A:$AM,2,FALSE),"")</f>
        <v>1657615</v>
      </c>
      <c r="C90">
        <f>IFERROR(VLOOKUP($A90,koronahun!$A:$AM,3,FALSE),"")</f>
        <v>7053</v>
      </c>
      <c r="D90">
        <f>IFERROR(VLOOKUP($A90,koronahun!$A:$AM,4,FALSE),"")</f>
        <v>42069</v>
      </c>
      <c r="E90">
        <f>IFERROR(VLOOKUP($A90,koronahun!$A:$AM,5,FALSE),"")</f>
        <v>1384170</v>
      </c>
      <c r="F90">
        <f>IFERROR(VLOOKUP($A90,koronahun!$A:$AM,6,FALSE),"")</f>
        <v>10332848</v>
      </c>
      <c r="G90" s="12">
        <f>IFERROR(VLOOKUP($A90,koronahun!$A:$AM,7,FALSE),"")</f>
        <v>1054372.2448979591</v>
      </c>
      <c r="H90">
        <f>IFERROR(VLOOKUP($A90,koronahun!$A:$AM,8,FALSE),"")</f>
        <v>0</v>
      </c>
      <c r="I90" s="13">
        <f>IFERROR(VLOOKUP($A90,koronahun!$A:$AM,9,FALSE),"")</f>
        <v>4.2730900141891067E-3</v>
      </c>
      <c r="J90" s="13">
        <f>IFERROR(VLOOKUP($A90,koronahun!$A:$AM,10,FALSE),"")</f>
        <v>0.16042188949261618</v>
      </c>
      <c r="K90" s="13">
        <f>IFERROR(VLOOKUP($A90,koronahun!$A:$AM,11,FALSE),"")</f>
        <v>1.2319607477964919E-3</v>
      </c>
      <c r="L90">
        <f>IFERROR(VLOOKUP($A90,koronahun!$A:$AM,12,FALSE),"")</f>
        <v>231376</v>
      </c>
      <c r="M90" s="13">
        <f>IFERROR(VLOOKUP($A90,koronahun!$A:$AM,13,FALSE),"")</f>
        <v>2.5379234623238808E-2</v>
      </c>
      <c r="N90" s="13">
        <f>IFERROR(VLOOKUP($A90,koronahun!$A:$AM,14,FALSE),"")</f>
        <v>0.83503708641632712</v>
      </c>
      <c r="O90">
        <f>IFERROR(VLOOKUP($A90,koronahun!$A:$AM,15,FALSE),"")</f>
        <v>23288</v>
      </c>
      <c r="P90">
        <f>IFERROR(VLOOKUP($A90,koronahun!$A:$AM,16,FALSE),"")</f>
        <v>12714</v>
      </c>
      <c r="Q90" s="13">
        <f>IFERROR(VLOOKUP($A90,koronahun!$A:$AM,17,FALSE),"")</f>
        <v>0.55474280320906089</v>
      </c>
      <c r="R90">
        <f>IFERROR(VLOOKUP($A90,koronahun!$A:$AM,18,FALSE),"")</f>
        <v>94</v>
      </c>
      <c r="S90">
        <f>IFERROR(VLOOKUP($A90,koronahun!$A:$AM,19,FALSE),"")</f>
        <v>7073</v>
      </c>
      <c r="T90">
        <f>IFERROR(VLOOKUP($A90,koronahun!$A:$AM,20,FALSE),"")</f>
        <v>5167</v>
      </c>
      <c r="U90">
        <f>IFERROR(VLOOKUP($A90,koronahun!$A:$AM,21,FALSE),"")</f>
        <v>176</v>
      </c>
      <c r="V90" s="13">
        <f>IFERROR(VLOOKUP($A90,koronahun!$A:$AM,22,FALSE),"")</f>
        <v>0.13958367896043411</v>
      </c>
      <c r="W90">
        <f>IFERROR(VLOOKUP($A90,koronahun!$A:$AM,23,FALSE),"")</f>
        <v>248</v>
      </c>
      <c r="X90">
        <f>IFERROR(VLOOKUP($A90,koronahun!$A:$AM,24,FALSE),"")</f>
        <v>8</v>
      </c>
      <c r="Y90" s="14">
        <f>IFERROR(VLOOKUP($A90,koronahun!$A:$AM,25,FALSE),"")</f>
        <v>2.2331616070811147E-2</v>
      </c>
      <c r="Z90" s="14">
        <f>IFERROR(VLOOKUP($A90,koronahun!$A:$AM,26,FALSE),"")</f>
        <v>3.4062318560092897E-2</v>
      </c>
      <c r="AA90" s="14">
        <f>IFERROR(VLOOKUP($A90,koronahun!$A:$AM,27,FALSE),"")</f>
        <v>0.8484045647795927</v>
      </c>
      <c r="AB90" s="14">
        <f>IFERROR(VLOOKUP($A90,koronahun!$A:$AM,28,FALSE),"")</f>
        <v>0.97513337221039487</v>
      </c>
      <c r="AC90" s="14">
        <f>IFERROR(VLOOKUP($A90,koronahun!$A:$AM,29,FALSE),"")</f>
        <v>13541.142857142857</v>
      </c>
      <c r="AD90" s="14">
        <f>IFERROR(VLOOKUP($A90,koronahun!$A:$AM,30,FALSE),"")</f>
        <v>85.428571428571431</v>
      </c>
      <c r="AE90" s="14">
        <f>IFERROR(VLOOKUP($A90,koronahun!$A:$AM,31,FALSE),"")</f>
        <v>34758.285714285717</v>
      </c>
      <c r="AF90" s="13">
        <f>IFERROR(VLOOKUP($A90,koronahun!$A:$AM,32,FALSE),"")</f>
        <v>0.46946258640281313</v>
      </c>
      <c r="AG90">
        <f>IFERROR(VLOOKUP($A90,koronahun!$A:$AM,33,FALSE),"")</f>
        <v>6375020</v>
      </c>
      <c r="AH90">
        <f>IFERROR(VLOOKUP($A90,koronahun!$A:$AM,34,FALSE),"")</f>
        <v>727</v>
      </c>
      <c r="AI90">
        <f>IFERROR(VLOOKUP($A90,koronahun!$A:$AM,35,FALSE),"")</f>
        <v>2170.6</v>
      </c>
      <c r="AJ90">
        <f>IFERROR(VLOOKUP($A90,koronahun!$A:$AM,36,FALSE),"")</f>
        <v>6123154</v>
      </c>
      <c r="AK90">
        <f>IFERROR(VLOOKUP($A90,koronahun!$A:$AM,37,FALSE),"")</f>
        <v>2240</v>
      </c>
      <c r="AL90">
        <f>IFERROR(VLOOKUP($A90,koronahun!$A:$AM,38,FALSE),"")</f>
        <v>3937.8</v>
      </c>
      <c r="AM90" s="14">
        <f>IFERROR(VLOOKUP($A90,koronahun!$A:$AM,39,FALSE),"")</f>
        <v>13238.714285714286</v>
      </c>
      <c r="AN90" s="11">
        <f ca="1">IFERROR(__xludf.DUMMYFUNCTION("""COMPUTED_VALUE"""),43982)</f>
        <v>43982</v>
      </c>
      <c r="AO90" s="12">
        <f ca="1">IFERROR(VLOOKUP(AN90,koronahun!A:B,2,FALSE),"")</f>
        <v>3876</v>
      </c>
      <c r="AP90" s="11">
        <f t="shared" ca="1" si="0"/>
        <v>43982</v>
      </c>
      <c r="AQ90" s="11">
        <f ca="1">IFERROR(__xludf.DUMMYFUNCTION("""COMPUTED_VALUE"""),43982)</f>
        <v>43982</v>
      </c>
      <c r="AR90" s="11">
        <v>44601</v>
      </c>
      <c r="AS90" s="11">
        <f t="shared" si="1"/>
        <v>44601</v>
      </c>
      <c r="AT90" s="11">
        <f ca="1">IFERROR(__xludf.DUMMYFUNCTION("""COMPUTED_VALUE"""),44600)</f>
        <v>44600</v>
      </c>
    </row>
    <row r="91" spans="1:46" ht="13">
      <c r="A91" s="11">
        <v>44599</v>
      </c>
      <c r="B91">
        <f>IFERROR(VLOOKUP($A91,koronahun!$A:$AM,2,FALSE),"")</f>
        <v>1650562</v>
      </c>
      <c r="C91">
        <f>IFERROR(VLOOKUP($A91,koronahun!$A:$AM,3,FALSE),"")</f>
        <v>33716</v>
      </c>
      <c r="D91">
        <f>IFERROR(VLOOKUP($A91,koronahun!$A:$AM,4,FALSE),"")</f>
        <v>41975</v>
      </c>
      <c r="E91">
        <f>IFERROR(VLOOKUP($A91,koronahun!$A:$AM,5,FALSE),"")</f>
        <v>1377097</v>
      </c>
      <c r="F91">
        <f>IFERROR(VLOOKUP($A91,koronahun!$A:$AM,6,FALSE),"")</f>
        <v>10320134</v>
      </c>
      <c r="G91" s="12">
        <f>IFERROR(VLOOKUP($A91,koronahun!$A:$AM,7,FALSE),"")</f>
        <v>1053074.8979591837</v>
      </c>
      <c r="H91">
        <f>IFERROR(VLOOKUP($A91,koronahun!$A:$AM,8,FALSE),"")</f>
        <v>0</v>
      </c>
      <c r="I91" s="13">
        <f>IFERROR(VLOOKUP($A91,koronahun!$A:$AM,9,FALSE),"")</f>
        <v>2.0852944559964275E-2</v>
      </c>
      <c r="J91" s="13">
        <f>IFERROR(VLOOKUP($A91,koronahun!$A:$AM,10,FALSE),"")</f>
        <v>0.15993610160488225</v>
      </c>
      <c r="K91" s="13">
        <f>IFERROR(VLOOKUP($A91,koronahun!$A:$AM,11,FALSE),"")</f>
        <v>1.1039982193387492E-2</v>
      </c>
      <c r="L91">
        <f>IFERROR(VLOOKUP($A91,koronahun!$A:$AM,12,FALSE),"")</f>
        <v>231490</v>
      </c>
      <c r="M91" s="13">
        <f>IFERROR(VLOOKUP($A91,koronahun!$A:$AM,13,FALSE),"")</f>
        <v>2.5430732077922551E-2</v>
      </c>
      <c r="N91" s="13">
        <f>IFERROR(VLOOKUP($A91,koronahun!$A:$AM,14,FALSE),"")</f>
        <v>0.83432006795261249</v>
      </c>
      <c r="O91">
        <f>IFERROR(VLOOKUP($A91,koronahun!$A:$AM,15,FALSE),"")</f>
        <v>22859</v>
      </c>
      <c r="P91">
        <f>IFERROR(VLOOKUP($A91,koronahun!$A:$AM,16,FALSE),"")</f>
        <v>112690</v>
      </c>
      <c r="Q91" s="13">
        <f>IFERROR(VLOOKUP($A91,koronahun!$A:$AM,17,FALSE),"")</f>
        <v>0.29919247493122725</v>
      </c>
      <c r="R91">
        <f>IFERROR(VLOOKUP($A91,koronahun!$A:$AM,18,FALSE),"")</f>
        <v>234</v>
      </c>
      <c r="S91">
        <f>IFERROR(VLOOKUP($A91,koronahun!$A:$AM,19,FALSE),"")</f>
        <v>29399</v>
      </c>
      <c r="T91">
        <f>IFERROR(VLOOKUP($A91,koronahun!$A:$AM,20,FALSE),"")</f>
        <v>4919</v>
      </c>
      <c r="U91">
        <f>IFERROR(VLOOKUP($A91,koronahun!$A:$AM,21,FALSE),"")</f>
        <v>168</v>
      </c>
      <c r="V91" s="13">
        <f>IFERROR(VLOOKUP($A91,koronahun!$A:$AM,22,FALSE),"")</f>
        <v>0.14024919996946494</v>
      </c>
      <c r="W91">
        <f>IFERROR(VLOOKUP($A91,koronahun!$A:$AM,23,FALSE),"")</f>
        <v>331</v>
      </c>
      <c r="X91">
        <f>IFERROR(VLOOKUP($A91,koronahun!$A:$AM,24,FALSE),"")</f>
        <v>0</v>
      </c>
      <c r="Y91" s="14">
        <f>IFERROR(VLOOKUP($A91,koronahun!$A:$AM,25,FALSE),"")</f>
        <v>2.1249298025832648E-2</v>
      </c>
      <c r="Z91" s="14">
        <f>IFERROR(VLOOKUP($A91,koronahun!$A:$AM,26,FALSE),"")</f>
        <v>3.4153283187639764E-2</v>
      </c>
      <c r="AA91" s="14">
        <f>IFERROR(VLOOKUP($A91,koronahun!$A:$AM,27,FALSE),"")</f>
        <v>0.86731833601142649</v>
      </c>
      <c r="AB91" s="14">
        <f>IFERROR(VLOOKUP($A91,koronahun!$A:$AM,28,FALSE),"")</f>
        <v>1.0381692415244677</v>
      </c>
      <c r="AC91" s="14">
        <f>IFERROR(VLOOKUP($A91,koronahun!$A:$AM,29,FALSE),"")</f>
        <v>13879.571428571429</v>
      </c>
      <c r="AD91" s="14">
        <f>IFERROR(VLOOKUP($A91,koronahun!$A:$AM,30,FALSE),"")</f>
        <v>81.428571428571431</v>
      </c>
      <c r="AE91" s="14">
        <f>IFERROR(VLOOKUP($A91,koronahun!$A:$AM,31,FALSE),"")</f>
        <v>35540.714285714283</v>
      </c>
      <c r="AF91" s="13">
        <f>IFERROR(VLOOKUP($A91,koronahun!$A:$AM,32,FALSE),"")</f>
        <v>0.46210371296896097</v>
      </c>
      <c r="AG91">
        <f>IFERROR(VLOOKUP($A91,koronahun!$A:$AM,33,FALSE),"")</f>
        <v>6374293</v>
      </c>
      <c r="AH91">
        <f>IFERROR(VLOOKUP($A91,koronahun!$A:$AM,34,FALSE),"")</f>
        <v>5204</v>
      </c>
      <c r="AI91">
        <f>IFERROR(VLOOKUP($A91,koronahun!$A:$AM,35,FALSE),"")</f>
        <v>2236.1999999999998</v>
      </c>
      <c r="AJ91">
        <f>IFERROR(VLOOKUP($A91,koronahun!$A:$AM,36,FALSE),"")</f>
        <v>6120914</v>
      </c>
      <c r="AK91">
        <f>IFERROR(VLOOKUP($A91,koronahun!$A:$AM,37,FALSE),"")</f>
        <v>9282</v>
      </c>
      <c r="AL91">
        <f>IFERROR(VLOOKUP($A91,koronahun!$A:$AM,38,FALSE),"")</f>
        <v>3843</v>
      </c>
      <c r="AM91" s="14">
        <f>IFERROR(VLOOKUP($A91,koronahun!$A:$AM,39,FALSE),"")</f>
        <v>13814</v>
      </c>
      <c r="AN91" s="11">
        <f ca="1">IFERROR(__xludf.DUMMYFUNCTION("""COMPUTED_VALUE"""),43983)</f>
        <v>43983</v>
      </c>
      <c r="AO91" s="12">
        <f ca="1">IFERROR(VLOOKUP(AN91,koronahun!A:B,2,FALSE),"")</f>
        <v>3892</v>
      </c>
      <c r="AP91" s="11">
        <f t="shared" ca="1" si="0"/>
        <v>43983</v>
      </c>
      <c r="AQ91" s="11">
        <f ca="1">IFERROR(__xludf.DUMMYFUNCTION("""COMPUTED_VALUE"""),43983)</f>
        <v>43983</v>
      </c>
      <c r="AR91" s="11">
        <v>44600</v>
      </c>
      <c r="AS91" s="11">
        <f t="shared" si="1"/>
        <v>44600</v>
      </c>
      <c r="AT91" s="11">
        <f ca="1">IFERROR(__xludf.DUMMYFUNCTION("""COMPUTED_VALUE"""),44599)</f>
        <v>44599</v>
      </c>
    </row>
    <row r="92" spans="1:46" ht="13">
      <c r="A92" s="11">
        <v>44596</v>
      </c>
      <c r="B92">
        <f>IFERROR(VLOOKUP($A92,koronahun!$A:$AM,2,FALSE),"")</f>
        <v>1616846</v>
      </c>
      <c r="C92">
        <f>IFERROR(VLOOKUP($A92,koronahun!$A:$AM,3,FALSE),"")</f>
        <v>16435</v>
      </c>
      <c r="D92">
        <f>IFERROR(VLOOKUP($A92,koronahun!$A:$AM,4,FALSE),"")</f>
        <v>41741</v>
      </c>
      <c r="E92">
        <f>IFERROR(VLOOKUP($A92,koronahun!$A:$AM,5,FALSE),"")</f>
        <v>1347698</v>
      </c>
      <c r="F92">
        <f>IFERROR(VLOOKUP($A92,koronahun!$A:$AM,6,FALSE),"")</f>
        <v>10207444</v>
      </c>
      <c r="G92" s="12">
        <f>IFERROR(VLOOKUP($A92,koronahun!$A:$AM,7,FALSE),"")</f>
        <v>1041575.9183673469</v>
      </c>
      <c r="H92">
        <f>IFERROR(VLOOKUP($A92,koronahun!$A:$AM,8,FALSE),"")</f>
        <v>0</v>
      </c>
      <c r="I92" s="13">
        <f>IFERROR(VLOOKUP($A92,koronahun!$A:$AM,9,FALSE),"")</f>
        <v>1.0269237089722577E-2</v>
      </c>
      <c r="J92" s="13">
        <f>IFERROR(VLOOKUP($A92,koronahun!$A:$AM,10,FALSE),"")</f>
        <v>0.1583987137230437</v>
      </c>
      <c r="K92" s="13">
        <f>IFERROR(VLOOKUP($A92,koronahun!$A:$AM,11,FALSE),"")</f>
        <v>4.4807517011318052E-3</v>
      </c>
      <c r="L92">
        <f>IFERROR(VLOOKUP($A92,koronahun!$A:$AM,12,FALSE),"")</f>
        <v>227407</v>
      </c>
      <c r="M92" s="13">
        <f>IFERROR(VLOOKUP($A92,koronahun!$A:$AM,13,FALSE),"")</f>
        <v>2.5816311510187116E-2</v>
      </c>
      <c r="N92" s="13">
        <f>IFERROR(VLOOKUP($A92,koronahun!$A:$AM,14,FALSE),"")</f>
        <v>0.83353516661450755</v>
      </c>
      <c r="O92">
        <f>IFERROR(VLOOKUP($A92,koronahun!$A:$AM,15,FALSE),"")</f>
        <v>25718</v>
      </c>
      <c r="P92">
        <f>IFERROR(VLOOKUP($A92,koronahun!$A:$AM,16,FALSE),"")</f>
        <v>45533</v>
      </c>
      <c r="Q92" s="13">
        <f>IFERROR(VLOOKUP($A92,koronahun!$A:$AM,17,FALSE),"")</f>
        <v>0.36094700546856129</v>
      </c>
      <c r="R92">
        <f>IFERROR(VLOOKUP($A92,koronahun!$A:$AM,18,FALSE),"")</f>
        <v>105</v>
      </c>
      <c r="S92">
        <f>IFERROR(VLOOKUP($A92,koronahun!$A:$AM,19,FALSE),"")</f>
        <v>16822</v>
      </c>
      <c r="T92">
        <f>IFERROR(VLOOKUP($A92,koronahun!$A:$AM,20,FALSE),"")</f>
        <v>4588</v>
      </c>
      <c r="U92">
        <f>IFERROR(VLOOKUP($A92,koronahun!$A:$AM,21,FALSE),"")</f>
        <v>168</v>
      </c>
      <c r="V92" s="13">
        <f>IFERROR(VLOOKUP($A92,koronahun!$A:$AM,22,FALSE),"")</f>
        <v>0.14064852187530538</v>
      </c>
      <c r="W92">
        <f>IFERROR(VLOOKUP($A92,koronahun!$A:$AM,23,FALSE),"")</f>
        <v>137</v>
      </c>
      <c r="X92">
        <f>IFERROR(VLOOKUP($A92,koronahun!$A:$AM,24,FALSE),"")</f>
        <v>5</v>
      </c>
      <c r="Y92" s="14">
        <f>IFERROR(VLOOKUP($A92,koronahun!$A:$AM,25,FALSE),"")</f>
        <v>2.0175280444313499E-2</v>
      </c>
      <c r="Z92" s="14">
        <f>IFERROR(VLOOKUP($A92,koronahun!$A:$AM,26,FALSE),"")</f>
        <v>3.6617262423714034E-2</v>
      </c>
      <c r="AA92" s="14">
        <f>IFERROR(VLOOKUP($A92,koronahun!$A:$AM,27,FALSE),"")</f>
        <v>1.0148455112674344</v>
      </c>
      <c r="AB92" s="14">
        <f>IFERROR(VLOOKUP($A92,koronahun!$A:$AM,28,FALSE),"")</f>
        <v>1.1052157082967615</v>
      </c>
      <c r="AC92" s="14">
        <f>IFERROR(VLOOKUP($A92,koronahun!$A:$AM,29,FALSE),"")</f>
        <v>15498.285714285714</v>
      </c>
      <c r="AD92" s="14">
        <f>IFERROR(VLOOKUP($A92,koronahun!$A:$AM,30,FALSE),"")</f>
        <v>73.142857142857139</v>
      </c>
      <c r="AE92" s="14">
        <f>IFERROR(VLOOKUP($A92,koronahun!$A:$AM,31,FALSE),"")</f>
        <v>38674.285714285717</v>
      </c>
      <c r="AF92" s="13">
        <f>IFERROR(VLOOKUP($A92,koronahun!$A:$AM,32,FALSE),"")</f>
        <v>0.46918740925476748</v>
      </c>
      <c r="AG92">
        <f>IFERROR(VLOOKUP($A92,koronahun!$A:$AM,33,FALSE),"")</f>
        <v>6369089</v>
      </c>
      <c r="AH92">
        <f>IFERROR(VLOOKUP($A92,koronahun!$A:$AM,34,FALSE),"")</f>
        <v>2687</v>
      </c>
      <c r="AI92">
        <f>IFERROR(VLOOKUP($A92,koronahun!$A:$AM,35,FALSE),"")</f>
        <v>3522.6</v>
      </c>
      <c r="AJ92">
        <f>IFERROR(VLOOKUP($A92,koronahun!$A:$AM,36,FALSE),"")</f>
        <v>6111632</v>
      </c>
      <c r="AK92">
        <f>IFERROR(VLOOKUP($A92,koronahun!$A:$AM,37,FALSE),"")</f>
        <v>3789</v>
      </c>
      <c r="AL92">
        <f>IFERROR(VLOOKUP($A92,koronahun!$A:$AM,38,FALSE),"")</f>
        <v>4369.6000000000004</v>
      </c>
      <c r="AM92" s="14">
        <f>IFERROR(VLOOKUP($A92,koronahun!$A:$AM,39,FALSE),"")</f>
        <v>15195.714285714286</v>
      </c>
      <c r="AN92" s="11">
        <f ca="1">IFERROR(__xludf.DUMMYFUNCTION("""COMPUTED_VALUE"""),43984)</f>
        <v>43984</v>
      </c>
      <c r="AO92" s="12">
        <f ca="1">IFERROR(VLOOKUP(AN92,koronahun!A:B,2,FALSE),"")</f>
        <v>3921</v>
      </c>
      <c r="AP92" s="11">
        <f t="shared" ca="1" si="0"/>
        <v>43984</v>
      </c>
      <c r="AQ92" s="11">
        <f ca="1">IFERROR(__xludf.DUMMYFUNCTION("""COMPUTED_VALUE"""),43984)</f>
        <v>43984</v>
      </c>
      <c r="AR92" s="11">
        <v>44599</v>
      </c>
      <c r="AS92" s="11">
        <f t="shared" si="1"/>
        <v>44599</v>
      </c>
      <c r="AT92" s="11">
        <f ca="1">IFERROR(__xludf.DUMMYFUNCTION("""COMPUTED_VALUE"""),44596)</f>
        <v>44596</v>
      </c>
    </row>
    <row r="93" spans="1:46" ht="13">
      <c r="A93" s="11">
        <v>44595</v>
      </c>
      <c r="B93">
        <f>IFERROR(VLOOKUP($A93,koronahun!$A:$AM,2,FALSE),"")</f>
        <v>1600411</v>
      </c>
      <c r="C93">
        <f>IFERROR(VLOOKUP($A93,koronahun!$A:$AM,3,FALSE),"")</f>
        <v>17894</v>
      </c>
      <c r="D93">
        <f>IFERROR(VLOOKUP($A93,koronahun!$A:$AM,4,FALSE),"")</f>
        <v>41636</v>
      </c>
      <c r="E93">
        <f>IFERROR(VLOOKUP($A93,koronahun!$A:$AM,5,FALSE),"")</f>
        <v>1330876</v>
      </c>
      <c r="F93">
        <f>IFERROR(VLOOKUP($A93,koronahun!$A:$AM,6,FALSE),"")</f>
        <v>10161911</v>
      </c>
      <c r="G93" s="12">
        <f>IFERROR(VLOOKUP($A93,koronahun!$A:$AM,7,FALSE),"")</f>
        <v>1036929.6938775509</v>
      </c>
      <c r="H93">
        <f>IFERROR(VLOOKUP($A93,koronahun!$A:$AM,8,FALSE),"")</f>
        <v>0</v>
      </c>
      <c r="I93" s="13">
        <f>IFERROR(VLOOKUP($A93,koronahun!$A:$AM,9,FALSE),"")</f>
        <v>1.1307303491842426E-2</v>
      </c>
      <c r="J93" s="13">
        <f>IFERROR(VLOOKUP($A93,koronahun!$A:$AM,10,FALSE),"")</f>
        <v>0.15749114512024362</v>
      </c>
      <c r="K93" s="13">
        <f>IFERROR(VLOOKUP($A93,koronahun!$A:$AM,11,FALSE),"")</f>
        <v>4.5310063438636031E-3</v>
      </c>
      <c r="L93">
        <f>IFERROR(VLOOKUP($A93,koronahun!$A:$AM,12,FALSE),"")</f>
        <v>227899</v>
      </c>
      <c r="M93" s="13">
        <f>IFERROR(VLOOKUP($A93,koronahun!$A:$AM,13,FALSE),"")</f>
        <v>2.60158171869601E-2</v>
      </c>
      <c r="N93" s="13">
        <f>IFERROR(VLOOKUP($A93,koronahun!$A:$AM,14,FALSE),"")</f>
        <v>0.83158388688905538</v>
      </c>
      <c r="O93">
        <f>IFERROR(VLOOKUP($A93,koronahun!$A:$AM,15,FALSE),"")</f>
        <v>23192</v>
      </c>
      <c r="P93">
        <f>IFERROR(VLOOKUP($A93,koronahun!$A:$AM,16,FALSE),"")</f>
        <v>45836</v>
      </c>
      <c r="Q93" s="13">
        <f>IFERROR(VLOOKUP($A93,koronahun!$A:$AM,17,FALSE),"")</f>
        <v>0.39039183174797104</v>
      </c>
      <c r="R93">
        <f>IFERROR(VLOOKUP($A93,koronahun!$A:$AM,18,FALSE),"")</f>
        <v>88</v>
      </c>
      <c r="S93">
        <f>IFERROR(VLOOKUP($A93,koronahun!$A:$AM,19,FALSE),"")</f>
        <v>20456</v>
      </c>
      <c r="T93">
        <f>IFERROR(VLOOKUP($A93,koronahun!$A:$AM,20,FALSE),"")</f>
        <v>4451</v>
      </c>
      <c r="U93">
        <f>IFERROR(VLOOKUP($A93,koronahun!$A:$AM,21,FALSE),"")</f>
        <v>163</v>
      </c>
      <c r="V93" s="13">
        <f>IFERROR(VLOOKUP($A93,koronahun!$A:$AM,22,FALSE),"")</f>
        <v>0.14240029592398454</v>
      </c>
      <c r="W93">
        <f>IFERROR(VLOOKUP($A93,koronahun!$A:$AM,23,FALSE),"")</f>
        <v>110</v>
      </c>
      <c r="X93">
        <f>IFERROR(VLOOKUP($A93,koronahun!$A:$AM,24,FALSE),"")</f>
        <v>0</v>
      </c>
      <c r="Y93" s="14">
        <f>IFERROR(VLOOKUP($A93,koronahun!$A:$AM,25,FALSE),"")</f>
        <v>1.9530581529537207E-2</v>
      </c>
      <c r="Z93" s="14">
        <f>IFERROR(VLOOKUP($A93,koronahun!$A:$AM,26,FALSE),"")</f>
        <v>3.662098404852842E-2</v>
      </c>
      <c r="AA93" s="14">
        <f>IFERROR(VLOOKUP($A93,koronahun!$A:$AM,27,FALSE),"")</f>
        <v>1.0469858747106839</v>
      </c>
      <c r="AB93" s="14">
        <f>IFERROR(VLOOKUP($A93,koronahun!$A:$AM,28,FALSE),"")</f>
        <v>1.1894488950429118</v>
      </c>
      <c r="AC93" s="14">
        <f>IFERROR(VLOOKUP($A93,koronahun!$A:$AM,29,FALSE),"")</f>
        <v>15703.142857142857</v>
      </c>
      <c r="AD93" s="14">
        <f>IFERROR(VLOOKUP($A93,koronahun!$A:$AM,30,FALSE),"")</f>
        <v>69.285714285714292</v>
      </c>
      <c r="AE93" s="14">
        <f>IFERROR(VLOOKUP($A93,koronahun!$A:$AM,31,FALSE),"")</f>
        <v>39134.714285714283</v>
      </c>
      <c r="AF93" s="13">
        <f>IFERROR(VLOOKUP($A93,koronahun!$A:$AM,32,FALSE),"")</f>
        <v>0.47029770460867193</v>
      </c>
      <c r="AG93">
        <f>IFERROR(VLOOKUP($A93,koronahun!$A:$AM,33,FALSE),"")</f>
        <v>6366402</v>
      </c>
      <c r="AH93">
        <f>IFERROR(VLOOKUP($A93,koronahun!$A:$AM,34,FALSE),"")</f>
        <v>1152</v>
      </c>
      <c r="AI93">
        <f>IFERROR(VLOOKUP($A93,koronahun!$A:$AM,35,FALSE),"")</f>
        <v>3795.2</v>
      </c>
      <c r="AJ93">
        <f>IFERROR(VLOOKUP($A93,koronahun!$A:$AM,36,FALSE),"")</f>
        <v>6107843</v>
      </c>
      <c r="AK93">
        <f>IFERROR(VLOOKUP($A93,koronahun!$A:$AM,37,FALSE),"")</f>
        <v>2501</v>
      </c>
      <c r="AL93">
        <f>IFERROR(VLOOKUP($A93,koronahun!$A:$AM,38,FALSE),"")</f>
        <v>4395.3999999999996</v>
      </c>
      <c r="AM93" s="14">
        <f>IFERROR(VLOOKUP($A93,koronahun!$A:$AM,39,FALSE),"")</f>
        <v>13911</v>
      </c>
      <c r="AN93" s="11">
        <f ca="1">IFERROR(__xludf.DUMMYFUNCTION("""COMPUTED_VALUE"""),43985)</f>
        <v>43985</v>
      </c>
      <c r="AO93" s="12">
        <f ca="1">IFERROR(VLOOKUP(AN93,koronahun!A:B,2,FALSE),"")</f>
        <v>3931</v>
      </c>
      <c r="AP93" s="11">
        <f t="shared" ca="1" si="0"/>
        <v>43985</v>
      </c>
      <c r="AQ93" s="11">
        <f ca="1">IFERROR(__xludf.DUMMYFUNCTION("""COMPUTED_VALUE"""),43985)</f>
        <v>43985</v>
      </c>
      <c r="AR93" s="11">
        <v>44596</v>
      </c>
      <c r="AS93" s="11">
        <f t="shared" si="1"/>
        <v>44596</v>
      </c>
      <c r="AT93" s="11">
        <f ca="1">IFERROR(__xludf.DUMMYFUNCTION("""COMPUTED_VALUE"""),44595)</f>
        <v>44595</v>
      </c>
    </row>
    <row r="94" spans="1:46" ht="13">
      <c r="A94" s="11">
        <v>44594</v>
      </c>
      <c r="B94">
        <f>IFERROR(VLOOKUP($A94,koronahun!$A:$AM,2,FALSE),"")</f>
        <v>1582517</v>
      </c>
      <c r="C94">
        <f>IFERROR(VLOOKUP($A94,koronahun!$A:$AM,3,FALSE),"")</f>
        <v>19690</v>
      </c>
      <c r="D94">
        <f>IFERROR(VLOOKUP($A94,koronahun!$A:$AM,4,FALSE),"")</f>
        <v>41548</v>
      </c>
      <c r="E94">
        <f>IFERROR(VLOOKUP($A94,koronahun!$A:$AM,5,FALSE),"")</f>
        <v>1310420</v>
      </c>
      <c r="F94">
        <f>IFERROR(VLOOKUP($A94,koronahun!$A:$AM,6,FALSE),"")</f>
        <v>10116075</v>
      </c>
      <c r="G94" s="12">
        <f>IFERROR(VLOOKUP($A94,koronahun!$A:$AM,7,FALSE),"")</f>
        <v>1032252.551020408</v>
      </c>
      <c r="H94">
        <f>IFERROR(VLOOKUP($A94,koronahun!$A:$AM,8,FALSE),"")</f>
        <v>0</v>
      </c>
      <c r="I94" s="13">
        <f>IFERROR(VLOOKUP($A94,koronahun!$A:$AM,9,FALSE),"")</f>
        <v>1.2598963288962886E-2</v>
      </c>
      <c r="J94" s="13">
        <f>IFERROR(VLOOKUP($A94,koronahun!$A:$AM,10,FALSE),"")</f>
        <v>0.15643587063164321</v>
      </c>
      <c r="K94" s="13">
        <f>IFERROR(VLOOKUP($A94,koronahun!$A:$AM,11,FALSE),"")</f>
        <v>2.6299514150298232E-3</v>
      </c>
      <c r="L94">
        <f>IFERROR(VLOOKUP($A94,koronahun!$A:$AM,12,FALSE),"")</f>
        <v>230549</v>
      </c>
      <c r="M94" s="13">
        <f>IFERROR(VLOOKUP($A94,koronahun!$A:$AM,13,FALSE),"")</f>
        <v>2.6254378309996038E-2</v>
      </c>
      <c r="N94" s="13">
        <f>IFERROR(VLOOKUP($A94,koronahun!$A:$AM,14,FALSE),"")</f>
        <v>0.82806061483067794</v>
      </c>
      <c r="O94">
        <f>IFERROR(VLOOKUP($A94,koronahun!$A:$AM,15,FALSE),"")</f>
        <v>21859</v>
      </c>
      <c r="P94">
        <f>IFERROR(VLOOKUP($A94,koronahun!$A:$AM,16,FALSE),"")</f>
        <v>26535</v>
      </c>
      <c r="Q94" s="13">
        <f>IFERROR(VLOOKUP($A94,koronahun!$A:$AM,17,FALSE),"")</f>
        <v>0.74203881665724514</v>
      </c>
      <c r="R94">
        <f>IFERROR(VLOOKUP($A94,koronahun!$A:$AM,18,FALSE),"")</f>
        <v>77</v>
      </c>
      <c r="S94">
        <f>IFERROR(VLOOKUP($A94,koronahun!$A:$AM,19,FALSE),"")</f>
        <v>18921</v>
      </c>
      <c r="T94">
        <f>IFERROR(VLOOKUP($A94,koronahun!$A:$AM,20,FALSE),"")</f>
        <v>4341</v>
      </c>
      <c r="U94">
        <f>IFERROR(VLOOKUP($A94,koronahun!$A:$AM,21,FALSE),"")</f>
        <v>163</v>
      </c>
      <c r="V94" s="13">
        <f>IFERROR(VLOOKUP($A94,koronahun!$A:$AM,22,FALSE),"")</f>
        <v>0.14568500685932601</v>
      </c>
      <c r="W94">
        <f>IFERROR(VLOOKUP($A94,koronahun!$A:$AM,23,FALSE),"")</f>
        <v>123</v>
      </c>
      <c r="X94">
        <f>IFERROR(VLOOKUP($A94,koronahun!$A:$AM,24,FALSE),"")</f>
        <v>-6</v>
      </c>
      <c r="Y94" s="14">
        <f>IFERROR(VLOOKUP($A94,koronahun!$A:$AM,25,FALSE),"")</f>
        <v>1.8828969112856704E-2</v>
      </c>
      <c r="Z94" s="14">
        <f>IFERROR(VLOOKUP($A94,koronahun!$A:$AM,26,FALSE),"")</f>
        <v>3.7548951854411428E-2</v>
      </c>
      <c r="AA94" s="14">
        <f>IFERROR(VLOOKUP($A94,koronahun!$A:$AM,27,FALSE),"")</f>
        <v>1.0981125742828375</v>
      </c>
      <c r="AB94" s="14">
        <f>IFERROR(VLOOKUP($A94,koronahun!$A:$AM,28,FALSE),"")</f>
        <v>1.2915594270154873</v>
      </c>
      <c r="AC94" s="14">
        <f>IFERROR(VLOOKUP($A94,koronahun!$A:$AM,29,FALSE),"")</f>
        <v>15891.571428571429</v>
      </c>
      <c r="AD94" s="14">
        <f>IFERROR(VLOOKUP($A94,koronahun!$A:$AM,30,FALSE),"")</f>
        <v>65.857142857142861</v>
      </c>
      <c r="AE94" s="14">
        <f>IFERROR(VLOOKUP($A94,koronahun!$A:$AM,31,FALSE),"")</f>
        <v>39559.571428571428</v>
      </c>
      <c r="AF94" s="13">
        <f>IFERROR(VLOOKUP($A94,koronahun!$A:$AM,32,FALSE),"")</f>
        <v>0.47094500922814148</v>
      </c>
      <c r="AG94">
        <f>IFERROR(VLOOKUP($A94,koronahun!$A:$AM,33,FALSE),"")</f>
        <v>6365250</v>
      </c>
      <c r="AH94">
        <f>IFERROR(VLOOKUP($A94,koronahun!$A:$AM,34,FALSE),"")</f>
        <v>1083</v>
      </c>
      <c r="AI94">
        <f>IFERROR(VLOOKUP($A94,koronahun!$A:$AM,35,FALSE),"")</f>
        <v>3896.8</v>
      </c>
      <c r="AJ94">
        <f>IFERROR(VLOOKUP($A94,koronahun!$A:$AM,36,FALSE),"")</f>
        <v>6105342</v>
      </c>
      <c r="AK94">
        <f>IFERROR(VLOOKUP($A94,koronahun!$A:$AM,37,FALSE),"")</f>
        <v>1877</v>
      </c>
      <c r="AL94">
        <f>IFERROR(VLOOKUP($A94,koronahun!$A:$AM,38,FALSE),"")</f>
        <v>4278.6000000000004</v>
      </c>
      <c r="AM94" s="14">
        <f>IFERROR(VLOOKUP($A94,koronahun!$A:$AM,39,FALSE),"")</f>
        <v>12229.571428571429</v>
      </c>
      <c r="AN94" s="11">
        <f ca="1">IFERROR(__xludf.DUMMYFUNCTION("""COMPUTED_VALUE"""),43986)</f>
        <v>43986</v>
      </c>
      <c r="AO94" s="12">
        <f ca="1">IFERROR(VLOOKUP(AN94,koronahun!A:B,2,FALSE),"")</f>
        <v>3954</v>
      </c>
      <c r="AP94" s="11">
        <f t="shared" ca="1" si="0"/>
        <v>43986</v>
      </c>
      <c r="AQ94" s="11">
        <f ca="1">IFERROR(__xludf.DUMMYFUNCTION("""COMPUTED_VALUE"""),43986)</f>
        <v>43986</v>
      </c>
      <c r="AR94" s="11">
        <v>44595</v>
      </c>
      <c r="AS94" s="11">
        <f t="shared" si="1"/>
        <v>44595</v>
      </c>
      <c r="AT94" s="11">
        <f ca="1">IFERROR(__xludf.DUMMYFUNCTION("""COMPUTED_VALUE"""),44594)</f>
        <v>44594</v>
      </c>
    </row>
    <row r="95" spans="1:46" ht="13">
      <c r="A95" s="11">
        <v>44593</v>
      </c>
      <c r="B95">
        <f>IFERROR(VLOOKUP($A95,koronahun!$A:$AM,2,FALSE),"")</f>
        <v>1562827</v>
      </c>
      <c r="C95">
        <f>IFERROR(VLOOKUP($A95,koronahun!$A:$AM,3,FALSE),"")</f>
        <v>9422</v>
      </c>
      <c r="D95">
        <f>IFERROR(VLOOKUP($A95,koronahun!$A:$AM,4,FALSE),"")</f>
        <v>41471</v>
      </c>
      <c r="E95">
        <f>IFERROR(VLOOKUP($A95,koronahun!$A:$AM,5,FALSE),"")</f>
        <v>1291499</v>
      </c>
      <c r="F95">
        <f>IFERROR(VLOOKUP($A95,koronahun!$A:$AM,6,FALSE),"")</f>
        <v>10089540</v>
      </c>
      <c r="G95" s="12">
        <f>IFERROR(VLOOKUP($A95,koronahun!$A:$AM,7,FALSE),"")</f>
        <v>1029544.8979591836</v>
      </c>
      <c r="H95">
        <f>IFERROR(VLOOKUP($A95,koronahun!$A:$AM,8,FALSE),"")</f>
        <v>0</v>
      </c>
      <c r="I95" s="13">
        <f>IFERROR(VLOOKUP($A95,koronahun!$A:$AM,9,FALSE),"")</f>
        <v>6.0653853953090151E-3</v>
      </c>
      <c r="J95" s="13">
        <f>IFERROR(VLOOKUP($A95,koronahun!$A:$AM,10,FALSE),"")</f>
        <v>0.15489576333509752</v>
      </c>
      <c r="K95" s="13">
        <f>IFERROR(VLOOKUP($A95,koronahun!$A:$AM,11,FALSE),"")</f>
        <v>1.8062128519228159E-3</v>
      </c>
      <c r="L95">
        <f>IFERROR(VLOOKUP($A95,koronahun!$A:$AM,12,FALSE),"")</f>
        <v>229857</v>
      </c>
      <c r="M95" s="13">
        <f>IFERROR(VLOOKUP($A95,koronahun!$A:$AM,13,FALSE),"")</f>
        <v>2.65358865696587E-2</v>
      </c>
      <c r="N95" s="13">
        <f>IFERROR(VLOOKUP($A95,koronahun!$A:$AM,14,FALSE),"")</f>
        <v>0.82638641385130918</v>
      </c>
      <c r="O95">
        <f>IFERROR(VLOOKUP($A95,koronahun!$A:$AM,15,FALSE),"")</f>
        <v>23308</v>
      </c>
      <c r="P95">
        <f>IFERROR(VLOOKUP($A95,koronahun!$A:$AM,16,FALSE),"")</f>
        <v>18191</v>
      </c>
      <c r="Q95" s="13">
        <f>IFERROR(VLOOKUP($A95,koronahun!$A:$AM,17,FALSE),"")</f>
        <v>0.5179484360397999</v>
      </c>
      <c r="R95">
        <f>IFERROR(VLOOKUP($A95,koronahun!$A:$AM,18,FALSE),"")</f>
        <v>66</v>
      </c>
      <c r="S95">
        <f>IFERROR(VLOOKUP($A95,koronahun!$A:$AM,19,FALSE),"")</f>
        <v>11100</v>
      </c>
      <c r="T95">
        <f>IFERROR(VLOOKUP($A95,koronahun!$A:$AM,20,FALSE),"")</f>
        <v>4218</v>
      </c>
      <c r="U95">
        <f>IFERROR(VLOOKUP($A95,koronahun!$A:$AM,21,FALSE),"")</f>
        <v>169</v>
      </c>
      <c r="V95" s="13">
        <f>IFERROR(VLOOKUP($A95,koronahun!$A:$AM,22,FALSE),"")</f>
        <v>0.14707769957903211</v>
      </c>
      <c r="W95">
        <f>IFERROR(VLOOKUP($A95,koronahun!$A:$AM,23,FALSE),"")</f>
        <v>315</v>
      </c>
      <c r="X95">
        <f>IFERROR(VLOOKUP($A95,koronahun!$A:$AM,24,FALSE),"")</f>
        <v>19</v>
      </c>
      <c r="Y95" s="14">
        <f>IFERROR(VLOOKUP($A95,koronahun!$A:$AM,25,FALSE),"")</f>
        <v>1.8350539683368354E-2</v>
      </c>
      <c r="Z95" s="14">
        <f>IFERROR(VLOOKUP($A95,koronahun!$A:$AM,26,FALSE),"")</f>
        <v>4.0066382171645328E-2</v>
      </c>
      <c r="AA95" s="14">
        <f>IFERROR(VLOOKUP($A95,koronahun!$A:$AM,27,FALSE),"")</f>
        <v>1.1635839113499553</v>
      </c>
      <c r="AB95" s="14">
        <f>IFERROR(VLOOKUP($A95,koronahun!$A:$AM,28,FALSE),"")</f>
        <v>1.4035473021944371</v>
      </c>
      <c r="AC95" s="14">
        <f>IFERROR(VLOOKUP($A95,koronahun!$A:$AM,29,FALSE),"")</f>
        <v>15960.714285714286</v>
      </c>
      <c r="AD95" s="14">
        <f>IFERROR(VLOOKUP($A95,koronahun!$A:$AM,30,FALSE),"")</f>
        <v>64.714285714285708</v>
      </c>
      <c r="AE95" s="14">
        <f>IFERROR(VLOOKUP($A95,koronahun!$A:$AM,31,FALSE),"")</f>
        <v>39537.142857142855</v>
      </c>
      <c r="AF95" s="13">
        <f>IFERROR(VLOOKUP($A95,koronahun!$A:$AM,32,FALSE),"")</f>
        <v>0.47549804656391503</v>
      </c>
      <c r="AG95">
        <f>IFERROR(VLOOKUP($A95,koronahun!$A:$AM,33,FALSE),"")</f>
        <v>6364167</v>
      </c>
      <c r="AH95">
        <f>IFERROR(VLOOKUP($A95,koronahun!$A:$AM,34,FALSE),"")</f>
        <v>1055</v>
      </c>
      <c r="AI95">
        <f>IFERROR(VLOOKUP($A95,koronahun!$A:$AM,35,FALSE),"")</f>
        <v>4015.6</v>
      </c>
      <c r="AJ95">
        <f>IFERROR(VLOOKUP($A95,koronahun!$A:$AM,36,FALSE),"")</f>
        <v>6103465</v>
      </c>
      <c r="AK95">
        <f>IFERROR(VLOOKUP($A95,koronahun!$A:$AM,37,FALSE),"")</f>
        <v>1766</v>
      </c>
      <c r="AL95">
        <f>IFERROR(VLOOKUP($A95,koronahun!$A:$AM,38,FALSE),"")</f>
        <v>4253.8</v>
      </c>
      <c r="AM95" s="14">
        <f>IFERROR(VLOOKUP($A95,koronahun!$A:$AM,39,FALSE),"")</f>
        <v>10720.714285714286</v>
      </c>
      <c r="AN95" s="11">
        <f ca="1">IFERROR(__xludf.DUMMYFUNCTION("""COMPUTED_VALUE"""),43987)</f>
        <v>43987</v>
      </c>
      <c r="AO95" s="12">
        <f ca="1">IFERROR(VLOOKUP(AN95,koronahun!A:B,2,FALSE),"")</f>
        <v>3970</v>
      </c>
      <c r="AP95" s="11">
        <f t="shared" ca="1" si="0"/>
        <v>43987</v>
      </c>
      <c r="AQ95" s="11">
        <f ca="1">IFERROR(__xludf.DUMMYFUNCTION("""COMPUTED_VALUE"""),43987)</f>
        <v>43987</v>
      </c>
      <c r="AR95" s="11">
        <v>44594</v>
      </c>
      <c r="AS95" s="11">
        <f t="shared" si="1"/>
        <v>44594</v>
      </c>
      <c r="AT95" s="11">
        <f ca="1">IFERROR(__xludf.DUMMYFUNCTION("""COMPUTED_VALUE"""),44593)</f>
        <v>44593</v>
      </c>
    </row>
    <row r="96" spans="1:46" ht="13">
      <c r="A96" s="11">
        <v>44592</v>
      </c>
      <c r="B96">
        <f>IFERROR(VLOOKUP($A96,koronahun!$A:$AM,2,FALSE),"")</f>
        <v>1553405</v>
      </c>
      <c r="C96">
        <f>IFERROR(VLOOKUP($A96,koronahun!$A:$AM,3,FALSE),"")</f>
        <v>45047</v>
      </c>
      <c r="D96">
        <f>IFERROR(VLOOKUP($A96,koronahun!$A:$AM,4,FALSE),"")</f>
        <v>41405</v>
      </c>
      <c r="E96">
        <f>IFERROR(VLOOKUP($A96,koronahun!$A:$AM,5,FALSE),"")</f>
        <v>1280399</v>
      </c>
      <c r="F96">
        <f>IFERROR(VLOOKUP($A96,koronahun!$A:$AM,6,FALSE),"")</f>
        <v>10071349</v>
      </c>
      <c r="G96" s="12">
        <f>IFERROR(VLOOKUP($A96,koronahun!$A:$AM,7,FALSE),"")</f>
        <v>1027688.6734693877</v>
      </c>
      <c r="H96">
        <f>IFERROR(VLOOKUP($A96,koronahun!$A:$AM,8,FALSE),"")</f>
        <v>0</v>
      </c>
      <c r="I96" s="13">
        <f>IFERROR(VLOOKUP($A96,koronahun!$A:$AM,9,FALSE),"")</f>
        <v>2.9864925965851608E-2</v>
      </c>
      <c r="J96" s="13">
        <f>IFERROR(VLOOKUP($A96,koronahun!$A:$AM,10,FALSE),"")</f>
        <v>0.15424001293173337</v>
      </c>
      <c r="K96" s="13">
        <f>IFERROR(VLOOKUP($A96,koronahun!$A:$AM,11,FALSE),"")</f>
        <v>1.3548227766012218E-2</v>
      </c>
      <c r="L96">
        <f>IFERROR(VLOOKUP($A96,koronahun!$A:$AM,12,FALSE),"")</f>
        <v>231601</v>
      </c>
      <c r="M96" s="13">
        <f>IFERROR(VLOOKUP($A96,koronahun!$A:$AM,13,FALSE),"")</f>
        <v>2.6654349638375055E-2</v>
      </c>
      <c r="N96" s="13">
        <f>IFERROR(VLOOKUP($A96,koronahun!$A:$AM,14,FALSE),"")</f>
        <v>0.82425317286863375</v>
      </c>
      <c r="O96">
        <f>IFERROR(VLOOKUP($A96,koronahun!$A:$AM,15,FALSE),"")</f>
        <v>24157</v>
      </c>
      <c r="P96">
        <f>IFERROR(VLOOKUP($A96,koronahun!$A:$AM,16,FALSE),"")</f>
        <v>134625</v>
      </c>
      <c r="Q96" s="13">
        <f>IFERROR(VLOOKUP($A96,koronahun!$A:$AM,17,FALSE),"")</f>
        <v>0.33461095636026</v>
      </c>
      <c r="R96">
        <f>IFERROR(VLOOKUP($A96,koronahun!$A:$AM,18,FALSE),"")</f>
        <v>176</v>
      </c>
      <c r="S96">
        <f>IFERROR(VLOOKUP($A96,koronahun!$A:$AM,19,FALSE),"")</f>
        <v>39071</v>
      </c>
      <c r="T96">
        <f>IFERROR(VLOOKUP($A96,koronahun!$A:$AM,20,FALSE),"")</f>
        <v>3903</v>
      </c>
      <c r="U96">
        <f>IFERROR(VLOOKUP($A96,koronahun!$A:$AM,21,FALSE),"")</f>
        <v>150</v>
      </c>
      <c r="V96" s="13">
        <f>IFERROR(VLOOKUP($A96,koronahun!$A:$AM,22,FALSE),"")</f>
        <v>0.1490924774929912</v>
      </c>
      <c r="W96">
        <f>IFERROR(VLOOKUP($A96,koronahun!$A:$AM,23,FALSE),"")</f>
        <v>440</v>
      </c>
      <c r="X96">
        <f>IFERROR(VLOOKUP($A96,koronahun!$A:$AM,24,FALSE),"")</f>
        <v>5</v>
      </c>
      <c r="Y96" s="14">
        <f>IFERROR(VLOOKUP($A96,koronahun!$A:$AM,25,FALSE),"")</f>
        <v>1.6852258841714846E-2</v>
      </c>
      <c r="Z96" s="14">
        <f>IFERROR(VLOOKUP($A96,koronahun!$A:$AM,26,FALSE),"")</f>
        <v>3.843197540353574E-2</v>
      </c>
      <c r="AA96" s="14">
        <f>IFERROR(VLOOKUP($A96,koronahun!$A:$AM,27,FALSE),"")</f>
        <v>1.2025506698728958</v>
      </c>
      <c r="AB96" s="14">
        <f>IFERROR(VLOOKUP($A96,koronahun!$A:$AM,28,FALSE),"")</f>
        <v>1.5258610246388109</v>
      </c>
      <c r="AC96" s="14">
        <f>IFERROR(VLOOKUP($A96,koronahun!$A:$AM,29,FALSE),"")</f>
        <v>16002.857142857143</v>
      </c>
      <c r="AD96" s="14">
        <f>IFERROR(VLOOKUP($A96,koronahun!$A:$AM,30,FALSE),"")</f>
        <v>65.857142857142861</v>
      </c>
      <c r="AE96" s="14">
        <f>IFERROR(VLOOKUP($A96,koronahun!$A:$AM,31,FALSE),"")</f>
        <v>39513.714285714283</v>
      </c>
      <c r="AF96" s="13">
        <f>IFERROR(VLOOKUP($A96,koronahun!$A:$AM,32,FALSE),"")</f>
        <v>0.47971331858378008</v>
      </c>
      <c r="AG96">
        <f>IFERROR(VLOOKUP($A96,koronahun!$A:$AM,33,FALSE),"")</f>
        <v>6363112</v>
      </c>
      <c r="AH96">
        <f>IFERROR(VLOOKUP($A96,koronahun!$A:$AM,34,FALSE),"")</f>
        <v>11636</v>
      </c>
      <c r="AI96">
        <f>IFERROR(VLOOKUP($A96,koronahun!$A:$AM,35,FALSE),"")</f>
        <v>4123.2</v>
      </c>
      <c r="AJ96">
        <f>IFERROR(VLOOKUP($A96,koronahun!$A:$AM,36,FALSE),"")</f>
        <v>6101699</v>
      </c>
      <c r="AK96">
        <f>IFERROR(VLOOKUP($A96,koronahun!$A:$AM,37,FALSE),"")</f>
        <v>11915</v>
      </c>
      <c r="AL96">
        <f>IFERROR(VLOOKUP($A96,koronahun!$A:$AM,38,FALSE),"")</f>
        <v>4221.3999999999996</v>
      </c>
      <c r="AM96" s="14">
        <f>IFERROR(VLOOKUP($A96,koronahun!$A:$AM,39,FALSE),"")</f>
        <v>10181.428571428571</v>
      </c>
      <c r="AN96" s="11">
        <f ca="1">IFERROR(__xludf.DUMMYFUNCTION("""COMPUTED_VALUE"""),43988)</f>
        <v>43988</v>
      </c>
      <c r="AO96" s="12">
        <f ca="1">IFERROR(VLOOKUP(AN96,koronahun!A:B,2,FALSE),"")</f>
        <v>3990</v>
      </c>
      <c r="AP96" s="11">
        <f t="shared" ca="1" si="0"/>
        <v>43988</v>
      </c>
      <c r="AQ96" s="11">
        <f ca="1">IFERROR(__xludf.DUMMYFUNCTION("""COMPUTED_VALUE"""),43988)</f>
        <v>43988</v>
      </c>
      <c r="AR96" s="11">
        <v>44593</v>
      </c>
      <c r="AS96" s="11">
        <f t="shared" si="1"/>
        <v>44593</v>
      </c>
      <c r="AT96" s="11">
        <f ca="1">IFERROR(__xludf.DUMMYFUNCTION("""COMPUTED_VALUE"""),44592)</f>
        <v>44592</v>
      </c>
    </row>
    <row r="97" spans="1:46" ht="13">
      <c r="A97" s="11">
        <v>44589</v>
      </c>
      <c r="B97">
        <f>IFERROR(VLOOKUP($A97,koronahun!$A:$AM,2,FALSE),"")</f>
        <v>1508358</v>
      </c>
      <c r="C97">
        <f>IFERROR(VLOOKUP($A97,koronahun!$A:$AM,3,FALSE),"")</f>
        <v>17869</v>
      </c>
      <c r="D97">
        <f>IFERROR(VLOOKUP($A97,koronahun!$A:$AM,4,FALSE),"")</f>
        <v>41229</v>
      </c>
      <c r="E97">
        <f>IFERROR(VLOOKUP($A97,koronahun!$A:$AM,5,FALSE),"")</f>
        <v>1241328</v>
      </c>
      <c r="F97">
        <f>IFERROR(VLOOKUP($A97,koronahun!$A:$AM,6,FALSE),"")</f>
        <v>9936724</v>
      </c>
      <c r="G97" s="12">
        <f>IFERROR(VLOOKUP($A97,koronahun!$A:$AM,7,FALSE),"")</f>
        <v>1013951.4285714285</v>
      </c>
      <c r="H97">
        <f>IFERROR(VLOOKUP($A97,koronahun!$A:$AM,8,FALSE),"")</f>
        <v>0</v>
      </c>
      <c r="I97" s="13">
        <f>IFERROR(VLOOKUP($A97,koronahun!$A:$AM,9,FALSE),"")</f>
        <v>1.1988682908763499E-2</v>
      </c>
      <c r="J97" s="13">
        <f>IFERROR(VLOOKUP($A97,koronahun!$A:$AM,10,FALSE),"")</f>
        <v>0.1517963063077932</v>
      </c>
      <c r="K97" s="13">
        <f>IFERROR(VLOOKUP($A97,koronahun!$A:$AM,11,FALSE),"")</f>
        <v>4.9308412001333336E-3</v>
      </c>
      <c r="L97">
        <f>IFERROR(VLOOKUP($A97,koronahun!$A:$AM,12,FALSE),"")</f>
        <v>225801</v>
      </c>
      <c r="M97" s="13">
        <f>IFERROR(VLOOKUP($A97,koronahun!$A:$AM,13,FALSE),"")</f>
        <v>2.7333696642309054E-2</v>
      </c>
      <c r="N97" s="13">
        <f>IFERROR(VLOOKUP($A97,koronahun!$A:$AM,14,FALSE),"")</f>
        <v>0.82296643104621048</v>
      </c>
      <c r="O97">
        <f>IFERROR(VLOOKUP($A97,koronahun!$A:$AM,15,FALSE),"")</f>
        <v>29596</v>
      </c>
      <c r="P97">
        <f>IFERROR(VLOOKUP($A97,koronahun!$A:$AM,16,FALSE),"")</f>
        <v>48756</v>
      </c>
      <c r="Q97" s="13">
        <f>IFERROR(VLOOKUP($A97,koronahun!$A:$AM,17,FALSE),"")</f>
        <v>0.36649848223808351</v>
      </c>
      <c r="R97">
        <f>IFERROR(VLOOKUP($A97,koronahun!$A:$AM,18,FALSE),"")</f>
        <v>78</v>
      </c>
      <c r="S97">
        <f>IFERROR(VLOOKUP($A97,koronahun!$A:$AM,19,FALSE),"")</f>
        <v>7829</v>
      </c>
      <c r="T97">
        <f>IFERROR(VLOOKUP($A97,koronahun!$A:$AM,20,FALSE),"")</f>
        <v>3463</v>
      </c>
      <c r="U97">
        <f>IFERROR(VLOOKUP($A97,koronahun!$A:$AM,21,FALSE),"")</f>
        <v>145</v>
      </c>
      <c r="V97" s="13">
        <f>IFERROR(VLOOKUP($A97,koronahun!$A:$AM,22,FALSE),"")</f>
        <v>0.14969987231148044</v>
      </c>
      <c r="W97">
        <f>IFERROR(VLOOKUP($A97,koronahun!$A:$AM,23,FALSE),"")</f>
        <v>196</v>
      </c>
      <c r="X97">
        <f>IFERROR(VLOOKUP($A97,koronahun!$A:$AM,24,FALSE),"")</f>
        <v>-12</v>
      </c>
      <c r="Y97" s="14">
        <f>IFERROR(VLOOKUP($A97,koronahun!$A:$AM,25,FALSE),"")</f>
        <v>1.5336513124388289E-2</v>
      </c>
      <c r="Z97" s="14">
        <f>IFERROR(VLOOKUP($A97,koronahun!$A:$AM,26,FALSE),"")</f>
        <v>4.1871209933583599E-2</v>
      </c>
      <c r="AA97" s="14">
        <f>IFERROR(VLOOKUP($A97,koronahun!$A:$AM,27,FALSE),"")</f>
        <v>1.4360114449981864</v>
      </c>
      <c r="AB97" s="14">
        <f>IFERROR(VLOOKUP($A97,koronahun!$A:$AM,28,FALSE),"")</f>
        <v>1.6533878713639414</v>
      </c>
      <c r="AC97" s="14">
        <f>IFERROR(VLOOKUP($A97,koronahun!$A:$AM,29,FALSE),"")</f>
        <v>15271.571428571429</v>
      </c>
      <c r="AD97" s="14">
        <f>IFERROR(VLOOKUP($A97,koronahun!$A:$AM,30,FALSE),"")</f>
        <v>58.142857142857146</v>
      </c>
      <c r="AE97" s="14">
        <f>IFERROR(VLOOKUP($A97,koronahun!$A:$AM,31,FALSE),"")</f>
        <v>39256.428571428572</v>
      </c>
      <c r="AF97" s="13">
        <f>IFERROR(VLOOKUP($A97,koronahun!$A:$AM,32,FALSE),"")</f>
        <v>0.47291279207110887</v>
      </c>
      <c r="AG97">
        <f>IFERROR(VLOOKUP($A97,koronahun!$A:$AM,33,FALSE),"")</f>
        <v>6351476</v>
      </c>
      <c r="AH97">
        <f>IFERROR(VLOOKUP($A97,koronahun!$A:$AM,34,FALSE),"")</f>
        <v>4050</v>
      </c>
      <c r="AI97">
        <f>IFERROR(VLOOKUP($A97,koronahun!$A:$AM,35,FALSE),"")</f>
        <v>4458.2</v>
      </c>
      <c r="AJ97">
        <f>IFERROR(VLOOKUP($A97,koronahun!$A:$AM,36,FALSE),"")</f>
        <v>6089784</v>
      </c>
      <c r="AK97">
        <f>IFERROR(VLOOKUP($A97,koronahun!$A:$AM,37,FALSE),"")</f>
        <v>3918</v>
      </c>
      <c r="AL97">
        <f>IFERROR(VLOOKUP($A97,koronahun!$A:$AM,38,FALSE),"")</f>
        <v>3257.2</v>
      </c>
      <c r="AM97" s="14">
        <f>IFERROR(VLOOKUP($A97,koronahun!$A:$AM,39,FALSE),"")</f>
        <v>6874</v>
      </c>
      <c r="AN97" s="11">
        <f ca="1">IFERROR(__xludf.DUMMYFUNCTION("""COMPUTED_VALUE"""),43989)</f>
        <v>43989</v>
      </c>
      <c r="AO97" s="12">
        <f ca="1">IFERROR(VLOOKUP(AN97,koronahun!A:B,2,FALSE),"")</f>
        <v>4008</v>
      </c>
      <c r="AP97" s="11">
        <f t="shared" ca="1" si="0"/>
        <v>43989</v>
      </c>
      <c r="AQ97" s="11">
        <f ca="1">IFERROR(__xludf.DUMMYFUNCTION("""COMPUTED_VALUE"""),43989)</f>
        <v>43989</v>
      </c>
      <c r="AR97" s="11">
        <v>44592</v>
      </c>
      <c r="AS97" s="11">
        <f t="shared" si="1"/>
        <v>44592</v>
      </c>
      <c r="AT97" s="11">
        <f ca="1">IFERROR(__xludf.DUMMYFUNCTION("""COMPUTED_VALUE"""),44589)</f>
        <v>44589</v>
      </c>
    </row>
    <row r="98" spans="1:46" ht="13">
      <c r="A98" s="11">
        <v>44588</v>
      </c>
      <c r="B98">
        <f>IFERROR(VLOOKUP($A98,koronahun!$A:$AM,2,FALSE),"")</f>
        <v>1490489</v>
      </c>
      <c r="C98">
        <f>IFERROR(VLOOKUP($A98,koronahun!$A:$AM,3,FALSE),"")</f>
        <v>19213</v>
      </c>
      <c r="D98">
        <f>IFERROR(VLOOKUP($A98,koronahun!$A:$AM,4,FALSE),"")</f>
        <v>41151</v>
      </c>
      <c r="E98">
        <f>IFERROR(VLOOKUP($A98,koronahun!$A:$AM,5,FALSE),"")</f>
        <v>1233499</v>
      </c>
      <c r="F98">
        <f>IFERROR(VLOOKUP($A98,koronahun!$A:$AM,6,FALSE),"")</f>
        <v>9887968</v>
      </c>
      <c r="G98" s="12">
        <f>IFERROR(VLOOKUP($A98,koronahun!$A:$AM,7,FALSE),"")</f>
        <v>1008976.3265306122</v>
      </c>
      <c r="H98">
        <f>IFERROR(VLOOKUP($A98,koronahun!$A:$AM,8,FALSE),"")</f>
        <v>0</v>
      </c>
      <c r="I98" s="13">
        <f>IFERROR(VLOOKUP($A98,koronahun!$A:$AM,9,FALSE),"")</f>
        <v>1.3058732691894654E-2</v>
      </c>
      <c r="J98" s="13">
        <f>IFERROR(VLOOKUP($A98,koronahun!$A:$AM,10,FALSE),"")</f>
        <v>0.15073764397295783</v>
      </c>
      <c r="K98" s="13">
        <f>IFERROR(VLOOKUP($A98,koronahun!$A:$AM,11,FALSE),"")</f>
        <v>4.960790344051798E-3</v>
      </c>
      <c r="L98">
        <f>IFERROR(VLOOKUP($A98,koronahun!$A:$AM,12,FALSE),"")</f>
        <v>215839</v>
      </c>
      <c r="M98" s="13">
        <f>IFERROR(VLOOKUP($A98,koronahun!$A:$AM,13,FALSE),"")</f>
        <v>2.7609059845460113E-2</v>
      </c>
      <c r="N98" s="13">
        <f>IFERROR(VLOOKUP($A98,koronahun!$A:$AM,14,FALSE),"")</f>
        <v>0.82758007606899475</v>
      </c>
      <c r="O98">
        <f>IFERROR(VLOOKUP($A98,koronahun!$A:$AM,15,FALSE),"")</f>
        <v>26734</v>
      </c>
      <c r="P98">
        <f>IFERROR(VLOOKUP($A98,koronahun!$A:$AM,16,FALSE),"")</f>
        <v>48810</v>
      </c>
      <c r="Q98" s="13">
        <f>IFERROR(VLOOKUP($A98,koronahun!$A:$AM,17,FALSE),"")</f>
        <v>0.39362835484531861</v>
      </c>
      <c r="R98">
        <f>IFERROR(VLOOKUP($A98,koronahun!$A:$AM,18,FALSE),"")</f>
        <v>64</v>
      </c>
      <c r="S98">
        <f>IFERROR(VLOOKUP($A98,koronahun!$A:$AM,19,FALSE),"")</f>
        <v>8686</v>
      </c>
      <c r="T98">
        <f>IFERROR(VLOOKUP($A98,koronahun!$A:$AM,20,FALSE),"")</f>
        <v>3267</v>
      </c>
      <c r="U98">
        <f>IFERROR(VLOOKUP($A98,koronahun!$A:$AM,21,FALSE),"")</f>
        <v>157</v>
      </c>
      <c r="V98" s="13">
        <f>IFERROR(VLOOKUP($A98,koronahun!$A:$AM,22,FALSE),"")</f>
        <v>0.14481086408554508</v>
      </c>
      <c r="W98">
        <f>IFERROR(VLOOKUP($A98,koronahun!$A:$AM,23,FALSE),"")</f>
        <v>122</v>
      </c>
      <c r="X98">
        <f>IFERROR(VLOOKUP($A98,koronahun!$A:$AM,24,FALSE),"")</f>
        <v>-7</v>
      </c>
      <c r="Y98" s="14">
        <f>IFERROR(VLOOKUP($A98,koronahun!$A:$AM,25,FALSE),"")</f>
        <v>1.5136282136221906E-2</v>
      </c>
      <c r="Z98" s="14">
        <f>IFERROR(VLOOKUP($A98,koronahun!$A:$AM,26,FALSE),"")</f>
        <v>4.8056320783593509E-2</v>
      </c>
      <c r="AA98" s="14">
        <f>IFERROR(VLOOKUP($A98,koronahun!$A:$AM,27,FALSE),"")</f>
        <v>1.5575385345735606</v>
      </c>
      <c r="AB98" s="14">
        <f>IFERROR(VLOOKUP($A98,koronahun!$A:$AM,28,FALSE),"")</f>
        <v>1.7041250698464296</v>
      </c>
      <c r="AC98" s="14">
        <f>IFERROR(VLOOKUP($A98,koronahun!$A:$AM,29,FALSE),"")</f>
        <v>14998.428571428571</v>
      </c>
      <c r="AD98" s="14">
        <f>IFERROR(VLOOKUP($A98,koronahun!$A:$AM,30,FALSE),"")</f>
        <v>56.285714285714285</v>
      </c>
      <c r="AE98" s="14">
        <f>IFERROR(VLOOKUP($A98,koronahun!$A:$AM,31,FALSE),"")</f>
        <v>39330.571428571428</v>
      </c>
      <c r="AF98" s="13">
        <f>IFERROR(VLOOKUP($A98,koronahun!$A:$AM,32,FALSE),"")</f>
        <v>0.46438021891116338</v>
      </c>
      <c r="AG98">
        <f>IFERROR(VLOOKUP($A98,koronahun!$A:$AM,33,FALSE),"")</f>
        <v>6347426</v>
      </c>
      <c r="AH98">
        <f>IFERROR(VLOOKUP($A98,koronahun!$A:$AM,34,FALSE),"")</f>
        <v>1660</v>
      </c>
      <c r="AI98">
        <f>IFERROR(VLOOKUP($A98,koronahun!$A:$AM,35,FALSE),"")</f>
        <v>4456.6000000000004</v>
      </c>
      <c r="AJ98">
        <f>IFERROR(VLOOKUP($A98,koronahun!$A:$AM,36,FALSE),"")</f>
        <v>6085866</v>
      </c>
      <c r="AK98">
        <f>IFERROR(VLOOKUP($A98,koronahun!$A:$AM,37,FALSE),"")</f>
        <v>1917</v>
      </c>
      <c r="AL98">
        <f>IFERROR(VLOOKUP($A98,koronahun!$A:$AM,38,FALSE),"")</f>
        <v>3237.8</v>
      </c>
      <c r="AM98" s="14">
        <f>IFERROR(VLOOKUP($A98,koronahun!$A:$AM,39,FALSE),"")</f>
        <v>6740</v>
      </c>
      <c r="AN98" s="11">
        <f ca="1">IFERROR(__xludf.DUMMYFUNCTION("""COMPUTED_VALUE"""),43990)</f>
        <v>43990</v>
      </c>
      <c r="AO98" s="12">
        <f ca="1">IFERROR(VLOOKUP(AN98,koronahun!A:B,2,FALSE),"")</f>
        <v>4014</v>
      </c>
      <c r="AP98" s="11">
        <f t="shared" ca="1" si="0"/>
        <v>43990</v>
      </c>
      <c r="AQ98" s="11">
        <f ca="1">IFERROR(__xludf.DUMMYFUNCTION("""COMPUTED_VALUE"""),43990)</f>
        <v>43990</v>
      </c>
      <c r="AR98" s="11">
        <v>44589</v>
      </c>
      <c r="AS98" s="11">
        <f t="shared" si="1"/>
        <v>44589</v>
      </c>
      <c r="AT98" s="11">
        <f ca="1">IFERROR(__xludf.DUMMYFUNCTION("""COMPUTED_VALUE"""),44588)</f>
        <v>44588</v>
      </c>
    </row>
    <row r="99" spans="1:46" ht="13">
      <c r="A99" s="11">
        <v>44587</v>
      </c>
      <c r="B99">
        <f>IFERROR(VLOOKUP($A99,koronahun!$A:$AM,2,FALSE),"")</f>
        <v>1471276</v>
      </c>
      <c r="C99">
        <f>IFERROR(VLOOKUP($A99,koronahun!$A:$AM,3,FALSE),"")</f>
        <v>20174</v>
      </c>
      <c r="D99">
        <f>IFERROR(VLOOKUP($A99,koronahun!$A:$AM,4,FALSE),"")</f>
        <v>41087</v>
      </c>
      <c r="E99">
        <f>IFERROR(VLOOKUP($A99,koronahun!$A:$AM,5,FALSE),"")</f>
        <v>1224813</v>
      </c>
      <c r="F99">
        <f>IFERROR(VLOOKUP($A99,koronahun!$A:$AM,6,FALSE),"")</f>
        <v>9839158</v>
      </c>
      <c r="G99" s="12">
        <f>IFERROR(VLOOKUP($A99,koronahun!$A:$AM,7,FALSE),"")</f>
        <v>1003995.7142857142</v>
      </c>
      <c r="H99">
        <f>IFERROR(VLOOKUP($A99,koronahun!$A:$AM,8,FALSE),"")</f>
        <v>0</v>
      </c>
      <c r="I99" s="13">
        <f>IFERROR(VLOOKUP($A99,koronahun!$A:$AM,9,FALSE),"")</f>
        <v>1.3902537519760843E-2</v>
      </c>
      <c r="J99" s="13">
        <f>IFERROR(VLOOKUP($A99,koronahun!$A:$AM,10,FALSE),"")</f>
        <v>0.14953271407980237</v>
      </c>
      <c r="K99" s="13">
        <f>IFERROR(VLOOKUP($A99,koronahun!$A:$AM,11,FALSE),"")</f>
        <v>2.6881271158631908E-3</v>
      </c>
      <c r="L99">
        <f>IFERROR(VLOOKUP($A99,koronahun!$A:$AM,12,FALSE),"")</f>
        <v>205376</v>
      </c>
      <c r="M99" s="13">
        <f>IFERROR(VLOOKUP($A99,koronahun!$A:$AM,13,FALSE),"")</f>
        <v>2.7926099521775657E-2</v>
      </c>
      <c r="N99" s="13">
        <f>IFERROR(VLOOKUP($A99,koronahun!$A:$AM,14,FALSE),"")</f>
        <v>0.83248350411479555</v>
      </c>
      <c r="O99">
        <f>IFERROR(VLOOKUP($A99,koronahun!$A:$AM,15,FALSE),"")</f>
        <v>24297</v>
      </c>
      <c r="P99">
        <f>IFERROR(VLOOKUP($A99,koronahun!$A:$AM,16,FALSE),"")</f>
        <v>26378</v>
      </c>
      <c r="Q99" s="13">
        <f>IFERROR(VLOOKUP($A99,koronahun!$A:$AM,17,FALSE),"")</f>
        <v>0.76480400333611342</v>
      </c>
      <c r="R99">
        <f>IFERROR(VLOOKUP($A99,koronahun!$A:$AM,18,FALSE),"")</f>
        <v>69</v>
      </c>
      <c r="S99">
        <f>IFERROR(VLOOKUP($A99,koronahun!$A:$AM,19,FALSE),"")</f>
        <v>8359</v>
      </c>
      <c r="T99">
        <f>IFERROR(VLOOKUP($A99,koronahun!$A:$AM,20,FALSE),"")</f>
        <v>3145</v>
      </c>
      <c r="U99">
        <f>IFERROR(VLOOKUP($A99,koronahun!$A:$AM,21,FALSE),"")</f>
        <v>164</v>
      </c>
      <c r="V99" s="13">
        <f>IFERROR(VLOOKUP($A99,koronahun!$A:$AM,22,FALSE),"")</f>
        <v>0.13959039636342876</v>
      </c>
      <c r="W99">
        <f>IFERROR(VLOOKUP($A99,koronahun!$A:$AM,23,FALSE),"")</f>
        <v>30</v>
      </c>
      <c r="X99">
        <f>IFERROR(VLOOKUP($A99,koronahun!$A:$AM,24,FALSE),"")</f>
        <v>-13</v>
      </c>
      <c r="Y99" s="14">
        <f>IFERROR(VLOOKUP($A99,koronahun!$A:$AM,25,FALSE),"")</f>
        <v>1.531337644125896E-2</v>
      </c>
      <c r="Z99" s="14">
        <f>IFERROR(VLOOKUP($A99,koronahun!$A:$AM,26,FALSE),"")</f>
        <v>5.2146263910969791E-2</v>
      </c>
      <c r="AA99" s="14">
        <f>IFERROR(VLOOKUP($A99,koronahun!$A:$AM,27,FALSE),"")</f>
        <v>1.6580519501775866</v>
      </c>
      <c r="AB99" s="14">
        <f>IFERROR(VLOOKUP($A99,koronahun!$A:$AM,28,FALSE),"")</f>
        <v>1.7162227397920149</v>
      </c>
      <c r="AC99" s="14">
        <f>IFERROR(VLOOKUP($A99,koronahun!$A:$AM,29,FALSE),"")</f>
        <v>14471.714285714286</v>
      </c>
      <c r="AD99" s="14">
        <f>IFERROR(VLOOKUP($A99,koronahun!$A:$AM,30,FALSE),"")</f>
        <v>57.285714285714285</v>
      </c>
      <c r="AE99" s="14">
        <f>IFERROR(VLOOKUP($A99,koronahun!$A:$AM,31,FALSE),"")</f>
        <v>38144.142857142855</v>
      </c>
      <c r="AF99" s="13">
        <f>IFERROR(VLOOKUP($A99,koronahun!$A:$AM,32,FALSE),"")</f>
        <v>0.46231668841858403</v>
      </c>
      <c r="AG99">
        <f>IFERROR(VLOOKUP($A99,koronahun!$A:$AM,33,FALSE),"")</f>
        <v>6345766</v>
      </c>
      <c r="AH99">
        <f>IFERROR(VLOOKUP($A99,koronahun!$A:$AM,34,FALSE),"")</f>
        <v>1677</v>
      </c>
      <c r="AI99">
        <f>IFERROR(VLOOKUP($A99,koronahun!$A:$AM,35,FALSE),"")</f>
        <v>4572.2</v>
      </c>
      <c r="AJ99">
        <f>IFERROR(VLOOKUP($A99,koronahun!$A:$AM,36,FALSE),"")</f>
        <v>6083949</v>
      </c>
      <c r="AK99">
        <f>IFERROR(VLOOKUP($A99,koronahun!$A:$AM,37,FALSE),"")</f>
        <v>1753</v>
      </c>
      <c r="AL99">
        <f>IFERROR(VLOOKUP($A99,koronahun!$A:$AM,38,FALSE),"")</f>
        <v>3578.6</v>
      </c>
      <c r="AM99" s="14">
        <f>IFERROR(VLOOKUP($A99,koronahun!$A:$AM,39,FALSE),"")</f>
        <v>6156.8571428571431</v>
      </c>
      <c r="AN99" s="11">
        <f ca="1">IFERROR(__xludf.DUMMYFUNCTION("""COMPUTED_VALUE"""),43991)</f>
        <v>43991</v>
      </c>
      <c r="AO99" s="12">
        <f ca="1">IFERROR(VLOOKUP(AN99,koronahun!A:B,2,FALSE),"")</f>
        <v>4017</v>
      </c>
      <c r="AP99" s="11">
        <f t="shared" ca="1" si="0"/>
        <v>43991</v>
      </c>
      <c r="AQ99" s="11">
        <f ca="1">IFERROR(__xludf.DUMMYFUNCTION("""COMPUTED_VALUE"""),43991)</f>
        <v>43991</v>
      </c>
      <c r="AR99" s="11">
        <v>44588</v>
      </c>
      <c r="AS99" s="11">
        <f t="shared" si="1"/>
        <v>44588</v>
      </c>
      <c r="AT99" s="11">
        <f ca="1">IFERROR(__xludf.DUMMYFUNCTION("""COMPUTED_VALUE"""),44587)</f>
        <v>44587</v>
      </c>
    </row>
    <row r="100" spans="1:46" ht="13">
      <c r="A100" s="11">
        <v>44586</v>
      </c>
      <c r="B100">
        <f>IFERROR(VLOOKUP($A100,koronahun!$A:$AM,2,FALSE),"")</f>
        <v>1451102</v>
      </c>
      <c r="C100">
        <f>IFERROR(VLOOKUP($A100,koronahun!$A:$AM,3,FALSE),"")</f>
        <v>9717</v>
      </c>
      <c r="D100">
        <f>IFERROR(VLOOKUP($A100,koronahun!$A:$AM,4,FALSE),"")</f>
        <v>41018</v>
      </c>
      <c r="E100">
        <f>IFERROR(VLOOKUP($A100,koronahun!$A:$AM,5,FALSE),"")</f>
        <v>1216454</v>
      </c>
      <c r="F100">
        <f>IFERROR(VLOOKUP($A100,koronahun!$A:$AM,6,FALSE),"")</f>
        <v>9812780</v>
      </c>
      <c r="G100" s="12">
        <f>IFERROR(VLOOKUP($A100,koronahun!$A:$AM,7,FALSE),"")</f>
        <v>1001304.081632653</v>
      </c>
      <c r="H100">
        <f>IFERROR(VLOOKUP($A100,koronahun!$A:$AM,8,FALSE),"")</f>
        <v>0</v>
      </c>
      <c r="I100" s="13">
        <f>IFERROR(VLOOKUP($A100,koronahun!$A:$AM,9,FALSE),"")</f>
        <v>6.7414327192249117E-3</v>
      </c>
      <c r="J100" s="13">
        <f>IFERROR(VLOOKUP($A100,koronahun!$A:$AM,10,FALSE),"")</f>
        <v>0.14787878664354037</v>
      </c>
      <c r="K100" s="13">
        <f>IFERROR(VLOOKUP($A100,koronahun!$A:$AM,11,FALSE),"")</f>
        <v>1.8404752013654658E-3</v>
      </c>
      <c r="L100">
        <f>IFERROR(VLOOKUP($A100,koronahun!$A:$AM,12,FALSE),"")</f>
        <v>193630</v>
      </c>
      <c r="M100" s="13">
        <f>IFERROR(VLOOKUP($A100,koronahun!$A:$AM,13,FALSE),"")</f>
        <v>2.8266793099313486E-2</v>
      </c>
      <c r="N100" s="13">
        <f>IFERROR(VLOOKUP($A100,koronahun!$A:$AM,14,FALSE),"")</f>
        <v>0.83829668762085641</v>
      </c>
      <c r="O100">
        <f>IFERROR(VLOOKUP($A100,koronahun!$A:$AM,15,FALSE),"")</f>
        <v>24128</v>
      </c>
      <c r="P100">
        <f>IFERROR(VLOOKUP($A100,koronahun!$A:$AM,16,FALSE),"")</f>
        <v>18027</v>
      </c>
      <c r="Q100" s="13">
        <f>IFERROR(VLOOKUP($A100,koronahun!$A:$AM,17,FALSE),"")</f>
        <v>0.53902479613912468</v>
      </c>
      <c r="R100">
        <f>IFERROR(VLOOKUP($A100,koronahun!$A:$AM,18,FALSE),"")</f>
        <v>74</v>
      </c>
      <c r="S100">
        <f>IFERROR(VLOOKUP($A100,koronahun!$A:$AM,19,FALSE),"")</f>
        <v>7325</v>
      </c>
      <c r="T100">
        <f>IFERROR(VLOOKUP($A100,koronahun!$A:$AM,20,FALSE),"")</f>
        <v>3115</v>
      </c>
      <c r="U100">
        <f>IFERROR(VLOOKUP($A100,koronahun!$A:$AM,21,FALSE),"")</f>
        <v>177</v>
      </c>
      <c r="V100" s="13">
        <f>IFERROR(VLOOKUP($A100,koronahun!$A:$AM,22,FALSE),"")</f>
        <v>0.13343651927983008</v>
      </c>
      <c r="W100">
        <f>IFERROR(VLOOKUP($A100,koronahun!$A:$AM,23,FALSE),"")</f>
        <v>194</v>
      </c>
      <c r="X100">
        <f>IFERROR(VLOOKUP($A100,koronahun!$A:$AM,24,FALSE),"")</f>
        <v>1</v>
      </c>
      <c r="Y100" s="14">
        <f>IFERROR(VLOOKUP($A100,koronahun!$A:$AM,25,FALSE),"")</f>
        <v>1.6087383153436968E-2</v>
      </c>
      <c r="Z100" s="14">
        <f>IFERROR(VLOOKUP($A100,koronahun!$A:$AM,26,FALSE),"")</f>
        <v>5.6821829855537721E-2</v>
      </c>
      <c r="AA100" s="14">
        <f>IFERROR(VLOOKUP($A100,koronahun!$A:$AM,27,FALSE),"")</f>
        <v>1.7751525235718248</v>
      </c>
      <c r="AB100" s="14">
        <f>IFERROR(VLOOKUP($A100,koronahun!$A:$AM,28,FALSE),"")</f>
        <v>1.6987518942060837</v>
      </c>
      <c r="AC100" s="14">
        <f>IFERROR(VLOOKUP($A100,koronahun!$A:$AM,29,FALSE),"")</f>
        <v>13716.857142857143</v>
      </c>
      <c r="AD100" s="14">
        <f>IFERROR(VLOOKUP($A100,koronahun!$A:$AM,30,FALSE),"")</f>
        <v>59.571428571428569</v>
      </c>
      <c r="AE100" s="14">
        <f>IFERROR(VLOOKUP($A100,koronahun!$A:$AM,31,FALSE),"")</f>
        <v>38063.714285714283</v>
      </c>
      <c r="AF100" s="13">
        <f>IFERROR(VLOOKUP($A100,koronahun!$A:$AM,32,FALSE),"")</f>
        <v>0.42471517498746447</v>
      </c>
      <c r="AG100">
        <f>IFERROR(VLOOKUP($A100,koronahun!$A:$AM,33,FALSE),"")</f>
        <v>6344089</v>
      </c>
      <c r="AH100">
        <f>IFERROR(VLOOKUP($A100,koronahun!$A:$AM,34,FALSE),"")</f>
        <v>1593</v>
      </c>
      <c r="AI100">
        <f>IFERROR(VLOOKUP($A100,koronahun!$A:$AM,35,FALSE),"")</f>
        <v>4610</v>
      </c>
      <c r="AJ100">
        <f>IFERROR(VLOOKUP($A100,koronahun!$A:$AM,36,FALSE),"")</f>
        <v>6082196</v>
      </c>
      <c r="AK100">
        <f>IFERROR(VLOOKUP($A100,koronahun!$A:$AM,37,FALSE),"")</f>
        <v>1604</v>
      </c>
      <c r="AL100">
        <f>IFERROR(VLOOKUP($A100,koronahun!$A:$AM,38,FALSE),"")</f>
        <v>3970</v>
      </c>
      <c r="AM100" s="14">
        <f>IFERROR(VLOOKUP($A100,koronahun!$A:$AM,39,FALSE),"")</f>
        <v>5657</v>
      </c>
      <c r="AN100" s="11">
        <f ca="1">IFERROR(__xludf.DUMMYFUNCTION("""COMPUTED_VALUE"""),43992)</f>
        <v>43992</v>
      </c>
      <c r="AO100" s="12">
        <f ca="1">IFERROR(VLOOKUP(AN100,koronahun!A:B,2,FALSE),"")</f>
        <v>4027</v>
      </c>
      <c r="AP100" s="11">
        <f t="shared" ca="1" si="0"/>
        <v>43992</v>
      </c>
      <c r="AQ100" s="11">
        <f ca="1">IFERROR(__xludf.DUMMYFUNCTION("""COMPUTED_VALUE"""),43992)</f>
        <v>43992</v>
      </c>
      <c r="AR100" s="11">
        <v>44587</v>
      </c>
      <c r="AS100" s="11">
        <f t="shared" si="1"/>
        <v>44587</v>
      </c>
      <c r="AT100" s="11">
        <f ca="1">IFERROR(__xludf.DUMMYFUNCTION("""COMPUTED_VALUE"""),44586)</f>
        <v>44586</v>
      </c>
    </row>
    <row r="101" spans="1:46" ht="13">
      <c r="A101" s="11">
        <v>44585</v>
      </c>
      <c r="B101">
        <f>IFERROR(VLOOKUP($A101,koronahun!$A:$AM,2,FALSE),"")</f>
        <v>1441385</v>
      </c>
      <c r="C101">
        <f>IFERROR(VLOOKUP($A101,koronahun!$A:$AM,3,FALSE),"")</f>
        <v>39928</v>
      </c>
      <c r="D101">
        <f>IFERROR(VLOOKUP($A101,koronahun!$A:$AM,4,FALSE),"")</f>
        <v>40944</v>
      </c>
      <c r="E101">
        <f>IFERROR(VLOOKUP($A101,koronahun!$A:$AM,5,FALSE),"")</f>
        <v>1209129</v>
      </c>
      <c r="F101">
        <f>IFERROR(VLOOKUP($A101,koronahun!$A:$AM,6,FALSE),"")</f>
        <v>9794753</v>
      </c>
      <c r="G101" s="12">
        <f>IFERROR(VLOOKUP($A101,koronahun!$A:$AM,7,FALSE),"")</f>
        <v>999464.59183673467</v>
      </c>
      <c r="H101">
        <f>IFERROR(VLOOKUP($A101,koronahun!$A:$AM,8,FALSE),"")</f>
        <v>0</v>
      </c>
      <c r="I101" s="13">
        <f>IFERROR(VLOOKUP($A101,koronahun!$A:$AM,9,FALSE),"")</f>
        <v>2.8490349686076704E-2</v>
      </c>
      <c r="J101" s="13">
        <f>IFERROR(VLOOKUP($A101,koronahun!$A:$AM,10,FALSE),"")</f>
        <v>0.14715889211295069</v>
      </c>
      <c r="K101" s="13">
        <f>IFERROR(VLOOKUP($A101,koronahun!$A:$AM,11,FALSE),"")</f>
        <v>1.3747151319369041E-2</v>
      </c>
      <c r="L101">
        <f>IFERROR(VLOOKUP($A101,koronahun!$A:$AM,12,FALSE),"")</f>
        <v>191312</v>
      </c>
      <c r="M101" s="13">
        <f>IFERROR(VLOOKUP($A101,koronahun!$A:$AM,13,FALSE),"")</f>
        <v>2.8406012272918061E-2</v>
      </c>
      <c r="N101" s="13">
        <f>IFERROR(VLOOKUP($A101,koronahun!$A:$AM,14,FALSE),"")</f>
        <v>0.8388660906003601</v>
      </c>
      <c r="O101">
        <f>IFERROR(VLOOKUP($A101,koronahun!$A:$AM,15,FALSE),"")</f>
        <v>25782</v>
      </c>
      <c r="P101">
        <f>IFERROR(VLOOKUP($A101,koronahun!$A:$AM,16,FALSE),"")</f>
        <v>132824</v>
      </c>
      <c r="Q101" s="13">
        <f>IFERROR(VLOOKUP($A101,koronahun!$A:$AM,17,FALSE),"")</f>
        <v>0.30060832379690416</v>
      </c>
      <c r="R101">
        <f>IFERROR(VLOOKUP($A101,koronahun!$A:$AM,18,FALSE),"")</f>
        <v>122</v>
      </c>
      <c r="S101">
        <f>IFERROR(VLOOKUP($A101,koronahun!$A:$AM,19,FALSE),"")</f>
        <v>15919</v>
      </c>
      <c r="T101">
        <f>IFERROR(VLOOKUP($A101,koronahun!$A:$AM,20,FALSE),"")</f>
        <v>2921</v>
      </c>
      <c r="U101">
        <f>IFERROR(VLOOKUP($A101,koronahun!$A:$AM,21,FALSE),"")</f>
        <v>176</v>
      </c>
      <c r="V101" s="13">
        <f>IFERROR(VLOOKUP($A101,koronahun!$A:$AM,22,FALSE),"")</f>
        <v>0.13272789712672187</v>
      </c>
      <c r="W101">
        <f>IFERROR(VLOOKUP($A101,koronahun!$A:$AM,23,FALSE),"")</f>
        <v>247</v>
      </c>
      <c r="X101">
        <f>IFERROR(VLOOKUP($A101,koronahun!$A:$AM,24,FALSE),"")</f>
        <v>-25</v>
      </c>
      <c r="Y101" s="14">
        <f>IFERROR(VLOOKUP($A101,koronahun!$A:$AM,25,FALSE),"")</f>
        <v>1.5268252906247386E-2</v>
      </c>
      <c r="Z101" s="14">
        <f>IFERROR(VLOOKUP($A101,koronahun!$A:$AM,26,FALSE),"")</f>
        <v>6.0253337897980146E-2</v>
      </c>
      <c r="AA101" s="14">
        <f>IFERROR(VLOOKUP($A101,koronahun!$A:$AM,27,FALSE),"")</f>
        <v>1.840184903498548</v>
      </c>
      <c r="AB101" s="14">
        <f>IFERROR(VLOOKUP($A101,koronahun!$A:$AM,28,FALSE),"")</f>
        <v>1.6418611166517021</v>
      </c>
      <c r="AC101" s="14">
        <f>IFERROR(VLOOKUP($A101,koronahun!$A:$AM,29,FALSE),"")</f>
        <v>13307.428571428571</v>
      </c>
      <c r="AD101" s="14">
        <f>IFERROR(VLOOKUP($A101,koronahun!$A:$AM,30,FALSE),"")</f>
        <v>62.428571428571431</v>
      </c>
      <c r="AE101" s="14">
        <f>IFERROR(VLOOKUP($A101,koronahun!$A:$AM,31,FALSE),"")</f>
        <v>37772.428571428572</v>
      </c>
      <c r="AF101" s="13">
        <f>IFERROR(VLOOKUP($A101,koronahun!$A:$AM,32,FALSE),"")</f>
        <v>0.40261199209188875</v>
      </c>
      <c r="AG101">
        <f>IFERROR(VLOOKUP($A101,koronahun!$A:$AM,33,FALSE),"")</f>
        <v>6342496</v>
      </c>
      <c r="AH101">
        <f>IFERROR(VLOOKUP($A101,koronahun!$A:$AM,34,FALSE),"")</f>
        <v>13311</v>
      </c>
      <c r="AI101">
        <f>IFERROR(VLOOKUP($A101,koronahun!$A:$AM,35,FALSE),"")</f>
        <v>4616.3999999999996</v>
      </c>
      <c r="AJ101">
        <f>IFERROR(VLOOKUP($A101,koronahun!$A:$AM,36,FALSE),"")</f>
        <v>6080592</v>
      </c>
      <c r="AK101">
        <f>IFERROR(VLOOKUP($A101,koronahun!$A:$AM,37,FALSE),"")</f>
        <v>7094</v>
      </c>
      <c r="AL101">
        <f>IFERROR(VLOOKUP($A101,koronahun!$A:$AM,38,FALSE),"")</f>
        <v>4242</v>
      </c>
      <c r="AM101" s="14">
        <f>IFERROR(VLOOKUP($A101,koronahun!$A:$AM,39,FALSE),"")</f>
        <v>5622</v>
      </c>
      <c r="AN101" s="11">
        <f ca="1">IFERROR(__xludf.DUMMYFUNCTION("""COMPUTED_VALUE"""),43993)</f>
        <v>43993</v>
      </c>
      <c r="AO101" s="12">
        <f ca="1">IFERROR(VLOOKUP(AN101,koronahun!A:B,2,FALSE),"")</f>
        <v>4039</v>
      </c>
      <c r="AP101" s="11">
        <f t="shared" ca="1" si="0"/>
        <v>43993</v>
      </c>
      <c r="AQ101" s="11">
        <f ca="1">IFERROR(__xludf.DUMMYFUNCTION("""COMPUTED_VALUE"""),43993)</f>
        <v>43993</v>
      </c>
      <c r="AR101" s="11">
        <v>44586</v>
      </c>
      <c r="AS101" s="11">
        <f t="shared" si="1"/>
        <v>44586</v>
      </c>
      <c r="AT101" s="11">
        <f ca="1">IFERROR(__xludf.DUMMYFUNCTION("""COMPUTED_VALUE"""),44585)</f>
        <v>44585</v>
      </c>
    </row>
    <row r="102" spans="1:46" ht="13">
      <c r="A102" s="11">
        <v>44582</v>
      </c>
      <c r="B102">
        <f>IFERROR(VLOOKUP($A102,koronahun!$A:$AM,2,FALSE),"")</f>
        <v>1401457</v>
      </c>
      <c r="C102">
        <f>IFERROR(VLOOKUP($A102,koronahun!$A:$AM,3,FALSE),"")</f>
        <v>15957</v>
      </c>
      <c r="D102">
        <f>IFERROR(VLOOKUP($A102,koronahun!$A:$AM,4,FALSE),"")</f>
        <v>40822</v>
      </c>
      <c r="E102">
        <f>IFERROR(VLOOKUP($A102,koronahun!$A:$AM,5,FALSE),"")</f>
        <v>1193210</v>
      </c>
      <c r="F102">
        <f>IFERROR(VLOOKUP($A102,koronahun!$A:$AM,6,FALSE),"")</f>
        <v>9661929</v>
      </c>
      <c r="G102" s="12">
        <f>IFERROR(VLOOKUP($A102,koronahun!$A:$AM,7,FALSE),"")</f>
        <v>985911.12244897953</v>
      </c>
      <c r="H102">
        <f>IFERROR(VLOOKUP($A102,koronahun!$A:$AM,8,FALSE),"")</f>
        <v>0</v>
      </c>
      <c r="I102" s="13">
        <f>IFERROR(VLOOKUP($A102,koronahun!$A:$AM,9,FALSE),"")</f>
        <v>1.1517141826055576E-2</v>
      </c>
      <c r="J102" s="13">
        <f>IFERROR(VLOOKUP($A102,koronahun!$A:$AM,10,FALSE),"")</f>
        <v>0.14504939955572019</v>
      </c>
      <c r="K102" s="13">
        <f>IFERROR(VLOOKUP($A102,koronahun!$A:$AM,11,FALSE),"")</f>
        <v>5.1260557178069658E-3</v>
      </c>
      <c r="L102">
        <f>IFERROR(VLOOKUP($A102,koronahun!$A:$AM,12,FALSE),"")</f>
        <v>167425</v>
      </c>
      <c r="M102" s="13">
        <f>IFERROR(VLOOKUP($A102,koronahun!$A:$AM,13,FALSE),"")</f>
        <v>2.9128257235148849E-2</v>
      </c>
      <c r="N102" s="13">
        <f>IFERROR(VLOOKUP($A102,koronahun!$A:$AM,14,FALSE),"")</f>
        <v>0.85140678593777763</v>
      </c>
      <c r="O102">
        <f>IFERROR(VLOOKUP($A102,koronahun!$A:$AM,15,FALSE),"")</f>
        <v>42534</v>
      </c>
      <c r="P102">
        <f>IFERROR(VLOOKUP($A102,koronahun!$A:$AM,16,FALSE),"")</f>
        <v>49275</v>
      </c>
      <c r="Q102" s="13">
        <f>IFERROR(VLOOKUP($A102,koronahun!$A:$AM,17,FALSE),"")</f>
        <v>0.32383561643835618</v>
      </c>
      <c r="R102">
        <f>IFERROR(VLOOKUP($A102,koronahun!$A:$AM,18,FALSE),"")</f>
        <v>65</v>
      </c>
      <c r="S102">
        <f>IFERROR(VLOOKUP($A102,koronahun!$A:$AM,19,FALSE),"")</f>
        <v>6891</v>
      </c>
      <c r="T102">
        <f>IFERROR(VLOOKUP($A102,koronahun!$A:$AM,20,FALSE),"")</f>
        <v>2674</v>
      </c>
      <c r="U102">
        <f>IFERROR(VLOOKUP($A102,koronahun!$A:$AM,21,FALSE),"")</f>
        <v>201</v>
      </c>
      <c r="V102" s="13">
        <f>IFERROR(VLOOKUP($A102,koronahun!$A:$AM,22,FALSE),"")</f>
        <v>0.11946495682707353</v>
      </c>
      <c r="W102">
        <f>IFERROR(VLOOKUP($A102,koronahun!$A:$AM,23,FALSE),"")</f>
        <v>1</v>
      </c>
      <c r="X102">
        <f>IFERROR(VLOOKUP($A102,koronahun!$A:$AM,24,FALSE),"")</f>
        <v>-1</v>
      </c>
      <c r="Y102" s="14">
        <f>IFERROR(VLOOKUP($A102,koronahun!$A:$AM,25,FALSE),"")</f>
        <v>1.5971330446468569E-2</v>
      </c>
      <c r="Z102" s="14">
        <f>IFERROR(VLOOKUP($A102,koronahun!$A:$AM,26,FALSE),"")</f>
        <v>7.5168287210172033E-2</v>
      </c>
      <c r="AA102" s="14">
        <f>IFERROR(VLOOKUP($A102,koronahun!$A:$AM,27,FALSE),"")</f>
        <v>1.6896974374106271</v>
      </c>
      <c r="AB102" s="14">
        <f>IFERROR(VLOOKUP($A102,koronahun!$A:$AM,28,FALSE),"")</f>
        <v>1.5603689112265315</v>
      </c>
      <c r="AC102" s="14">
        <f>IFERROR(VLOOKUP($A102,koronahun!$A:$AM,29,FALSE),"")</f>
        <v>10634.714285714286</v>
      </c>
      <c r="AD102" s="14">
        <f>IFERROR(VLOOKUP($A102,koronahun!$A:$AM,30,FALSE),"")</f>
        <v>83.571428571428569</v>
      </c>
      <c r="AE102" s="14">
        <f>IFERROR(VLOOKUP($A102,koronahun!$A:$AM,31,FALSE),"")</f>
        <v>30538.857142857141</v>
      </c>
      <c r="AF102" s="13">
        <f>IFERROR(VLOOKUP($A102,koronahun!$A:$AM,32,FALSE),"")</f>
        <v>0.39412497430473048</v>
      </c>
      <c r="AG102">
        <f>IFERROR(VLOOKUP($A102,koronahun!$A:$AM,33,FALSE),"")</f>
        <v>6329185</v>
      </c>
      <c r="AH102">
        <f>IFERROR(VLOOKUP($A102,koronahun!$A:$AM,34,FALSE),"")</f>
        <v>4042</v>
      </c>
      <c r="AI102">
        <f>IFERROR(VLOOKUP($A102,koronahun!$A:$AM,35,FALSE),"")</f>
        <v>4972.3999999999996</v>
      </c>
      <c r="AJ102">
        <f>IFERROR(VLOOKUP($A102,koronahun!$A:$AM,36,FALSE),"")</f>
        <v>6073498</v>
      </c>
      <c r="AK102">
        <f>IFERROR(VLOOKUP($A102,koronahun!$A:$AM,37,FALSE),"")</f>
        <v>3821</v>
      </c>
      <c r="AL102">
        <f>IFERROR(VLOOKUP($A102,koronahun!$A:$AM,38,FALSE),"")</f>
        <v>4616.3999999999996</v>
      </c>
      <c r="AM102" s="14">
        <f>IFERROR(VLOOKUP($A102,koronahun!$A:$AM,39,FALSE),"")</f>
        <v>4957.2857142857147</v>
      </c>
      <c r="AN102" s="11">
        <f ca="1">IFERROR(__xludf.DUMMYFUNCTION("""COMPUTED_VALUE"""),43994)</f>
        <v>43994</v>
      </c>
      <c r="AO102" s="12">
        <f ca="1">IFERROR(VLOOKUP(AN102,koronahun!A:B,2,FALSE),"")</f>
        <v>4053</v>
      </c>
      <c r="AP102" s="11">
        <f t="shared" ca="1" si="0"/>
        <v>43994</v>
      </c>
      <c r="AQ102" s="11">
        <f ca="1">IFERROR(__xludf.DUMMYFUNCTION("""COMPUTED_VALUE"""),43994)</f>
        <v>43994</v>
      </c>
      <c r="AR102" s="11">
        <v>44585</v>
      </c>
      <c r="AS102" s="11">
        <f t="shared" si="1"/>
        <v>44585</v>
      </c>
      <c r="AT102" s="11">
        <f ca="1">IFERROR(__xludf.DUMMYFUNCTION("""COMPUTED_VALUE"""),44582)</f>
        <v>44582</v>
      </c>
    </row>
    <row r="103" spans="1:46" ht="13">
      <c r="A103" s="11">
        <v>44581</v>
      </c>
      <c r="B103">
        <f>IFERROR(VLOOKUP($A103,koronahun!$A:$AM,2,FALSE),"")</f>
        <v>1385500</v>
      </c>
      <c r="C103">
        <f>IFERROR(VLOOKUP($A103,koronahun!$A:$AM,3,FALSE),"")</f>
        <v>15526</v>
      </c>
      <c r="D103">
        <f>IFERROR(VLOOKUP($A103,koronahun!$A:$AM,4,FALSE),"")</f>
        <v>40757</v>
      </c>
      <c r="E103">
        <f>IFERROR(VLOOKUP($A103,koronahun!$A:$AM,5,FALSE),"")</f>
        <v>1186319</v>
      </c>
      <c r="F103">
        <f>IFERROR(VLOOKUP($A103,koronahun!$A:$AM,6,FALSE),"")</f>
        <v>9612654</v>
      </c>
      <c r="G103" s="12">
        <f>IFERROR(VLOOKUP($A103,koronahun!$A:$AM,7,FALSE),"")</f>
        <v>980883.06122448971</v>
      </c>
      <c r="H103">
        <f>IFERROR(VLOOKUP($A103,koronahun!$A:$AM,8,FALSE),"")</f>
        <v>0</v>
      </c>
      <c r="I103" s="13">
        <f>IFERROR(VLOOKUP($A103,koronahun!$A:$AM,9,FALSE),"")</f>
        <v>1.1333061795333343E-2</v>
      </c>
      <c r="J103" s="13">
        <f>IFERROR(VLOOKUP($A103,koronahun!$A:$AM,10,FALSE),"")</f>
        <v>0.14413293144640388</v>
      </c>
      <c r="K103" s="13">
        <f>IFERROR(VLOOKUP($A103,koronahun!$A:$AM,11,FALSE),"")</f>
        <v>4.2315471687705657E-3</v>
      </c>
      <c r="L103">
        <f>IFERROR(VLOOKUP($A103,koronahun!$A:$AM,12,FALSE),"")</f>
        <v>158424</v>
      </c>
      <c r="M103" s="13">
        <f>IFERROR(VLOOKUP($A103,koronahun!$A:$AM,13,FALSE),"")</f>
        <v>2.9416817033561891E-2</v>
      </c>
      <c r="N103" s="13">
        <f>IFERROR(VLOOKUP($A103,koronahun!$A:$AM,14,FALSE),"")</f>
        <v>0.85623890292313243</v>
      </c>
      <c r="O103">
        <f>IFERROR(VLOOKUP($A103,koronahun!$A:$AM,15,FALSE),"")</f>
        <v>34810</v>
      </c>
      <c r="P103">
        <f>IFERROR(VLOOKUP($A103,koronahun!$A:$AM,16,FALSE),"")</f>
        <v>40505</v>
      </c>
      <c r="Q103" s="13">
        <f>IFERROR(VLOOKUP($A103,koronahun!$A:$AM,17,FALSE),"")</f>
        <v>0.38331070238242193</v>
      </c>
      <c r="R103">
        <f>IFERROR(VLOOKUP($A103,koronahun!$A:$AM,18,FALSE),"")</f>
        <v>71</v>
      </c>
      <c r="S103">
        <f>IFERROR(VLOOKUP($A103,koronahun!$A:$AM,19,FALSE),"")</f>
        <v>4604</v>
      </c>
      <c r="T103">
        <f>IFERROR(VLOOKUP($A103,koronahun!$A:$AM,20,FALSE),"")</f>
        <v>2673</v>
      </c>
      <c r="U103">
        <f>IFERROR(VLOOKUP($A103,koronahun!$A:$AM,21,FALSE),"")</f>
        <v>202</v>
      </c>
      <c r="V103" s="13">
        <f>IFERROR(VLOOKUP($A103,koronahun!$A:$AM,22,FALSE),"")</f>
        <v>0.11434428004330567</v>
      </c>
      <c r="W103">
        <f>IFERROR(VLOOKUP($A103,koronahun!$A:$AM,23,FALSE),"")</f>
        <v>28</v>
      </c>
      <c r="X103">
        <f>IFERROR(VLOOKUP($A103,koronahun!$A:$AM,24,FALSE),"")</f>
        <v>-6</v>
      </c>
      <c r="Y103" s="14">
        <f>IFERROR(VLOOKUP($A103,koronahun!$A:$AM,25,FALSE),"")</f>
        <v>1.6872443569156188E-2</v>
      </c>
      <c r="Z103" s="14">
        <f>IFERROR(VLOOKUP($A103,koronahun!$A:$AM,26,FALSE),"")</f>
        <v>7.5570520014964462E-2</v>
      </c>
      <c r="AA103" s="14">
        <f>IFERROR(VLOOKUP($A103,koronahun!$A:$AM,27,FALSE),"")</f>
        <v>1.6180268843014882</v>
      </c>
      <c r="AB103" s="14">
        <f>IFERROR(VLOOKUP($A103,koronahun!$A:$AM,28,FALSE),"")</f>
        <v>1.5544089279264572</v>
      </c>
      <c r="AC103" s="14">
        <f>IFERROR(VLOOKUP($A103,koronahun!$A:$AM,29,FALSE),"")</f>
        <v>9629.5714285714294</v>
      </c>
      <c r="AD103" s="14">
        <f>IFERROR(VLOOKUP($A103,koronahun!$A:$AM,30,FALSE),"")</f>
        <v>84.714285714285708</v>
      </c>
      <c r="AE103" s="14">
        <f>IFERROR(VLOOKUP($A103,koronahun!$A:$AM,31,FALSE),"")</f>
        <v>27833.428571428572</v>
      </c>
      <c r="AF103" s="13">
        <f>IFERROR(VLOOKUP($A103,koronahun!$A:$AM,32,FALSE),"")</f>
        <v>0.38817052201287289</v>
      </c>
      <c r="AG103">
        <f>IFERROR(VLOOKUP($A103,koronahun!$A:$AM,33,FALSE),"")</f>
        <v>6325143</v>
      </c>
      <c r="AH103">
        <f>IFERROR(VLOOKUP($A103,koronahun!$A:$AM,34,FALSE),"")</f>
        <v>2238</v>
      </c>
      <c r="AI103">
        <f>IFERROR(VLOOKUP($A103,koronahun!$A:$AM,35,FALSE),"")</f>
        <v>5110.6000000000004</v>
      </c>
      <c r="AJ103">
        <f>IFERROR(VLOOKUP($A103,koronahun!$A:$AM,36,FALSE),"")</f>
        <v>6069677</v>
      </c>
      <c r="AK103">
        <f>IFERROR(VLOOKUP($A103,koronahun!$A:$AM,37,FALSE),"")</f>
        <v>3621</v>
      </c>
      <c r="AL103">
        <f>IFERROR(VLOOKUP($A103,koronahun!$A:$AM,38,FALSE),"")</f>
        <v>4756.8</v>
      </c>
      <c r="AM103" s="14">
        <f>IFERROR(VLOOKUP($A103,koronahun!$A:$AM,39,FALSE),"")</f>
        <v>4402</v>
      </c>
      <c r="AN103" s="11">
        <f ca="1">IFERROR(__xludf.DUMMYFUNCTION("""COMPUTED_VALUE"""),43995)</f>
        <v>43995</v>
      </c>
      <c r="AO103" s="12">
        <f ca="1">IFERROR(VLOOKUP(AN103,koronahun!A:B,2,FALSE),"")</f>
        <v>4064</v>
      </c>
      <c r="AP103" s="11">
        <f t="shared" ca="1" si="0"/>
        <v>43995</v>
      </c>
      <c r="AQ103" s="11">
        <f ca="1">IFERROR(__xludf.DUMMYFUNCTION("""COMPUTED_VALUE"""),43995)</f>
        <v>43995</v>
      </c>
      <c r="AR103" s="11">
        <v>44582</v>
      </c>
      <c r="AS103" s="11">
        <f t="shared" si="1"/>
        <v>44582</v>
      </c>
      <c r="AT103" s="11">
        <f ca="1">IFERROR(__xludf.DUMMYFUNCTION("""COMPUTED_VALUE"""),44581)</f>
        <v>44581</v>
      </c>
    </row>
    <row r="104" spans="1:46" ht="13">
      <c r="A104" s="11">
        <v>44580</v>
      </c>
      <c r="B104">
        <f>IFERROR(VLOOKUP($A104,koronahun!$A:$AM,2,FALSE),"")</f>
        <v>1369974</v>
      </c>
      <c r="C104">
        <f>IFERROR(VLOOKUP($A104,koronahun!$A:$AM,3,FALSE),"")</f>
        <v>14890</v>
      </c>
      <c r="D104">
        <f>IFERROR(VLOOKUP($A104,koronahun!$A:$AM,4,FALSE),"")</f>
        <v>40686</v>
      </c>
      <c r="E104">
        <f>IFERROR(VLOOKUP($A104,koronahun!$A:$AM,5,FALSE),"")</f>
        <v>1181715</v>
      </c>
      <c r="F104">
        <f>IFERROR(VLOOKUP($A104,koronahun!$A:$AM,6,FALSE),"")</f>
        <v>9572149</v>
      </c>
      <c r="G104" s="12">
        <f>IFERROR(VLOOKUP($A104,koronahun!$A:$AM,7,FALSE),"")</f>
        <v>976749.89795918355</v>
      </c>
      <c r="H104">
        <f>IFERROR(VLOOKUP($A104,koronahun!$A:$AM,8,FALSE),"")</f>
        <v>0</v>
      </c>
      <c r="I104" s="13">
        <f>IFERROR(VLOOKUP($A104,koronahun!$A:$AM,9,FALSE),"")</f>
        <v>1.0988248698973644E-2</v>
      </c>
      <c r="J104" s="13">
        <f>IFERROR(VLOOKUP($A104,koronahun!$A:$AM,10,FALSE),"")</f>
        <v>0.14312083942696671</v>
      </c>
      <c r="K104" s="13">
        <f>IFERROR(VLOOKUP($A104,koronahun!$A:$AM,11,FALSE),"")</f>
        <v>2.7041794263640891E-3</v>
      </c>
      <c r="L104">
        <f>IFERROR(VLOOKUP($A104,koronahun!$A:$AM,12,FALSE),"")</f>
        <v>147573</v>
      </c>
      <c r="M104" s="13">
        <f>IFERROR(VLOOKUP($A104,koronahun!$A:$AM,13,FALSE),"")</f>
        <v>2.9698373837751667E-2</v>
      </c>
      <c r="N104" s="13">
        <f>IFERROR(VLOOKUP($A104,koronahun!$A:$AM,14,FALSE),"")</f>
        <v>0.86258206360120704</v>
      </c>
      <c r="O104">
        <f>IFERROR(VLOOKUP($A104,koronahun!$A:$AM,15,FALSE),"")</f>
        <v>38652</v>
      </c>
      <c r="P104">
        <f>IFERROR(VLOOKUP($A104,koronahun!$A:$AM,16,FALSE),"")</f>
        <v>25815</v>
      </c>
      <c r="Q104" s="13">
        <f>IFERROR(VLOOKUP($A104,koronahun!$A:$AM,17,FALSE),"")</f>
        <v>0.57679643618051524</v>
      </c>
      <c r="R104">
        <f>IFERROR(VLOOKUP($A104,koronahun!$A:$AM,18,FALSE),"")</f>
        <v>85</v>
      </c>
      <c r="S104">
        <f>IFERROR(VLOOKUP($A104,koronahun!$A:$AM,19,FALSE),"")</f>
        <v>4860</v>
      </c>
      <c r="T104">
        <f>IFERROR(VLOOKUP($A104,koronahun!$A:$AM,20,FALSE),"")</f>
        <v>2645</v>
      </c>
      <c r="U104">
        <f>IFERROR(VLOOKUP($A104,koronahun!$A:$AM,21,FALSE),"")</f>
        <v>208</v>
      </c>
      <c r="V104" s="13">
        <f>IFERROR(VLOOKUP($A104,koronahun!$A:$AM,22,FALSE),"")</f>
        <v>0.1077195625610413</v>
      </c>
      <c r="W104">
        <f>IFERROR(VLOOKUP($A104,koronahun!$A:$AM,23,FALSE),"")</f>
        <v>-44</v>
      </c>
      <c r="X104">
        <f>IFERROR(VLOOKUP($A104,koronahun!$A:$AM,24,FALSE),"")</f>
        <v>-9</v>
      </c>
      <c r="Y104" s="14">
        <f>IFERROR(VLOOKUP($A104,koronahun!$A:$AM,25,FALSE),"")</f>
        <v>1.7923332858991822E-2</v>
      </c>
      <c r="Z104" s="14">
        <f>IFERROR(VLOOKUP($A104,koronahun!$A:$AM,26,FALSE),"")</f>
        <v>7.8638941398865778E-2</v>
      </c>
      <c r="AA104" s="14">
        <f>IFERROR(VLOOKUP($A104,koronahun!$A:$AM,27,FALSE),"")</f>
        <v>1.5706977222479306</v>
      </c>
      <c r="AB104" s="14">
        <f>IFERROR(VLOOKUP($A104,koronahun!$A:$AM,28,FALSE),"")</f>
        <v>1.5872070073070697</v>
      </c>
      <c r="AC104" s="14">
        <f>IFERROR(VLOOKUP($A104,koronahun!$A:$AM,29,FALSE),"")</f>
        <v>8728.1428571428569</v>
      </c>
      <c r="AD104" s="14">
        <f>IFERROR(VLOOKUP($A104,koronahun!$A:$AM,30,FALSE),"")</f>
        <v>86.142857142857139</v>
      </c>
      <c r="AE104" s="14">
        <f>IFERROR(VLOOKUP($A104,koronahun!$A:$AM,31,FALSE),"")</f>
        <v>26553.857142857141</v>
      </c>
      <c r="AF104" s="13">
        <f>IFERROR(VLOOKUP($A104,koronahun!$A:$AM,32,FALSE),"")</f>
        <v>0.36993363828800507</v>
      </c>
      <c r="AG104">
        <f>IFERROR(VLOOKUP($A104,koronahun!$A:$AM,33,FALSE),"")</f>
        <v>6322905</v>
      </c>
      <c r="AH104">
        <f>IFERROR(VLOOKUP($A104,koronahun!$A:$AM,34,FALSE),"")</f>
        <v>1866</v>
      </c>
      <c r="AI104">
        <f>IFERROR(VLOOKUP($A104,koronahun!$A:$AM,35,FALSE),"")</f>
        <v>5160.8</v>
      </c>
      <c r="AJ104">
        <f>IFERROR(VLOOKUP($A104,koronahun!$A:$AM,36,FALSE),"")</f>
        <v>6066056</v>
      </c>
      <c r="AK104">
        <f>IFERROR(VLOOKUP($A104,koronahun!$A:$AM,37,FALSE),"")</f>
        <v>3710</v>
      </c>
      <c r="AL104">
        <f>IFERROR(VLOOKUP($A104,koronahun!$A:$AM,38,FALSE),"")</f>
        <v>5223.2</v>
      </c>
      <c r="AM104" s="14">
        <f>IFERROR(VLOOKUP($A104,koronahun!$A:$AM,39,FALSE),"")</f>
        <v>4552.2857142857147</v>
      </c>
      <c r="AN104" s="11">
        <f ca="1">IFERROR(__xludf.DUMMYFUNCTION("""COMPUTED_VALUE"""),43996)</f>
        <v>43996</v>
      </c>
      <c r="AO104" s="12">
        <f ca="1">IFERROR(VLOOKUP(AN104,koronahun!A:B,2,FALSE),"")</f>
        <v>4069</v>
      </c>
      <c r="AP104" s="11">
        <f t="shared" ca="1" si="0"/>
        <v>43996</v>
      </c>
      <c r="AQ104" s="11">
        <f ca="1">IFERROR(__xludf.DUMMYFUNCTION("""COMPUTED_VALUE"""),43996)</f>
        <v>43996</v>
      </c>
      <c r="AR104" s="11">
        <v>44581</v>
      </c>
      <c r="AS104" s="11">
        <f t="shared" si="1"/>
        <v>44581</v>
      </c>
      <c r="AT104" s="11">
        <f ca="1">IFERROR(__xludf.DUMMYFUNCTION("""COMPUTED_VALUE"""),44580)</f>
        <v>44580</v>
      </c>
    </row>
    <row r="105" spans="1:46" ht="13">
      <c r="A105" s="11">
        <v>44579</v>
      </c>
      <c r="B105">
        <f>IFERROR(VLOOKUP($A105,koronahun!$A:$AM,2,FALSE),"")</f>
        <v>1355084</v>
      </c>
      <c r="C105">
        <f>IFERROR(VLOOKUP($A105,koronahun!$A:$AM,3,FALSE),"")</f>
        <v>6851</v>
      </c>
      <c r="D105">
        <f>IFERROR(VLOOKUP($A105,koronahun!$A:$AM,4,FALSE),"")</f>
        <v>40601</v>
      </c>
      <c r="E105">
        <f>IFERROR(VLOOKUP($A105,koronahun!$A:$AM,5,FALSE),"")</f>
        <v>1176855</v>
      </c>
      <c r="F105">
        <f>IFERROR(VLOOKUP($A105,koronahun!$A:$AM,6,FALSE),"")</f>
        <v>9546334</v>
      </c>
      <c r="G105" s="12">
        <f>IFERROR(VLOOKUP($A105,koronahun!$A:$AM,7,FALSE),"")</f>
        <v>974115.7142857142</v>
      </c>
      <c r="H105">
        <f>IFERROR(VLOOKUP($A105,koronahun!$A:$AM,8,FALSE),"")</f>
        <v>0</v>
      </c>
      <c r="I105" s="13">
        <f>IFERROR(VLOOKUP($A105,koronahun!$A:$AM,9,FALSE),"")</f>
        <v>5.0814658890562681E-3</v>
      </c>
      <c r="J105" s="13">
        <f>IFERROR(VLOOKUP($A105,koronahun!$A:$AM,10,FALSE),"")</f>
        <v>0.1419481028005096</v>
      </c>
      <c r="K105" s="13">
        <f>IFERROR(VLOOKUP($A105,koronahun!$A:$AM,11,FALSE),"")</f>
        <v>1.6775886206020223E-3</v>
      </c>
      <c r="L105">
        <f>IFERROR(VLOOKUP($A105,koronahun!$A:$AM,12,FALSE),"")</f>
        <v>137628</v>
      </c>
      <c r="M105" s="13">
        <f>IFERROR(VLOOKUP($A105,koronahun!$A:$AM,13,FALSE),"")</f>
        <v>2.9961980216724571E-2</v>
      </c>
      <c r="N105" s="13">
        <f>IFERROR(VLOOKUP($A105,koronahun!$A:$AM,14,FALSE),"")</f>
        <v>0.86847383630830266</v>
      </c>
      <c r="O105">
        <f>IFERROR(VLOOKUP($A105,koronahun!$A:$AM,15,FALSE),"")</f>
        <v>37207</v>
      </c>
      <c r="P105">
        <f>IFERROR(VLOOKUP($A105,koronahun!$A:$AM,16,FALSE),"")</f>
        <v>15988</v>
      </c>
      <c r="Q105" s="13">
        <f>IFERROR(VLOOKUP($A105,koronahun!$A:$AM,17,FALSE),"")</f>
        <v>0.42850888166124596</v>
      </c>
      <c r="R105">
        <f>IFERROR(VLOOKUP($A105,koronahun!$A:$AM,18,FALSE),"")</f>
        <v>94</v>
      </c>
      <c r="S105">
        <f>IFERROR(VLOOKUP($A105,koronahun!$A:$AM,19,FALSE),"")</f>
        <v>7080</v>
      </c>
      <c r="T105">
        <f>IFERROR(VLOOKUP($A105,koronahun!$A:$AM,20,FALSE),"")</f>
        <v>2689</v>
      </c>
      <c r="U105">
        <f>IFERROR(VLOOKUP($A105,koronahun!$A:$AM,21,FALSE),"")</f>
        <v>217</v>
      </c>
      <c r="V105" s="13">
        <f>IFERROR(VLOOKUP($A105,koronahun!$A:$AM,22,FALSE),"")</f>
        <v>0.10156418347497277</v>
      </c>
      <c r="W105">
        <f>IFERROR(VLOOKUP($A105,koronahun!$A:$AM,23,FALSE),"")</f>
        <v>59</v>
      </c>
      <c r="X105">
        <f>IFERROR(VLOOKUP($A105,koronahun!$A:$AM,24,FALSE),"")</f>
        <v>-11</v>
      </c>
      <c r="Y105" s="14">
        <f>IFERROR(VLOOKUP($A105,koronahun!$A:$AM,25,FALSE),"")</f>
        <v>1.9538175371290725E-2</v>
      </c>
      <c r="Z105" s="14">
        <f>IFERROR(VLOOKUP($A105,koronahun!$A:$AM,26,FALSE),"")</f>
        <v>8.0699144663443662E-2</v>
      </c>
      <c r="AA105" s="14">
        <f>IFERROR(VLOOKUP($A105,koronahun!$A:$AM,27,FALSE),"")</f>
        <v>1.4906986357999172</v>
      </c>
      <c r="AB105" s="14">
        <f>IFERROR(VLOOKUP($A105,koronahun!$A:$AM,28,FALSE),"")</f>
        <v>1.6565823753544024</v>
      </c>
      <c r="AC105" s="14">
        <f>IFERROR(VLOOKUP($A105,koronahun!$A:$AM,29,FALSE),"")</f>
        <v>7727.1428571428569</v>
      </c>
      <c r="AD105" s="14">
        <f>IFERROR(VLOOKUP($A105,koronahun!$A:$AM,30,FALSE),"")</f>
        <v>83.571428571428569</v>
      </c>
      <c r="AE105" s="14">
        <f>IFERROR(VLOOKUP($A105,koronahun!$A:$AM,31,FALSE),"")</f>
        <v>25480.142857142859</v>
      </c>
      <c r="AF105" s="13">
        <f>IFERROR(VLOOKUP($A105,koronahun!$A:$AM,32,FALSE),"")</f>
        <v>0.3407320645881608</v>
      </c>
      <c r="AG105">
        <f>IFERROR(VLOOKUP($A105,koronahun!$A:$AM,33,FALSE),"")</f>
        <v>6321039</v>
      </c>
      <c r="AH105">
        <f>IFERROR(VLOOKUP($A105,koronahun!$A:$AM,34,FALSE),"")</f>
        <v>1625</v>
      </c>
      <c r="AI105">
        <f>IFERROR(VLOOKUP($A105,koronahun!$A:$AM,35,FALSE),"")</f>
        <v>5266.4</v>
      </c>
      <c r="AJ105">
        <f>IFERROR(VLOOKUP($A105,koronahun!$A:$AM,36,FALSE),"")</f>
        <v>6062346</v>
      </c>
      <c r="AK105">
        <f>IFERROR(VLOOKUP($A105,koronahun!$A:$AM,37,FALSE),"")</f>
        <v>2964</v>
      </c>
      <c r="AL105">
        <f>IFERROR(VLOOKUP($A105,koronahun!$A:$AM,38,FALSE),"")</f>
        <v>5734.2</v>
      </c>
      <c r="AM105" s="14">
        <f>IFERROR(VLOOKUP($A105,koronahun!$A:$AM,39,FALSE),"")</f>
        <v>4148.1428571428569</v>
      </c>
      <c r="AN105" s="11">
        <f ca="1">IFERROR(__xludf.DUMMYFUNCTION("""COMPUTED_VALUE"""),43997)</f>
        <v>43997</v>
      </c>
      <c r="AO105" s="12">
        <f ca="1">IFERROR(VLOOKUP(AN105,koronahun!A:B,2,FALSE),"")</f>
        <v>4076</v>
      </c>
      <c r="AP105" s="11">
        <f t="shared" ca="1" si="0"/>
        <v>43997</v>
      </c>
      <c r="AQ105" s="11">
        <f ca="1">IFERROR(__xludf.DUMMYFUNCTION("""COMPUTED_VALUE"""),43997)</f>
        <v>43997</v>
      </c>
      <c r="AR105" s="11">
        <v>44580</v>
      </c>
      <c r="AS105" s="11">
        <f t="shared" si="1"/>
        <v>44580</v>
      </c>
      <c r="AT105" s="11">
        <f ca="1">IFERROR(__xludf.DUMMYFUNCTION("""COMPUTED_VALUE"""),44579)</f>
        <v>44579</v>
      </c>
    </row>
    <row r="106" spans="1:46" ht="13">
      <c r="A106" s="11">
        <v>44578</v>
      </c>
      <c r="B106">
        <f>IFERROR(VLOOKUP($A106,koronahun!$A:$AM,2,FALSE),"")</f>
        <v>1348233</v>
      </c>
      <c r="C106">
        <f>IFERROR(VLOOKUP($A106,koronahun!$A:$AM,3,FALSE),"")</f>
        <v>21219</v>
      </c>
      <c r="D106">
        <f>IFERROR(VLOOKUP($A106,koronahun!$A:$AM,4,FALSE),"")</f>
        <v>40507</v>
      </c>
      <c r="E106">
        <f>IFERROR(VLOOKUP($A106,koronahun!$A:$AM,5,FALSE),"")</f>
        <v>1169775</v>
      </c>
      <c r="F106">
        <f>IFERROR(VLOOKUP($A106,koronahun!$A:$AM,6,FALSE),"")</f>
        <v>9530346</v>
      </c>
      <c r="G106" s="12">
        <f>IFERROR(VLOOKUP($A106,koronahun!$A:$AM,7,FALSE),"")</f>
        <v>972484.28571428568</v>
      </c>
      <c r="H106">
        <f>IFERROR(VLOOKUP($A106,koronahun!$A:$AM,8,FALSE),"")</f>
        <v>0</v>
      </c>
      <c r="I106" s="13">
        <f>IFERROR(VLOOKUP($A106,koronahun!$A:$AM,9,FALSE),"")</f>
        <v>1.5990034769791425E-2</v>
      </c>
      <c r="J106" s="13">
        <f>IFERROR(VLOOKUP($A106,koronahun!$A:$AM,10,FALSE),"")</f>
        <v>0.14146737169878199</v>
      </c>
      <c r="K106" s="13">
        <f>IFERROR(VLOOKUP($A106,koronahun!$A:$AM,11,FALSE),"")</f>
        <v>8.6989452016938331E-3</v>
      </c>
      <c r="L106">
        <f>IFERROR(VLOOKUP($A106,koronahun!$A:$AM,12,FALSE),"")</f>
        <v>137951</v>
      </c>
      <c r="M106" s="13">
        <f>IFERROR(VLOOKUP($A106,koronahun!$A:$AM,13,FALSE),"")</f>
        <v>3.0044510110641114E-2</v>
      </c>
      <c r="N106" s="13">
        <f>IFERROR(VLOOKUP($A106,koronahun!$A:$AM,14,FALSE),"")</f>
        <v>0.86763563864702908</v>
      </c>
      <c r="O106">
        <f>IFERROR(VLOOKUP($A106,koronahun!$A:$AM,15,FALSE),"")</f>
        <v>39669</v>
      </c>
      <c r="P106">
        <f>IFERROR(VLOOKUP($A106,koronahun!$A:$AM,16,FALSE),"")</f>
        <v>82189</v>
      </c>
      <c r="Q106" s="13">
        <f>IFERROR(VLOOKUP($A106,koronahun!$A:$AM,17,FALSE),"")</f>
        <v>0.25817323486111282</v>
      </c>
      <c r="R106">
        <f>IFERROR(VLOOKUP($A106,koronahun!$A:$AM,18,FALSE),"")</f>
        <v>270</v>
      </c>
      <c r="S106">
        <f>IFERROR(VLOOKUP($A106,koronahun!$A:$AM,19,FALSE),"")</f>
        <v>11266</v>
      </c>
      <c r="T106">
        <f>IFERROR(VLOOKUP($A106,koronahun!$A:$AM,20,FALSE),"")</f>
        <v>2630</v>
      </c>
      <c r="U106">
        <f>IFERROR(VLOOKUP($A106,koronahun!$A:$AM,21,FALSE),"")</f>
        <v>228</v>
      </c>
      <c r="V106" s="13">
        <f>IFERROR(VLOOKUP($A106,koronahun!$A:$AM,22,FALSE),"")</f>
        <v>0.10231985124232977</v>
      </c>
      <c r="W106">
        <f>IFERROR(VLOOKUP($A106,koronahun!$A:$AM,23,FALSE),"")</f>
        <v>19</v>
      </c>
      <c r="X106">
        <f>IFERROR(VLOOKUP($A106,koronahun!$A:$AM,24,FALSE),"")</f>
        <v>-15</v>
      </c>
      <c r="Y106" s="14">
        <f>IFERROR(VLOOKUP($A106,koronahun!$A:$AM,25,FALSE),"")</f>
        <v>1.9064740378830165E-2</v>
      </c>
      <c r="Z106" s="14">
        <f>IFERROR(VLOOKUP($A106,koronahun!$A:$AM,26,FALSE),"")</f>
        <v>8.6692015209125478E-2</v>
      </c>
      <c r="AA106" s="14">
        <f>IFERROR(VLOOKUP($A106,koronahun!$A:$AM,27,FALSE),"")</f>
        <v>1.4327238763726933</v>
      </c>
      <c r="AB106" s="14">
        <f>IFERROR(VLOOKUP($A106,koronahun!$A:$AM,28,FALSE),"")</f>
        <v>1.7611618490823211</v>
      </c>
      <c r="AC106" s="14">
        <f>IFERROR(VLOOKUP($A106,koronahun!$A:$AM,29,FALSE),"")</f>
        <v>7231.5714285714284</v>
      </c>
      <c r="AD106" s="14">
        <f>IFERROR(VLOOKUP($A106,koronahun!$A:$AM,30,FALSE),"")</f>
        <v>80</v>
      </c>
      <c r="AE106" s="14">
        <f>IFERROR(VLOOKUP($A106,koronahun!$A:$AM,31,FALSE),"")</f>
        <v>24515.285714285714</v>
      </c>
      <c r="AF106" s="13">
        <f>IFERROR(VLOOKUP($A106,koronahun!$A:$AM,32,FALSE),"")</f>
        <v>0.32828131706249603</v>
      </c>
      <c r="AG106">
        <f>IFERROR(VLOOKUP($A106,koronahun!$A:$AM,33,FALSE),"")</f>
        <v>6319414</v>
      </c>
      <c r="AH106">
        <f>IFERROR(VLOOKUP($A106,koronahun!$A:$AM,34,FALSE),"")</f>
        <v>15091</v>
      </c>
      <c r="AI106">
        <f>IFERROR(VLOOKUP($A106,koronahun!$A:$AM,35,FALSE),"")</f>
        <v>5331</v>
      </c>
      <c r="AJ106">
        <f>IFERROR(VLOOKUP($A106,koronahun!$A:$AM,36,FALSE),"")</f>
        <v>6059382</v>
      </c>
      <c r="AK106">
        <f>IFERROR(VLOOKUP($A106,koronahun!$A:$AM,37,FALSE),"")</f>
        <v>8966</v>
      </c>
      <c r="AL106">
        <f>IFERROR(VLOOKUP($A106,koronahun!$A:$AM,38,FALSE),"")</f>
        <v>6360.8</v>
      </c>
      <c r="AM106" s="14">
        <f>IFERROR(VLOOKUP($A106,koronahun!$A:$AM,39,FALSE),"")</f>
        <v>3429.2857142857142</v>
      </c>
      <c r="AN106" s="11">
        <f ca="1">IFERROR(__xludf.DUMMYFUNCTION("""COMPUTED_VALUE"""),43998)</f>
        <v>43998</v>
      </c>
      <c r="AO106" s="12">
        <f ca="1">IFERROR(VLOOKUP(AN106,koronahun!A:B,2,FALSE),"")</f>
        <v>4077</v>
      </c>
      <c r="AP106" s="11">
        <f t="shared" ca="1" si="0"/>
        <v>43998</v>
      </c>
      <c r="AQ106" s="11">
        <f ca="1">IFERROR(__xludf.DUMMYFUNCTION("""COMPUTED_VALUE"""),43998)</f>
        <v>43998</v>
      </c>
      <c r="AR106" s="11">
        <v>44579</v>
      </c>
      <c r="AS106" s="11">
        <f t="shared" si="1"/>
        <v>44579</v>
      </c>
      <c r="AT106" s="11">
        <f ca="1">IFERROR(__xludf.DUMMYFUNCTION("""COMPUTED_VALUE"""),44578)</f>
        <v>44578</v>
      </c>
    </row>
    <row r="107" spans="1:46" ht="13">
      <c r="A107" s="11">
        <v>44575</v>
      </c>
      <c r="B107">
        <f>IFERROR(VLOOKUP($A107,koronahun!$A:$AM,2,FALSE),"")</f>
        <v>1327014</v>
      </c>
      <c r="C107">
        <f>IFERROR(VLOOKUP($A107,koronahun!$A:$AM,3,FALSE),"")</f>
        <v>8921</v>
      </c>
      <c r="D107">
        <f>IFERROR(VLOOKUP($A107,koronahun!$A:$AM,4,FALSE),"")</f>
        <v>40237</v>
      </c>
      <c r="E107">
        <f>IFERROR(VLOOKUP($A107,koronahun!$A:$AM,5,FALSE),"")</f>
        <v>1158509</v>
      </c>
      <c r="F107">
        <f>IFERROR(VLOOKUP($A107,koronahun!$A:$AM,6,FALSE),"")</f>
        <v>9448157</v>
      </c>
      <c r="G107" s="12">
        <f>IFERROR(VLOOKUP($A107,koronahun!$A:$AM,7,FALSE),"")</f>
        <v>964097.65306122438</v>
      </c>
      <c r="H107">
        <f>IFERROR(VLOOKUP($A107,koronahun!$A:$AM,8,FALSE),"")</f>
        <v>0</v>
      </c>
      <c r="I107" s="13">
        <f>IFERROR(VLOOKUP($A107,koronahun!$A:$AM,9,FALSE),"")</f>
        <v>6.768111203078994E-3</v>
      </c>
      <c r="J107" s="13">
        <f>IFERROR(VLOOKUP($A107,koronahun!$A:$AM,10,FALSE),"")</f>
        <v>0.14045215379041648</v>
      </c>
      <c r="K107" s="13">
        <f>IFERROR(VLOOKUP($A107,koronahun!$A:$AM,11,FALSE),"")</f>
        <v>3.2212337887111879E-3</v>
      </c>
      <c r="L107">
        <f>IFERROR(VLOOKUP($A107,koronahun!$A:$AM,12,FALSE),"")</f>
        <v>128268</v>
      </c>
      <c r="M107" s="13">
        <f>IFERROR(VLOOKUP($A107,koronahun!$A:$AM,13,FALSE),"")</f>
        <v>3.0321458552811049E-2</v>
      </c>
      <c r="N107" s="13">
        <f>IFERROR(VLOOKUP($A107,koronahun!$A:$AM,14,FALSE),"")</f>
        <v>0.87301942556747703</v>
      </c>
      <c r="O107">
        <f>IFERROR(VLOOKUP($A107,koronahun!$A:$AM,15,FALSE),"")</f>
        <v>44692</v>
      </c>
      <c r="P107">
        <f>IFERROR(VLOOKUP($A107,koronahun!$A:$AM,16,FALSE),"")</f>
        <v>30337</v>
      </c>
      <c r="Q107" s="13">
        <f>IFERROR(VLOOKUP($A107,koronahun!$A:$AM,17,FALSE),"")</f>
        <v>0.29406335497906849</v>
      </c>
      <c r="R107">
        <f>IFERROR(VLOOKUP($A107,koronahun!$A:$AM,18,FALSE),"")</f>
        <v>73</v>
      </c>
      <c r="S107">
        <f>IFERROR(VLOOKUP($A107,koronahun!$A:$AM,19,FALSE),"")</f>
        <v>3004</v>
      </c>
      <c r="T107">
        <f>IFERROR(VLOOKUP($A107,koronahun!$A:$AM,20,FALSE),"")</f>
        <v>2611</v>
      </c>
      <c r="U107">
        <f>IFERROR(VLOOKUP($A107,koronahun!$A:$AM,21,FALSE),"")</f>
        <v>243</v>
      </c>
      <c r="V107" s="13">
        <f>IFERROR(VLOOKUP($A107,koronahun!$A:$AM,22,FALSE),"")</f>
        <v>9.665911587971189E-2</v>
      </c>
      <c r="W107">
        <f>IFERROR(VLOOKUP($A107,koronahun!$A:$AM,23,FALSE),"")</f>
        <v>-36</v>
      </c>
      <c r="X107">
        <f>IFERROR(VLOOKUP($A107,koronahun!$A:$AM,24,FALSE),"")</f>
        <v>-6</v>
      </c>
      <c r="Y107" s="14">
        <f>IFERROR(VLOOKUP($A107,koronahun!$A:$AM,25,FALSE),"")</f>
        <v>2.0355817507094521E-2</v>
      </c>
      <c r="Z107" s="14">
        <f>IFERROR(VLOOKUP($A107,koronahun!$A:$AM,26,FALSE),"")</f>
        <v>9.3067790118728455E-2</v>
      </c>
      <c r="AA107" s="14">
        <f>IFERROR(VLOOKUP($A107,koronahun!$A:$AM,27,FALSE),"")</f>
        <v>1.6598975209102556</v>
      </c>
      <c r="AB107" s="14">
        <f>IFERROR(VLOOKUP($A107,koronahun!$A:$AM,28,FALSE),"")</f>
        <v>1.8912434519694474</v>
      </c>
      <c r="AC107" s="14">
        <f>IFERROR(VLOOKUP($A107,koronahun!$A:$AM,29,FALSE),"")</f>
        <v>6293.8571428571431</v>
      </c>
      <c r="AD107" s="14">
        <f>IFERROR(VLOOKUP($A107,koronahun!$A:$AM,30,FALSE),"")</f>
        <v>65.285714285714292</v>
      </c>
      <c r="AE107" s="14">
        <f>IFERROR(VLOOKUP($A107,koronahun!$A:$AM,31,FALSE),"")</f>
        <v>23290.285714285714</v>
      </c>
      <c r="AF107" s="13">
        <f>IFERROR(VLOOKUP($A107,koronahun!$A:$AM,32,FALSE),"")</f>
        <v>0.31646246599866046</v>
      </c>
      <c r="AG107">
        <f>IFERROR(VLOOKUP($A107,koronahun!$A:$AM,33,FALSE),"")</f>
        <v>6304323</v>
      </c>
      <c r="AH107">
        <f>IFERROR(VLOOKUP($A107,koronahun!$A:$AM,34,FALSE),"")</f>
        <v>4733</v>
      </c>
      <c r="AI107">
        <f>IFERROR(VLOOKUP($A107,koronahun!$A:$AM,35,FALSE),"")</f>
        <v>5193.6000000000004</v>
      </c>
      <c r="AJ107">
        <f>IFERROR(VLOOKUP($A107,koronahun!$A:$AM,36,FALSE),"")</f>
        <v>6050416</v>
      </c>
      <c r="AK107">
        <f>IFERROR(VLOOKUP($A107,koronahun!$A:$AM,37,FALSE),"")</f>
        <v>4523</v>
      </c>
      <c r="AL107">
        <f>IFERROR(VLOOKUP($A107,koronahun!$A:$AM,38,FALSE),"")</f>
        <v>8847.6</v>
      </c>
      <c r="AM107" s="14">
        <f>IFERROR(VLOOKUP($A107,koronahun!$A:$AM,39,FALSE),"")</f>
        <v>2980.1428571428573</v>
      </c>
      <c r="AN107" s="11">
        <f ca="1">IFERROR(__xludf.DUMMYFUNCTION("""COMPUTED_VALUE"""),43999)</f>
        <v>43999</v>
      </c>
      <c r="AO107" s="12">
        <f ca="1">IFERROR(VLOOKUP(AN107,koronahun!A:B,2,FALSE),"")</f>
        <v>4078</v>
      </c>
      <c r="AP107" s="11">
        <f t="shared" ca="1" si="0"/>
        <v>43999</v>
      </c>
      <c r="AQ107" s="11">
        <f ca="1">IFERROR(__xludf.DUMMYFUNCTION("""COMPUTED_VALUE"""),43999)</f>
        <v>43999</v>
      </c>
      <c r="AR107" s="11">
        <v>44578</v>
      </c>
      <c r="AS107" s="11">
        <f t="shared" si="1"/>
        <v>44578</v>
      </c>
      <c r="AT107" s="11">
        <f ca="1">IFERROR(__xludf.DUMMYFUNCTION("""COMPUTED_VALUE"""),44575)</f>
        <v>44575</v>
      </c>
    </row>
    <row r="108" spans="1:46" ht="13">
      <c r="A108" s="11">
        <v>44574</v>
      </c>
      <c r="B108">
        <f>IFERROR(VLOOKUP($A108,koronahun!$A:$AM,2,FALSE),"")</f>
        <v>1318093</v>
      </c>
      <c r="C108">
        <f>IFERROR(VLOOKUP($A108,koronahun!$A:$AM,3,FALSE),"")</f>
        <v>9216</v>
      </c>
      <c r="D108">
        <f>IFERROR(VLOOKUP($A108,koronahun!$A:$AM,4,FALSE),"")</f>
        <v>40164</v>
      </c>
      <c r="E108">
        <f>IFERROR(VLOOKUP($A108,koronahun!$A:$AM,5,FALSE),"")</f>
        <v>1155505</v>
      </c>
      <c r="F108">
        <f>IFERROR(VLOOKUP($A108,koronahun!$A:$AM,6,FALSE),"")</f>
        <v>9417820</v>
      </c>
      <c r="G108" s="12">
        <f>IFERROR(VLOOKUP($A108,koronahun!$A:$AM,7,FALSE),"")</f>
        <v>961002.04081632651</v>
      </c>
      <c r="H108">
        <f>IFERROR(VLOOKUP($A108,koronahun!$A:$AM,8,FALSE),"")</f>
        <v>0</v>
      </c>
      <c r="I108" s="13">
        <f>IFERROR(VLOOKUP($A108,koronahun!$A:$AM,9,FALSE),"")</f>
        <v>7.0411505435575691E-3</v>
      </c>
      <c r="J108" s="13">
        <f>IFERROR(VLOOKUP($A108,koronahun!$A:$AM,10,FALSE),"")</f>
        <v>0.13995733619882308</v>
      </c>
      <c r="K108" s="13">
        <f>IFERROR(VLOOKUP($A108,koronahun!$A:$AM,11,FALSE),"")</f>
        <v>3.3610788180866696E-3</v>
      </c>
      <c r="L108">
        <f>IFERROR(VLOOKUP($A108,koronahun!$A:$AM,12,FALSE),"")</f>
        <v>122424</v>
      </c>
      <c r="M108" s="13">
        <f>IFERROR(VLOOKUP($A108,koronahun!$A:$AM,13,FALSE),"")</f>
        <v>3.047129451412002E-2</v>
      </c>
      <c r="N108" s="13">
        <f>IFERROR(VLOOKUP($A108,koronahun!$A:$AM,14,FALSE),"")</f>
        <v>0.87664906800961695</v>
      </c>
      <c r="O108">
        <f>IFERROR(VLOOKUP($A108,koronahun!$A:$AM,15,FALSE),"")</f>
        <v>40560</v>
      </c>
      <c r="P108">
        <f>IFERROR(VLOOKUP($A108,koronahun!$A:$AM,16,FALSE),"")</f>
        <v>31548</v>
      </c>
      <c r="Q108" s="13">
        <f>IFERROR(VLOOKUP($A108,koronahun!$A:$AM,17,FALSE),"")</f>
        <v>0.29212628375808292</v>
      </c>
      <c r="R108">
        <f>IFERROR(VLOOKUP($A108,koronahun!$A:$AM,18,FALSE),"")</f>
        <v>81</v>
      </c>
      <c r="S108">
        <f>IFERROR(VLOOKUP($A108,koronahun!$A:$AM,19,FALSE),"")</f>
        <v>5656</v>
      </c>
      <c r="T108">
        <f>IFERROR(VLOOKUP($A108,koronahun!$A:$AM,20,FALSE),"")</f>
        <v>2647</v>
      </c>
      <c r="U108">
        <f>IFERROR(VLOOKUP($A108,koronahun!$A:$AM,21,FALSE),"")</f>
        <v>249</v>
      </c>
      <c r="V108" s="13">
        <f>IFERROR(VLOOKUP($A108,koronahun!$A:$AM,22,FALSE),"")</f>
        <v>9.2879637476263058E-2</v>
      </c>
      <c r="W108">
        <f>IFERROR(VLOOKUP($A108,koronahun!$A:$AM,23,FALSE),"")</f>
        <v>-111</v>
      </c>
      <c r="X108">
        <f>IFERROR(VLOOKUP($A108,koronahun!$A:$AM,24,FALSE),"")</f>
        <v>-8</v>
      </c>
      <c r="Y108" s="14">
        <f>IFERROR(VLOOKUP($A108,koronahun!$A:$AM,25,FALSE),"")</f>
        <v>2.1621577468470234E-2</v>
      </c>
      <c r="Z108" s="14">
        <f>IFERROR(VLOOKUP($A108,koronahun!$A:$AM,26,FALSE),"")</f>
        <v>9.4068757083490745E-2</v>
      </c>
      <c r="AA108" s="14">
        <f>IFERROR(VLOOKUP($A108,koronahun!$A:$AM,27,FALSE),"")</f>
        <v>1.7820172812045514</v>
      </c>
      <c r="AB108" s="14">
        <f>IFERROR(VLOOKUP($A108,koronahun!$A:$AM,28,FALSE),"")</f>
        <v>1.8374090879498275</v>
      </c>
      <c r="AC108" s="14">
        <f>IFERROR(VLOOKUP($A108,koronahun!$A:$AM,29,FALSE),"")</f>
        <v>5951.4285714285716</v>
      </c>
      <c r="AD108" s="14">
        <f>IFERROR(VLOOKUP($A108,koronahun!$A:$AM,30,FALSE),"")</f>
        <v>69.285714285714292</v>
      </c>
      <c r="AE108" s="14">
        <f>IFERROR(VLOOKUP($A108,koronahun!$A:$AM,31,FALSE),"")</f>
        <v>23092.857142857141</v>
      </c>
      <c r="AF108" s="13">
        <f>IFERROR(VLOOKUP($A108,koronahun!$A:$AM,32,FALSE),"")</f>
        <v>0.30271282384069859</v>
      </c>
      <c r="AG108">
        <f>IFERROR(VLOOKUP($A108,koronahun!$A:$AM,33,FALSE),"")</f>
        <v>6299590</v>
      </c>
      <c r="AH108">
        <f>IFERROR(VLOOKUP($A108,koronahun!$A:$AM,34,FALSE),"")</f>
        <v>2489</v>
      </c>
      <c r="AI108">
        <f>IFERROR(VLOOKUP($A108,koronahun!$A:$AM,35,FALSE),"")</f>
        <v>5374.4</v>
      </c>
      <c r="AJ108">
        <f>IFERROR(VLOOKUP($A108,koronahun!$A:$AM,36,FALSE),"")</f>
        <v>6045893</v>
      </c>
      <c r="AK108">
        <f>IFERROR(VLOOKUP($A108,koronahun!$A:$AM,37,FALSE),"")</f>
        <v>5953</v>
      </c>
      <c r="AL108">
        <f>IFERROR(VLOOKUP($A108,koronahun!$A:$AM,38,FALSE),"")</f>
        <v>9884.2000000000007</v>
      </c>
      <c r="AM108" s="14">
        <f>IFERROR(VLOOKUP($A108,koronahun!$A:$AM,39,FALSE),"")</f>
        <v>3165.7142857142858</v>
      </c>
      <c r="AN108" s="11">
        <f ca="1">IFERROR(__xludf.DUMMYFUNCTION("""COMPUTED_VALUE"""),44000)</f>
        <v>44000</v>
      </c>
      <c r="AO108" s="12">
        <f ca="1">IFERROR(VLOOKUP(AN108,koronahun!A:B,2,FALSE),"")</f>
        <v>4079</v>
      </c>
      <c r="AP108" s="11">
        <f t="shared" ca="1" si="0"/>
        <v>44000</v>
      </c>
      <c r="AQ108" s="11">
        <f ca="1">IFERROR(__xludf.DUMMYFUNCTION("""COMPUTED_VALUE"""),44000)</f>
        <v>44000</v>
      </c>
      <c r="AR108" s="11">
        <v>44575</v>
      </c>
      <c r="AS108" s="11">
        <f t="shared" si="1"/>
        <v>44575</v>
      </c>
      <c r="AT108" s="11">
        <f ca="1">IFERROR(__xludf.DUMMYFUNCTION("""COMPUTED_VALUE"""),44574)</f>
        <v>44574</v>
      </c>
    </row>
    <row r="109" spans="1:46" ht="13">
      <c r="A109" s="11">
        <v>44573</v>
      </c>
      <c r="B109">
        <f>IFERROR(VLOOKUP($A109,koronahun!$A:$AM,2,FALSE),"")</f>
        <v>1308877</v>
      </c>
      <c r="C109">
        <f>IFERROR(VLOOKUP($A109,koronahun!$A:$AM,3,FALSE),"")</f>
        <v>7883</v>
      </c>
      <c r="D109">
        <f>IFERROR(VLOOKUP($A109,koronahun!$A:$AM,4,FALSE),"")</f>
        <v>40083</v>
      </c>
      <c r="E109">
        <f>IFERROR(VLOOKUP($A109,koronahun!$A:$AM,5,FALSE),"")</f>
        <v>1149849</v>
      </c>
      <c r="F109">
        <f>IFERROR(VLOOKUP($A109,koronahun!$A:$AM,6,FALSE),"")</f>
        <v>9386272</v>
      </c>
      <c r="G109" s="12">
        <f>IFERROR(VLOOKUP($A109,koronahun!$A:$AM,7,FALSE),"")</f>
        <v>957782.85714285704</v>
      </c>
      <c r="H109">
        <f>IFERROR(VLOOKUP($A109,koronahun!$A:$AM,8,FALSE),"")</f>
        <v>0</v>
      </c>
      <c r="I109" s="13">
        <f>IFERROR(VLOOKUP($A109,koronahun!$A:$AM,9,FALSE),"")</f>
        <v>6.0592131862253016E-3</v>
      </c>
      <c r="J109" s="13">
        <f>IFERROR(VLOOKUP($A109,koronahun!$A:$AM,10,FALSE),"")</f>
        <v>0.13944588437241112</v>
      </c>
      <c r="K109" s="13">
        <f>IFERROR(VLOOKUP($A109,koronahun!$A:$AM,11,FALSE),"")</f>
        <v>1.9533574659107151E-3</v>
      </c>
      <c r="L109">
        <f>IFERROR(VLOOKUP($A109,koronahun!$A:$AM,12,FALSE),"")</f>
        <v>118945</v>
      </c>
      <c r="M109" s="13">
        <f>IFERROR(VLOOKUP($A109,koronahun!$A:$AM,13,FALSE),"")</f>
        <v>3.0623962373851784E-2</v>
      </c>
      <c r="N109" s="13">
        <f>IFERROR(VLOOKUP($A109,koronahun!$A:$AM,14,FALSE),"")</f>
        <v>0.8785004244096275</v>
      </c>
      <c r="O109">
        <f>IFERROR(VLOOKUP($A109,koronahun!$A:$AM,15,FALSE),"")</f>
        <v>33421</v>
      </c>
      <c r="P109">
        <f>IFERROR(VLOOKUP($A109,koronahun!$A:$AM,16,FALSE),"")</f>
        <v>18299</v>
      </c>
      <c r="Q109" s="13">
        <f>IFERROR(VLOOKUP($A109,koronahun!$A:$AM,17,FALSE),"")</f>
        <v>0.43078856768129403</v>
      </c>
      <c r="R109">
        <f>IFERROR(VLOOKUP($A109,koronahun!$A:$AM,18,FALSE),"")</f>
        <v>67</v>
      </c>
      <c r="S109">
        <f>IFERROR(VLOOKUP($A109,koronahun!$A:$AM,19,FALSE),"")</f>
        <v>2031</v>
      </c>
      <c r="T109">
        <f>IFERROR(VLOOKUP($A109,koronahun!$A:$AM,20,FALSE),"")</f>
        <v>2758</v>
      </c>
      <c r="U109">
        <f>IFERROR(VLOOKUP($A109,koronahun!$A:$AM,21,FALSE),"")</f>
        <v>257</v>
      </c>
      <c r="V109" s="13">
        <f>IFERROR(VLOOKUP($A109,koronahun!$A:$AM,22,FALSE),"")</f>
        <v>9.0875613216520726E-2</v>
      </c>
      <c r="W109">
        <f>IFERROR(VLOOKUP($A109,koronahun!$A:$AM,23,FALSE),"")</f>
        <v>-174</v>
      </c>
      <c r="X109">
        <f>IFERROR(VLOOKUP($A109,koronahun!$A:$AM,24,FALSE),"")</f>
        <v>-17</v>
      </c>
      <c r="Y109" s="14">
        <f>IFERROR(VLOOKUP($A109,koronahun!$A:$AM,25,FALSE),"")</f>
        <v>2.3187187355500443E-2</v>
      </c>
      <c r="Z109" s="14">
        <f>IFERROR(VLOOKUP($A109,koronahun!$A:$AM,26,FALSE),"")</f>
        <v>9.3183466279912974E-2</v>
      </c>
      <c r="AA109" s="14">
        <f>IFERROR(VLOOKUP($A109,koronahun!$A:$AM,27,FALSE),"")</f>
        <v>1.9175745624845946</v>
      </c>
      <c r="AB109" s="14">
        <f>IFERROR(VLOOKUP($A109,koronahun!$A:$AM,28,FALSE),"")</f>
        <v>1.7783410848090764</v>
      </c>
      <c r="AC109" s="14">
        <f>IFERROR(VLOOKUP($A109,koronahun!$A:$AM,29,FALSE),"")</f>
        <v>5556.8571428571431</v>
      </c>
      <c r="AD109" s="14">
        <f>IFERROR(VLOOKUP($A109,koronahun!$A:$AM,30,FALSE),"")</f>
        <v>69.142857142857139</v>
      </c>
      <c r="AE109" s="14">
        <f>IFERROR(VLOOKUP($A109,koronahun!$A:$AM,31,FALSE),"")</f>
        <v>22440.285714285714</v>
      </c>
      <c r="AF109" s="13">
        <f>IFERROR(VLOOKUP($A109,koronahun!$A:$AM,32,FALSE),"")</f>
        <v>0.29213041364208425</v>
      </c>
      <c r="AG109">
        <f>IFERROR(VLOOKUP($A109,koronahun!$A:$AM,33,FALSE),"")</f>
        <v>6297101</v>
      </c>
      <c r="AH109">
        <f>IFERROR(VLOOKUP($A109,koronahun!$A:$AM,34,FALSE),"")</f>
        <v>2394</v>
      </c>
      <c r="AI109">
        <f>IFERROR(VLOOKUP($A109,koronahun!$A:$AM,35,FALSE),"")</f>
        <v>5429.2</v>
      </c>
      <c r="AJ109">
        <f>IFERROR(VLOOKUP($A109,koronahun!$A:$AM,36,FALSE),"")</f>
        <v>6039940</v>
      </c>
      <c r="AK109">
        <f>IFERROR(VLOOKUP($A109,koronahun!$A:$AM,37,FALSE),"")</f>
        <v>6265</v>
      </c>
      <c r="AL109">
        <f>IFERROR(VLOOKUP($A109,koronahun!$A:$AM,38,FALSE),"")</f>
        <v>9874.4</v>
      </c>
      <c r="AM109" s="14">
        <f>IFERROR(VLOOKUP($A109,koronahun!$A:$AM,39,FALSE),"")</f>
        <v>2989.4285714285716</v>
      </c>
      <c r="AN109" s="11">
        <f ca="1">IFERROR(__xludf.DUMMYFUNCTION("""COMPUTED_VALUE"""),44001)</f>
        <v>44001</v>
      </c>
      <c r="AO109" s="12">
        <f ca="1">IFERROR(VLOOKUP(AN109,koronahun!A:B,2,FALSE),"")</f>
        <v>4081</v>
      </c>
      <c r="AP109" s="11">
        <f t="shared" ca="1" si="0"/>
        <v>44001</v>
      </c>
      <c r="AQ109" s="11">
        <f ca="1">IFERROR(__xludf.DUMMYFUNCTION("""COMPUTED_VALUE"""),44001)</f>
        <v>44001</v>
      </c>
      <c r="AR109" s="11">
        <v>44574</v>
      </c>
      <c r="AS109" s="11">
        <f t="shared" si="1"/>
        <v>44574</v>
      </c>
      <c r="AT109" s="11">
        <f ca="1">IFERROR(__xludf.DUMMYFUNCTION("""COMPUTED_VALUE"""),44573)</f>
        <v>44573</v>
      </c>
    </row>
    <row r="110" spans="1:46" ht="13">
      <c r="A110" s="11">
        <v>44572</v>
      </c>
      <c r="B110">
        <f>IFERROR(VLOOKUP($A110,koronahun!$A:$AM,2,FALSE),"")</f>
        <v>1300994</v>
      </c>
      <c r="C110">
        <f>IFERROR(VLOOKUP($A110,koronahun!$A:$AM,3,FALSE),"")</f>
        <v>3382</v>
      </c>
      <c r="D110">
        <f>IFERROR(VLOOKUP($A110,koronahun!$A:$AM,4,FALSE),"")</f>
        <v>40016</v>
      </c>
      <c r="E110">
        <f>IFERROR(VLOOKUP($A110,koronahun!$A:$AM,5,FALSE),"")</f>
        <v>1147818</v>
      </c>
      <c r="F110">
        <f>IFERROR(VLOOKUP($A110,koronahun!$A:$AM,6,FALSE),"")</f>
        <v>9367973</v>
      </c>
      <c r="G110" s="12">
        <f>IFERROR(VLOOKUP($A110,koronahun!$A:$AM,7,FALSE),"")</f>
        <v>955915.61224489787</v>
      </c>
      <c r="H110">
        <f>IFERROR(VLOOKUP($A110,koronahun!$A:$AM,8,FALSE),"")</f>
        <v>0</v>
      </c>
      <c r="I110" s="13">
        <f>IFERROR(VLOOKUP($A110,koronahun!$A:$AM,9,FALSE),"")</f>
        <v>2.6063260820645925E-3</v>
      </c>
      <c r="J110" s="13">
        <f>IFERROR(VLOOKUP($A110,koronahun!$A:$AM,10,FALSE),"")</f>
        <v>0.13887678796683126</v>
      </c>
      <c r="K110" s="13">
        <f>IFERROR(VLOOKUP($A110,koronahun!$A:$AM,11,FALSE),"")</f>
        <v>9.8667138810046946E-4</v>
      </c>
      <c r="L110">
        <f>IFERROR(VLOOKUP($A110,koronahun!$A:$AM,12,FALSE),"")</f>
        <v>113160</v>
      </c>
      <c r="M110" s="13">
        <f>IFERROR(VLOOKUP($A110,koronahun!$A:$AM,13,FALSE),"")</f>
        <v>3.0758020405935768E-2</v>
      </c>
      <c r="N110" s="13">
        <f>IFERROR(VLOOKUP($A110,koronahun!$A:$AM,14,FALSE),"")</f>
        <v>0.8822623317248196</v>
      </c>
      <c r="O110">
        <f>IFERROR(VLOOKUP($A110,koronahun!$A:$AM,15,FALSE),"")</f>
        <v>25978</v>
      </c>
      <c r="P110">
        <f>IFERROR(VLOOKUP($A110,koronahun!$A:$AM,16,FALSE),"")</f>
        <v>9234</v>
      </c>
      <c r="Q110" s="13">
        <f>IFERROR(VLOOKUP($A110,koronahun!$A:$AM,17,FALSE),"")</f>
        <v>0.36625514403292181</v>
      </c>
      <c r="R110">
        <f>IFERROR(VLOOKUP($A110,koronahun!$A:$AM,18,FALSE),"")</f>
        <v>69</v>
      </c>
      <c r="S110">
        <f>IFERROR(VLOOKUP($A110,koronahun!$A:$AM,19,FALSE),"")</f>
        <v>2048</v>
      </c>
      <c r="T110">
        <f>IFERROR(VLOOKUP($A110,koronahun!$A:$AM,20,FALSE),"")</f>
        <v>2932</v>
      </c>
      <c r="U110">
        <f>IFERROR(VLOOKUP($A110,koronahun!$A:$AM,21,FALSE),"")</f>
        <v>274</v>
      </c>
      <c r="V110" s="13">
        <f>IFERROR(VLOOKUP($A110,koronahun!$A:$AM,22,FALSE),"")</f>
        <v>8.6979647869244586E-2</v>
      </c>
      <c r="W110">
        <f>IFERROR(VLOOKUP($A110,koronahun!$A:$AM,23,FALSE),"")</f>
        <v>1</v>
      </c>
      <c r="X110">
        <f>IFERROR(VLOOKUP($A110,koronahun!$A:$AM,24,FALSE),"")</f>
        <v>-7</v>
      </c>
      <c r="Y110" s="14">
        <f>IFERROR(VLOOKUP($A110,koronahun!$A:$AM,25,FALSE),"")</f>
        <v>2.591021562389537E-2</v>
      </c>
      <c r="Z110" s="14">
        <f>IFERROR(VLOOKUP($A110,koronahun!$A:$AM,26,FALSE),"")</f>
        <v>9.345156889495225E-2</v>
      </c>
      <c r="AA110" s="14">
        <f>IFERROR(VLOOKUP($A110,koronahun!$A:$AM,27,FALSE),"")</f>
        <v>2.0135960044395116</v>
      </c>
      <c r="AB110" s="14">
        <f>IFERROR(VLOOKUP($A110,koronahun!$A:$AM,28,FALSE),"")</f>
        <v>1.6491835390833174</v>
      </c>
      <c r="AC110" s="14">
        <f>IFERROR(VLOOKUP($A110,koronahun!$A:$AM,29,FALSE),"")</f>
        <v>5183.5714285714284</v>
      </c>
      <c r="AD110" s="14">
        <f>IFERROR(VLOOKUP($A110,koronahun!$A:$AM,30,FALSE),"")</f>
        <v>71.285714285714292</v>
      </c>
      <c r="AE110" s="14">
        <f>IFERROR(VLOOKUP($A110,koronahun!$A:$AM,31,FALSE),"")</f>
        <v>22363.857142857141</v>
      </c>
      <c r="AF110" s="13">
        <f>IFERROR(VLOOKUP($A110,koronahun!$A:$AM,32,FALSE),"")</f>
        <v>0.26530618355549895</v>
      </c>
      <c r="AG110">
        <f>IFERROR(VLOOKUP($A110,koronahun!$A:$AM,33,FALSE),"")</f>
        <v>6294707</v>
      </c>
      <c r="AH110">
        <f>IFERROR(VLOOKUP($A110,koronahun!$A:$AM,34,FALSE),"")</f>
        <v>1948</v>
      </c>
      <c r="AI110">
        <f>IFERROR(VLOOKUP($A110,koronahun!$A:$AM,35,FALSE),"")</f>
        <v>5319.8</v>
      </c>
      <c r="AJ110">
        <f>IFERROR(VLOOKUP($A110,koronahun!$A:$AM,36,FALSE),"")</f>
        <v>6033675</v>
      </c>
      <c r="AK110">
        <f>IFERROR(VLOOKUP($A110,koronahun!$A:$AM,37,FALSE),"")</f>
        <v>6097</v>
      </c>
      <c r="AL110">
        <f>IFERROR(VLOOKUP($A110,koronahun!$A:$AM,38,FALSE),"")</f>
        <v>9466.6</v>
      </c>
      <c r="AM110" s="14">
        <f>IFERROR(VLOOKUP($A110,koronahun!$A:$AM,39,FALSE),"")</f>
        <v>3267.5714285714284</v>
      </c>
      <c r="AN110" s="11">
        <f ca="1">IFERROR(__xludf.DUMMYFUNCTION("""COMPUTED_VALUE"""),44002)</f>
        <v>44002</v>
      </c>
      <c r="AO110" s="12">
        <f ca="1">IFERROR(VLOOKUP(AN110,koronahun!A:B,2,FALSE),"")</f>
        <v>4086</v>
      </c>
      <c r="AP110" s="11">
        <f t="shared" ca="1" si="0"/>
        <v>44002</v>
      </c>
      <c r="AQ110" s="11">
        <f ca="1">IFERROR(__xludf.DUMMYFUNCTION("""COMPUTED_VALUE"""),44002)</f>
        <v>44002</v>
      </c>
      <c r="AR110" s="11">
        <v>44573</v>
      </c>
      <c r="AS110" s="11">
        <f t="shared" si="1"/>
        <v>44573</v>
      </c>
      <c r="AT110" s="11">
        <f ca="1">IFERROR(__xludf.DUMMYFUNCTION("""COMPUTED_VALUE"""),44572)</f>
        <v>44572</v>
      </c>
    </row>
    <row r="111" spans="1:46" ht="13">
      <c r="A111" s="11">
        <v>44571</v>
      </c>
      <c r="B111">
        <f>IFERROR(VLOOKUP($A111,koronahun!$A:$AM,2,FALSE),"")</f>
        <v>1297612</v>
      </c>
      <c r="C111">
        <f>IFERROR(VLOOKUP($A111,koronahun!$A:$AM,3,FALSE),"")</f>
        <v>14655</v>
      </c>
      <c r="D111">
        <f>IFERROR(VLOOKUP($A111,koronahun!$A:$AM,4,FALSE),"")</f>
        <v>39947</v>
      </c>
      <c r="E111">
        <f>IFERROR(VLOOKUP($A111,koronahun!$A:$AM,5,FALSE),"")</f>
        <v>1145770</v>
      </c>
      <c r="F111">
        <f>IFERROR(VLOOKUP($A111,koronahun!$A:$AM,6,FALSE),"")</f>
        <v>9358739</v>
      </c>
      <c r="G111" s="12">
        <f>IFERROR(VLOOKUP($A111,koronahun!$A:$AM,7,FALSE),"")</f>
        <v>954973.3673469387</v>
      </c>
      <c r="H111">
        <f>IFERROR(VLOOKUP($A111,koronahun!$A:$AM,8,FALSE),"")</f>
        <v>0</v>
      </c>
      <c r="I111" s="13">
        <f>IFERROR(VLOOKUP($A111,koronahun!$A:$AM,9,FALSE),"")</f>
        <v>1.1422830227357581E-2</v>
      </c>
      <c r="J111" s="13">
        <f>IFERROR(VLOOKUP($A111,koronahun!$A:$AM,10,FALSE),"")</f>
        <v>0.13865244024862752</v>
      </c>
      <c r="K111" s="13">
        <f>IFERROR(VLOOKUP($A111,koronahun!$A:$AM,11,FALSE),"")</f>
        <v>7.9281646719887994E-3</v>
      </c>
      <c r="L111">
        <f>IFERROR(VLOOKUP($A111,koronahun!$A:$AM,12,FALSE),"")</f>
        <v>111895</v>
      </c>
      <c r="M111" s="13">
        <f>IFERROR(VLOOKUP($A111,koronahun!$A:$AM,13,FALSE),"")</f>
        <v>3.0785011236024326E-2</v>
      </c>
      <c r="N111" s="13">
        <f>IFERROR(VLOOKUP($A111,koronahun!$A:$AM,14,FALSE),"")</f>
        <v>0.88298351124989594</v>
      </c>
      <c r="O111">
        <f>IFERROR(VLOOKUP($A111,koronahun!$A:$AM,15,FALSE),"")</f>
        <v>21527</v>
      </c>
      <c r="P111">
        <f>IFERROR(VLOOKUP($A111,koronahun!$A:$AM,16,FALSE),"")</f>
        <v>73614</v>
      </c>
      <c r="Q111" s="13">
        <f>IFERROR(VLOOKUP($A111,koronahun!$A:$AM,17,FALSE),"")</f>
        <v>0.19907897954193496</v>
      </c>
      <c r="R111">
        <f>IFERROR(VLOOKUP($A111,koronahun!$A:$AM,18,FALSE),"")</f>
        <v>167</v>
      </c>
      <c r="S111">
        <f>IFERROR(VLOOKUP($A111,koronahun!$A:$AM,19,FALSE),"")</f>
        <v>8122</v>
      </c>
      <c r="T111">
        <f>IFERROR(VLOOKUP($A111,koronahun!$A:$AM,20,FALSE),"")</f>
        <v>2931</v>
      </c>
      <c r="U111">
        <f>IFERROR(VLOOKUP($A111,koronahun!$A:$AM,21,FALSE),"")</f>
        <v>281</v>
      </c>
      <c r="V111" s="13">
        <f>IFERROR(VLOOKUP($A111,koronahun!$A:$AM,22,FALSE),"")</f>
        <v>8.623147751407971E-2</v>
      </c>
      <c r="W111">
        <f>IFERROR(VLOOKUP($A111,koronahun!$A:$AM,23,FALSE),"")</f>
        <v>-139</v>
      </c>
      <c r="X111">
        <f>IFERROR(VLOOKUP($A111,koronahun!$A:$AM,24,FALSE),"")</f>
        <v>-10</v>
      </c>
      <c r="Y111" s="14">
        <f>IFERROR(VLOOKUP($A111,koronahun!$A:$AM,25,FALSE),"")</f>
        <v>2.6194199919567451E-2</v>
      </c>
      <c r="Z111" s="14">
        <f>IFERROR(VLOOKUP($A111,koronahun!$A:$AM,26,FALSE),"")</f>
        <v>9.5871716137836918E-2</v>
      </c>
      <c r="AA111" s="14">
        <f>IFERROR(VLOOKUP($A111,koronahun!$A:$AM,27,FALSE),"")</f>
        <v>2.0831318908083252</v>
      </c>
      <c r="AB111" s="14">
        <f>IFERROR(VLOOKUP($A111,koronahun!$A:$AM,28,FALSE),"")</f>
        <v>1.4675143872631284</v>
      </c>
      <c r="AC111" s="14">
        <f>IFERROR(VLOOKUP($A111,koronahun!$A:$AM,29,FALSE),"")</f>
        <v>5047.4285714285716</v>
      </c>
      <c r="AD111" s="14">
        <f>IFERROR(VLOOKUP($A111,koronahun!$A:$AM,30,FALSE),"")</f>
        <v>73.285714285714292</v>
      </c>
      <c r="AE111" s="14">
        <f>IFERROR(VLOOKUP($A111,koronahun!$A:$AM,31,FALSE),"")</f>
        <v>22165.428571428572</v>
      </c>
      <c r="AF111" s="13">
        <f>IFERROR(VLOOKUP($A111,koronahun!$A:$AM,32,FALSE),"")</f>
        <v>0.25397994761060988</v>
      </c>
      <c r="AG111">
        <f>IFERROR(VLOOKUP($A111,koronahun!$A:$AM,33,FALSE),"")</f>
        <v>6292759</v>
      </c>
      <c r="AH111">
        <f>IFERROR(VLOOKUP($A111,koronahun!$A:$AM,34,FALSE),"")</f>
        <v>14404</v>
      </c>
      <c r="AI111">
        <f>IFERROR(VLOOKUP($A111,koronahun!$A:$AM,35,FALSE),"")</f>
        <v>5255.2</v>
      </c>
      <c r="AJ111">
        <f>IFERROR(VLOOKUP($A111,koronahun!$A:$AM,36,FALSE),"")</f>
        <v>6027578</v>
      </c>
      <c r="AK111">
        <f>IFERROR(VLOOKUP($A111,koronahun!$A:$AM,37,FALSE),"")</f>
        <v>21400</v>
      </c>
      <c r="AL111">
        <f>IFERROR(VLOOKUP($A111,koronahun!$A:$AM,38,FALSE),"")</f>
        <v>9094.7999999999993</v>
      </c>
      <c r="AM111" s="14">
        <f>IFERROR(VLOOKUP($A111,koronahun!$A:$AM,39,FALSE),"")</f>
        <v>3421</v>
      </c>
      <c r="AN111" s="11">
        <f ca="1">IFERROR(__xludf.DUMMYFUNCTION("""COMPUTED_VALUE"""),44003)</f>
        <v>44003</v>
      </c>
      <c r="AO111" s="12">
        <f ca="1">IFERROR(VLOOKUP(AN111,koronahun!A:B,2,FALSE),"")</f>
        <v>4094</v>
      </c>
      <c r="AP111" s="11">
        <f t="shared" ca="1" si="0"/>
        <v>44003</v>
      </c>
      <c r="AQ111" s="11">
        <f ca="1">IFERROR(__xludf.DUMMYFUNCTION("""COMPUTED_VALUE"""),44003)</f>
        <v>44003</v>
      </c>
      <c r="AR111" s="11">
        <v>44572</v>
      </c>
      <c r="AS111" s="11">
        <f t="shared" si="1"/>
        <v>44572</v>
      </c>
      <c r="AT111" s="11">
        <f ca="1">IFERROR(__xludf.DUMMYFUNCTION("""COMPUTED_VALUE"""),44571)</f>
        <v>44571</v>
      </c>
    </row>
    <row r="112" spans="1:46" ht="13">
      <c r="A112" s="11">
        <v>44568</v>
      </c>
      <c r="B112">
        <f>IFERROR(VLOOKUP($A112,koronahun!$A:$AM,2,FALSE),"")</f>
        <v>1282957</v>
      </c>
      <c r="C112">
        <f>IFERROR(VLOOKUP($A112,koronahun!$A:$AM,3,FALSE),"")</f>
        <v>6524</v>
      </c>
      <c r="D112">
        <f>IFERROR(VLOOKUP($A112,koronahun!$A:$AM,4,FALSE),"")</f>
        <v>39780</v>
      </c>
      <c r="E112">
        <f>IFERROR(VLOOKUP($A112,koronahun!$A:$AM,5,FALSE),"")</f>
        <v>1137648</v>
      </c>
      <c r="F112">
        <f>IFERROR(VLOOKUP($A112,koronahun!$A:$AM,6,FALSE),"")</f>
        <v>9285125</v>
      </c>
      <c r="G112" s="12">
        <f>IFERROR(VLOOKUP($A112,koronahun!$A:$AM,7,FALSE),"")</f>
        <v>947461.73469387752</v>
      </c>
      <c r="H112">
        <f>IFERROR(VLOOKUP($A112,koronahun!$A:$AM,8,FALSE),"")</f>
        <v>0</v>
      </c>
      <c r="I112" s="13">
        <f>IFERROR(VLOOKUP($A112,koronahun!$A:$AM,9,FALSE),"")</f>
        <v>5.1111182490581174E-3</v>
      </c>
      <c r="J112" s="13">
        <f>IFERROR(VLOOKUP($A112,koronahun!$A:$AM,10,FALSE),"")</f>
        <v>0.13817336869455177</v>
      </c>
      <c r="K112" s="13">
        <f>IFERROR(VLOOKUP($A112,koronahun!$A:$AM,11,FALSE),"")</f>
        <v>3.128183687205399E-3</v>
      </c>
      <c r="L112">
        <f>IFERROR(VLOOKUP($A112,koronahun!$A:$AM,12,FALSE),"")</f>
        <v>105529</v>
      </c>
      <c r="M112" s="13">
        <f>IFERROR(VLOOKUP($A112,koronahun!$A:$AM,13,FALSE),"")</f>
        <v>3.1006495151435318E-2</v>
      </c>
      <c r="N112" s="13">
        <f>IFERROR(VLOOKUP($A112,koronahun!$A:$AM,14,FALSE),"")</f>
        <v>0.88673899437003734</v>
      </c>
      <c r="O112">
        <f>IFERROR(VLOOKUP($A112,koronahun!$A:$AM,15,FALSE),"")</f>
        <v>20298</v>
      </c>
      <c r="P112">
        <f>IFERROR(VLOOKUP($A112,koronahun!$A:$AM,16,FALSE),"")</f>
        <v>28955</v>
      </c>
      <c r="Q112" s="13">
        <f>IFERROR(VLOOKUP($A112,koronahun!$A:$AM,17,FALSE),"")</f>
        <v>0.22531514418925919</v>
      </c>
      <c r="R112">
        <f>IFERROR(VLOOKUP($A112,koronahun!$A:$AM,18,FALSE),"")</f>
        <v>101</v>
      </c>
      <c r="S112">
        <f>IFERROR(VLOOKUP($A112,koronahun!$A:$AM,19,FALSE),"")</f>
        <v>4303</v>
      </c>
      <c r="T112">
        <f>IFERROR(VLOOKUP($A112,koronahun!$A:$AM,20,FALSE),"")</f>
        <v>3070</v>
      </c>
      <c r="U112">
        <f>IFERROR(VLOOKUP($A112,koronahun!$A:$AM,21,FALSE),"")</f>
        <v>291</v>
      </c>
      <c r="V112" s="13">
        <f>IFERROR(VLOOKUP($A112,koronahun!$A:$AM,22,FALSE),"")</f>
        <v>8.2254510478527346E-2</v>
      </c>
      <c r="W112">
        <f>IFERROR(VLOOKUP($A112,koronahun!$A:$AM,23,FALSE),"")</f>
        <v>-31</v>
      </c>
      <c r="X112">
        <f>IFERROR(VLOOKUP($A112,koronahun!$A:$AM,24,FALSE),"")</f>
        <v>-16</v>
      </c>
      <c r="Y112" s="14">
        <f>IFERROR(VLOOKUP($A112,koronahun!$A:$AM,25,FALSE),"")</f>
        <v>2.909152934264515E-2</v>
      </c>
      <c r="Z112" s="14">
        <f>IFERROR(VLOOKUP($A112,koronahun!$A:$AM,26,FALSE),"")</f>
        <v>9.4788273615635174E-2</v>
      </c>
      <c r="AA112" s="14">
        <f>IFERROR(VLOOKUP($A112,koronahun!$A:$AM,27,FALSE),"")</f>
        <v>1.3907257008121561</v>
      </c>
      <c r="AB112" s="14">
        <f>IFERROR(VLOOKUP($A112,koronahun!$A:$AM,28,FALSE),"")</f>
        <v>1.251384492345154</v>
      </c>
      <c r="AC112" s="14">
        <f>IFERROR(VLOOKUP($A112,koronahun!$A:$AM,29,FALSE),"")</f>
        <v>3791.7142857142858</v>
      </c>
      <c r="AD112" s="14">
        <f>IFERROR(VLOOKUP($A112,koronahun!$A:$AM,30,FALSE),"")</f>
        <v>84.857142857142861</v>
      </c>
      <c r="AE112" s="14">
        <f>IFERROR(VLOOKUP($A112,koronahun!$A:$AM,31,FALSE),"")</f>
        <v>16538.571428571428</v>
      </c>
      <c r="AF112" s="13">
        <f>IFERROR(VLOOKUP($A112,koronahun!$A:$AM,32,FALSE),"")</f>
        <v>0.24843634243441479</v>
      </c>
      <c r="AG112">
        <f>IFERROR(VLOOKUP($A112,koronahun!$A:$AM,33,FALSE),"")</f>
        <v>6278355</v>
      </c>
      <c r="AH112">
        <f>IFERROR(VLOOKUP($A112,koronahun!$A:$AM,34,FALSE),"")</f>
        <v>5637</v>
      </c>
      <c r="AI112">
        <f>IFERROR(VLOOKUP($A112,koronahun!$A:$AM,35,FALSE),"")</f>
        <v>2458.1999999999998</v>
      </c>
      <c r="AJ112">
        <f>IFERROR(VLOOKUP($A112,koronahun!$A:$AM,36,FALSE),"")</f>
        <v>6006178</v>
      </c>
      <c r="AK112">
        <f>IFERROR(VLOOKUP($A112,koronahun!$A:$AM,37,FALSE),"")</f>
        <v>9706</v>
      </c>
      <c r="AL112">
        <f>IFERROR(VLOOKUP($A112,koronahun!$A:$AM,38,FALSE),"")</f>
        <v>4921.8</v>
      </c>
      <c r="AM112" s="14">
        <f>IFERROR(VLOOKUP($A112,koronahun!$A:$AM,39,FALSE),"")</f>
        <v>3710.2857142857142</v>
      </c>
      <c r="AN112" s="11">
        <f ca="1">IFERROR(__xludf.DUMMYFUNCTION("""COMPUTED_VALUE"""),44004)</f>
        <v>44004</v>
      </c>
      <c r="AO112" s="12">
        <f ca="1">IFERROR(VLOOKUP(AN112,koronahun!A:B,2,FALSE),"")</f>
        <v>4102</v>
      </c>
      <c r="AP112" s="11">
        <f t="shared" ca="1" si="0"/>
        <v>44004</v>
      </c>
      <c r="AQ112" s="11">
        <f ca="1">IFERROR(__xludf.DUMMYFUNCTION("""COMPUTED_VALUE"""),44004)</f>
        <v>44004</v>
      </c>
      <c r="AR112" s="11">
        <v>44571</v>
      </c>
      <c r="AS112" s="11">
        <f t="shared" si="1"/>
        <v>44571</v>
      </c>
      <c r="AT112" s="11">
        <f ca="1">IFERROR(__xludf.DUMMYFUNCTION("""COMPUTED_VALUE"""),44568)</f>
        <v>44568</v>
      </c>
    </row>
    <row r="113" spans="1:46" ht="13">
      <c r="A113" s="11">
        <v>44567</v>
      </c>
      <c r="B113">
        <f>IFERROR(VLOOKUP($A113,koronahun!$A:$AM,2,FALSE),"")</f>
        <v>1276433</v>
      </c>
      <c r="C113">
        <f>IFERROR(VLOOKUP($A113,koronahun!$A:$AM,3,FALSE),"")</f>
        <v>6454</v>
      </c>
      <c r="D113">
        <f>IFERROR(VLOOKUP($A113,koronahun!$A:$AM,4,FALSE),"")</f>
        <v>39679</v>
      </c>
      <c r="E113">
        <f>IFERROR(VLOOKUP($A113,koronahun!$A:$AM,5,FALSE),"")</f>
        <v>1133345</v>
      </c>
      <c r="F113">
        <f>IFERROR(VLOOKUP($A113,koronahun!$A:$AM,6,FALSE),"")</f>
        <v>9256170</v>
      </c>
      <c r="G113" s="12">
        <f>IFERROR(VLOOKUP($A113,koronahun!$A:$AM,7,FALSE),"")</f>
        <v>944507.14285714284</v>
      </c>
      <c r="H113">
        <f>IFERROR(VLOOKUP($A113,koronahun!$A:$AM,8,FALSE),"")</f>
        <v>0</v>
      </c>
      <c r="I113" s="13">
        <f>IFERROR(VLOOKUP($A113,koronahun!$A:$AM,9,FALSE),"")</f>
        <v>5.0819737964171059E-3</v>
      </c>
      <c r="J113" s="13">
        <f>IFERROR(VLOOKUP($A113,koronahun!$A:$AM,10,FALSE),"")</f>
        <v>0.13790077321397512</v>
      </c>
      <c r="K113" s="13">
        <f>IFERROR(VLOOKUP($A113,koronahun!$A:$AM,11,FALSE),"")</f>
        <v>2.923333466967307E-3</v>
      </c>
      <c r="L113">
        <f>IFERROR(VLOOKUP($A113,koronahun!$A:$AM,12,FALSE),"")</f>
        <v>103409</v>
      </c>
      <c r="M113" s="13">
        <f>IFERROR(VLOOKUP($A113,koronahun!$A:$AM,13,FALSE),"")</f>
        <v>3.1085846260634126E-2</v>
      </c>
      <c r="N113" s="13">
        <f>IFERROR(VLOOKUP($A113,koronahun!$A:$AM,14,FALSE),"")</f>
        <v>0.88790010913224593</v>
      </c>
      <c r="O113">
        <f>IFERROR(VLOOKUP($A113,koronahun!$A:$AM,15,FALSE),"")</f>
        <v>17424</v>
      </c>
      <c r="P113">
        <f>IFERROR(VLOOKUP($A113,koronahun!$A:$AM,16,FALSE),"")</f>
        <v>26980</v>
      </c>
      <c r="Q113" s="13">
        <f>IFERROR(VLOOKUP($A113,koronahun!$A:$AM,17,FALSE),"")</f>
        <v>0.23921423276501111</v>
      </c>
      <c r="R113">
        <f>IFERROR(VLOOKUP($A113,koronahun!$A:$AM,18,FALSE),"")</f>
        <v>80</v>
      </c>
      <c r="S113">
        <f>IFERROR(VLOOKUP($A113,koronahun!$A:$AM,19,FALSE),"")</f>
        <v>4422</v>
      </c>
      <c r="T113">
        <f>IFERROR(VLOOKUP($A113,koronahun!$A:$AM,20,FALSE),"")</f>
        <v>3101</v>
      </c>
      <c r="U113">
        <f>IFERROR(VLOOKUP($A113,koronahun!$A:$AM,21,FALSE),"")</f>
        <v>307</v>
      </c>
      <c r="V113" s="13">
        <f>IFERROR(VLOOKUP($A113,koronahun!$A:$AM,22,FALSE),"")</f>
        <v>8.101404460712E-2</v>
      </c>
      <c r="W113">
        <f>IFERROR(VLOOKUP($A113,koronahun!$A:$AM,23,FALSE),"")</f>
        <v>11</v>
      </c>
      <c r="X113">
        <f>IFERROR(VLOOKUP($A113,koronahun!$A:$AM,24,FALSE),"")</f>
        <v>0</v>
      </c>
      <c r="Y113" s="14">
        <f>IFERROR(VLOOKUP($A113,koronahun!$A:$AM,25,FALSE),"")</f>
        <v>2.9987718670521909E-2</v>
      </c>
      <c r="Z113" s="14">
        <f>IFERROR(VLOOKUP($A113,koronahun!$A:$AM,26,FALSE),"")</f>
        <v>9.9000322476620439E-2</v>
      </c>
      <c r="AA113" s="14">
        <f>IFERROR(VLOOKUP($A113,koronahun!$A:$AM,27,FALSE),"")</f>
        <v>1.4866772655007949</v>
      </c>
      <c r="AB113" s="14">
        <f>IFERROR(VLOOKUP($A113,koronahun!$A:$AM,28,FALSE),"")</f>
        <v>1.1737647002258014</v>
      </c>
      <c r="AC113" s="14">
        <f>IFERROR(VLOOKUP($A113,koronahun!$A:$AM,29,FALSE),"")</f>
        <v>3339.7142857142858</v>
      </c>
      <c r="AD113" s="14">
        <f>IFERROR(VLOOKUP($A113,koronahun!$A:$AM,30,FALSE),"")</f>
        <v>82.142857142857139</v>
      </c>
      <c r="AE113" s="14">
        <f>IFERROR(VLOOKUP($A113,koronahun!$A:$AM,31,FALSE),"")</f>
        <v>14782.285714285714</v>
      </c>
      <c r="AF113" s="13">
        <f>IFERROR(VLOOKUP($A113,koronahun!$A:$AM,32,FALSE),"")</f>
        <v>0.24370702705914024</v>
      </c>
      <c r="AG113">
        <f>IFERROR(VLOOKUP($A113,koronahun!$A:$AM,33,FALSE),"")</f>
        <v>6272718</v>
      </c>
      <c r="AH113">
        <f>IFERROR(VLOOKUP($A113,koronahun!$A:$AM,34,FALSE),"")</f>
        <v>2763</v>
      </c>
      <c r="AI113">
        <f>IFERROR(VLOOKUP($A113,koronahun!$A:$AM,35,FALSE),"")</f>
        <v>2004</v>
      </c>
      <c r="AJ113">
        <f>IFERROR(VLOOKUP($A113,koronahun!$A:$AM,36,FALSE),"")</f>
        <v>5996472</v>
      </c>
      <c r="AK113">
        <f>IFERROR(VLOOKUP($A113,koronahun!$A:$AM,37,FALSE),"")</f>
        <v>5904</v>
      </c>
      <c r="AL113">
        <f>IFERROR(VLOOKUP($A113,koronahun!$A:$AM,38,FALSE),"")</f>
        <v>3559.8</v>
      </c>
      <c r="AM113" s="14">
        <f>IFERROR(VLOOKUP($A113,koronahun!$A:$AM,39,FALSE),"")</f>
        <v>3830.5714285714284</v>
      </c>
      <c r="AN113" s="11">
        <f ca="1">IFERROR(__xludf.DUMMYFUNCTION("""COMPUTED_VALUE"""),44005)</f>
        <v>44005</v>
      </c>
      <c r="AO113" s="12">
        <f ca="1">IFERROR(VLOOKUP(AN113,koronahun!A:B,2,FALSE),"")</f>
        <v>4107</v>
      </c>
      <c r="AP113" s="11">
        <f t="shared" ca="1" si="0"/>
        <v>44005</v>
      </c>
      <c r="AQ113" s="11">
        <f ca="1">IFERROR(__xludf.DUMMYFUNCTION("""COMPUTED_VALUE"""),44005)</f>
        <v>44005</v>
      </c>
      <c r="AR113" s="11">
        <v>44568</v>
      </c>
      <c r="AS113" s="11">
        <f t="shared" si="1"/>
        <v>44568</v>
      </c>
      <c r="AT113" s="11">
        <f ca="1">IFERROR(__xludf.DUMMYFUNCTION("""COMPUTED_VALUE"""),44567)</f>
        <v>44567</v>
      </c>
    </row>
    <row r="114" spans="1:46" ht="13">
      <c r="A114" s="11">
        <v>44566</v>
      </c>
      <c r="B114">
        <f>IFERROR(VLOOKUP($A114,koronahun!$A:$AM,2,FALSE),"")</f>
        <v>1269979</v>
      </c>
      <c r="C114">
        <f>IFERROR(VLOOKUP($A114,koronahun!$A:$AM,3,FALSE),"")</f>
        <v>5270</v>
      </c>
      <c r="D114">
        <f>IFERROR(VLOOKUP($A114,koronahun!$A:$AM,4,FALSE),"")</f>
        <v>39599</v>
      </c>
      <c r="E114">
        <f>IFERROR(VLOOKUP($A114,koronahun!$A:$AM,5,FALSE),"")</f>
        <v>1128923</v>
      </c>
      <c r="F114">
        <f>IFERROR(VLOOKUP($A114,koronahun!$A:$AM,6,FALSE),"")</f>
        <v>9229190</v>
      </c>
      <c r="G114" s="12">
        <f>IFERROR(VLOOKUP($A114,koronahun!$A:$AM,7,FALSE),"")</f>
        <v>941754.08163265302</v>
      </c>
      <c r="H114">
        <f>IFERROR(VLOOKUP($A114,koronahun!$A:$AM,8,FALSE),"")</f>
        <v>0</v>
      </c>
      <c r="I114" s="13">
        <f>IFERROR(VLOOKUP($A114,koronahun!$A:$AM,9,FALSE),"")</f>
        <v>4.1669664721291615E-3</v>
      </c>
      <c r="J114" s="13">
        <f>IFERROR(VLOOKUP($A114,koronahun!$A:$AM,10,FALSE),"")</f>
        <v>0.13760460018701534</v>
      </c>
      <c r="K114" s="13">
        <f>IFERROR(VLOOKUP($A114,koronahun!$A:$AM,11,FALSE),"")</f>
        <v>1.928474483755284E-3</v>
      </c>
      <c r="L114">
        <f>IFERROR(VLOOKUP($A114,koronahun!$A:$AM,12,FALSE),"")</f>
        <v>101457</v>
      </c>
      <c r="M114" s="13">
        <f>IFERROR(VLOOKUP($A114,koronahun!$A:$AM,13,FALSE),"")</f>
        <v>3.1180830549166563E-2</v>
      </c>
      <c r="N114" s="13">
        <f>IFERROR(VLOOKUP($A114,koronahun!$A:$AM,14,FALSE),"")</f>
        <v>0.8889304468814051</v>
      </c>
      <c r="O114">
        <f>IFERROR(VLOOKUP($A114,koronahun!$A:$AM,15,FALSE),"")</f>
        <v>14894</v>
      </c>
      <c r="P114">
        <f>IFERROR(VLOOKUP($A114,koronahun!$A:$AM,16,FALSE),"")</f>
        <v>17764</v>
      </c>
      <c r="Q114" s="13">
        <f>IFERROR(VLOOKUP($A114,koronahun!$A:$AM,17,FALSE),"")</f>
        <v>0.29666741724836748</v>
      </c>
      <c r="R114">
        <f>IFERROR(VLOOKUP($A114,koronahun!$A:$AM,18,FALSE),"")</f>
        <v>82</v>
      </c>
      <c r="S114">
        <f>IFERROR(VLOOKUP($A114,koronahun!$A:$AM,19,FALSE),"")</f>
        <v>3978</v>
      </c>
      <c r="T114">
        <f>IFERROR(VLOOKUP($A114,koronahun!$A:$AM,20,FALSE),"")</f>
        <v>3090</v>
      </c>
      <c r="U114">
        <f>IFERROR(VLOOKUP($A114,koronahun!$A:$AM,21,FALSE),"")</f>
        <v>307</v>
      </c>
      <c r="V114" s="13">
        <f>IFERROR(VLOOKUP($A114,koronahun!$A:$AM,22,FALSE),"")</f>
        <v>7.9888722569428319E-2</v>
      </c>
      <c r="W114">
        <f>IFERROR(VLOOKUP($A114,koronahun!$A:$AM,23,FALSE),"")</f>
        <v>-245</v>
      </c>
      <c r="X114">
        <f>IFERROR(VLOOKUP($A114,koronahun!$A:$AM,24,FALSE),"")</f>
        <v>-9</v>
      </c>
      <c r="Y114" s="14">
        <f>IFERROR(VLOOKUP($A114,koronahun!$A:$AM,25,FALSE),"")</f>
        <v>3.0456252402495637E-2</v>
      </c>
      <c r="Z114" s="14">
        <f>IFERROR(VLOOKUP($A114,koronahun!$A:$AM,26,FALSE),"")</f>
        <v>9.9352750809061488E-2</v>
      </c>
      <c r="AA114" s="14">
        <f>IFERROR(VLOOKUP($A114,koronahun!$A:$AM,27,FALSE),"")</f>
        <v>1.2717868338557994</v>
      </c>
      <c r="AB114" s="14">
        <f>IFERROR(VLOOKUP($A114,koronahun!$A:$AM,28,FALSE),"")</f>
        <v>1.0074054257030203</v>
      </c>
      <c r="AC114" s="14">
        <f>IFERROR(VLOOKUP($A114,koronahun!$A:$AM,29,FALSE),"")</f>
        <v>2897.8571428571427</v>
      </c>
      <c r="AD114" s="14">
        <f>IFERROR(VLOOKUP($A114,koronahun!$A:$AM,30,FALSE),"")</f>
        <v>84.285714285714292</v>
      </c>
      <c r="AE114" s="14">
        <f>IFERROR(VLOOKUP($A114,koronahun!$A:$AM,31,FALSE),"")</f>
        <v>13447.714285714286</v>
      </c>
      <c r="AF114" s="13">
        <f>IFERROR(VLOOKUP($A114,koronahun!$A:$AM,32,FALSE),"")</f>
        <v>0.23397507743322726</v>
      </c>
      <c r="AG114">
        <f>IFERROR(VLOOKUP($A114,koronahun!$A:$AM,33,FALSE),"")</f>
        <v>6269955</v>
      </c>
      <c r="AH114">
        <f>IFERROR(VLOOKUP($A114,koronahun!$A:$AM,34,FALSE),"")</f>
        <v>1847</v>
      </c>
      <c r="AI114">
        <f>IFERROR(VLOOKUP($A114,koronahun!$A:$AM,35,FALSE),"")</f>
        <v>2436.8000000000002</v>
      </c>
      <c r="AJ114">
        <f>IFERROR(VLOOKUP($A114,koronahun!$A:$AM,36,FALSE),"")</f>
        <v>5990568</v>
      </c>
      <c r="AK114">
        <f>IFERROR(VLOOKUP($A114,koronahun!$A:$AM,37,FALSE),"")</f>
        <v>4226</v>
      </c>
      <c r="AL114">
        <f>IFERROR(VLOOKUP($A114,koronahun!$A:$AM,38,FALSE),"")</f>
        <v>3402.6</v>
      </c>
      <c r="AM114" s="14">
        <f>IFERROR(VLOOKUP($A114,koronahun!$A:$AM,39,FALSE),"")</f>
        <v>4470.7142857142853</v>
      </c>
      <c r="AN114" s="11">
        <f ca="1">IFERROR(__xludf.DUMMYFUNCTION("""COMPUTED_VALUE"""),44006)</f>
        <v>44006</v>
      </c>
      <c r="AO114" s="12">
        <f ca="1">IFERROR(VLOOKUP(AN114,koronahun!A:B,2,FALSE),"")</f>
        <v>4114</v>
      </c>
      <c r="AP114" s="11">
        <f t="shared" ca="1" si="0"/>
        <v>44006</v>
      </c>
      <c r="AQ114" s="11">
        <f ca="1">IFERROR(__xludf.DUMMYFUNCTION("""COMPUTED_VALUE"""),44006)</f>
        <v>44006</v>
      </c>
      <c r="AR114" s="11">
        <v>44567</v>
      </c>
      <c r="AS114" s="11">
        <f t="shared" si="1"/>
        <v>44567</v>
      </c>
      <c r="AT114" s="11">
        <f ca="1">IFERROR(__xludf.DUMMYFUNCTION("""COMPUTED_VALUE"""),44566)</f>
        <v>44566</v>
      </c>
    </row>
    <row r="115" spans="1:46" ht="13">
      <c r="A115" s="11">
        <v>44565</v>
      </c>
      <c r="B115">
        <f>IFERROR(VLOOKUP($A115,koronahun!$A:$AM,2,FALSE),"")</f>
        <v>1264709</v>
      </c>
      <c r="C115">
        <f>IFERROR(VLOOKUP($A115,koronahun!$A:$AM,3,FALSE),"")</f>
        <v>2429</v>
      </c>
      <c r="D115">
        <f>IFERROR(VLOOKUP($A115,koronahun!$A:$AM,4,FALSE),"")</f>
        <v>39517</v>
      </c>
      <c r="E115">
        <f>IFERROR(VLOOKUP($A115,koronahun!$A:$AM,5,FALSE),"")</f>
        <v>1124945</v>
      </c>
      <c r="F115">
        <f>IFERROR(VLOOKUP($A115,koronahun!$A:$AM,6,FALSE),"")</f>
        <v>9211426</v>
      </c>
      <c r="G115" s="12">
        <f>IFERROR(VLOOKUP($A115,koronahun!$A:$AM,7,FALSE),"")</f>
        <v>939941.42857142852</v>
      </c>
      <c r="H115">
        <f>IFERROR(VLOOKUP($A115,koronahun!$A:$AM,8,FALSE),"")</f>
        <v>0</v>
      </c>
      <c r="I115" s="13">
        <f>IFERROR(VLOOKUP($A115,koronahun!$A:$AM,9,FALSE),"")</f>
        <v>1.9242957188579397E-3</v>
      </c>
      <c r="J115" s="13">
        <f>IFERROR(VLOOKUP($A115,koronahun!$A:$AM,10,FALSE),"")</f>
        <v>0.13729785160299829</v>
      </c>
      <c r="K115" s="13">
        <f>IFERROR(VLOOKUP($A115,koronahun!$A:$AM,11,FALSE),"")</f>
        <v>8.5238560947092229E-4</v>
      </c>
      <c r="L115">
        <f>IFERROR(VLOOKUP($A115,koronahun!$A:$AM,12,FALSE),"")</f>
        <v>100247</v>
      </c>
      <c r="M115" s="13">
        <f>IFERROR(VLOOKUP($A115,koronahun!$A:$AM,13,FALSE),"")</f>
        <v>3.124592297516662E-2</v>
      </c>
      <c r="N115" s="13">
        <f>IFERROR(VLOOKUP($A115,koronahun!$A:$AM,14,FALSE),"")</f>
        <v>0.88948920265452369</v>
      </c>
      <c r="O115">
        <f>IFERROR(VLOOKUP($A115,koronahun!$A:$AM,15,FALSE),"")</f>
        <v>13266</v>
      </c>
      <c r="P115">
        <f>IFERROR(VLOOKUP($A115,koronahun!$A:$AM,16,FALSE),"")</f>
        <v>7845</v>
      </c>
      <c r="Q115" s="13">
        <f>IFERROR(VLOOKUP($A115,koronahun!$A:$AM,17,FALSE),"")</f>
        <v>0.30962396430847672</v>
      </c>
      <c r="R115">
        <f>IFERROR(VLOOKUP($A115,koronahun!$A:$AM,18,FALSE),"")</f>
        <v>83</v>
      </c>
      <c r="S115">
        <f>IFERROR(VLOOKUP($A115,koronahun!$A:$AM,19,FALSE),"")</f>
        <v>3122</v>
      </c>
      <c r="T115">
        <f>IFERROR(VLOOKUP($A115,koronahun!$A:$AM,20,FALSE),"")</f>
        <v>3335</v>
      </c>
      <c r="U115">
        <f>IFERROR(VLOOKUP($A115,koronahun!$A:$AM,21,FALSE),"")</f>
        <v>316</v>
      </c>
      <c r="V115" s="13">
        <f>IFERROR(VLOOKUP($A115,koronahun!$A:$AM,22,FALSE),"")</f>
        <v>7.9264874370309699E-2</v>
      </c>
      <c r="W115">
        <f>IFERROR(VLOOKUP($A115,koronahun!$A:$AM,23,FALSE),"")</f>
        <v>22</v>
      </c>
      <c r="X115">
        <f>IFERROR(VLOOKUP($A115,koronahun!$A:$AM,24,FALSE),"")</f>
        <v>-2</v>
      </c>
      <c r="Y115" s="14">
        <f>IFERROR(VLOOKUP($A115,koronahun!$A:$AM,25,FALSE),"")</f>
        <v>3.3267828463694672E-2</v>
      </c>
      <c r="Z115" s="14">
        <f>IFERROR(VLOOKUP($A115,koronahun!$A:$AM,26,FALSE),"")</f>
        <v>9.4752623688155915E-2</v>
      </c>
      <c r="AA115" s="14">
        <f>IFERROR(VLOOKUP($A115,koronahun!$A:$AM,27,FALSE),"")</f>
        <v>1.1052502453385673</v>
      </c>
      <c r="AB115" s="14">
        <f>IFERROR(VLOOKUP($A115,koronahun!$A:$AM,28,FALSE),"")</f>
        <v>0.8770567667533502</v>
      </c>
      <c r="AC115" s="14">
        <f>IFERROR(VLOOKUP($A115,koronahun!$A:$AM,29,FALSE),"")</f>
        <v>2574.2857142857142</v>
      </c>
      <c r="AD115" s="14">
        <f>IFERROR(VLOOKUP($A115,koronahun!$A:$AM,30,FALSE),"")</f>
        <v>89</v>
      </c>
      <c r="AE115" s="14">
        <f>IFERROR(VLOOKUP($A115,koronahun!$A:$AM,31,FALSE),"")</f>
        <v>13131.571428571429</v>
      </c>
      <c r="AF115" s="13">
        <f>IFERROR(VLOOKUP($A115,koronahun!$A:$AM,32,FALSE),"")</f>
        <v>0.21328862632874057</v>
      </c>
      <c r="AG115">
        <f>IFERROR(VLOOKUP($A115,koronahun!$A:$AM,33,FALSE),"")</f>
        <v>6268108</v>
      </c>
      <c r="AH115">
        <f>IFERROR(VLOOKUP($A115,koronahun!$A:$AM,34,FALSE),"")</f>
        <v>1625</v>
      </c>
      <c r="AI115">
        <f>IFERROR(VLOOKUP($A115,koronahun!$A:$AM,35,FALSE),"")</f>
        <v>3091</v>
      </c>
      <c r="AJ115">
        <f>IFERROR(VLOOKUP($A115,koronahun!$A:$AM,36,FALSE),"")</f>
        <v>5986342</v>
      </c>
      <c r="AK115">
        <f>IFERROR(VLOOKUP($A115,koronahun!$A:$AM,37,FALSE),"")</f>
        <v>4238</v>
      </c>
      <c r="AL115">
        <f>IFERROR(VLOOKUP($A115,koronahun!$A:$AM,38,FALSE),"")</f>
        <v>3597.6</v>
      </c>
      <c r="AM115" s="14">
        <f>IFERROR(VLOOKUP($A115,koronahun!$A:$AM,39,FALSE),"")</f>
        <v>4846.8571428571431</v>
      </c>
      <c r="AN115" s="11">
        <f ca="1">IFERROR(__xludf.DUMMYFUNCTION("""COMPUTED_VALUE"""),44007)</f>
        <v>44007</v>
      </c>
      <c r="AO115" s="12">
        <f ca="1">IFERROR(VLOOKUP(AN115,koronahun!A:B,2,FALSE),"")</f>
        <v>4123</v>
      </c>
      <c r="AP115" s="11">
        <f t="shared" ca="1" si="0"/>
        <v>44007</v>
      </c>
      <c r="AQ115" s="11">
        <f ca="1">IFERROR(__xludf.DUMMYFUNCTION("""COMPUTED_VALUE"""),44007)</f>
        <v>44007</v>
      </c>
      <c r="AR115" s="11">
        <v>44566</v>
      </c>
      <c r="AS115" s="11">
        <f t="shared" si="1"/>
        <v>44566</v>
      </c>
      <c r="AT115" s="11">
        <f ca="1">IFERROR(__xludf.DUMMYFUNCTION("""COMPUTED_VALUE"""),44565)</f>
        <v>44565</v>
      </c>
    </row>
    <row r="116" spans="1:46" ht="13">
      <c r="A116" s="11">
        <v>44564</v>
      </c>
      <c r="B116">
        <f>IFERROR(VLOOKUP($A116,koronahun!$A:$AM,2,FALSE),"")</f>
        <v>1262280</v>
      </c>
      <c r="C116">
        <f>IFERROR(VLOOKUP($A116,koronahun!$A:$AM,3,FALSE),"")</f>
        <v>5865</v>
      </c>
      <c r="D116">
        <f>IFERROR(VLOOKUP($A116,koronahun!$A:$AM,4,FALSE),"")</f>
        <v>39434</v>
      </c>
      <c r="E116">
        <f>IFERROR(VLOOKUP($A116,koronahun!$A:$AM,5,FALSE),"")</f>
        <v>1121823</v>
      </c>
      <c r="F116">
        <f>IFERROR(VLOOKUP($A116,koronahun!$A:$AM,6,FALSE),"")</f>
        <v>9203581</v>
      </c>
      <c r="G116" s="12">
        <f>IFERROR(VLOOKUP($A116,koronahun!$A:$AM,7,FALSE),"")</f>
        <v>939140.91836734687</v>
      </c>
      <c r="H116">
        <f>IFERROR(VLOOKUP($A116,koronahun!$A:$AM,8,FALSE),"")</f>
        <v>0</v>
      </c>
      <c r="I116" s="13">
        <f>IFERROR(VLOOKUP($A116,koronahun!$A:$AM,9,FALSE),"")</f>
        <v>4.6680436002435504E-3</v>
      </c>
      <c r="J116" s="13">
        <f>IFERROR(VLOOKUP($A116,koronahun!$A:$AM,10,FALSE),"")</f>
        <v>0.13715096330439205</v>
      </c>
      <c r="K116" s="13">
        <f>IFERROR(VLOOKUP($A116,koronahun!$A:$AM,11,FALSE),"")</f>
        <v>3.732650769874217E-3</v>
      </c>
      <c r="L116">
        <f>IFERROR(VLOOKUP($A116,koronahun!$A:$AM,12,FALSE),"")</f>
        <v>101023</v>
      </c>
      <c r="M116" s="13">
        <f>IFERROR(VLOOKUP($A116,koronahun!$A:$AM,13,FALSE),"")</f>
        <v>3.1240295338593654E-2</v>
      </c>
      <c r="N116" s="13">
        <f>IFERROR(VLOOKUP($A116,koronahun!$A:$AM,14,FALSE),"")</f>
        <v>0.88872754064074533</v>
      </c>
      <c r="O116">
        <f>IFERROR(VLOOKUP($A116,koronahun!$A:$AM,15,FALSE),"")</f>
        <v>12946</v>
      </c>
      <c r="P116">
        <f>IFERROR(VLOOKUP($A116,koronahun!$A:$AM,16,FALSE),"")</f>
        <v>34226</v>
      </c>
      <c r="Q116" s="13">
        <f>IFERROR(VLOOKUP($A116,koronahun!$A:$AM,17,FALSE),"")</f>
        <v>0.17136095366095949</v>
      </c>
      <c r="R116">
        <f>IFERROR(VLOOKUP($A116,koronahun!$A:$AM,18,FALSE),"")</f>
        <v>248</v>
      </c>
      <c r="S116">
        <f>IFERROR(VLOOKUP($A116,koronahun!$A:$AM,19,FALSE),"")</f>
        <v>10147</v>
      </c>
      <c r="T116">
        <f>IFERROR(VLOOKUP($A116,koronahun!$A:$AM,20,FALSE),"")</f>
        <v>3313</v>
      </c>
      <c r="U116">
        <f>IFERROR(VLOOKUP($A116,koronahun!$A:$AM,21,FALSE),"")</f>
        <v>318</v>
      </c>
      <c r="V116" s="13">
        <f>IFERROR(VLOOKUP($A116,koronahun!$A:$AM,22,FALSE),"")</f>
        <v>8.0032164020661031E-2</v>
      </c>
      <c r="W116">
        <f>IFERROR(VLOOKUP($A116,koronahun!$A:$AM,23,FALSE),"")</f>
        <v>-179</v>
      </c>
      <c r="X116">
        <f>IFERROR(VLOOKUP($A116,koronahun!$A:$AM,24,FALSE),"")</f>
        <v>-16</v>
      </c>
      <c r="Y116" s="14">
        <f>IFERROR(VLOOKUP($A116,koronahun!$A:$AM,25,FALSE),"")</f>
        <v>3.279451214079962E-2</v>
      </c>
      <c r="Z116" s="14">
        <f>IFERROR(VLOOKUP($A116,koronahun!$A:$AM,26,FALSE),"")</f>
        <v>9.5985511620887407E-2</v>
      </c>
      <c r="AA116" s="14">
        <f>IFERROR(VLOOKUP($A116,koronahun!$A:$AM,27,FALSE),"")</f>
        <v>1.0024824162184527</v>
      </c>
      <c r="AB116" s="14">
        <f>IFERROR(VLOOKUP($A116,koronahun!$A:$AM,28,FALSE),"")</f>
        <v>0.77300287856970984</v>
      </c>
      <c r="AC116" s="14">
        <f>IFERROR(VLOOKUP($A116,koronahun!$A:$AM,29,FALSE),"")</f>
        <v>2423</v>
      </c>
      <c r="AD116" s="14">
        <f>IFERROR(VLOOKUP($A116,koronahun!$A:$AM,30,FALSE),"")</f>
        <v>98.714285714285708</v>
      </c>
      <c r="AE116" s="14">
        <f>IFERROR(VLOOKUP($A116,koronahun!$A:$AM,31,FALSE),"")</f>
        <v>12661.714285714286</v>
      </c>
      <c r="AF116" s="13">
        <f>IFERROR(VLOOKUP($A116,koronahun!$A:$AM,32,FALSE),"")</f>
        <v>0.21150430756713301</v>
      </c>
      <c r="AG116">
        <f>IFERROR(VLOOKUP($A116,koronahun!$A:$AM,33,FALSE),"")</f>
        <v>6266483</v>
      </c>
      <c r="AH116">
        <f>IFERROR(VLOOKUP($A116,koronahun!$A:$AM,34,FALSE),"")</f>
        <v>419</v>
      </c>
      <c r="AI116">
        <f>IFERROR(VLOOKUP($A116,koronahun!$A:$AM,35,FALSE),"")</f>
        <v>4142</v>
      </c>
      <c r="AJ116">
        <f>IFERROR(VLOOKUP($A116,koronahun!$A:$AM,36,FALSE),"")</f>
        <v>5982104</v>
      </c>
      <c r="AK116">
        <f>IFERROR(VLOOKUP($A116,koronahun!$A:$AM,37,FALSE),"")</f>
        <v>535</v>
      </c>
      <c r="AL116">
        <f>IFERROR(VLOOKUP($A116,koronahun!$A:$AM,38,FALSE),"")</f>
        <v>4906.6000000000004</v>
      </c>
      <c r="AM116" s="14">
        <f>IFERROR(VLOOKUP($A116,koronahun!$A:$AM,39,FALSE),"")</f>
        <v>4840</v>
      </c>
      <c r="AN116" s="11">
        <f ca="1">IFERROR(__xludf.DUMMYFUNCTION("""COMPUTED_VALUE"""),44008)</f>
        <v>44008</v>
      </c>
      <c r="AO116" s="12">
        <f ca="1">IFERROR(VLOOKUP(AN116,koronahun!A:B,2,FALSE),"")</f>
        <v>4127</v>
      </c>
      <c r="AP116" s="11">
        <f t="shared" ca="1" si="0"/>
        <v>44008</v>
      </c>
      <c r="AQ116" s="11">
        <f ca="1">IFERROR(__xludf.DUMMYFUNCTION("""COMPUTED_VALUE"""),44008)</f>
        <v>44008</v>
      </c>
      <c r="AR116" s="11">
        <v>44565</v>
      </c>
      <c r="AS116" s="11">
        <f t="shared" si="1"/>
        <v>44565</v>
      </c>
      <c r="AT116" s="11">
        <f ca="1">IFERROR(__xludf.DUMMYFUNCTION("""COMPUTED_VALUE"""),44564)</f>
        <v>44564</v>
      </c>
    </row>
    <row r="117" spans="1:46" ht="13">
      <c r="A117" s="11">
        <v>44561</v>
      </c>
      <c r="B117">
        <f>IFERROR(VLOOKUP($A117,koronahun!$A:$AM,2,FALSE),"")</f>
        <v>1256415</v>
      </c>
      <c r="C117">
        <f>IFERROR(VLOOKUP($A117,koronahun!$A:$AM,3,FALSE),"")</f>
        <v>3360</v>
      </c>
      <c r="D117">
        <f>IFERROR(VLOOKUP($A117,koronahun!$A:$AM,4,FALSE),"")</f>
        <v>39186</v>
      </c>
      <c r="E117">
        <f>IFERROR(VLOOKUP($A117,koronahun!$A:$AM,5,FALSE),"")</f>
        <v>1111676</v>
      </c>
      <c r="F117">
        <f>IFERROR(VLOOKUP($A117,koronahun!$A:$AM,6,FALSE),"")</f>
        <v>9169355</v>
      </c>
      <c r="G117" s="12">
        <f>IFERROR(VLOOKUP($A117,koronahun!$A:$AM,7,FALSE),"")</f>
        <v>935648.46938775503</v>
      </c>
      <c r="H117">
        <f>IFERROR(VLOOKUP($A117,koronahun!$A:$AM,8,FALSE),"")</f>
        <v>0</v>
      </c>
      <c r="I117" s="13">
        <f>IFERROR(VLOOKUP($A117,koronahun!$A:$AM,9,FALSE),"")</f>
        <v>2.6814465446448879E-3</v>
      </c>
      <c r="J117" s="13">
        <f>IFERROR(VLOOKUP($A117,koronahun!$A:$AM,10,FALSE),"")</f>
        <v>0.13702326935755024</v>
      </c>
      <c r="K117" s="13">
        <f>IFERROR(VLOOKUP($A117,koronahun!$A:$AM,11,FALSE),"")</f>
        <v>1.8203383615796617E-3</v>
      </c>
      <c r="L117">
        <f>IFERROR(VLOOKUP($A117,koronahun!$A:$AM,12,FALSE),"")</f>
        <v>105553</v>
      </c>
      <c r="M117" s="13">
        <f>IFERROR(VLOOKUP($A117,koronahun!$A:$AM,13,FALSE),"")</f>
        <v>3.1188739389453324E-2</v>
      </c>
      <c r="N117" s="13">
        <f>IFERROR(VLOOKUP($A117,koronahun!$A:$AM,14,FALSE),"")</f>
        <v>0.88480000636732292</v>
      </c>
      <c r="O117">
        <f>IFERROR(VLOOKUP($A117,koronahun!$A:$AM,15,FALSE),"")</f>
        <v>16422</v>
      </c>
      <c r="P117">
        <f>IFERROR(VLOOKUP($A117,koronahun!$A:$AM,16,FALSE),"")</f>
        <v>16661</v>
      </c>
      <c r="Q117" s="13">
        <f>IFERROR(VLOOKUP($A117,koronahun!$A:$AM,17,FALSE),"")</f>
        <v>0.20166856731288638</v>
      </c>
      <c r="R117">
        <f>IFERROR(VLOOKUP($A117,koronahun!$A:$AM,18,FALSE),"")</f>
        <v>82</v>
      </c>
      <c r="S117">
        <f>IFERROR(VLOOKUP($A117,koronahun!$A:$AM,19,FALSE),"")</f>
        <v>5145</v>
      </c>
      <c r="T117">
        <f>IFERROR(VLOOKUP($A117,koronahun!$A:$AM,20,FALSE),"")</f>
        <v>3492</v>
      </c>
      <c r="U117">
        <f>IFERROR(VLOOKUP($A117,koronahun!$A:$AM,21,FALSE),"")</f>
        <v>334</v>
      </c>
      <c r="V117" s="13">
        <f>IFERROR(VLOOKUP($A117,koronahun!$A:$AM,22,FALSE),"")</f>
        <v>8.4011254243223782E-2</v>
      </c>
      <c r="W117">
        <f>IFERROR(VLOOKUP($A117,koronahun!$A:$AM,23,FALSE),"")</f>
        <v>-205</v>
      </c>
      <c r="X117">
        <f>IFERROR(VLOOKUP($A117,koronahun!$A:$AM,24,FALSE),"")</f>
        <v>-8</v>
      </c>
      <c r="Y117" s="14">
        <f>IFERROR(VLOOKUP($A117,koronahun!$A:$AM,25,FALSE),"")</f>
        <v>3.3082906217729482E-2</v>
      </c>
      <c r="Z117" s="14">
        <f>IFERROR(VLOOKUP($A117,koronahun!$A:$AM,26,FALSE),"")</f>
        <v>9.5647193585337908E-2</v>
      </c>
      <c r="AA117" s="14">
        <f>IFERROR(VLOOKUP($A117,koronahun!$A:$AM,27,FALSE),"")</f>
        <v>1.0026267402153928</v>
      </c>
      <c r="AB117" s="14">
        <f>IFERROR(VLOOKUP($A117,koronahun!$A:$AM,28,FALSE),"")</f>
        <v>0.68736332482603624</v>
      </c>
      <c r="AC117" s="14">
        <f>IFERROR(VLOOKUP($A117,koronahun!$A:$AM,29,FALSE),"")</f>
        <v>2726.4285714285716</v>
      </c>
      <c r="AD117" s="14">
        <f>IFERROR(VLOOKUP($A117,koronahun!$A:$AM,30,FALSE),"")</f>
        <v>125.57142857142857</v>
      </c>
      <c r="AE117" s="14">
        <f>IFERROR(VLOOKUP($A117,koronahun!$A:$AM,31,FALSE),"")</f>
        <v>15812.428571428571</v>
      </c>
      <c r="AF117" s="13">
        <f>IFERROR(VLOOKUP($A117,koronahun!$A:$AM,32,FALSE),"")</f>
        <v>0.20562180429607363</v>
      </c>
      <c r="AG117">
        <f>IFERROR(VLOOKUP($A117,koronahun!$A:$AM,33,FALSE),"")</f>
        <v>6266064</v>
      </c>
      <c r="AH117">
        <f>IFERROR(VLOOKUP($A117,koronahun!$A:$AM,34,FALSE),"")</f>
        <v>3366</v>
      </c>
      <c r="AI117">
        <f>IFERROR(VLOOKUP($A117,koronahun!$A:$AM,35,FALSE),"")</f>
        <v>4058.2</v>
      </c>
      <c r="AJ117">
        <f>IFERROR(VLOOKUP($A117,koronahun!$A:$AM,36,FALSE),"")</f>
        <v>5981569</v>
      </c>
      <c r="AK117">
        <f>IFERROR(VLOOKUP($A117,koronahun!$A:$AM,37,FALSE),"")</f>
        <v>2896</v>
      </c>
      <c r="AL117">
        <f>IFERROR(VLOOKUP($A117,koronahun!$A:$AM,38,FALSE),"")</f>
        <v>4799.6000000000004</v>
      </c>
      <c r="AM117" s="14">
        <f>IFERROR(VLOOKUP($A117,koronahun!$A:$AM,39,FALSE),"")</f>
        <v>5700.5714285714284</v>
      </c>
      <c r="AN117" s="11">
        <f ca="1">IFERROR(__xludf.DUMMYFUNCTION("""COMPUTED_VALUE"""),44009)</f>
        <v>44009</v>
      </c>
      <c r="AO117" s="12">
        <f ca="1">IFERROR(VLOOKUP(AN117,koronahun!A:B,2,FALSE),"")</f>
        <v>4138</v>
      </c>
      <c r="AP117" s="11">
        <f t="shared" ca="1" si="0"/>
        <v>44009</v>
      </c>
      <c r="AQ117" s="11">
        <f ca="1">IFERROR(__xludf.DUMMYFUNCTION("""COMPUTED_VALUE"""),44009)</f>
        <v>44009</v>
      </c>
      <c r="AR117" s="11">
        <v>44564</v>
      </c>
      <c r="AS117" s="11">
        <f t="shared" si="1"/>
        <v>44564</v>
      </c>
      <c r="AT117" s="11">
        <f ca="1">IFERROR(__xludf.DUMMYFUNCTION("""COMPUTED_VALUE"""),44561)</f>
        <v>44561</v>
      </c>
    </row>
    <row r="118" spans="1:46" ht="13">
      <c r="A118" s="11">
        <v>44560</v>
      </c>
      <c r="B118">
        <f>IFERROR(VLOOKUP($A118,koronahun!$A:$AM,2,FALSE),"")</f>
        <v>1253055</v>
      </c>
      <c r="C118">
        <f>IFERROR(VLOOKUP($A118,koronahun!$A:$AM,3,FALSE),"")</f>
        <v>3361</v>
      </c>
      <c r="D118">
        <f>IFERROR(VLOOKUP($A118,koronahun!$A:$AM,4,FALSE),"")</f>
        <v>39104</v>
      </c>
      <c r="E118">
        <f>IFERROR(VLOOKUP($A118,koronahun!$A:$AM,5,FALSE),"")</f>
        <v>1106531</v>
      </c>
      <c r="F118">
        <f>IFERROR(VLOOKUP($A118,koronahun!$A:$AM,6,FALSE),"")</f>
        <v>9152694</v>
      </c>
      <c r="G118" s="12">
        <f>IFERROR(VLOOKUP($A118,koronahun!$A:$AM,7,FALSE),"")</f>
        <v>933948.3673469387</v>
      </c>
      <c r="H118">
        <f>IFERROR(VLOOKUP($A118,koronahun!$A:$AM,8,FALSE),"")</f>
        <v>0</v>
      </c>
      <c r="I118" s="13">
        <f>IFERROR(VLOOKUP($A118,koronahun!$A:$AM,9,FALSE),"")</f>
        <v>2.6894583794112798E-3</v>
      </c>
      <c r="J118" s="13">
        <f>IFERROR(VLOOKUP($A118,koronahun!$A:$AM,10,FALSE),"")</f>
        <v>0.13690559304178637</v>
      </c>
      <c r="K118" s="13">
        <f>IFERROR(VLOOKUP($A118,koronahun!$A:$AM,11,FALSE),"")</f>
        <v>1.9308037082640763E-3</v>
      </c>
      <c r="L118">
        <f>IFERROR(VLOOKUP($A118,koronahun!$A:$AM,12,FALSE),"")</f>
        <v>107420</v>
      </c>
      <c r="M118" s="13">
        <f>IFERROR(VLOOKUP($A118,koronahun!$A:$AM,13,FALSE),"")</f>
        <v>3.1206930262438599E-2</v>
      </c>
      <c r="N118" s="13">
        <f>IFERROR(VLOOKUP($A118,koronahun!$A:$AM,14,FALSE),"")</f>
        <v>0.88306658526561088</v>
      </c>
      <c r="O118">
        <f>IFERROR(VLOOKUP($A118,koronahun!$A:$AM,15,FALSE),"")</f>
        <v>16380</v>
      </c>
      <c r="P118">
        <f>IFERROR(VLOOKUP($A118,koronahun!$A:$AM,16,FALSE),"")</f>
        <v>17638</v>
      </c>
      <c r="Q118" s="13">
        <f>IFERROR(VLOOKUP($A118,koronahun!$A:$AM,17,FALSE),"")</f>
        <v>0.19055448463544619</v>
      </c>
      <c r="R118">
        <f>IFERROR(VLOOKUP($A118,koronahun!$A:$AM,18,FALSE),"")</f>
        <v>95</v>
      </c>
      <c r="S118">
        <f>IFERROR(VLOOKUP($A118,koronahun!$A:$AM,19,FALSE),"")</f>
        <v>8903</v>
      </c>
      <c r="T118">
        <f>IFERROR(VLOOKUP($A118,koronahun!$A:$AM,20,FALSE),"")</f>
        <v>3697</v>
      </c>
      <c r="U118">
        <f>IFERROR(VLOOKUP($A118,koronahun!$A:$AM,21,FALSE),"")</f>
        <v>342</v>
      </c>
      <c r="V118" s="13">
        <f>IFERROR(VLOOKUP($A118,koronahun!$A:$AM,22,FALSE),"")</f>
        <v>8.5726484471950554E-2</v>
      </c>
      <c r="W118">
        <f>IFERROR(VLOOKUP($A118,koronahun!$A:$AM,23,FALSE),"")</f>
        <v>-157</v>
      </c>
      <c r="X118">
        <f>IFERROR(VLOOKUP($A118,koronahun!$A:$AM,24,FALSE),"")</f>
        <v>-15</v>
      </c>
      <c r="Y118" s="14">
        <f>IFERROR(VLOOKUP($A118,koronahun!$A:$AM,25,FALSE),"")</f>
        <v>3.441630981195308E-2</v>
      </c>
      <c r="Z118" s="14">
        <f>IFERROR(VLOOKUP($A118,koronahun!$A:$AM,26,FALSE),"")</f>
        <v>9.2507438463619154E-2</v>
      </c>
      <c r="AA118" s="14">
        <f>IFERROR(VLOOKUP($A118,koronahun!$A:$AM,27,FALSE),"")</f>
        <v>0.65488089288688989</v>
      </c>
      <c r="AB118" s="14">
        <f>IFERROR(VLOOKUP($A118,koronahun!$A:$AM,28,FALSE),"")</f>
        <v>0.4868379767829577</v>
      </c>
      <c r="AC118" s="14">
        <f>IFERROR(VLOOKUP($A118,koronahun!$A:$AM,29,FALSE),"")</f>
        <v>2246.4285714285716</v>
      </c>
      <c r="AD118" s="14">
        <f>IFERROR(VLOOKUP($A118,koronahun!$A:$AM,30,FALSE),"")</f>
        <v>113.85714285714286</v>
      </c>
      <c r="AE118" s="14">
        <f>IFERROR(VLOOKUP($A118,koronahun!$A:$AM,31,FALSE),"")</f>
        <v>13432.285714285714</v>
      </c>
      <c r="AF118" s="13">
        <f>IFERROR(VLOOKUP($A118,koronahun!$A:$AM,32,FALSE),"")</f>
        <v>0.16528809083349635</v>
      </c>
      <c r="AG118">
        <f>IFERROR(VLOOKUP($A118,koronahun!$A:$AM,33,FALSE),"")</f>
        <v>6262698</v>
      </c>
      <c r="AH118">
        <f>IFERROR(VLOOKUP($A118,koronahun!$A:$AM,34,FALSE),"")</f>
        <v>4927</v>
      </c>
      <c r="AI118">
        <f>IFERROR(VLOOKUP($A118,koronahun!$A:$AM,35,FALSE),"")</f>
        <v>3385</v>
      </c>
      <c r="AJ118">
        <f>IFERROR(VLOOKUP($A118,koronahun!$A:$AM,36,FALSE),"")</f>
        <v>5978673</v>
      </c>
      <c r="AK118">
        <f>IFERROR(VLOOKUP($A118,koronahun!$A:$AM,37,FALSE),"")</f>
        <v>5118</v>
      </c>
      <c r="AL118">
        <f>IFERROR(VLOOKUP($A118,koronahun!$A:$AM,38,FALSE),"")</f>
        <v>4220.3999999999996</v>
      </c>
      <c r="AM118" s="14">
        <f>IFERROR(VLOOKUP($A118,koronahun!$A:$AM,39,FALSE),"")</f>
        <v>4965.5714285714284</v>
      </c>
      <c r="AN118" s="11">
        <f ca="1">IFERROR(__xludf.DUMMYFUNCTION("""COMPUTED_VALUE"""),44010)</f>
        <v>44010</v>
      </c>
      <c r="AO118" s="12">
        <f ca="1">IFERROR(VLOOKUP(AN118,koronahun!A:B,2,FALSE),"")</f>
        <v>4142</v>
      </c>
      <c r="AP118" s="11">
        <f t="shared" ca="1" si="0"/>
        <v>44010</v>
      </c>
      <c r="AQ118" s="11">
        <f ca="1">IFERROR(__xludf.DUMMYFUNCTION("""COMPUTED_VALUE"""),44010)</f>
        <v>44010</v>
      </c>
      <c r="AR118" s="11">
        <v>44561</v>
      </c>
      <c r="AS118" s="11">
        <f t="shared" si="1"/>
        <v>44561</v>
      </c>
      <c r="AT118" s="11">
        <f ca="1">IFERROR(__xludf.DUMMYFUNCTION("""COMPUTED_VALUE"""),44560)</f>
        <v>44560</v>
      </c>
    </row>
    <row r="119" spans="1:46" ht="13">
      <c r="A119" s="11">
        <v>44559</v>
      </c>
      <c r="B119">
        <f>IFERROR(VLOOKUP($A119,koronahun!$A:$AM,2,FALSE),"")</f>
        <v>1249694</v>
      </c>
      <c r="C119">
        <f>IFERROR(VLOOKUP($A119,koronahun!$A:$AM,3,FALSE),"")</f>
        <v>3005</v>
      </c>
      <c r="D119">
        <f>IFERROR(VLOOKUP($A119,koronahun!$A:$AM,4,FALSE),"")</f>
        <v>39009</v>
      </c>
      <c r="E119">
        <f>IFERROR(VLOOKUP($A119,koronahun!$A:$AM,5,FALSE),"")</f>
        <v>1097628</v>
      </c>
      <c r="F119">
        <f>IFERROR(VLOOKUP($A119,koronahun!$A:$AM,6,FALSE),"")</f>
        <v>9135056</v>
      </c>
      <c r="G119" s="12">
        <f>IFERROR(VLOOKUP($A119,koronahun!$A:$AM,7,FALSE),"")</f>
        <v>932148.57142857136</v>
      </c>
      <c r="H119">
        <f>IFERROR(VLOOKUP($A119,koronahun!$A:$AM,8,FALSE),"")</f>
        <v>0</v>
      </c>
      <c r="I119" s="13">
        <f>IFERROR(VLOOKUP($A119,koronahun!$A:$AM,9,FALSE),"")</f>
        <v>2.4103846267994663E-3</v>
      </c>
      <c r="J119" s="13">
        <f>IFERROR(VLOOKUP($A119,koronahun!$A:$AM,10,FALSE),"")</f>
        <v>0.13680200756295308</v>
      </c>
      <c r="K119" s="13">
        <f>IFERROR(VLOOKUP($A119,koronahun!$A:$AM,11,FALSE),"")</f>
        <v>1.7052460632457573E-3</v>
      </c>
      <c r="L119">
        <f>IFERROR(VLOOKUP($A119,koronahun!$A:$AM,12,FALSE),"")</f>
        <v>113057</v>
      </c>
      <c r="M119" s="13">
        <f>IFERROR(VLOOKUP($A119,koronahun!$A:$AM,13,FALSE),"")</f>
        <v>3.121484139317305E-2</v>
      </c>
      <c r="N119" s="13">
        <f>IFERROR(VLOOKUP($A119,koronahun!$A:$AM,14,FALSE),"")</f>
        <v>0.87831741210248271</v>
      </c>
      <c r="O119">
        <f>IFERROR(VLOOKUP($A119,koronahun!$A:$AM,15,FALSE),"")</f>
        <v>15599</v>
      </c>
      <c r="P119">
        <f>IFERROR(VLOOKUP($A119,koronahun!$A:$AM,16,FALSE),"")</f>
        <v>15551</v>
      </c>
      <c r="Q119" s="13">
        <f>IFERROR(VLOOKUP($A119,koronahun!$A:$AM,17,FALSE),"")</f>
        <v>0.19323516172593402</v>
      </c>
      <c r="R119">
        <f>IFERROR(VLOOKUP($A119,koronahun!$A:$AM,18,FALSE),"")</f>
        <v>115</v>
      </c>
      <c r="S119">
        <f>IFERROR(VLOOKUP($A119,koronahun!$A:$AM,19,FALSE),"")</f>
        <v>6611</v>
      </c>
      <c r="T119">
        <f>IFERROR(VLOOKUP($A119,koronahun!$A:$AM,20,FALSE),"")</f>
        <v>3854</v>
      </c>
      <c r="U119">
        <f>IFERROR(VLOOKUP($A119,koronahun!$A:$AM,21,FALSE),"")</f>
        <v>357</v>
      </c>
      <c r="V119" s="13">
        <f>IFERROR(VLOOKUP($A119,koronahun!$A:$AM,22,FALSE),"")</f>
        <v>9.0467746504344262E-2</v>
      </c>
      <c r="W119">
        <f>IFERROR(VLOOKUP($A119,koronahun!$A:$AM,23,FALSE),"")</f>
        <v>-165</v>
      </c>
      <c r="X119">
        <f>IFERROR(VLOOKUP($A119,koronahun!$A:$AM,24,FALSE),"")</f>
        <v>-17</v>
      </c>
      <c r="Y119" s="14">
        <f>IFERROR(VLOOKUP($A119,koronahun!$A:$AM,25,FALSE),"")</f>
        <v>3.4088999354308001E-2</v>
      </c>
      <c r="Z119" s="14">
        <f>IFERROR(VLOOKUP($A119,koronahun!$A:$AM,26,FALSE),"")</f>
        <v>9.2631032693305651E-2</v>
      </c>
      <c r="AA119" s="14">
        <f>IFERROR(VLOOKUP($A119,koronahun!$A:$AM,27,FALSE),"")</f>
        <v>0.62004353910744825</v>
      </c>
      <c r="AB119" s="14">
        <f>IFERROR(VLOOKUP($A119,koronahun!$A:$AM,28,FALSE),"")</f>
        <v>0.48468154069485009</v>
      </c>
      <c r="AC119" s="14">
        <f>IFERROR(VLOOKUP($A119,koronahun!$A:$AM,29,FALSE),"")</f>
        <v>2278.5714285714284</v>
      </c>
      <c r="AD119" s="14">
        <f>IFERROR(VLOOKUP($A119,koronahun!$A:$AM,30,FALSE),"")</f>
        <v>120.28571428571429</v>
      </c>
      <c r="AE119" s="14">
        <f>IFERROR(VLOOKUP($A119,koronahun!$A:$AM,31,FALSE),"")</f>
        <v>14004.714285714286</v>
      </c>
      <c r="AF119" s="13">
        <f>IFERROR(VLOOKUP($A119,koronahun!$A:$AM,32,FALSE),"")</f>
        <v>0.16031186704108027</v>
      </c>
      <c r="AG119">
        <f>IFERROR(VLOOKUP($A119,koronahun!$A:$AM,33,FALSE),"")</f>
        <v>6257771</v>
      </c>
      <c r="AH119">
        <f>IFERROR(VLOOKUP($A119,koronahun!$A:$AM,34,FALSE),"")</f>
        <v>5118</v>
      </c>
      <c r="AI119">
        <f>IFERROR(VLOOKUP($A119,koronahun!$A:$AM,35,FALSE),"")</f>
        <v>3672.2</v>
      </c>
      <c r="AJ119">
        <f>IFERROR(VLOOKUP($A119,koronahun!$A:$AM,36,FALSE),"")</f>
        <v>5973555</v>
      </c>
      <c r="AK119">
        <f>IFERROR(VLOOKUP($A119,koronahun!$A:$AM,37,FALSE),"")</f>
        <v>5201</v>
      </c>
      <c r="AL119">
        <f>IFERROR(VLOOKUP($A119,koronahun!$A:$AM,38,FALSE),"")</f>
        <v>4412.8</v>
      </c>
      <c r="AM119" s="14">
        <f>IFERROR(VLOOKUP($A119,koronahun!$A:$AM,39,FALSE),"")</f>
        <v>5324</v>
      </c>
      <c r="AN119" s="11">
        <f ca="1">IFERROR(__xludf.DUMMYFUNCTION("""COMPUTED_VALUE"""),44011)</f>
        <v>44011</v>
      </c>
      <c r="AO119" s="12">
        <f ca="1">IFERROR(VLOOKUP(AN119,koronahun!A:B,2,FALSE),"")</f>
        <v>4145</v>
      </c>
      <c r="AP119" s="11">
        <f t="shared" ca="1" si="0"/>
        <v>44011</v>
      </c>
      <c r="AQ119" s="11">
        <f ca="1">IFERROR(__xludf.DUMMYFUNCTION("""COMPUTED_VALUE"""),44011)</f>
        <v>44011</v>
      </c>
      <c r="AR119" s="11">
        <v>44560</v>
      </c>
      <c r="AS119" s="11">
        <f t="shared" si="1"/>
        <v>44560</v>
      </c>
      <c r="AT119" s="11">
        <f ca="1">IFERROR(__xludf.DUMMYFUNCTION("""COMPUTED_VALUE"""),44559)</f>
        <v>44559</v>
      </c>
    </row>
    <row r="120" spans="1:46" ht="13">
      <c r="A120" s="11">
        <v>44558</v>
      </c>
      <c r="B120">
        <f>IFERROR(VLOOKUP($A120,koronahun!$A:$AM,2,FALSE),"")</f>
        <v>1246689</v>
      </c>
      <c r="C120">
        <f>IFERROR(VLOOKUP($A120,koronahun!$A:$AM,3,FALSE),"")</f>
        <v>1370</v>
      </c>
      <c r="D120">
        <f>IFERROR(VLOOKUP($A120,koronahun!$A:$AM,4,FALSE),"")</f>
        <v>38894</v>
      </c>
      <c r="E120">
        <f>IFERROR(VLOOKUP($A120,koronahun!$A:$AM,5,FALSE),"")</f>
        <v>1091017</v>
      </c>
      <c r="F120">
        <f>IFERROR(VLOOKUP($A120,koronahun!$A:$AM,6,FALSE),"")</f>
        <v>9119505</v>
      </c>
      <c r="G120" s="12">
        <f>IFERROR(VLOOKUP($A120,koronahun!$A:$AM,7,FALSE),"")</f>
        <v>930561.73469387752</v>
      </c>
      <c r="H120">
        <f>IFERROR(VLOOKUP($A120,koronahun!$A:$AM,8,FALSE),"")</f>
        <v>0</v>
      </c>
      <c r="I120" s="13">
        <f>IFERROR(VLOOKUP($A120,koronahun!$A:$AM,9,FALSE),"")</f>
        <v>1.100119728358758E-3</v>
      </c>
      <c r="J120" s="13">
        <f>IFERROR(VLOOKUP($A120,koronahun!$A:$AM,10,FALSE),"")</f>
        <v>0.13670577514898014</v>
      </c>
      <c r="K120" s="13">
        <f>IFERROR(VLOOKUP($A120,koronahun!$A:$AM,11,FALSE),"")</f>
        <v>4.9983823277563043E-4</v>
      </c>
      <c r="L120">
        <f>IFERROR(VLOOKUP($A120,koronahun!$A:$AM,12,FALSE),"")</f>
        <v>116778</v>
      </c>
      <c r="M120" s="13">
        <f>IFERROR(VLOOKUP($A120,koronahun!$A:$AM,13,FALSE),"")</f>
        <v>3.1197836830195821E-2</v>
      </c>
      <c r="N120" s="13">
        <f>IFERROR(VLOOKUP($A120,koronahun!$A:$AM,14,FALSE),"")</f>
        <v>0.87513164871110594</v>
      </c>
      <c r="O120">
        <f>IFERROR(VLOOKUP($A120,koronahun!$A:$AM,15,FALSE),"")</f>
        <v>15775</v>
      </c>
      <c r="P120">
        <f>IFERROR(VLOOKUP($A120,koronahun!$A:$AM,16,FALSE),"")</f>
        <v>4556</v>
      </c>
      <c r="Q120" s="13">
        <f>IFERROR(VLOOKUP($A120,koronahun!$A:$AM,17,FALSE),"")</f>
        <v>0.30070237050043896</v>
      </c>
      <c r="R120">
        <f>IFERROR(VLOOKUP($A120,koronahun!$A:$AM,18,FALSE),"")</f>
        <v>151</v>
      </c>
      <c r="S120">
        <f>IFERROR(VLOOKUP($A120,koronahun!$A:$AM,19,FALSE),"")</f>
        <v>3074</v>
      </c>
      <c r="T120">
        <f>IFERROR(VLOOKUP($A120,koronahun!$A:$AM,20,FALSE),"")</f>
        <v>4019</v>
      </c>
      <c r="U120">
        <f>IFERROR(VLOOKUP($A120,koronahun!$A:$AM,21,FALSE),"")</f>
        <v>374</v>
      </c>
      <c r="V120" s="13">
        <f>IFERROR(VLOOKUP($A120,koronahun!$A:$AM,22,FALSE),"")</f>
        <v>9.3670514458698201E-2</v>
      </c>
      <c r="W120">
        <f>IFERROR(VLOOKUP($A120,koronahun!$A:$AM,23,FALSE),"")</f>
        <v>-44</v>
      </c>
      <c r="X120">
        <f>IFERROR(VLOOKUP($A120,koronahun!$A:$AM,24,FALSE),"")</f>
        <v>-35</v>
      </c>
      <c r="Y120" s="14">
        <f>IFERROR(VLOOKUP($A120,koronahun!$A:$AM,25,FALSE),"")</f>
        <v>3.4415728990049493E-2</v>
      </c>
      <c r="Z120" s="14">
        <f>IFERROR(VLOOKUP($A120,koronahun!$A:$AM,26,FALSE),"")</f>
        <v>9.3057974620552375E-2</v>
      </c>
      <c r="AA120" s="14">
        <f>IFERROR(VLOOKUP($A120,koronahun!$A:$AM,27,FALSE),"")</f>
        <v>0.58498080442036526</v>
      </c>
      <c r="AB120" s="14">
        <f>IFERROR(VLOOKUP($A120,koronahun!$A:$AM,28,FALSE),"")</f>
        <v>0.49161042831263557</v>
      </c>
      <c r="AC120" s="14">
        <f>IFERROR(VLOOKUP($A120,koronahun!$A:$AM,29,FALSE),"")</f>
        <v>2329.1428571428573</v>
      </c>
      <c r="AD120" s="14">
        <f>IFERROR(VLOOKUP($A120,koronahun!$A:$AM,30,FALSE),"")</f>
        <v>123.71428571428571</v>
      </c>
      <c r="AE120" s="14">
        <f>IFERROR(VLOOKUP($A120,koronahun!$A:$AM,31,FALSE),"")</f>
        <v>13949.571428571429</v>
      </c>
      <c r="AF120" s="13">
        <f>IFERROR(VLOOKUP($A120,koronahun!$A:$AM,32,FALSE),"")</f>
        <v>0.16596420825342725</v>
      </c>
      <c r="AG120">
        <f>IFERROR(VLOOKUP($A120,koronahun!$A:$AM,33,FALSE),"")</f>
        <v>6252653</v>
      </c>
      <c r="AH120">
        <f>IFERROR(VLOOKUP($A120,koronahun!$A:$AM,34,FALSE),"")</f>
        <v>6880</v>
      </c>
      <c r="AI120">
        <f>IFERROR(VLOOKUP($A120,koronahun!$A:$AM,35,FALSE),"")</f>
        <v>4015.6</v>
      </c>
      <c r="AJ120">
        <f>IFERROR(VLOOKUP($A120,koronahun!$A:$AM,36,FALSE),"")</f>
        <v>5968354</v>
      </c>
      <c r="AK120">
        <f>IFERROR(VLOOKUP($A120,koronahun!$A:$AM,37,FALSE),"")</f>
        <v>10783</v>
      </c>
      <c r="AL120">
        <f>IFERROR(VLOOKUP($A120,koronahun!$A:$AM,38,FALSE),"")</f>
        <v>4601</v>
      </c>
      <c r="AM120" s="14">
        <f>IFERROR(VLOOKUP($A120,koronahun!$A:$AM,39,FALSE),"")</f>
        <v>5247</v>
      </c>
      <c r="AN120" s="11">
        <f ca="1">IFERROR(__xludf.DUMMYFUNCTION("""COMPUTED_VALUE"""),44012)</f>
        <v>44012</v>
      </c>
      <c r="AO120" s="12">
        <f ca="1">IFERROR(VLOOKUP(AN120,koronahun!A:B,2,FALSE),"")</f>
        <v>4155</v>
      </c>
      <c r="AP120" s="11">
        <f t="shared" ca="1" si="0"/>
        <v>44012</v>
      </c>
      <c r="AQ120" s="11">
        <f ca="1">IFERROR(__xludf.DUMMYFUNCTION("""COMPUTED_VALUE"""),44012)</f>
        <v>44012</v>
      </c>
      <c r="AR120" s="11">
        <v>44559</v>
      </c>
      <c r="AS120" s="11">
        <f t="shared" si="1"/>
        <v>44559</v>
      </c>
      <c r="AT120" s="11">
        <f ca="1">IFERROR(__xludf.DUMMYFUNCTION("""COMPUTED_VALUE"""),44558)</f>
        <v>44558</v>
      </c>
    </row>
    <row r="121" spans="1:46" ht="13">
      <c r="A121" s="11">
        <v>44557</v>
      </c>
      <c r="B121">
        <f>IFERROR(VLOOKUP($A121,koronahun!$A:$AM,2,FALSE),"")</f>
        <v>1245319</v>
      </c>
      <c r="C121">
        <f>IFERROR(VLOOKUP($A121,koronahun!$A:$AM,3,FALSE),"")</f>
        <v>7989</v>
      </c>
      <c r="D121">
        <f>IFERROR(VLOOKUP($A121,koronahun!$A:$AM,4,FALSE),"")</f>
        <v>38743</v>
      </c>
      <c r="E121">
        <f>IFERROR(VLOOKUP($A121,koronahun!$A:$AM,5,FALSE),"")</f>
        <v>1087943</v>
      </c>
      <c r="F121">
        <f>IFERROR(VLOOKUP($A121,koronahun!$A:$AM,6,FALSE),"")</f>
        <v>9114949</v>
      </c>
      <c r="G121" s="12">
        <f>IFERROR(VLOOKUP($A121,koronahun!$A:$AM,7,FALSE),"")</f>
        <v>930096.83673469385</v>
      </c>
      <c r="H121">
        <f>IFERROR(VLOOKUP($A121,koronahun!$A:$AM,8,FALSE),"")</f>
        <v>0</v>
      </c>
      <c r="I121" s="13">
        <f>IFERROR(VLOOKUP($A121,koronahun!$A:$AM,9,FALSE),"")</f>
        <v>6.4566445491501864E-3</v>
      </c>
      <c r="J121" s="13">
        <f>IFERROR(VLOOKUP($A121,koronahun!$A:$AM,10,FALSE),"")</f>
        <v>0.13662380338057845</v>
      </c>
      <c r="K121" s="13">
        <f>IFERROR(VLOOKUP($A121,koronahun!$A:$AM,11,FALSE),"")</f>
        <v>6.2129443313299485E-3</v>
      </c>
      <c r="L121">
        <f>IFERROR(VLOOKUP($A121,koronahun!$A:$AM,12,FALSE),"")</f>
        <v>118633</v>
      </c>
      <c r="M121" s="13">
        <f>IFERROR(VLOOKUP($A121,koronahun!$A:$AM,13,FALSE),"")</f>
        <v>3.1110904113725076E-2</v>
      </c>
      <c r="N121" s="13">
        <f>IFERROR(VLOOKUP($A121,koronahun!$A:$AM,14,FALSE),"")</f>
        <v>0.87362595447431546</v>
      </c>
      <c r="O121">
        <f>IFERROR(VLOOKUP($A121,koronahun!$A:$AM,15,FALSE),"")</f>
        <v>17751</v>
      </c>
      <c r="P121">
        <f>IFERROR(VLOOKUP($A121,koronahun!$A:$AM,16,FALSE),"")</f>
        <v>56281</v>
      </c>
      <c r="Q121" s="13">
        <f>IFERROR(VLOOKUP($A121,koronahun!$A:$AM,17,FALSE),"")</f>
        <v>0.14194843730566264</v>
      </c>
      <c r="R121">
        <f>IFERROR(VLOOKUP($A121,koronahun!$A:$AM,18,FALSE),"")</f>
        <v>436</v>
      </c>
      <c r="S121">
        <f>IFERROR(VLOOKUP($A121,koronahun!$A:$AM,19,FALSE),"")</f>
        <v>16171</v>
      </c>
      <c r="T121">
        <f>IFERROR(VLOOKUP($A121,koronahun!$A:$AM,20,FALSE),"")</f>
        <v>4063</v>
      </c>
      <c r="U121">
        <f>IFERROR(VLOOKUP($A121,koronahun!$A:$AM,21,FALSE),"")</f>
        <v>409</v>
      </c>
      <c r="V121" s="13">
        <f>IFERROR(VLOOKUP($A121,koronahun!$A:$AM,22,FALSE),"")</f>
        <v>9.5263141411959504E-2</v>
      </c>
      <c r="W121">
        <f>IFERROR(VLOOKUP($A121,koronahun!$A:$AM,23,FALSE),"")</f>
        <v>-764</v>
      </c>
      <c r="X121">
        <f>IFERROR(VLOOKUP($A121,koronahun!$A:$AM,24,FALSE),"")</f>
        <v>-45</v>
      </c>
      <c r="Y121" s="14">
        <f>IFERROR(VLOOKUP($A121,koronahun!$A:$AM,25,FALSE),"")</f>
        <v>3.4248480608262459E-2</v>
      </c>
      <c r="Z121" s="14">
        <f>IFERROR(VLOOKUP($A121,koronahun!$A:$AM,26,FALSE),"")</f>
        <v>0.10066453359586512</v>
      </c>
      <c r="AA121" s="14">
        <f>IFERROR(VLOOKUP($A121,koronahun!$A:$AM,27,FALSE),"")</f>
        <v>0.5742846475000849</v>
      </c>
      <c r="AB121" s="14">
        <f>IFERROR(VLOOKUP($A121,koronahun!$A:$AM,28,FALSE),"")</f>
        <v>0.51179157762912852</v>
      </c>
      <c r="AC121" s="14">
        <f>IFERROR(VLOOKUP($A121,koronahun!$A:$AM,29,FALSE),"")</f>
        <v>2417</v>
      </c>
      <c r="AD121" s="14">
        <f>IFERROR(VLOOKUP($A121,koronahun!$A:$AM,30,FALSE),"")</f>
        <v>121</v>
      </c>
      <c r="AE121" s="14">
        <f>IFERROR(VLOOKUP($A121,koronahun!$A:$AM,31,FALSE),"")</f>
        <v>14359.857142857143</v>
      </c>
      <c r="AF121" s="13">
        <f>IFERROR(VLOOKUP($A121,koronahun!$A:$AM,32,FALSE),"")</f>
        <v>0.15927015310864373</v>
      </c>
      <c r="AG121">
        <f>IFERROR(VLOOKUP($A121,koronahun!$A:$AM,33,FALSE),"")</f>
        <v>0</v>
      </c>
      <c r="AH121">
        <f>IFERROR(VLOOKUP($A121,koronahun!$A:$AM,34,FALSE),"")</f>
        <v>0</v>
      </c>
      <c r="AI121">
        <f>IFERROR(VLOOKUP($A121,koronahun!$A:$AM,35,FALSE),"")</f>
        <v>0</v>
      </c>
      <c r="AJ121">
        <f>IFERROR(VLOOKUP($A121,koronahun!$A:$AM,36,FALSE),"")</f>
        <v>0</v>
      </c>
      <c r="AK121">
        <f>IFERROR(VLOOKUP($A121,koronahun!$A:$AM,37,FALSE),"")</f>
        <v>0</v>
      </c>
      <c r="AL121">
        <f>IFERROR(VLOOKUP($A121,koronahun!$A:$AM,38,FALSE),"")</f>
        <v>0</v>
      </c>
      <c r="AM121" s="14">
        <f>IFERROR(VLOOKUP($A121,koronahun!$A:$AM,39,FALSE),"")</f>
        <v>0</v>
      </c>
      <c r="AN121" s="11">
        <f ca="1">IFERROR(__xludf.DUMMYFUNCTION("""COMPUTED_VALUE"""),44013)</f>
        <v>44013</v>
      </c>
      <c r="AO121" s="12">
        <f ca="1">IFERROR(VLOOKUP(AN121,koronahun!A:B,2,FALSE),"")</f>
        <v>4157</v>
      </c>
      <c r="AP121" s="11">
        <f t="shared" ca="1" si="0"/>
        <v>44013</v>
      </c>
      <c r="AQ121" s="11">
        <f ca="1">IFERROR(__xludf.DUMMYFUNCTION("""COMPUTED_VALUE"""),44013)</f>
        <v>44013</v>
      </c>
      <c r="AR121" s="11">
        <v>44558</v>
      </c>
      <c r="AS121" s="11">
        <f t="shared" si="1"/>
        <v>44558</v>
      </c>
      <c r="AT121" s="11">
        <f ca="1">IFERROR(__xludf.DUMMYFUNCTION("""COMPUTED_VALUE"""),44557)</f>
        <v>44557</v>
      </c>
    </row>
    <row r="122" spans="1:46" ht="13">
      <c r="A122" s="11">
        <v>44553</v>
      </c>
      <c r="B122">
        <f>IFERROR(VLOOKUP($A122,koronahun!$A:$AM,2,FALSE),"")</f>
        <v>1237330</v>
      </c>
      <c r="C122">
        <f>IFERROR(VLOOKUP($A122,koronahun!$A:$AM,3,FALSE),"")</f>
        <v>3586</v>
      </c>
      <c r="D122">
        <f>IFERROR(VLOOKUP($A122,koronahun!$A:$AM,4,FALSE),"")</f>
        <v>38307</v>
      </c>
      <c r="E122">
        <f>IFERROR(VLOOKUP($A122,koronahun!$A:$AM,5,FALSE),"")</f>
        <v>1071772</v>
      </c>
      <c r="F122">
        <f>IFERROR(VLOOKUP($A122,koronahun!$A:$AM,6,FALSE),"")</f>
        <v>9058668</v>
      </c>
      <c r="G122" s="12">
        <f>IFERROR(VLOOKUP($A122,koronahun!$A:$AM,7,FALSE),"")</f>
        <v>924353.87755102036</v>
      </c>
      <c r="H122">
        <f>IFERROR(VLOOKUP($A122,koronahun!$A:$AM,8,FALSE),"")</f>
        <v>0</v>
      </c>
      <c r="I122" s="13">
        <f>IFERROR(VLOOKUP($A122,koronahun!$A:$AM,9,FALSE),"")</f>
        <v>2.9065997484080978E-3</v>
      </c>
      <c r="J122" s="13">
        <f>IFERROR(VLOOKUP($A122,koronahun!$A:$AM,10,FALSE),"")</f>
        <v>0.13659072172641717</v>
      </c>
      <c r="K122" s="13">
        <f>IFERROR(VLOOKUP($A122,koronahun!$A:$AM,11,FALSE),"")</f>
        <v>2.3951471629539947E-3</v>
      </c>
      <c r="L122">
        <f>IFERROR(VLOOKUP($A122,koronahun!$A:$AM,12,FALSE),"")</f>
        <v>127251</v>
      </c>
      <c r="M122" s="13">
        <f>IFERROR(VLOOKUP($A122,koronahun!$A:$AM,13,FALSE),"")</f>
        <v>3.095940452425788E-2</v>
      </c>
      <c r="N122" s="13">
        <f>IFERROR(VLOOKUP($A122,koronahun!$A:$AM,14,FALSE),"")</f>
        <v>0.86619737660931195</v>
      </c>
      <c r="O122">
        <f>IFERROR(VLOOKUP($A122,koronahun!$A:$AM,15,FALSE),"")</f>
        <v>32319</v>
      </c>
      <c r="P122">
        <f>IFERROR(VLOOKUP($A122,koronahun!$A:$AM,16,FALSE),"")</f>
        <v>21645</v>
      </c>
      <c r="Q122" s="13">
        <f>IFERROR(VLOOKUP($A122,koronahun!$A:$AM,17,FALSE),"")</f>
        <v>0.16567336567336569</v>
      </c>
      <c r="R122">
        <f>IFERROR(VLOOKUP($A122,koronahun!$A:$AM,18,FALSE),"")</f>
        <v>140</v>
      </c>
      <c r="S122">
        <f>IFERROR(VLOOKUP($A122,koronahun!$A:$AM,19,FALSE),"")</f>
        <v>11412</v>
      </c>
      <c r="T122">
        <f>IFERROR(VLOOKUP($A122,koronahun!$A:$AM,20,FALSE),"")</f>
        <v>4827</v>
      </c>
      <c r="U122">
        <f>IFERROR(VLOOKUP($A122,koronahun!$A:$AM,21,FALSE),"")</f>
        <v>454</v>
      </c>
      <c r="V122" s="13">
        <f>IFERROR(VLOOKUP($A122,koronahun!$A:$AM,22,FALSE),"")</f>
        <v>0.10284321886643014</v>
      </c>
      <c r="W122">
        <f>IFERROR(VLOOKUP($A122,koronahun!$A:$AM,23,FALSE),"")</f>
        <v>-332</v>
      </c>
      <c r="X122">
        <f>IFERROR(VLOOKUP($A122,koronahun!$A:$AM,24,FALSE),"")</f>
        <v>-10</v>
      </c>
      <c r="Y122" s="14">
        <f>IFERROR(VLOOKUP($A122,koronahun!$A:$AM,25,FALSE),"")</f>
        <v>3.7932904260084402E-2</v>
      </c>
      <c r="Z122" s="14">
        <f>IFERROR(VLOOKUP($A122,koronahun!$A:$AM,26,FALSE),"")</f>
        <v>9.4054278019473789E-2</v>
      </c>
      <c r="AA122" s="14">
        <f>IFERROR(VLOOKUP($A122,koronahun!$A:$AM,27,FALSE),"")</f>
        <v>0.64409871244635197</v>
      </c>
      <c r="AB122" s="14">
        <f>IFERROR(VLOOKUP($A122,koronahun!$A:$AM,28,FALSE),"")</f>
        <v>0.68658302396569437</v>
      </c>
      <c r="AC122" s="14">
        <f>IFERROR(VLOOKUP($A122,koronahun!$A:$AM,29,FALSE),"")</f>
        <v>3430.2857142857142</v>
      </c>
      <c r="AD122" s="14">
        <f>IFERROR(VLOOKUP($A122,koronahun!$A:$AM,30,FALSE),"")</f>
        <v>133</v>
      </c>
      <c r="AE122" s="14">
        <f>IFERROR(VLOOKUP($A122,koronahun!$A:$AM,31,FALSE),"")</f>
        <v>19841.857142857141</v>
      </c>
      <c r="AF122" s="13">
        <f>IFERROR(VLOOKUP($A122,koronahun!$A:$AM,32,FALSE),"")</f>
        <v>0.19669399370316987</v>
      </c>
      <c r="AG122">
        <f>IFERROR(VLOOKUP($A122,koronahun!$A:$AM,33,FALSE),"")</f>
        <v>6245773</v>
      </c>
      <c r="AH122">
        <f>IFERROR(VLOOKUP($A122,koronahun!$A:$AM,34,FALSE),"")</f>
        <v>6363</v>
      </c>
      <c r="AI122">
        <f>IFERROR(VLOOKUP($A122,koronahun!$A:$AM,35,FALSE),"")</f>
        <v>9146.6</v>
      </c>
      <c r="AJ122">
        <f>IFERROR(VLOOKUP($A122,koronahun!$A:$AM,36,FALSE),"")</f>
        <v>5957571</v>
      </c>
      <c r="AK122">
        <f>IFERROR(VLOOKUP($A122,koronahun!$A:$AM,37,FALSE),"")</f>
        <v>6080</v>
      </c>
      <c r="AL122">
        <f>IFERROR(VLOOKUP($A122,koronahun!$A:$AM,38,FALSE),"")</f>
        <v>8593.6</v>
      </c>
      <c r="AM122" s="14">
        <f>IFERROR(VLOOKUP($A122,koronahun!$A:$AM,39,FALSE),"")</f>
        <v>7954.7142857142853</v>
      </c>
      <c r="AN122" s="11">
        <f ca="1">IFERROR(__xludf.DUMMYFUNCTION("""COMPUTED_VALUE"""),44014)</f>
        <v>44014</v>
      </c>
      <c r="AO122" s="12">
        <f ca="1">IFERROR(VLOOKUP(AN122,koronahun!A:B,2,FALSE),"")</f>
        <v>4166</v>
      </c>
      <c r="AP122" s="11">
        <f t="shared" ca="1" si="0"/>
        <v>44014</v>
      </c>
      <c r="AQ122" s="11">
        <f ca="1">IFERROR(__xludf.DUMMYFUNCTION("""COMPUTED_VALUE"""),44014)</f>
        <v>44014</v>
      </c>
      <c r="AR122" s="11">
        <v>44557</v>
      </c>
      <c r="AS122" s="11">
        <f t="shared" si="1"/>
        <v>44557</v>
      </c>
      <c r="AT122" s="11">
        <f ca="1">IFERROR(__xludf.DUMMYFUNCTION("""COMPUTED_VALUE"""),44553)</f>
        <v>44553</v>
      </c>
    </row>
    <row r="123" spans="1:46" ht="13">
      <c r="A123" s="11">
        <v>44552</v>
      </c>
      <c r="B123">
        <f>IFERROR(VLOOKUP($A123,koronahun!$A:$AM,2,FALSE),"")</f>
        <v>1233744</v>
      </c>
      <c r="C123">
        <f>IFERROR(VLOOKUP($A123,koronahun!$A:$AM,3,FALSE),"")</f>
        <v>3359</v>
      </c>
      <c r="D123">
        <f>IFERROR(VLOOKUP($A123,koronahun!$A:$AM,4,FALSE),"")</f>
        <v>38167</v>
      </c>
      <c r="E123">
        <f>IFERROR(VLOOKUP($A123,koronahun!$A:$AM,5,FALSE),"")</f>
        <v>1060360</v>
      </c>
      <c r="F123">
        <f>IFERROR(VLOOKUP($A123,koronahun!$A:$AM,6,FALSE),"")</f>
        <v>9037023</v>
      </c>
      <c r="G123" s="12">
        <f>IFERROR(VLOOKUP($A123,koronahun!$A:$AM,7,FALSE),"")</f>
        <v>922145.20408163255</v>
      </c>
      <c r="H123">
        <f>IFERROR(VLOOKUP($A123,koronahun!$A:$AM,8,FALSE),"")</f>
        <v>0</v>
      </c>
      <c r="I123" s="13">
        <f>IFERROR(VLOOKUP($A123,koronahun!$A:$AM,9,FALSE),"")</f>
        <v>2.7300397842951597E-3</v>
      </c>
      <c r="J123" s="13">
        <f>IFERROR(VLOOKUP($A123,koronahun!$A:$AM,10,FALSE),"")</f>
        <v>0.13652106451427642</v>
      </c>
      <c r="K123" s="13">
        <f>IFERROR(VLOOKUP($A123,koronahun!$A:$AM,11,FALSE),"")</f>
        <v>1.6809176114277126E-3</v>
      </c>
      <c r="L123">
        <f>IFERROR(VLOOKUP($A123,koronahun!$A:$AM,12,FALSE),"")</f>
        <v>135217</v>
      </c>
      <c r="M123" s="13">
        <f>IFERROR(VLOOKUP($A123,koronahun!$A:$AM,13,FALSE),"")</f>
        <v>3.0935915392496335E-2</v>
      </c>
      <c r="N123" s="13">
        <f>IFERROR(VLOOKUP($A123,koronahun!$A:$AM,14,FALSE),"")</f>
        <v>0.85946517267763811</v>
      </c>
      <c r="O123">
        <f>IFERROR(VLOOKUP($A123,koronahun!$A:$AM,15,FALSE),"")</f>
        <v>31081</v>
      </c>
      <c r="P123">
        <f>IFERROR(VLOOKUP($A123,koronahun!$A:$AM,16,FALSE),"")</f>
        <v>15165</v>
      </c>
      <c r="Q123" s="13">
        <f>IFERROR(VLOOKUP($A123,koronahun!$A:$AM,17,FALSE),"")</f>
        <v>0.22149686778766897</v>
      </c>
      <c r="R123">
        <f>IFERROR(VLOOKUP($A123,koronahun!$A:$AM,18,FALSE),"")</f>
        <v>139</v>
      </c>
      <c r="S123">
        <f>IFERROR(VLOOKUP($A123,koronahun!$A:$AM,19,FALSE),"")</f>
        <v>6072</v>
      </c>
      <c r="T123">
        <f>IFERROR(VLOOKUP($A123,koronahun!$A:$AM,20,FALSE),"")</f>
        <v>5159</v>
      </c>
      <c r="U123">
        <f>IFERROR(VLOOKUP($A123,koronahun!$A:$AM,21,FALSE),"")</f>
        <v>464</v>
      </c>
      <c r="V123" s="13">
        <f>IFERROR(VLOOKUP($A123,koronahun!$A:$AM,22,FALSE),"")</f>
        <v>0.10959891192986551</v>
      </c>
      <c r="W123">
        <f>IFERROR(VLOOKUP($A123,koronahun!$A:$AM,23,FALSE),"")</f>
        <v>-368</v>
      </c>
      <c r="X123">
        <f>IFERROR(VLOOKUP($A123,koronahun!$A:$AM,24,FALSE),"")</f>
        <v>-37</v>
      </c>
      <c r="Y123" s="14">
        <f>IFERROR(VLOOKUP($A123,koronahun!$A:$AM,25,FALSE),"")</f>
        <v>3.8153486617806931E-2</v>
      </c>
      <c r="Z123" s="14">
        <f>IFERROR(VLOOKUP($A123,koronahun!$A:$AM,26,FALSE),"")</f>
        <v>8.9939910835433221E-2</v>
      </c>
      <c r="AA123" s="14">
        <f>IFERROR(VLOOKUP($A123,koronahun!$A:$AM,27,FALSE),"")</f>
        <v>0.65468797719637584</v>
      </c>
      <c r="AB123" s="14">
        <f>IFERROR(VLOOKUP($A123,koronahun!$A:$AM,28,FALSE),"")</f>
        <v>0.70307042210629622</v>
      </c>
      <c r="AC123" s="14">
        <f>IFERROR(VLOOKUP($A123,koronahun!$A:$AM,29,FALSE),"")</f>
        <v>3674.8571428571427</v>
      </c>
      <c r="AD123" s="14">
        <f>IFERROR(VLOOKUP($A123,koronahun!$A:$AM,30,FALSE),"")</f>
        <v>133.57142857142858</v>
      </c>
      <c r="AE123" s="14">
        <f>IFERROR(VLOOKUP($A123,koronahun!$A:$AM,31,FALSE),"")</f>
        <v>21000</v>
      </c>
      <c r="AF123" s="13">
        <f>IFERROR(VLOOKUP($A123,koronahun!$A:$AM,32,FALSE),"")</f>
        <v>0.19917373304496891</v>
      </c>
      <c r="AG123">
        <f>IFERROR(VLOOKUP($A123,koronahun!$A:$AM,33,FALSE),"")</f>
        <v>6239410</v>
      </c>
      <c r="AH123">
        <f>IFERROR(VLOOKUP($A123,koronahun!$A:$AM,34,FALSE),"")</f>
        <v>6835</v>
      </c>
      <c r="AI123">
        <f>IFERROR(VLOOKUP($A123,koronahun!$A:$AM,35,FALSE),"")</f>
        <v>9037.7999999999993</v>
      </c>
      <c r="AJ123">
        <f>IFERROR(VLOOKUP($A123,koronahun!$A:$AM,36,FALSE),"")</f>
        <v>5951491</v>
      </c>
      <c r="AK123">
        <f>IFERROR(VLOOKUP($A123,koronahun!$A:$AM,37,FALSE),"")</f>
        <v>6142</v>
      </c>
      <c r="AL123">
        <f>IFERROR(VLOOKUP($A123,koronahun!$A:$AM,38,FALSE),"")</f>
        <v>8958</v>
      </c>
      <c r="AM123" s="14">
        <f>IFERROR(VLOOKUP($A123,koronahun!$A:$AM,39,FALSE),"")</f>
        <v>7824.8571428571431</v>
      </c>
      <c r="AN123" s="11">
        <f ca="1">IFERROR(__xludf.DUMMYFUNCTION("""COMPUTED_VALUE"""),44015)</f>
        <v>44015</v>
      </c>
      <c r="AO123" s="12">
        <f ca="1">IFERROR(VLOOKUP(AN123,koronahun!A:B,2,FALSE),"")</f>
        <v>4172</v>
      </c>
      <c r="AP123" s="11">
        <f t="shared" ca="1" si="0"/>
        <v>44015</v>
      </c>
      <c r="AQ123" s="11">
        <f ca="1">IFERROR(__xludf.DUMMYFUNCTION("""COMPUTED_VALUE"""),44015)</f>
        <v>44015</v>
      </c>
      <c r="AR123" s="11">
        <v>44553</v>
      </c>
      <c r="AS123" s="11">
        <f t="shared" si="1"/>
        <v>44553</v>
      </c>
      <c r="AT123" s="11">
        <f ca="1">IFERROR(__xludf.DUMMYFUNCTION("""COMPUTED_VALUE"""),44552)</f>
        <v>44552</v>
      </c>
    </row>
    <row r="124" spans="1:46" ht="13">
      <c r="A124" s="11">
        <v>44551</v>
      </c>
      <c r="B124">
        <f>IFERROR(VLOOKUP($A124,koronahun!$A:$AM,2,FALSE),"")</f>
        <v>1230385</v>
      </c>
      <c r="C124">
        <f>IFERROR(VLOOKUP($A124,koronahun!$A:$AM,3,FALSE),"")</f>
        <v>1985</v>
      </c>
      <c r="D124">
        <f>IFERROR(VLOOKUP($A124,koronahun!$A:$AM,4,FALSE),"")</f>
        <v>38028</v>
      </c>
      <c r="E124">
        <f>IFERROR(VLOOKUP($A124,koronahun!$A:$AM,5,FALSE),"")</f>
        <v>1054288</v>
      </c>
      <c r="F124">
        <f>IFERROR(VLOOKUP($A124,koronahun!$A:$AM,6,FALSE),"")</f>
        <v>9021858</v>
      </c>
      <c r="G124" s="12">
        <f>IFERROR(VLOOKUP($A124,koronahun!$A:$AM,7,FALSE),"")</f>
        <v>920597.75510204071</v>
      </c>
      <c r="H124">
        <f>IFERROR(VLOOKUP($A124,koronahun!$A:$AM,8,FALSE),"")</f>
        <v>0</v>
      </c>
      <c r="I124" s="13">
        <f>IFERROR(VLOOKUP($A124,koronahun!$A:$AM,9,FALSE),"")</f>
        <v>1.6159231520677304E-3</v>
      </c>
      <c r="J124" s="13">
        <f>IFERROR(VLOOKUP($A124,koronahun!$A:$AM,10,FALSE),"")</f>
        <v>0.13637822719000897</v>
      </c>
      <c r="K124" s="13">
        <f>IFERROR(VLOOKUP($A124,koronahun!$A:$AM,11,FALSE),"")</f>
        <v>8.2401216715865568E-4</v>
      </c>
      <c r="L124">
        <f>IFERROR(VLOOKUP($A124,koronahun!$A:$AM,12,FALSE),"")</f>
        <v>138069</v>
      </c>
      <c r="M124" s="13">
        <f>IFERROR(VLOOKUP($A124,koronahun!$A:$AM,13,FALSE),"")</f>
        <v>3.0907398903595215E-2</v>
      </c>
      <c r="N124" s="13">
        <f>IFERROR(VLOOKUP($A124,koronahun!$A:$AM,14,FALSE),"")</f>
        <v>0.85687650613425881</v>
      </c>
      <c r="O124">
        <f>IFERROR(VLOOKUP($A124,koronahun!$A:$AM,15,FALSE),"")</f>
        <v>31543</v>
      </c>
      <c r="P124">
        <f>IFERROR(VLOOKUP($A124,koronahun!$A:$AM,16,FALSE),"")</f>
        <v>7428</v>
      </c>
      <c r="Q124" s="13">
        <f>IFERROR(VLOOKUP($A124,koronahun!$A:$AM,17,FALSE),"")</f>
        <v>0.26723209477652127</v>
      </c>
      <c r="R124">
        <f>IFERROR(VLOOKUP($A124,koronahun!$A:$AM,18,FALSE),"")</f>
        <v>132</v>
      </c>
      <c r="S124">
        <f>IFERROR(VLOOKUP($A124,koronahun!$A:$AM,19,FALSE),"")</f>
        <v>5655</v>
      </c>
      <c r="T124">
        <f>IFERROR(VLOOKUP($A124,koronahun!$A:$AM,20,FALSE),"")</f>
        <v>5527</v>
      </c>
      <c r="U124">
        <f>IFERROR(VLOOKUP($A124,koronahun!$A:$AM,21,FALSE),"")</f>
        <v>501</v>
      </c>
      <c r="V124" s="13">
        <f>IFERROR(VLOOKUP($A124,koronahun!$A:$AM,22,FALSE),"")</f>
        <v>0.11221609496214599</v>
      </c>
      <c r="W124">
        <f>IFERROR(VLOOKUP($A124,koronahun!$A:$AM,23,FALSE),"")</f>
        <v>-10</v>
      </c>
      <c r="X124">
        <f>IFERROR(VLOOKUP($A124,koronahun!$A:$AM,24,FALSE),"")</f>
        <v>-2</v>
      </c>
      <c r="Y124" s="14">
        <f>IFERROR(VLOOKUP($A124,koronahun!$A:$AM,25,FALSE),"")</f>
        <v>4.0030709283039638E-2</v>
      </c>
      <c r="Z124" s="14">
        <f>IFERROR(VLOOKUP($A124,koronahun!$A:$AM,26,FALSE),"")</f>
        <v>9.0645920028948793E-2</v>
      </c>
      <c r="AA124" s="14">
        <f>IFERROR(VLOOKUP($A124,koronahun!$A:$AM,27,FALSE),"")</f>
        <v>0.68588655100283002</v>
      </c>
      <c r="AB124" s="14">
        <f>IFERROR(VLOOKUP($A124,koronahun!$A:$AM,28,FALSE),"")</f>
        <v>0.71640836459754909</v>
      </c>
      <c r="AC124" s="14">
        <f>IFERROR(VLOOKUP($A124,koronahun!$A:$AM,29,FALSE),"")</f>
        <v>3981.5714285714284</v>
      </c>
      <c r="AD124" s="14">
        <f>IFERROR(VLOOKUP($A124,koronahun!$A:$AM,30,FALSE),"")</f>
        <v>135.57142857142858</v>
      </c>
      <c r="AE124" s="14">
        <f>IFERROR(VLOOKUP($A124,koronahun!$A:$AM,31,FALSE),"")</f>
        <v>21842.428571428572</v>
      </c>
      <c r="AF124" s="13">
        <f>IFERROR(VLOOKUP($A124,koronahun!$A:$AM,32,FALSE),"")</f>
        <v>0.20715809322592152</v>
      </c>
      <c r="AG124">
        <f>IFERROR(VLOOKUP($A124,koronahun!$A:$AM,33,FALSE),"")</f>
        <v>6232575</v>
      </c>
      <c r="AH124">
        <f>IFERROR(VLOOKUP($A124,koronahun!$A:$AM,34,FALSE),"")</f>
        <v>6176</v>
      </c>
      <c r="AI124">
        <f>IFERROR(VLOOKUP($A124,koronahun!$A:$AM,35,FALSE),"")</f>
        <v>8064.4</v>
      </c>
      <c r="AJ124">
        <f>IFERROR(VLOOKUP($A124,koronahun!$A:$AM,36,FALSE),"")</f>
        <v>5945349</v>
      </c>
      <c r="AK124">
        <f>IFERROR(VLOOKUP($A124,koronahun!$A:$AM,37,FALSE),"")</f>
        <v>8044</v>
      </c>
      <c r="AL124">
        <f>IFERROR(VLOOKUP($A124,koronahun!$A:$AM,38,FALSE),"")</f>
        <v>8995.6</v>
      </c>
      <c r="AM124" s="14">
        <f>IFERROR(VLOOKUP($A124,koronahun!$A:$AM,39,FALSE),"")</f>
        <v>8253</v>
      </c>
      <c r="AN124" s="11">
        <f ca="1">IFERROR(__xludf.DUMMYFUNCTION("""COMPUTED_VALUE"""),44016)</f>
        <v>44016</v>
      </c>
      <c r="AO124" s="12">
        <f ca="1">IFERROR(VLOOKUP(AN124,koronahun!A:B,2,FALSE),"")</f>
        <v>4174</v>
      </c>
      <c r="AP124" s="11">
        <f t="shared" ca="1" si="0"/>
        <v>44016</v>
      </c>
      <c r="AQ124" s="11">
        <f ca="1">IFERROR(__xludf.DUMMYFUNCTION("""COMPUTED_VALUE"""),44016)</f>
        <v>44016</v>
      </c>
      <c r="AR124" s="11">
        <v>44552</v>
      </c>
      <c r="AS124" s="11">
        <f t="shared" si="1"/>
        <v>44552</v>
      </c>
      <c r="AT124" s="11">
        <f ca="1">IFERROR(__xludf.DUMMYFUNCTION("""COMPUTED_VALUE"""),44551)</f>
        <v>44551</v>
      </c>
    </row>
    <row r="125" spans="1:46" ht="13">
      <c r="A125" s="11">
        <v>44550</v>
      </c>
      <c r="B125">
        <f>IFERROR(VLOOKUP($A125,koronahun!$A:$AM,2,FALSE),"")</f>
        <v>1228400</v>
      </c>
      <c r="C125">
        <f>IFERROR(VLOOKUP($A125,koronahun!$A:$AM,3,FALSE),"")</f>
        <v>10105</v>
      </c>
      <c r="D125">
        <f>IFERROR(VLOOKUP($A125,koronahun!$A:$AM,4,FALSE),"")</f>
        <v>37896</v>
      </c>
      <c r="E125">
        <f>IFERROR(VLOOKUP($A125,koronahun!$A:$AM,5,FALSE),"")</f>
        <v>1048633</v>
      </c>
      <c r="F125">
        <f>IFERROR(VLOOKUP($A125,koronahun!$A:$AM,6,FALSE),"")</f>
        <v>9014430</v>
      </c>
      <c r="G125" s="12">
        <f>IFERROR(VLOOKUP($A125,koronahun!$A:$AM,7,FALSE),"")</f>
        <v>919839.79591836734</v>
      </c>
      <c r="H125">
        <f>IFERROR(VLOOKUP($A125,koronahun!$A:$AM,8,FALSE),"")</f>
        <v>0</v>
      </c>
      <c r="I125" s="13">
        <f>IFERROR(VLOOKUP($A125,koronahun!$A:$AM,9,FALSE),"")</f>
        <v>8.2943786192999237E-3</v>
      </c>
      <c r="J125" s="13">
        <f>IFERROR(VLOOKUP($A125,koronahun!$A:$AM,10,FALSE),"")</f>
        <v>0.13627040201099791</v>
      </c>
      <c r="K125" s="13">
        <f>IFERROR(VLOOKUP($A125,koronahun!$A:$AM,11,FALSE),"")</f>
        <v>7.4414565741807107E-3</v>
      </c>
      <c r="L125">
        <f>IFERROR(VLOOKUP($A125,koronahun!$A:$AM,12,FALSE),"")</f>
        <v>141871</v>
      </c>
      <c r="M125" s="13">
        <f>IFERROR(VLOOKUP($A125,koronahun!$A:$AM,13,FALSE),"")</f>
        <v>3.0849886030608922E-2</v>
      </c>
      <c r="N125" s="13">
        <f>IFERROR(VLOOKUP($A125,koronahun!$A:$AM,14,FALSE),"")</f>
        <v>0.85365760338651908</v>
      </c>
      <c r="O125">
        <f>IFERROR(VLOOKUP($A125,koronahun!$A:$AM,15,FALSE),"")</f>
        <v>33383</v>
      </c>
      <c r="P125">
        <f>IFERROR(VLOOKUP($A125,koronahun!$A:$AM,16,FALSE),"")</f>
        <v>66585</v>
      </c>
      <c r="Q125" s="13">
        <f>IFERROR(VLOOKUP($A125,koronahun!$A:$AM,17,FALSE),"")</f>
        <v>0.15176090711121124</v>
      </c>
      <c r="R125">
        <f>IFERROR(VLOOKUP($A125,koronahun!$A:$AM,18,FALSE),"")</f>
        <v>366</v>
      </c>
      <c r="S125">
        <f>IFERROR(VLOOKUP($A125,koronahun!$A:$AM,19,FALSE),"")</f>
        <v>22379</v>
      </c>
      <c r="T125">
        <f>IFERROR(VLOOKUP($A125,koronahun!$A:$AM,20,FALSE),"")</f>
        <v>5537</v>
      </c>
      <c r="U125">
        <f>IFERROR(VLOOKUP($A125,koronahun!$A:$AM,21,FALSE),"")</f>
        <v>503</v>
      </c>
      <c r="V125" s="13">
        <f>IFERROR(VLOOKUP($A125,koronahun!$A:$AM,22,FALSE),"")</f>
        <v>0.11549251058287203</v>
      </c>
      <c r="W125">
        <f>IFERROR(VLOOKUP($A125,koronahun!$A:$AM,23,FALSE),"")</f>
        <v>-319</v>
      </c>
      <c r="X125">
        <f>IFERROR(VLOOKUP($A125,koronahun!$A:$AM,24,FALSE),"")</f>
        <v>-16</v>
      </c>
      <c r="Y125" s="14">
        <f>IFERROR(VLOOKUP($A125,koronahun!$A:$AM,25,FALSE),"")</f>
        <v>3.902841313587696E-2</v>
      </c>
      <c r="Z125" s="14">
        <f>IFERROR(VLOOKUP($A125,koronahun!$A:$AM,26,FALSE),"")</f>
        <v>9.0843417012822822E-2</v>
      </c>
      <c r="AA125" s="14">
        <f>IFERROR(VLOOKUP($A125,koronahun!$A:$AM,27,FALSE),"")</f>
        <v>0.71211718353435982</v>
      </c>
      <c r="AB125" s="14">
        <f>IFERROR(VLOOKUP($A125,koronahun!$A:$AM,28,FALSE),"")</f>
        <v>0.7175135406572134</v>
      </c>
      <c r="AC125" s="14">
        <f>IFERROR(VLOOKUP($A125,koronahun!$A:$AM,29,FALSE),"")</f>
        <v>4208.7142857142853</v>
      </c>
      <c r="AD125" s="14">
        <f>IFERROR(VLOOKUP($A125,koronahun!$A:$AM,30,FALSE),"")</f>
        <v>144.57142857142858</v>
      </c>
      <c r="AE125" s="14">
        <f>IFERROR(VLOOKUP($A125,koronahun!$A:$AM,31,FALSE),"")</f>
        <v>22929.714285714286</v>
      </c>
      <c r="AF125" s="13">
        <f>IFERROR(VLOOKUP($A125,koronahun!$A:$AM,32,FALSE),"")</f>
        <v>0.20125472899500049</v>
      </c>
      <c r="AG125">
        <f>IFERROR(VLOOKUP($A125,koronahun!$A:$AM,33,FALSE),"")</f>
        <v>6226399</v>
      </c>
      <c r="AH125">
        <f>IFERROR(VLOOKUP($A125,koronahun!$A:$AM,34,FALSE),"")</f>
        <v>17969</v>
      </c>
      <c r="AI125">
        <f>IFERROR(VLOOKUP($A125,koronahun!$A:$AM,35,FALSE),"")</f>
        <v>7115.4</v>
      </c>
      <c r="AJ125">
        <f>IFERROR(VLOOKUP($A125,koronahun!$A:$AM,36,FALSE),"")</f>
        <v>5937305</v>
      </c>
      <c r="AK125">
        <f>IFERROR(VLOOKUP($A125,koronahun!$A:$AM,37,FALSE),"")</f>
        <v>14021</v>
      </c>
      <c r="AL125">
        <f>IFERROR(VLOOKUP($A125,koronahun!$A:$AM,38,FALSE),"")</f>
        <v>8754.7999999999993</v>
      </c>
      <c r="AM125" s="14">
        <f>IFERROR(VLOOKUP($A125,koronahun!$A:$AM,39,FALSE),"")</f>
        <v>8142</v>
      </c>
      <c r="AN125" s="11">
        <f ca="1">IFERROR(__xludf.DUMMYFUNCTION("""COMPUTED_VALUE"""),44017)</f>
        <v>44017</v>
      </c>
      <c r="AO125" s="12">
        <f ca="1">IFERROR(VLOOKUP(AN125,koronahun!A:B,2,FALSE),"")</f>
        <v>4183</v>
      </c>
      <c r="AP125" s="11">
        <f t="shared" ca="1" si="0"/>
        <v>44017</v>
      </c>
      <c r="AQ125" s="11">
        <f ca="1">IFERROR(__xludf.DUMMYFUNCTION("""COMPUTED_VALUE"""),44017)</f>
        <v>44017</v>
      </c>
      <c r="AR125" s="11">
        <v>44551</v>
      </c>
      <c r="AS125" s="11">
        <f t="shared" si="1"/>
        <v>44551</v>
      </c>
      <c r="AT125" s="11">
        <f ca="1">IFERROR(__xludf.DUMMYFUNCTION("""COMPUTED_VALUE"""),44550)</f>
        <v>44550</v>
      </c>
    </row>
    <row r="126" spans="1:46" ht="13">
      <c r="A126" s="11">
        <v>44547</v>
      </c>
      <c r="B126">
        <f>IFERROR(VLOOKUP($A126,koronahun!$A:$AM,2,FALSE),"")</f>
        <v>1218295</v>
      </c>
      <c r="C126">
        <f>IFERROR(VLOOKUP($A126,koronahun!$A:$AM,3,FALSE),"")</f>
        <v>4977</v>
      </c>
      <c r="D126">
        <f>IFERROR(VLOOKUP($A126,koronahun!$A:$AM,4,FALSE),"")</f>
        <v>37530</v>
      </c>
      <c r="E126">
        <f>IFERROR(VLOOKUP($A126,koronahun!$A:$AM,5,FALSE),"")</f>
        <v>1026254</v>
      </c>
      <c r="F126">
        <f>IFERROR(VLOOKUP($A126,koronahun!$A:$AM,6,FALSE),"")</f>
        <v>8947845</v>
      </c>
      <c r="G126" s="12">
        <f>IFERROR(VLOOKUP($A126,koronahun!$A:$AM,7,FALSE),"")</f>
        <v>913045.40816326521</v>
      </c>
      <c r="H126">
        <f>IFERROR(VLOOKUP($A126,koronahun!$A:$AM,8,FALSE),"")</f>
        <v>0</v>
      </c>
      <c r="I126" s="13">
        <f>IFERROR(VLOOKUP($A126,koronahun!$A:$AM,9,FALSE),"")</f>
        <v>4.101974915067608E-3</v>
      </c>
      <c r="J126" s="13">
        <f>IFERROR(VLOOKUP($A126,koronahun!$A:$AM,10,FALSE),"")</f>
        <v>0.13615513008998256</v>
      </c>
      <c r="K126" s="13">
        <f>IFERROR(VLOOKUP($A126,koronahun!$A:$AM,11,FALSE),"")</f>
        <v>3.1469403656482365E-3</v>
      </c>
      <c r="L126">
        <f>IFERROR(VLOOKUP($A126,koronahun!$A:$AM,12,FALSE),"")</f>
        <v>154511</v>
      </c>
      <c r="M126" s="13">
        <f>IFERROR(VLOOKUP($A126,koronahun!$A:$AM,13,FALSE),"")</f>
        <v>3.0805346816657708E-2</v>
      </c>
      <c r="N126" s="13">
        <f>IFERROR(VLOOKUP($A126,koronahun!$A:$AM,14,FALSE),"")</f>
        <v>0.84236904854735517</v>
      </c>
      <c r="O126">
        <f>IFERROR(VLOOKUP($A126,koronahun!$A:$AM,15,FALSE),"")</f>
        <v>45852</v>
      </c>
      <c r="P126">
        <f>IFERROR(VLOOKUP($A126,koronahun!$A:$AM,16,FALSE),"")</f>
        <v>28070</v>
      </c>
      <c r="Q126" s="13">
        <f>IFERROR(VLOOKUP($A126,koronahun!$A:$AM,17,FALSE),"")</f>
        <v>0.17730673316708229</v>
      </c>
      <c r="R126">
        <f>IFERROR(VLOOKUP($A126,koronahun!$A:$AM,18,FALSE),"")</f>
        <v>154</v>
      </c>
      <c r="S126">
        <f>IFERROR(VLOOKUP($A126,koronahun!$A:$AM,19,FALSE),"")</f>
        <v>10165</v>
      </c>
      <c r="T126">
        <f>IFERROR(VLOOKUP($A126,koronahun!$A:$AM,20,FALSE),"")</f>
        <v>5856</v>
      </c>
      <c r="U126">
        <f>IFERROR(VLOOKUP($A126,koronahun!$A:$AM,21,FALSE),"")</f>
        <v>519</v>
      </c>
      <c r="V126" s="13">
        <f>IFERROR(VLOOKUP($A126,koronahun!$A:$AM,22,FALSE),"")</f>
        <v>0.12682560463598719</v>
      </c>
      <c r="W126">
        <f>IFERROR(VLOOKUP($A126,koronahun!$A:$AM,23,FALSE),"")</f>
        <v>-253</v>
      </c>
      <c r="X126">
        <f>IFERROR(VLOOKUP($A126,koronahun!$A:$AM,24,FALSE),"")</f>
        <v>-23</v>
      </c>
      <c r="Y126" s="14">
        <f>IFERROR(VLOOKUP($A126,koronahun!$A:$AM,25,FALSE),"")</f>
        <v>3.790021422422999E-2</v>
      </c>
      <c r="Z126" s="14">
        <f>IFERROR(VLOOKUP($A126,koronahun!$A:$AM,26,FALSE),"")</f>
        <v>8.8627049180327863E-2</v>
      </c>
      <c r="AA126" s="14">
        <f>IFERROR(VLOOKUP($A126,koronahun!$A:$AM,27,FALSE),"")</f>
        <v>0.73612469564855476</v>
      </c>
      <c r="AB126" s="14">
        <f>IFERROR(VLOOKUP($A126,koronahun!$A:$AM,28,FALSE),"")</f>
        <v>0.71106709655510725</v>
      </c>
      <c r="AC126" s="14">
        <f>IFERROR(VLOOKUP($A126,koronahun!$A:$AM,29,FALSE),"")</f>
        <v>5053.2857142857147</v>
      </c>
      <c r="AD126" s="14">
        <f>IFERROR(VLOOKUP($A126,koronahun!$A:$AM,30,FALSE),"")</f>
        <v>157.28571428571428</v>
      </c>
      <c r="AE126" s="14">
        <f>IFERROR(VLOOKUP($A126,koronahun!$A:$AM,31,FALSE),"")</f>
        <v>25566.285714285714</v>
      </c>
      <c r="AF126" s="13">
        <f>IFERROR(VLOOKUP($A126,koronahun!$A:$AM,32,FALSE),"")</f>
        <v>0.20857143669682782</v>
      </c>
      <c r="AG126">
        <f>IFERROR(VLOOKUP($A126,koronahun!$A:$AM,33,FALSE),"")</f>
        <v>6208430</v>
      </c>
      <c r="AH126">
        <f>IFERROR(VLOOKUP($A126,koronahun!$A:$AM,34,FALSE),"")</f>
        <v>8390</v>
      </c>
      <c r="AI126">
        <f>IFERROR(VLOOKUP($A126,koronahun!$A:$AM,35,FALSE),"")</f>
        <v>6372.6</v>
      </c>
      <c r="AJ126">
        <f>IFERROR(VLOOKUP($A126,koronahun!$A:$AM,36,FALSE),"")</f>
        <v>5923284</v>
      </c>
      <c r="AK126">
        <f>IFERROR(VLOOKUP($A126,koronahun!$A:$AM,37,FALSE),"")</f>
        <v>8681</v>
      </c>
      <c r="AL126">
        <f>IFERROR(VLOOKUP($A126,koronahun!$A:$AM,38,FALSE),"")</f>
        <v>7882.2</v>
      </c>
      <c r="AM126" s="14">
        <f>IFERROR(VLOOKUP($A126,koronahun!$A:$AM,39,FALSE),"")</f>
        <v>8193.8571428571431</v>
      </c>
      <c r="AN126" s="11">
        <f ca="1">IFERROR(__xludf.DUMMYFUNCTION("""COMPUTED_VALUE"""),44018)</f>
        <v>44018</v>
      </c>
      <c r="AO126" s="12">
        <f ca="1">IFERROR(VLOOKUP(AN126,koronahun!A:B,2,FALSE),"")</f>
        <v>4189</v>
      </c>
      <c r="AP126" s="11">
        <f t="shared" ca="1" si="0"/>
        <v>44018</v>
      </c>
      <c r="AQ126" s="11">
        <f ca="1">IFERROR(__xludf.DUMMYFUNCTION("""COMPUTED_VALUE"""),44018)</f>
        <v>44018</v>
      </c>
      <c r="AR126" s="11">
        <v>44550</v>
      </c>
      <c r="AS126" s="11">
        <f t="shared" si="1"/>
        <v>44550</v>
      </c>
      <c r="AT126" s="11">
        <f ca="1">IFERROR(__xludf.DUMMYFUNCTION("""COMPUTED_VALUE"""),44547)</f>
        <v>44547</v>
      </c>
    </row>
    <row r="127" spans="1:46" ht="13">
      <c r="A127" s="11">
        <v>44546</v>
      </c>
      <c r="B127">
        <f>IFERROR(VLOOKUP($A127,koronahun!$A:$AM,2,FALSE),"")</f>
        <v>1213318</v>
      </c>
      <c r="C127">
        <f>IFERROR(VLOOKUP($A127,koronahun!$A:$AM,3,FALSE),"")</f>
        <v>5298</v>
      </c>
      <c r="D127">
        <f>IFERROR(VLOOKUP($A127,koronahun!$A:$AM,4,FALSE),"")</f>
        <v>37376</v>
      </c>
      <c r="E127">
        <f>IFERROR(VLOOKUP($A127,koronahun!$A:$AM,5,FALSE),"")</f>
        <v>1016089</v>
      </c>
      <c r="F127">
        <f>IFERROR(VLOOKUP($A127,koronahun!$A:$AM,6,FALSE),"")</f>
        <v>8919775</v>
      </c>
      <c r="G127" s="12">
        <f>IFERROR(VLOOKUP($A127,koronahun!$A:$AM,7,FALSE),"")</f>
        <v>910181.12244897953</v>
      </c>
      <c r="H127">
        <f>IFERROR(VLOOKUP($A127,koronahun!$A:$AM,8,FALSE),"")</f>
        <v>0</v>
      </c>
      <c r="I127" s="13">
        <f>IFERROR(VLOOKUP($A127,koronahun!$A:$AM,9,FALSE),"")</f>
        <v>4.3856889786592938E-3</v>
      </c>
      <c r="J127" s="13">
        <f>IFERROR(VLOOKUP($A127,koronahun!$A:$AM,10,FALSE),"")</f>
        <v>0.13602562844914809</v>
      </c>
      <c r="K127" s="13">
        <f>IFERROR(VLOOKUP($A127,koronahun!$A:$AM,11,FALSE),"")</f>
        <v>3.3466730063578015E-3</v>
      </c>
      <c r="L127">
        <f>IFERROR(VLOOKUP($A127,koronahun!$A:$AM,12,FALSE),"")</f>
        <v>159853</v>
      </c>
      <c r="M127" s="13">
        <f>IFERROR(VLOOKUP($A127,koronahun!$A:$AM,13,FALSE),"")</f>
        <v>3.0804784895633295E-2</v>
      </c>
      <c r="N127" s="13">
        <f>IFERROR(VLOOKUP($A127,koronahun!$A:$AM,14,FALSE),"")</f>
        <v>0.83744657212701035</v>
      </c>
      <c r="O127">
        <f>IFERROR(VLOOKUP($A127,koronahun!$A:$AM,15,FALSE),"")</f>
        <v>45659</v>
      </c>
      <c r="P127">
        <f>IFERROR(VLOOKUP($A127,koronahun!$A:$AM,16,FALSE),"")</f>
        <v>29752</v>
      </c>
      <c r="Q127" s="13">
        <f>IFERROR(VLOOKUP($A127,koronahun!$A:$AM,17,FALSE),"")</f>
        <v>0.17807206238236084</v>
      </c>
      <c r="R127">
        <f>IFERROR(VLOOKUP($A127,koronahun!$A:$AM,18,FALSE),"")</f>
        <v>144</v>
      </c>
      <c r="S127">
        <f>IFERROR(VLOOKUP($A127,koronahun!$A:$AM,19,FALSE),"")</f>
        <v>10503</v>
      </c>
      <c r="T127">
        <f>IFERROR(VLOOKUP($A127,koronahun!$A:$AM,20,FALSE),"")</f>
        <v>6109</v>
      </c>
      <c r="U127">
        <f>IFERROR(VLOOKUP($A127,koronahun!$A:$AM,21,FALSE),"")</f>
        <v>542</v>
      </c>
      <c r="V127" s="13">
        <f>IFERROR(VLOOKUP($A127,koronahun!$A:$AM,22,FALSE),"")</f>
        <v>0.13174864297735631</v>
      </c>
      <c r="W127">
        <f>IFERROR(VLOOKUP($A127,koronahun!$A:$AM,23,FALSE),"")</f>
        <v>-228</v>
      </c>
      <c r="X127">
        <f>IFERROR(VLOOKUP($A127,koronahun!$A:$AM,24,FALSE),"")</f>
        <v>2</v>
      </c>
      <c r="Y127" s="14">
        <f>IFERROR(VLOOKUP($A127,koronahun!$A:$AM,25,FALSE),"")</f>
        <v>3.821636128192777E-2</v>
      </c>
      <c r="Z127" s="14">
        <f>IFERROR(VLOOKUP($A127,koronahun!$A:$AM,26,FALSE),"")</f>
        <v>8.8721558356523164E-2</v>
      </c>
      <c r="AA127" s="14">
        <f>IFERROR(VLOOKUP($A127,koronahun!$A:$AM,27,FALSE),"")</f>
        <v>0.72653570314936078</v>
      </c>
      <c r="AB127" s="14">
        <f>IFERROR(VLOOKUP($A127,koronahun!$A:$AM,28,FALSE),"")</f>
        <v>0.70949924052507651</v>
      </c>
      <c r="AC127" s="14">
        <f>IFERROR(VLOOKUP($A127,koronahun!$A:$AM,29,FALSE),"")</f>
        <v>5325.7142857142853</v>
      </c>
      <c r="AD127" s="14">
        <f>IFERROR(VLOOKUP($A127,koronahun!$A:$AM,30,FALSE),"")</f>
        <v>159</v>
      </c>
      <c r="AE127" s="14">
        <f>IFERROR(VLOOKUP($A127,koronahun!$A:$AM,31,FALSE),"")</f>
        <v>26405.285714285714</v>
      </c>
      <c r="AF127" s="13">
        <f>IFERROR(VLOOKUP($A127,koronahun!$A:$AM,32,FALSE),"")</f>
        <v>0.21367220890971256</v>
      </c>
      <c r="AG127">
        <f>IFERROR(VLOOKUP($A127,koronahun!$A:$AM,33,FALSE),"")</f>
        <v>6200040</v>
      </c>
      <c r="AH127">
        <f>IFERROR(VLOOKUP($A127,koronahun!$A:$AM,34,FALSE),"")</f>
        <v>5819</v>
      </c>
      <c r="AI127">
        <f>IFERROR(VLOOKUP($A127,koronahun!$A:$AM,35,FALSE),"")</f>
        <v>5710.2</v>
      </c>
      <c r="AJ127">
        <f>IFERROR(VLOOKUP($A127,koronahun!$A:$AM,36,FALSE),"")</f>
        <v>5914603</v>
      </c>
      <c r="AK127">
        <f>IFERROR(VLOOKUP($A127,koronahun!$A:$AM,37,FALSE),"")</f>
        <v>7902</v>
      </c>
      <c r="AL127">
        <f>IFERROR(VLOOKUP($A127,koronahun!$A:$AM,38,FALSE),"")</f>
        <v>7130.4</v>
      </c>
      <c r="AM127" s="14">
        <f>IFERROR(VLOOKUP($A127,koronahun!$A:$AM,39,FALSE),"")</f>
        <v>8691.5714285714294</v>
      </c>
      <c r="AN127" s="11">
        <f ca="1">IFERROR(__xludf.DUMMYFUNCTION("""COMPUTED_VALUE"""),44019)</f>
        <v>44019</v>
      </c>
      <c r="AO127" s="12">
        <f ca="1">IFERROR(VLOOKUP(AN127,koronahun!A:B,2,FALSE),"")</f>
        <v>4205</v>
      </c>
      <c r="AP127" s="11">
        <f t="shared" ca="1" si="0"/>
        <v>44019</v>
      </c>
      <c r="AQ127" s="11">
        <f ca="1">IFERROR(__xludf.DUMMYFUNCTION("""COMPUTED_VALUE"""),44019)</f>
        <v>44019</v>
      </c>
      <c r="AR127" s="11">
        <v>44547</v>
      </c>
      <c r="AS127" s="11">
        <f t="shared" si="1"/>
        <v>44547</v>
      </c>
      <c r="AT127" s="11">
        <f ca="1">IFERROR(__xludf.DUMMYFUNCTION("""COMPUTED_VALUE"""),44546)</f>
        <v>44546</v>
      </c>
    </row>
    <row r="128" spans="1:46" ht="13">
      <c r="A128" s="11">
        <v>44545</v>
      </c>
      <c r="B128">
        <f>IFERROR(VLOOKUP($A128,koronahun!$A:$AM,2,FALSE),"")</f>
        <v>1208020</v>
      </c>
      <c r="C128">
        <f>IFERROR(VLOOKUP($A128,koronahun!$A:$AM,3,FALSE),"")</f>
        <v>5506</v>
      </c>
      <c r="D128">
        <f>IFERROR(VLOOKUP($A128,koronahun!$A:$AM,4,FALSE),"")</f>
        <v>37232</v>
      </c>
      <c r="E128">
        <f>IFERROR(VLOOKUP($A128,koronahun!$A:$AM,5,FALSE),"")</f>
        <v>1005586</v>
      </c>
      <c r="F128">
        <f>IFERROR(VLOOKUP($A128,koronahun!$A:$AM,6,FALSE),"")</f>
        <v>8890023</v>
      </c>
      <c r="G128" s="12">
        <f>IFERROR(VLOOKUP($A128,koronahun!$A:$AM,7,FALSE),"")</f>
        <v>907145.20408163255</v>
      </c>
      <c r="H128">
        <f>IFERROR(VLOOKUP($A128,koronahun!$A:$AM,8,FALSE),"")</f>
        <v>0</v>
      </c>
      <c r="I128" s="13">
        <f>IFERROR(VLOOKUP($A128,koronahun!$A:$AM,9,FALSE),"")</f>
        <v>4.578740871208152E-3</v>
      </c>
      <c r="J128" s="13">
        <f>IFERROR(VLOOKUP($A128,koronahun!$A:$AM,10,FALSE),"")</f>
        <v>0.13588491278369022</v>
      </c>
      <c r="K128" s="13">
        <f>IFERROR(VLOOKUP($A128,koronahun!$A:$AM,11,FALSE),"")</f>
        <v>2.374799032265448E-3</v>
      </c>
      <c r="L128">
        <f>IFERROR(VLOOKUP($A128,koronahun!$A:$AM,12,FALSE),"")</f>
        <v>165202</v>
      </c>
      <c r="M128" s="13">
        <f>IFERROR(VLOOKUP($A128,koronahun!$A:$AM,13,FALSE),"")</f>
        <v>3.0820681776791776E-2</v>
      </c>
      <c r="N128" s="13">
        <f>IFERROR(VLOOKUP($A128,koronahun!$A:$AM,14,FALSE),"")</f>
        <v>0.8324249598516581</v>
      </c>
      <c r="O128">
        <f>IFERROR(VLOOKUP($A128,koronahun!$A:$AM,15,FALSE),"")</f>
        <v>42569</v>
      </c>
      <c r="P128">
        <f>IFERROR(VLOOKUP($A128,koronahun!$A:$AM,16,FALSE),"")</f>
        <v>21062</v>
      </c>
      <c r="Q128" s="13">
        <f>IFERROR(VLOOKUP($A128,koronahun!$A:$AM,17,FALSE),"")</f>
        <v>0.26141866869243185</v>
      </c>
      <c r="R128">
        <f>IFERROR(VLOOKUP($A128,koronahun!$A:$AM,18,FALSE),"")</f>
        <v>153</v>
      </c>
      <c r="S128">
        <f>IFERROR(VLOOKUP($A128,koronahun!$A:$AM,19,FALSE),"")</f>
        <v>9069</v>
      </c>
      <c r="T128">
        <f>IFERROR(VLOOKUP($A128,koronahun!$A:$AM,20,FALSE),"")</f>
        <v>6337</v>
      </c>
      <c r="U128">
        <f>IFERROR(VLOOKUP($A128,koronahun!$A:$AM,21,FALSE),"")</f>
        <v>540</v>
      </c>
      <c r="V128" s="13">
        <f>IFERROR(VLOOKUP($A128,koronahun!$A:$AM,22,FALSE),"")</f>
        <v>0.13675435837155014</v>
      </c>
      <c r="W128">
        <f>IFERROR(VLOOKUP($A128,koronahun!$A:$AM,23,FALSE),"")</f>
        <v>-170</v>
      </c>
      <c r="X128">
        <f>IFERROR(VLOOKUP($A128,koronahun!$A:$AM,24,FALSE),"")</f>
        <v>-23</v>
      </c>
      <c r="Y128" s="14">
        <f>IFERROR(VLOOKUP($A128,koronahun!$A:$AM,25,FALSE),"")</f>
        <v>3.8359099768767932E-2</v>
      </c>
      <c r="Z128" s="14">
        <f>IFERROR(VLOOKUP($A128,koronahun!$A:$AM,26,FALSE),"")</f>
        <v>8.5213823575824521E-2</v>
      </c>
      <c r="AA128" s="14">
        <f>IFERROR(VLOOKUP($A128,koronahun!$A:$AM,27,FALSE),"")</f>
        <v>0.72137768965264004</v>
      </c>
      <c r="AB128" s="14">
        <f>IFERROR(VLOOKUP($A128,koronahun!$A:$AM,28,FALSE),"")</f>
        <v>0.71575836139662974</v>
      </c>
      <c r="AC128" s="14">
        <f>IFERROR(VLOOKUP($A128,koronahun!$A:$AM,29,FALSE),"")</f>
        <v>5613.1428571428569</v>
      </c>
      <c r="AD128" s="14">
        <f>IFERROR(VLOOKUP($A128,koronahun!$A:$AM,30,FALSE),"")</f>
        <v>169.14285714285714</v>
      </c>
      <c r="AE128" s="14">
        <f>IFERROR(VLOOKUP($A128,koronahun!$A:$AM,31,FALSE),"")</f>
        <v>26892.428571428572</v>
      </c>
      <c r="AF128" s="13">
        <f>IFERROR(VLOOKUP($A128,koronahun!$A:$AM,32,FALSE),"")</f>
        <v>0.22214440158371379</v>
      </c>
      <c r="AG128">
        <f>IFERROR(VLOOKUP($A128,koronahun!$A:$AM,33,FALSE),"")</f>
        <v>6194221</v>
      </c>
      <c r="AH128">
        <f>IFERROR(VLOOKUP($A128,koronahun!$A:$AM,34,FALSE),"")</f>
        <v>1968</v>
      </c>
      <c r="AI128">
        <f>IFERROR(VLOOKUP($A128,koronahun!$A:$AM,35,FALSE),"")</f>
        <v>5476.2</v>
      </c>
      <c r="AJ128">
        <f>IFERROR(VLOOKUP($A128,koronahun!$A:$AM,36,FALSE),"")</f>
        <v>5906701</v>
      </c>
      <c r="AK128">
        <f>IFERROR(VLOOKUP($A128,koronahun!$A:$AM,37,FALSE),"")</f>
        <v>6330</v>
      </c>
      <c r="AL128">
        <f>IFERROR(VLOOKUP($A128,koronahun!$A:$AM,38,FALSE),"")</f>
        <v>6454.4</v>
      </c>
      <c r="AM128" s="14">
        <f>IFERROR(VLOOKUP($A128,koronahun!$A:$AM,39,FALSE),"")</f>
        <v>8171.5714285714284</v>
      </c>
      <c r="AN128" s="11">
        <f ca="1">IFERROR(__xludf.DUMMYFUNCTION("""COMPUTED_VALUE"""),44020)</f>
        <v>44020</v>
      </c>
      <c r="AO128" s="12">
        <f ca="1">IFERROR(VLOOKUP(AN128,koronahun!A:B,2,FALSE),"")</f>
        <v>4210</v>
      </c>
      <c r="AP128" s="11">
        <f t="shared" ca="1" si="0"/>
        <v>44020</v>
      </c>
      <c r="AQ128" s="11">
        <f ca="1">IFERROR(__xludf.DUMMYFUNCTION("""COMPUTED_VALUE"""),44020)</f>
        <v>44020</v>
      </c>
      <c r="AR128" s="11">
        <v>44546</v>
      </c>
      <c r="AS128" s="11">
        <f t="shared" si="1"/>
        <v>44546</v>
      </c>
      <c r="AT128" s="11">
        <f ca="1">IFERROR(__xludf.DUMMYFUNCTION("""COMPUTED_VALUE"""),44545)</f>
        <v>44545</v>
      </c>
    </row>
    <row r="129" spans="1:46" ht="13">
      <c r="A129" s="11">
        <v>44544</v>
      </c>
      <c r="B129">
        <f>IFERROR(VLOOKUP($A129,koronahun!$A:$AM,2,FALSE),"")</f>
        <v>1202514</v>
      </c>
      <c r="C129">
        <f>IFERROR(VLOOKUP($A129,koronahun!$A:$AM,3,FALSE),"")</f>
        <v>3575</v>
      </c>
      <c r="D129">
        <f>IFERROR(VLOOKUP($A129,koronahun!$A:$AM,4,FALSE),"")</f>
        <v>37079</v>
      </c>
      <c r="E129">
        <f>IFERROR(VLOOKUP($A129,koronahun!$A:$AM,5,FALSE),"")</f>
        <v>996517</v>
      </c>
      <c r="F129">
        <f>IFERROR(VLOOKUP($A129,koronahun!$A:$AM,6,FALSE),"")</f>
        <v>8868961</v>
      </c>
      <c r="G129" s="12">
        <f>IFERROR(VLOOKUP($A129,koronahun!$A:$AM,7,FALSE),"")</f>
        <v>904996.0204081632</v>
      </c>
      <c r="H129">
        <f>IFERROR(VLOOKUP($A129,koronahun!$A:$AM,8,FALSE),"")</f>
        <v>0</v>
      </c>
      <c r="I129" s="13">
        <f>IFERROR(VLOOKUP($A129,koronahun!$A:$AM,9,FALSE),"")</f>
        <v>2.9818030775544042E-3</v>
      </c>
      <c r="J129" s="13">
        <f>IFERROR(VLOOKUP($A129,koronahun!$A:$AM,10,FALSE),"")</f>
        <v>0.13558679534164148</v>
      </c>
      <c r="K129" s="13">
        <f>IFERROR(VLOOKUP($A129,koronahun!$A:$AM,11,FALSE),"")</f>
        <v>1.6985692894064348E-3</v>
      </c>
      <c r="L129">
        <f>IFERROR(VLOOKUP($A129,koronahun!$A:$AM,12,FALSE),"")</f>
        <v>168918</v>
      </c>
      <c r="M129" s="13">
        <f>IFERROR(VLOOKUP($A129,koronahun!$A:$AM,13,FALSE),"")</f>
        <v>3.0834568246190897E-2</v>
      </c>
      <c r="N129" s="13">
        <f>IFERROR(VLOOKUP($A129,koronahun!$A:$AM,14,FALSE),"")</f>
        <v>0.82869471789933424</v>
      </c>
      <c r="O129">
        <f>IFERROR(VLOOKUP($A129,koronahun!$A:$AM,15,FALSE),"")</f>
        <v>40518</v>
      </c>
      <c r="P129">
        <f>IFERROR(VLOOKUP($A129,koronahun!$A:$AM,16,FALSE),"")</f>
        <v>15039</v>
      </c>
      <c r="Q129" s="13">
        <f>IFERROR(VLOOKUP($A129,koronahun!$A:$AM,17,FALSE),"")</f>
        <v>0.23771527362191636</v>
      </c>
      <c r="R129">
        <f>IFERROR(VLOOKUP($A129,koronahun!$A:$AM,18,FALSE),"")</f>
        <v>195</v>
      </c>
      <c r="S129">
        <f>IFERROR(VLOOKUP($A129,koronahun!$A:$AM,19,FALSE),"")</f>
        <v>4878</v>
      </c>
      <c r="T129">
        <f>IFERROR(VLOOKUP($A129,koronahun!$A:$AM,20,FALSE),"")</f>
        <v>6507</v>
      </c>
      <c r="U129">
        <f>IFERROR(VLOOKUP($A129,koronahun!$A:$AM,21,FALSE),"")</f>
        <v>563</v>
      </c>
      <c r="V129" s="13">
        <f>IFERROR(VLOOKUP($A129,koronahun!$A:$AM,22,FALSE),"")</f>
        <v>0.14047071385447488</v>
      </c>
      <c r="W129">
        <f>IFERROR(VLOOKUP($A129,koronahun!$A:$AM,23,FALSE),"")</f>
        <v>-24</v>
      </c>
      <c r="X129">
        <f>IFERROR(VLOOKUP($A129,koronahun!$A:$AM,24,FALSE),"")</f>
        <v>-2</v>
      </c>
      <c r="Y129" s="14">
        <f>IFERROR(VLOOKUP($A129,koronahun!$A:$AM,25,FALSE),"")</f>
        <v>3.8521649557773596E-2</v>
      </c>
      <c r="Z129" s="14">
        <f>IFERROR(VLOOKUP($A129,koronahun!$A:$AM,26,FALSE),"")</f>
        <v>8.6522206854157055E-2</v>
      </c>
      <c r="AA129" s="14">
        <f>IFERROR(VLOOKUP($A129,koronahun!$A:$AM,27,FALSE),"")</f>
        <v>0.69141243130115193</v>
      </c>
      <c r="AB129" s="14">
        <f>IFERROR(VLOOKUP($A129,koronahun!$A:$AM,28,FALSE),"")</f>
        <v>0.72843303093498135</v>
      </c>
      <c r="AC129" s="14">
        <f>IFERROR(VLOOKUP($A129,koronahun!$A:$AM,29,FALSE),"")</f>
        <v>5805</v>
      </c>
      <c r="AD129" s="14">
        <f>IFERROR(VLOOKUP($A129,koronahun!$A:$AM,30,FALSE),"")</f>
        <v>177.71428571428572</v>
      </c>
      <c r="AE129" s="14">
        <f>IFERROR(VLOOKUP($A129,koronahun!$A:$AM,31,FALSE),"")</f>
        <v>27048.714285714286</v>
      </c>
      <c r="AF129" s="13">
        <f>IFERROR(VLOOKUP($A129,koronahun!$A:$AM,32,FALSE),"")</f>
        <v>0.23168590705808173</v>
      </c>
      <c r="AG129">
        <f>IFERROR(VLOOKUP($A129,koronahun!$A:$AM,33,FALSE),"")</f>
        <v>6192253</v>
      </c>
      <c r="AH129">
        <f>IFERROR(VLOOKUP($A129,koronahun!$A:$AM,34,FALSE),"")</f>
        <v>1431</v>
      </c>
      <c r="AI129">
        <f>IFERROR(VLOOKUP($A129,koronahun!$A:$AM,35,FALSE),"")</f>
        <v>5899</v>
      </c>
      <c r="AJ129">
        <f>IFERROR(VLOOKUP($A129,koronahun!$A:$AM,36,FALSE),"")</f>
        <v>5900371</v>
      </c>
      <c r="AK129">
        <f>IFERROR(VLOOKUP($A129,koronahun!$A:$AM,37,FALSE),"")</f>
        <v>6840</v>
      </c>
      <c r="AL129">
        <f>IFERROR(VLOOKUP($A129,koronahun!$A:$AM,38,FALSE),"")</f>
        <v>5981</v>
      </c>
      <c r="AM129" s="14">
        <f>IFERROR(VLOOKUP($A129,koronahun!$A:$AM,39,FALSE),"")</f>
        <v>8240.1428571428569</v>
      </c>
      <c r="AN129" s="11">
        <f ca="1">IFERROR(__xludf.DUMMYFUNCTION("""COMPUTED_VALUE"""),44021)</f>
        <v>44021</v>
      </c>
      <c r="AO129" s="12">
        <f ca="1">IFERROR(VLOOKUP(AN129,koronahun!A:B,2,FALSE),"")</f>
        <v>4220</v>
      </c>
      <c r="AP129" s="11">
        <f t="shared" ca="1" si="0"/>
        <v>44021</v>
      </c>
      <c r="AQ129" s="11">
        <f ca="1">IFERROR(__xludf.DUMMYFUNCTION("""COMPUTED_VALUE"""),44021)</f>
        <v>44021</v>
      </c>
      <c r="AR129" s="11">
        <v>44545</v>
      </c>
      <c r="AS129" s="11">
        <f t="shared" si="1"/>
        <v>44545</v>
      </c>
      <c r="AT129" s="11">
        <f ca="1">IFERROR(__xludf.DUMMYFUNCTION("""COMPUTED_VALUE"""),44544)</f>
        <v>44544</v>
      </c>
    </row>
    <row r="130" spans="1:46" ht="13">
      <c r="A130" s="11">
        <v>44543</v>
      </c>
      <c r="B130">
        <f>IFERROR(VLOOKUP($A130,koronahun!$A:$AM,2,FALSE),"")</f>
        <v>1198939</v>
      </c>
      <c r="C130">
        <f>IFERROR(VLOOKUP($A130,koronahun!$A:$AM,3,FALSE),"")</f>
        <v>16017</v>
      </c>
      <c r="D130">
        <f>IFERROR(VLOOKUP($A130,koronahun!$A:$AM,4,FALSE),"")</f>
        <v>36884</v>
      </c>
      <c r="E130">
        <f>IFERROR(VLOOKUP($A130,koronahun!$A:$AM,5,FALSE),"")</f>
        <v>991639</v>
      </c>
      <c r="F130">
        <f>IFERROR(VLOOKUP($A130,koronahun!$A:$AM,6,FALSE),"")</f>
        <v>8853922</v>
      </c>
      <c r="G130" s="12">
        <f>IFERROR(VLOOKUP($A130,koronahun!$A:$AM,7,FALSE),"")</f>
        <v>903461.42857142852</v>
      </c>
      <c r="H130">
        <f>IFERROR(VLOOKUP($A130,koronahun!$A:$AM,8,FALSE),"")</f>
        <v>0</v>
      </c>
      <c r="I130" s="13">
        <f>IFERROR(VLOOKUP($A130,koronahun!$A:$AM,9,FALSE),"")</f>
        <v>1.3540199607412831E-2</v>
      </c>
      <c r="J130" s="13">
        <f>IFERROR(VLOOKUP($A130,koronahun!$A:$AM,10,FALSE),"")</f>
        <v>0.13541332304486078</v>
      </c>
      <c r="K130" s="13">
        <f>IFERROR(VLOOKUP($A130,koronahun!$A:$AM,11,FALSE),"")</f>
        <v>9.6980447106078879E-3</v>
      </c>
      <c r="L130">
        <f>IFERROR(VLOOKUP($A130,koronahun!$A:$AM,12,FALSE),"")</f>
        <v>170416</v>
      </c>
      <c r="M130" s="13">
        <f>IFERROR(VLOOKUP($A130,koronahun!$A:$AM,13,FALSE),"")</f>
        <v>3.076386705245221E-2</v>
      </c>
      <c r="N130" s="13">
        <f>IFERROR(VLOOKUP($A130,koronahun!$A:$AM,14,FALSE),"")</f>
        <v>0.82709712504139077</v>
      </c>
      <c r="O130">
        <f>IFERROR(VLOOKUP($A130,koronahun!$A:$AM,15,FALSE),"")</f>
        <v>43047</v>
      </c>
      <c r="P130">
        <f>IFERROR(VLOOKUP($A130,koronahun!$A:$AM,16,FALSE),"")</f>
        <v>85041</v>
      </c>
      <c r="Q130" s="13">
        <f>IFERROR(VLOOKUP($A130,koronahun!$A:$AM,17,FALSE),"")</f>
        <v>0.18834444562034783</v>
      </c>
      <c r="R130">
        <f>IFERROR(VLOOKUP($A130,koronahun!$A:$AM,18,FALSE),"")</f>
        <v>455</v>
      </c>
      <c r="S130">
        <f>IFERROR(VLOOKUP($A130,koronahun!$A:$AM,19,FALSE),"")</f>
        <v>22742</v>
      </c>
      <c r="T130">
        <f>IFERROR(VLOOKUP($A130,koronahun!$A:$AM,20,FALSE),"")</f>
        <v>6531</v>
      </c>
      <c r="U130">
        <f>IFERROR(VLOOKUP($A130,koronahun!$A:$AM,21,FALSE),"")</f>
        <v>565</v>
      </c>
      <c r="V130" s="13">
        <f>IFERROR(VLOOKUP($A130,koronahun!$A:$AM,22,FALSE),"")</f>
        <v>0.14213900790615702</v>
      </c>
      <c r="W130">
        <f>IFERROR(VLOOKUP($A130,koronahun!$A:$AM,23,FALSE),"")</f>
        <v>-408</v>
      </c>
      <c r="X130">
        <f>IFERROR(VLOOKUP($A130,koronahun!$A:$AM,24,FALSE),"")</f>
        <v>-8</v>
      </c>
      <c r="Y130" s="14">
        <f>IFERROR(VLOOKUP($A130,koronahun!$A:$AM,25,FALSE),"")</f>
        <v>3.8323866303633464E-2</v>
      </c>
      <c r="Z130" s="14">
        <f>IFERROR(VLOOKUP($A130,koronahun!$A:$AM,26,FALSE),"")</f>
        <v>8.6510488439748887E-2</v>
      </c>
      <c r="AA130" s="14">
        <f>IFERROR(VLOOKUP($A130,koronahun!$A:$AM,27,FALSE),"")</f>
        <v>0.67988496302382906</v>
      </c>
      <c r="AB130" s="14">
        <f>IFERROR(VLOOKUP($A130,koronahun!$A:$AM,28,FALSE),"")</f>
        <v>0.75595252794531365</v>
      </c>
      <c r="AC130" s="14">
        <f>IFERROR(VLOOKUP($A130,koronahun!$A:$AM,29,FALSE),"")</f>
        <v>5910.1428571428569</v>
      </c>
      <c r="AD130" s="14">
        <f>IFERROR(VLOOKUP($A130,koronahun!$A:$AM,30,FALSE),"")</f>
        <v>181.85714285714286</v>
      </c>
      <c r="AE130" s="14">
        <f>IFERROR(VLOOKUP($A130,koronahun!$A:$AM,31,FALSE),"")</f>
        <v>26740.428571428572</v>
      </c>
      <c r="AF130" s="13">
        <f>IFERROR(VLOOKUP($A130,koronahun!$A:$AM,32,FALSE),"")</f>
        <v>0.25107864924387624</v>
      </c>
      <c r="AG130">
        <f>IFERROR(VLOOKUP($A130,koronahun!$A:$AM,33,FALSE),"")</f>
        <v>6190822</v>
      </c>
      <c r="AH130">
        <f>IFERROR(VLOOKUP($A130,koronahun!$A:$AM,34,FALSE),"")</f>
        <v>14255</v>
      </c>
      <c r="AI130">
        <f>IFERROR(VLOOKUP($A130,koronahun!$A:$AM,35,FALSE),"")</f>
        <v>6179.2</v>
      </c>
      <c r="AJ130">
        <f>IFERROR(VLOOKUP($A130,koronahun!$A:$AM,36,FALSE),"")</f>
        <v>5893531</v>
      </c>
      <c r="AK130">
        <f>IFERROR(VLOOKUP($A130,koronahun!$A:$AM,37,FALSE),"")</f>
        <v>9658</v>
      </c>
      <c r="AL130">
        <f>IFERROR(VLOOKUP($A130,koronahun!$A:$AM,38,FALSE),"")</f>
        <v>5292.6</v>
      </c>
      <c r="AM130" s="14">
        <f>IFERROR(VLOOKUP($A130,koronahun!$A:$AM,39,FALSE),"")</f>
        <v>8490.7142857142862</v>
      </c>
      <c r="AN130" s="11">
        <f ca="1">IFERROR(__xludf.DUMMYFUNCTION("""COMPUTED_VALUE"""),44022)</f>
        <v>44022</v>
      </c>
      <c r="AO130" s="12">
        <f ca="1">IFERROR(VLOOKUP(AN130,koronahun!A:B,2,FALSE),"")</f>
        <v>4223</v>
      </c>
      <c r="AP130" s="11">
        <f t="shared" ca="1" si="0"/>
        <v>44022</v>
      </c>
      <c r="AQ130" s="11">
        <f ca="1">IFERROR(__xludf.DUMMYFUNCTION("""COMPUTED_VALUE"""),44022)</f>
        <v>44022</v>
      </c>
      <c r="AR130" s="11">
        <v>44544</v>
      </c>
      <c r="AS130" s="11">
        <f t="shared" si="1"/>
        <v>44544</v>
      </c>
      <c r="AT130" s="11">
        <f ca="1">IFERROR(__xludf.DUMMYFUNCTION("""COMPUTED_VALUE"""),44543)</f>
        <v>44543</v>
      </c>
    </row>
    <row r="131" spans="1:46" ht="13">
      <c r="A131" s="11">
        <v>44540</v>
      </c>
      <c r="B131">
        <f>IFERROR(VLOOKUP($A131,koronahun!$A:$AM,2,FALSE),"")</f>
        <v>1182922</v>
      </c>
      <c r="C131">
        <f>IFERROR(VLOOKUP($A131,koronahun!$A:$AM,3,FALSE),"")</f>
        <v>6884</v>
      </c>
      <c r="D131">
        <f>IFERROR(VLOOKUP($A131,koronahun!$A:$AM,4,FALSE),"")</f>
        <v>36429</v>
      </c>
      <c r="E131">
        <f>IFERROR(VLOOKUP($A131,koronahun!$A:$AM,5,FALSE),"")</f>
        <v>968897</v>
      </c>
      <c r="F131">
        <f>IFERROR(VLOOKUP($A131,koronahun!$A:$AM,6,FALSE),"")</f>
        <v>8768881</v>
      </c>
      <c r="G131" s="12">
        <f>IFERROR(VLOOKUP($A131,koronahun!$A:$AM,7,FALSE),"")</f>
        <v>894783.77551020402</v>
      </c>
      <c r="H131">
        <f>IFERROR(VLOOKUP($A131,koronahun!$A:$AM,8,FALSE),"")</f>
        <v>0</v>
      </c>
      <c r="I131" s="13">
        <f>IFERROR(VLOOKUP($A131,koronahun!$A:$AM,9,FALSE),"")</f>
        <v>5.8535523511995362E-3</v>
      </c>
      <c r="J131" s="13">
        <f>IFERROR(VLOOKUP($A131,koronahun!$A:$AM,10,FALSE),"")</f>
        <v>0.13489999465154107</v>
      </c>
      <c r="K131" s="13">
        <f>IFERROR(VLOOKUP($A131,koronahun!$A:$AM,11,FALSE),"")</f>
        <v>3.8858890583997278E-3</v>
      </c>
      <c r="L131">
        <f>IFERROR(VLOOKUP($A131,koronahun!$A:$AM,12,FALSE),"")</f>
        <v>177596</v>
      </c>
      <c r="M131" s="13">
        <f>IFERROR(VLOOKUP($A131,koronahun!$A:$AM,13,FALSE),"")</f>
        <v>3.0795775207494661E-2</v>
      </c>
      <c r="N131" s="13">
        <f>IFERROR(VLOOKUP($A131,koronahun!$A:$AM,14,FALSE),"")</f>
        <v>0.81907091084619277</v>
      </c>
      <c r="O131">
        <f>IFERROR(VLOOKUP($A131,koronahun!$A:$AM,15,FALSE),"")</f>
        <v>55544</v>
      </c>
      <c r="P131">
        <f>IFERROR(VLOOKUP($A131,koronahun!$A:$AM,16,FALSE),"")</f>
        <v>33943</v>
      </c>
      <c r="Q131" s="13">
        <f>IFERROR(VLOOKUP($A131,koronahun!$A:$AM,17,FALSE),"")</f>
        <v>0.20281059423150577</v>
      </c>
      <c r="R131">
        <f>IFERROR(VLOOKUP($A131,koronahun!$A:$AM,18,FALSE),"")</f>
        <v>166</v>
      </c>
      <c r="S131">
        <f>IFERROR(VLOOKUP($A131,koronahun!$A:$AM,19,FALSE),"")</f>
        <v>13649</v>
      </c>
      <c r="T131">
        <f>IFERROR(VLOOKUP($A131,koronahun!$A:$AM,20,FALSE),"")</f>
        <v>6939</v>
      </c>
      <c r="U131">
        <f>IFERROR(VLOOKUP($A131,koronahun!$A:$AM,21,FALSE),"")</f>
        <v>573</v>
      </c>
      <c r="V131" s="13">
        <f>IFERROR(VLOOKUP($A131,koronahun!$A:$AM,22,FALSE),"")</f>
        <v>0.1501333139463126</v>
      </c>
      <c r="W131">
        <f>IFERROR(VLOOKUP($A131,koronahun!$A:$AM,23,FALSE),"")</f>
        <v>-180</v>
      </c>
      <c r="X131">
        <f>IFERROR(VLOOKUP($A131,koronahun!$A:$AM,24,FALSE),"")</f>
        <v>-6</v>
      </c>
      <c r="Y131" s="14">
        <f>IFERROR(VLOOKUP($A131,koronahun!$A:$AM,25,FALSE),"")</f>
        <v>3.9071825942025719E-2</v>
      </c>
      <c r="Z131" s="14">
        <f>IFERROR(VLOOKUP($A131,koronahun!$A:$AM,26,FALSE),"")</f>
        <v>8.25767401642888E-2</v>
      </c>
      <c r="AA131" s="14">
        <f>IFERROR(VLOOKUP($A131,koronahun!$A:$AM,27,FALSE),"")</f>
        <v>0.72828541549840109</v>
      </c>
      <c r="AB131" s="14">
        <f>IFERROR(VLOOKUP($A131,koronahun!$A:$AM,28,FALSE),"")</f>
        <v>0.79133330276145142</v>
      </c>
      <c r="AC131" s="14">
        <f>IFERROR(VLOOKUP($A131,koronahun!$A:$AM,29,FALSE),"")</f>
        <v>6864.7142857142853</v>
      </c>
      <c r="AD131" s="14">
        <f>IFERROR(VLOOKUP($A131,koronahun!$A:$AM,30,FALSE),"")</f>
        <v>186.71428571428572</v>
      </c>
      <c r="AE131" s="14">
        <f>IFERROR(VLOOKUP($A131,koronahun!$A:$AM,31,FALSE),"")</f>
        <v>29843.714285714286</v>
      </c>
      <c r="AF131" s="13">
        <f>IFERROR(VLOOKUP($A131,koronahun!$A:$AM,32,FALSE),"")</f>
        <v>0.2559315839555566</v>
      </c>
      <c r="AG131">
        <f>IFERROR(VLOOKUP($A131,koronahun!$A:$AM,33,FALSE),"")</f>
        <v>6176567</v>
      </c>
      <c r="AH131">
        <f>IFERROR(VLOOKUP($A131,koronahun!$A:$AM,34,FALSE),"")</f>
        <v>5078</v>
      </c>
      <c r="AI131">
        <f>IFERROR(VLOOKUP($A131,koronahun!$A:$AM,35,FALSE),"")</f>
        <v>6116.6</v>
      </c>
      <c r="AJ131">
        <f>IFERROR(VLOOKUP($A131,koronahun!$A:$AM,36,FALSE),"")</f>
        <v>5883873</v>
      </c>
      <c r="AK131">
        <f>IFERROR(VLOOKUP($A131,koronahun!$A:$AM,37,FALSE),"")</f>
        <v>4922</v>
      </c>
      <c r="AL131">
        <f>IFERROR(VLOOKUP($A131,koronahun!$A:$AM,38,FALSE),"")</f>
        <v>5150.8</v>
      </c>
      <c r="AM131" s="14">
        <f>IFERROR(VLOOKUP($A131,koronahun!$A:$AM,39,FALSE),"")</f>
        <v>8307.4285714285706</v>
      </c>
      <c r="AN131" s="11">
        <f ca="1">IFERROR(__xludf.DUMMYFUNCTION("""COMPUTED_VALUE"""),44023)</f>
        <v>44023</v>
      </c>
      <c r="AO131" s="12">
        <f ca="1">IFERROR(VLOOKUP(AN131,koronahun!A:B,2,FALSE),"")</f>
        <v>4229</v>
      </c>
      <c r="AP131" s="11">
        <f t="shared" ca="1" si="0"/>
        <v>44023</v>
      </c>
      <c r="AQ131" s="11">
        <f ca="1">IFERROR(__xludf.DUMMYFUNCTION("""COMPUTED_VALUE"""),44023)</f>
        <v>44023</v>
      </c>
      <c r="AR131" s="11">
        <v>44543</v>
      </c>
      <c r="AS131" s="11">
        <f t="shared" si="1"/>
        <v>44543</v>
      </c>
      <c r="AT131" s="11">
        <f ca="1">IFERROR(__xludf.DUMMYFUNCTION("""COMPUTED_VALUE"""),44540)</f>
        <v>44540</v>
      </c>
    </row>
    <row r="132" spans="1:46" ht="13">
      <c r="A132" s="11">
        <v>44539</v>
      </c>
      <c r="B132">
        <f>IFERROR(VLOOKUP($A132,koronahun!$A:$AM,2,FALSE),"")</f>
        <v>1176038</v>
      </c>
      <c r="C132">
        <f>IFERROR(VLOOKUP($A132,koronahun!$A:$AM,3,FALSE),"")</f>
        <v>7310</v>
      </c>
      <c r="D132">
        <f>IFERROR(VLOOKUP($A132,koronahun!$A:$AM,4,FALSE),"")</f>
        <v>36263</v>
      </c>
      <c r="E132">
        <f>IFERROR(VLOOKUP($A132,koronahun!$A:$AM,5,FALSE),"")</f>
        <v>955248</v>
      </c>
      <c r="F132">
        <f>IFERROR(VLOOKUP($A132,koronahun!$A:$AM,6,FALSE),"")</f>
        <v>8734938</v>
      </c>
      <c r="G132" s="12">
        <f>IFERROR(VLOOKUP($A132,koronahun!$A:$AM,7,FALSE),"")</f>
        <v>891320.20408163255</v>
      </c>
      <c r="H132">
        <f>IFERROR(VLOOKUP($A132,koronahun!$A:$AM,8,FALSE),"")</f>
        <v>0</v>
      </c>
      <c r="I132" s="13">
        <f>IFERROR(VLOOKUP($A132,koronahun!$A:$AM,9,FALSE),"")</f>
        <v>6.2546631893819604E-3</v>
      </c>
      <c r="J132" s="13">
        <f>IFERROR(VLOOKUP($A132,koronahun!$A:$AM,10,FALSE),"")</f>
        <v>0.1346361015956839</v>
      </c>
      <c r="K132" s="13">
        <f>IFERROR(VLOOKUP($A132,koronahun!$A:$AM,11,FALSE),"")</f>
        <v>3.8109461792627162E-3</v>
      </c>
      <c r="L132">
        <f>IFERROR(VLOOKUP($A132,koronahun!$A:$AM,12,FALSE),"")</f>
        <v>184527</v>
      </c>
      <c r="M132" s="13">
        <f>IFERROR(VLOOKUP($A132,koronahun!$A:$AM,13,FALSE),"")</f>
        <v>3.0834887988313305E-2</v>
      </c>
      <c r="N132" s="13">
        <f>IFERROR(VLOOKUP($A132,koronahun!$A:$AM,14,FALSE),"")</f>
        <v>0.81225946780631242</v>
      </c>
      <c r="O132">
        <f>IFERROR(VLOOKUP($A132,koronahun!$A:$AM,15,FALSE),"")</f>
        <v>53187</v>
      </c>
      <c r="P132">
        <f>IFERROR(VLOOKUP($A132,koronahun!$A:$AM,16,FALSE),"")</f>
        <v>33162</v>
      </c>
      <c r="Q132" s="13">
        <f>IFERROR(VLOOKUP($A132,koronahun!$A:$AM,17,FALSE),"")</f>
        <v>0.22043302575236717</v>
      </c>
      <c r="R132">
        <f>IFERROR(VLOOKUP($A132,koronahun!$A:$AM,18,FALSE),"")</f>
        <v>215</v>
      </c>
      <c r="S132">
        <f>IFERROR(VLOOKUP($A132,koronahun!$A:$AM,19,FALSE),"")</f>
        <v>6863</v>
      </c>
      <c r="T132">
        <f>IFERROR(VLOOKUP($A132,koronahun!$A:$AM,20,FALSE),"")</f>
        <v>7119</v>
      </c>
      <c r="U132">
        <f>IFERROR(VLOOKUP($A132,koronahun!$A:$AM,21,FALSE),"")</f>
        <v>579</v>
      </c>
      <c r="V132" s="13">
        <f>IFERROR(VLOOKUP($A132,koronahun!$A:$AM,22,FALSE),"")</f>
        <v>0.15690564420537431</v>
      </c>
      <c r="W132">
        <f>IFERROR(VLOOKUP($A132,koronahun!$A:$AM,23,FALSE),"")</f>
        <v>-87</v>
      </c>
      <c r="X132">
        <f>IFERROR(VLOOKUP($A132,koronahun!$A:$AM,24,FALSE),"")</f>
        <v>-28</v>
      </c>
      <c r="Y132" s="14">
        <f>IFERROR(VLOOKUP($A132,koronahun!$A:$AM,25,FALSE),"")</f>
        <v>3.8579720040969614E-2</v>
      </c>
      <c r="Z132" s="14">
        <f>IFERROR(VLOOKUP($A132,koronahun!$A:$AM,26,FALSE),"")</f>
        <v>8.1331647703329124E-2</v>
      </c>
      <c r="AA132" s="14">
        <f>IFERROR(VLOOKUP($A132,koronahun!$A:$AM,27,FALSE),"")</f>
        <v>0.75783130750712613</v>
      </c>
      <c r="AB132" s="14">
        <f>IFERROR(VLOOKUP($A132,koronahun!$A:$AM,28,FALSE),"")</f>
        <v>0.83312224238904398</v>
      </c>
      <c r="AC132" s="14">
        <f>IFERROR(VLOOKUP($A132,koronahun!$A:$AM,29,FALSE),"")</f>
        <v>7330.2857142857147</v>
      </c>
      <c r="AD132" s="14">
        <f>IFERROR(VLOOKUP($A132,koronahun!$A:$AM,30,FALSE),"")</f>
        <v>190.28571428571428</v>
      </c>
      <c r="AE132" s="14">
        <f>IFERROR(VLOOKUP($A132,koronahun!$A:$AM,31,FALSE),"")</f>
        <v>31177</v>
      </c>
      <c r="AF132" s="13">
        <f>IFERROR(VLOOKUP($A132,koronahun!$A:$AM,32,FALSE),"")</f>
        <v>0.26224533164035807</v>
      </c>
      <c r="AG132">
        <f>IFERROR(VLOOKUP($A132,koronahun!$A:$AM,33,FALSE),"")</f>
        <v>6171489</v>
      </c>
      <c r="AH132">
        <f>IFERROR(VLOOKUP($A132,koronahun!$A:$AM,34,FALSE),"")</f>
        <v>4649</v>
      </c>
      <c r="AI132">
        <f>IFERROR(VLOOKUP($A132,koronahun!$A:$AM,35,FALSE),"")</f>
        <v>6520.8</v>
      </c>
      <c r="AJ132">
        <f>IFERROR(VLOOKUP($A132,koronahun!$A:$AM,36,FALSE),"")</f>
        <v>5878951</v>
      </c>
      <c r="AK132">
        <f>IFERROR(VLOOKUP($A132,koronahun!$A:$AM,37,FALSE),"")</f>
        <v>4522</v>
      </c>
      <c r="AL132">
        <f>IFERROR(VLOOKUP($A132,koronahun!$A:$AM,38,FALSE),"")</f>
        <v>5306.8</v>
      </c>
      <c r="AM132" s="14">
        <f>IFERROR(VLOOKUP($A132,koronahun!$A:$AM,39,FALSE),"")</f>
        <v>7606.8571428571431</v>
      </c>
      <c r="AN132" s="11">
        <f ca="1">IFERROR(__xludf.DUMMYFUNCTION("""COMPUTED_VALUE"""),44024)</f>
        <v>44024</v>
      </c>
      <c r="AO132" s="12">
        <f ca="1">IFERROR(VLOOKUP(AN132,koronahun!A:B,2,FALSE),"")</f>
        <v>4234</v>
      </c>
      <c r="AP132" s="11">
        <f t="shared" ca="1" si="0"/>
        <v>44024</v>
      </c>
      <c r="AQ132" s="11">
        <f ca="1">IFERROR(__xludf.DUMMYFUNCTION("""COMPUTED_VALUE"""),44024)</f>
        <v>44024</v>
      </c>
      <c r="AR132" s="11">
        <v>44540</v>
      </c>
      <c r="AS132" s="11">
        <f t="shared" si="1"/>
        <v>44540</v>
      </c>
      <c r="AT132" s="11">
        <f ca="1">IFERROR(__xludf.DUMMYFUNCTION("""COMPUTED_VALUE"""),44539)</f>
        <v>44539</v>
      </c>
    </row>
    <row r="133" spans="1:46" ht="13">
      <c r="A133" s="11">
        <v>44538</v>
      </c>
      <c r="B133">
        <f>IFERROR(VLOOKUP($A133,koronahun!$A:$AM,2,FALSE),"")</f>
        <v>1168728</v>
      </c>
      <c r="C133">
        <f>IFERROR(VLOOKUP($A133,koronahun!$A:$AM,3,FALSE),"")</f>
        <v>6849</v>
      </c>
      <c r="D133">
        <f>IFERROR(VLOOKUP($A133,koronahun!$A:$AM,4,FALSE),"")</f>
        <v>36048</v>
      </c>
      <c r="E133">
        <f>IFERROR(VLOOKUP($A133,koronahun!$A:$AM,5,FALSE),"")</f>
        <v>948385</v>
      </c>
      <c r="F133">
        <f>IFERROR(VLOOKUP($A133,koronahun!$A:$AM,6,FALSE),"")</f>
        <v>8701776</v>
      </c>
      <c r="G133" s="12">
        <f>IFERROR(VLOOKUP($A133,koronahun!$A:$AM,7,FALSE),"")</f>
        <v>887936.32653061219</v>
      </c>
      <c r="H133">
        <f>IFERROR(VLOOKUP($A133,koronahun!$A:$AM,8,FALSE),"")</f>
        <v>0</v>
      </c>
      <c r="I133" s="13">
        <f>IFERROR(VLOOKUP($A133,koronahun!$A:$AM,9,FALSE),"")</f>
        <v>5.8947618469737386E-3</v>
      </c>
      <c r="J133" s="13">
        <f>IFERROR(VLOOKUP($A133,koronahun!$A:$AM,10,FALSE),"")</f>
        <v>0.13430913413537651</v>
      </c>
      <c r="K133" s="13">
        <f>IFERROR(VLOOKUP($A133,koronahun!$A:$AM,11,FALSE),"")</f>
        <v>2.5526463140091386E-3</v>
      </c>
      <c r="L133">
        <f>IFERROR(VLOOKUP($A133,koronahun!$A:$AM,12,FALSE),"")</f>
        <v>184295</v>
      </c>
      <c r="M133" s="13">
        <f>IFERROR(VLOOKUP($A133,koronahun!$A:$AM,13,FALSE),"")</f>
        <v>3.0843789145121876E-2</v>
      </c>
      <c r="N133" s="13">
        <f>IFERROR(VLOOKUP($A133,koronahun!$A:$AM,14,FALSE),"")</f>
        <v>0.81146768110287426</v>
      </c>
      <c r="O133">
        <f>IFERROR(VLOOKUP($A133,koronahun!$A:$AM,15,FALSE),"")</f>
        <v>47718</v>
      </c>
      <c r="P133">
        <f>IFERROR(VLOOKUP($A133,koronahun!$A:$AM,16,FALSE),"")</f>
        <v>22156</v>
      </c>
      <c r="Q133" s="13">
        <f>IFERROR(VLOOKUP($A133,koronahun!$A:$AM,17,FALSE),"")</f>
        <v>0.30912619606427155</v>
      </c>
      <c r="R133">
        <f>IFERROR(VLOOKUP($A133,koronahun!$A:$AM,18,FALSE),"")</f>
        <v>213</v>
      </c>
      <c r="S133">
        <f>IFERROR(VLOOKUP($A133,koronahun!$A:$AM,19,FALSE),"")</f>
        <v>9549</v>
      </c>
      <c r="T133">
        <f>IFERROR(VLOOKUP($A133,koronahun!$A:$AM,20,FALSE),"")</f>
        <v>7206</v>
      </c>
      <c r="U133">
        <f>IFERROR(VLOOKUP($A133,koronahun!$A:$AM,21,FALSE),"")</f>
        <v>607</v>
      </c>
      <c r="V133" s="13">
        <f>IFERROR(VLOOKUP($A133,koronahun!$A:$AM,22,FALSE),"")</f>
        <v>0.1576885297520039</v>
      </c>
      <c r="W133">
        <f>IFERROR(VLOOKUP($A133,koronahun!$A:$AM,23,FALSE),"")</f>
        <v>-362</v>
      </c>
      <c r="X133">
        <f>IFERROR(VLOOKUP($A133,koronahun!$A:$AM,24,FALSE),"")</f>
        <v>-11</v>
      </c>
      <c r="Y133" s="14">
        <f>IFERROR(VLOOKUP($A133,koronahun!$A:$AM,25,FALSE),"")</f>
        <v>3.910035540844841E-2</v>
      </c>
      <c r="Z133" s="14">
        <f>IFERROR(VLOOKUP($A133,koronahun!$A:$AM,26,FALSE),"")</f>
        <v>8.4235359422703299E-2</v>
      </c>
      <c r="AA133" s="14">
        <f>IFERROR(VLOOKUP($A133,koronahun!$A:$AM,27,FALSE),"")</f>
        <v>0.78475103734439833</v>
      </c>
      <c r="AB133" s="14">
        <f>IFERROR(VLOOKUP($A133,koronahun!$A:$AM,28,FALSE),"")</f>
        <v>0.87551455890474905</v>
      </c>
      <c r="AC133" s="14">
        <f>IFERROR(VLOOKUP($A133,koronahun!$A:$AM,29,FALSE),"")</f>
        <v>7781.1428571428569</v>
      </c>
      <c r="AD133" s="14">
        <f>IFERROR(VLOOKUP($A133,koronahun!$A:$AM,30,FALSE),"")</f>
        <v>190.71428571428572</v>
      </c>
      <c r="AE133" s="14">
        <f>IFERROR(VLOOKUP($A133,koronahun!$A:$AM,31,FALSE),"")</f>
        <v>32444.571428571428</v>
      </c>
      <c r="AF133" s="13">
        <f>IFERROR(VLOOKUP($A133,koronahun!$A:$AM,32,FALSE),"")</f>
        <v>0.26795532456291904</v>
      </c>
      <c r="AG133">
        <f>IFERROR(VLOOKUP($A133,koronahun!$A:$AM,33,FALSE),"")</f>
        <v>6166840</v>
      </c>
      <c r="AH133">
        <f>IFERROR(VLOOKUP($A133,koronahun!$A:$AM,34,FALSE),"")</f>
        <v>4082</v>
      </c>
      <c r="AI133">
        <f>IFERROR(VLOOKUP($A133,koronahun!$A:$AM,35,FALSE),"")</f>
        <v>6858.2</v>
      </c>
      <c r="AJ133">
        <f>IFERROR(VLOOKUP($A133,koronahun!$A:$AM,36,FALSE),"")</f>
        <v>5874429</v>
      </c>
      <c r="AK133">
        <f>IFERROR(VLOOKUP($A133,koronahun!$A:$AM,37,FALSE),"")</f>
        <v>3963</v>
      </c>
      <c r="AL133">
        <f>IFERROR(VLOOKUP($A133,koronahun!$A:$AM,38,FALSE),"")</f>
        <v>5404.8</v>
      </c>
      <c r="AM133" s="14">
        <f>IFERROR(VLOOKUP($A133,koronahun!$A:$AM,39,FALSE),"")</f>
        <v>8099.1428571428569</v>
      </c>
      <c r="AN133" s="11">
        <f ca="1">IFERROR(__xludf.DUMMYFUNCTION("""COMPUTED_VALUE"""),44025)</f>
        <v>44025</v>
      </c>
      <c r="AO133" s="12">
        <f ca="1">IFERROR(VLOOKUP(AN133,koronahun!A:B,2,FALSE),"")</f>
        <v>4247</v>
      </c>
      <c r="AP133" s="11">
        <f t="shared" ca="1" si="0"/>
        <v>44025</v>
      </c>
      <c r="AQ133" s="11">
        <f ca="1">IFERROR(__xludf.DUMMYFUNCTION("""COMPUTED_VALUE"""),44025)</f>
        <v>44025</v>
      </c>
      <c r="AR133" s="11">
        <v>44539</v>
      </c>
      <c r="AS133" s="11">
        <f t="shared" si="1"/>
        <v>44539</v>
      </c>
      <c r="AT133" s="11">
        <f ca="1">IFERROR(__xludf.DUMMYFUNCTION("""COMPUTED_VALUE"""),44538)</f>
        <v>44538</v>
      </c>
    </row>
    <row r="134" spans="1:46" ht="13">
      <c r="A134" s="11">
        <v>44537</v>
      </c>
      <c r="B134">
        <f>IFERROR(VLOOKUP($A134,koronahun!$A:$AM,2,FALSE),"")</f>
        <v>1161879</v>
      </c>
      <c r="C134">
        <f>IFERROR(VLOOKUP($A134,koronahun!$A:$AM,3,FALSE),"")</f>
        <v>4311</v>
      </c>
      <c r="D134">
        <f>IFERROR(VLOOKUP($A134,koronahun!$A:$AM,4,FALSE),"")</f>
        <v>35835</v>
      </c>
      <c r="E134">
        <f>IFERROR(VLOOKUP($A134,koronahun!$A:$AM,5,FALSE),"")</f>
        <v>938836</v>
      </c>
      <c r="F134">
        <f>IFERROR(VLOOKUP($A134,koronahun!$A:$AM,6,FALSE),"")</f>
        <v>8679620</v>
      </c>
      <c r="G134" s="12">
        <f>IFERROR(VLOOKUP($A134,koronahun!$A:$AM,7,FALSE),"")</f>
        <v>885675.51020408154</v>
      </c>
      <c r="H134">
        <f>IFERROR(VLOOKUP($A134,koronahun!$A:$AM,8,FALSE),"")</f>
        <v>0</v>
      </c>
      <c r="I134" s="13">
        <f>IFERROR(VLOOKUP($A134,koronahun!$A:$AM,9,FALSE),"")</f>
        <v>3.7241872615690827E-3</v>
      </c>
      <c r="J134" s="13">
        <f>IFERROR(VLOOKUP($A134,koronahun!$A:$AM,10,FALSE),"")</f>
        <v>0.1338628880066178</v>
      </c>
      <c r="K134" s="13">
        <f>IFERROR(VLOOKUP($A134,koronahun!$A:$AM,11,FALSE),"")</f>
        <v>1.486256826241104E-3</v>
      </c>
      <c r="L134">
        <f>IFERROR(VLOOKUP($A134,koronahun!$A:$AM,12,FALSE),"")</f>
        <v>187208</v>
      </c>
      <c r="M134" s="13">
        <f>IFERROR(VLOOKUP($A134,koronahun!$A:$AM,13,FALSE),"")</f>
        <v>3.0842282199781561E-2</v>
      </c>
      <c r="N134" s="13">
        <f>IFERROR(VLOOKUP($A134,koronahun!$A:$AM,14,FALSE),"")</f>
        <v>0.80803250596662823</v>
      </c>
      <c r="O134">
        <f>IFERROR(VLOOKUP($A134,koronahun!$A:$AM,15,FALSE),"")</f>
        <v>45198</v>
      </c>
      <c r="P134">
        <f>IFERROR(VLOOKUP($A134,koronahun!$A:$AM,16,FALSE),"")</f>
        <v>12881</v>
      </c>
      <c r="Q134" s="13">
        <f>IFERROR(VLOOKUP($A134,koronahun!$A:$AM,17,FALSE),"")</f>
        <v>0.3346789845508889</v>
      </c>
      <c r="R134">
        <f>IFERROR(VLOOKUP($A134,koronahun!$A:$AM,18,FALSE),"")</f>
        <v>224</v>
      </c>
      <c r="S134">
        <f>IFERROR(VLOOKUP($A134,koronahun!$A:$AM,19,FALSE),"")</f>
        <v>6632</v>
      </c>
      <c r="T134">
        <f>IFERROR(VLOOKUP($A134,koronahun!$A:$AM,20,FALSE),"")</f>
        <v>7568</v>
      </c>
      <c r="U134">
        <f>IFERROR(VLOOKUP($A134,koronahun!$A:$AM,21,FALSE),"")</f>
        <v>618</v>
      </c>
      <c r="V134" s="13">
        <f>IFERROR(VLOOKUP($A134,koronahun!$A:$AM,22,FALSE),"")</f>
        <v>0.16112521183359024</v>
      </c>
      <c r="W134">
        <f>IFERROR(VLOOKUP($A134,koronahun!$A:$AM,23,FALSE),"")</f>
        <v>128</v>
      </c>
      <c r="X134">
        <f>IFERROR(VLOOKUP($A134,koronahun!$A:$AM,24,FALSE),"")</f>
        <v>32</v>
      </c>
      <c r="Y134" s="14">
        <f>IFERROR(VLOOKUP($A134,koronahun!$A:$AM,25,FALSE),"")</f>
        <v>4.0425622836630912E-2</v>
      </c>
      <c r="Z134" s="14">
        <f>IFERROR(VLOOKUP($A134,koronahun!$A:$AM,26,FALSE),"")</f>
        <v>8.165961945031712E-2</v>
      </c>
      <c r="AA134" s="14">
        <f>IFERROR(VLOOKUP($A134,koronahun!$A:$AM,27,FALSE),"")</f>
        <v>0.8290099163528134</v>
      </c>
      <c r="AB134" s="14">
        <f>IFERROR(VLOOKUP($A134,koronahun!$A:$AM,28,FALSE),"")</f>
        <v>0.92145239586732219</v>
      </c>
      <c r="AC134" s="14">
        <f>IFERROR(VLOOKUP($A134,koronahun!$A:$AM,29,FALSE),"")</f>
        <v>8395.8571428571431</v>
      </c>
      <c r="AD134" s="14">
        <f>IFERROR(VLOOKUP($A134,koronahun!$A:$AM,30,FALSE),"")</f>
        <v>187.71428571428572</v>
      </c>
      <c r="AE134" s="14">
        <f>IFERROR(VLOOKUP($A134,koronahun!$A:$AM,31,FALSE),"")</f>
        <v>33696.571428571428</v>
      </c>
      <c r="AF134" s="13">
        <f>IFERROR(VLOOKUP($A134,koronahun!$A:$AM,32,FALSE),"")</f>
        <v>0.27826462610038816</v>
      </c>
      <c r="AG134">
        <f>IFERROR(VLOOKUP($A134,koronahun!$A:$AM,33,FALSE),"")</f>
        <v>6162758</v>
      </c>
      <c r="AH134">
        <f>IFERROR(VLOOKUP($A134,koronahun!$A:$AM,34,FALSE),"")</f>
        <v>2832</v>
      </c>
      <c r="AI134">
        <f>IFERROR(VLOOKUP($A134,koronahun!$A:$AM,35,FALSE),"")</f>
        <v>7267.6</v>
      </c>
      <c r="AJ134">
        <f>IFERROR(VLOOKUP($A134,koronahun!$A:$AM,36,FALSE),"")</f>
        <v>5870466</v>
      </c>
      <c r="AK134">
        <f>IFERROR(VLOOKUP($A134,koronahun!$A:$AM,37,FALSE),"")</f>
        <v>3398</v>
      </c>
      <c r="AL134">
        <f>IFERROR(VLOOKUP($A134,koronahun!$A:$AM,38,FALSE),"")</f>
        <v>5516.2</v>
      </c>
      <c r="AM134" s="14">
        <f>IFERROR(VLOOKUP($A134,koronahun!$A:$AM,39,FALSE),"")</f>
        <v>8025.2857142857147</v>
      </c>
      <c r="AN134" s="11">
        <f ca="1">IFERROR(__xludf.DUMMYFUNCTION("""COMPUTED_VALUE"""),44026)</f>
        <v>44026</v>
      </c>
      <c r="AO134" s="12">
        <f ca="1">IFERROR(VLOOKUP(AN134,koronahun!A:B,2,FALSE),"")</f>
        <v>4258</v>
      </c>
      <c r="AP134" s="11">
        <f t="shared" ca="1" si="0"/>
        <v>44026</v>
      </c>
      <c r="AQ134" s="11">
        <f ca="1">IFERROR(__xludf.DUMMYFUNCTION("""COMPUTED_VALUE"""),44026)</f>
        <v>44026</v>
      </c>
      <c r="AR134" s="11">
        <v>44538</v>
      </c>
      <c r="AS134" s="11">
        <f t="shared" si="1"/>
        <v>44538</v>
      </c>
      <c r="AT134" s="11">
        <f ca="1">IFERROR(__xludf.DUMMYFUNCTION("""COMPUTED_VALUE"""),44537)</f>
        <v>44537</v>
      </c>
    </row>
    <row r="135" spans="1:46" ht="13">
      <c r="A135" s="11">
        <v>44536</v>
      </c>
      <c r="B135">
        <f>IFERROR(VLOOKUP($A135,koronahun!$A:$AM,2,FALSE),"")</f>
        <v>1157568</v>
      </c>
      <c r="C135">
        <f>IFERROR(VLOOKUP($A135,koronahun!$A:$AM,3,FALSE),"")</f>
        <v>22699</v>
      </c>
      <c r="D135">
        <f>IFERROR(VLOOKUP($A135,koronahun!$A:$AM,4,FALSE),"")</f>
        <v>35611</v>
      </c>
      <c r="E135">
        <f>IFERROR(VLOOKUP($A135,koronahun!$A:$AM,5,FALSE),"")</f>
        <v>932204</v>
      </c>
      <c r="F135">
        <f>IFERROR(VLOOKUP($A135,koronahun!$A:$AM,6,FALSE),"")</f>
        <v>8666739</v>
      </c>
      <c r="G135" s="12">
        <f>IFERROR(VLOOKUP($A135,koronahun!$A:$AM,7,FALSE),"")</f>
        <v>884361.12244897953</v>
      </c>
      <c r="H135">
        <f>IFERROR(VLOOKUP($A135,koronahun!$A:$AM,8,FALSE),"")</f>
        <v>0</v>
      </c>
      <c r="I135" s="13">
        <f>IFERROR(VLOOKUP($A135,koronahun!$A:$AM,9,FALSE),"")</f>
        <v>2.0001427477532648E-2</v>
      </c>
      <c r="J135" s="13">
        <f>IFERROR(VLOOKUP($A135,koronahun!$A:$AM,10,FALSE),"")</f>
        <v>0.13356442371230978</v>
      </c>
      <c r="K135" s="13">
        <f>IFERROR(VLOOKUP($A135,koronahun!$A:$AM,11,FALSE),"")</f>
        <v>1.2472466333137654E-2</v>
      </c>
      <c r="L135">
        <f>IFERROR(VLOOKUP($A135,koronahun!$A:$AM,12,FALSE),"")</f>
        <v>189753</v>
      </c>
      <c r="M135" s="13">
        <f>IFERROR(VLOOKUP($A135,koronahun!$A:$AM,13,FALSE),"")</f>
        <v>3.0763635484049315E-2</v>
      </c>
      <c r="N135" s="13">
        <f>IFERROR(VLOOKUP($A135,koronahun!$A:$AM,14,FALSE),"")</f>
        <v>0.80531251727760267</v>
      </c>
      <c r="O135">
        <f>IFERROR(VLOOKUP($A135,koronahun!$A:$AM,15,FALSE),"")</f>
        <v>48217</v>
      </c>
      <c r="P135">
        <f>IFERROR(VLOOKUP($A135,koronahun!$A:$AM,16,FALSE),"")</f>
        <v>106764</v>
      </c>
      <c r="Q135" s="13">
        <f>IFERROR(VLOOKUP($A135,koronahun!$A:$AM,17,FALSE),"")</f>
        <v>0.21260911917874939</v>
      </c>
      <c r="R135">
        <f>IFERROR(VLOOKUP($A135,koronahun!$A:$AM,18,FALSE),"")</f>
        <v>489</v>
      </c>
      <c r="S135">
        <f>IFERROR(VLOOKUP($A135,koronahun!$A:$AM,19,FALSE),"")</f>
        <v>21459</v>
      </c>
      <c r="T135">
        <f>IFERROR(VLOOKUP($A135,koronahun!$A:$AM,20,FALSE),"")</f>
        <v>7440</v>
      </c>
      <c r="U135">
        <f>IFERROR(VLOOKUP($A135,koronahun!$A:$AM,21,FALSE),"")</f>
        <v>586</v>
      </c>
      <c r="V135" s="13">
        <f>IFERROR(VLOOKUP($A135,koronahun!$A:$AM,22,FALSE),"")</f>
        <v>0.16392384723834799</v>
      </c>
      <c r="W135">
        <f>IFERROR(VLOOKUP($A135,koronahun!$A:$AM,23,FALSE),"")</f>
        <v>-23</v>
      </c>
      <c r="X135">
        <f>IFERROR(VLOOKUP($A135,koronahun!$A:$AM,24,FALSE),"")</f>
        <v>20</v>
      </c>
      <c r="Y135" s="14">
        <f>IFERROR(VLOOKUP($A135,koronahun!$A:$AM,25,FALSE),"")</f>
        <v>3.9208866262983984E-2</v>
      </c>
      <c r="Z135" s="14">
        <f>IFERROR(VLOOKUP($A135,koronahun!$A:$AM,26,FALSE),"")</f>
        <v>7.8763440860215056E-2</v>
      </c>
      <c r="AA135" s="14">
        <f>IFERROR(VLOOKUP($A135,koronahun!$A:$AM,27,FALSE),"")</f>
        <v>0.85678883710451836</v>
      </c>
      <c r="AB135" s="14">
        <f>IFERROR(VLOOKUP($A135,koronahun!$A:$AM,28,FALSE),"")</f>
        <v>0.97032156085257326</v>
      </c>
      <c r="AC135" s="14">
        <f>IFERROR(VLOOKUP($A135,koronahun!$A:$AM,29,FALSE),"")</f>
        <v>8692.8571428571431</v>
      </c>
      <c r="AD135" s="14">
        <f>IFERROR(VLOOKUP($A135,koronahun!$A:$AM,30,FALSE),"")</f>
        <v>183.57142857142858</v>
      </c>
      <c r="AE135" s="14">
        <f>IFERROR(VLOOKUP($A135,koronahun!$A:$AM,31,FALSE),"")</f>
        <v>34757.714285714283</v>
      </c>
      <c r="AF135" s="13">
        <f>IFERROR(VLOOKUP($A135,koronahun!$A:$AM,32,FALSE),"")</f>
        <v>0.27425659520527756</v>
      </c>
      <c r="AG135">
        <f>IFERROR(VLOOKUP($A135,koronahun!$A:$AM,33,FALSE),"")</f>
        <v>6159926</v>
      </c>
      <c r="AH135">
        <f>IFERROR(VLOOKUP($A135,koronahun!$A:$AM,34,FALSE),"")</f>
        <v>13942</v>
      </c>
      <c r="AI135">
        <f>IFERROR(VLOOKUP($A135,koronahun!$A:$AM,35,FALSE),"")</f>
        <v>7793.4</v>
      </c>
      <c r="AJ135">
        <f>IFERROR(VLOOKUP($A135,koronahun!$A:$AM,36,FALSE),"")</f>
        <v>5867068</v>
      </c>
      <c r="AK135">
        <f>IFERROR(VLOOKUP($A135,koronahun!$A:$AM,37,FALSE),"")</f>
        <v>8949</v>
      </c>
      <c r="AL135">
        <f>IFERROR(VLOOKUP($A135,koronahun!$A:$AM,38,FALSE),"")</f>
        <v>5598</v>
      </c>
      <c r="AM135" s="14">
        <f>IFERROR(VLOOKUP($A135,koronahun!$A:$AM,39,FALSE),"")</f>
        <v>7850.4285714285716</v>
      </c>
      <c r="AN135" s="11">
        <f ca="1">IFERROR(__xludf.DUMMYFUNCTION("""COMPUTED_VALUE"""),44027)</f>
        <v>44027</v>
      </c>
      <c r="AO135" s="12">
        <f ca="1">IFERROR(VLOOKUP(AN135,koronahun!A:B,2,FALSE),"")</f>
        <v>4263</v>
      </c>
      <c r="AP135" s="11">
        <f t="shared" ca="1" si="0"/>
        <v>44027</v>
      </c>
      <c r="AQ135" s="11">
        <f ca="1">IFERROR(__xludf.DUMMYFUNCTION("""COMPUTED_VALUE"""),44027)</f>
        <v>44027</v>
      </c>
      <c r="AR135" s="11">
        <v>44537</v>
      </c>
      <c r="AS135" s="11">
        <f t="shared" si="1"/>
        <v>44537</v>
      </c>
      <c r="AT135" s="11">
        <f ca="1">IFERROR(__xludf.DUMMYFUNCTION("""COMPUTED_VALUE"""),44536)</f>
        <v>44536</v>
      </c>
    </row>
    <row r="136" spans="1:46" ht="13">
      <c r="A136" s="11">
        <v>44533</v>
      </c>
      <c r="B136">
        <f>IFERROR(VLOOKUP($A136,koronahun!$A:$AM,2,FALSE),"")</f>
        <v>1134869</v>
      </c>
      <c r="C136">
        <f>IFERROR(VLOOKUP($A136,koronahun!$A:$AM,3,FALSE),"")</f>
        <v>10143</v>
      </c>
      <c r="D136">
        <f>IFERROR(VLOOKUP($A136,koronahun!$A:$AM,4,FALSE),"")</f>
        <v>35122</v>
      </c>
      <c r="E136">
        <f>IFERROR(VLOOKUP($A136,koronahun!$A:$AM,5,FALSE),"")</f>
        <v>910745</v>
      </c>
      <c r="F136">
        <f>IFERROR(VLOOKUP($A136,koronahun!$A:$AM,6,FALSE),"")</f>
        <v>8559975</v>
      </c>
      <c r="G136" s="12">
        <f>IFERROR(VLOOKUP($A136,koronahun!$A:$AM,7,FALSE),"")</f>
        <v>873466.83673469385</v>
      </c>
      <c r="H136">
        <f>IFERROR(VLOOKUP($A136,koronahun!$A:$AM,8,FALSE),"")</f>
        <v>0</v>
      </c>
      <c r="I136" s="13">
        <f>IFERROR(VLOOKUP($A136,koronahun!$A:$AM,9,FALSE),"")</f>
        <v>9.0181964318420665E-3</v>
      </c>
      <c r="J136" s="13">
        <f>IFERROR(VLOOKUP($A136,koronahun!$A:$AM,10,FALSE),"")</f>
        <v>0.13257854140929151</v>
      </c>
      <c r="K136" s="13">
        <f>IFERROR(VLOOKUP($A136,koronahun!$A:$AM,11,FALSE),"")</f>
        <v>5.081311432985949E-3</v>
      </c>
      <c r="L136">
        <f>IFERROR(VLOOKUP($A136,koronahun!$A:$AM,12,FALSE),"")</f>
        <v>189002</v>
      </c>
      <c r="M136" s="13">
        <f>IFERROR(VLOOKUP($A136,koronahun!$A:$AM,13,FALSE),"")</f>
        <v>3.0948065371421724E-2</v>
      </c>
      <c r="N136" s="13">
        <f>IFERROR(VLOOKUP($A136,koronahun!$A:$AM,14,FALSE),"")</f>
        <v>0.80251112683490344</v>
      </c>
      <c r="O136">
        <f>IFERROR(VLOOKUP($A136,koronahun!$A:$AM,15,FALSE),"")</f>
        <v>60555</v>
      </c>
      <c r="P136">
        <f>IFERROR(VLOOKUP($A136,koronahun!$A:$AM,16,FALSE),"")</f>
        <v>43276</v>
      </c>
      <c r="Q136" s="13">
        <f>IFERROR(VLOOKUP($A136,koronahun!$A:$AM,17,FALSE),"")</f>
        <v>0.23437933265551344</v>
      </c>
      <c r="R136">
        <f>IFERROR(VLOOKUP($A136,koronahun!$A:$AM,18,FALSE),"")</f>
        <v>191</v>
      </c>
      <c r="S136">
        <f>IFERROR(VLOOKUP($A136,koronahun!$A:$AM,19,FALSE),"")</f>
        <v>8745</v>
      </c>
      <c r="T136">
        <f>IFERROR(VLOOKUP($A136,koronahun!$A:$AM,20,FALSE),"")</f>
        <v>7463</v>
      </c>
      <c r="U136">
        <f>IFERROR(VLOOKUP($A136,koronahun!$A:$AM,21,FALSE),"")</f>
        <v>566</v>
      </c>
      <c r="V136" s="13">
        <f>IFERROR(VLOOKUP($A136,koronahun!$A:$AM,22,FALSE),"")</f>
        <v>0.16654080779367486</v>
      </c>
      <c r="W136">
        <f>IFERROR(VLOOKUP($A136,koronahun!$A:$AM,23,FALSE),"")</f>
        <v>13</v>
      </c>
      <c r="X136">
        <f>IFERROR(VLOOKUP($A136,koronahun!$A:$AM,24,FALSE),"")</f>
        <v>16</v>
      </c>
      <c r="Y136" s="14">
        <f>IFERROR(VLOOKUP($A136,koronahun!$A:$AM,25,FALSE),"")</f>
        <v>3.9486354641749821E-2</v>
      </c>
      <c r="Z136" s="14">
        <f>IFERROR(VLOOKUP($A136,koronahun!$A:$AM,26,FALSE),"")</f>
        <v>7.5840814685783201E-2</v>
      </c>
      <c r="AA136" s="14">
        <f>IFERROR(VLOOKUP($A136,koronahun!$A:$AM,27,FALSE),"")</f>
        <v>0.93723011363636366</v>
      </c>
      <c r="AB136" s="14">
        <f>IFERROR(VLOOKUP($A136,koronahun!$A:$AM,28,FALSE),"")</f>
        <v>1.0179852727772667</v>
      </c>
      <c r="AC136" s="14">
        <f>IFERROR(VLOOKUP($A136,koronahun!$A:$AM,29,FALSE),"")</f>
        <v>9425.8571428571431</v>
      </c>
      <c r="AD136" s="14">
        <f>IFERROR(VLOOKUP($A136,koronahun!$A:$AM,30,FALSE),"")</f>
        <v>179.42857142857142</v>
      </c>
      <c r="AE136" s="14">
        <f>IFERROR(VLOOKUP($A136,koronahun!$A:$AM,31,FALSE),"")</f>
        <v>37307.857142857145</v>
      </c>
      <c r="AF136" s="13">
        <f>IFERROR(VLOOKUP($A136,koronahun!$A:$AM,32,FALSE),"")</f>
        <v>0.27640034132499053</v>
      </c>
      <c r="AG136">
        <f>IFERROR(VLOOKUP($A136,koronahun!$A:$AM,33,FALSE),"")</f>
        <v>6145984</v>
      </c>
      <c r="AH136">
        <f>IFERROR(VLOOKUP($A136,koronahun!$A:$AM,34,FALSE),"")</f>
        <v>7099</v>
      </c>
      <c r="AI136">
        <f>IFERROR(VLOOKUP($A136,koronahun!$A:$AM,35,FALSE),"")</f>
        <v>11702</v>
      </c>
      <c r="AJ136">
        <f>IFERROR(VLOOKUP($A136,koronahun!$A:$AM,36,FALSE),"")</f>
        <v>5858119</v>
      </c>
      <c r="AK136">
        <f>IFERROR(VLOOKUP($A136,koronahun!$A:$AM,37,FALSE),"")</f>
        <v>5702</v>
      </c>
      <c r="AL136">
        <f>IFERROR(VLOOKUP($A136,koronahun!$A:$AM,38,FALSE),"")</f>
        <v>6860.2</v>
      </c>
      <c r="AM136" s="14">
        <f>IFERROR(VLOOKUP($A136,koronahun!$A:$AM,39,FALSE),"")</f>
        <v>6887.2857142857147</v>
      </c>
      <c r="AN136" s="11">
        <f ca="1">IFERROR(__xludf.DUMMYFUNCTION("""COMPUTED_VALUE"""),44028)</f>
        <v>44028</v>
      </c>
      <c r="AO136" s="12">
        <f ca="1">IFERROR(VLOOKUP(AN136,koronahun!A:B,2,FALSE),"")</f>
        <v>4279</v>
      </c>
      <c r="AP136" s="11">
        <f t="shared" ca="1" si="0"/>
        <v>44028</v>
      </c>
      <c r="AQ136" s="11">
        <f ca="1">IFERROR(__xludf.DUMMYFUNCTION("""COMPUTED_VALUE"""),44028)</f>
        <v>44028</v>
      </c>
      <c r="AR136" s="11">
        <v>44536</v>
      </c>
      <c r="AS136" s="11">
        <f t="shared" si="1"/>
        <v>44536</v>
      </c>
      <c r="AT136" s="11">
        <f ca="1">IFERROR(__xludf.DUMMYFUNCTION("""COMPUTED_VALUE"""),44533)</f>
        <v>44533</v>
      </c>
    </row>
    <row r="137" spans="1:46" ht="13">
      <c r="A137" s="11">
        <v>44532</v>
      </c>
      <c r="B137">
        <f>IFERROR(VLOOKUP($A137,koronahun!$A:$AM,2,FALSE),"")</f>
        <v>1124726</v>
      </c>
      <c r="C137">
        <f>IFERROR(VLOOKUP($A137,koronahun!$A:$AM,3,FALSE),"")</f>
        <v>10466</v>
      </c>
      <c r="D137">
        <f>IFERROR(VLOOKUP($A137,koronahun!$A:$AM,4,FALSE),"")</f>
        <v>34931</v>
      </c>
      <c r="E137">
        <f>IFERROR(VLOOKUP($A137,koronahun!$A:$AM,5,FALSE),"")</f>
        <v>902000</v>
      </c>
      <c r="F137">
        <f>IFERROR(VLOOKUP($A137,koronahun!$A:$AM,6,FALSE),"")</f>
        <v>8516699</v>
      </c>
      <c r="G137" s="12">
        <f>IFERROR(VLOOKUP($A137,koronahun!$A:$AM,7,FALSE),"")</f>
        <v>869050.91836734687</v>
      </c>
      <c r="H137">
        <f>IFERROR(VLOOKUP($A137,koronahun!$A:$AM,8,FALSE),"")</f>
        <v>0</v>
      </c>
      <c r="I137" s="13">
        <f>IFERROR(VLOOKUP($A137,koronahun!$A:$AM,9,FALSE),"")</f>
        <v>9.3927808590454649E-3</v>
      </c>
      <c r="J137" s="13">
        <f>IFERROR(VLOOKUP($A137,koronahun!$A:$AM,10,FALSE),"")</f>
        <v>0.13206125988484504</v>
      </c>
      <c r="K137" s="13">
        <f>IFERROR(VLOOKUP($A137,koronahun!$A:$AM,11,FALSE),"")</f>
        <v>4.9600786532657815E-3</v>
      </c>
      <c r="L137">
        <f>IFERROR(VLOOKUP($A137,koronahun!$A:$AM,12,FALSE),"")</f>
        <v>187795</v>
      </c>
      <c r="M137" s="13">
        <f>IFERROR(VLOOKUP($A137,koronahun!$A:$AM,13,FALSE),"")</f>
        <v>3.1057341965954374E-2</v>
      </c>
      <c r="N137" s="13">
        <f>IFERROR(VLOOKUP($A137,koronahun!$A:$AM,14,FALSE),"")</f>
        <v>0.80197310278236655</v>
      </c>
      <c r="O137">
        <f>IFERROR(VLOOKUP($A137,koronahun!$A:$AM,15,FALSE),"")</f>
        <v>59593</v>
      </c>
      <c r="P137">
        <f>IFERROR(VLOOKUP($A137,koronahun!$A:$AM,16,FALSE),"")</f>
        <v>42035</v>
      </c>
      <c r="Q137" s="13">
        <f>IFERROR(VLOOKUP($A137,koronahun!$A:$AM,17,FALSE),"")</f>
        <v>0.24898299036517188</v>
      </c>
      <c r="R137">
        <f>IFERROR(VLOOKUP($A137,koronahun!$A:$AM,18,FALSE),"")</f>
        <v>218</v>
      </c>
      <c r="S137">
        <f>IFERROR(VLOOKUP($A137,koronahun!$A:$AM,19,FALSE),"")</f>
        <v>10309</v>
      </c>
      <c r="T137">
        <f>IFERROR(VLOOKUP($A137,koronahun!$A:$AM,20,FALSE),"")</f>
        <v>7450</v>
      </c>
      <c r="U137">
        <f>IFERROR(VLOOKUP($A137,koronahun!$A:$AM,21,FALSE),"")</f>
        <v>550</v>
      </c>
      <c r="V137" s="13">
        <f>IFERROR(VLOOKUP($A137,koronahun!$A:$AM,22,FALSE),"")</f>
        <v>0.16696955525167909</v>
      </c>
      <c r="W137">
        <f>IFERROR(VLOOKUP($A137,koronahun!$A:$AM,23,FALSE),"")</f>
        <v>-96</v>
      </c>
      <c r="X137">
        <f>IFERROR(VLOOKUP($A137,koronahun!$A:$AM,24,FALSE),"")</f>
        <v>-12</v>
      </c>
      <c r="Y137" s="14">
        <f>IFERROR(VLOOKUP($A137,koronahun!$A:$AM,25,FALSE),"")</f>
        <v>3.9670917756063795E-2</v>
      </c>
      <c r="Z137" s="14">
        <f>IFERROR(VLOOKUP($A137,koronahun!$A:$AM,26,FALSE),"")</f>
        <v>7.3825503355704702E-2</v>
      </c>
      <c r="AA137" s="14">
        <f>IFERROR(VLOOKUP($A137,koronahun!$A:$AM,27,FALSE),"")</f>
        <v>0.96979289008565128</v>
      </c>
      <c r="AB137" s="14">
        <f>IFERROR(VLOOKUP($A137,koronahun!$A:$AM,28,FALSE),"")</f>
        <v>1.0703866199055403</v>
      </c>
      <c r="AC137" s="14">
        <f>IFERROR(VLOOKUP($A137,koronahun!$A:$AM,29,FALSE),"")</f>
        <v>9672.7142857142862</v>
      </c>
      <c r="AD137" s="14">
        <f>IFERROR(VLOOKUP($A137,koronahun!$A:$AM,30,FALSE),"")</f>
        <v>175.28571428571428</v>
      </c>
      <c r="AE137" s="14">
        <f>IFERROR(VLOOKUP($A137,koronahun!$A:$AM,31,FALSE),"")</f>
        <v>38167.857142857145</v>
      </c>
      <c r="AF137" s="13">
        <f>IFERROR(VLOOKUP($A137,koronahun!$A:$AM,32,FALSE),"")</f>
        <v>0.27768659748132696</v>
      </c>
      <c r="AG137">
        <f>IFERROR(VLOOKUP($A137,koronahun!$A:$AM,33,FALSE),"")</f>
        <v>6138885</v>
      </c>
      <c r="AH137">
        <f>IFERROR(VLOOKUP($A137,koronahun!$A:$AM,34,FALSE),"")</f>
        <v>6336</v>
      </c>
      <c r="AI137">
        <f>IFERROR(VLOOKUP($A137,koronahun!$A:$AM,35,FALSE),"")</f>
        <v>13338.6</v>
      </c>
      <c r="AJ137">
        <f>IFERROR(VLOOKUP($A137,koronahun!$A:$AM,36,FALSE),"")</f>
        <v>5852417</v>
      </c>
      <c r="AK137">
        <f>IFERROR(VLOOKUP($A137,koronahun!$A:$AM,37,FALSE),"")</f>
        <v>5012</v>
      </c>
      <c r="AL137">
        <f>IFERROR(VLOOKUP($A137,koronahun!$A:$AM,38,FALSE),"")</f>
        <v>7273.4</v>
      </c>
      <c r="AM137" s="14">
        <f>IFERROR(VLOOKUP($A137,koronahun!$A:$AM,39,FALSE),"")</f>
        <v>6364.1428571428569</v>
      </c>
      <c r="AN137" s="11">
        <f ca="1">IFERROR(__xludf.DUMMYFUNCTION("""COMPUTED_VALUE"""),44029)</f>
        <v>44029</v>
      </c>
      <c r="AO137" s="12">
        <f ca="1">IFERROR(VLOOKUP(AN137,koronahun!A:B,2,FALSE),"")</f>
        <v>4293</v>
      </c>
      <c r="AP137" s="11">
        <f t="shared" ca="1" si="0"/>
        <v>44029</v>
      </c>
      <c r="AQ137" s="11">
        <f ca="1">IFERROR(__xludf.DUMMYFUNCTION("""COMPUTED_VALUE"""),44029)</f>
        <v>44029</v>
      </c>
      <c r="AR137" s="11">
        <v>44533</v>
      </c>
      <c r="AS137" s="11">
        <f t="shared" si="1"/>
        <v>44533</v>
      </c>
      <c r="AT137" s="11">
        <f ca="1">IFERROR(__xludf.DUMMYFUNCTION("""COMPUTED_VALUE"""),44532)</f>
        <v>44532</v>
      </c>
    </row>
    <row r="138" spans="1:46" ht="13">
      <c r="A138" s="11">
        <v>44531</v>
      </c>
      <c r="B138">
        <f>IFERROR(VLOOKUP($A138,koronahun!$A:$AM,2,FALSE),"")</f>
        <v>1114260</v>
      </c>
      <c r="C138">
        <f>IFERROR(VLOOKUP($A138,koronahun!$A:$AM,3,FALSE),"")</f>
        <v>11152</v>
      </c>
      <c r="D138">
        <f>IFERROR(VLOOKUP($A138,koronahun!$A:$AM,4,FALSE),"")</f>
        <v>34713</v>
      </c>
      <c r="E138">
        <f>IFERROR(VLOOKUP($A138,koronahun!$A:$AM,5,FALSE),"")</f>
        <v>891691</v>
      </c>
      <c r="F138">
        <f>IFERROR(VLOOKUP($A138,koronahun!$A:$AM,6,FALSE),"")</f>
        <v>8474664</v>
      </c>
      <c r="G138" s="12">
        <f>IFERROR(VLOOKUP($A138,koronahun!$A:$AM,7,FALSE),"")</f>
        <v>864761.63265306118</v>
      </c>
      <c r="H138">
        <f>IFERROR(VLOOKUP($A138,koronahun!$A:$AM,8,FALSE),"")</f>
        <v>0</v>
      </c>
      <c r="I138" s="13">
        <f>IFERROR(VLOOKUP($A138,koronahun!$A:$AM,9,FALSE),"")</f>
        <v>1.0109617553313003E-2</v>
      </c>
      <c r="J138" s="13">
        <f>IFERROR(VLOOKUP($A138,koronahun!$A:$AM,10,FALSE),"")</f>
        <v>0.1314813189053867</v>
      </c>
      <c r="K138" s="13">
        <f>IFERROR(VLOOKUP($A138,koronahun!$A:$AM,11,FALSE),"")</f>
        <v>3.661882690901098E-3</v>
      </c>
      <c r="L138">
        <f>IFERROR(VLOOKUP($A138,koronahun!$A:$AM,12,FALSE),"")</f>
        <v>187856</v>
      </c>
      <c r="M138" s="13">
        <f>IFERROR(VLOOKUP($A138,koronahun!$A:$AM,13,FALSE),"")</f>
        <v>3.1153411232566906E-2</v>
      </c>
      <c r="N138" s="13">
        <f>IFERROR(VLOOKUP($A138,koronahun!$A:$AM,14,FALSE),"")</f>
        <v>0.80025398022005634</v>
      </c>
      <c r="O138">
        <f>IFERROR(VLOOKUP($A138,koronahun!$A:$AM,15,FALSE),"")</f>
        <v>53551</v>
      </c>
      <c r="P138">
        <f>IFERROR(VLOOKUP($A138,koronahun!$A:$AM,16,FALSE),"")</f>
        <v>30920</v>
      </c>
      <c r="Q138" s="13">
        <f>IFERROR(VLOOKUP($A138,koronahun!$A:$AM,17,FALSE),"")</f>
        <v>0.36067270375161709</v>
      </c>
      <c r="R138">
        <f>IFERROR(VLOOKUP($A138,koronahun!$A:$AM,18,FALSE),"")</f>
        <v>192</v>
      </c>
      <c r="S138">
        <f>IFERROR(VLOOKUP($A138,koronahun!$A:$AM,19,FALSE),"")</f>
        <v>9032</v>
      </c>
      <c r="T138">
        <f>IFERROR(VLOOKUP($A138,koronahun!$A:$AM,20,FALSE),"")</f>
        <v>7546</v>
      </c>
      <c r="U138">
        <f>IFERROR(VLOOKUP($A138,koronahun!$A:$AM,21,FALSE),"")</f>
        <v>562</v>
      </c>
      <c r="V138" s="13">
        <f>IFERROR(VLOOKUP($A138,koronahun!$A:$AM,22,FALSE),"")</f>
        <v>0.16859260854737673</v>
      </c>
      <c r="W138">
        <f>IFERROR(VLOOKUP($A138,koronahun!$A:$AM,23,FALSE),"")</f>
        <v>-50</v>
      </c>
      <c r="X138">
        <f>IFERROR(VLOOKUP($A138,koronahun!$A:$AM,24,FALSE),"")</f>
        <v>49</v>
      </c>
      <c r="Y138" s="14">
        <f>IFERROR(VLOOKUP($A138,koronahun!$A:$AM,25,FALSE),"")</f>
        <v>4.0169065667319648E-2</v>
      </c>
      <c r="Z138" s="14">
        <f>IFERROR(VLOOKUP($A138,koronahun!$A:$AM,26,FALSE),"")</f>
        <v>7.4476543864298972E-2</v>
      </c>
      <c r="AA138" s="14">
        <f>IFERROR(VLOOKUP($A138,koronahun!$A:$AM,27,FALSE),"")</f>
        <v>1.0144402221572639</v>
      </c>
      <c r="AB138" s="14">
        <f>IFERROR(VLOOKUP($A138,koronahun!$A:$AM,28,FALSE),"")</f>
        <v>1.1267390573943705</v>
      </c>
      <c r="AC138" s="14">
        <f>IFERROR(VLOOKUP($A138,koronahun!$A:$AM,29,FALSE),"")</f>
        <v>9915.4285714285706</v>
      </c>
      <c r="AD138" s="14">
        <f>IFERROR(VLOOKUP($A138,koronahun!$A:$AM,30,FALSE),"")</f>
        <v>170.57142857142858</v>
      </c>
      <c r="AE138" s="14">
        <f>IFERROR(VLOOKUP($A138,koronahun!$A:$AM,31,FALSE),"")</f>
        <v>39705.714285714283</v>
      </c>
      <c r="AF138" s="13">
        <f>IFERROR(VLOOKUP($A138,koronahun!$A:$AM,32,FALSE),"")</f>
        <v>0.27396954486283803</v>
      </c>
      <c r="AG138">
        <f>IFERROR(VLOOKUP($A138,koronahun!$A:$AM,33,FALSE),"")</f>
        <v>6132549</v>
      </c>
      <c r="AH138">
        <f>IFERROR(VLOOKUP($A138,koronahun!$A:$AM,34,FALSE),"")</f>
        <v>6129</v>
      </c>
      <c r="AI138">
        <f>IFERROR(VLOOKUP($A138,koronahun!$A:$AM,35,FALSE),"")</f>
        <v>15036.4</v>
      </c>
      <c r="AJ138">
        <f>IFERROR(VLOOKUP($A138,koronahun!$A:$AM,36,FALSE),"")</f>
        <v>5847405</v>
      </c>
      <c r="AK138">
        <f>IFERROR(VLOOKUP($A138,koronahun!$A:$AM,37,FALSE),"")</f>
        <v>4520</v>
      </c>
      <c r="AL138">
        <f>IFERROR(VLOOKUP($A138,koronahun!$A:$AM,38,FALSE),"")</f>
        <v>7773.8</v>
      </c>
      <c r="AM138" s="14">
        <f>IFERROR(VLOOKUP($A138,koronahun!$A:$AM,39,FALSE),"")</f>
        <v>5051.5714285714284</v>
      </c>
      <c r="AN138" s="11">
        <f ca="1">IFERROR(__xludf.DUMMYFUNCTION("""COMPUTED_VALUE"""),44030)</f>
        <v>44030</v>
      </c>
      <c r="AO138" s="12">
        <f ca="1">IFERROR(VLOOKUP(AN138,koronahun!A:B,2,FALSE),"")</f>
        <v>4315</v>
      </c>
      <c r="AP138" s="11">
        <f t="shared" ca="1" si="0"/>
        <v>44030</v>
      </c>
      <c r="AQ138" s="11">
        <f ca="1">IFERROR(__xludf.DUMMYFUNCTION("""COMPUTED_VALUE"""),44030)</f>
        <v>44030</v>
      </c>
      <c r="AR138" s="11">
        <v>44532</v>
      </c>
      <c r="AS138" s="11">
        <f t="shared" si="1"/>
        <v>44532</v>
      </c>
      <c r="AT138" s="11">
        <f ca="1">IFERROR(__xludf.DUMMYFUNCTION("""COMPUTED_VALUE"""),44531)</f>
        <v>44531</v>
      </c>
    </row>
    <row r="139" spans="1:46" ht="13">
      <c r="A139" s="11">
        <v>44530</v>
      </c>
      <c r="B139">
        <f>IFERROR(VLOOKUP($A139,koronahun!$A:$AM,2,FALSE),"")</f>
        <v>1103108</v>
      </c>
      <c r="C139">
        <f>IFERROR(VLOOKUP($A139,koronahun!$A:$AM,3,FALSE),"")</f>
        <v>6390</v>
      </c>
      <c r="D139">
        <f>IFERROR(VLOOKUP($A139,koronahun!$A:$AM,4,FALSE),"")</f>
        <v>34521</v>
      </c>
      <c r="E139">
        <f>IFERROR(VLOOKUP($A139,koronahun!$A:$AM,5,FALSE),"")</f>
        <v>882659</v>
      </c>
      <c r="F139">
        <f>IFERROR(VLOOKUP($A139,koronahun!$A:$AM,6,FALSE),"")</f>
        <v>8443744</v>
      </c>
      <c r="G139" s="12">
        <f>IFERROR(VLOOKUP($A139,koronahun!$A:$AM,7,FALSE),"")</f>
        <v>861606.53061224485</v>
      </c>
      <c r="H139">
        <f>IFERROR(VLOOKUP($A139,koronahun!$A:$AM,8,FALSE),"")</f>
        <v>0</v>
      </c>
      <c r="I139" s="13">
        <f>IFERROR(VLOOKUP($A139,koronahun!$A:$AM,9,FALSE),"")</f>
        <v>5.8264749917481063E-3</v>
      </c>
      <c r="J139" s="13">
        <f>IFERROR(VLOOKUP($A139,koronahun!$A:$AM,10,FALSE),"")</f>
        <v>0.13064204694031462</v>
      </c>
      <c r="K139" s="13">
        <f>IFERROR(VLOOKUP($A139,koronahun!$A:$AM,11,FALSE),"")</f>
        <v>2.411011659732639E-3</v>
      </c>
      <c r="L139">
        <f>IFERROR(VLOOKUP($A139,koronahun!$A:$AM,12,FALSE),"")</f>
        <v>185928</v>
      </c>
      <c r="M139" s="13">
        <f>IFERROR(VLOOKUP($A139,koronahun!$A:$AM,13,FALSE),"")</f>
        <v>3.1294306631807586E-2</v>
      </c>
      <c r="N139" s="13">
        <f>IFERROR(VLOOKUP($A139,koronahun!$A:$AM,14,FALSE),"")</f>
        <v>0.80015646700051124</v>
      </c>
      <c r="O139">
        <f>IFERROR(VLOOKUP($A139,koronahun!$A:$AM,15,FALSE),"")</f>
        <v>49607</v>
      </c>
      <c r="P139">
        <f>IFERROR(VLOOKUP($A139,koronahun!$A:$AM,16,FALSE),"")</f>
        <v>20309</v>
      </c>
      <c r="Q139" s="13">
        <f>IFERROR(VLOOKUP($A139,koronahun!$A:$AM,17,FALSE),"")</f>
        <v>0.31463883007533605</v>
      </c>
      <c r="R139">
        <f>IFERROR(VLOOKUP($A139,koronahun!$A:$AM,18,FALSE),"")</f>
        <v>195</v>
      </c>
      <c r="S139">
        <f>IFERROR(VLOOKUP($A139,koronahun!$A:$AM,19,FALSE),"")</f>
        <v>5408</v>
      </c>
      <c r="T139">
        <f>IFERROR(VLOOKUP($A139,koronahun!$A:$AM,20,FALSE),"")</f>
        <v>7596</v>
      </c>
      <c r="U139">
        <f>IFERROR(VLOOKUP($A139,koronahun!$A:$AM,21,FALSE),"")</f>
        <v>513</v>
      </c>
      <c r="V139" s="13">
        <f>IFERROR(VLOOKUP($A139,koronahun!$A:$AM,22,FALSE),"")</f>
        <v>0.16854922636768113</v>
      </c>
      <c r="W139">
        <f>IFERROR(VLOOKUP($A139,koronahun!$A:$AM,23,FALSE),"")</f>
        <v>158</v>
      </c>
      <c r="X139">
        <f>IFERROR(VLOOKUP($A139,koronahun!$A:$AM,24,FALSE),"")</f>
        <v>-25</v>
      </c>
      <c r="Y139" s="14">
        <f>IFERROR(VLOOKUP($A139,koronahun!$A:$AM,25,FALSE),"")</f>
        <v>4.0854524331999487E-2</v>
      </c>
      <c r="Z139" s="14">
        <f>IFERROR(VLOOKUP($A139,koronahun!$A:$AM,26,FALSE),"")</f>
        <v>6.7535545023696686E-2</v>
      </c>
      <c r="AA139" s="14">
        <f>IFERROR(VLOOKUP($A139,koronahun!$A:$AM,27,FALSE),"")</f>
        <v>1.0733557412790697</v>
      </c>
      <c r="AB139" s="14">
        <f>IFERROR(VLOOKUP($A139,koronahun!$A:$AM,28,FALSE),"")</f>
        <v>1.1800481222267536</v>
      </c>
      <c r="AC139" s="14">
        <f>IFERROR(VLOOKUP($A139,koronahun!$A:$AM,29,FALSE),"")</f>
        <v>10127.571428571429</v>
      </c>
      <c r="AD139" s="14">
        <f>IFERROR(VLOOKUP($A139,koronahun!$A:$AM,30,FALSE),"")</f>
        <v>168.28571428571428</v>
      </c>
      <c r="AE139" s="14">
        <f>IFERROR(VLOOKUP($A139,koronahun!$A:$AM,31,FALSE),"")</f>
        <v>40838.428571428572</v>
      </c>
      <c r="AF139" s="13">
        <f>IFERROR(VLOOKUP($A139,koronahun!$A:$AM,32,FALSE),"")</f>
        <v>0.26689201973711241</v>
      </c>
      <c r="AG139">
        <f>IFERROR(VLOOKUP($A139,koronahun!$A:$AM,33,FALSE),"")</f>
        <v>6126420</v>
      </c>
      <c r="AH139">
        <f>IFERROR(VLOOKUP($A139,koronahun!$A:$AM,34,FALSE),"")</f>
        <v>5461</v>
      </c>
      <c r="AI139">
        <f>IFERROR(VLOOKUP($A139,koronahun!$A:$AM,35,FALSE),"")</f>
        <v>16660.8</v>
      </c>
      <c r="AJ139">
        <f>IFERROR(VLOOKUP($A139,koronahun!$A:$AM,36,FALSE),"")</f>
        <v>5842885</v>
      </c>
      <c r="AK139">
        <f>IFERROR(VLOOKUP($A139,koronahun!$A:$AM,37,FALSE),"")</f>
        <v>3807</v>
      </c>
      <c r="AL139">
        <f>IFERROR(VLOOKUP($A139,koronahun!$A:$AM,38,FALSE),"")</f>
        <v>8258.4</v>
      </c>
      <c r="AM139" s="14">
        <f>IFERROR(VLOOKUP($A139,koronahun!$A:$AM,39,FALSE),"")</f>
        <v>4477.8571428571431</v>
      </c>
      <c r="AN139" s="11">
        <f ca="1">IFERROR(__xludf.DUMMYFUNCTION("""COMPUTED_VALUE"""),44031)</f>
        <v>44031</v>
      </c>
      <c r="AO139" s="12">
        <f ca="1">IFERROR(VLOOKUP(AN139,koronahun!A:B,2,FALSE),"")</f>
        <v>4333</v>
      </c>
      <c r="AP139" s="11">
        <f t="shared" ca="1" si="0"/>
        <v>44031</v>
      </c>
      <c r="AQ139" s="11">
        <f ca="1">IFERROR(__xludf.DUMMYFUNCTION("""COMPUTED_VALUE"""),44031)</f>
        <v>44031</v>
      </c>
      <c r="AR139" s="11">
        <v>44531</v>
      </c>
      <c r="AS139" s="11">
        <f t="shared" si="1"/>
        <v>44531</v>
      </c>
      <c r="AT139" s="11">
        <f ca="1">IFERROR(__xludf.DUMMYFUNCTION("""COMPUTED_VALUE"""),44530)</f>
        <v>44530</v>
      </c>
    </row>
    <row r="140" spans="1:46" ht="13">
      <c r="A140" s="11">
        <v>44529</v>
      </c>
      <c r="B140">
        <f>IFERROR(VLOOKUP($A140,koronahun!$A:$AM,2,FALSE),"")</f>
        <v>1096718</v>
      </c>
      <c r="C140">
        <f>IFERROR(VLOOKUP($A140,koronahun!$A:$AM,3,FALSE),"")</f>
        <v>27830</v>
      </c>
      <c r="D140">
        <f>IFERROR(VLOOKUP($A140,koronahun!$A:$AM,4,FALSE),"")</f>
        <v>34326</v>
      </c>
      <c r="E140">
        <f>IFERROR(VLOOKUP($A140,koronahun!$A:$AM,5,FALSE),"")</f>
        <v>877251</v>
      </c>
      <c r="F140">
        <f>IFERROR(VLOOKUP($A140,koronahun!$A:$AM,6,FALSE),"")</f>
        <v>8423435</v>
      </c>
      <c r="G140" s="12">
        <f>IFERROR(VLOOKUP($A140,koronahun!$A:$AM,7,FALSE),"")</f>
        <v>859534.18367346935</v>
      </c>
      <c r="H140">
        <f>IFERROR(VLOOKUP($A140,koronahun!$A:$AM,8,FALSE),"")</f>
        <v>0</v>
      </c>
      <c r="I140" s="13">
        <f>IFERROR(VLOOKUP($A140,koronahun!$A:$AM,9,FALSE),"")</f>
        <v>2.603640418827791E-2</v>
      </c>
      <c r="J140" s="13">
        <f>IFERROR(VLOOKUP($A140,koronahun!$A:$AM,10,FALSE),"")</f>
        <v>0.13019842855082278</v>
      </c>
      <c r="K140" s="13">
        <f>IFERROR(VLOOKUP($A140,koronahun!$A:$AM,11,FALSE),"")</f>
        <v>1.5015990225116342E-2</v>
      </c>
      <c r="L140">
        <f>IFERROR(VLOOKUP($A140,koronahun!$A:$AM,12,FALSE),"")</f>
        <v>185141</v>
      </c>
      <c r="M140" s="13">
        <f>IFERROR(VLOOKUP($A140,koronahun!$A:$AM,13,FALSE),"")</f>
        <v>3.1298838899334193E-2</v>
      </c>
      <c r="N140" s="13">
        <f>IFERROR(VLOOKUP($A140,koronahun!$A:$AM,14,FALSE),"")</f>
        <v>0.7998874824704254</v>
      </c>
      <c r="O140">
        <f>IFERROR(VLOOKUP($A140,koronahun!$A:$AM,15,FALSE),"")</f>
        <v>52452</v>
      </c>
      <c r="P140">
        <f>IFERROR(VLOOKUP($A140,koronahun!$A:$AM,16,FALSE),"")</f>
        <v>124615</v>
      </c>
      <c r="Q140" s="13">
        <f>IFERROR(VLOOKUP($A140,koronahun!$A:$AM,17,FALSE),"")</f>
        <v>0.22332784977731412</v>
      </c>
      <c r="R140">
        <f>IFERROR(VLOOKUP($A140,koronahun!$A:$AM,18,FALSE),"")</f>
        <v>460</v>
      </c>
      <c r="S140">
        <f>IFERROR(VLOOKUP($A140,koronahun!$A:$AM,19,FALSE),"")</f>
        <v>14717</v>
      </c>
      <c r="T140">
        <f>IFERROR(VLOOKUP($A140,koronahun!$A:$AM,20,FALSE),"")</f>
        <v>7438</v>
      </c>
      <c r="U140">
        <f>IFERROR(VLOOKUP($A140,koronahun!$A:$AM,21,FALSE),"")</f>
        <v>538</v>
      </c>
      <c r="V140" s="13">
        <f>IFERROR(VLOOKUP($A140,koronahun!$A:$AM,22,FALSE),"")</f>
        <v>0.16881367863024041</v>
      </c>
      <c r="W140">
        <f>IFERROR(VLOOKUP($A140,koronahun!$A:$AM,23,FALSE),"")</f>
        <v>525</v>
      </c>
      <c r="X140">
        <f>IFERROR(VLOOKUP($A140,koronahun!$A:$AM,24,FALSE),"")</f>
        <v>-157</v>
      </c>
      <c r="Y140" s="14">
        <f>IFERROR(VLOOKUP($A140,koronahun!$A:$AM,25,FALSE),"")</f>
        <v>4.017478570386894E-2</v>
      </c>
      <c r="Z140" s="14">
        <f>IFERROR(VLOOKUP($A140,koronahun!$A:$AM,26,FALSE),"")</f>
        <v>7.233127184727077E-2</v>
      </c>
      <c r="AA140" s="14">
        <f>IFERROR(VLOOKUP($A140,koronahun!$A:$AM,27,FALSE),"")</f>
        <v>1.0951073967279847</v>
      </c>
      <c r="AB140" s="14">
        <f>IFERROR(VLOOKUP($A140,koronahun!$A:$AM,28,FALSE),"")</f>
        <v>1.221471272259069</v>
      </c>
      <c r="AC140" s="14">
        <f>IFERROR(VLOOKUP($A140,koronahun!$A:$AM,29,FALSE),"")</f>
        <v>10145.857142857143</v>
      </c>
      <c r="AD140" s="14">
        <f>IFERROR(VLOOKUP($A140,koronahun!$A:$AM,30,FALSE),"")</f>
        <v>164.85714285714286</v>
      </c>
      <c r="AE140" s="14">
        <f>IFERROR(VLOOKUP($A140,koronahun!$A:$AM,31,FALSE),"")</f>
        <v>41303.571428571428</v>
      </c>
      <c r="AF140" s="13">
        <f>IFERROR(VLOOKUP($A140,koronahun!$A:$AM,32,FALSE),"")</f>
        <v>0.25928358323615514</v>
      </c>
      <c r="AG140">
        <f>IFERROR(VLOOKUP($A140,koronahun!$A:$AM,33,FALSE),"")</f>
        <v>6120959</v>
      </c>
      <c r="AH140">
        <f>IFERROR(VLOOKUP($A140,koronahun!$A:$AM,34,FALSE),"")</f>
        <v>33485</v>
      </c>
      <c r="AI140">
        <f>IFERROR(VLOOKUP($A140,koronahun!$A:$AM,35,FALSE),"")</f>
        <v>19278.2</v>
      </c>
      <c r="AJ140">
        <f>IFERROR(VLOOKUP($A140,koronahun!$A:$AM,36,FALSE),"")</f>
        <v>5839078</v>
      </c>
      <c r="AK140">
        <f>IFERROR(VLOOKUP($A140,koronahun!$A:$AM,37,FALSE),"")</f>
        <v>15260</v>
      </c>
      <c r="AL140">
        <f>IFERROR(VLOOKUP($A140,koronahun!$A:$AM,38,FALSE),"")</f>
        <v>8915.7999999999993</v>
      </c>
      <c r="AM140" s="14">
        <f>IFERROR(VLOOKUP($A140,koronahun!$A:$AM,39,FALSE),"")</f>
        <v>4179.8571428571431</v>
      </c>
      <c r="AN140" s="11">
        <f ca="1">IFERROR(__xludf.DUMMYFUNCTION("""COMPUTED_VALUE"""),44032)</f>
        <v>44032</v>
      </c>
      <c r="AO140" s="12">
        <f ca="1">IFERROR(VLOOKUP(AN140,koronahun!A:B,2,FALSE),"")</f>
        <v>4339</v>
      </c>
      <c r="AP140" s="11">
        <f t="shared" ca="1" si="0"/>
        <v>44032</v>
      </c>
      <c r="AQ140" s="11">
        <f ca="1">IFERROR(__xludf.DUMMYFUNCTION("""COMPUTED_VALUE"""),44032)</f>
        <v>44032</v>
      </c>
      <c r="AR140" s="11">
        <v>44530</v>
      </c>
      <c r="AS140" s="11">
        <f t="shared" si="1"/>
        <v>44530</v>
      </c>
      <c r="AT140" s="11">
        <f ca="1">IFERROR(__xludf.DUMMYFUNCTION("""COMPUTED_VALUE"""),44529)</f>
        <v>44529</v>
      </c>
    </row>
    <row r="141" spans="1:46" ht="13">
      <c r="A141" s="11">
        <v>44526</v>
      </c>
      <c r="B141">
        <f>IFERROR(VLOOKUP($A141,koronahun!$A:$AM,2,FALSE),"")</f>
        <v>1068888</v>
      </c>
      <c r="C141">
        <f>IFERROR(VLOOKUP($A141,koronahun!$A:$AM,3,FALSE),"")</f>
        <v>11871</v>
      </c>
      <c r="D141">
        <f>IFERROR(VLOOKUP($A141,koronahun!$A:$AM,4,FALSE),"")</f>
        <v>33866</v>
      </c>
      <c r="E141">
        <f>IFERROR(VLOOKUP($A141,koronahun!$A:$AM,5,FALSE),"")</f>
        <v>862534</v>
      </c>
      <c r="F141">
        <f>IFERROR(VLOOKUP($A141,koronahun!$A:$AM,6,FALSE),"")</f>
        <v>8298820</v>
      </c>
      <c r="G141" s="12">
        <f>IFERROR(VLOOKUP($A141,koronahun!$A:$AM,7,FALSE),"")</f>
        <v>846818.3673469387</v>
      </c>
      <c r="H141">
        <f>IFERROR(VLOOKUP($A141,koronahun!$A:$AM,8,FALSE),"")</f>
        <v>0</v>
      </c>
      <c r="I141" s="13">
        <f>IFERROR(VLOOKUP($A141,koronahun!$A:$AM,9,FALSE),"")</f>
        <v>1.1230661380091333E-2</v>
      </c>
      <c r="J141" s="13">
        <f>IFERROR(VLOOKUP($A141,koronahun!$A:$AM,10,FALSE),"")</f>
        <v>0.12879999807201506</v>
      </c>
      <c r="K141" s="13">
        <f>IFERROR(VLOOKUP($A141,koronahun!$A:$AM,11,FALSE),"")</f>
        <v>5.975617502294678E-3</v>
      </c>
      <c r="L141">
        <f>IFERROR(VLOOKUP($A141,koronahun!$A:$AM,12,FALSE),"")</f>
        <v>172488</v>
      </c>
      <c r="M141" s="13">
        <f>IFERROR(VLOOKUP($A141,koronahun!$A:$AM,13,FALSE),"")</f>
        <v>3.1683394331305056E-2</v>
      </c>
      <c r="N141" s="13">
        <f>IFERROR(VLOOKUP($A141,koronahun!$A:$AM,14,FALSE),"")</f>
        <v>0.80694516170075814</v>
      </c>
      <c r="O141">
        <f>IFERROR(VLOOKUP($A141,koronahun!$A:$AM,15,FALSE),"")</f>
        <v>66834</v>
      </c>
      <c r="P141">
        <f>IFERROR(VLOOKUP($A141,koronahun!$A:$AM,16,FALSE),"")</f>
        <v>49296</v>
      </c>
      <c r="Q141" s="13">
        <f>IFERROR(VLOOKUP($A141,koronahun!$A:$AM,17,FALSE),"")</f>
        <v>0.2408106134371957</v>
      </c>
      <c r="R141">
        <f>IFERROR(VLOOKUP($A141,koronahun!$A:$AM,18,FALSE),"")</f>
        <v>162</v>
      </c>
      <c r="S141">
        <f>IFERROR(VLOOKUP($A141,koronahun!$A:$AM,19,FALSE),"")</f>
        <v>5083</v>
      </c>
      <c r="T141">
        <f>IFERROR(VLOOKUP($A141,koronahun!$A:$AM,20,FALSE),"")</f>
        <v>6913</v>
      </c>
      <c r="U141">
        <f>IFERROR(VLOOKUP($A141,koronahun!$A:$AM,21,FALSE),"")</f>
        <v>695</v>
      </c>
      <c r="V141" s="13">
        <f>IFERROR(VLOOKUP($A141,koronahun!$A:$AM,22,FALSE),"")</f>
        <v>0.16137144396793676</v>
      </c>
      <c r="W141">
        <f>IFERROR(VLOOKUP($A141,koronahun!$A:$AM,23,FALSE),"")</f>
        <v>55</v>
      </c>
      <c r="X141">
        <f>IFERROR(VLOOKUP($A141,koronahun!$A:$AM,24,FALSE),"")</f>
        <v>15</v>
      </c>
      <c r="Y141" s="14">
        <f>IFERROR(VLOOKUP($A141,koronahun!$A:$AM,25,FALSE),"")</f>
        <v>4.0078150364083298E-2</v>
      </c>
      <c r="Z141" s="14">
        <f>IFERROR(VLOOKUP($A141,koronahun!$A:$AM,26,FALSE),"")</f>
        <v>0.10053522349197165</v>
      </c>
      <c r="AA141" s="14">
        <f>IFERROR(VLOOKUP($A141,koronahun!$A:$AM,27,FALSE),"")</f>
        <v>1.1992368492777323</v>
      </c>
      <c r="AB141" s="14">
        <f>IFERROR(VLOOKUP($A141,koronahun!$A:$AM,28,FALSE),"")</f>
        <v>1.2575455723258151</v>
      </c>
      <c r="AC141" s="14">
        <f>IFERROR(VLOOKUP($A141,koronahun!$A:$AM,29,FALSE),"")</f>
        <v>10057.142857142857</v>
      </c>
      <c r="AD141" s="14">
        <f>IFERROR(VLOOKUP($A141,koronahun!$A:$AM,30,FALSE),"")</f>
        <v>155.14285714285714</v>
      </c>
      <c r="AE141" s="14">
        <f>IFERROR(VLOOKUP($A141,koronahun!$A:$AM,31,FALSE),"")</f>
        <v>41748.428571428572</v>
      </c>
      <c r="AF141" s="13">
        <f>IFERROR(VLOOKUP($A141,koronahun!$A:$AM,32,FALSE),"")</f>
        <v>0.25722227699527556</v>
      </c>
      <c r="AG141">
        <f>IFERROR(VLOOKUP($A141,koronahun!$A:$AM,33,FALSE),"")</f>
        <v>6087474</v>
      </c>
      <c r="AH141">
        <f>IFERROR(VLOOKUP($A141,koronahun!$A:$AM,34,FALSE),"")</f>
        <v>15282</v>
      </c>
      <c r="AI141">
        <f>IFERROR(VLOOKUP($A141,koronahun!$A:$AM,35,FALSE),"")</f>
        <v>13933.4</v>
      </c>
      <c r="AJ141">
        <f>IFERROR(VLOOKUP($A141,koronahun!$A:$AM,36,FALSE),"")</f>
        <v>5823818</v>
      </c>
      <c r="AK141">
        <f>IFERROR(VLOOKUP($A141,koronahun!$A:$AM,37,FALSE),"")</f>
        <v>7768</v>
      </c>
      <c r="AL141">
        <f>IFERROR(VLOOKUP($A141,koronahun!$A:$AM,38,FALSE),"")</f>
        <v>7008.6</v>
      </c>
      <c r="AM141" s="14">
        <f>IFERROR(VLOOKUP($A141,koronahun!$A:$AM,39,FALSE),"")</f>
        <v>3564.2857142857142</v>
      </c>
      <c r="AN141" s="11">
        <f ca="1">IFERROR(__xludf.DUMMYFUNCTION("""COMPUTED_VALUE"""),44033)</f>
        <v>44033</v>
      </c>
      <c r="AO141" s="12">
        <f ca="1">IFERROR(VLOOKUP(AN141,koronahun!A:B,2,FALSE),"")</f>
        <v>4347</v>
      </c>
      <c r="AP141" s="11">
        <f t="shared" ca="1" si="0"/>
        <v>44033</v>
      </c>
      <c r="AQ141" s="11">
        <f ca="1">IFERROR(__xludf.DUMMYFUNCTION("""COMPUTED_VALUE"""),44033)</f>
        <v>44033</v>
      </c>
      <c r="AR141" s="11">
        <v>44529</v>
      </c>
      <c r="AS141" s="11">
        <f t="shared" si="1"/>
        <v>44529</v>
      </c>
      <c r="AT141" s="11">
        <f ca="1">IFERROR(__xludf.DUMMYFUNCTION("""COMPUTED_VALUE"""),44526)</f>
        <v>44526</v>
      </c>
    </row>
    <row r="142" spans="1:46" ht="13">
      <c r="A142" s="11">
        <v>44525</v>
      </c>
      <c r="B142">
        <f>IFERROR(VLOOKUP($A142,koronahun!$A:$AM,2,FALSE),"")</f>
        <v>1057017</v>
      </c>
      <c r="C142">
        <f>IFERROR(VLOOKUP($A142,koronahun!$A:$AM,3,FALSE),"")</f>
        <v>12165</v>
      </c>
      <c r="D142">
        <f>IFERROR(VLOOKUP($A142,koronahun!$A:$AM,4,FALSE),"")</f>
        <v>33704</v>
      </c>
      <c r="E142">
        <f>IFERROR(VLOOKUP($A142,koronahun!$A:$AM,5,FALSE),"")</f>
        <v>857451</v>
      </c>
      <c r="F142">
        <f>IFERROR(VLOOKUP($A142,koronahun!$A:$AM,6,FALSE),"")</f>
        <v>8249524</v>
      </c>
      <c r="G142" s="12">
        <f>IFERROR(VLOOKUP($A142,koronahun!$A:$AM,7,FALSE),"")</f>
        <v>841788.16326530604</v>
      </c>
      <c r="H142">
        <f>IFERROR(VLOOKUP($A142,koronahun!$A:$AM,8,FALSE),"")</f>
        <v>0</v>
      </c>
      <c r="I142" s="13">
        <f>IFERROR(VLOOKUP($A142,koronahun!$A:$AM,9,FALSE),"")</f>
        <v>1.1642797257410619E-2</v>
      </c>
      <c r="J142" s="13">
        <f>IFERROR(VLOOKUP($A142,koronahun!$A:$AM,10,FALSE),"")</f>
        <v>0.12813066547839608</v>
      </c>
      <c r="K142" s="13">
        <f>IFERROR(VLOOKUP($A142,koronahun!$A:$AM,11,FALSE),"")</f>
        <v>6.4415978871558933E-3</v>
      </c>
      <c r="L142">
        <f>IFERROR(VLOOKUP($A142,koronahun!$A:$AM,12,FALSE),"")</f>
        <v>165862</v>
      </c>
      <c r="M142" s="13">
        <f>IFERROR(VLOOKUP($A142,koronahun!$A:$AM,13,FALSE),"")</f>
        <v>3.1885958314766934E-2</v>
      </c>
      <c r="N142" s="13">
        <f>IFERROR(VLOOKUP($A142,koronahun!$A:$AM,14,FALSE),"")</f>
        <v>0.81119887381186873</v>
      </c>
      <c r="O142">
        <f>IFERROR(VLOOKUP($A142,koronahun!$A:$AM,15,FALSE),"")</f>
        <v>64002</v>
      </c>
      <c r="P142">
        <f>IFERROR(VLOOKUP($A142,koronahun!$A:$AM,16,FALSE),"")</f>
        <v>52800</v>
      </c>
      <c r="Q142" s="13">
        <f>IFERROR(VLOOKUP($A142,koronahun!$A:$AM,17,FALSE),"")</f>
        <v>0.23039772727272728</v>
      </c>
      <c r="R142">
        <f>IFERROR(VLOOKUP($A142,koronahun!$A:$AM,18,FALSE),"")</f>
        <v>185</v>
      </c>
      <c r="S142">
        <f>IFERROR(VLOOKUP($A142,koronahun!$A:$AM,19,FALSE),"")</f>
        <v>1121</v>
      </c>
      <c r="T142">
        <f>IFERROR(VLOOKUP($A142,koronahun!$A:$AM,20,FALSE),"")</f>
        <v>6858</v>
      </c>
      <c r="U142">
        <f>IFERROR(VLOOKUP($A142,koronahun!$A:$AM,21,FALSE),"")</f>
        <v>680</v>
      </c>
      <c r="V142" s="13">
        <f>IFERROR(VLOOKUP($A142,koronahun!$A:$AM,22,FALSE),"")</f>
        <v>0.15691516787336438</v>
      </c>
      <c r="W142">
        <f>IFERROR(VLOOKUP($A142,koronahun!$A:$AM,23,FALSE),"")</f>
        <v>18</v>
      </c>
      <c r="X142">
        <f>IFERROR(VLOOKUP($A142,koronahun!$A:$AM,24,FALSE),"")</f>
        <v>16</v>
      </c>
      <c r="Y142" s="14">
        <f>IFERROR(VLOOKUP($A142,koronahun!$A:$AM,25,FALSE),"")</f>
        <v>4.1347626339969371E-2</v>
      </c>
      <c r="Z142" s="14">
        <f>IFERROR(VLOOKUP($A142,koronahun!$A:$AM,26,FALSE),"")</f>
        <v>9.9154272382618841E-2</v>
      </c>
      <c r="AA142" s="14">
        <f>IFERROR(VLOOKUP($A142,koronahun!$A:$AM,27,FALSE),"")</f>
        <v>1.2515550775298019</v>
      </c>
      <c r="AB142" s="14">
        <f>IFERROR(VLOOKUP($A142,koronahun!$A:$AM,28,FALSE),"")</f>
        <v>1.2642500714328895</v>
      </c>
      <c r="AC142" s="14">
        <f>IFERROR(VLOOKUP($A142,koronahun!$A:$AM,29,FALSE),"")</f>
        <v>9974</v>
      </c>
      <c r="AD142" s="14">
        <f>IFERROR(VLOOKUP($A142,koronahun!$A:$AM,30,FALSE),"")</f>
        <v>151.28571428571428</v>
      </c>
      <c r="AE142" s="14">
        <f>IFERROR(VLOOKUP($A142,koronahun!$A:$AM,31,FALSE),"")</f>
        <v>42124.285714285717</v>
      </c>
      <c r="AF142" s="13">
        <f>IFERROR(VLOOKUP($A142,koronahun!$A:$AM,32,FALSE),"")</f>
        <v>0.25254042468740773</v>
      </c>
      <c r="AG142">
        <f>IFERROR(VLOOKUP($A142,koronahun!$A:$AM,33,FALSE),"")</f>
        <v>6072192</v>
      </c>
      <c r="AH142">
        <f>IFERROR(VLOOKUP($A142,koronahun!$A:$AM,34,FALSE),"")</f>
        <v>14825</v>
      </c>
      <c r="AI142">
        <f>IFERROR(VLOOKUP($A142,koronahun!$A:$AM,35,FALSE),"")</f>
        <v>11837</v>
      </c>
      <c r="AJ142">
        <f>IFERROR(VLOOKUP($A142,koronahun!$A:$AM,36,FALSE),"")</f>
        <v>5816050</v>
      </c>
      <c r="AK142">
        <f>IFERROR(VLOOKUP($A142,koronahun!$A:$AM,37,FALSE),"")</f>
        <v>7514</v>
      </c>
      <c r="AL142">
        <f>IFERROR(VLOOKUP($A142,koronahun!$A:$AM,38,FALSE),"")</f>
        <v>6218.4</v>
      </c>
      <c r="AM142" s="14">
        <f>IFERROR(VLOOKUP($A142,koronahun!$A:$AM,39,FALSE),"")</f>
        <v>3433.5714285714284</v>
      </c>
      <c r="AN142" s="11">
        <f ca="1">IFERROR(__xludf.DUMMYFUNCTION("""COMPUTED_VALUE"""),44034)</f>
        <v>44034</v>
      </c>
      <c r="AO142" s="12">
        <f ca="1">IFERROR(VLOOKUP(AN142,koronahun!A:B,2,FALSE),"")</f>
        <v>4366</v>
      </c>
      <c r="AP142" s="11">
        <f t="shared" ca="1" si="0"/>
        <v>44034</v>
      </c>
      <c r="AQ142" s="11">
        <f ca="1">IFERROR(__xludf.DUMMYFUNCTION("""COMPUTED_VALUE"""),44034)</f>
        <v>44034</v>
      </c>
      <c r="AR142" s="11">
        <v>44526</v>
      </c>
      <c r="AS142" s="11">
        <f t="shared" si="1"/>
        <v>44526</v>
      </c>
      <c r="AT142" s="11">
        <f ca="1">IFERROR(__xludf.DUMMYFUNCTION("""COMPUTED_VALUE"""),44525)</f>
        <v>44525</v>
      </c>
    </row>
    <row r="143" spans="1:46" ht="13">
      <c r="A143" s="11">
        <v>44524</v>
      </c>
      <c r="B143">
        <f>IFERROR(VLOOKUP($A143,koronahun!$A:$AM,2,FALSE),"")</f>
        <v>1044852</v>
      </c>
      <c r="C143">
        <f>IFERROR(VLOOKUP($A143,koronahun!$A:$AM,3,FALSE),"")</f>
        <v>12637</v>
      </c>
      <c r="D143">
        <f>IFERROR(VLOOKUP($A143,koronahun!$A:$AM,4,FALSE),"")</f>
        <v>33519</v>
      </c>
      <c r="E143">
        <f>IFERROR(VLOOKUP($A143,koronahun!$A:$AM,5,FALSE),"")</f>
        <v>856330</v>
      </c>
      <c r="F143">
        <f>IFERROR(VLOOKUP($A143,koronahun!$A:$AM,6,FALSE),"")</f>
        <v>8196724</v>
      </c>
      <c r="G143" s="12">
        <f>IFERROR(VLOOKUP($A143,koronahun!$A:$AM,7,FALSE),"")</f>
        <v>836400.40816326521</v>
      </c>
      <c r="H143">
        <f>IFERROR(VLOOKUP($A143,koronahun!$A:$AM,8,FALSE),"")</f>
        <v>0</v>
      </c>
      <c r="I143" s="13">
        <f>IFERROR(VLOOKUP($A143,koronahun!$A:$AM,9,FALSE),"")</f>
        <v>1.2242604496156323E-2</v>
      </c>
      <c r="J143" s="13">
        <f>IFERROR(VLOOKUP($A143,koronahun!$A:$AM,10,FALSE),"")</f>
        <v>0.12747190218921609</v>
      </c>
      <c r="K143" s="13">
        <f>IFERROR(VLOOKUP($A143,koronahun!$A:$AM,11,FALSE),"")</f>
        <v>4.7621470051943671E-3</v>
      </c>
      <c r="L143">
        <f>IFERROR(VLOOKUP($A143,koronahun!$A:$AM,12,FALSE),"")</f>
        <v>155003</v>
      </c>
      <c r="M143" s="13">
        <f>IFERROR(VLOOKUP($A143,koronahun!$A:$AM,13,FALSE),"")</f>
        <v>3.2080141493723513E-2</v>
      </c>
      <c r="N143" s="13">
        <f>IFERROR(VLOOKUP($A143,koronahun!$A:$AM,14,FALSE),"")</f>
        <v>0.8195706186139281</v>
      </c>
      <c r="O143">
        <f>IFERROR(VLOOKUP($A143,koronahun!$A:$AM,15,FALSE),"")</f>
        <v>54978</v>
      </c>
      <c r="P143">
        <f>IFERROR(VLOOKUP($A143,koronahun!$A:$AM,16,FALSE),"")</f>
        <v>38849</v>
      </c>
      <c r="Q143" s="13">
        <f>IFERROR(VLOOKUP($A143,koronahun!$A:$AM,17,FALSE),"")</f>
        <v>0.32528507812298901</v>
      </c>
      <c r="R143">
        <f>IFERROR(VLOOKUP($A143,koronahun!$A:$AM,18,FALSE),"")</f>
        <v>176</v>
      </c>
      <c r="S143">
        <f>IFERROR(VLOOKUP($A143,koronahun!$A:$AM,19,FALSE),"")</f>
        <v>5016</v>
      </c>
      <c r="T143">
        <f>IFERROR(VLOOKUP($A143,koronahun!$A:$AM,20,FALSE),"")</f>
        <v>6840</v>
      </c>
      <c r="U143">
        <f>IFERROR(VLOOKUP($A143,koronahun!$A:$AM,21,FALSE),"")</f>
        <v>664</v>
      </c>
      <c r="V143" s="13">
        <f>IFERROR(VLOOKUP($A143,koronahun!$A:$AM,22,FALSE),"")</f>
        <v>0.14834923989234838</v>
      </c>
      <c r="W143">
        <f>IFERROR(VLOOKUP($A143,koronahun!$A:$AM,23,FALSE),"")</f>
        <v>10</v>
      </c>
      <c r="X143">
        <f>IFERROR(VLOOKUP($A143,koronahun!$A:$AM,24,FALSE),"")</f>
        <v>1</v>
      </c>
      <c r="Y143" s="14">
        <f>IFERROR(VLOOKUP($A143,koronahun!$A:$AM,25,FALSE),"")</f>
        <v>4.4128178164293597E-2</v>
      </c>
      <c r="Z143" s="14">
        <f>IFERROR(VLOOKUP($A143,koronahun!$A:$AM,26,FALSE),"")</f>
        <v>9.7076023391812871E-2</v>
      </c>
      <c r="AA143" s="14">
        <f>IFERROR(VLOOKUP($A143,koronahun!$A:$AM,27,FALSE),"")</f>
        <v>1.2809855463191793</v>
      </c>
      <c r="AB143" s="14">
        <f>IFERROR(VLOOKUP($A143,koronahun!$A:$AM,28,FALSE),"")</f>
        <v>1.2561981430854821</v>
      </c>
      <c r="AC143" s="14">
        <f>IFERROR(VLOOKUP($A143,koronahun!$A:$AM,29,FALSE),"")</f>
        <v>9774.2857142857138</v>
      </c>
      <c r="AD143" s="14">
        <f>IFERROR(VLOOKUP($A143,koronahun!$A:$AM,30,FALSE),"")</f>
        <v>143.57142857142858</v>
      </c>
      <c r="AE143" s="14">
        <f>IFERROR(VLOOKUP($A143,koronahun!$A:$AM,31,FALSE),"")</f>
        <v>40991.714285714283</v>
      </c>
      <c r="AF143" s="13">
        <f>IFERROR(VLOOKUP($A143,koronahun!$A:$AM,32,FALSE),"")</f>
        <v>0.25445071699360394</v>
      </c>
      <c r="AG143">
        <f>IFERROR(VLOOKUP($A143,koronahun!$A:$AM,33,FALSE),"")</f>
        <v>6057367</v>
      </c>
      <c r="AH143">
        <f>IFERROR(VLOOKUP($A143,koronahun!$A:$AM,34,FALSE),"")</f>
        <v>14251</v>
      </c>
      <c r="AI143">
        <f>IFERROR(VLOOKUP($A143,koronahun!$A:$AM,35,FALSE),"")</f>
        <v>9828.2000000000007</v>
      </c>
      <c r="AJ143">
        <f>IFERROR(VLOOKUP($A143,koronahun!$A:$AM,36,FALSE),"")</f>
        <v>5808536</v>
      </c>
      <c r="AK143">
        <f>IFERROR(VLOOKUP($A143,koronahun!$A:$AM,37,FALSE),"")</f>
        <v>6943</v>
      </c>
      <c r="AL143">
        <f>IFERROR(VLOOKUP($A143,koronahun!$A:$AM,38,FALSE),"")</f>
        <v>5522.2</v>
      </c>
      <c r="AM143" s="14">
        <f>IFERROR(VLOOKUP($A143,koronahun!$A:$AM,39,FALSE),"")</f>
        <v>3970.7142857142858</v>
      </c>
      <c r="AN143" s="11">
        <f ca="1">IFERROR(__xludf.DUMMYFUNCTION("""COMPUTED_VALUE"""),44035)</f>
        <v>44035</v>
      </c>
      <c r="AO143" s="12">
        <f ca="1">IFERROR(VLOOKUP(AN143,koronahun!A:B,2,FALSE),"")</f>
        <v>4380</v>
      </c>
      <c r="AP143" s="11">
        <f t="shared" ca="1" si="0"/>
        <v>44035</v>
      </c>
      <c r="AQ143" s="11">
        <f ca="1">IFERROR(__xludf.DUMMYFUNCTION("""COMPUTED_VALUE"""),44035)</f>
        <v>44035</v>
      </c>
      <c r="AR143" s="11">
        <v>44525</v>
      </c>
      <c r="AS143" s="11">
        <f t="shared" si="1"/>
        <v>44525</v>
      </c>
      <c r="AT143" s="11">
        <f ca="1">IFERROR(__xludf.DUMMYFUNCTION("""COMPUTED_VALUE"""),44524)</f>
        <v>44524</v>
      </c>
    </row>
    <row r="144" spans="1:46" ht="13">
      <c r="A144" s="11">
        <v>44523</v>
      </c>
      <c r="B144">
        <f>IFERROR(VLOOKUP($A144,koronahun!$A:$AM,2,FALSE),"")</f>
        <v>1032215</v>
      </c>
      <c r="C144">
        <f>IFERROR(VLOOKUP($A144,koronahun!$A:$AM,3,FALSE),"")</f>
        <v>6518</v>
      </c>
      <c r="D144">
        <f>IFERROR(VLOOKUP($A144,koronahun!$A:$AM,4,FALSE),"")</f>
        <v>33343</v>
      </c>
      <c r="E144">
        <f>IFERROR(VLOOKUP($A144,koronahun!$A:$AM,5,FALSE),"")</f>
        <v>851314</v>
      </c>
      <c r="F144">
        <f>IFERROR(VLOOKUP($A144,koronahun!$A:$AM,6,FALSE),"")</f>
        <v>8157875</v>
      </c>
      <c r="G144" s="12">
        <f>IFERROR(VLOOKUP($A144,koronahun!$A:$AM,7,FALSE),"")</f>
        <v>832436.22448979586</v>
      </c>
      <c r="H144">
        <f>IFERROR(VLOOKUP($A144,koronahun!$A:$AM,8,FALSE),"")</f>
        <v>0</v>
      </c>
      <c r="I144" s="13">
        <f>IFERROR(VLOOKUP($A144,koronahun!$A:$AM,9,FALSE),"")</f>
        <v>6.3547031920732928E-3</v>
      </c>
      <c r="J144" s="13">
        <f>IFERROR(VLOOKUP($A144,koronahun!$A:$AM,10,FALSE),"")</f>
        <v>0.12652988676585508</v>
      </c>
      <c r="K144" s="13">
        <f>IFERROR(VLOOKUP($A144,koronahun!$A:$AM,11,FALSE),"")</f>
        <v>2.8969881895329784E-3</v>
      </c>
      <c r="L144">
        <f>IFERROR(VLOOKUP($A144,koronahun!$A:$AM,12,FALSE),"")</f>
        <v>147558</v>
      </c>
      <c r="M144" s="13">
        <f>IFERROR(VLOOKUP($A144,koronahun!$A:$AM,13,FALSE),"")</f>
        <v>3.2302378864868267E-2</v>
      </c>
      <c r="N144" s="13">
        <f>IFERROR(VLOOKUP($A144,koronahun!$A:$AM,14,FALSE),"")</f>
        <v>0.82474484482399502</v>
      </c>
      <c r="O144">
        <f>IFERROR(VLOOKUP($A144,koronahun!$A:$AM,15,FALSE),"")</f>
        <v>49737</v>
      </c>
      <c r="P144">
        <f>IFERROR(VLOOKUP($A144,koronahun!$A:$AM,16,FALSE),"")</f>
        <v>23565</v>
      </c>
      <c r="Q144" s="13">
        <f>IFERROR(VLOOKUP($A144,koronahun!$A:$AM,17,FALSE),"")</f>
        <v>0.27659664757054953</v>
      </c>
      <c r="R144">
        <f>IFERROR(VLOOKUP($A144,koronahun!$A:$AM,18,FALSE),"")</f>
        <v>171</v>
      </c>
      <c r="S144">
        <f>IFERROR(VLOOKUP($A144,koronahun!$A:$AM,19,FALSE),"")</f>
        <v>3322</v>
      </c>
      <c r="T144">
        <f>IFERROR(VLOOKUP($A144,koronahun!$A:$AM,20,FALSE),"")</f>
        <v>6830</v>
      </c>
      <c r="U144">
        <f>IFERROR(VLOOKUP($A144,koronahun!$A:$AM,21,FALSE),"")</f>
        <v>663</v>
      </c>
      <c r="V144" s="13">
        <f>IFERROR(VLOOKUP($A144,koronahun!$A:$AM,22,FALSE),"")</f>
        <v>0.14295277631113673</v>
      </c>
      <c r="W144">
        <f>IFERROR(VLOOKUP($A144,koronahun!$A:$AM,23,FALSE),"")</f>
        <v>379</v>
      </c>
      <c r="X144">
        <f>IFERROR(VLOOKUP($A144,koronahun!$A:$AM,24,FALSE),"")</f>
        <v>14</v>
      </c>
      <c r="Y144" s="14">
        <f>IFERROR(VLOOKUP($A144,koronahun!$A:$AM,25,FALSE),"")</f>
        <v>4.6286883801623768E-2</v>
      </c>
      <c r="Z144" s="14">
        <f>IFERROR(VLOOKUP($A144,koronahun!$A:$AM,26,FALSE),"")</f>
        <v>9.7071742313323578E-2</v>
      </c>
      <c r="AA144" s="14">
        <f>IFERROR(VLOOKUP($A144,koronahun!$A:$AM,27,FALSE),"")</f>
        <v>1.2804714914406468</v>
      </c>
      <c r="AB144" s="14">
        <f>IFERROR(VLOOKUP($A144,koronahun!$A:$AM,28,FALSE),"")</f>
        <v>1.2431807825013039</v>
      </c>
      <c r="AC144" s="14">
        <f>IFERROR(VLOOKUP($A144,koronahun!$A:$AM,29,FALSE),"")</f>
        <v>9435.4285714285706</v>
      </c>
      <c r="AD144" s="14">
        <f>IFERROR(VLOOKUP($A144,koronahun!$A:$AM,30,FALSE),"")</f>
        <v>143.85714285714286</v>
      </c>
      <c r="AE144" s="14">
        <f>IFERROR(VLOOKUP($A144,koronahun!$A:$AM,31,FALSE),"")</f>
        <v>40202.571428571428</v>
      </c>
      <c r="AF144" s="13">
        <f>IFERROR(VLOOKUP($A144,koronahun!$A:$AM,32,FALSE),"")</f>
        <v>0.25099910271934367</v>
      </c>
      <c r="AG144">
        <f>IFERROR(VLOOKUP($A144,koronahun!$A:$AM,33,FALSE),"")</f>
        <v>6043116</v>
      </c>
      <c r="AH144">
        <f>IFERROR(VLOOKUP($A144,koronahun!$A:$AM,34,FALSE),"")</f>
        <v>18548</v>
      </c>
      <c r="AI144">
        <f>IFERROR(VLOOKUP($A144,koronahun!$A:$AM,35,FALSE),"")</f>
        <v>7940.4</v>
      </c>
      <c r="AJ144">
        <f>IFERROR(VLOOKUP($A144,koronahun!$A:$AM,36,FALSE),"")</f>
        <v>5801593</v>
      </c>
      <c r="AK144">
        <f>IFERROR(VLOOKUP($A144,koronahun!$A:$AM,37,FALSE),"")</f>
        <v>7094</v>
      </c>
      <c r="AL144">
        <f>IFERROR(VLOOKUP($A144,koronahun!$A:$AM,38,FALSE),"")</f>
        <v>4852.3999999999996</v>
      </c>
      <c r="AM144" s="14">
        <f>IFERROR(VLOOKUP($A144,koronahun!$A:$AM,39,FALSE),"")</f>
        <v>3439.5714285714284</v>
      </c>
      <c r="AN144" s="11">
        <f ca="1">IFERROR(__xludf.DUMMYFUNCTION("""COMPUTED_VALUE"""),44036)</f>
        <v>44036</v>
      </c>
      <c r="AO144" s="12">
        <f ca="1">IFERROR(VLOOKUP(AN144,koronahun!A:B,2,FALSE),"")</f>
        <v>4398</v>
      </c>
      <c r="AP144" s="11">
        <f t="shared" ca="1" si="0"/>
        <v>44036</v>
      </c>
      <c r="AQ144" s="11">
        <f ca="1">IFERROR(__xludf.DUMMYFUNCTION("""COMPUTED_VALUE"""),44036)</f>
        <v>44036</v>
      </c>
      <c r="AR144" s="11">
        <v>44524</v>
      </c>
      <c r="AS144" s="11">
        <f t="shared" si="1"/>
        <v>44524</v>
      </c>
      <c r="AT144" s="11">
        <f ca="1">IFERROR(__xludf.DUMMYFUNCTION("""COMPUTED_VALUE"""),44523)</f>
        <v>44523</v>
      </c>
    </row>
    <row r="145" spans="1:46" ht="13">
      <c r="A145" s="11">
        <v>44522</v>
      </c>
      <c r="B145">
        <f>IFERROR(VLOOKUP($A145,koronahun!$A:$AM,2,FALSE),"")</f>
        <v>1025697</v>
      </c>
      <c r="C145">
        <f>IFERROR(VLOOKUP($A145,koronahun!$A:$AM,3,FALSE),"")</f>
        <v>27209</v>
      </c>
      <c r="D145">
        <f>IFERROR(VLOOKUP($A145,koronahun!$A:$AM,4,FALSE),"")</f>
        <v>33172</v>
      </c>
      <c r="E145">
        <f>IFERROR(VLOOKUP($A145,koronahun!$A:$AM,5,FALSE),"")</f>
        <v>847992</v>
      </c>
      <c r="F145">
        <f>IFERROR(VLOOKUP($A145,koronahun!$A:$AM,6,FALSE),"")</f>
        <v>8134310</v>
      </c>
      <c r="G145" s="12">
        <f>IFERROR(VLOOKUP($A145,koronahun!$A:$AM,7,FALSE),"")</f>
        <v>830031.63265306118</v>
      </c>
      <c r="H145">
        <f>IFERROR(VLOOKUP($A145,koronahun!$A:$AM,8,FALSE),"")</f>
        <v>0</v>
      </c>
      <c r="I145" s="13">
        <f>IFERROR(VLOOKUP($A145,koronahun!$A:$AM,9,FALSE),"")</f>
        <v>2.7250202305886501E-2</v>
      </c>
      <c r="J145" s="13">
        <f>IFERROR(VLOOKUP($A145,koronahun!$A:$AM,10,FALSE),"")</f>
        <v>0.12609514513216241</v>
      </c>
      <c r="K145" s="13">
        <f>IFERROR(VLOOKUP($A145,koronahun!$A:$AM,11,FALSE),"")</f>
        <v>1.595300166200779E-2</v>
      </c>
      <c r="L145">
        <f>IFERROR(VLOOKUP($A145,koronahun!$A:$AM,12,FALSE),"")</f>
        <v>144533</v>
      </c>
      <c r="M145" s="13">
        <f>IFERROR(VLOOKUP($A145,koronahun!$A:$AM,13,FALSE),"")</f>
        <v>3.2340934993472729E-2</v>
      </c>
      <c r="N145" s="13">
        <f>IFERROR(VLOOKUP($A145,koronahun!$A:$AM,14,FALSE),"")</f>
        <v>0.82674708027809385</v>
      </c>
      <c r="O145">
        <f>IFERROR(VLOOKUP($A145,koronahun!$A:$AM,15,FALSE),"")</f>
        <v>50429</v>
      </c>
      <c r="P145">
        <f>IFERROR(VLOOKUP($A145,koronahun!$A:$AM,16,FALSE),"")</f>
        <v>127729</v>
      </c>
      <c r="Q145" s="13">
        <f>IFERROR(VLOOKUP($A145,koronahun!$A:$AM,17,FALSE),"")</f>
        <v>0.21302131857291609</v>
      </c>
      <c r="R145">
        <f>IFERROR(VLOOKUP($A145,koronahun!$A:$AM,18,FALSE),"")</f>
        <v>392</v>
      </c>
      <c r="S145">
        <f>IFERROR(VLOOKUP($A145,koronahun!$A:$AM,19,FALSE),"")</f>
        <v>10408</v>
      </c>
      <c r="T145">
        <f>IFERROR(VLOOKUP($A145,koronahun!$A:$AM,20,FALSE),"")</f>
        <v>6451</v>
      </c>
      <c r="U145">
        <f>IFERROR(VLOOKUP($A145,koronahun!$A:$AM,21,FALSE),"")</f>
        <v>649</v>
      </c>
      <c r="V145" s="13">
        <f>IFERROR(VLOOKUP($A145,koronahun!$A:$AM,22,FALSE),"")</f>
        <v>0.14091198472843344</v>
      </c>
      <c r="W145">
        <f>IFERROR(VLOOKUP($A145,koronahun!$A:$AM,23,FALSE),"")</f>
        <v>329</v>
      </c>
      <c r="X145">
        <f>IFERROR(VLOOKUP($A145,koronahun!$A:$AM,24,FALSE),"")</f>
        <v>36</v>
      </c>
      <c r="Y145" s="14">
        <f>IFERROR(VLOOKUP($A145,koronahun!$A:$AM,25,FALSE),"")</f>
        <v>4.4633405519846681E-2</v>
      </c>
      <c r="Z145" s="14">
        <f>IFERROR(VLOOKUP($A145,koronahun!$A:$AM,26,FALSE),"")</f>
        <v>0.10060455743295613</v>
      </c>
      <c r="AA145" s="14">
        <f>IFERROR(VLOOKUP($A145,koronahun!$A:$AM,27,FALSE),"")</f>
        <v>1.2754788970617157</v>
      </c>
      <c r="AB145" s="14">
        <f>IFERROR(VLOOKUP($A145,koronahun!$A:$AM,28,FALSE),"")</f>
        <v>1.2579310850165561</v>
      </c>
      <c r="AC145" s="14">
        <f>IFERROR(VLOOKUP($A145,koronahun!$A:$AM,29,FALSE),"")</f>
        <v>9264.7142857142862</v>
      </c>
      <c r="AD145" s="14">
        <f>IFERROR(VLOOKUP($A145,koronahun!$A:$AM,30,FALSE),"")</f>
        <v>143</v>
      </c>
      <c r="AE145" s="14">
        <f>IFERROR(VLOOKUP($A145,koronahun!$A:$AM,31,FALSE),"")</f>
        <v>39906.285714285717</v>
      </c>
      <c r="AF145" s="13">
        <f>IFERROR(VLOOKUP($A145,koronahun!$A:$AM,32,FALSE),"")</f>
        <v>0.24521678870009214</v>
      </c>
      <c r="AG145">
        <f>IFERROR(VLOOKUP($A145,koronahun!$A:$AM,33,FALSE),"")</f>
        <v>6024568</v>
      </c>
      <c r="AH145">
        <f>IFERROR(VLOOKUP($A145,koronahun!$A:$AM,34,FALSE),"")</f>
        <v>6761</v>
      </c>
      <c r="AI145">
        <f>IFERROR(VLOOKUP($A145,koronahun!$A:$AM,35,FALSE),"")</f>
        <v>5010.3999999999996</v>
      </c>
      <c r="AJ145">
        <f>IFERROR(VLOOKUP($A145,koronahun!$A:$AM,36,FALSE),"")</f>
        <v>5794499</v>
      </c>
      <c r="AK145">
        <f>IFERROR(VLOOKUP($A145,koronahun!$A:$AM,37,FALSE),"")</f>
        <v>5724</v>
      </c>
      <c r="AL145">
        <f>IFERROR(VLOOKUP($A145,koronahun!$A:$AM,38,FALSE),"")</f>
        <v>4068.2</v>
      </c>
      <c r="AM145" s="14">
        <f>IFERROR(VLOOKUP($A145,koronahun!$A:$AM,39,FALSE),"")</f>
        <v>3173.8571428571427</v>
      </c>
      <c r="AN145" s="11">
        <f ca="1">IFERROR(__xludf.DUMMYFUNCTION("""COMPUTED_VALUE"""),44037)</f>
        <v>44037</v>
      </c>
      <c r="AO145" s="12">
        <f ca="1">IFERROR(VLOOKUP(AN145,koronahun!A:B,2,FALSE),"")</f>
        <v>4424</v>
      </c>
      <c r="AP145" s="11">
        <f t="shared" ca="1" si="0"/>
        <v>44037</v>
      </c>
      <c r="AQ145" s="11">
        <f ca="1">IFERROR(__xludf.DUMMYFUNCTION("""COMPUTED_VALUE"""),44037)</f>
        <v>44037</v>
      </c>
      <c r="AR145" s="11">
        <v>44523</v>
      </c>
      <c r="AS145" s="11">
        <f t="shared" si="1"/>
        <v>44523</v>
      </c>
      <c r="AT145" s="11">
        <f ca="1">IFERROR(__xludf.DUMMYFUNCTION("""COMPUTED_VALUE"""),44522)</f>
        <v>44522</v>
      </c>
    </row>
    <row r="146" spans="1:46" ht="13">
      <c r="A146" s="11">
        <v>44519</v>
      </c>
      <c r="B146">
        <f>IFERROR(VLOOKUP($A146,koronahun!$A:$AM,2,FALSE),"")</f>
        <v>998488</v>
      </c>
      <c r="C146">
        <f>IFERROR(VLOOKUP($A146,koronahun!$A:$AM,3,FALSE),"")</f>
        <v>11289</v>
      </c>
      <c r="D146">
        <f>IFERROR(VLOOKUP($A146,koronahun!$A:$AM,4,FALSE),"")</f>
        <v>32780</v>
      </c>
      <c r="E146">
        <f>IFERROR(VLOOKUP($A146,koronahun!$A:$AM,5,FALSE),"")</f>
        <v>837584</v>
      </c>
      <c r="F146">
        <f>IFERROR(VLOOKUP($A146,koronahun!$A:$AM,6,FALSE),"")</f>
        <v>8006581</v>
      </c>
      <c r="G146" s="12">
        <f>IFERROR(VLOOKUP($A146,koronahun!$A:$AM,7,FALSE),"")</f>
        <v>816998.06122448971</v>
      </c>
      <c r="H146">
        <f>IFERROR(VLOOKUP($A146,koronahun!$A:$AM,8,FALSE),"")</f>
        <v>0</v>
      </c>
      <c r="I146" s="13">
        <f>IFERROR(VLOOKUP($A146,koronahun!$A:$AM,9,FALSE),"")</f>
        <v>1.1435384355130019E-2</v>
      </c>
      <c r="J146" s="13">
        <f>IFERROR(VLOOKUP($A146,koronahun!$A:$AM,10,FALSE),"")</f>
        <v>0.12470841174279008</v>
      </c>
      <c r="K146" s="13">
        <f>IFERROR(VLOOKUP($A146,koronahun!$A:$AM,11,FALSE),"")</f>
        <v>6.5278766367462366E-3</v>
      </c>
      <c r="L146">
        <f>IFERROR(VLOOKUP($A146,koronahun!$A:$AM,12,FALSE),"")</f>
        <v>128124</v>
      </c>
      <c r="M146" s="13">
        <f>IFERROR(VLOOKUP($A146,koronahun!$A:$AM,13,FALSE),"")</f>
        <v>3.2829638413280883E-2</v>
      </c>
      <c r="N146" s="13">
        <f>IFERROR(VLOOKUP($A146,koronahun!$A:$AM,14,FALSE),"")</f>
        <v>0.83885234474525483</v>
      </c>
      <c r="O146">
        <f>IFERROR(VLOOKUP($A146,koronahun!$A:$AM,15,FALSE),"")</f>
        <v>59177</v>
      </c>
      <c r="P146">
        <f>IFERROR(VLOOKUP($A146,koronahun!$A:$AM,16,FALSE),"")</f>
        <v>51927</v>
      </c>
      <c r="Q146" s="13">
        <f>IFERROR(VLOOKUP($A146,koronahun!$A:$AM,17,FALSE),"")</f>
        <v>0.21740135189785662</v>
      </c>
      <c r="R146">
        <f>IFERROR(VLOOKUP($A146,koronahun!$A:$AM,18,FALSE),"")</f>
        <v>135</v>
      </c>
      <c r="S146">
        <f>IFERROR(VLOOKUP($A146,koronahun!$A:$AM,19,FALSE),"")</f>
        <v>4168</v>
      </c>
      <c r="T146">
        <f>IFERROR(VLOOKUP($A146,koronahun!$A:$AM,20,FALSE),"")</f>
        <v>6122</v>
      </c>
      <c r="U146">
        <f>IFERROR(VLOOKUP($A146,koronahun!$A:$AM,21,FALSE),"")</f>
        <v>613</v>
      </c>
      <c r="V146" s="13">
        <f>IFERROR(VLOOKUP($A146,koronahun!$A:$AM,22,FALSE),"")</f>
        <v>0.12831801684146429</v>
      </c>
      <c r="W146">
        <f>IFERROR(VLOOKUP($A146,koronahun!$A:$AM,23,FALSE),"")</f>
        <v>153</v>
      </c>
      <c r="X146">
        <f>IFERROR(VLOOKUP($A146,koronahun!$A:$AM,24,FALSE),"")</f>
        <v>7</v>
      </c>
      <c r="Y146" s="14">
        <f>IFERROR(VLOOKUP($A146,koronahun!$A:$AM,25,FALSE),"")</f>
        <v>4.7781836346039774E-2</v>
      </c>
      <c r="Z146" s="14">
        <f>IFERROR(VLOOKUP($A146,koronahun!$A:$AM,26,FALSE),"")</f>
        <v>0.10013067624959164</v>
      </c>
      <c r="AA146" s="14">
        <f>IFERROR(VLOOKUP($A146,koronahun!$A:$AM,27,FALSE),"")</f>
        <v>1.2327593448131038</v>
      </c>
      <c r="AB146" s="14">
        <f>IFERROR(VLOOKUP($A146,koronahun!$A:$AM,28,FALSE),"")</f>
        <v>1.2903607523357219</v>
      </c>
      <c r="AC146" s="14">
        <f>IFERROR(VLOOKUP($A146,koronahun!$A:$AM,29,FALSE),"")</f>
        <v>8386.2857142857138</v>
      </c>
      <c r="AD146" s="14">
        <f>IFERROR(VLOOKUP($A146,koronahun!$A:$AM,30,FALSE),"")</f>
        <v>130.42857142857142</v>
      </c>
      <c r="AE146" s="14">
        <f>IFERROR(VLOOKUP($A146,koronahun!$A:$AM,31,FALSE),"")</f>
        <v>36294.571428571428</v>
      </c>
      <c r="AF146" s="13">
        <f>IFERROR(VLOOKUP($A146,koronahun!$A:$AM,32,FALSE),"")</f>
        <v>0.24372646682860824</v>
      </c>
      <c r="AG146">
        <f>IFERROR(VLOOKUP($A146,koronahun!$A:$AM,33,FALSE),"")</f>
        <v>6017807</v>
      </c>
      <c r="AH146">
        <f>IFERROR(VLOOKUP($A146,koronahun!$A:$AM,34,FALSE),"")</f>
        <v>4800</v>
      </c>
      <c r="AI146">
        <f>IFERROR(VLOOKUP($A146,koronahun!$A:$AM,35,FALSE),"")</f>
        <v>5133</v>
      </c>
      <c r="AJ146">
        <f>IFERROR(VLOOKUP($A146,koronahun!$A:$AM,36,FALSE),"")</f>
        <v>5788775</v>
      </c>
      <c r="AK146">
        <f>IFERROR(VLOOKUP($A146,koronahun!$A:$AM,37,FALSE),"")</f>
        <v>3817</v>
      </c>
      <c r="AL146">
        <f>IFERROR(VLOOKUP($A146,koronahun!$A:$AM,38,FALSE),"")</f>
        <v>3966.8</v>
      </c>
      <c r="AM146" s="14">
        <f>IFERROR(VLOOKUP($A146,koronahun!$A:$AM,39,FALSE),"")</f>
        <v>2749.7142857142858</v>
      </c>
      <c r="AN146" s="11">
        <f ca="1">IFERROR(__xludf.DUMMYFUNCTION("""COMPUTED_VALUE"""),44038)</f>
        <v>44038</v>
      </c>
      <c r="AO146" s="12">
        <f ca="1">IFERROR(VLOOKUP(AN146,koronahun!A:B,2,FALSE),"")</f>
        <v>4435</v>
      </c>
      <c r="AP146" s="11">
        <f t="shared" ca="1" si="0"/>
        <v>44038</v>
      </c>
      <c r="AQ146" s="11">
        <f ca="1">IFERROR(__xludf.DUMMYFUNCTION("""COMPUTED_VALUE"""),44038)</f>
        <v>44038</v>
      </c>
      <c r="AR146" s="11">
        <v>44522</v>
      </c>
      <c r="AS146" s="11">
        <f t="shared" si="1"/>
        <v>44522</v>
      </c>
      <c r="AT146" s="11">
        <f ca="1">IFERROR(__xludf.DUMMYFUNCTION("""COMPUTED_VALUE"""),44519)</f>
        <v>44519</v>
      </c>
    </row>
    <row r="147" spans="1:46" ht="13">
      <c r="A147" s="11">
        <v>44518</v>
      </c>
      <c r="B147">
        <f>IFERROR(VLOOKUP($A147,koronahun!$A:$AM,2,FALSE),"")</f>
        <v>987199</v>
      </c>
      <c r="C147">
        <f>IFERROR(VLOOKUP($A147,koronahun!$A:$AM,3,FALSE),"")</f>
        <v>10767</v>
      </c>
      <c r="D147">
        <f>IFERROR(VLOOKUP($A147,koronahun!$A:$AM,4,FALSE),"")</f>
        <v>32645</v>
      </c>
      <c r="E147">
        <f>IFERROR(VLOOKUP($A147,koronahun!$A:$AM,5,FALSE),"")</f>
        <v>833416</v>
      </c>
      <c r="F147">
        <f>IFERROR(VLOOKUP($A147,koronahun!$A:$AM,6,FALSE),"")</f>
        <v>7954654</v>
      </c>
      <c r="G147" s="12">
        <f>IFERROR(VLOOKUP($A147,koronahun!$A:$AM,7,FALSE),"")</f>
        <v>811699.38775510201</v>
      </c>
      <c r="H147">
        <f>IFERROR(VLOOKUP($A147,koronahun!$A:$AM,8,FALSE),"")</f>
        <v>0</v>
      </c>
      <c r="I147" s="13">
        <f>IFERROR(VLOOKUP($A147,koronahun!$A:$AM,9,FALSE),"")</f>
        <v>1.1026881544234519E-2</v>
      </c>
      <c r="J147" s="13">
        <f>IFERROR(VLOOKUP($A147,koronahun!$A:$AM,10,FALSE),"")</f>
        <v>0.12410332366436051</v>
      </c>
      <c r="K147" s="13">
        <f>IFERROR(VLOOKUP($A147,koronahun!$A:$AM,11,FALSE),"")</f>
        <v>5.672975563675459E-3</v>
      </c>
      <c r="L147">
        <f>IFERROR(VLOOKUP($A147,koronahun!$A:$AM,12,FALSE),"")</f>
        <v>121138</v>
      </c>
      <c r="M147" s="13">
        <f>IFERROR(VLOOKUP($A147,koronahun!$A:$AM,13,FALSE),"")</f>
        <v>3.3068307403066655E-2</v>
      </c>
      <c r="N147" s="13">
        <f>IFERROR(VLOOKUP($A147,koronahun!$A:$AM,14,FALSE),"")</f>
        <v>0.84422289730844546</v>
      </c>
      <c r="O147">
        <f>IFERROR(VLOOKUP($A147,koronahun!$A:$AM,15,FALSE),"")</f>
        <v>54312</v>
      </c>
      <c r="P147">
        <f>IFERROR(VLOOKUP($A147,koronahun!$A:$AM,16,FALSE),"")</f>
        <v>44872</v>
      </c>
      <c r="Q147" s="13">
        <f>IFERROR(VLOOKUP($A147,koronahun!$A:$AM,17,FALSE),"")</f>
        <v>0.23994918880370833</v>
      </c>
      <c r="R147">
        <f>IFERROR(VLOOKUP($A147,koronahun!$A:$AM,18,FALSE),"")</f>
        <v>131</v>
      </c>
      <c r="S147">
        <f>IFERROR(VLOOKUP($A147,koronahun!$A:$AM,19,FALSE),"")</f>
        <v>4881</v>
      </c>
      <c r="T147">
        <f>IFERROR(VLOOKUP($A147,koronahun!$A:$AM,20,FALSE),"")</f>
        <v>5969</v>
      </c>
      <c r="U147">
        <f>IFERROR(VLOOKUP($A147,koronahun!$A:$AM,21,FALSE),"")</f>
        <v>606</v>
      </c>
      <c r="V147" s="13">
        <f>IFERROR(VLOOKUP($A147,koronahun!$A:$AM,22,FALSE),"")</f>
        <v>0.12270879528848794</v>
      </c>
      <c r="W147">
        <f>IFERROR(VLOOKUP($A147,koronahun!$A:$AM,23,FALSE),"")</f>
        <v>117</v>
      </c>
      <c r="X147">
        <f>IFERROR(VLOOKUP($A147,koronahun!$A:$AM,24,FALSE),"")</f>
        <v>41</v>
      </c>
      <c r="Y147" s="14">
        <f>IFERROR(VLOOKUP($A147,koronahun!$A:$AM,25,FALSE),"")</f>
        <v>4.9274381284155261E-2</v>
      </c>
      <c r="Z147" s="14">
        <f>IFERROR(VLOOKUP($A147,koronahun!$A:$AM,26,FALSE),"")</f>
        <v>0.10152454347461887</v>
      </c>
      <c r="AA147" s="14">
        <f>IFERROR(VLOOKUP($A147,koronahun!$A:$AM,27,FALSE),"")</f>
        <v>1.211295435792765</v>
      </c>
      <c r="AB147" s="14">
        <f>IFERROR(VLOOKUP($A147,koronahun!$A:$AM,28,FALSE),"")</f>
        <v>1.3751360707100291</v>
      </c>
      <c r="AC147" s="14">
        <f>IFERROR(VLOOKUP($A147,koronahun!$A:$AM,29,FALSE),"")</f>
        <v>7969.2857142857147</v>
      </c>
      <c r="AD147" s="14">
        <f>IFERROR(VLOOKUP($A147,koronahun!$A:$AM,30,FALSE),"")</f>
        <v>127.71428571428571</v>
      </c>
      <c r="AE147" s="14">
        <f>IFERROR(VLOOKUP($A147,koronahun!$A:$AM,31,FALSE),"")</f>
        <v>34208.428571428572</v>
      </c>
      <c r="AF147" s="13">
        <f>IFERROR(VLOOKUP($A147,koronahun!$A:$AM,32,FALSE),"")</f>
        <v>0.24509669478790735</v>
      </c>
      <c r="AG147">
        <f>IFERROR(VLOOKUP($A147,koronahun!$A:$AM,33,FALSE),"")</f>
        <v>6013007</v>
      </c>
      <c r="AH147">
        <f>IFERROR(VLOOKUP($A147,koronahun!$A:$AM,34,FALSE),"")</f>
        <v>4781</v>
      </c>
      <c r="AI147">
        <f>IFERROR(VLOOKUP($A147,koronahun!$A:$AM,35,FALSE),"")</f>
        <v>5256</v>
      </c>
      <c r="AJ147">
        <f>IFERROR(VLOOKUP($A147,koronahun!$A:$AM,36,FALSE),"")</f>
        <v>5784958</v>
      </c>
      <c r="AK147">
        <f>IFERROR(VLOOKUP($A147,koronahun!$A:$AM,37,FALSE),"")</f>
        <v>4033</v>
      </c>
      <c r="AL147">
        <f>IFERROR(VLOOKUP($A147,koronahun!$A:$AM,38,FALSE),"")</f>
        <v>4077</v>
      </c>
      <c r="AM147" s="14">
        <f>IFERROR(VLOOKUP($A147,koronahun!$A:$AM,39,FALSE),"")</f>
        <v>2510.1428571428573</v>
      </c>
      <c r="AN147" s="11">
        <f ca="1">IFERROR(__xludf.DUMMYFUNCTION("""COMPUTED_VALUE"""),44039)</f>
        <v>44039</v>
      </c>
      <c r="AO147" s="12">
        <f ca="1">IFERROR(VLOOKUP(AN147,koronahun!A:B,2,FALSE),"")</f>
        <v>4448</v>
      </c>
      <c r="AP147" s="11">
        <f t="shared" ca="1" si="0"/>
        <v>44039</v>
      </c>
      <c r="AQ147" s="11">
        <f ca="1">IFERROR(__xludf.DUMMYFUNCTION("""COMPUTED_VALUE"""),44039)</f>
        <v>44039</v>
      </c>
      <c r="AR147" s="11">
        <v>44519</v>
      </c>
      <c r="AS147" s="11">
        <f t="shared" si="1"/>
        <v>44519</v>
      </c>
      <c r="AT147" s="11">
        <f ca="1">IFERROR(__xludf.DUMMYFUNCTION("""COMPUTED_VALUE"""),44518)</f>
        <v>44518</v>
      </c>
    </row>
    <row r="148" spans="1:46" ht="13">
      <c r="A148" s="11">
        <v>44517</v>
      </c>
      <c r="B148">
        <f>IFERROR(VLOOKUP($A148,koronahun!$A:$AM,2,FALSE),"")</f>
        <v>976432</v>
      </c>
      <c r="C148">
        <f>IFERROR(VLOOKUP($A148,koronahun!$A:$AM,3,FALSE),"")</f>
        <v>10265</v>
      </c>
      <c r="D148">
        <f>IFERROR(VLOOKUP($A148,koronahun!$A:$AM,4,FALSE),"")</f>
        <v>32514</v>
      </c>
      <c r="E148">
        <f>IFERROR(VLOOKUP($A148,koronahun!$A:$AM,5,FALSE),"")</f>
        <v>828535</v>
      </c>
      <c r="F148">
        <f>IFERROR(VLOOKUP($A148,koronahun!$A:$AM,6,FALSE),"")</f>
        <v>7909782</v>
      </c>
      <c r="G148" s="12">
        <f>IFERROR(VLOOKUP($A148,koronahun!$A:$AM,7,FALSE),"")</f>
        <v>807120.61224489787</v>
      </c>
      <c r="H148">
        <f>IFERROR(VLOOKUP($A148,koronahun!$A:$AM,8,FALSE),"")</f>
        <v>0</v>
      </c>
      <c r="I148" s="13">
        <f>IFERROR(VLOOKUP($A148,koronahun!$A:$AM,9,FALSE),"")</f>
        <v>1.0624457262564339E-2</v>
      </c>
      <c r="J148" s="13">
        <f>IFERROR(VLOOKUP($A148,koronahun!$A:$AM,10,FALSE),"")</f>
        <v>0.12344613290227215</v>
      </c>
      <c r="K148" s="13">
        <f>IFERROR(VLOOKUP($A148,koronahun!$A:$AM,11,FALSE),"")</f>
        <v>4.230963236389153E-3</v>
      </c>
      <c r="L148">
        <f>IFERROR(VLOOKUP($A148,koronahun!$A:$AM,12,FALSE),"")</f>
        <v>115383</v>
      </c>
      <c r="M148" s="13">
        <f>IFERROR(VLOOKUP($A148,koronahun!$A:$AM,13,FALSE),"")</f>
        <v>3.3298785783341799E-2</v>
      </c>
      <c r="N148" s="13">
        <f>IFERROR(VLOOKUP($A148,koronahun!$A:$AM,14,FALSE),"")</f>
        <v>0.8485332311927507</v>
      </c>
      <c r="O148">
        <f>IFERROR(VLOOKUP($A148,koronahun!$A:$AM,15,FALSE),"")</f>
        <v>46530</v>
      </c>
      <c r="P148">
        <f>IFERROR(VLOOKUP($A148,koronahun!$A:$AM,16,FALSE),"")</f>
        <v>33325</v>
      </c>
      <c r="Q148" s="13">
        <f>IFERROR(VLOOKUP($A148,koronahun!$A:$AM,17,FALSE),"")</f>
        <v>0.30802700675168793</v>
      </c>
      <c r="R148">
        <f>IFERROR(VLOOKUP($A148,koronahun!$A:$AM,18,FALSE),"")</f>
        <v>178</v>
      </c>
      <c r="S148">
        <f>IFERROR(VLOOKUP($A148,koronahun!$A:$AM,19,FALSE),"")</f>
        <v>1298</v>
      </c>
      <c r="T148">
        <f>IFERROR(VLOOKUP($A148,koronahun!$A:$AM,20,FALSE),"")</f>
        <v>5852</v>
      </c>
      <c r="U148">
        <f>IFERROR(VLOOKUP($A148,koronahun!$A:$AM,21,FALSE),"")</f>
        <v>565</v>
      </c>
      <c r="V148" s="13">
        <f>IFERROR(VLOOKUP($A148,koronahun!$A:$AM,22,FALSE),"")</f>
        <v>0.11816798302390745</v>
      </c>
      <c r="W148">
        <f>IFERROR(VLOOKUP($A148,koronahun!$A:$AM,23,FALSE),"")</f>
        <v>41</v>
      </c>
      <c r="X148">
        <f>IFERROR(VLOOKUP($A148,koronahun!$A:$AM,24,FALSE),"")</f>
        <v>20</v>
      </c>
      <c r="Y148" s="14">
        <f>IFERROR(VLOOKUP($A148,koronahun!$A:$AM,25,FALSE),"")</f>
        <v>5.0718043385940735E-2</v>
      </c>
      <c r="Z148" s="14">
        <f>IFERROR(VLOOKUP($A148,koronahun!$A:$AM,26,FALSE),"")</f>
        <v>9.6548188653451814E-2</v>
      </c>
      <c r="AA148" s="14">
        <f>IFERROR(VLOOKUP($A148,koronahun!$A:$AM,27,FALSE),"")</f>
        <v>1.2158987433982882</v>
      </c>
      <c r="AB148" s="14">
        <f>IFERROR(VLOOKUP($A148,koronahun!$A:$AM,28,FALSE),"")</f>
        <v>1.487383949912803</v>
      </c>
      <c r="AC148" s="14">
        <f>IFERROR(VLOOKUP($A148,koronahun!$A:$AM,29,FALSE),"")</f>
        <v>7630.2857142857147</v>
      </c>
      <c r="AD148" s="14">
        <f>IFERROR(VLOOKUP($A148,koronahun!$A:$AM,30,FALSE),"")</f>
        <v>127.85714285714286</v>
      </c>
      <c r="AE148" s="14">
        <f>IFERROR(VLOOKUP($A148,koronahun!$A:$AM,31,FALSE),"")</f>
        <v>33173</v>
      </c>
      <c r="AF148" s="13">
        <f>IFERROR(VLOOKUP($A148,koronahun!$A:$AM,32,FALSE),"")</f>
        <v>0.24172731205587078</v>
      </c>
      <c r="AG148">
        <f>IFERROR(VLOOKUP($A148,koronahun!$A:$AM,33,FALSE),"")</f>
        <v>6008226</v>
      </c>
      <c r="AH148">
        <f>IFERROR(VLOOKUP($A148,koronahun!$A:$AM,34,FALSE),"")</f>
        <v>4812</v>
      </c>
      <c r="AI148">
        <f>IFERROR(VLOOKUP($A148,koronahun!$A:$AM,35,FALSE),"")</f>
        <v>5262.2</v>
      </c>
      <c r="AJ148">
        <f>IFERROR(VLOOKUP($A148,koronahun!$A:$AM,36,FALSE),"")</f>
        <v>5780925</v>
      </c>
      <c r="AK148">
        <f>IFERROR(VLOOKUP($A148,koronahun!$A:$AM,37,FALSE),"")</f>
        <v>3594</v>
      </c>
      <c r="AL148">
        <f>IFERROR(VLOOKUP($A148,koronahun!$A:$AM,38,FALSE),"")</f>
        <v>4002.6</v>
      </c>
      <c r="AM148" s="14">
        <f>IFERROR(VLOOKUP($A148,koronahun!$A:$AM,39,FALSE),"")</f>
        <v>2165.5714285714284</v>
      </c>
      <c r="AN148" s="11">
        <f ca="1">IFERROR(__xludf.DUMMYFUNCTION("""COMPUTED_VALUE"""),44040)</f>
        <v>44040</v>
      </c>
      <c r="AO148" s="12">
        <f ca="1">IFERROR(VLOOKUP(AN148,koronahun!A:B,2,FALSE),"")</f>
        <v>4456</v>
      </c>
      <c r="AP148" s="11">
        <f t="shared" ca="1" si="0"/>
        <v>44040</v>
      </c>
      <c r="AQ148" s="11">
        <f ca="1">IFERROR(__xludf.DUMMYFUNCTION("""COMPUTED_VALUE"""),44040)</f>
        <v>44040</v>
      </c>
      <c r="AR148" s="11">
        <v>44518</v>
      </c>
      <c r="AS148" s="11">
        <f t="shared" si="1"/>
        <v>44518</v>
      </c>
      <c r="AT148" s="11">
        <f ca="1">IFERROR(__xludf.DUMMYFUNCTION("""COMPUTED_VALUE"""),44517)</f>
        <v>44517</v>
      </c>
    </row>
    <row r="149" spans="1:46" ht="13">
      <c r="A149" s="11">
        <v>44516</v>
      </c>
      <c r="B149">
        <f>IFERROR(VLOOKUP($A149,koronahun!$A:$AM,2,FALSE),"")</f>
        <v>966167</v>
      </c>
      <c r="C149">
        <f>IFERROR(VLOOKUP($A149,koronahun!$A:$AM,3,FALSE),"")</f>
        <v>5323</v>
      </c>
      <c r="D149">
        <f>IFERROR(VLOOKUP($A149,koronahun!$A:$AM,4,FALSE),"")</f>
        <v>32336</v>
      </c>
      <c r="E149">
        <f>IFERROR(VLOOKUP($A149,koronahun!$A:$AM,5,FALSE),"")</f>
        <v>827237</v>
      </c>
      <c r="F149">
        <f>IFERROR(VLOOKUP($A149,koronahun!$A:$AM,6,FALSE),"")</f>
        <v>7876457</v>
      </c>
      <c r="G149" s="12">
        <f>IFERROR(VLOOKUP($A149,koronahun!$A:$AM,7,FALSE),"")</f>
        <v>803720.10204081621</v>
      </c>
      <c r="H149">
        <f>IFERROR(VLOOKUP($A149,koronahun!$A:$AM,8,FALSE),"")</f>
        <v>0</v>
      </c>
      <c r="I149" s="13">
        <f>IFERROR(VLOOKUP($A149,koronahun!$A:$AM,9,FALSE),"")</f>
        <v>5.5399211526532925E-3</v>
      </c>
      <c r="J149" s="13">
        <f>IFERROR(VLOOKUP($A149,koronahun!$A:$AM,10,FALSE),"")</f>
        <v>0.12266517801087469</v>
      </c>
      <c r="K149" s="13">
        <f>IFERROR(VLOOKUP($A149,koronahun!$A:$AM,11,FALSE),"")</f>
        <v>2.7359761964596664E-3</v>
      </c>
      <c r="L149">
        <f>IFERROR(VLOOKUP($A149,koronahun!$A:$AM,12,FALSE),"")</f>
        <v>106594</v>
      </c>
      <c r="M149" s="13">
        <f>IFERROR(VLOOKUP($A149,koronahun!$A:$AM,13,FALSE),"")</f>
        <v>3.3468334149272333E-2</v>
      </c>
      <c r="N149" s="13">
        <f>IFERROR(VLOOKUP($A149,koronahun!$A:$AM,14,FALSE),"")</f>
        <v>0.85620498319648675</v>
      </c>
      <c r="O149">
        <f>IFERROR(VLOOKUP($A149,koronahun!$A:$AM,15,FALSE),"")</f>
        <v>41353</v>
      </c>
      <c r="P149">
        <f>IFERROR(VLOOKUP($A149,koronahun!$A:$AM,16,FALSE),"")</f>
        <v>21491</v>
      </c>
      <c r="Q149" s="13">
        <f>IFERROR(VLOOKUP($A149,koronahun!$A:$AM,17,FALSE),"")</f>
        <v>0.24768507747429155</v>
      </c>
      <c r="R149">
        <f>IFERROR(VLOOKUP($A149,koronahun!$A:$AM,18,FALSE),"")</f>
        <v>165</v>
      </c>
      <c r="S149">
        <f>IFERROR(VLOOKUP($A149,koronahun!$A:$AM,19,FALSE),"")</f>
        <v>1462</v>
      </c>
      <c r="T149">
        <f>IFERROR(VLOOKUP($A149,koronahun!$A:$AM,20,FALSE),"")</f>
        <v>5811</v>
      </c>
      <c r="U149">
        <f>IFERROR(VLOOKUP($A149,koronahun!$A:$AM,21,FALSE),"")</f>
        <v>545</v>
      </c>
      <c r="V149" s="13">
        <f>IFERROR(VLOOKUP($A149,koronahun!$A:$AM,22,FALSE),"")</f>
        <v>0.11032668265424093</v>
      </c>
      <c r="W149">
        <f>IFERROR(VLOOKUP($A149,koronahun!$A:$AM,23,FALSE),"")</f>
        <v>525</v>
      </c>
      <c r="X149">
        <f>IFERROR(VLOOKUP($A149,koronahun!$A:$AM,24,FALSE),"")</f>
        <v>26</v>
      </c>
      <c r="Y149" s="14">
        <f>IFERROR(VLOOKUP($A149,koronahun!$A:$AM,25,FALSE),"")</f>
        <v>5.451526352327523E-2</v>
      </c>
      <c r="Z149" s="14">
        <f>IFERROR(VLOOKUP($A149,koronahun!$A:$AM,26,FALSE),"")</f>
        <v>9.3787644123214595E-2</v>
      </c>
      <c r="AA149" s="14">
        <f>IFERROR(VLOOKUP($A149,koronahun!$A:$AM,27,FALSE),"")</f>
        <v>1.3542230040169079</v>
      </c>
      <c r="AB149" s="14">
        <f>IFERROR(VLOOKUP($A149,koronahun!$A:$AM,28,FALSE),"")</f>
        <v>1.6140774803978828</v>
      </c>
      <c r="AC149" s="14">
        <f>IFERROR(VLOOKUP($A149,koronahun!$A:$AM,29,FALSE),"")</f>
        <v>7368.7142857142853</v>
      </c>
      <c r="AD149" s="14">
        <f>IFERROR(VLOOKUP($A149,koronahun!$A:$AM,30,FALSE),"")</f>
        <v>116.42857142857143</v>
      </c>
      <c r="AE149" s="14">
        <f>IFERROR(VLOOKUP($A149,koronahun!$A:$AM,31,FALSE),"")</f>
        <v>32651.285714285714</v>
      </c>
      <c r="AF149" s="13">
        <f>IFERROR(VLOOKUP($A149,koronahun!$A:$AM,32,FALSE),"")</f>
        <v>0.23696820194672888</v>
      </c>
      <c r="AG149">
        <f>IFERROR(VLOOKUP($A149,koronahun!$A:$AM,33,FALSE),"")</f>
        <v>6003414</v>
      </c>
      <c r="AH149">
        <f>IFERROR(VLOOKUP($A149,koronahun!$A:$AM,34,FALSE),"")</f>
        <v>3898</v>
      </c>
      <c r="AI149">
        <f>IFERROR(VLOOKUP($A149,koronahun!$A:$AM,35,FALSE),"")</f>
        <v>5101.2</v>
      </c>
      <c r="AJ149">
        <f>IFERROR(VLOOKUP($A149,koronahun!$A:$AM,36,FALSE),"")</f>
        <v>5777331</v>
      </c>
      <c r="AK149">
        <f>IFERROR(VLOOKUP($A149,koronahun!$A:$AM,37,FALSE),"")</f>
        <v>3173</v>
      </c>
      <c r="AL149">
        <f>IFERROR(VLOOKUP($A149,koronahun!$A:$AM,38,FALSE),"")</f>
        <v>3966</v>
      </c>
      <c r="AM149" s="14">
        <f>IFERROR(VLOOKUP($A149,koronahun!$A:$AM,39,FALSE),"")</f>
        <v>2281.5714285714284</v>
      </c>
      <c r="AN149" s="11">
        <f ca="1">IFERROR(__xludf.DUMMYFUNCTION("""COMPUTED_VALUE"""),44041)</f>
        <v>44041</v>
      </c>
      <c r="AO149" s="12">
        <f ca="1">IFERROR(VLOOKUP(AN149,koronahun!A:B,2,FALSE),"")</f>
        <v>4465</v>
      </c>
      <c r="AP149" s="11">
        <f t="shared" ca="1" si="0"/>
        <v>44041</v>
      </c>
      <c r="AQ149" s="11">
        <f ca="1">IFERROR(__xludf.DUMMYFUNCTION("""COMPUTED_VALUE"""),44041)</f>
        <v>44041</v>
      </c>
      <c r="AR149" s="11">
        <v>44517</v>
      </c>
      <c r="AS149" s="11">
        <f t="shared" si="1"/>
        <v>44517</v>
      </c>
      <c r="AT149" s="11">
        <f ca="1">IFERROR(__xludf.DUMMYFUNCTION("""COMPUTED_VALUE"""),44516)</f>
        <v>44516</v>
      </c>
    </row>
    <row r="150" spans="1:46" ht="13">
      <c r="A150" s="11">
        <v>44515</v>
      </c>
      <c r="B150">
        <f>IFERROR(VLOOKUP($A150,koronahun!$A:$AM,2,FALSE),"")</f>
        <v>960844</v>
      </c>
      <c r="C150">
        <f>IFERROR(VLOOKUP($A150,koronahun!$A:$AM,3,FALSE),"")</f>
        <v>21060</v>
      </c>
      <c r="D150">
        <f>IFERROR(VLOOKUP($A150,koronahun!$A:$AM,4,FALSE),"")</f>
        <v>32171</v>
      </c>
      <c r="E150">
        <f>IFERROR(VLOOKUP($A150,koronahun!$A:$AM,5,FALSE),"")</f>
        <v>825775</v>
      </c>
      <c r="F150">
        <f>IFERROR(VLOOKUP($A150,koronahun!$A:$AM,6,FALSE),"")</f>
        <v>7854966</v>
      </c>
      <c r="G150" s="12">
        <f>IFERROR(VLOOKUP($A150,koronahun!$A:$AM,7,FALSE),"")</f>
        <v>801527.14285714284</v>
      </c>
      <c r="H150">
        <f>IFERROR(VLOOKUP($A150,koronahun!$A:$AM,8,FALSE),"")</f>
        <v>0</v>
      </c>
      <c r="I150" s="13">
        <f>IFERROR(VLOOKUP($A150,koronahun!$A:$AM,9,FALSE),"")</f>
        <v>2.2409404714274769E-2</v>
      </c>
      <c r="J150" s="13">
        <f>IFERROR(VLOOKUP($A150,koronahun!$A:$AM,10,FALSE),"")</f>
        <v>0.12232312654185899</v>
      </c>
      <c r="K150" s="13">
        <f>IFERROR(VLOOKUP($A150,koronahun!$A:$AM,11,FALSE),"")</f>
        <v>1.3214672547077923E-2</v>
      </c>
      <c r="L150">
        <f>IFERROR(VLOOKUP($A150,koronahun!$A:$AM,12,FALSE),"")</f>
        <v>102898</v>
      </c>
      <c r="M150" s="13">
        <f>IFERROR(VLOOKUP($A150,koronahun!$A:$AM,13,FALSE),"")</f>
        <v>3.3482022055609441E-2</v>
      </c>
      <c r="N150" s="13">
        <f>IFERROR(VLOOKUP($A150,koronahun!$A:$AM,14,FALSE),"")</f>
        <v>0.8594267123487267</v>
      </c>
      <c r="O150">
        <f>IFERROR(VLOOKUP($A150,koronahun!$A:$AM,15,FALSE),"")</f>
        <v>42931</v>
      </c>
      <c r="P150">
        <f>IFERROR(VLOOKUP($A150,koronahun!$A:$AM,16,FALSE),"")</f>
        <v>102447</v>
      </c>
      <c r="Q150" s="13">
        <f>IFERROR(VLOOKUP($A150,koronahun!$A:$AM,17,FALSE),"")</f>
        <v>0.2055697092154968</v>
      </c>
      <c r="R150">
        <f>IFERROR(VLOOKUP($A150,koronahun!$A:$AM,18,FALSE),"")</f>
        <v>304</v>
      </c>
      <c r="S150">
        <f>IFERROR(VLOOKUP($A150,koronahun!$A:$AM,19,FALSE),"")</f>
        <v>7439</v>
      </c>
      <c r="T150">
        <f>IFERROR(VLOOKUP($A150,koronahun!$A:$AM,20,FALSE),"")</f>
        <v>5286</v>
      </c>
      <c r="U150">
        <f>IFERROR(VLOOKUP($A150,koronahun!$A:$AM,21,FALSE),"")</f>
        <v>519</v>
      </c>
      <c r="V150" s="13">
        <f>IFERROR(VLOOKUP($A150,koronahun!$A:$AM,22,FALSE),"")</f>
        <v>0.10709126559566381</v>
      </c>
      <c r="W150">
        <f>IFERROR(VLOOKUP($A150,koronahun!$A:$AM,23,FALSE),"")</f>
        <v>139</v>
      </c>
      <c r="X150">
        <f>IFERROR(VLOOKUP($A150,koronahun!$A:$AM,24,FALSE),"")</f>
        <v>10</v>
      </c>
      <c r="Y150" s="14">
        <f>IFERROR(VLOOKUP($A150,koronahun!$A:$AM,25,FALSE),"")</f>
        <v>5.1371260860269392E-2</v>
      </c>
      <c r="Z150" s="14">
        <f>IFERROR(VLOOKUP($A150,koronahun!$A:$AM,26,FALSE),"")</f>
        <v>9.8183881952326899E-2</v>
      </c>
      <c r="AA150" s="14">
        <f>IFERROR(VLOOKUP($A150,koronahun!$A:$AM,27,FALSE),"")</f>
        <v>1.4376272336575435</v>
      </c>
      <c r="AB150" s="14">
        <f>IFERROR(VLOOKUP($A150,koronahun!$A:$AM,28,FALSE),"")</f>
        <v>1.6569420588557127</v>
      </c>
      <c r="AC150" s="14">
        <f>IFERROR(VLOOKUP($A150,koronahun!$A:$AM,29,FALSE),"")</f>
        <v>7263.7142857142853</v>
      </c>
      <c r="AD150" s="14">
        <f>IFERROR(VLOOKUP($A150,koronahun!$A:$AM,30,FALSE),"")</f>
        <v>110.42857142857143</v>
      </c>
      <c r="AE150" s="14">
        <f>IFERROR(VLOOKUP($A150,koronahun!$A:$AM,31,FALSE),"")</f>
        <v>32419.857142857141</v>
      </c>
      <c r="AF150" s="13">
        <f>IFERROR(VLOOKUP($A150,koronahun!$A:$AM,32,FALSE),"")</f>
        <v>0.23360903356575516</v>
      </c>
      <c r="AG150">
        <f>IFERROR(VLOOKUP($A150,koronahun!$A:$AM,33,FALSE),"")</f>
        <v>5999516</v>
      </c>
      <c r="AH150">
        <f>IFERROR(VLOOKUP($A150,koronahun!$A:$AM,34,FALSE),"")</f>
        <v>7374</v>
      </c>
      <c r="AI150">
        <f>IFERROR(VLOOKUP($A150,koronahun!$A:$AM,35,FALSE),"")</f>
        <v>5000.3999999999996</v>
      </c>
      <c r="AJ150">
        <f>IFERROR(VLOOKUP($A150,koronahun!$A:$AM,36,FALSE),"")</f>
        <v>5774158</v>
      </c>
      <c r="AK150">
        <f>IFERROR(VLOOKUP($A150,koronahun!$A:$AM,37,FALSE),"")</f>
        <v>5217</v>
      </c>
      <c r="AL150">
        <f>IFERROR(VLOOKUP($A150,koronahun!$A:$AM,38,FALSE),"")</f>
        <v>3936.6</v>
      </c>
      <c r="AM150" s="14">
        <f>IFERROR(VLOOKUP($A150,koronahun!$A:$AM,39,FALSE),"")</f>
        <v>2251.5714285714284</v>
      </c>
      <c r="AN150" s="11">
        <f ca="1">IFERROR(__xludf.DUMMYFUNCTION("""COMPUTED_VALUE"""),44042)</f>
        <v>44042</v>
      </c>
      <c r="AO150" s="12">
        <f ca="1">IFERROR(VLOOKUP(AN150,koronahun!A:B,2,FALSE),"")</f>
        <v>4484</v>
      </c>
      <c r="AP150" s="11">
        <f t="shared" ca="1" si="0"/>
        <v>44042</v>
      </c>
      <c r="AQ150" s="11">
        <f ca="1">IFERROR(__xludf.DUMMYFUNCTION("""COMPUTED_VALUE"""),44042)</f>
        <v>44042</v>
      </c>
      <c r="AR150" s="11">
        <v>44516</v>
      </c>
      <c r="AS150" s="11">
        <f t="shared" si="1"/>
        <v>44516</v>
      </c>
      <c r="AT150" s="11">
        <f ca="1">IFERROR(__xludf.DUMMYFUNCTION("""COMPUTED_VALUE"""),44515)</f>
        <v>44515</v>
      </c>
    </row>
    <row r="151" spans="1:46" ht="13">
      <c r="A151" s="11">
        <v>44512</v>
      </c>
      <c r="B151">
        <f>IFERROR(VLOOKUP($A151,koronahun!$A:$AM,2,FALSE),"")</f>
        <v>939784</v>
      </c>
      <c r="C151">
        <f>IFERROR(VLOOKUP($A151,koronahun!$A:$AM,3,FALSE),"")</f>
        <v>8370</v>
      </c>
      <c r="D151">
        <f>IFERROR(VLOOKUP($A151,koronahun!$A:$AM,4,FALSE),"")</f>
        <v>31867</v>
      </c>
      <c r="E151">
        <f>IFERROR(VLOOKUP($A151,koronahun!$A:$AM,5,FALSE),"")</f>
        <v>818336</v>
      </c>
      <c r="F151">
        <f>IFERROR(VLOOKUP($A151,koronahun!$A:$AM,6,FALSE),"")</f>
        <v>7752519</v>
      </c>
      <c r="G151" s="12">
        <f>IFERROR(VLOOKUP($A151,koronahun!$A:$AM,7,FALSE),"")</f>
        <v>791073.3673469387</v>
      </c>
      <c r="H151">
        <f>IFERROR(VLOOKUP($A151,koronahun!$A:$AM,8,FALSE),"")</f>
        <v>0</v>
      </c>
      <c r="I151" s="13">
        <f>IFERROR(VLOOKUP($A151,koronahun!$A:$AM,9,FALSE),"")</f>
        <v>8.9863369028165777E-3</v>
      </c>
      <c r="J151" s="13">
        <f>IFERROR(VLOOKUP($A151,koronahun!$A:$AM,10,FALSE),"")</f>
        <v>0.12122305021116363</v>
      </c>
      <c r="K151" s="13">
        <f>IFERROR(VLOOKUP($A151,koronahun!$A:$AM,11,FALSE),"")</f>
        <v>4.8377260717324712E-3</v>
      </c>
      <c r="L151">
        <f>IFERROR(VLOOKUP($A151,koronahun!$A:$AM,12,FALSE),"")</f>
        <v>89581</v>
      </c>
      <c r="M151" s="13">
        <f>IFERROR(VLOOKUP($A151,koronahun!$A:$AM,13,FALSE),"")</f>
        <v>3.3908855651937041E-2</v>
      </c>
      <c r="N151" s="13">
        <f>IFERROR(VLOOKUP($A151,koronahun!$A:$AM,14,FALSE),"")</f>
        <v>0.870770304665753</v>
      </c>
      <c r="O151">
        <f>IFERROR(VLOOKUP($A151,koronahun!$A:$AM,15,FALSE),"")</f>
        <v>47575</v>
      </c>
      <c r="P151">
        <f>IFERROR(VLOOKUP($A151,koronahun!$A:$AM,16,FALSE),"")</f>
        <v>37324</v>
      </c>
      <c r="Q151" s="13">
        <f>IFERROR(VLOOKUP($A151,koronahun!$A:$AM,17,FALSE),"")</f>
        <v>0.22425249169435216</v>
      </c>
      <c r="R151">
        <f>IFERROR(VLOOKUP($A151,koronahun!$A:$AM,18,FALSE),"")</f>
        <v>116</v>
      </c>
      <c r="S151">
        <f>IFERROR(VLOOKUP($A151,koronahun!$A:$AM,19,FALSE),"")</f>
        <v>2491</v>
      </c>
      <c r="T151">
        <f>IFERROR(VLOOKUP($A151,koronahun!$A:$AM,20,FALSE),"")</f>
        <v>5147</v>
      </c>
      <c r="U151">
        <f>IFERROR(VLOOKUP($A151,koronahun!$A:$AM,21,FALSE),"")</f>
        <v>509</v>
      </c>
      <c r="V151" s="13">
        <f>IFERROR(VLOOKUP($A151,koronahun!$A:$AM,22,FALSE),"")</f>
        <v>9.5320839682309977E-2</v>
      </c>
      <c r="W151">
        <f>IFERROR(VLOOKUP($A151,koronahun!$A:$AM,23,FALSE),"")</f>
        <v>157</v>
      </c>
      <c r="X151">
        <f>IFERROR(VLOOKUP($A151,koronahun!$A:$AM,24,FALSE),"")</f>
        <v>21</v>
      </c>
      <c r="Y151" s="14">
        <f>IFERROR(VLOOKUP($A151,koronahun!$A:$AM,25,FALSE),"")</f>
        <v>5.7456380259206755E-2</v>
      </c>
      <c r="Z151" s="14">
        <f>IFERROR(VLOOKUP($A151,koronahun!$A:$AM,26,FALSE),"")</f>
        <v>9.889255877210025E-2</v>
      </c>
      <c r="AA151" s="14">
        <f>IFERROR(VLOOKUP($A151,koronahun!$A:$AM,27,FALSE),"")</f>
        <v>1.6566359366846408</v>
      </c>
      <c r="AB151" s="14">
        <f>IFERROR(VLOOKUP($A151,koronahun!$A:$AM,28,FALSE),"")</f>
        <v>1.6627200909980275</v>
      </c>
      <c r="AC151" s="14">
        <f>IFERROR(VLOOKUP($A151,koronahun!$A:$AM,29,FALSE),"")</f>
        <v>6802.8571428571431</v>
      </c>
      <c r="AD151" s="14">
        <f>IFERROR(VLOOKUP($A151,koronahun!$A:$AM,30,FALSE),"")</f>
        <v>97.571428571428569</v>
      </c>
      <c r="AE151" s="14">
        <f>IFERROR(VLOOKUP($A151,koronahun!$A:$AM,31,FALSE),"")</f>
        <v>31573</v>
      </c>
      <c r="AF151" s="13">
        <f>IFERROR(VLOOKUP($A151,koronahun!$A:$AM,32,FALSE),"")</f>
        <v>0.22944947376142535</v>
      </c>
      <c r="AG151">
        <f>IFERROR(VLOOKUP($A151,koronahun!$A:$AM,33,FALSE),"")</f>
        <v>5992142</v>
      </c>
      <c r="AH151">
        <f>IFERROR(VLOOKUP($A151,koronahun!$A:$AM,34,FALSE),"")</f>
        <v>5415</v>
      </c>
      <c r="AI151">
        <f>IFERROR(VLOOKUP($A151,koronahun!$A:$AM,35,FALSE),"")</f>
        <v>4879</v>
      </c>
      <c r="AJ151">
        <f>IFERROR(VLOOKUP($A151,koronahun!$A:$AM,36,FALSE),"")</f>
        <v>5768941</v>
      </c>
      <c r="AK151">
        <f>IFERROR(VLOOKUP($A151,koronahun!$A:$AM,37,FALSE),"")</f>
        <v>4368</v>
      </c>
      <c r="AL151">
        <f>IFERROR(VLOOKUP($A151,koronahun!$A:$AM,38,FALSE),"")</f>
        <v>4051.8</v>
      </c>
      <c r="AM151" s="14">
        <f>IFERROR(VLOOKUP($A151,koronahun!$A:$AM,39,FALSE),"")</f>
        <v>1945.1428571428571</v>
      </c>
      <c r="AN151" s="11">
        <f ca="1">IFERROR(__xludf.DUMMYFUNCTION("""COMPUTED_VALUE"""),44043)</f>
        <v>44043</v>
      </c>
      <c r="AO151" s="12">
        <f ca="1">IFERROR(VLOOKUP(AN151,koronahun!A:B,2,FALSE),"")</f>
        <v>4505</v>
      </c>
      <c r="AP151" s="11">
        <f t="shared" ca="1" si="0"/>
        <v>44043</v>
      </c>
      <c r="AQ151" s="11">
        <f ca="1">IFERROR(__xludf.DUMMYFUNCTION("""COMPUTED_VALUE"""),44043)</f>
        <v>44043</v>
      </c>
      <c r="AR151" s="11">
        <v>44515</v>
      </c>
      <c r="AS151" s="11">
        <f t="shared" si="1"/>
        <v>44515</v>
      </c>
      <c r="AT151" s="11">
        <f ca="1">IFERROR(__xludf.DUMMYFUNCTION("""COMPUTED_VALUE"""),44512)</f>
        <v>44512</v>
      </c>
    </row>
    <row r="152" spans="1:46" ht="13">
      <c r="A152" s="11">
        <v>44511</v>
      </c>
      <c r="B152">
        <f>IFERROR(VLOOKUP($A152,koronahun!$A:$AM,2,FALSE),"")</f>
        <v>931414</v>
      </c>
      <c r="C152">
        <f>IFERROR(VLOOKUP($A152,koronahun!$A:$AM,3,FALSE),"")</f>
        <v>8394</v>
      </c>
      <c r="D152">
        <f>IFERROR(VLOOKUP($A152,koronahun!$A:$AM,4,FALSE),"")</f>
        <v>31751</v>
      </c>
      <c r="E152">
        <f>IFERROR(VLOOKUP($A152,koronahun!$A:$AM,5,FALSE),"")</f>
        <v>815845</v>
      </c>
      <c r="F152">
        <f>IFERROR(VLOOKUP($A152,koronahun!$A:$AM,6,FALSE),"")</f>
        <v>7715195</v>
      </c>
      <c r="G152" s="12">
        <f>IFERROR(VLOOKUP($A152,koronahun!$A:$AM,7,FALSE),"")</f>
        <v>787264.79591836734</v>
      </c>
      <c r="H152">
        <f>IFERROR(VLOOKUP($A152,koronahun!$A:$AM,8,FALSE),"")</f>
        <v>0</v>
      </c>
      <c r="I152" s="13">
        <f>IFERROR(VLOOKUP($A152,koronahun!$A:$AM,9,FALSE),"")</f>
        <v>9.0940608004160262E-3</v>
      </c>
      <c r="J152" s="13">
        <f>IFERROR(VLOOKUP($A152,koronahun!$A:$AM,10,FALSE),"")</f>
        <v>0.12072462199594437</v>
      </c>
      <c r="K152" s="13">
        <f>IFERROR(VLOOKUP($A152,koronahun!$A:$AM,11,FALSE),"")</f>
        <v>4.9005082466837494E-3</v>
      </c>
      <c r="L152">
        <f>IFERROR(VLOOKUP($A152,koronahun!$A:$AM,12,FALSE),"")</f>
        <v>83818</v>
      </c>
      <c r="M152" s="13">
        <f>IFERROR(VLOOKUP($A152,koronahun!$A:$AM,13,FALSE),"")</f>
        <v>3.4089030227159998E-2</v>
      </c>
      <c r="N152" s="13">
        <f>IFERROR(VLOOKUP($A152,koronahun!$A:$AM,14,FALSE),"")</f>
        <v>0.87592091164616381</v>
      </c>
      <c r="O152">
        <f>IFERROR(VLOOKUP($A152,koronahun!$A:$AM,15,FALSE),"")</f>
        <v>39655</v>
      </c>
      <c r="P152">
        <f>IFERROR(VLOOKUP($A152,koronahun!$A:$AM,16,FALSE),"")</f>
        <v>37624</v>
      </c>
      <c r="Q152" s="13">
        <f>IFERROR(VLOOKUP($A152,koronahun!$A:$AM,17,FALSE),"")</f>
        <v>0.2231022751435254</v>
      </c>
      <c r="R152">
        <f>IFERROR(VLOOKUP($A152,koronahun!$A:$AM,18,FALSE),"")</f>
        <v>132</v>
      </c>
      <c r="S152">
        <f>IFERROR(VLOOKUP($A152,koronahun!$A:$AM,19,FALSE),"")</f>
        <v>2469</v>
      </c>
      <c r="T152">
        <f>IFERROR(VLOOKUP($A152,koronahun!$A:$AM,20,FALSE),"")</f>
        <v>4990</v>
      </c>
      <c r="U152">
        <f>IFERROR(VLOOKUP($A152,koronahun!$A:$AM,21,FALSE),"")</f>
        <v>488</v>
      </c>
      <c r="V152" s="13">
        <f>IFERROR(VLOOKUP($A152,koronahun!$A:$AM,22,FALSE),"")</f>
        <v>8.9990058126676209E-2</v>
      </c>
      <c r="W152">
        <f>IFERROR(VLOOKUP($A152,koronahun!$A:$AM,23,FALSE),"")</f>
        <v>160</v>
      </c>
      <c r="X152">
        <f>IFERROR(VLOOKUP($A152,koronahun!$A:$AM,24,FALSE),"")</f>
        <v>25</v>
      </c>
      <c r="Y152" s="14">
        <f>IFERROR(VLOOKUP($A152,koronahun!$A:$AM,25,FALSE),"")</f>
        <v>5.9533751700112145E-2</v>
      </c>
      <c r="Z152" s="14">
        <f>IFERROR(VLOOKUP($A152,koronahun!$A:$AM,26,FALSE),"")</f>
        <v>9.7795591182364736E-2</v>
      </c>
      <c r="AA152" s="14">
        <f>IFERROR(VLOOKUP($A152,koronahun!$A:$AM,27,FALSE),"")</f>
        <v>1.7725348318066354</v>
      </c>
      <c r="AB152" s="14">
        <f>IFERROR(VLOOKUP($A152,koronahun!$A:$AM,28,FALSE),"")</f>
        <v>1.6247990483992845</v>
      </c>
      <c r="AC152" s="14">
        <f>IFERROR(VLOOKUP($A152,koronahun!$A:$AM,29,FALSE),"")</f>
        <v>6579.1428571428569</v>
      </c>
      <c r="AD152" s="14">
        <f>IFERROR(VLOOKUP($A152,koronahun!$A:$AM,30,FALSE),"")</f>
        <v>92.857142857142861</v>
      </c>
      <c r="AE152" s="14">
        <f>IFERROR(VLOOKUP($A152,koronahun!$A:$AM,31,FALSE),"")</f>
        <v>30910.285714285714</v>
      </c>
      <c r="AF152" s="13">
        <f>IFERROR(VLOOKUP($A152,koronahun!$A:$AM,32,FALSE),"")</f>
        <v>0.22623275238446405</v>
      </c>
      <c r="AG152">
        <f>IFERROR(VLOOKUP($A152,koronahun!$A:$AM,33,FALSE),"")</f>
        <v>5986727</v>
      </c>
      <c r="AH152">
        <f>IFERROR(VLOOKUP($A152,koronahun!$A:$AM,34,FALSE),"")</f>
        <v>4812</v>
      </c>
      <c r="AI152">
        <f>IFERROR(VLOOKUP($A152,koronahun!$A:$AM,35,FALSE),"")</f>
        <v>4769.8</v>
      </c>
      <c r="AJ152">
        <f>IFERROR(VLOOKUP($A152,koronahun!$A:$AM,36,FALSE),"")</f>
        <v>5764573</v>
      </c>
      <c r="AK152">
        <f>IFERROR(VLOOKUP($A152,koronahun!$A:$AM,37,FALSE),"")</f>
        <v>3661</v>
      </c>
      <c r="AL152">
        <f>IFERROR(VLOOKUP($A152,koronahun!$A:$AM,38,FALSE),"")</f>
        <v>4070.8</v>
      </c>
      <c r="AM152" s="14">
        <f>IFERROR(VLOOKUP($A152,koronahun!$A:$AM,39,FALSE),"")</f>
        <v>1813.4285714285713</v>
      </c>
      <c r="AN152" s="11">
        <f ca="1">IFERROR(__xludf.DUMMYFUNCTION("""COMPUTED_VALUE"""),44044)</f>
        <v>44044</v>
      </c>
      <c r="AO152" s="12">
        <f ca="1">IFERROR(VLOOKUP(AN152,koronahun!A:B,2,FALSE),"")</f>
        <v>4526</v>
      </c>
      <c r="AP152" s="11">
        <f t="shared" ca="1" si="0"/>
        <v>44044</v>
      </c>
      <c r="AQ152" s="11">
        <f ca="1">IFERROR(__xludf.DUMMYFUNCTION("""COMPUTED_VALUE"""),44044)</f>
        <v>44044</v>
      </c>
      <c r="AR152" s="11">
        <v>44512</v>
      </c>
      <c r="AS152" s="11">
        <f t="shared" si="1"/>
        <v>44512</v>
      </c>
      <c r="AT152" s="11">
        <f ca="1">IFERROR(__xludf.DUMMYFUNCTION("""COMPUTED_VALUE"""),44511)</f>
        <v>44511</v>
      </c>
    </row>
    <row r="153" spans="1:46" ht="13">
      <c r="A153" s="11">
        <v>44510</v>
      </c>
      <c r="B153">
        <f>IFERROR(VLOOKUP($A153,koronahun!$A:$AM,2,FALSE),"")</f>
        <v>923020</v>
      </c>
      <c r="C153">
        <f>IFERROR(VLOOKUP($A153,koronahun!$A:$AM,3,FALSE),"")</f>
        <v>8434</v>
      </c>
      <c r="D153">
        <f>IFERROR(VLOOKUP($A153,koronahun!$A:$AM,4,FALSE),"")</f>
        <v>31619</v>
      </c>
      <c r="E153">
        <f>IFERROR(VLOOKUP($A153,koronahun!$A:$AM,5,FALSE),"")</f>
        <v>813376</v>
      </c>
      <c r="F153">
        <f>IFERROR(VLOOKUP($A153,koronahun!$A:$AM,6,FALSE),"")</f>
        <v>7677571</v>
      </c>
      <c r="G153" s="12">
        <f>IFERROR(VLOOKUP($A153,koronahun!$A:$AM,7,FALSE),"")</f>
        <v>783425.61224489787</v>
      </c>
      <c r="H153">
        <f>IFERROR(VLOOKUP($A153,koronahun!$A:$AM,8,FALSE),"")</f>
        <v>0</v>
      </c>
      <c r="I153" s="13">
        <f>IFERROR(VLOOKUP($A153,koronahun!$A:$AM,9,FALSE),"")</f>
        <v>9.2216587614505369E-3</v>
      </c>
      <c r="J153" s="13">
        <f>IFERROR(VLOOKUP($A153,koronahun!$A:$AM,10,FALSE),"")</f>
        <v>0.12022291946241852</v>
      </c>
      <c r="K153" s="13">
        <f>IFERROR(VLOOKUP($A153,koronahun!$A:$AM,11,FALSE),"")</f>
        <v>3.8798896114984795E-3</v>
      </c>
      <c r="L153">
        <f>IFERROR(VLOOKUP($A153,koronahun!$A:$AM,12,FALSE),"")</f>
        <v>78025</v>
      </c>
      <c r="M153" s="13">
        <f>IFERROR(VLOOKUP($A153,koronahun!$A:$AM,13,FALSE),"")</f>
        <v>3.4256029121795845E-2</v>
      </c>
      <c r="N153" s="13">
        <f>IFERROR(VLOOKUP($A153,koronahun!$A:$AM,14,FALSE),"")</f>
        <v>0.88121167471994111</v>
      </c>
      <c r="O153">
        <f>IFERROR(VLOOKUP($A153,koronahun!$A:$AM,15,FALSE),"")</f>
        <v>32950</v>
      </c>
      <c r="P153">
        <f>IFERROR(VLOOKUP($A153,koronahun!$A:$AM,16,FALSE),"")</f>
        <v>29673</v>
      </c>
      <c r="Q153" s="13">
        <f>IFERROR(VLOOKUP($A153,koronahun!$A:$AM,17,FALSE),"")</f>
        <v>0.28423145620597851</v>
      </c>
      <c r="R153">
        <f>IFERROR(VLOOKUP($A153,koronahun!$A:$AM,18,FALSE),"")</f>
        <v>98</v>
      </c>
      <c r="S153">
        <f>IFERROR(VLOOKUP($A153,koronahun!$A:$AM,19,FALSE),"")</f>
        <v>2110</v>
      </c>
      <c r="T153">
        <f>IFERROR(VLOOKUP($A153,koronahun!$A:$AM,20,FALSE),"")</f>
        <v>4830</v>
      </c>
      <c r="U153">
        <f>IFERROR(VLOOKUP($A153,koronahun!$A:$AM,21,FALSE),"")</f>
        <v>463</v>
      </c>
      <c r="V153" s="13">
        <f>IFERROR(VLOOKUP($A153,koronahun!$A:$AM,22,FALSE),"")</f>
        <v>8.453229615826309E-2</v>
      </c>
      <c r="W153">
        <f>IFERROR(VLOOKUP($A153,koronahun!$A:$AM,23,FALSE),"")</f>
        <v>308</v>
      </c>
      <c r="X153">
        <f>IFERROR(VLOOKUP($A153,koronahun!$A:$AM,24,FALSE),"")</f>
        <v>11</v>
      </c>
      <c r="Y153" s="14">
        <f>IFERROR(VLOOKUP($A153,koronahun!$A:$AM,25,FALSE),"")</f>
        <v>6.1903236142262098E-2</v>
      </c>
      <c r="Z153" s="14">
        <f>IFERROR(VLOOKUP($A153,koronahun!$A:$AM,26,FALSE),"")</f>
        <v>9.5859213250517591E-2</v>
      </c>
      <c r="AA153" s="14">
        <f>IFERROR(VLOOKUP($A153,koronahun!$A:$AM,27,FALSE),"")</f>
        <v>1.8493663958236854</v>
      </c>
      <c r="AB153" s="14">
        <f>IFERROR(VLOOKUP($A153,koronahun!$A:$AM,28,FALSE),"")</f>
        <v>1.5573701440234831</v>
      </c>
      <c r="AC153" s="14">
        <f>IFERROR(VLOOKUP($A153,koronahun!$A:$AM,29,FALSE),"")</f>
        <v>6275.4285714285716</v>
      </c>
      <c r="AD153" s="14">
        <f>IFERROR(VLOOKUP($A153,koronahun!$A:$AM,30,FALSE),"")</f>
        <v>89.285714285714292</v>
      </c>
      <c r="AE153" s="14">
        <f>IFERROR(VLOOKUP($A153,koronahun!$A:$AM,31,FALSE),"")</f>
        <v>28606.714285714286</v>
      </c>
      <c r="AF153" s="13">
        <f>IFERROR(VLOOKUP($A153,koronahun!$A:$AM,32,FALSE),"")</f>
        <v>0.23992198617849486</v>
      </c>
      <c r="AG153">
        <f>IFERROR(VLOOKUP($A153,koronahun!$A:$AM,33,FALSE),"")</f>
        <v>5981915</v>
      </c>
      <c r="AH153">
        <f>IFERROR(VLOOKUP($A153,koronahun!$A:$AM,34,FALSE),"")</f>
        <v>4007</v>
      </c>
      <c r="AI153">
        <f>IFERROR(VLOOKUP($A153,koronahun!$A:$AM,35,FALSE),"")</f>
        <v>4605</v>
      </c>
      <c r="AJ153">
        <f>IFERROR(VLOOKUP($A153,koronahun!$A:$AM,36,FALSE),"")</f>
        <v>5760912</v>
      </c>
      <c r="AK153">
        <f>IFERROR(VLOOKUP($A153,koronahun!$A:$AM,37,FALSE),"")</f>
        <v>3411</v>
      </c>
      <c r="AL153">
        <f>IFERROR(VLOOKUP($A153,koronahun!$A:$AM,38,FALSE),"")</f>
        <v>4097.6000000000004</v>
      </c>
      <c r="AM153" s="14">
        <f>IFERROR(VLOOKUP($A153,koronahun!$A:$AM,39,FALSE),"")</f>
        <v>1669.4285714285713</v>
      </c>
      <c r="AN153" s="11">
        <f ca="1">IFERROR(__xludf.DUMMYFUNCTION("""COMPUTED_VALUE"""),44045)</f>
        <v>44045</v>
      </c>
      <c r="AO153" s="12">
        <f ca="1">IFERROR(VLOOKUP(AN153,koronahun!A:B,2,FALSE),"")</f>
        <v>4535</v>
      </c>
      <c r="AP153" s="11">
        <f t="shared" ca="1" si="0"/>
        <v>44045</v>
      </c>
      <c r="AQ153" s="11">
        <f ca="1">IFERROR(__xludf.DUMMYFUNCTION("""COMPUTED_VALUE"""),44045)</f>
        <v>44045</v>
      </c>
      <c r="AR153" s="11">
        <v>44511</v>
      </c>
      <c r="AS153" s="11">
        <f t="shared" si="1"/>
        <v>44511</v>
      </c>
      <c r="AT153" s="11">
        <f ca="1">IFERROR(__xludf.DUMMYFUNCTION("""COMPUTED_VALUE"""),44510)</f>
        <v>44510</v>
      </c>
    </row>
    <row r="154" spans="1:46" ht="13">
      <c r="A154" s="11">
        <v>44509</v>
      </c>
      <c r="B154">
        <f>IFERROR(VLOOKUP($A154,koronahun!$A:$AM,2,FALSE),"")</f>
        <v>914586</v>
      </c>
      <c r="C154">
        <f>IFERROR(VLOOKUP($A154,koronahun!$A:$AM,3,FALSE),"")</f>
        <v>4588</v>
      </c>
      <c r="D154">
        <f>IFERROR(VLOOKUP($A154,koronahun!$A:$AM,4,FALSE),"")</f>
        <v>31521</v>
      </c>
      <c r="E154">
        <f>IFERROR(VLOOKUP($A154,koronahun!$A:$AM,5,FALSE),"")</f>
        <v>811266</v>
      </c>
      <c r="F154">
        <f>IFERROR(VLOOKUP($A154,koronahun!$A:$AM,6,FALSE),"")</f>
        <v>7647898</v>
      </c>
      <c r="G154" s="12">
        <f>IFERROR(VLOOKUP($A154,koronahun!$A:$AM,7,FALSE),"")</f>
        <v>780397.75510204071</v>
      </c>
      <c r="H154">
        <f>IFERROR(VLOOKUP($A154,koronahun!$A:$AM,8,FALSE),"")</f>
        <v>0</v>
      </c>
      <c r="I154" s="13">
        <f>IFERROR(VLOOKUP($A154,koronahun!$A:$AM,9,FALSE),"")</f>
        <v>5.0417693225699401E-3</v>
      </c>
      <c r="J154" s="13">
        <f>IFERROR(VLOOKUP($A154,koronahun!$A:$AM,10,FALSE),"")</f>
        <v>0.11958658444451012</v>
      </c>
      <c r="K154" s="13">
        <f>IFERROR(VLOOKUP($A154,koronahun!$A:$AM,11,FALSE),"")</f>
        <v>2.6049986451280259E-3</v>
      </c>
      <c r="L154">
        <f>IFERROR(VLOOKUP($A154,koronahun!$A:$AM,12,FALSE),"")</f>
        <v>71799</v>
      </c>
      <c r="M154" s="13">
        <f>IFERROR(VLOOKUP($A154,koronahun!$A:$AM,13,FALSE),"")</f>
        <v>3.4464774225715242E-2</v>
      </c>
      <c r="N154" s="13">
        <f>IFERROR(VLOOKUP($A154,koronahun!$A:$AM,14,FALSE),"")</f>
        <v>0.88703085330411791</v>
      </c>
      <c r="O154">
        <f>IFERROR(VLOOKUP($A154,koronahun!$A:$AM,15,FALSE),"")</f>
        <v>27751</v>
      </c>
      <c r="P154">
        <f>IFERROR(VLOOKUP($A154,koronahun!$A:$AM,16,FALSE),"")</f>
        <v>19871</v>
      </c>
      <c r="Q154" s="13">
        <f>IFERROR(VLOOKUP($A154,koronahun!$A:$AM,17,FALSE),"")</f>
        <v>0.23088923556942278</v>
      </c>
      <c r="R154">
        <f>IFERROR(VLOOKUP($A154,koronahun!$A:$AM,18,FALSE),"")</f>
        <v>123</v>
      </c>
      <c r="S154">
        <f>IFERROR(VLOOKUP($A154,koronahun!$A:$AM,19,FALSE),"")</f>
        <v>1252</v>
      </c>
      <c r="T154">
        <f>IFERROR(VLOOKUP($A154,koronahun!$A:$AM,20,FALSE),"")</f>
        <v>4522</v>
      </c>
      <c r="U154">
        <f>IFERROR(VLOOKUP($A154,koronahun!$A:$AM,21,FALSE),"")</f>
        <v>452</v>
      </c>
      <c r="V154" s="13">
        <f>IFERROR(VLOOKUP($A154,koronahun!$A:$AM,22,FALSE),"")</f>
        <v>7.8504372470166825E-2</v>
      </c>
      <c r="W154">
        <f>IFERROR(VLOOKUP($A154,koronahun!$A:$AM,23,FALSE),"")</f>
        <v>542</v>
      </c>
      <c r="X154">
        <f>IFERROR(VLOOKUP($A154,koronahun!$A:$AM,24,FALSE),"")</f>
        <v>18</v>
      </c>
      <c r="Y154" s="14">
        <f>IFERROR(VLOOKUP($A154,koronahun!$A:$AM,25,FALSE),"")</f>
        <v>6.2981378570732188E-2</v>
      </c>
      <c r="Z154" s="14">
        <f>IFERROR(VLOOKUP($A154,koronahun!$A:$AM,26,FALSE),"")</f>
        <v>9.9955771782397174E-2</v>
      </c>
      <c r="AA154" s="14">
        <f>IFERROR(VLOOKUP($A154,koronahun!$A:$AM,27,FALSE),"")</f>
        <v>1.5685458963060577</v>
      </c>
      <c r="AB154" s="14">
        <f>IFERROR(VLOOKUP($A154,koronahun!$A:$AM,28,FALSE),"")</f>
        <v>1.4767619199643902</v>
      </c>
      <c r="AC154" s="14">
        <f>IFERROR(VLOOKUP($A154,koronahun!$A:$AM,29,FALSE),"")</f>
        <v>5441.2857142857147</v>
      </c>
      <c r="AD154" s="14">
        <f>IFERROR(VLOOKUP($A154,koronahun!$A:$AM,30,FALSE),"")</f>
        <v>85.857142857142861</v>
      </c>
      <c r="AE154" s="14">
        <f>IFERROR(VLOOKUP($A154,koronahun!$A:$AM,31,FALSE),"")</f>
        <v>26201.571428571428</v>
      </c>
      <c r="AF154" s="13">
        <f>IFERROR(VLOOKUP($A154,koronahun!$A:$AM,32,FALSE),"")</f>
        <v>0.22350570194828306</v>
      </c>
      <c r="AG154">
        <f>IFERROR(VLOOKUP($A154,koronahun!$A:$AM,33,FALSE),"")</f>
        <v>5977908</v>
      </c>
      <c r="AH154">
        <f>IFERROR(VLOOKUP($A154,koronahun!$A:$AM,34,FALSE),"")</f>
        <v>3394</v>
      </c>
      <c r="AI154">
        <f>IFERROR(VLOOKUP($A154,koronahun!$A:$AM,35,FALSE),"")</f>
        <v>4531.6000000000004</v>
      </c>
      <c r="AJ154">
        <f>IFERROR(VLOOKUP($A154,koronahun!$A:$AM,36,FALSE),"")</f>
        <v>5757501</v>
      </c>
      <c r="AK154">
        <f>IFERROR(VLOOKUP($A154,koronahun!$A:$AM,37,FALSE),"")</f>
        <v>3026</v>
      </c>
      <c r="AL154">
        <f>IFERROR(VLOOKUP($A154,koronahun!$A:$AM,38,FALSE),"")</f>
        <v>4209.8</v>
      </c>
      <c r="AM154" s="14">
        <f>IFERROR(VLOOKUP($A154,koronahun!$A:$AM,39,FALSE),"")</f>
        <v>1495.7142857142858</v>
      </c>
      <c r="AN154" s="11">
        <f ca="1">IFERROR(__xludf.DUMMYFUNCTION("""COMPUTED_VALUE"""),44046)</f>
        <v>44046</v>
      </c>
      <c r="AO154" s="12">
        <f ca="1">IFERROR(VLOOKUP(AN154,koronahun!A:B,2,FALSE),"")</f>
        <v>4544</v>
      </c>
      <c r="AP154" s="11">
        <f t="shared" ca="1" si="0"/>
        <v>44046</v>
      </c>
      <c r="AQ154" s="11">
        <f ca="1">IFERROR(__xludf.DUMMYFUNCTION("""COMPUTED_VALUE"""),44046)</f>
        <v>44046</v>
      </c>
      <c r="AR154" s="11">
        <v>44510</v>
      </c>
      <c r="AS154" s="11">
        <f t="shared" si="1"/>
        <v>44510</v>
      </c>
      <c r="AT154" s="11">
        <f ca="1">IFERROR(__xludf.DUMMYFUNCTION("""COMPUTED_VALUE"""),44509)</f>
        <v>44509</v>
      </c>
    </row>
    <row r="155" spans="1:46" ht="13">
      <c r="A155" s="11">
        <v>44508</v>
      </c>
      <c r="B155">
        <f>IFERROR(VLOOKUP($A155,koronahun!$A:$AM,2,FALSE),"")</f>
        <v>909998</v>
      </c>
      <c r="C155">
        <f>IFERROR(VLOOKUP($A155,koronahun!$A:$AM,3,FALSE),"")</f>
        <v>17834</v>
      </c>
      <c r="D155">
        <f>IFERROR(VLOOKUP($A155,koronahun!$A:$AM,4,FALSE),"")</f>
        <v>31398</v>
      </c>
      <c r="E155">
        <f>IFERROR(VLOOKUP($A155,koronahun!$A:$AM,5,FALSE),"")</f>
        <v>810014</v>
      </c>
      <c r="F155">
        <f>IFERROR(VLOOKUP($A155,koronahun!$A:$AM,6,FALSE),"")</f>
        <v>7628027</v>
      </c>
      <c r="G155" s="12">
        <f>IFERROR(VLOOKUP($A155,koronahun!$A:$AM,7,FALSE),"")</f>
        <v>778370.10204081621</v>
      </c>
      <c r="H155">
        <f>IFERROR(VLOOKUP($A155,koronahun!$A:$AM,8,FALSE),"")</f>
        <v>0</v>
      </c>
      <c r="I155" s="13">
        <f>IFERROR(VLOOKUP($A155,koronahun!$A:$AM,9,FALSE),"")</f>
        <v>1.9989598324971641E-2</v>
      </c>
      <c r="J155" s="13">
        <f>IFERROR(VLOOKUP($A155,koronahun!$A:$AM,10,FALSE),"")</f>
        <v>0.11929664118913055</v>
      </c>
      <c r="K155" s="13">
        <f>IFERROR(VLOOKUP($A155,koronahun!$A:$AM,11,FALSE),"")</f>
        <v>1.2815361810675897E-2</v>
      </c>
      <c r="L155">
        <f>IFERROR(VLOOKUP($A155,koronahun!$A:$AM,12,FALSE),"")</f>
        <v>68586</v>
      </c>
      <c r="M155" s="13">
        <f>IFERROR(VLOOKUP($A155,koronahun!$A:$AM,13,FALSE),"")</f>
        <v>3.450337253488469E-2</v>
      </c>
      <c r="N155" s="13">
        <f>IFERROR(VLOOKUP($A155,koronahun!$A:$AM,14,FALSE),"")</f>
        <v>0.89012723104885949</v>
      </c>
      <c r="O155">
        <f>IFERROR(VLOOKUP($A155,koronahun!$A:$AM,15,FALSE),"")</f>
        <v>25467</v>
      </c>
      <c r="P155">
        <f>IFERROR(VLOOKUP($A155,koronahun!$A:$AM,16,FALSE),"")</f>
        <v>96519</v>
      </c>
      <c r="Q155" s="13">
        <f>IFERROR(VLOOKUP($A155,koronahun!$A:$AM,17,FALSE),"")</f>
        <v>0.18477191019384784</v>
      </c>
      <c r="R155">
        <f>IFERROR(VLOOKUP($A155,koronahun!$A:$AM,18,FALSE),"")</f>
        <v>214</v>
      </c>
      <c r="S155">
        <f>IFERROR(VLOOKUP($A155,koronahun!$A:$AM,19,FALSE),"")</f>
        <v>5294</v>
      </c>
      <c r="T155">
        <f>IFERROR(VLOOKUP($A155,koronahun!$A:$AM,20,FALSE),"")</f>
        <v>3980</v>
      </c>
      <c r="U155">
        <f>IFERROR(VLOOKUP($A155,koronahun!$A:$AM,21,FALSE),"")</f>
        <v>434</v>
      </c>
      <c r="V155" s="13">
        <f>IFERROR(VLOOKUP($A155,koronahun!$A:$AM,22,FALSE),"")</f>
        <v>7.5369396416255854E-2</v>
      </c>
      <c r="W155">
        <f>IFERROR(VLOOKUP($A155,koronahun!$A:$AM,23,FALSE),"")</f>
        <v>351</v>
      </c>
      <c r="X155">
        <f>IFERROR(VLOOKUP($A155,koronahun!$A:$AM,24,FALSE),"")</f>
        <v>68</v>
      </c>
      <c r="Y155" s="14">
        <f>IFERROR(VLOOKUP($A155,koronahun!$A:$AM,25,FALSE),"")</f>
        <v>5.8029335432887179E-2</v>
      </c>
      <c r="Z155" s="14">
        <f>IFERROR(VLOOKUP($A155,koronahun!$A:$AM,26,FALSE),"")</f>
        <v>0.10904522613065326</v>
      </c>
      <c r="AA155" s="14">
        <f>IFERROR(VLOOKUP($A155,koronahun!$A:$AM,27,FALSE),"")</f>
        <v>1.4665173943691172</v>
      </c>
      <c r="AB155" s="14">
        <f>IFERROR(VLOOKUP($A155,koronahun!$A:$AM,28,FALSE),"")</f>
        <v>1.4875616275132815</v>
      </c>
      <c r="AC155" s="14">
        <f>IFERROR(VLOOKUP($A155,koronahun!$A:$AM,29,FALSE),"")</f>
        <v>5052.5714285714284</v>
      </c>
      <c r="AD155" s="14">
        <f>IFERROR(VLOOKUP($A155,koronahun!$A:$AM,30,FALSE),"")</f>
        <v>73.857142857142861</v>
      </c>
      <c r="AE155" s="14">
        <f>IFERROR(VLOOKUP($A155,koronahun!$A:$AM,31,FALSE),"")</f>
        <v>25096</v>
      </c>
      <c r="AF155" s="13">
        <f>IFERROR(VLOOKUP($A155,koronahun!$A:$AM,32,FALSE),"")</f>
        <v>0.20810596231873743</v>
      </c>
      <c r="AG155">
        <f>IFERROR(VLOOKUP($A155,koronahun!$A:$AM,33,FALSE),"")</f>
        <v>5974514</v>
      </c>
      <c r="AH155">
        <f>IFERROR(VLOOKUP($A155,koronahun!$A:$AM,34,FALSE),"")</f>
        <v>6767</v>
      </c>
      <c r="AI155">
        <f>IFERROR(VLOOKUP($A155,koronahun!$A:$AM,35,FALSE),"")</f>
        <v>3861.4</v>
      </c>
      <c r="AJ155">
        <f>IFERROR(VLOOKUP($A155,koronahun!$A:$AM,36,FALSE),"")</f>
        <v>5754475</v>
      </c>
      <c r="AK155">
        <f>IFERROR(VLOOKUP($A155,koronahun!$A:$AM,37,FALSE),"")</f>
        <v>5793</v>
      </c>
      <c r="AL155">
        <f>IFERROR(VLOOKUP($A155,koronahun!$A:$AM,38,FALSE),"")</f>
        <v>3619.4</v>
      </c>
      <c r="AM155" s="14">
        <f>IFERROR(VLOOKUP($A155,koronahun!$A:$AM,39,FALSE),"")</f>
        <v>1401</v>
      </c>
      <c r="AN155" s="11">
        <f ca="1">IFERROR(__xludf.DUMMYFUNCTION("""COMPUTED_VALUE"""),44047)</f>
        <v>44047</v>
      </c>
      <c r="AO155" s="12">
        <f ca="1">IFERROR(VLOOKUP(AN155,koronahun!A:B,2,FALSE),"")</f>
        <v>4553</v>
      </c>
      <c r="AP155" s="11">
        <f t="shared" ca="1" si="0"/>
        <v>44047</v>
      </c>
      <c r="AQ155" s="11">
        <f ca="1">IFERROR(__xludf.DUMMYFUNCTION("""COMPUTED_VALUE"""),44047)</f>
        <v>44047</v>
      </c>
      <c r="AR155" s="11">
        <v>44509</v>
      </c>
      <c r="AS155" s="11">
        <f t="shared" si="1"/>
        <v>44509</v>
      </c>
      <c r="AT155" s="11">
        <f ca="1">IFERROR(__xludf.DUMMYFUNCTION("""COMPUTED_VALUE"""),44508)</f>
        <v>44508</v>
      </c>
    </row>
    <row r="156" spans="1:46" ht="13">
      <c r="A156" s="11">
        <v>44505</v>
      </c>
      <c r="B156">
        <f>IFERROR(VLOOKUP($A156,koronahun!$A:$AM,2,FALSE),"")</f>
        <v>892164</v>
      </c>
      <c r="C156">
        <f>IFERROR(VLOOKUP($A156,koronahun!$A:$AM,3,FALSE),"")</f>
        <v>6804</v>
      </c>
      <c r="D156">
        <f>IFERROR(VLOOKUP($A156,koronahun!$A:$AM,4,FALSE),"")</f>
        <v>31184</v>
      </c>
      <c r="E156">
        <f>IFERROR(VLOOKUP($A156,koronahun!$A:$AM,5,FALSE),"")</f>
        <v>804720</v>
      </c>
      <c r="F156">
        <f>IFERROR(VLOOKUP($A156,koronahun!$A:$AM,6,FALSE),"")</f>
        <v>7531508</v>
      </c>
      <c r="G156" s="12">
        <f>IFERROR(VLOOKUP($A156,koronahun!$A:$AM,7,FALSE),"")</f>
        <v>768521.22448979586</v>
      </c>
      <c r="H156">
        <f>IFERROR(VLOOKUP($A156,koronahun!$A:$AM,8,FALSE),"")</f>
        <v>0</v>
      </c>
      <c r="I156" s="13">
        <f>IFERROR(VLOOKUP($A156,koronahun!$A:$AM,9,FALSE),"")</f>
        <v>7.6850094876660339E-3</v>
      </c>
      <c r="J156" s="13">
        <f>IFERROR(VLOOKUP($A156,koronahun!$A:$AM,10,FALSE),"")</f>
        <v>0.11845755192718377</v>
      </c>
      <c r="K156" s="13">
        <f>IFERROR(VLOOKUP($A156,koronahun!$A:$AM,11,FALSE),"")</f>
        <v>4.3586840228126466E-3</v>
      </c>
      <c r="L156">
        <f>IFERROR(VLOOKUP($A156,koronahun!$A:$AM,12,FALSE),"")</f>
        <v>56260</v>
      </c>
      <c r="M156" s="13">
        <f>IFERROR(VLOOKUP($A156,koronahun!$A:$AM,13,FALSE),"")</f>
        <v>3.4953214879775464E-2</v>
      </c>
      <c r="N156" s="13">
        <f>IFERROR(VLOOKUP($A156,koronahun!$A:$AM,14,FALSE),"")</f>
        <v>0.90198663026080406</v>
      </c>
      <c r="O156">
        <f>IFERROR(VLOOKUP($A156,koronahun!$A:$AM,15,FALSE),"")</f>
        <v>25516</v>
      </c>
      <c r="P156">
        <f>IFERROR(VLOOKUP($A156,koronahun!$A:$AM,16,FALSE),"")</f>
        <v>32685</v>
      </c>
      <c r="Q156" s="13">
        <f>IFERROR(VLOOKUP($A156,koronahun!$A:$AM,17,FALSE),"")</f>
        <v>0.20816888480954565</v>
      </c>
      <c r="R156">
        <f>IFERROR(VLOOKUP($A156,koronahun!$A:$AM,18,FALSE),"")</f>
        <v>83</v>
      </c>
      <c r="S156">
        <f>IFERROR(VLOOKUP($A156,koronahun!$A:$AM,19,FALSE),"")</f>
        <v>1569</v>
      </c>
      <c r="T156">
        <f>IFERROR(VLOOKUP($A156,koronahun!$A:$AM,20,FALSE),"")</f>
        <v>3629</v>
      </c>
      <c r="U156">
        <f>IFERROR(VLOOKUP($A156,koronahun!$A:$AM,21,FALSE),"")</f>
        <v>366</v>
      </c>
      <c r="V156" s="13">
        <f>IFERROR(VLOOKUP($A156,koronahun!$A:$AM,22,FALSE),"")</f>
        <v>6.3060154859420459E-2</v>
      </c>
      <c r="W156">
        <f>IFERROR(VLOOKUP($A156,koronahun!$A:$AM,23,FALSE),"")</f>
        <v>263</v>
      </c>
      <c r="X156">
        <f>IFERROR(VLOOKUP($A156,koronahun!$A:$AM,24,FALSE),"")</f>
        <v>17</v>
      </c>
      <c r="Y156" s="14">
        <f>IFERROR(VLOOKUP($A156,koronahun!$A:$AM,25,FALSE),"")</f>
        <v>6.4504088162104511E-2</v>
      </c>
      <c r="Z156" s="14">
        <f>IFERROR(VLOOKUP($A156,koronahun!$A:$AM,26,FALSE),"")</f>
        <v>0.10085422981537613</v>
      </c>
      <c r="AA156" s="14">
        <f>IFERROR(VLOOKUP($A156,koronahun!$A:$AM,27,FALSE),"")</f>
        <v>1.4670307236909257</v>
      </c>
      <c r="AB156" s="14">
        <f>IFERROR(VLOOKUP($A156,koronahun!$A:$AM,28,FALSE),"")</f>
        <v>1.5357619719189823</v>
      </c>
      <c r="AC156" s="14">
        <f>IFERROR(VLOOKUP($A156,koronahun!$A:$AM,29,FALSE),"")</f>
        <v>4106.4285714285716</v>
      </c>
      <c r="AD156" s="14">
        <f>IFERROR(VLOOKUP($A156,koronahun!$A:$AM,30,FALSE),"")</f>
        <v>65</v>
      </c>
      <c r="AE156" s="14">
        <f>IFERROR(VLOOKUP($A156,koronahun!$A:$AM,31,FALSE),"")</f>
        <v>22903</v>
      </c>
      <c r="AF156" s="13">
        <f>IFERROR(VLOOKUP($A156,koronahun!$A:$AM,32,FALSE),"")</f>
        <v>0.19877576715164144</v>
      </c>
      <c r="AG156">
        <f>IFERROR(VLOOKUP($A156,koronahun!$A:$AM,33,FALSE),"")</f>
        <v>5967747</v>
      </c>
      <c r="AH156">
        <f>IFERROR(VLOOKUP($A156,koronahun!$A:$AM,34,FALSE),"")</f>
        <v>4869</v>
      </c>
      <c r="AI156">
        <f>IFERROR(VLOOKUP($A156,koronahun!$A:$AM,35,FALSE),"")</f>
        <v>3497.6</v>
      </c>
      <c r="AJ156">
        <f>IFERROR(VLOOKUP($A156,koronahun!$A:$AM,36,FALSE),"")</f>
        <v>5748682</v>
      </c>
      <c r="AK156">
        <f>IFERROR(VLOOKUP($A156,koronahun!$A:$AM,37,FALSE),"")</f>
        <v>4463</v>
      </c>
      <c r="AL156">
        <f>IFERROR(VLOOKUP($A156,koronahun!$A:$AM,38,FALSE),"")</f>
        <v>3406.2</v>
      </c>
      <c r="AM156" s="14">
        <f>IFERROR(VLOOKUP($A156,koronahun!$A:$AM,39,FALSE),"")</f>
        <v>972.85714285714289</v>
      </c>
      <c r="AN156" s="11">
        <f ca="1">IFERROR(__xludf.DUMMYFUNCTION("""COMPUTED_VALUE"""),44048)</f>
        <v>44048</v>
      </c>
      <c r="AO156" s="12">
        <f ca="1">IFERROR(VLOOKUP(AN156,koronahun!A:B,2,FALSE),"")</f>
        <v>4564</v>
      </c>
      <c r="AP156" s="11">
        <f t="shared" ca="1" si="0"/>
        <v>44048</v>
      </c>
      <c r="AQ156" s="11">
        <f ca="1">IFERROR(__xludf.DUMMYFUNCTION("""COMPUTED_VALUE"""),44048)</f>
        <v>44048</v>
      </c>
      <c r="AR156" s="11">
        <v>44508</v>
      </c>
      <c r="AS156" s="11">
        <f t="shared" si="1"/>
        <v>44508</v>
      </c>
      <c r="AT156" s="11">
        <f ca="1">IFERROR(__xludf.DUMMYFUNCTION("""COMPUTED_VALUE"""),44505)</f>
        <v>44505</v>
      </c>
    </row>
    <row r="157" spans="1:46" ht="13">
      <c r="A157" s="11">
        <v>44504</v>
      </c>
      <c r="B157">
        <f>IFERROR(VLOOKUP($A157,koronahun!$A:$AM,2,FALSE),"")</f>
        <v>885360</v>
      </c>
      <c r="C157">
        <f>IFERROR(VLOOKUP($A157,koronahun!$A:$AM,3,FALSE),"")</f>
        <v>6268</v>
      </c>
      <c r="D157">
        <f>IFERROR(VLOOKUP($A157,koronahun!$A:$AM,4,FALSE),"")</f>
        <v>31101</v>
      </c>
      <c r="E157">
        <f>IFERROR(VLOOKUP($A157,koronahun!$A:$AM,5,FALSE),"")</f>
        <v>803151</v>
      </c>
      <c r="F157">
        <f>IFERROR(VLOOKUP($A157,koronahun!$A:$AM,6,FALSE),"")</f>
        <v>7498823</v>
      </c>
      <c r="G157" s="12">
        <f>IFERROR(VLOOKUP($A157,koronahun!$A:$AM,7,FALSE),"")</f>
        <v>765186.0204081632</v>
      </c>
      <c r="H157">
        <f>IFERROR(VLOOKUP($A157,koronahun!$A:$AM,8,FALSE),"")</f>
        <v>0</v>
      </c>
      <c r="I157" s="13">
        <f>IFERROR(VLOOKUP($A157,koronahun!$A:$AM,9,FALSE),"")</f>
        <v>7.1300842232667342E-3</v>
      </c>
      <c r="J157" s="13">
        <f>IFERROR(VLOOKUP($A157,koronahun!$A:$AM,10,FALSE),"")</f>
        <v>0.11806652857388419</v>
      </c>
      <c r="K157" s="13">
        <f>IFERROR(VLOOKUP($A157,koronahun!$A:$AM,11,FALSE),"")</f>
        <v>2.87522648476915E-3</v>
      </c>
      <c r="L157">
        <f>IFERROR(VLOOKUP($A157,koronahun!$A:$AM,12,FALSE),"")</f>
        <v>51108</v>
      </c>
      <c r="M157" s="13">
        <f>IFERROR(VLOOKUP($A157,koronahun!$A:$AM,13,FALSE),"")</f>
        <v>3.5128083491461098E-2</v>
      </c>
      <c r="N157" s="13">
        <f>IFERROR(VLOOKUP($A157,koronahun!$A:$AM,14,FALSE),"")</f>
        <v>0.90714624559501222</v>
      </c>
      <c r="O157">
        <f>IFERROR(VLOOKUP($A157,koronahun!$A:$AM,15,FALSE),"")</f>
        <v>22587</v>
      </c>
      <c r="P157">
        <f>IFERROR(VLOOKUP($A157,koronahun!$A:$AM,16,FALSE),"")</f>
        <v>21499</v>
      </c>
      <c r="Q157" s="13">
        <f>IFERROR(VLOOKUP($A157,koronahun!$A:$AM,17,FALSE),"")</f>
        <v>0.29154844411367969</v>
      </c>
      <c r="R157">
        <f>IFERROR(VLOOKUP($A157,koronahun!$A:$AM,18,FALSE),"")</f>
        <v>107</v>
      </c>
      <c r="S157">
        <f>IFERROR(VLOOKUP($A157,koronahun!$A:$AM,19,FALSE),"")</f>
        <v>1461</v>
      </c>
      <c r="T157">
        <f>IFERROR(VLOOKUP($A157,koronahun!$A:$AM,20,FALSE),"")</f>
        <v>3366</v>
      </c>
      <c r="U157">
        <f>IFERROR(VLOOKUP($A157,koronahun!$A:$AM,21,FALSE),"")</f>
        <v>349</v>
      </c>
      <c r="V157" s="13">
        <f>IFERROR(VLOOKUP($A157,koronahun!$A:$AM,22,FALSE),"")</f>
        <v>5.7725670913526698E-2</v>
      </c>
      <c r="W157">
        <f>IFERROR(VLOOKUP($A157,koronahun!$A:$AM,23,FALSE),"")</f>
        <v>194</v>
      </c>
      <c r="X157">
        <f>IFERROR(VLOOKUP($A157,koronahun!$A:$AM,24,FALSE),"")</f>
        <v>-1</v>
      </c>
      <c r="Y157" s="14">
        <f>IFERROR(VLOOKUP($A157,koronahun!$A:$AM,25,FALSE),"")</f>
        <v>6.5860530640995535E-2</v>
      </c>
      <c r="Z157" s="14">
        <f>IFERROR(VLOOKUP($A157,koronahun!$A:$AM,26,FALSE),"")</f>
        <v>0.10368389780154486</v>
      </c>
      <c r="AA157" s="14">
        <f>IFERROR(VLOOKUP($A157,koronahun!$A:$AM,27,FALSE),"")</f>
        <v>1.4353903099276284</v>
      </c>
      <c r="AB157" s="14">
        <f>IFERROR(VLOOKUP($A157,koronahun!$A:$AM,28,FALSE),"")</f>
        <v>1.6082568542582947</v>
      </c>
      <c r="AC157" s="14">
        <f>IFERROR(VLOOKUP($A157,koronahun!$A:$AM,29,FALSE),"")</f>
        <v>3711.7142857142858</v>
      </c>
      <c r="AD157" s="14">
        <f>IFERROR(VLOOKUP($A157,koronahun!$A:$AM,30,FALSE),"")</f>
        <v>58.428571428571431</v>
      </c>
      <c r="AE157" s="14">
        <f>IFERROR(VLOOKUP($A157,koronahun!$A:$AM,31,FALSE),"")</f>
        <v>21529.285714285714</v>
      </c>
      <c r="AF157" s="13">
        <f>IFERROR(VLOOKUP($A157,koronahun!$A:$AM,32,FALSE),"")</f>
        <v>0.19217601853946573</v>
      </c>
      <c r="AG157">
        <f>IFERROR(VLOOKUP($A157,koronahun!$A:$AM,33,FALSE),"")</f>
        <v>5962878</v>
      </c>
      <c r="AH157">
        <f>IFERROR(VLOOKUP($A157,koronahun!$A:$AM,34,FALSE),"")</f>
        <v>3988</v>
      </c>
      <c r="AI157">
        <f>IFERROR(VLOOKUP($A157,koronahun!$A:$AM,35,FALSE),"")</f>
        <v>3158.6</v>
      </c>
      <c r="AJ157">
        <f>IFERROR(VLOOKUP($A157,koronahun!$A:$AM,36,FALSE),"")</f>
        <v>5744219</v>
      </c>
      <c r="AK157">
        <f>IFERROR(VLOOKUP($A157,koronahun!$A:$AM,37,FALSE),"")</f>
        <v>3795</v>
      </c>
      <c r="AL157">
        <f>IFERROR(VLOOKUP($A157,koronahun!$A:$AM,38,FALSE),"")</f>
        <v>3238.8</v>
      </c>
      <c r="AM157" s="14">
        <f>IFERROR(VLOOKUP($A157,koronahun!$A:$AM,39,FALSE),"")</f>
        <v>858.42857142857144</v>
      </c>
      <c r="AN157" s="11">
        <f ca="1">IFERROR(__xludf.DUMMYFUNCTION("""COMPUTED_VALUE"""),44049)</f>
        <v>44049</v>
      </c>
      <c r="AO157" s="12">
        <f ca="1">IFERROR(VLOOKUP(AN157,koronahun!A:B,2,FALSE),"")</f>
        <v>4597</v>
      </c>
      <c r="AP157" s="11">
        <f t="shared" ca="1" si="0"/>
        <v>44049</v>
      </c>
      <c r="AQ157" s="11">
        <f ca="1">IFERROR(__xludf.DUMMYFUNCTION("""COMPUTED_VALUE"""),44049)</f>
        <v>44049</v>
      </c>
      <c r="AR157" s="11">
        <v>44505</v>
      </c>
      <c r="AS157" s="11">
        <f t="shared" si="1"/>
        <v>44505</v>
      </c>
      <c r="AT157" s="11">
        <f ca="1">IFERROR(__xludf.DUMMYFUNCTION("""COMPUTED_VALUE"""),44504)</f>
        <v>44504</v>
      </c>
    </row>
    <row r="158" spans="1:46" ht="13">
      <c r="A158" s="11">
        <v>44503</v>
      </c>
      <c r="B158">
        <f>IFERROR(VLOOKUP($A158,koronahun!$A:$AM,2,FALSE),"")</f>
        <v>879092</v>
      </c>
      <c r="C158">
        <f>IFERROR(VLOOKUP($A158,koronahun!$A:$AM,3,FALSE),"")</f>
        <v>2595</v>
      </c>
      <c r="D158">
        <f>IFERROR(VLOOKUP($A158,koronahun!$A:$AM,4,FALSE),"")</f>
        <v>30994</v>
      </c>
      <c r="E158">
        <f>IFERROR(VLOOKUP($A158,koronahun!$A:$AM,5,FALSE),"")</f>
        <v>801690</v>
      </c>
      <c r="F158">
        <f>IFERROR(VLOOKUP($A158,koronahun!$A:$AM,6,FALSE),"")</f>
        <v>7477324</v>
      </c>
      <c r="G158" s="12">
        <f>IFERROR(VLOOKUP($A158,koronahun!$A:$AM,7,FALSE),"")</f>
        <v>762992.24489795917</v>
      </c>
      <c r="H158">
        <f>IFERROR(VLOOKUP($A158,koronahun!$A:$AM,8,FALSE),"")</f>
        <v>0</v>
      </c>
      <c r="I158" s="13">
        <f>IFERROR(VLOOKUP($A158,koronahun!$A:$AM,9,FALSE),"")</f>
        <v>2.9606490381598569E-3</v>
      </c>
      <c r="J158" s="13">
        <f>IFERROR(VLOOKUP($A158,koronahun!$A:$AM,10,FALSE),"")</f>
        <v>0.11756772877569568</v>
      </c>
      <c r="K158" s="13">
        <f>IFERROR(VLOOKUP($A158,koronahun!$A:$AM,11,FALSE),"")</f>
        <v>1.7197430982196097E-3</v>
      </c>
      <c r="L158">
        <f>IFERROR(VLOOKUP($A158,koronahun!$A:$AM,12,FALSE),"")</f>
        <v>46408</v>
      </c>
      <c r="M158" s="13">
        <f>IFERROR(VLOOKUP($A158,koronahun!$A:$AM,13,FALSE),"")</f>
        <v>3.5256833186970191E-2</v>
      </c>
      <c r="N158" s="13">
        <f>IFERROR(VLOOKUP($A158,koronahun!$A:$AM,14,FALSE),"")</f>
        <v>0.91195233263412701</v>
      </c>
      <c r="O158">
        <f>IFERROR(VLOOKUP($A158,koronahun!$A:$AM,15,FALSE),"")</f>
        <v>19192</v>
      </c>
      <c r="P158">
        <f>IFERROR(VLOOKUP($A158,koronahun!$A:$AM,16,FALSE),"")</f>
        <v>12837</v>
      </c>
      <c r="Q158" s="13">
        <f>IFERROR(VLOOKUP($A158,koronahun!$A:$AM,17,FALSE),"")</f>
        <v>0.20215003505491938</v>
      </c>
      <c r="R158">
        <f>IFERROR(VLOOKUP($A158,koronahun!$A:$AM,18,FALSE),"")</f>
        <v>74</v>
      </c>
      <c r="S158">
        <f>IFERROR(VLOOKUP($A158,koronahun!$A:$AM,19,FALSE),"")</f>
        <v>894</v>
      </c>
      <c r="T158">
        <f>IFERROR(VLOOKUP($A158,koronahun!$A:$AM,20,FALSE),"")</f>
        <v>3172</v>
      </c>
      <c r="U158">
        <f>IFERROR(VLOOKUP($A158,koronahun!$A:$AM,21,FALSE),"")</f>
        <v>350</v>
      </c>
      <c r="V158" s="13">
        <f>IFERROR(VLOOKUP($A158,koronahun!$A:$AM,22,FALSE),"")</f>
        <v>5.2790834178902776E-2</v>
      </c>
      <c r="W158">
        <f>IFERROR(VLOOKUP($A158,koronahun!$A:$AM,23,FALSE),"")</f>
        <v>333</v>
      </c>
      <c r="X158">
        <f>IFERROR(VLOOKUP($A158,koronahun!$A:$AM,24,FALSE),"")</f>
        <v>38</v>
      </c>
      <c r="Y158" s="14">
        <f>IFERROR(VLOOKUP($A158,koronahun!$A:$AM,25,FALSE),"")</f>
        <v>6.8350284433718322E-2</v>
      </c>
      <c r="Z158" s="14">
        <f>IFERROR(VLOOKUP($A158,koronahun!$A:$AM,26,FALSE),"")</f>
        <v>0.11034047919293821</v>
      </c>
      <c r="AA158" s="14">
        <f>IFERROR(VLOOKUP($A158,koronahun!$A:$AM,27,FALSE),"")</f>
        <v>1.4463252755282225</v>
      </c>
      <c r="AB158" s="14">
        <f>IFERROR(VLOOKUP($A158,koronahun!$A:$AM,28,FALSE),"")</f>
        <v>1.7058562973200544</v>
      </c>
      <c r="AC158" s="14">
        <f>IFERROR(VLOOKUP($A158,koronahun!$A:$AM,29,FALSE),"")</f>
        <v>3393.2857142857142</v>
      </c>
      <c r="AD158" s="14">
        <f>IFERROR(VLOOKUP($A158,koronahun!$A:$AM,30,FALSE),"")</f>
        <v>49.571428571428569</v>
      </c>
      <c r="AE158" s="14">
        <f>IFERROR(VLOOKUP($A158,koronahun!$A:$AM,31,FALSE),"")</f>
        <v>22421.428571428572</v>
      </c>
      <c r="AF158" s="13">
        <f>IFERROR(VLOOKUP($A158,koronahun!$A:$AM,32,FALSE),"")</f>
        <v>0.16298253502238144</v>
      </c>
      <c r="AG158">
        <f>IFERROR(VLOOKUP($A158,koronahun!$A:$AM,33,FALSE),"")</f>
        <v>5958890</v>
      </c>
      <c r="AH158">
        <f>IFERROR(VLOOKUP($A158,koronahun!$A:$AM,34,FALSE),"")</f>
        <v>3640</v>
      </c>
      <c r="AI158">
        <f>IFERROR(VLOOKUP($A158,koronahun!$A:$AM,35,FALSE),"")</f>
        <v>3011.6</v>
      </c>
      <c r="AJ158">
        <f>IFERROR(VLOOKUP($A158,koronahun!$A:$AM,36,FALSE),"")</f>
        <v>5740424</v>
      </c>
      <c r="AK158">
        <f>IFERROR(VLOOKUP($A158,koronahun!$A:$AM,37,FALSE),"")</f>
        <v>3972</v>
      </c>
      <c r="AL158">
        <f>IFERROR(VLOOKUP($A158,koronahun!$A:$AM,38,FALSE),"")</f>
        <v>3177</v>
      </c>
      <c r="AM158" s="14">
        <f>IFERROR(VLOOKUP($A158,koronahun!$A:$AM,39,FALSE),"")</f>
        <v>750.71428571428567</v>
      </c>
      <c r="AN158" s="11">
        <f ca="1">IFERROR(__xludf.DUMMYFUNCTION("""COMPUTED_VALUE"""),44050)</f>
        <v>44050</v>
      </c>
      <c r="AO158" s="12">
        <f ca="1">IFERROR(VLOOKUP(AN158,koronahun!A:B,2,FALSE),"")</f>
        <v>4621</v>
      </c>
      <c r="AP158" s="11">
        <f t="shared" ca="1" si="0"/>
        <v>44050</v>
      </c>
      <c r="AQ158" s="11">
        <f ca="1">IFERROR(__xludf.DUMMYFUNCTION("""COMPUTED_VALUE"""),44050)</f>
        <v>44050</v>
      </c>
      <c r="AR158" s="11">
        <v>44504</v>
      </c>
      <c r="AS158" s="11">
        <f t="shared" si="1"/>
        <v>44504</v>
      </c>
      <c r="AT158" s="11">
        <f ca="1">IFERROR(__xludf.DUMMYFUNCTION("""COMPUTED_VALUE"""),44503)</f>
        <v>44503</v>
      </c>
    </row>
    <row r="159" spans="1:46" ht="13">
      <c r="A159" s="11">
        <v>44502</v>
      </c>
      <c r="B159">
        <f>IFERROR(VLOOKUP($A159,koronahun!$A:$AM,2,FALSE),"")</f>
        <v>876497</v>
      </c>
      <c r="C159">
        <f>IFERROR(VLOOKUP($A159,koronahun!$A:$AM,3,FALSE),"")</f>
        <v>1867</v>
      </c>
      <c r="D159">
        <f>IFERROR(VLOOKUP($A159,koronahun!$A:$AM,4,FALSE),"")</f>
        <v>30920</v>
      </c>
      <c r="E159">
        <f>IFERROR(VLOOKUP($A159,koronahun!$A:$AM,5,FALSE),"")</f>
        <v>800796</v>
      </c>
      <c r="F159">
        <f>IFERROR(VLOOKUP($A159,koronahun!$A:$AM,6,FALSE),"")</f>
        <v>7464487</v>
      </c>
      <c r="G159" s="12">
        <f>IFERROR(VLOOKUP($A159,koronahun!$A:$AM,7,FALSE),"")</f>
        <v>761682.3469387755</v>
      </c>
      <c r="H159">
        <f>IFERROR(VLOOKUP($A159,koronahun!$A:$AM,8,FALSE),"")</f>
        <v>0</v>
      </c>
      <c r="I159" s="13">
        <f>IFERROR(VLOOKUP($A159,koronahun!$A:$AM,9,FALSE),"")</f>
        <v>2.1346169237277477E-3</v>
      </c>
      <c r="J159" s="13">
        <f>IFERROR(VLOOKUP($A159,koronahun!$A:$AM,10,FALSE),"")</f>
        <v>0.1174222689382405</v>
      </c>
      <c r="K159" s="13">
        <f>IFERROR(VLOOKUP($A159,koronahun!$A:$AM,11,FALSE),"")</f>
        <v>1.6279417714266161E-3</v>
      </c>
      <c r="L159">
        <f>IFERROR(VLOOKUP($A159,koronahun!$A:$AM,12,FALSE),"")</f>
        <v>44781</v>
      </c>
      <c r="M159" s="13">
        <f>IFERROR(VLOOKUP($A159,koronahun!$A:$AM,13,FALSE),"")</f>
        <v>3.5276789310174479E-2</v>
      </c>
      <c r="N159" s="13">
        <f>IFERROR(VLOOKUP($A159,koronahun!$A:$AM,14,FALSE),"")</f>
        <v>0.91363233416657441</v>
      </c>
      <c r="O159">
        <f>IFERROR(VLOOKUP($A159,koronahun!$A:$AM,15,FALSE),"")</f>
        <v>17549</v>
      </c>
      <c r="P159">
        <f>IFERROR(VLOOKUP($A159,koronahun!$A:$AM,16,FALSE),"")</f>
        <v>12132</v>
      </c>
      <c r="Q159" s="13">
        <f>IFERROR(VLOOKUP($A159,koronahun!$A:$AM,17,FALSE),"")</f>
        <v>0.1538905374216947</v>
      </c>
      <c r="R159">
        <f>IFERROR(VLOOKUP($A159,koronahun!$A:$AM,18,FALSE),"")</f>
        <v>39</v>
      </c>
      <c r="S159">
        <f>IFERROR(VLOOKUP($A159,koronahun!$A:$AM,19,FALSE),"")</f>
        <v>589</v>
      </c>
      <c r="T159">
        <f>IFERROR(VLOOKUP($A159,koronahun!$A:$AM,20,FALSE),"")</f>
        <v>2839</v>
      </c>
      <c r="U159">
        <f>IFERROR(VLOOKUP($A159,koronahun!$A:$AM,21,FALSE),"")</f>
        <v>312</v>
      </c>
      <c r="V159" s="13">
        <f>IFERROR(VLOOKUP($A159,koronahun!$A:$AM,22,FALSE),"")</f>
        <v>5.1090876523251075E-2</v>
      </c>
      <c r="W159">
        <f>IFERROR(VLOOKUP($A159,koronahun!$A:$AM,23,FALSE),"")</f>
        <v>234</v>
      </c>
      <c r="X159">
        <f>IFERROR(VLOOKUP($A159,koronahun!$A:$AM,24,FALSE),"")</f>
        <v>13</v>
      </c>
      <c r="Y159" s="14">
        <f>IFERROR(VLOOKUP($A159,koronahun!$A:$AM,25,FALSE),"")</f>
        <v>6.3397423014224782E-2</v>
      </c>
      <c r="Z159" s="14">
        <f>IFERROR(VLOOKUP($A159,koronahun!$A:$AM,26,FALSE),"")</f>
        <v>0.10989785135611131</v>
      </c>
      <c r="AA159" s="14">
        <f>IFERROR(VLOOKUP($A159,koronahun!$A:$AM,27,FALSE),"")</f>
        <v>1.6225444340505144</v>
      </c>
      <c r="AB159" s="14">
        <f>IFERROR(VLOOKUP($A159,koronahun!$A:$AM,28,FALSE),"")</f>
        <v>1.8175923409813493</v>
      </c>
      <c r="AC159" s="14">
        <f>IFERROR(VLOOKUP($A159,koronahun!$A:$AM,29,FALSE),"")</f>
        <v>3469</v>
      </c>
      <c r="AD159" s="14">
        <f>IFERROR(VLOOKUP($A159,koronahun!$A:$AM,30,FALSE),"")</f>
        <v>44.142857142857146</v>
      </c>
      <c r="AE159" s="14">
        <f>IFERROR(VLOOKUP($A159,koronahun!$A:$AM,31,FALSE),"")</f>
        <v>23290.714285714286</v>
      </c>
      <c r="AF159" s="13">
        <f>IFERROR(VLOOKUP($A159,koronahun!$A:$AM,32,FALSE),"")</f>
        <v>0.15558286307111641</v>
      </c>
      <c r="AG159">
        <f>IFERROR(VLOOKUP($A159,koronahun!$A:$AM,33,FALSE),"")</f>
        <v>5955250</v>
      </c>
      <c r="AH159">
        <f>IFERROR(VLOOKUP($A159,koronahun!$A:$AM,34,FALSE),"")</f>
        <v>43</v>
      </c>
      <c r="AI159">
        <f>IFERROR(VLOOKUP($A159,koronahun!$A:$AM,35,FALSE),"")</f>
        <v>2835.4</v>
      </c>
      <c r="AJ159">
        <f>IFERROR(VLOOKUP($A159,koronahun!$A:$AM,36,FALSE),"")</f>
        <v>5736452</v>
      </c>
      <c r="AK159">
        <f>IFERROR(VLOOKUP($A159,koronahun!$A:$AM,37,FALSE),"")</f>
        <v>74</v>
      </c>
      <c r="AL159">
        <f>IFERROR(VLOOKUP($A159,koronahun!$A:$AM,38,FALSE),"")</f>
        <v>2984.2</v>
      </c>
      <c r="AM159" s="14">
        <f>IFERROR(VLOOKUP($A159,koronahun!$A:$AM,39,FALSE),"")</f>
        <v>709.71428571428567</v>
      </c>
      <c r="AN159" s="11">
        <f ca="1">IFERROR(__xludf.DUMMYFUNCTION("""COMPUTED_VALUE"""),44051)</f>
        <v>44051</v>
      </c>
      <c r="AO159" s="12">
        <f ca="1">IFERROR(VLOOKUP(AN159,koronahun!A:B,2,FALSE),"")</f>
        <v>4653</v>
      </c>
      <c r="AP159" s="11">
        <f t="shared" ca="1" si="0"/>
        <v>44051</v>
      </c>
      <c r="AQ159" s="11">
        <f ca="1">IFERROR(__xludf.DUMMYFUNCTION("""COMPUTED_VALUE"""),44051)</f>
        <v>44051</v>
      </c>
      <c r="AR159" s="11">
        <v>44503</v>
      </c>
      <c r="AS159" s="11">
        <f t="shared" si="1"/>
        <v>44503</v>
      </c>
      <c r="AT159" s="11">
        <f ca="1">IFERROR(__xludf.DUMMYFUNCTION("""COMPUTED_VALUE"""),44502)</f>
        <v>44502</v>
      </c>
    </row>
    <row r="160" spans="1:46" ht="13">
      <c r="A160" s="11">
        <v>44501</v>
      </c>
      <c r="B160">
        <f>IFERROR(VLOOKUP($A160,koronahun!$A:$AM,2,FALSE),"")</f>
        <v>874630</v>
      </c>
      <c r="C160">
        <f>IFERROR(VLOOKUP($A160,koronahun!$A:$AM,3,FALSE),"")</f>
        <v>11211</v>
      </c>
      <c r="D160">
        <f>IFERROR(VLOOKUP($A160,koronahun!$A:$AM,4,FALSE),"")</f>
        <v>30881</v>
      </c>
      <c r="E160">
        <f>IFERROR(VLOOKUP($A160,koronahun!$A:$AM,5,FALSE),"")</f>
        <v>800207</v>
      </c>
      <c r="F160">
        <f>IFERROR(VLOOKUP($A160,koronahun!$A:$AM,6,FALSE),"")</f>
        <v>7452355</v>
      </c>
      <c r="G160" s="12">
        <f>IFERROR(VLOOKUP($A160,koronahun!$A:$AM,7,FALSE),"")</f>
        <v>760444.38775510201</v>
      </c>
      <c r="H160">
        <f>IFERROR(VLOOKUP($A160,koronahun!$A:$AM,8,FALSE),"")</f>
        <v>0</v>
      </c>
      <c r="I160" s="13">
        <f>IFERROR(VLOOKUP($A160,koronahun!$A:$AM,9,FALSE),"")</f>
        <v>1.2984425869710998E-2</v>
      </c>
      <c r="J160" s="13">
        <f>IFERROR(VLOOKUP($A160,koronahun!$A:$AM,10,FALSE),"")</f>
        <v>0.11736290072064469</v>
      </c>
      <c r="K160" s="13">
        <f>IFERROR(VLOOKUP($A160,koronahun!$A:$AM,11,FALSE),"")</f>
        <v>1.1011523652839089E-2</v>
      </c>
      <c r="L160">
        <f>IFERROR(VLOOKUP($A160,koronahun!$A:$AM,12,FALSE),"")</f>
        <v>43542</v>
      </c>
      <c r="M160" s="13">
        <f>IFERROR(VLOOKUP($A160,koronahun!$A:$AM,13,FALSE),"")</f>
        <v>3.530750145775928E-2</v>
      </c>
      <c r="N160" s="13">
        <f>IFERROR(VLOOKUP($A160,koronahun!$A:$AM,14,FALSE),"")</f>
        <v>0.9149091615883288</v>
      </c>
      <c r="O160">
        <f>IFERROR(VLOOKUP($A160,koronahun!$A:$AM,15,FALSE),"")</f>
        <v>20156</v>
      </c>
      <c r="P160">
        <f>IFERROR(VLOOKUP($A160,koronahun!$A:$AM,16,FALSE),"")</f>
        <v>81168</v>
      </c>
      <c r="Q160" s="13">
        <f>IFERROR(VLOOKUP($A160,koronahun!$A:$AM,17,FALSE),"")</f>
        <v>0.13812093435836784</v>
      </c>
      <c r="R160">
        <f>IFERROR(VLOOKUP($A160,koronahun!$A:$AM,18,FALSE),"")</f>
        <v>152</v>
      </c>
      <c r="S160">
        <f>IFERROR(VLOOKUP($A160,koronahun!$A:$AM,19,FALSE),"")</f>
        <v>2297</v>
      </c>
      <c r="T160">
        <f>IFERROR(VLOOKUP($A160,koronahun!$A:$AM,20,FALSE),"")</f>
        <v>2605</v>
      </c>
      <c r="U160">
        <f>IFERROR(VLOOKUP($A160,koronahun!$A:$AM,21,FALSE),"")</f>
        <v>299</v>
      </c>
      <c r="V160" s="13">
        <f>IFERROR(VLOOKUP($A160,koronahun!$A:$AM,22,FALSE),"")</f>
        <v>4.978333695391194E-2</v>
      </c>
      <c r="W160">
        <f>IFERROR(VLOOKUP($A160,koronahun!$A:$AM,23,FALSE),"")</f>
        <v>475</v>
      </c>
      <c r="X160">
        <f>IFERROR(VLOOKUP($A160,koronahun!$A:$AM,24,FALSE),"")</f>
        <v>69</v>
      </c>
      <c r="Y160" s="14">
        <f>IFERROR(VLOOKUP($A160,koronahun!$A:$AM,25,FALSE),"")</f>
        <v>5.9827293188186116E-2</v>
      </c>
      <c r="Z160" s="14">
        <f>IFERROR(VLOOKUP($A160,koronahun!$A:$AM,26,FALSE),"")</f>
        <v>0.11477927063339731</v>
      </c>
      <c r="AA160" s="14">
        <f>IFERROR(VLOOKUP($A160,koronahun!$A:$AM,27,FALSE),"")</f>
        <v>1.7075191163976211</v>
      </c>
      <c r="AB160" s="14">
        <f>IFERROR(VLOOKUP($A160,koronahun!$A:$AM,28,FALSE),"")</f>
        <v>1.901043110706615</v>
      </c>
      <c r="AC160" s="14">
        <f>IFERROR(VLOOKUP($A160,koronahun!$A:$AM,29,FALSE),"")</f>
        <v>3445.2857142857142</v>
      </c>
      <c r="AD160" s="14">
        <f>IFERROR(VLOOKUP($A160,koronahun!$A:$AM,30,FALSE),"")</f>
        <v>44.857142857142854</v>
      </c>
      <c r="AE160" s="14">
        <f>IFERROR(VLOOKUP($A160,koronahun!$A:$AM,31,FALSE),"")</f>
        <v>23161.714285714286</v>
      </c>
      <c r="AF160" s="13">
        <f>IFERROR(VLOOKUP($A160,koronahun!$A:$AM,32,FALSE),"")</f>
        <v>0.15510130915343526</v>
      </c>
      <c r="AG160">
        <f>IFERROR(VLOOKUP($A160,koronahun!$A:$AM,33,FALSE),"")</f>
        <v>5955207</v>
      </c>
      <c r="AH160">
        <f>IFERROR(VLOOKUP($A160,koronahun!$A:$AM,34,FALSE),"")</f>
        <v>4948</v>
      </c>
      <c r="AI160">
        <f>IFERROR(VLOOKUP($A160,koronahun!$A:$AM,35,FALSE),"")</f>
        <v>3308.4</v>
      </c>
      <c r="AJ160">
        <f>IFERROR(VLOOKUP($A160,koronahun!$A:$AM,36,FALSE),"")</f>
        <v>5736378</v>
      </c>
      <c r="AK160">
        <f>IFERROR(VLOOKUP($A160,koronahun!$A:$AM,37,FALSE),"")</f>
        <v>4727</v>
      </c>
      <c r="AL160">
        <f>IFERROR(VLOOKUP($A160,koronahun!$A:$AM,38,FALSE),"")</f>
        <v>3501</v>
      </c>
      <c r="AM160" s="14">
        <f>IFERROR(VLOOKUP($A160,koronahun!$A:$AM,39,FALSE),"")</f>
        <v>663.57142857142856</v>
      </c>
      <c r="AN160" s="11">
        <f ca="1">IFERROR(__xludf.DUMMYFUNCTION("""COMPUTED_VALUE"""),44052)</f>
        <v>44052</v>
      </c>
      <c r="AO160" s="12">
        <f ca="1">IFERROR(VLOOKUP(AN160,koronahun!A:B,2,FALSE),"")</f>
        <v>4696</v>
      </c>
      <c r="AP160" s="11">
        <f t="shared" ca="1" si="0"/>
        <v>44052</v>
      </c>
      <c r="AQ160" s="11">
        <f ca="1">IFERROR(__xludf.DUMMYFUNCTION("""COMPUTED_VALUE"""),44052)</f>
        <v>44052</v>
      </c>
      <c r="AR160" s="11">
        <v>44502</v>
      </c>
      <c r="AS160" s="11">
        <f t="shared" si="1"/>
        <v>44502</v>
      </c>
      <c r="AT160" s="11">
        <f ca="1">IFERROR(__xludf.DUMMYFUNCTION("""COMPUTED_VALUE"""),44501)</f>
        <v>44501</v>
      </c>
    </row>
    <row r="161" spans="1:46" ht="13">
      <c r="A161" s="11">
        <v>44498</v>
      </c>
      <c r="B161">
        <f>IFERROR(VLOOKUP($A161,koronahun!$A:$AM,2,FALSE),"")</f>
        <v>863419</v>
      </c>
      <c r="C161">
        <f>IFERROR(VLOOKUP($A161,koronahun!$A:$AM,3,FALSE),"")</f>
        <v>4041</v>
      </c>
      <c r="D161">
        <f>IFERROR(VLOOKUP($A161,koronahun!$A:$AM,4,FALSE),"")</f>
        <v>30729</v>
      </c>
      <c r="E161">
        <f>IFERROR(VLOOKUP($A161,koronahun!$A:$AM,5,FALSE),"")</f>
        <v>797910</v>
      </c>
      <c r="F161">
        <f>IFERROR(VLOOKUP($A161,koronahun!$A:$AM,6,FALSE),"")</f>
        <v>7371187</v>
      </c>
      <c r="G161" s="12">
        <f>IFERROR(VLOOKUP($A161,koronahun!$A:$AM,7,FALSE),"")</f>
        <v>752161.93877551018</v>
      </c>
      <c r="H161">
        <f>IFERROR(VLOOKUP($A161,koronahun!$A:$AM,8,FALSE),"")</f>
        <v>0</v>
      </c>
      <c r="I161" s="13">
        <f>IFERROR(VLOOKUP($A161,koronahun!$A:$AM,9,FALSE),"")</f>
        <v>4.702238130368709E-3</v>
      </c>
      <c r="J161" s="13">
        <f>IFERROR(VLOOKUP($A161,koronahun!$A:$AM,10,FALSE),"")</f>
        <v>0.11713432314225647</v>
      </c>
      <c r="K161" s="13">
        <f>IFERROR(VLOOKUP($A161,koronahun!$A:$AM,11,FALSE),"")</f>
        <v>3.1394433241273478E-3</v>
      </c>
      <c r="L161">
        <f>IFERROR(VLOOKUP($A161,koronahun!$A:$AM,12,FALSE),"")</f>
        <v>34780</v>
      </c>
      <c r="M161" s="13">
        <f>IFERROR(VLOOKUP($A161,koronahun!$A:$AM,13,FALSE),"")</f>
        <v>3.5589904785509698E-2</v>
      </c>
      <c r="N161" s="13">
        <f>IFERROR(VLOOKUP($A161,koronahun!$A:$AM,14,FALSE),"")</f>
        <v>0.92412837799492487</v>
      </c>
      <c r="O161">
        <f>IFERROR(VLOOKUP($A161,koronahun!$A:$AM,15,FALSE),"")</f>
        <v>24231</v>
      </c>
      <c r="P161">
        <f>IFERROR(VLOOKUP($A161,koronahun!$A:$AM,16,FALSE),"")</f>
        <v>23069</v>
      </c>
      <c r="Q161" s="13">
        <f>IFERROR(VLOOKUP($A161,koronahun!$A:$AM,17,FALSE),"")</f>
        <v>0.17517014174866705</v>
      </c>
      <c r="R161">
        <f>IFERROR(VLOOKUP($A161,koronahun!$A:$AM,18,FALSE),"")</f>
        <v>37</v>
      </c>
      <c r="S161">
        <f>IFERROR(VLOOKUP($A161,koronahun!$A:$AM,19,FALSE),"")</f>
        <v>768</v>
      </c>
      <c r="T161">
        <f>IFERROR(VLOOKUP($A161,koronahun!$A:$AM,20,FALSE),"")</f>
        <v>2130</v>
      </c>
      <c r="U161">
        <f>IFERROR(VLOOKUP($A161,koronahun!$A:$AM,21,FALSE),"")</f>
        <v>230</v>
      </c>
      <c r="V161" s="13">
        <f>IFERROR(VLOOKUP($A161,koronahun!$A:$AM,22,FALSE),"")</f>
        <v>4.0281717219565472E-2</v>
      </c>
      <c r="W161">
        <f>IFERROR(VLOOKUP($A161,koronahun!$A:$AM,23,FALSE),"")</f>
        <v>160</v>
      </c>
      <c r="X161">
        <f>IFERROR(VLOOKUP($A161,koronahun!$A:$AM,24,FALSE),"")</f>
        <v>26</v>
      </c>
      <c r="Y161" s="14">
        <f>IFERROR(VLOOKUP($A161,koronahun!$A:$AM,25,FALSE),"")</f>
        <v>6.1242093156986775E-2</v>
      </c>
      <c r="Z161" s="14">
        <f>IFERROR(VLOOKUP($A161,koronahun!$A:$AM,26,FALSE),"")</f>
        <v>0.107981220657277</v>
      </c>
      <c r="AA161" s="14">
        <f>IFERROR(VLOOKUP($A161,koronahun!$A:$AM,27,FALSE),"")</f>
        <v>1.8295051353874883</v>
      </c>
      <c r="AB161" s="14">
        <f>IFERROR(VLOOKUP($A161,koronahun!$A:$AM,28,FALSE),"")</f>
        <v>1.966981952939856</v>
      </c>
      <c r="AC161" s="14">
        <f>IFERROR(VLOOKUP($A161,koronahun!$A:$AM,29,FALSE),"")</f>
        <v>2799.1428571428573</v>
      </c>
      <c r="AD161" s="14">
        <f>IFERROR(VLOOKUP($A161,koronahun!$A:$AM,30,FALSE),"")</f>
        <v>33.857142857142854</v>
      </c>
      <c r="AE161" s="14">
        <f>IFERROR(VLOOKUP($A161,koronahun!$A:$AM,31,FALSE),"")</f>
        <v>19179.142857142859</v>
      </c>
      <c r="AF161" s="13">
        <f>IFERROR(VLOOKUP($A161,koronahun!$A:$AM,32,FALSE),"")</f>
        <v>0.15257751635194372</v>
      </c>
      <c r="AG161">
        <f>IFERROR(VLOOKUP($A161,koronahun!$A:$AM,33,FALSE),"")</f>
        <v>5950259</v>
      </c>
      <c r="AH161">
        <f>IFERROR(VLOOKUP($A161,koronahun!$A:$AM,34,FALSE),"")</f>
        <v>3174</v>
      </c>
      <c r="AI161">
        <f>IFERROR(VLOOKUP($A161,koronahun!$A:$AM,35,FALSE),"")</f>
        <v>3015.4</v>
      </c>
      <c r="AJ161">
        <f>IFERROR(VLOOKUP($A161,koronahun!$A:$AM,36,FALSE),"")</f>
        <v>5731651</v>
      </c>
      <c r="AK161">
        <f>IFERROR(VLOOKUP($A161,koronahun!$A:$AM,37,FALSE),"")</f>
        <v>3626</v>
      </c>
      <c r="AL161">
        <f>IFERROR(VLOOKUP($A161,koronahun!$A:$AM,38,FALSE),"")</f>
        <v>3358</v>
      </c>
      <c r="AM161" s="14">
        <f>IFERROR(VLOOKUP($A161,koronahun!$A:$AM,39,FALSE),"")</f>
        <v>581.14285714285711</v>
      </c>
      <c r="AN161" s="11">
        <f ca="1">IFERROR(__xludf.DUMMYFUNCTION("""COMPUTED_VALUE"""),44053)</f>
        <v>44053</v>
      </c>
      <c r="AO161" s="12">
        <f ca="1">IFERROR(VLOOKUP(AN161,koronahun!A:B,2,FALSE),"")</f>
        <v>4731</v>
      </c>
      <c r="AP161" s="11">
        <f t="shared" ca="1" si="0"/>
        <v>44053</v>
      </c>
      <c r="AQ161" s="11">
        <f ca="1">IFERROR(__xludf.DUMMYFUNCTION("""COMPUTED_VALUE"""),44053)</f>
        <v>44053</v>
      </c>
      <c r="AR161" s="11">
        <v>44501</v>
      </c>
      <c r="AS161" s="11">
        <f t="shared" si="1"/>
        <v>44501</v>
      </c>
      <c r="AT161" s="11">
        <f ca="1">IFERROR(__xludf.DUMMYFUNCTION("""COMPUTED_VALUE"""),44498)</f>
        <v>44498</v>
      </c>
    </row>
    <row r="162" spans="1:46" ht="13">
      <c r="A162" s="11">
        <v>44497</v>
      </c>
      <c r="B162">
        <f>IFERROR(VLOOKUP($A162,koronahun!$A:$AM,2,FALSE),"")</f>
        <v>859378</v>
      </c>
      <c r="C162">
        <f>IFERROR(VLOOKUP($A162,koronahun!$A:$AM,3,FALSE),"")</f>
        <v>4039</v>
      </c>
      <c r="D162">
        <f>IFERROR(VLOOKUP($A162,koronahun!$A:$AM,4,FALSE),"")</f>
        <v>30692</v>
      </c>
      <c r="E162">
        <f>IFERROR(VLOOKUP($A162,koronahun!$A:$AM,5,FALSE),"")</f>
        <v>797142</v>
      </c>
      <c r="F162">
        <f>IFERROR(VLOOKUP($A162,koronahun!$A:$AM,6,FALSE),"")</f>
        <v>7348118</v>
      </c>
      <c r="G162" s="12">
        <f>IFERROR(VLOOKUP($A162,koronahun!$A:$AM,7,FALSE),"")</f>
        <v>749807.95918367337</v>
      </c>
      <c r="H162">
        <f>IFERROR(VLOOKUP($A162,koronahun!$A:$AM,8,FALSE),"")</f>
        <v>0</v>
      </c>
      <c r="I162" s="13">
        <f>IFERROR(VLOOKUP($A162,koronahun!$A:$AM,9,FALSE),"")</f>
        <v>4.7221043352401798E-3</v>
      </c>
      <c r="J162" s="13">
        <f>IFERROR(VLOOKUP($A162,koronahun!$A:$AM,10,FALSE),"")</f>
        <v>0.1169521229789723</v>
      </c>
      <c r="K162" s="13">
        <f>IFERROR(VLOOKUP($A162,koronahun!$A:$AM,11,FALSE),"")</f>
        <v>3.7899702938674991E-3</v>
      </c>
      <c r="L162">
        <f>IFERROR(VLOOKUP($A162,koronahun!$A:$AM,12,FALSE),"")</f>
        <v>31544</v>
      </c>
      <c r="M162" s="13">
        <f>IFERROR(VLOOKUP($A162,koronahun!$A:$AM,13,FALSE),"")</f>
        <v>3.571420259769275E-2</v>
      </c>
      <c r="N162" s="13">
        <f>IFERROR(VLOOKUP($A162,koronahun!$A:$AM,14,FALSE),"")</f>
        <v>0.927580180083735</v>
      </c>
      <c r="O162">
        <f>IFERROR(VLOOKUP($A162,koronahun!$A:$AM,15,FALSE),"")</f>
        <v>22710</v>
      </c>
      <c r="P162">
        <f>IFERROR(VLOOKUP($A162,koronahun!$A:$AM,16,FALSE),"")</f>
        <v>27744</v>
      </c>
      <c r="Q162" s="13">
        <f>IFERROR(VLOOKUP($A162,koronahun!$A:$AM,17,FALSE),"")</f>
        <v>0.14558102652825836</v>
      </c>
      <c r="R162">
        <f>IFERROR(VLOOKUP($A162,koronahun!$A:$AM,18,FALSE),"")</f>
        <v>45</v>
      </c>
      <c r="S162">
        <f>IFERROR(VLOOKUP($A162,koronahun!$A:$AM,19,FALSE),"")</f>
        <v>707</v>
      </c>
      <c r="T162">
        <f>IFERROR(VLOOKUP($A162,koronahun!$A:$AM,20,FALSE),"")</f>
        <v>1970</v>
      </c>
      <c r="U162">
        <f>IFERROR(VLOOKUP($A162,koronahun!$A:$AM,21,FALSE),"")</f>
        <v>204</v>
      </c>
      <c r="V162" s="13">
        <f>IFERROR(VLOOKUP($A162,koronahun!$A:$AM,22,FALSE),"")</f>
        <v>3.6705617318572269E-2</v>
      </c>
      <c r="W162">
        <f>IFERROR(VLOOKUP($A162,koronahun!$A:$AM,23,FALSE),"")</f>
        <v>172</v>
      </c>
      <c r="X162">
        <f>IFERROR(VLOOKUP($A162,koronahun!$A:$AM,24,FALSE),"")</f>
        <v>7</v>
      </c>
      <c r="Y162" s="14">
        <f>IFERROR(VLOOKUP($A162,koronahun!$A:$AM,25,FALSE),"")</f>
        <v>6.2452447375095102E-2</v>
      </c>
      <c r="Z162" s="14">
        <f>IFERROR(VLOOKUP($A162,koronahun!$A:$AM,26,FALSE),"")</f>
        <v>0.10355329949238579</v>
      </c>
      <c r="AA162" s="14">
        <f>IFERROR(VLOOKUP($A162,koronahun!$A:$AM,27,FALSE),"")</f>
        <v>1.9233875252364254</v>
      </c>
      <c r="AB162" s="14">
        <f>IFERROR(VLOOKUP($A162,koronahun!$A:$AM,28,FALSE),"")</f>
        <v>1.9765410485617445</v>
      </c>
      <c r="AC162" s="14">
        <f>IFERROR(VLOOKUP($A162,koronahun!$A:$AM,29,FALSE),"")</f>
        <v>2585.8571428571427</v>
      </c>
      <c r="AD162" s="14">
        <f>IFERROR(VLOOKUP($A162,koronahun!$A:$AM,30,FALSE),"")</f>
        <v>32</v>
      </c>
      <c r="AE162" s="14">
        <f>IFERROR(VLOOKUP($A162,koronahun!$A:$AM,31,FALSE),"")</f>
        <v>18716.428571428572</v>
      </c>
      <c r="AF162" s="13">
        <f>IFERROR(VLOOKUP($A162,koronahun!$A:$AM,32,FALSE),"")</f>
        <v>0.14324192471426272</v>
      </c>
      <c r="AG162">
        <f>IFERROR(VLOOKUP($A162,koronahun!$A:$AM,33,FALSE),"")</f>
        <v>5947085</v>
      </c>
      <c r="AH162">
        <f>IFERROR(VLOOKUP($A162,koronahun!$A:$AM,34,FALSE),"")</f>
        <v>3253</v>
      </c>
      <c r="AI162">
        <f>IFERROR(VLOOKUP($A162,koronahun!$A:$AM,35,FALSE),"")</f>
        <v>2969.2</v>
      </c>
      <c r="AJ162">
        <f>IFERROR(VLOOKUP($A162,koronahun!$A:$AM,36,FALSE),"")</f>
        <v>5728025</v>
      </c>
      <c r="AK162">
        <f>IFERROR(VLOOKUP($A162,koronahun!$A:$AM,37,FALSE),"")</f>
        <v>3486</v>
      </c>
      <c r="AL162">
        <f>IFERROR(VLOOKUP($A162,koronahun!$A:$AM,38,FALSE),"")</f>
        <v>3409.6</v>
      </c>
      <c r="AM162" s="14">
        <f>IFERROR(VLOOKUP($A162,koronahun!$A:$AM,39,FALSE),"")</f>
        <v>550.57142857142856</v>
      </c>
      <c r="AN162" s="11">
        <f ca="1">IFERROR(__xludf.DUMMYFUNCTION("""COMPUTED_VALUE"""),44054)</f>
        <v>44054</v>
      </c>
      <c r="AO162" s="12">
        <f ca="1">IFERROR(VLOOKUP(AN162,koronahun!A:B,2,FALSE),"")</f>
        <v>4746</v>
      </c>
      <c r="AP162" s="11">
        <f t="shared" ca="1" si="0"/>
        <v>44054</v>
      </c>
      <c r="AQ162" s="11">
        <f ca="1">IFERROR(__xludf.DUMMYFUNCTION("""COMPUTED_VALUE"""),44054)</f>
        <v>44054</v>
      </c>
      <c r="AR162" s="11">
        <v>44498</v>
      </c>
      <c r="AS162" s="11">
        <f t="shared" si="1"/>
        <v>44498</v>
      </c>
      <c r="AT162" s="11">
        <f ca="1">IFERROR(__xludf.DUMMYFUNCTION("""COMPUTED_VALUE"""),44497)</f>
        <v>44497</v>
      </c>
    </row>
    <row r="163" spans="1:46" ht="13">
      <c r="A163" s="11">
        <v>44496</v>
      </c>
      <c r="B163">
        <f>IFERROR(VLOOKUP($A163,koronahun!$A:$AM,2,FALSE),"")</f>
        <v>855339</v>
      </c>
      <c r="C163">
        <f>IFERROR(VLOOKUP($A163,koronahun!$A:$AM,3,FALSE),"")</f>
        <v>3125</v>
      </c>
      <c r="D163">
        <f>IFERROR(VLOOKUP($A163,koronahun!$A:$AM,4,FALSE),"")</f>
        <v>30647</v>
      </c>
      <c r="E163">
        <f>IFERROR(VLOOKUP($A163,koronahun!$A:$AM,5,FALSE),"")</f>
        <v>796435</v>
      </c>
      <c r="F163">
        <f>IFERROR(VLOOKUP($A163,koronahun!$A:$AM,6,FALSE),"")</f>
        <v>7320374</v>
      </c>
      <c r="G163" s="12">
        <f>IFERROR(VLOOKUP($A163,koronahun!$A:$AM,7,FALSE),"")</f>
        <v>746976.93877551018</v>
      </c>
      <c r="H163">
        <f>IFERROR(VLOOKUP($A163,koronahun!$A:$AM,8,FALSE),"")</f>
        <v>0</v>
      </c>
      <c r="I163" s="13">
        <f>IFERROR(VLOOKUP($A163,koronahun!$A:$AM,9,FALSE),"")</f>
        <v>3.6669193418554496E-3</v>
      </c>
      <c r="J163" s="13">
        <f>IFERROR(VLOOKUP($A163,koronahun!$A:$AM,10,FALSE),"")</f>
        <v>0.11684362028497451</v>
      </c>
      <c r="K163" s="13">
        <f>IFERROR(VLOOKUP($A163,koronahun!$A:$AM,11,FALSE),"")</f>
        <v>2.5915393266983059E-3</v>
      </c>
      <c r="L163">
        <f>IFERROR(VLOOKUP($A163,koronahun!$A:$AM,12,FALSE),"")</f>
        <v>28257</v>
      </c>
      <c r="M163" s="13">
        <f>IFERROR(VLOOKUP($A163,koronahun!$A:$AM,13,FALSE),"")</f>
        <v>3.5830238069350283E-2</v>
      </c>
      <c r="N163" s="13">
        <f>IFERROR(VLOOKUP($A163,koronahun!$A:$AM,14,FALSE),"")</f>
        <v>0.93113373761748264</v>
      </c>
      <c r="O163">
        <f>IFERROR(VLOOKUP($A163,koronahun!$A:$AM,15,FALSE),"")</f>
        <v>19379</v>
      </c>
      <c r="P163">
        <f>IFERROR(VLOOKUP($A163,koronahun!$A:$AM,16,FALSE),"")</f>
        <v>18922</v>
      </c>
      <c r="Q163" s="13">
        <f>IFERROR(VLOOKUP($A163,koronahun!$A:$AM,17,FALSE),"")</f>
        <v>0.16515167529859423</v>
      </c>
      <c r="R163">
        <f>IFERROR(VLOOKUP($A163,koronahun!$A:$AM,18,FALSE),"")</f>
        <v>36</v>
      </c>
      <c r="S163">
        <f>IFERROR(VLOOKUP($A163,koronahun!$A:$AM,19,FALSE),"")</f>
        <v>607</v>
      </c>
      <c r="T163">
        <f>IFERROR(VLOOKUP($A163,koronahun!$A:$AM,20,FALSE),"")</f>
        <v>1798</v>
      </c>
      <c r="U163">
        <f>IFERROR(VLOOKUP($A163,koronahun!$A:$AM,21,FALSE),"")</f>
        <v>197</v>
      </c>
      <c r="V163" s="13">
        <f>IFERROR(VLOOKUP($A163,koronahun!$A:$AM,22,FALSE),"")</f>
        <v>3.3036024313167059E-2</v>
      </c>
      <c r="W163">
        <f>IFERROR(VLOOKUP($A163,koronahun!$A:$AM,23,FALSE),"")</f>
        <v>113</v>
      </c>
      <c r="X163">
        <f>IFERROR(VLOOKUP($A163,koronahun!$A:$AM,24,FALSE),"")</f>
        <v>0</v>
      </c>
      <c r="Y163" s="14">
        <f>IFERROR(VLOOKUP($A163,koronahun!$A:$AM,25,FALSE),"")</f>
        <v>6.3630250911278621E-2</v>
      </c>
      <c r="Z163" s="14">
        <f>IFERROR(VLOOKUP($A163,koronahun!$A:$AM,26,FALSE),"")</f>
        <v>0.10956618464961068</v>
      </c>
      <c r="AA163" s="14">
        <f>IFERROR(VLOOKUP($A163,koronahun!$A:$AM,27,FALSE),"")</f>
        <v>2.0050054938346968</v>
      </c>
      <c r="AB163" s="14">
        <f>IFERROR(VLOOKUP($A163,koronahun!$A:$AM,28,FALSE),"")</f>
        <v>1.9517488207611133</v>
      </c>
      <c r="AC163" s="14">
        <f>IFERROR(VLOOKUP($A163,koronahun!$A:$AM,29,FALSE),"")</f>
        <v>2346.1428571428573</v>
      </c>
      <c r="AD163" s="14">
        <f>IFERROR(VLOOKUP($A163,koronahun!$A:$AM,30,FALSE),"")</f>
        <v>28.428571428571427</v>
      </c>
      <c r="AE163" s="14">
        <f>IFERROR(VLOOKUP($A163,koronahun!$A:$AM,31,FALSE),"")</f>
        <v>17537.857142857141</v>
      </c>
      <c r="AF163" s="13">
        <f>IFERROR(VLOOKUP($A163,koronahun!$A:$AM,32,FALSE),"")</f>
        <v>0.13834855720485609</v>
      </c>
      <c r="AG163">
        <f>IFERROR(VLOOKUP($A163,koronahun!$A:$AM,33,FALSE),"")</f>
        <v>5943832</v>
      </c>
      <c r="AH163">
        <f>IFERROR(VLOOKUP($A163,koronahun!$A:$AM,34,FALSE),"")</f>
        <v>2759</v>
      </c>
      <c r="AI163">
        <f>IFERROR(VLOOKUP($A163,koronahun!$A:$AM,35,FALSE),"")</f>
        <v>2933.6</v>
      </c>
      <c r="AJ163">
        <f>IFERROR(VLOOKUP($A163,koronahun!$A:$AM,36,FALSE),"")</f>
        <v>5724539</v>
      </c>
      <c r="AK163">
        <f>IFERROR(VLOOKUP($A163,koronahun!$A:$AM,37,FALSE),"")</f>
        <v>3008</v>
      </c>
      <c r="AL163">
        <f>IFERROR(VLOOKUP($A163,koronahun!$A:$AM,38,FALSE),"")</f>
        <v>3553.2</v>
      </c>
      <c r="AM163" s="14">
        <f>IFERROR(VLOOKUP($A163,koronahun!$A:$AM,39,FALSE),"")</f>
        <v>525.42857142857144</v>
      </c>
      <c r="AN163" s="11">
        <f ca="1">IFERROR(__xludf.DUMMYFUNCTION("""COMPUTED_VALUE"""),44055)</f>
        <v>44055</v>
      </c>
      <c r="AO163" s="12">
        <f ca="1">IFERROR(VLOOKUP(AN163,koronahun!A:B,2,FALSE),"")</f>
        <v>4768</v>
      </c>
      <c r="AP163" s="11">
        <f t="shared" ca="1" si="0"/>
        <v>44055</v>
      </c>
      <c r="AQ163" s="11">
        <f ca="1">IFERROR(__xludf.DUMMYFUNCTION("""COMPUTED_VALUE"""),44055)</f>
        <v>44055</v>
      </c>
      <c r="AR163" s="11">
        <v>44497</v>
      </c>
      <c r="AS163" s="11">
        <f t="shared" si="1"/>
        <v>44497</v>
      </c>
      <c r="AT163" s="11">
        <f ca="1">IFERROR(__xludf.DUMMYFUNCTION("""COMPUTED_VALUE"""),44496)</f>
        <v>44496</v>
      </c>
    </row>
    <row r="164" spans="1:46" ht="13">
      <c r="A164" s="11">
        <v>44495</v>
      </c>
      <c r="B164">
        <f>IFERROR(VLOOKUP($A164,koronahun!$A:$AM,2,FALSE),"")</f>
        <v>852214</v>
      </c>
      <c r="C164">
        <f>IFERROR(VLOOKUP($A164,koronahun!$A:$AM,3,FALSE),"")</f>
        <v>1701</v>
      </c>
      <c r="D164">
        <f>IFERROR(VLOOKUP($A164,koronahun!$A:$AM,4,FALSE),"")</f>
        <v>30611</v>
      </c>
      <c r="E164">
        <f>IFERROR(VLOOKUP($A164,koronahun!$A:$AM,5,FALSE),"")</f>
        <v>795828</v>
      </c>
      <c r="F164">
        <f>IFERROR(VLOOKUP($A164,koronahun!$A:$AM,6,FALSE),"")</f>
        <v>7301452</v>
      </c>
      <c r="G164" s="12">
        <f>IFERROR(VLOOKUP($A164,koronahun!$A:$AM,7,FALSE),"")</f>
        <v>745046.12244897953</v>
      </c>
      <c r="H164">
        <f>IFERROR(VLOOKUP($A164,koronahun!$A:$AM,8,FALSE),"")</f>
        <v>0</v>
      </c>
      <c r="I164" s="13">
        <f>IFERROR(VLOOKUP($A164,koronahun!$A:$AM,9,FALSE),"")</f>
        <v>1.9999694302144707E-3</v>
      </c>
      <c r="J164" s="13">
        <f>IFERROR(VLOOKUP($A164,koronahun!$A:$AM,10,FALSE),"")</f>
        <v>0.1167184280606104</v>
      </c>
      <c r="K164" s="13">
        <f>IFERROR(VLOOKUP($A164,koronahun!$A:$AM,11,FALSE),"")</f>
        <v>1.5402821011099386E-3</v>
      </c>
      <c r="L164">
        <f>IFERROR(VLOOKUP($A164,koronahun!$A:$AM,12,FALSE),"")</f>
        <v>25775</v>
      </c>
      <c r="M164" s="13">
        <f>IFERROR(VLOOKUP($A164,koronahun!$A:$AM,13,FALSE),"")</f>
        <v>3.5919381751531892E-2</v>
      </c>
      <c r="N164" s="13">
        <f>IFERROR(VLOOKUP($A164,koronahun!$A:$AM,14,FALSE),"")</f>
        <v>0.93383586751684433</v>
      </c>
      <c r="O164">
        <f>IFERROR(VLOOKUP($A164,koronahun!$A:$AM,15,FALSE),"")</f>
        <v>16742</v>
      </c>
      <c r="P164">
        <f>IFERROR(VLOOKUP($A164,koronahun!$A:$AM,16,FALSE),"")</f>
        <v>11229</v>
      </c>
      <c r="Q164" s="13">
        <f>IFERROR(VLOOKUP($A164,koronahun!$A:$AM,17,FALSE),"")</f>
        <v>0.15148276783328882</v>
      </c>
      <c r="R164">
        <f>IFERROR(VLOOKUP($A164,koronahun!$A:$AM,18,FALSE),"")</f>
        <v>44</v>
      </c>
      <c r="S164">
        <f>IFERROR(VLOOKUP($A164,koronahun!$A:$AM,19,FALSE),"")</f>
        <v>266</v>
      </c>
      <c r="T164">
        <f>IFERROR(VLOOKUP($A164,koronahun!$A:$AM,20,FALSE),"")</f>
        <v>1685</v>
      </c>
      <c r="U164">
        <f>IFERROR(VLOOKUP($A164,koronahun!$A:$AM,21,FALSE),"")</f>
        <v>197</v>
      </c>
      <c r="V164" s="13">
        <f>IFERROR(VLOOKUP($A164,koronahun!$A:$AM,22,FALSE),"")</f>
        <v>3.0244750731623748E-2</v>
      </c>
      <c r="W164">
        <f>IFERROR(VLOOKUP($A164,koronahun!$A:$AM,23,FALSE),"")</f>
        <v>97</v>
      </c>
      <c r="X164">
        <f>IFERROR(VLOOKUP($A164,koronahun!$A:$AM,24,FALSE),"")</f>
        <v>6</v>
      </c>
      <c r="Y164" s="14">
        <f>IFERROR(VLOOKUP($A164,koronahun!$A:$AM,25,FALSE),"")</f>
        <v>6.537342386032978E-2</v>
      </c>
      <c r="Z164" s="14">
        <f>IFERROR(VLOOKUP($A164,koronahun!$A:$AM,26,FALSE),"")</f>
        <v>0.11691394658753709</v>
      </c>
      <c r="AA164" s="14">
        <f>IFERROR(VLOOKUP($A164,koronahun!$A:$AM,27,FALSE),"")</f>
        <v>2.0397982826768435</v>
      </c>
      <c r="AB164" s="14">
        <f>IFERROR(VLOOKUP($A164,koronahun!$A:$AM,28,FALSE),"")</f>
        <v>1.8833096383563341</v>
      </c>
      <c r="AC164" s="14">
        <f>IFERROR(VLOOKUP($A164,koronahun!$A:$AM,29,FALSE),"")</f>
        <v>2138</v>
      </c>
      <c r="AD164" s="14">
        <f>IFERROR(VLOOKUP($A164,koronahun!$A:$AM,30,FALSE),"")</f>
        <v>27.571428571428573</v>
      </c>
      <c r="AE164" s="14">
        <f>IFERROR(VLOOKUP($A164,koronahun!$A:$AM,31,FALSE),"")</f>
        <v>17052.428571428572</v>
      </c>
      <c r="AF164" s="13">
        <f>IFERROR(VLOOKUP($A164,koronahun!$A:$AM,32,FALSE),"")</f>
        <v>0.12680752902480744</v>
      </c>
      <c r="AG164">
        <f>IFERROR(VLOOKUP($A164,koronahun!$A:$AM,33,FALSE),"")</f>
        <v>5941073</v>
      </c>
      <c r="AH164">
        <f>IFERROR(VLOOKUP($A164,koronahun!$A:$AM,34,FALSE),"")</f>
        <v>2408</v>
      </c>
      <c r="AI164">
        <f>IFERROR(VLOOKUP($A164,koronahun!$A:$AM,35,FALSE),"")</f>
        <v>2925.4</v>
      </c>
      <c r="AJ164">
        <f>IFERROR(VLOOKUP($A164,koronahun!$A:$AM,36,FALSE),"")</f>
        <v>5721531</v>
      </c>
      <c r="AK164">
        <f>IFERROR(VLOOKUP($A164,koronahun!$A:$AM,37,FALSE),"")</f>
        <v>2658</v>
      </c>
      <c r="AL164">
        <f>IFERROR(VLOOKUP($A164,koronahun!$A:$AM,38,FALSE),"")</f>
        <v>3688.6</v>
      </c>
      <c r="AM164" s="14">
        <f>IFERROR(VLOOKUP($A164,koronahun!$A:$AM,39,FALSE),"")</f>
        <v>512.28571428571433</v>
      </c>
      <c r="AN164" s="11">
        <f ca="1">IFERROR(__xludf.DUMMYFUNCTION("""COMPUTED_VALUE"""),44056)</f>
        <v>44056</v>
      </c>
      <c r="AO164" s="12">
        <f ca="1">IFERROR(VLOOKUP(AN164,koronahun!A:B,2,FALSE),"")</f>
        <v>4813</v>
      </c>
      <c r="AP164" s="11">
        <f t="shared" ca="1" si="0"/>
        <v>44056</v>
      </c>
      <c r="AQ164" s="11">
        <f ca="1">IFERROR(__xludf.DUMMYFUNCTION("""COMPUTED_VALUE"""),44056)</f>
        <v>44056</v>
      </c>
      <c r="AR164" s="11">
        <v>44496</v>
      </c>
      <c r="AS164" s="11">
        <f t="shared" si="1"/>
        <v>44496</v>
      </c>
      <c r="AT164" s="11">
        <f ca="1">IFERROR(__xludf.DUMMYFUNCTION("""COMPUTED_VALUE"""),44495)</f>
        <v>44495</v>
      </c>
    </row>
    <row r="165" spans="1:46" ht="13">
      <c r="A165" s="11">
        <v>44494</v>
      </c>
      <c r="B165">
        <f>IFERROR(VLOOKUP($A165,koronahun!$A:$AM,2,FALSE),"")</f>
        <v>850513</v>
      </c>
      <c r="C165">
        <f>IFERROR(VLOOKUP($A165,koronahun!$A:$AM,3,FALSE),"")</f>
        <v>6688</v>
      </c>
      <c r="D165">
        <f>IFERROR(VLOOKUP($A165,koronahun!$A:$AM,4,FALSE),"")</f>
        <v>30567</v>
      </c>
      <c r="E165">
        <f>IFERROR(VLOOKUP($A165,koronahun!$A:$AM,5,FALSE),"")</f>
        <v>795562</v>
      </c>
      <c r="F165">
        <f>IFERROR(VLOOKUP($A165,koronahun!$A:$AM,6,FALSE),"")</f>
        <v>7290223</v>
      </c>
      <c r="G165" s="12">
        <f>IFERROR(VLOOKUP($A165,koronahun!$A:$AM,7,FALSE),"")</f>
        <v>743900.30612244888</v>
      </c>
      <c r="H165">
        <f>IFERROR(VLOOKUP($A165,koronahun!$A:$AM,8,FALSE),"")</f>
        <v>0</v>
      </c>
      <c r="I165" s="13">
        <f>IFERROR(VLOOKUP($A165,koronahun!$A:$AM,9,FALSE),"")</f>
        <v>7.9258140017183665E-3</v>
      </c>
      <c r="J165" s="13">
        <f>IFERROR(VLOOKUP($A165,koronahun!$A:$AM,10,FALSE),"")</f>
        <v>0.11666488117030165</v>
      </c>
      <c r="K165" s="13">
        <f>IFERROR(VLOOKUP($A165,koronahun!$A:$AM,11,FALSE),"")</f>
        <v>7.3636166038845464E-3</v>
      </c>
      <c r="L165">
        <f>IFERROR(VLOOKUP($A165,koronahun!$A:$AM,12,FALSE),"")</f>
        <v>24384</v>
      </c>
      <c r="M165" s="13">
        <f>IFERROR(VLOOKUP($A165,koronahun!$A:$AM,13,FALSE),"")</f>
        <v>3.5939485933783495E-2</v>
      </c>
      <c r="N165" s="13">
        <f>IFERROR(VLOOKUP($A165,koronahun!$A:$AM,14,FALSE),"")</f>
        <v>0.93539075828353002</v>
      </c>
      <c r="O165">
        <f>IFERROR(VLOOKUP($A165,koronahun!$A:$AM,15,FALSE),"")</f>
        <v>16603</v>
      </c>
      <c r="P165">
        <f>IFERROR(VLOOKUP($A165,koronahun!$A:$AM,16,FALSE),"")</f>
        <v>53290</v>
      </c>
      <c r="Q165" s="13">
        <f>IFERROR(VLOOKUP($A165,koronahun!$A:$AM,17,FALSE),"")</f>
        <v>0.12550197035091012</v>
      </c>
      <c r="R165">
        <f>IFERROR(VLOOKUP($A165,koronahun!$A:$AM,18,FALSE),"")</f>
        <v>75</v>
      </c>
      <c r="S165">
        <f>IFERROR(VLOOKUP($A165,koronahun!$A:$AM,19,FALSE),"")</f>
        <v>1720</v>
      </c>
      <c r="T165">
        <f>IFERROR(VLOOKUP($A165,koronahun!$A:$AM,20,FALSE),"")</f>
        <v>1588</v>
      </c>
      <c r="U165">
        <f>IFERROR(VLOOKUP($A165,koronahun!$A:$AM,21,FALSE),"")</f>
        <v>191</v>
      </c>
      <c r="V165" s="13">
        <f>IFERROR(VLOOKUP($A165,koronahun!$A:$AM,22,FALSE),"")</f>
        <v>2.8669755782686449E-2</v>
      </c>
      <c r="W165">
        <f>IFERROR(VLOOKUP($A165,koronahun!$A:$AM,23,FALSE),"")</f>
        <v>355</v>
      </c>
      <c r="X165">
        <f>IFERROR(VLOOKUP($A165,koronahun!$A:$AM,24,FALSE),"")</f>
        <v>22</v>
      </c>
      <c r="Y165" s="14">
        <f>IFERROR(VLOOKUP($A165,koronahun!$A:$AM,25,FALSE),"")</f>
        <v>6.5124671916010499E-2</v>
      </c>
      <c r="Z165" s="14">
        <f>IFERROR(VLOOKUP($A165,koronahun!$A:$AM,26,FALSE),"")</f>
        <v>0.12027707808564232</v>
      </c>
      <c r="AA165" s="14">
        <f>IFERROR(VLOOKUP($A165,koronahun!$A:$AM,27,FALSE),"")</f>
        <v>2.0372133275638253</v>
      </c>
      <c r="AB165" s="14">
        <f>IFERROR(VLOOKUP($A165,koronahun!$A:$AM,28,FALSE),"")</f>
        <v>1.7848627428418471</v>
      </c>
      <c r="AC165" s="14">
        <f>IFERROR(VLOOKUP($A165,koronahun!$A:$AM,29,FALSE),"")</f>
        <v>2017.7142857142858</v>
      </c>
      <c r="AD165" s="14">
        <f>IFERROR(VLOOKUP($A165,koronahun!$A:$AM,30,FALSE),"")</f>
        <v>23.571428571428573</v>
      </c>
      <c r="AE165" s="14">
        <f>IFERROR(VLOOKUP($A165,koronahun!$A:$AM,31,FALSE),"")</f>
        <v>16838.571428571428</v>
      </c>
      <c r="AF165" s="13">
        <f>IFERROR(VLOOKUP($A165,koronahun!$A:$AM,32,FALSE),"")</f>
        <v>0.11416407862296676</v>
      </c>
      <c r="AG165">
        <f>IFERROR(VLOOKUP($A165,koronahun!$A:$AM,33,FALSE),"")</f>
        <v>5938665</v>
      </c>
      <c r="AH165">
        <f>IFERROR(VLOOKUP($A165,koronahun!$A:$AM,34,FALSE),"")</f>
        <v>3483</v>
      </c>
      <c r="AI165">
        <f>IFERROR(VLOOKUP($A165,koronahun!$A:$AM,35,FALSE),"")</f>
        <v>2920.4</v>
      </c>
      <c r="AJ165">
        <f>IFERROR(VLOOKUP($A165,koronahun!$A:$AM,36,FALSE),"")</f>
        <v>5718873</v>
      </c>
      <c r="AK165">
        <f>IFERROR(VLOOKUP($A165,koronahun!$A:$AM,37,FALSE),"")</f>
        <v>4012</v>
      </c>
      <c r="AL165">
        <f>IFERROR(VLOOKUP($A165,koronahun!$A:$AM,38,FALSE),"")</f>
        <v>3770.4</v>
      </c>
      <c r="AM165" s="14">
        <f>IFERROR(VLOOKUP($A165,koronahun!$A:$AM,39,FALSE),"")</f>
        <v>509.14285714285717</v>
      </c>
      <c r="AN165" s="11">
        <f ca="1">IFERROR(__xludf.DUMMYFUNCTION("""COMPUTED_VALUE"""),44057)</f>
        <v>44057</v>
      </c>
      <c r="AO165" s="12">
        <f ca="1">IFERROR(VLOOKUP(AN165,koronahun!A:B,2,FALSE),"")</f>
        <v>4853</v>
      </c>
      <c r="AP165" s="11">
        <f t="shared" ca="1" si="0"/>
        <v>44057</v>
      </c>
      <c r="AQ165" s="11">
        <f ca="1">IFERROR(__xludf.DUMMYFUNCTION("""COMPUTED_VALUE"""),44057)</f>
        <v>44057</v>
      </c>
      <c r="AR165" s="11">
        <v>44495</v>
      </c>
      <c r="AS165" s="11">
        <f t="shared" si="1"/>
        <v>44495</v>
      </c>
      <c r="AT165" s="11">
        <f ca="1">IFERROR(__xludf.DUMMYFUNCTION("""COMPUTED_VALUE"""),44494)</f>
        <v>44494</v>
      </c>
    </row>
    <row r="166" spans="1:46" ht="13">
      <c r="A166" s="11">
        <v>44491</v>
      </c>
      <c r="B166">
        <f>IFERROR(VLOOKUP($A166,koronahun!$A:$AM,2,FALSE),"")</f>
        <v>843825</v>
      </c>
      <c r="C166">
        <f>IFERROR(VLOOKUP($A166,koronahun!$A:$AM,3,FALSE),"")</f>
        <v>2548</v>
      </c>
      <c r="D166">
        <f>IFERROR(VLOOKUP($A166,koronahun!$A:$AM,4,FALSE),"")</f>
        <v>30492</v>
      </c>
      <c r="E166">
        <f>IFERROR(VLOOKUP($A166,koronahun!$A:$AM,5,FALSE),"")</f>
        <v>793842</v>
      </c>
      <c r="F166">
        <f>IFERROR(VLOOKUP($A166,koronahun!$A:$AM,6,FALSE),"")</f>
        <v>7236933</v>
      </c>
      <c r="G166" s="12">
        <f>IFERROR(VLOOKUP($A166,koronahun!$A:$AM,7,FALSE),"")</f>
        <v>738462.55102040817</v>
      </c>
      <c r="H166">
        <f>IFERROR(VLOOKUP($A166,koronahun!$A:$AM,8,FALSE),"")</f>
        <v>0</v>
      </c>
      <c r="I166" s="13">
        <f>IFERROR(VLOOKUP($A166,koronahun!$A:$AM,9,FALSE),"")</f>
        <v>3.0287289442121916E-3</v>
      </c>
      <c r="J166" s="13">
        <f>IFERROR(VLOOKUP($A166,koronahun!$A:$AM,10,FALSE),"")</f>
        <v>0.11659980823368131</v>
      </c>
      <c r="K166" s="13">
        <f>IFERROR(VLOOKUP($A166,koronahun!$A:$AM,11,FALSE),"")</f>
        <v>2.7476398771085851E-3</v>
      </c>
      <c r="L166">
        <f>IFERROR(VLOOKUP($A166,koronahun!$A:$AM,12,FALSE),"")</f>
        <v>19491</v>
      </c>
      <c r="M166" s="13">
        <f>IFERROR(VLOOKUP($A166,koronahun!$A:$AM,13,FALSE),"")</f>
        <v>3.6135454626255441E-2</v>
      </c>
      <c r="N166" s="13">
        <f>IFERROR(VLOOKUP($A166,koronahun!$A:$AM,14,FALSE),"")</f>
        <v>0.94076615411963382</v>
      </c>
      <c r="O166">
        <f>IFERROR(VLOOKUP($A166,koronahun!$A:$AM,15,FALSE),"")</f>
        <v>17984</v>
      </c>
      <c r="P166">
        <f>IFERROR(VLOOKUP($A166,koronahun!$A:$AM,16,FALSE),"")</f>
        <v>19830</v>
      </c>
      <c r="Q166" s="13">
        <f>IFERROR(VLOOKUP($A166,koronahun!$A:$AM,17,FALSE),"")</f>
        <v>0.12849218356026224</v>
      </c>
      <c r="R166">
        <f>IFERROR(VLOOKUP($A166,koronahun!$A:$AM,18,FALSE),"")</f>
        <v>24</v>
      </c>
      <c r="S166">
        <f>IFERROR(VLOOKUP($A166,koronahun!$A:$AM,19,FALSE),"")</f>
        <v>554</v>
      </c>
      <c r="T166">
        <f>IFERROR(VLOOKUP($A166,koronahun!$A:$AM,20,FALSE),"")</f>
        <v>1233</v>
      </c>
      <c r="U166">
        <f>IFERROR(VLOOKUP($A166,koronahun!$A:$AM,21,FALSE),"")</f>
        <v>169</v>
      </c>
      <c r="V166" s="13">
        <f>IFERROR(VLOOKUP($A166,koronahun!$A:$AM,22,FALSE),"")</f>
        <v>2.3098391254110746E-2</v>
      </c>
      <c r="W166">
        <f>IFERROR(VLOOKUP($A166,koronahun!$A:$AM,23,FALSE),"")</f>
        <v>128</v>
      </c>
      <c r="X166">
        <f>IFERROR(VLOOKUP($A166,koronahun!$A:$AM,24,FALSE),"")</f>
        <v>14</v>
      </c>
      <c r="Y166" s="14">
        <f>IFERROR(VLOOKUP($A166,koronahun!$A:$AM,25,FALSE),"")</f>
        <v>6.3259966138217633E-2</v>
      </c>
      <c r="Z166" s="14">
        <f>IFERROR(VLOOKUP($A166,koronahun!$A:$AM,26,FALSE),"")</f>
        <v>0.13706407137064072</v>
      </c>
      <c r="AA166" s="14">
        <f>IFERROR(VLOOKUP($A166,koronahun!$A:$AM,27,FALSE),"")</f>
        <v>1.8773006134969326</v>
      </c>
      <c r="AB166" s="14">
        <f>IFERROR(VLOOKUP($A166,koronahun!$A:$AM,28,FALSE),"")</f>
        <v>1.680171169032139</v>
      </c>
      <c r="AC166" s="14">
        <f>IFERROR(VLOOKUP($A166,koronahun!$A:$AM,29,FALSE),"")</f>
        <v>1530</v>
      </c>
      <c r="AD166" s="14">
        <f>IFERROR(VLOOKUP($A166,koronahun!$A:$AM,30,FALSE),"")</f>
        <v>20.142857142857142</v>
      </c>
      <c r="AE166" s="14">
        <f>IFERROR(VLOOKUP($A166,koronahun!$A:$AM,31,FALSE),"")</f>
        <v>15603.285714285714</v>
      </c>
      <c r="AF166" s="13">
        <f>IFERROR(VLOOKUP($A166,koronahun!$A:$AM,32,FALSE),"")</f>
        <v>0.10373115761687093</v>
      </c>
      <c r="AG166">
        <f>IFERROR(VLOOKUP($A166,koronahun!$A:$AM,33,FALSE),"")</f>
        <v>5935182</v>
      </c>
      <c r="AH166">
        <f>IFERROR(VLOOKUP($A166,koronahun!$A:$AM,34,FALSE),"")</f>
        <v>2943</v>
      </c>
      <c r="AI166">
        <f>IFERROR(VLOOKUP($A166,koronahun!$A:$AM,35,FALSE),"")</f>
        <v>3050.4</v>
      </c>
      <c r="AJ166">
        <f>IFERROR(VLOOKUP($A166,koronahun!$A:$AM,36,FALSE),"")</f>
        <v>5714861</v>
      </c>
      <c r="AK166">
        <f>IFERROR(VLOOKUP($A166,koronahun!$A:$AM,37,FALSE),"")</f>
        <v>3884</v>
      </c>
      <c r="AL166">
        <f>IFERROR(VLOOKUP($A166,koronahun!$A:$AM,38,FALSE),"")</f>
        <v>4105</v>
      </c>
      <c r="AM166" s="14">
        <f>IFERROR(VLOOKUP($A166,koronahun!$A:$AM,39,FALSE),"")</f>
        <v>456.57142857142856</v>
      </c>
      <c r="AN166" s="11">
        <f ca="1">IFERROR(__xludf.DUMMYFUNCTION("""COMPUTED_VALUE"""),44058)</f>
        <v>44058</v>
      </c>
      <c r="AO166" s="12">
        <f ca="1">IFERROR(VLOOKUP(AN166,koronahun!A:B,2,FALSE),"")</f>
        <v>4877</v>
      </c>
      <c r="AP166" s="11">
        <f t="shared" ca="1" si="0"/>
        <v>44058</v>
      </c>
      <c r="AQ166" s="11">
        <f ca="1">IFERROR(__xludf.DUMMYFUNCTION("""COMPUTED_VALUE"""),44058)</f>
        <v>44058</v>
      </c>
      <c r="AR166" s="11">
        <v>44494</v>
      </c>
      <c r="AS166" s="11">
        <f t="shared" si="1"/>
        <v>44494</v>
      </c>
      <c r="AT166" s="11">
        <f ca="1">IFERROR(__xludf.DUMMYFUNCTION("""COMPUTED_VALUE"""),44491)</f>
        <v>44491</v>
      </c>
    </row>
    <row r="167" spans="1:46" ht="13">
      <c r="A167" s="11">
        <v>44490</v>
      </c>
      <c r="B167">
        <f>IFERROR(VLOOKUP($A167,koronahun!$A:$AM,2,FALSE),"")</f>
        <v>841277</v>
      </c>
      <c r="C167">
        <f>IFERROR(VLOOKUP($A167,koronahun!$A:$AM,3,FALSE),"")</f>
        <v>2361</v>
      </c>
      <c r="D167">
        <f>IFERROR(VLOOKUP($A167,koronahun!$A:$AM,4,FALSE),"")</f>
        <v>30468</v>
      </c>
      <c r="E167">
        <f>IFERROR(VLOOKUP($A167,koronahun!$A:$AM,5,FALSE),"")</f>
        <v>793288</v>
      </c>
      <c r="F167">
        <f>IFERROR(VLOOKUP($A167,koronahun!$A:$AM,6,FALSE),"")</f>
        <v>7217103</v>
      </c>
      <c r="G167" s="12">
        <f>IFERROR(VLOOKUP($A167,koronahun!$A:$AM,7,FALSE),"")</f>
        <v>736439.08163265302</v>
      </c>
      <c r="H167">
        <f>IFERROR(VLOOKUP($A167,koronahun!$A:$AM,8,FALSE),"")</f>
        <v>0</v>
      </c>
      <c r="I167" s="13">
        <f>IFERROR(VLOOKUP($A167,koronahun!$A:$AM,9,FALSE),"")</f>
        <v>2.8143461323898934E-3</v>
      </c>
      <c r="J167" s="13">
        <f>IFERROR(VLOOKUP($A167,koronahun!$A:$AM,10,FALSE),"")</f>
        <v>0.11656713226900045</v>
      </c>
      <c r="K167" s="13">
        <f>IFERROR(VLOOKUP($A167,koronahun!$A:$AM,11,FALSE),"")</f>
        <v>2.7083994143055007E-3</v>
      </c>
      <c r="L167">
        <f>IFERROR(VLOOKUP($A167,koronahun!$A:$AM,12,FALSE),"")</f>
        <v>17521</v>
      </c>
      <c r="M167" s="13">
        <f>IFERROR(VLOOKUP($A167,koronahun!$A:$AM,13,FALSE),"")</f>
        <v>3.621637106446509E-2</v>
      </c>
      <c r="N167" s="13">
        <f>IFERROR(VLOOKUP($A167,koronahun!$A:$AM,14,FALSE),"")</f>
        <v>0.9429569571021198</v>
      </c>
      <c r="O167">
        <f>IFERROR(VLOOKUP($A167,koronahun!$A:$AM,15,FALSE),"")</f>
        <v>15854</v>
      </c>
      <c r="P167">
        <f>IFERROR(VLOOKUP($A167,koronahun!$A:$AM,16,FALSE),"")</f>
        <v>19494</v>
      </c>
      <c r="Q167" s="13">
        <f>IFERROR(VLOOKUP($A167,koronahun!$A:$AM,17,FALSE),"")</f>
        <v>0.12111418898122499</v>
      </c>
      <c r="R167">
        <f>IFERROR(VLOOKUP($A167,koronahun!$A:$AM,18,FALSE),"")</f>
        <v>20</v>
      </c>
      <c r="S167">
        <f>IFERROR(VLOOKUP($A167,koronahun!$A:$AM,19,FALSE),"")</f>
        <v>531</v>
      </c>
      <c r="T167">
        <f>IFERROR(VLOOKUP($A167,koronahun!$A:$AM,20,FALSE),"")</f>
        <v>1105</v>
      </c>
      <c r="U167">
        <f>IFERROR(VLOOKUP($A167,koronahun!$A:$AM,21,FALSE),"")</f>
        <v>155</v>
      </c>
      <c r="V167" s="13">
        <f>IFERROR(VLOOKUP($A167,koronahun!$A:$AM,22,FALSE),"")</f>
        <v>2.0826671833415154E-2</v>
      </c>
      <c r="W167">
        <f>IFERROR(VLOOKUP($A167,koronahun!$A:$AM,23,FALSE),"")</f>
        <v>47</v>
      </c>
      <c r="X167">
        <f>IFERROR(VLOOKUP($A167,koronahun!$A:$AM,24,FALSE),"")</f>
        <v>10</v>
      </c>
      <c r="Y167" s="14">
        <f>IFERROR(VLOOKUP($A167,koronahun!$A:$AM,25,FALSE),"")</f>
        <v>6.3067176531019925E-2</v>
      </c>
      <c r="Z167" s="14">
        <f>IFERROR(VLOOKUP($A167,koronahun!$A:$AM,26,FALSE),"")</f>
        <v>0.14027149321266968</v>
      </c>
      <c r="AA167" s="14">
        <f>IFERROR(VLOOKUP($A167,koronahun!$A:$AM,27,FALSE),"")</f>
        <v>1.7994263862332696</v>
      </c>
      <c r="AB167" s="14">
        <f>IFERROR(VLOOKUP($A167,koronahun!$A:$AM,28,FALSE),"")</f>
        <v>1.5881188953143719</v>
      </c>
      <c r="AC167" s="14">
        <f>IFERROR(VLOOKUP($A167,koronahun!$A:$AM,29,FALSE),"")</f>
        <v>1344.4285714285713</v>
      </c>
      <c r="AD167" s="14">
        <f>IFERROR(VLOOKUP($A167,koronahun!$A:$AM,30,FALSE),"")</f>
        <v>18.142857142857142</v>
      </c>
      <c r="AE167" s="14">
        <f>IFERROR(VLOOKUP($A167,koronahun!$A:$AM,31,FALSE),"")</f>
        <v>15278.142857142857</v>
      </c>
      <c r="AF167" s="13">
        <f>IFERROR(VLOOKUP($A167,koronahun!$A:$AM,32,FALSE),"")</f>
        <v>9.2263095748159024E-2</v>
      </c>
      <c r="AG167">
        <f>IFERROR(VLOOKUP($A167,koronahun!$A:$AM,33,FALSE),"")</f>
        <v>5932239</v>
      </c>
      <c r="AH167">
        <f>IFERROR(VLOOKUP($A167,koronahun!$A:$AM,34,FALSE),"")</f>
        <v>3075</v>
      </c>
      <c r="AI167">
        <f>IFERROR(VLOOKUP($A167,koronahun!$A:$AM,35,FALSE),"")</f>
        <v>3094</v>
      </c>
      <c r="AJ167">
        <f>IFERROR(VLOOKUP($A167,koronahun!$A:$AM,36,FALSE),"")</f>
        <v>5710977</v>
      </c>
      <c r="AK167">
        <f>IFERROR(VLOOKUP($A167,koronahun!$A:$AM,37,FALSE),"")</f>
        <v>4204</v>
      </c>
      <c r="AL167">
        <f>IFERROR(VLOOKUP($A167,koronahun!$A:$AM,38,FALSE),"")</f>
        <v>4321.2</v>
      </c>
      <c r="AM167" s="14">
        <f>IFERROR(VLOOKUP($A167,koronahun!$A:$AM,39,FALSE),"")</f>
        <v>451.57142857142856</v>
      </c>
      <c r="AN167" s="11">
        <f ca="1">IFERROR(__xludf.DUMMYFUNCTION("""COMPUTED_VALUE"""),44059)</f>
        <v>44059</v>
      </c>
      <c r="AO167" s="12">
        <f ca="1">IFERROR(VLOOKUP(AN167,koronahun!A:B,2,FALSE),"")</f>
        <v>4916</v>
      </c>
      <c r="AP167" s="11">
        <f t="shared" ca="1" si="0"/>
        <v>44059</v>
      </c>
      <c r="AQ167" s="11">
        <f ca="1">IFERROR(__xludf.DUMMYFUNCTION("""COMPUTED_VALUE"""),44059)</f>
        <v>44059</v>
      </c>
      <c r="AR167" s="11">
        <v>44491</v>
      </c>
      <c r="AS167" s="11">
        <f t="shared" si="1"/>
        <v>44491</v>
      </c>
      <c r="AT167" s="11">
        <f ca="1">IFERROR(__xludf.DUMMYFUNCTION("""COMPUTED_VALUE"""),44490)</f>
        <v>44490</v>
      </c>
    </row>
    <row r="168" spans="1:46" ht="13">
      <c r="A168" s="11">
        <v>44489</v>
      </c>
      <c r="B168">
        <f>IFERROR(VLOOKUP($A168,koronahun!$A:$AM,2,FALSE),"")</f>
        <v>838916</v>
      </c>
      <c r="C168">
        <f>IFERROR(VLOOKUP($A168,koronahun!$A:$AM,3,FALSE),"")</f>
        <v>1668</v>
      </c>
      <c r="D168">
        <f>IFERROR(VLOOKUP($A168,koronahun!$A:$AM,4,FALSE),"")</f>
        <v>30448</v>
      </c>
      <c r="E168">
        <f>IFERROR(VLOOKUP($A168,koronahun!$A:$AM,5,FALSE),"")</f>
        <v>792757</v>
      </c>
      <c r="F168">
        <f>IFERROR(VLOOKUP($A168,koronahun!$A:$AM,6,FALSE),"")</f>
        <v>7197609</v>
      </c>
      <c r="G168" s="12">
        <f>IFERROR(VLOOKUP($A168,koronahun!$A:$AM,7,FALSE),"")</f>
        <v>734449.89795918367</v>
      </c>
      <c r="H168">
        <f>IFERROR(VLOOKUP($A168,koronahun!$A:$AM,8,FALSE),"")</f>
        <v>0</v>
      </c>
      <c r="I168" s="13">
        <f>IFERROR(VLOOKUP($A168,koronahun!$A:$AM,9,FALSE),"")</f>
        <v>1.9922412475156703E-3</v>
      </c>
      <c r="J168" s="13">
        <f>IFERROR(VLOOKUP($A168,koronahun!$A:$AM,10,FALSE),"")</f>
        <v>0.11655481702326426</v>
      </c>
      <c r="K168" s="13">
        <f>IFERROR(VLOOKUP($A168,koronahun!$A:$AM,11,FALSE),"")</f>
        <v>2.1614893168209509E-3</v>
      </c>
      <c r="L168">
        <f>IFERROR(VLOOKUP($A168,koronahun!$A:$AM,12,FALSE),"")</f>
        <v>15711</v>
      </c>
      <c r="M168" s="13">
        <f>IFERROR(VLOOKUP($A168,koronahun!$A:$AM,13,FALSE),"")</f>
        <v>3.629445617916454E-2</v>
      </c>
      <c r="N168" s="13">
        <f>IFERROR(VLOOKUP($A168,koronahun!$A:$AM,14,FALSE),"")</f>
        <v>0.94497780469081527</v>
      </c>
      <c r="O168">
        <f>IFERROR(VLOOKUP($A168,koronahun!$A:$AM,15,FALSE),"")</f>
        <v>12638</v>
      </c>
      <c r="P168">
        <f>IFERROR(VLOOKUP($A168,koronahun!$A:$AM,16,FALSE),"")</f>
        <v>15524</v>
      </c>
      <c r="Q168" s="13">
        <f>IFERROR(VLOOKUP($A168,koronahun!$A:$AM,17,FALSE),"")</f>
        <v>0.10744653439835095</v>
      </c>
      <c r="R168">
        <f>IFERROR(VLOOKUP($A168,koronahun!$A:$AM,18,FALSE),"")</f>
        <v>30</v>
      </c>
      <c r="S168">
        <f>IFERROR(VLOOKUP($A168,koronahun!$A:$AM,19,FALSE),"")</f>
        <v>515</v>
      </c>
      <c r="T168">
        <f>IFERROR(VLOOKUP($A168,koronahun!$A:$AM,20,FALSE),"")</f>
        <v>1058</v>
      </c>
      <c r="U168">
        <f>IFERROR(VLOOKUP($A168,koronahun!$A:$AM,21,FALSE),"")</f>
        <v>145</v>
      </c>
      <c r="V168" s="13">
        <f>IFERROR(VLOOKUP($A168,koronahun!$A:$AM,22,FALSE),"")</f>
        <v>1.8727739130020168E-2</v>
      </c>
      <c r="W168">
        <f>IFERROR(VLOOKUP($A168,koronahun!$A:$AM,23,FALSE),"")</f>
        <v>59</v>
      </c>
      <c r="X168">
        <f>IFERROR(VLOOKUP($A168,koronahun!$A:$AM,24,FALSE),"")</f>
        <v>1</v>
      </c>
      <c r="Y168" s="14">
        <f>IFERROR(VLOOKUP($A168,koronahun!$A:$AM,25,FALSE),"")</f>
        <v>6.7341353192031064E-2</v>
      </c>
      <c r="Z168" s="14">
        <f>IFERROR(VLOOKUP($A168,koronahun!$A:$AM,26,FALSE),"")</f>
        <v>0.13705103969754254</v>
      </c>
      <c r="AA168" s="14">
        <f>IFERROR(VLOOKUP($A168,koronahun!$A:$AM,27,FALSE),"")</f>
        <v>1.6628095818107997</v>
      </c>
      <c r="AB168" s="14">
        <f>IFERROR(VLOOKUP($A168,koronahun!$A:$AM,28,FALSE),"")</f>
        <v>1.4943236714892392</v>
      </c>
      <c r="AC168" s="14">
        <f>IFERROR(VLOOKUP($A168,koronahun!$A:$AM,29,FALSE),"")</f>
        <v>1170.1428571428571</v>
      </c>
      <c r="AD168" s="14">
        <f>IFERROR(VLOOKUP($A168,koronahun!$A:$AM,30,FALSE),"")</f>
        <v>16.857142857142858</v>
      </c>
      <c r="AE168" s="14">
        <f>IFERROR(VLOOKUP($A168,koronahun!$A:$AM,31,FALSE),"")</f>
        <v>14818.571428571429</v>
      </c>
      <c r="AF168" s="13">
        <f>IFERROR(VLOOKUP($A168,koronahun!$A:$AM,32,FALSE),"")</f>
        <v>8.2060040467119538E-2</v>
      </c>
      <c r="AG168">
        <f>IFERROR(VLOOKUP($A168,koronahun!$A:$AM,33,FALSE),"")</f>
        <v>5929164</v>
      </c>
      <c r="AH168">
        <f>IFERROR(VLOOKUP($A168,koronahun!$A:$AM,34,FALSE),"")</f>
        <v>2718</v>
      </c>
      <c r="AI168">
        <f>IFERROR(VLOOKUP($A168,koronahun!$A:$AM,35,FALSE),"")</f>
        <v>3060.4</v>
      </c>
      <c r="AJ168">
        <f>IFERROR(VLOOKUP($A168,koronahun!$A:$AM,36,FALSE),"")</f>
        <v>5706773</v>
      </c>
      <c r="AK168">
        <f>IFERROR(VLOOKUP($A168,koronahun!$A:$AM,37,FALSE),"")</f>
        <v>3685</v>
      </c>
      <c r="AL168">
        <f>IFERROR(VLOOKUP($A168,koronahun!$A:$AM,38,FALSE),"")</f>
        <v>4235.3999999999996</v>
      </c>
      <c r="AM168" s="14">
        <f>IFERROR(VLOOKUP($A168,koronahun!$A:$AM,39,FALSE),"")</f>
        <v>436</v>
      </c>
      <c r="AN168" s="11">
        <f ca="1">IFERROR(__xludf.DUMMYFUNCTION("""COMPUTED_VALUE"""),44060)</f>
        <v>44060</v>
      </c>
      <c r="AO168" s="12">
        <f ca="1">IFERROR(VLOOKUP(AN168,koronahun!A:B,2,FALSE),"")</f>
        <v>4946</v>
      </c>
      <c r="AP168" s="11">
        <f t="shared" ca="1" si="0"/>
        <v>44060</v>
      </c>
      <c r="AQ168" s="11">
        <f ca="1">IFERROR(__xludf.DUMMYFUNCTION("""COMPUTED_VALUE"""),44060)</f>
        <v>44060</v>
      </c>
      <c r="AR168" s="11">
        <v>44490</v>
      </c>
      <c r="AS168" s="11">
        <f t="shared" si="1"/>
        <v>44490</v>
      </c>
      <c r="AT168" s="11">
        <f ca="1">IFERROR(__xludf.DUMMYFUNCTION("""COMPUTED_VALUE"""),44489)</f>
        <v>44489</v>
      </c>
    </row>
    <row r="169" spans="1:46" ht="13">
      <c r="A169" s="11">
        <v>44488</v>
      </c>
      <c r="B169">
        <f>IFERROR(VLOOKUP($A169,koronahun!$A:$AM,2,FALSE),"")</f>
        <v>837248</v>
      </c>
      <c r="C169">
        <f>IFERROR(VLOOKUP($A169,koronahun!$A:$AM,3,FALSE),"")</f>
        <v>859</v>
      </c>
      <c r="D169">
        <f>IFERROR(VLOOKUP($A169,koronahun!$A:$AM,4,FALSE),"")</f>
        <v>30418</v>
      </c>
      <c r="E169">
        <f>IFERROR(VLOOKUP($A169,koronahun!$A:$AM,5,FALSE),"")</f>
        <v>792242</v>
      </c>
      <c r="F169">
        <f>IFERROR(VLOOKUP($A169,koronahun!$A:$AM,6,FALSE),"")</f>
        <v>7182085</v>
      </c>
      <c r="G169" s="12">
        <f>IFERROR(VLOOKUP($A169,koronahun!$A:$AM,7,FALSE),"")</f>
        <v>732865.81632653053</v>
      </c>
      <c r="H169">
        <f>IFERROR(VLOOKUP($A169,koronahun!$A:$AM,8,FALSE),"")</f>
        <v>0</v>
      </c>
      <c r="I169" s="13">
        <f>IFERROR(VLOOKUP($A169,koronahun!$A:$AM,9,FALSE),"")</f>
        <v>1.0270340714667457E-3</v>
      </c>
      <c r="J169" s="13">
        <f>IFERROR(VLOOKUP($A169,koronahun!$A:$AM,10,FALSE),"")</f>
        <v>0.11657450447885259</v>
      </c>
      <c r="K169" s="13">
        <f>IFERROR(VLOOKUP($A169,koronahun!$A:$AM,11,FALSE),"")</f>
        <v>1.356876885451678E-3</v>
      </c>
      <c r="L169">
        <f>IFERROR(VLOOKUP($A169,koronahun!$A:$AM,12,FALSE),"")</f>
        <v>14588</v>
      </c>
      <c r="M169" s="13">
        <f>IFERROR(VLOOKUP($A169,koronahun!$A:$AM,13,FALSE),"")</f>
        <v>3.6330931814707229E-2</v>
      </c>
      <c r="N169" s="13">
        <f>IFERROR(VLOOKUP($A169,koronahun!$A:$AM,14,FALSE),"")</f>
        <v>0.94624531799419054</v>
      </c>
      <c r="O169">
        <f>IFERROR(VLOOKUP($A169,koronahun!$A:$AM,15,FALSE),"")</f>
        <v>9982</v>
      </c>
      <c r="P169">
        <f>IFERROR(VLOOKUP($A169,koronahun!$A:$AM,16,FALSE),"")</f>
        <v>9732</v>
      </c>
      <c r="Q169" s="13">
        <f>IFERROR(VLOOKUP($A169,koronahun!$A:$AM,17,FALSE),"")</f>
        <v>8.8265515824085497E-2</v>
      </c>
      <c r="R169">
        <f>IFERROR(VLOOKUP($A169,koronahun!$A:$AM,18,FALSE),"")</f>
        <v>16</v>
      </c>
      <c r="S169">
        <f>IFERROR(VLOOKUP($A169,koronahun!$A:$AM,19,FALSE),"")</f>
        <v>244</v>
      </c>
      <c r="T169">
        <f>IFERROR(VLOOKUP($A169,koronahun!$A:$AM,20,FALSE),"")</f>
        <v>999</v>
      </c>
      <c r="U169">
        <f>IFERROR(VLOOKUP($A169,koronahun!$A:$AM,21,FALSE),"")</f>
        <v>144</v>
      </c>
      <c r="V169" s="13">
        <f>IFERROR(VLOOKUP($A169,koronahun!$A:$AM,22,FALSE),"")</f>
        <v>1.7423750191102278E-2</v>
      </c>
      <c r="W169">
        <f>IFERROR(VLOOKUP($A169,koronahun!$A:$AM,23,FALSE),"")</f>
        <v>91</v>
      </c>
      <c r="X169">
        <f>IFERROR(VLOOKUP($A169,koronahun!$A:$AM,24,FALSE),"")</f>
        <v>18</v>
      </c>
      <c r="Y169" s="14">
        <f>IFERROR(VLOOKUP($A169,koronahun!$A:$AM,25,FALSE),"")</f>
        <v>6.8480943241020012E-2</v>
      </c>
      <c r="Z169" s="14">
        <f>IFERROR(VLOOKUP($A169,koronahun!$A:$AM,26,FALSE),"")</f>
        <v>0.14414414414414414</v>
      </c>
      <c r="AA169" s="14">
        <f>IFERROR(VLOOKUP($A169,koronahun!$A:$AM,27,FALSE),"")</f>
        <v>1.5475638051044083</v>
      </c>
      <c r="AB169" s="14">
        <f>IFERROR(VLOOKUP($A169,koronahun!$A:$AM,28,FALSE),"")</f>
        <v>1.4261030483924402</v>
      </c>
      <c r="AC169" s="14">
        <f>IFERROR(VLOOKUP($A169,koronahun!$A:$AM,29,FALSE),"")</f>
        <v>1048.1428571428571</v>
      </c>
      <c r="AD169" s="14">
        <f>IFERROR(VLOOKUP($A169,koronahun!$A:$AM,30,FALSE),"")</f>
        <v>14</v>
      </c>
      <c r="AE169" s="14">
        <f>IFERROR(VLOOKUP($A169,koronahun!$A:$AM,31,FALSE),"")</f>
        <v>14611.571428571429</v>
      </c>
      <c r="AF169" s="13">
        <f>IFERROR(VLOOKUP($A169,koronahun!$A:$AM,32,FALSE),"")</f>
        <v>7.2137341047484871E-2</v>
      </c>
      <c r="AG169">
        <f>IFERROR(VLOOKUP($A169,koronahun!$A:$AM,33,FALSE),"")</f>
        <v>5926446</v>
      </c>
      <c r="AH169">
        <f>IFERROR(VLOOKUP($A169,koronahun!$A:$AM,34,FALSE),"")</f>
        <v>2383</v>
      </c>
      <c r="AI169">
        <f>IFERROR(VLOOKUP($A169,koronahun!$A:$AM,35,FALSE),"")</f>
        <v>2941.8</v>
      </c>
      <c r="AJ169">
        <f>IFERROR(VLOOKUP($A169,koronahun!$A:$AM,36,FALSE),"")</f>
        <v>5703088</v>
      </c>
      <c r="AK169">
        <f>IFERROR(VLOOKUP($A169,koronahun!$A:$AM,37,FALSE),"")</f>
        <v>3067</v>
      </c>
      <c r="AL169">
        <f>IFERROR(VLOOKUP($A169,koronahun!$A:$AM,38,FALSE),"")</f>
        <v>4138.3999999999996</v>
      </c>
      <c r="AM169" s="14">
        <f>IFERROR(VLOOKUP($A169,koronahun!$A:$AM,39,FALSE),"")</f>
        <v>417.14285714285717</v>
      </c>
      <c r="AN169" s="11">
        <f ca="1">IFERROR(__xludf.DUMMYFUNCTION("""COMPUTED_VALUE"""),44061)</f>
        <v>44061</v>
      </c>
      <c r="AO169" s="12">
        <f ca="1">IFERROR(VLOOKUP(AN169,koronahun!A:B,2,FALSE),"")</f>
        <v>4970</v>
      </c>
      <c r="AP169" s="11">
        <f t="shared" ca="1" si="0"/>
        <v>44061</v>
      </c>
      <c r="AQ169" s="11">
        <f ca="1">IFERROR(__xludf.DUMMYFUNCTION("""COMPUTED_VALUE"""),44061)</f>
        <v>44061</v>
      </c>
      <c r="AR169" s="11">
        <v>44489</v>
      </c>
      <c r="AS169" s="11">
        <f t="shared" si="1"/>
        <v>44489</v>
      </c>
      <c r="AT169" s="11">
        <f ca="1">IFERROR(__xludf.DUMMYFUNCTION("""COMPUTED_VALUE"""),44488)</f>
        <v>44488</v>
      </c>
    </row>
    <row r="170" spans="1:46" ht="13">
      <c r="A170" s="11">
        <v>44487</v>
      </c>
      <c r="B170">
        <f>IFERROR(VLOOKUP($A170,koronahun!$A:$AM,2,FALSE),"")</f>
        <v>836389</v>
      </c>
      <c r="C170">
        <f>IFERROR(VLOOKUP($A170,koronahun!$A:$AM,3,FALSE),"")</f>
        <v>3274</v>
      </c>
      <c r="D170">
        <f>IFERROR(VLOOKUP($A170,koronahun!$A:$AM,4,FALSE),"")</f>
        <v>30402</v>
      </c>
      <c r="E170">
        <f>IFERROR(VLOOKUP($A170,koronahun!$A:$AM,5,FALSE),"")</f>
        <v>791998</v>
      </c>
      <c r="F170">
        <f>IFERROR(VLOOKUP($A170,koronahun!$A:$AM,6,FALSE),"")</f>
        <v>7172353</v>
      </c>
      <c r="G170" s="12">
        <f>IFERROR(VLOOKUP($A170,koronahun!$A:$AM,7,FALSE),"")</f>
        <v>731872.75510204071</v>
      </c>
      <c r="H170">
        <f>IFERROR(VLOOKUP($A170,koronahun!$A:$AM,8,FALSE),"")</f>
        <v>0</v>
      </c>
      <c r="I170" s="13">
        <f>IFERROR(VLOOKUP($A170,koronahun!$A:$AM,9,FALSE),"")</f>
        <v>3.9298296153592238E-3</v>
      </c>
      <c r="J170" s="13">
        <f>IFERROR(VLOOKUP($A170,koronahun!$A:$AM,10,FALSE),"")</f>
        <v>0.11661291629120876</v>
      </c>
      <c r="K170" s="13">
        <f>IFERROR(VLOOKUP($A170,koronahun!$A:$AM,11,FALSE),"")</f>
        <v>6.2633019581324152E-3</v>
      </c>
      <c r="L170">
        <f>IFERROR(VLOOKUP($A170,koronahun!$A:$AM,12,FALSE),"")</f>
        <v>13989</v>
      </c>
      <c r="M170" s="13">
        <f>IFERROR(VLOOKUP($A170,koronahun!$A:$AM,13,FALSE),"")</f>
        <v>3.6349115064880096E-2</v>
      </c>
      <c r="N170" s="13">
        <f>IFERROR(VLOOKUP($A170,koronahun!$A:$AM,14,FALSE),"")</f>
        <v>0.94692541389233953</v>
      </c>
      <c r="O170">
        <f>IFERROR(VLOOKUP($A170,koronahun!$A:$AM,15,FALSE),"")</f>
        <v>9262</v>
      </c>
      <c r="P170">
        <f>IFERROR(VLOOKUP($A170,koronahun!$A:$AM,16,FALSE),"")</f>
        <v>44643</v>
      </c>
      <c r="Q170" s="13">
        <f>IFERROR(VLOOKUP($A170,koronahun!$A:$AM,17,FALSE),"")</f>
        <v>7.3337365320430975E-2</v>
      </c>
      <c r="R170">
        <f>IFERROR(VLOOKUP($A170,koronahun!$A:$AM,18,FALSE),"")</f>
        <v>51</v>
      </c>
      <c r="S170">
        <f>IFERROR(VLOOKUP($A170,koronahun!$A:$AM,19,FALSE),"")</f>
        <v>1352</v>
      </c>
      <c r="T170">
        <f>IFERROR(VLOOKUP($A170,koronahun!$A:$AM,20,FALSE),"")</f>
        <v>908</v>
      </c>
      <c r="U170">
        <f>IFERROR(VLOOKUP($A170,koronahun!$A:$AM,21,FALSE),"")</f>
        <v>126</v>
      </c>
      <c r="V170" s="13">
        <f>IFERROR(VLOOKUP($A170,koronahun!$A:$AM,22,FALSE),"")</f>
        <v>1.6725471042780334E-2</v>
      </c>
      <c r="W170">
        <f>IFERROR(VLOOKUP($A170,koronahun!$A:$AM,23,FALSE),"")</f>
        <v>108</v>
      </c>
      <c r="X170">
        <f>IFERROR(VLOOKUP($A170,koronahun!$A:$AM,24,FALSE),"")</f>
        <v>2</v>
      </c>
      <c r="Y170" s="14">
        <f>IFERROR(VLOOKUP($A170,koronahun!$A:$AM,25,FALSE),"")</f>
        <v>6.4908142111659156E-2</v>
      </c>
      <c r="Z170" s="14">
        <f>IFERROR(VLOOKUP($A170,koronahun!$A:$AM,26,FALSE),"")</f>
        <v>0.13876651982378854</v>
      </c>
      <c r="AA170" s="14">
        <f>IFERROR(VLOOKUP($A170,koronahun!$A:$AM,27,FALSE),"")</f>
        <v>1.5137554585152839</v>
      </c>
      <c r="AB170" s="14">
        <f>IFERROR(VLOOKUP($A170,koronahun!$A:$AM,28,FALSE),"")</f>
        <v>1.3767988493913168</v>
      </c>
      <c r="AC170" s="14">
        <f>IFERROR(VLOOKUP($A170,koronahun!$A:$AM,29,FALSE),"")</f>
        <v>990.42857142857144</v>
      </c>
      <c r="AD170" s="14">
        <f>IFERROR(VLOOKUP($A170,koronahun!$A:$AM,30,FALSE),"")</f>
        <v>14.142857142857142</v>
      </c>
      <c r="AE170" s="14">
        <f>IFERROR(VLOOKUP($A170,koronahun!$A:$AM,31,FALSE),"")</f>
        <v>14378.714285714286</v>
      </c>
      <c r="AF170" s="13">
        <f>IFERROR(VLOOKUP($A170,koronahun!$A:$AM,32,FALSE),"")</f>
        <v>6.5716032501280469E-2</v>
      </c>
      <c r="AG170">
        <f>IFERROR(VLOOKUP($A170,koronahun!$A:$AM,33,FALSE),"")</f>
        <v>5924063</v>
      </c>
      <c r="AH170">
        <f>IFERROR(VLOOKUP($A170,koronahun!$A:$AM,34,FALSE),"")</f>
        <v>4133</v>
      </c>
      <c r="AI170">
        <f>IFERROR(VLOOKUP($A170,koronahun!$A:$AM,35,FALSE),"")</f>
        <v>2848.8</v>
      </c>
      <c r="AJ170">
        <f>IFERROR(VLOOKUP($A170,koronahun!$A:$AM,36,FALSE),"")</f>
        <v>5700021</v>
      </c>
      <c r="AK170">
        <f>IFERROR(VLOOKUP($A170,koronahun!$A:$AM,37,FALSE),"")</f>
        <v>5685</v>
      </c>
      <c r="AL170">
        <f>IFERROR(VLOOKUP($A170,koronahun!$A:$AM,38,FALSE),"")</f>
        <v>4086.4</v>
      </c>
      <c r="AM170" s="14">
        <f>IFERROR(VLOOKUP($A170,koronahun!$A:$AM,39,FALSE),"")</f>
        <v>426.85714285714283</v>
      </c>
      <c r="AN170" s="11">
        <f ca="1">IFERROR(__xludf.DUMMYFUNCTION("""COMPUTED_VALUE"""),44062)</f>
        <v>44062</v>
      </c>
      <c r="AO170" s="12">
        <f ca="1">IFERROR(VLOOKUP(AN170,koronahun!A:B,2,FALSE),"")</f>
        <v>5002</v>
      </c>
      <c r="AP170" s="11">
        <f t="shared" ca="1" si="0"/>
        <v>44062</v>
      </c>
      <c r="AQ170" s="11">
        <f ca="1">IFERROR(__xludf.DUMMYFUNCTION("""COMPUTED_VALUE"""),44062)</f>
        <v>44062</v>
      </c>
      <c r="AR170" s="11">
        <v>44488</v>
      </c>
      <c r="AS170" s="11">
        <f t="shared" si="1"/>
        <v>44488</v>
      </c>
      <c r="AT170" s="11">
        <f ca="1">IFERROR(__xludf.DUMMYFUNCTION("""COMPUTED_VALUE"""),44487)</f>
        <v>44487</v>
      </c>
    </row>
    <row r="171" spans="1:46" ht="13">
      <c r="A171" s="11">
        <v>44484</v>
      </c>
      <c r="B171">
        <f>IFERROR(VLOOKUP($A171,koronahun!$A:$AM,2,FALSE),"")</f>
        <v>833115</v>
      </c>
      <c r="C171">
        <f>IFERROR(VLOOKUP($A171,koronahun!$A:$AM,3,FALSE),"")</f>
        <v>1249</v>
      </c>
      <c r="D171">
        <f>IFERROR(VLOOKUP($A171,koronahun!$A:$AM,4,FALSE),"")</f>
        <v>30351</v>
      </c>
      <c r="E171">
        <f>IFERROR(VLOOKUP($A171,koronahun!$A:$AM,5,FALSE),"")</f>
        <v>790646</v>
      </c>
      <c r="F171">
        <f>IFERROR(VLOOKUP($A171,koronahun!$A:$AM,6,FALSE),"")</f>
        <v>7127710</v>
      </c>
      <c r="G171" s="12">
        <f>IFERROR(VLOOKUP($A171,koronahun!$A:$AM,7,FALSE),"")</f>
        <v>727317.3469387755</v>
      </c>
      <c r="H171">
        <f>IFERROR(VLOOKUP($A171,koronahun!$A:$AM,8,FALSE),"")</f>
        <v>0</v>
      </c>
      <c r="I171" s="13">
        <f>IFERROR(VLOOKUP($A171,koronahun!$A:$AM,9,FALSE),"")</f>
        <v>1.5014437421411622E-3</v>
      </c>
      <c r="J171" s="13">
        <f>IFERROR(VLOOKUP($A171,koronahun!$A:$AM,10,FALSE),"")</f>
        <v>0.11688396413434329</v>
      </c>
      <c r="K171" s="13">
        <f>IFERROR(VLOOKUP($A171,koronahun!$A:$AM,11,FALSE),"")</f>
        <v>2.4688628491414252E-3</v>
      </c>
      <c r="L171">
        <f>IFERROR(VLOOKUP($A171,koronahun!$A:$AM,12,FALSE),"")</f>
        <v>12118</v>
      </c>
      <c r="M171" s="13">
        <f>IFERROR(VLOOKUP($A171,koronahun!$A:$AM,13,FALSE),"")</f>
        <v>3.6430744855152047E-2</v>
      </c>
      <c r="N171" s="13">
        <f>IFERROR(VLOOKUP($A171,koronahun!$A:$AM,14,FALSE),"")</f>
        <v>0.94902384424719277</v>
      </c>
      <c r="O171">
        <f>IFERROR(VLOOKUP($A171,koronahun!$A:$AM,15,FALSE),"")</f>
        <v>10990</v>
      </c>
      <c r="P171">
        <f>IFERROR(VLOOKUP($A171,koronahun!$A:$AM,16,FALSE),"")</f>
        <v>17554</v>
      </c>
      <c r="Q171" s="13">
        <f>IFERROR(VLOOKUP($A171,koronahun!$A:$AM,17,FALSE),"")</f>
        <v>7.1151874216702743E-2</v>
      </c>
      <c r="R171">
        <f>IFERROR(VLOOKUP($A171,koronahun!$A:$AM,18,FALSE),"")</f>
        <v>10</v>
      </c>
      <c r="S171">
        <f>IFERROR(VLOOKUP($A171,koronahun!$A:$AM,19,FALSE),"")</f>
        <v>519</v>
      </c>
      <c r="T171">
        <f>IFERROR(VLOOKUP($A171,koronahun!$A:$AM,20,FALSE),"")</f>
        <v>800</v>
      </c>
      <c r="U171">
        <f>IFERROR(VLOOKUP($A171,koronahun!$A:$AM,21,FALSE),"")</f>
        <v>124</v>
      </c>
      <c r="V171" s="13">
        <f>IFERROR(VLOOKUP($A171,koronahun!$A:$AM,22,FALSE),"")</f>
        <v>1.4545410897655186E-2</v>
      </c>
      <c r="W171">
        <f>IFERROR(VLOOKUP($A171,koronahun!$A:$AM,23,FALSE),"")</f>
        <v>58</v>
      </c>
      <c r="X171">
        <f>IFERROR(VLOOKUP($A171,koronahun!$A:$AM,24,FALSE),"")</f>
        <v>11</v>
      </c>
      <c r="Y171" s="14">
        <f>IFERROR(VLOOKUP($A171,koronahun!$A:$AM,25,FALSE),"")</f>
        <v>6.6017494636078561E-2</v>
      </c>
      <c r="Z171" s="14">
        <f>IFERROR(VLOOKUP($A171,koronahun!$A:$AM,26,FALSE),"")</f>
        <v>0.155</v>
      </c>
      <c r="AA171" s="14">
        <f>IFERROR(VLOOKUP($A171,koronahun!$A:$AM,27,FALSE),"")</f>
        <v>1.4170392449080973</v>
      </c>
      <c r="AB171" s="14">
        <f>IFERROR(VLOOKUP($A171,koronahun!$A:$AM,28,FALSE),"")</f>
        <v>1.3274364160561716</v>
      </c>
      <c r="AC171" s="14">
        <f>IFERROR(VLOOKUP($A171,koronahun!$A:$AM,29,FALSE),"")</f>
        <v>815</v>
      </c>
      <c r="AD171" s="14">
        <f>IFERROR(VLOOKUP($A171,koronahun!$A:$AM,30,FALSE),"")</f>
        <v>10.857142857142858</v>
      </c>
      <c r="AE171" s="14">
        <f>IFERROR(VLOOKUP($A171,koronahun!$A:$AM,31,FALSE),"")</f>
        <v>13625.857142857143</v>
      </c>
      <c r="AF171" s="13">
        <f>IFERROR(VLOOKUP($A171,koronahun!$A:$AM,32,FALSE),"")</f>
        <v>6.1441468283357878E-2</v>
      </c>
      <c r="AG171">
        <f>IFERROR(VLOOKUP($A171,koronahun!$A:$AM,33,FALSE),"")</f>
        <v>5919930</v>
      </c>
      <c r="AH171">
        <f>IFERROR(VLOOKUP($A171,koronahun!$A:$AM,34,FALSE),"")</f>
        <v>3161</v>
      </c>
      <c r="AI171">
        <f>IFERROR(VLOOKUP($A171,koronahun!$A:$AM,35,FALSE),"")</f>
        <v>2818.6</v>
      </c>
      <c r="AJ171">
        <f>IFERROR(VLOOKUP($A171,koronahun!$A:$AM,36,FALSE),"")</f>
        <v>5694336</v>
      </c>
      <c r="AK171">
        <f>IFERROR(VLOOKUP($A171,koronahun!$A:$AM,37,FALSE),"")</f>
        <v>4965</v>
      </c>
      <c r="AL171">
        <f>IFERROR(VLOOKUP($A171,koronahun!$A:$AM,38,FALSE),"")</f>
        <v>4030.8</v>
      </c>
      <c r="AM171" s="14">
        <f>IFERROR(VLOOKUP($A171,koronahun!$A:$AM,39,FALSE),"")</f>
        <v>376</v>
      </c>
      <c r="AN171" s="11">
        <f ca="1">IFERROR(__xludf.DUMMYFUNCTION("""COMPUTED_VALUE"""),44063)</f>
        <v>44063</v>
      </c>
      <c r="AO171" s="12">
        <f ca="1">IFERROR(VLOOKUP(AN171,koronahun!A:B,2,FALSE),"")</f>
        <v>5046</v>
      </c>
      <c r="AP171" s="11">
        <f t="shared" ca="1" si="0"/>
        <v>44063</v>
      </c>
      <c r="AQ171" s="11">
        <f ca="1">IFERROR(__xludf.DUMMYFUNCTION("""COMPUTED_VALUE"""),44063)</f>
        <v>44063</v>
      </c>
      <c r="AR171" s="11">
        <v>44487</v>
      </c>
      <c r="AS171" s="11">
        <f t="shared" si="1"/>
        <v>44487</v>
      </c>
      <c r="AT171" s="11">
        <f ca="1">IFERROR(__xludf.DUMMYFUNCTION("""COMPUTED_VALUE"""),44484)</f>
        <v>44484</v>
      </c>
    </row>
    <row r="172" spans="1:46" ht="13">
      <c r="A172" s="11">
        <v>44483</v>
      </c>
      <c r="B172">
        <f>IFERROR(VLOOKUP($A172,koronahun!$A:$AM,2,FALSE),"")</f>
        <v>831866</v>
      </c>
      <c r="C172">
        <f>IFERROR(VLOOKUP($A172,koronahun!$A:$AM,3,FALSE),"")</f>
        <v>1141</v>
      </c>
      <c r="D172">
        <f>IFERROR(VLOOKUP($A172,koronahun!$A:$AM,4,FALSE),"")</f>
        <v>30341</v>
      </c>
      <c r="E172">
        <f>IFERROR(VLOOKUP($A172,koronahun!$A:$AM,5,FALSE),"")</f>
        <v>790127</v>
      </c>
      <c r="F172">
        <f>IFERROR(VLOOKUP($A172,koronahun!$A:$AM,6,FALSE),"")</f>
        <v>7110156</v>
      </c>
      <c r="G172" s="12">
        <f>IFERROR(VLOOKUP($A172,koronahun!$A:$AM,7,FALSE),"")</f>
        <v>725526.12244897953</v>
      </c>
      <c r="H172">
        <f>IFERROR(VLOOKUP($A172,koronahun!$A:$AM,8,FALSE),"")</f>
        <v>0</v>
      </c>
      <c r="I172" s="13">
        <f>IFERROR(VLOOKUP($A172,koronahun!$A:$AM,9,FALSE),"")</f>
        <v>1.3734990520328629E-3</v>
      </c>
      <c r="J172" s="13">
        <f>IFERROR(VLOOKUP($A172,koronahun!$A:$AM,10,FALSE),"")</f>
        <v>0.11699687039215455</v>
      </c>
      <c r="K172" s="13">
        <f>IFERROR(VLOOKUP($A172,koronahun!$A:$AM,11,FALSE),"")</f>
        <v>2.2945133403036617E-3</v>
      </c>
      <c r="L172">
        <f>IFERROR(VLOOKUP($A172,koronahun!$A:$AM,12,FALSE),"")</f>
        <v>11398</v>
      </c>
      <c r="M172" s="13">
        <f>IFERROR(VLOOKUP($A172,koronahun!$A:$AM,13,FALSE),"")</f>
        <v>3.6473422402165737E-2</v>
      </c>
      <c r="N172" s="13">
        <f>IFERROR(VLOOKUP($A172,koronahun!$A:$AM,14,FALSE),"")</f>
        <v>0.94982485159869501</v>
      </c>
      <c r="O172">
        <f>IFERROR(VLOOKUP($A172,koronahun!$A:$AM,15,FALSE),"")</f>
        <v>9604</v>
      </c>
      <c r="P172">
        <f>IFERROR(VLOOKUP($A172,koronahun!$A:$AM,16,FALSE),"")</f>
        <v>16277</v>
      </c>
      <c r="Q172" s="13">
        <f>IFERROR(VLOOKUP($A172,koronahun!$A:$AM,17,FALSE),"")</f>
        <v>7.0098912576027517E-2</v>
      </c>
      <c r="R172">
        <f>IFERROR(VLOOKUP($A172,koronahun!$A:$AM,18,FALSE),"")</f>
        <v>11</v>
      </c>
      <c r="S172">
        <f>IFERROR(VLOOKUP($A172,koronahun!$A:$AM,19,FALSE),"")</f>
        <v>422</v>
      </c>
      <c r="T172">
        <f>IFERROR(VLOOKUP($A172,koronahun!$A:$AM,20,FALSE),"")</f>
        <v>742</v>
      </c>
      <c r="U172">
        <f>IFERROR(VLOOKUP($A172,koronahun!$A:$AM,21,FALSE),"")</f>
        <v>113</v>
      </c>
      <c r="V172" s="13">
        <f>IFERROR(VLOOKUP($A172,koronahun!$A:$AM,22,FALSE),"")</f>
        <v>1.3701725999139285E-2</v>
      </c>
      <c r="W172">
        <f>IFERROR(VLOOKUP($A172,koronahun!$A:$AM,23,FALSE),"")</f>
        <v>5</v>
      </c>
      <c r="X172">
        <f>IFERROR(VLOOKUP($A172,koronahun!$A:$AM,24,FALSE),"")</f>
        <v>-3</v>
      </c>
      <c r="Y172" s="14">
        <f>IFERROR(VLOOKUP($A172,koronahun!$A:$AM,25,FALSE),"")</f>
        <v>6.5099140200035099E-2</v>
      </c>
      <c r="Z172" s="14">
        <f>IFERROR(VLOOKUP($A172,koronahun!$A:$AM,26,FALSE),"")</f>
        <v>0.15229110512129379</v>
      </c>
      <c r="AA172" s="14">
        <f>IFERROR(VLOOKUP($A172,koronahun!$A:$AM,27,FALSE),"")</f>
        <v>1.3304502671076062</v>
      </c>
      <c r="AB172" s="14">
        <f>IFERROR(VLOOKUP($A172,koronahun!$A:$AM,28,FALSE),"")</f>
        <v>1.2875857358585812</v>
      </c>
      <c r="AC172" s="14">
        <f>IFERROR(VLOOKUP($A172,koronahun!$A:$AM,29,FALSE),"")</f>
        <v>747.14285714285711</v>
      </c>
      <c r="AD172" s="14">
        <f>IFERROR(VLOOKUP($A172,koronahun!$A:$AM,30,FALSE),"")</f>
        <v>11.714285714285714</v>
      </c>
      <c r="AE172" s="14">
        <f>IFERROR(VLOOKUP($A172,koronahun!$A:$AM,31,FALSE),"")</f>
        <v>13363.571428571429</v>
      </c>
      <c r="AF172" s="13">
        <f>IFERROR(VLOOKUP($A172,koronahun!$A:$AM,32,FALSE),"")</f>
        <v>5.7059674684450466E-2</v>
      </c>
      <c r="AG172">
        <f>IFERROR(VLOOKUP($A172,koronahun!$A:$AM,33,FALSE),"")</f>
        <v>5916769</v>
      </c>
      <c r="AH172">
        <f>IFERROR(VLOOKUP($A172,koronahun!$A:$AM,34,FALSE),"")</f>
        <v>2907</v>
      </c>
      <c r="AI172">
        <f>IFERROR(VLOOKUP($A172,koronahun!$A:$AM,35,FALSE),"")</f>
        <v>2792.6</v>
      </c>
      <c r="AJ172">
        <f>IFERROR(VLOOKUP($A172,koronahun!$A:$AM,36,FALSE),"")</f>
        <v>5689371</v>
      </c>
      <c r="AK172">
        <f>IFERROR(VLOOKUP($A172,koronahun!$A:$AM,37,FALSE),"")</f>
        <v>3775</v>
      </c>
      <c r="AL172">
        <f>IFERROR(VLOOKUP($A172,koronahun!$A:$AM,38,FALSE),"")</f>
        <v>3979.6</v>
      </c>
      <c r="AM172" s="14">
        <f>IFERROR(VLOOKUP($A172,koronahun!$A:$AM,39,FALSE),"")</f>
        <v>353.14285714285717</v>
      </c>
      <c r="AN172" s="11">
        <f ca="1">IFERROR(__xludf.DUMMYFUNCTION("""COMPUTED_VALUE"""),44064)</f>
        <v>44064</v>
      </c>
      <c r="AO172" s="12">
        <f ca="1">IFERROR(VLOOKUP(AN172,koronahun!A:B,2,FALSE),"")</f>
        <v>5098</v>
      </c>
      <c r="AP172" s="11">
        <f t="shared" ca="1" si="0"/>
        <v>44064</v>
      </c>
      <c r="AQ172" s="11">
        <f ca="1">IFERROR(__xludf.DUMMYFUNCTION("""COMPUTED_VALUE"""),44064)</f>
        <v>44064</v>
      </c>
      <c r="AR172" s="11">
        <v>44484</v>
      </c>
      <c r="AS172" s="11">
        <f t="shared" si="1"/>
        <v>44484</v>
      </c>
      <c r="AT172" s="11">
        <f ca="1">IFERROR(__xludf.DUMMYFUNCTION("""COMPUTED_VALUE"""),44483)</f>
        <v>44483</v>
      </c>
    </row>
    <row r="173" spans="1:46" ht="13">
      <c r="A173" s="11">
        <v>44482</v>
      </c>
      <c r="B173">
        <f>IFERROR(VLOOKUP($A173,koronahun!$A:$AM,2,FALSE),"")</f>
        <v>830725</v>
      </c>
      <c r="C173">
        <f>IFERROR(VLOOKUP($A173,koronahun!$A:$AM,3,FALSE),"")</f>
        <v>814</v>
      </c>
      <c r="D173">
        <f>IFERROR(VLOOKUP($A173,koronahun!$A:$AM,4,FALSE),"")</f>
        <v>30330</v>
      </c>
      <c r="E173">
        <f>IFERROR(VLOOKUP($A173,koronahun!$A:$AM,5,FALSE),"")</f>
        <v>789705</v>
      </c>
      <c r="F173">
        <f>IFERROR(VLOOKUP($A173,koronahun!$A:$AM,6,FALSE),"")</f>
        <v>7093879</v>
      </c>
      <c r="G173" s="12">
        <f>IFERROR(VLOOKUP($A173,koronahun!$A:$AM,7,FALSE),"")</f>
        <v>723865.20408163255</v>
      </c>
      <c r="H173">
        <f>IFERROR(VLOOKUP($A173,koronahun!$A:$AM,8,FALSE),"")</f>
        <v>0</v>
      </c>
      <c r="I173" s="13">
        <f>IFERROR(VLOOKUP($A173,koronahun!$A:$AM,9,FALSE),"")</f>
        <v>9.8082806469609396E-4</v>
      </c>
      <c r="J173" s="13">
        <f>IFERROR(VLOOKUP($A173,koronahun!$A:$AM,10,FALSE),"")</f>
        <v>0.11710447838199665</v>
      </c>
      <c r="K173" s="13">
        <f>IFERROR(VLOOKUP($A173,koronahun!$A:$AM,11,FALSE),"")</f>
        <v>1.9880493866779362E-3</v>
      </c>
      <c r="L173">
        <f>IFERROR(VLOOKUP($A173,koronahun!$A:$AM,12,FALSE),"")</f>
        <v>10690</v>
      </c>
      <c r="M173" s="13">
        <f>IFERROR(VLOOKUP($A173,koronahun!$A:$AM,13,FALSE),"")</f>
        <v>3.6510277167534383E-2</v>
      </c>
      <c r="N173" s="13">
        <f>IFERROR(VLOOKUP($A173,koronahun!$A:$AM,14,FALSE),"")</f>
        <v>0.95062144512323576</v>
      </c>
      <c r="O173">
        <f>IFERROR(VLOOKUP($A173,koronahun!$A:$AM,15,FALSE),"")</f>
        <v>8112</v>
      </c>
      <c r="P173">
        <f>IFERROR(VLOOKUP($A173,koronahun!$A:$AM,16,FALSE),"")</f>
        <v>14075</v>
      </c>
      <c r="Q173" s="13">
        <f>IFERROR(VLOOKUP($A173,koronahun!$A:$AM,17,FALSE),"")</f>
        <v>5.7833037300177623E-2</v>
      </c>
      <c r="R173">
        <f>IFERROR(VLOOKUP($A173,koronahun!$A:$AM,18,FALSE),"")</f>
        <v>10</v>
      </c>
      <c r="S173">
        <f>IFERROR(VLOOKUP($A173,koronahun!$A:$AM,19,FALSE),"")</f>
        <v>383</v>
      </c>
      <c r="T173">
        <f>IFERROR(VLOOKUP($A173,koronahun!$A:$AM,20,FALSE),"")</f>
        <v>737</v>
      </c>
      <c r="U173">
        <f>IFERROR(VLOOKUP($A173,koronahun!$A:$AM,21,FALSE),"")</f>
        <v>116</v>
      </c>
      <c r="V173" s="13">
        <f>IFERROR(VLOOKUP($A173,koronahun!$A:$AM,22,FALSE),"")</f>
        <v>1.2868277709229889E-2</v>
      </c>
      <c r="W173">
        <f>IFERROR(VLOOKUP($A173,koronahun!$A:$AM,23,FALSE),"")</f>
        <v>4</v>
      </c>
      <c r="X173">
        <f>IFERROR(VLOOKUP($A173,koronahun!$A:$AM,24,FALSE),"")</f>
        <v>6</v>
      </c>
      <c r="Y173" s="14">
        <f>IFERROR(VLOOKUP($A173,koronahun!$A:$AM,25,FALSE),"")</f>
        <v>6.8942937324602438E-2</v>
      </c>
      <c r="Z173" s="14">
        <f>IFERROR(VLOOKUP($A173,koronahun!$A:$AM,26,FALSE),"")</f>
        <v>0.15739484396200815</v>
      </c>
      <c r="AA173" s="14">
        <f>IFERROR(VLOOKUP($A173,koronahun!$A:$AM,27,FALSE),"")</f>
        <v>1.3217064663268043</v>
      </c>
      <c r="AB173" s="14">
        <f>IFERROR(VLOOKUP($A173,koronahun!$A:$AM,28,FALSE),"")</f>
        <v>1.2704507172692323</v>
      </c>
      <c r="AC173" s="14">
        <f>IFERROR(VLOOKUP($A173,koronahun!$A:$AM,29,FALSE),"")</f>
        <v>703.71428571428567</v>
      </c>
      <c r="AD173" s="14">
        <f>IFERROR(VLOOKUP($A173,koronahun!$A:$AM,30,FALSE),"")</f>
        <v>11</v>
      </c>
      <c r="AE173" s="14">
        <f>IFERROR(VLOOKUP($A173,koronahun!$A:$AM,31,FALSE),"")</f>
        <v>13351.714285714286</v>
      </c>
      <c r="AF173" s="13">
        <f>IFERROR(VLOOKUP($A173,koronahun!$A:$AM,32,FALSE),"")</f>
        <v>5.3377054081064156E-2</v>
      </c>
      <c r="AG173">
        <f>IFERROR(VLOOKUP($A173,koronahun!$A:$AM,33,FALSE),"")</f>
        <v>5913862</v>
      </c>
      <c r="AH173">
        <f>IFERROR(VLOOKUP($A173,koronahun!$A:$AM,34,FALSE),"")</f>
        <v>2125</v>
      </c>
      <c r="AI173">
        <f>IFERROR(VLOOKUP($A173,koronahun!$A:$AM,35,FALSE),"")</f>
        <v>2768.6</v>
      </c>
      <c r="AJ173">
        <f>IFERROR(VLOOKUP($A173,koronahun!$A:$AM,36,FALSE),"")</f>
        <v>5685596</v>
      </c>
      <c r="AK173">
        <f>IFERROR(VLOOKUP($A173,koronahun!$A:$AM,37,FALSE),"")</f>
        <v>3200</v>
      </c>
      <c r="AL173">
        <f>IFERROR(VLOOKUP($A173,koronahun!$A:$AM,38,FALSE),"")</f>
        <v>4091</v>
      </c>
      <c r="AM173" s="14">
        <f>IFERROR(VLOOKUP($A173,koronahun!$A:$AM,39,FALSE),"")</f>
        <v>353.57142857142856</v>
      </c>
      <c r="AN173" s="11">
        <f ca="1">IFERROR(__xludf.DUMMYFUNCTION("""COMPUTED_VALUE"""),44065)</f>
        <v>44065</v>
      </c>
      <c r="AO173" s="12">
        <f ca="1">IFERROR(VLOOKUP(AN173,koronahun!A:B,2,FALSE),"")</f>
        <v>5133</v>
      </c>
      <c r="AP173" s="11">
        <f t="shared" ca="1" si="0"/>
        <v>44065</v>
      </c>
      <c r="AQ173" s="11">
        <f ca="1">IFERROR(__xludf.DUMMYFUNCTION("""COMPUTED_VALUE"""),44065)</f>
        <v>44065</v>
      </c>
      <c r="AR173" s="11">
        <v>44483</v>
      </c>
      <c r="AS173" s="11">
        <f t="shared" si="1"/>
        <v>44483</v>
      </c>
      <c r="AT173" s="11">
        <f ca="1">IFERROR(__xludf.DUMMYFUNCTION("""COMPUTED_VALUE"""),44482)</f>
        <v>44482</v>
      </c>
    </row>
    <row r="174" spans="1:46" ht="13">
      <c r="A174" s="11">
        <v>44481</v>
      </c>
      <c r="B174">
        <f>IFERROR(VLOOKUP($A174,koronahun!$A:$AM,2,FALSE),"")</f>
        <v>829911</v>
      </c>
      <c r="C174">
        <f>IFERROR(VLOOKUP($A174,koronahun!$A:$AM,3,FALSE),"")</f>
        <v>455</v>
      </c>
      <c r="D174">
        <f>IFERROR(VLOOKUP($A174,koronahun!$A:$AM,4,FALSE),"")</f>
        <v>30320</v>
      </c>
      <c r="E174">
        <f>IFERROR(VLOOKUP($A174,koronahun!$A:$AM,5,FALSE),"")</f>
        <v>789322</v>
      </c>
      <c r="F174">
        <f>IFERROR(VLOOKUP($A174,koronahun!$A:$AM,6,FALSE),"")</f>
        <v>7079804</v>
      </c>
      <c r="G174" s="12">
        <f>IFERROR(VLOOKUP($A174,koronahun!$A:$AM,7,FALSE),"")</f>
        <v>722428.97959183669</v>
      </c>
      <c r="H174">
        <f>IFERROR(VLOOKUP($A174,koronahun!$A:$AM,8,FALSE),"")</f>
        <v>0</v>
      </c>
      <c r="I174" s="13">
        <f>IFERROR(VLOOKUP($A174,koronahun!$A:$AM,9,FALSE),"")</f>
        <v>5.4855230416079941E-4</v>
      </c>
      <c r="J174" s="13">
        <f>IFERROR(VLOOKUP($A174,koronahun!$A:$AM,10,FALSE),"")</f>
        <v>0.11722231293408687</v>
      </c>
      <c r="K174" s="13">
        <f>IFERROR(VLOOKUP($A174,koronahun!$A:$AM,11,FALSE),"")</f>
        <v>1.1456930736051944E-3</v>
      </c>
      <c r="L174">
        <f>IFERROR(VLOOKUP($A174,koronahun!$A:$AM,12,FALSE),"")</f>
        <v>10269</v>
      </c>
      <c r="M174" s="13">
        <f>IFERROR(VLOOKUP($A174,koronahun!$A:$AM,13,FALSE),"")</f>
        <v>3.6534037987205857E-2</v>
      </c>
      <c r="N174" s="13">
        <f>IFERROR(VLOOKUP($A174,koronahun!$A:$AM,14,FALSE),"")</f>
        <v>0.95109234604674475</v>
      </c>
      <c r="O174">
        <f>IFERROR(VLOOKUP($A174,koronahun!$A:$AM,15,FALSE),"")</f>
        <v>6692</v>
      </c>
      <c r="P174">
        <f>IFERROR(VLOOKUP($A174,koronahun!$A:$AM,16,FALSE),"")</f>
        <v>8102</v>
      </c>
      <c r="Q174" s="13">
        <f>IFERROR(VLOOKUP($A174,koronahun!$A:$AM,17,FALSE),"")</f>
        <v>5.615897309306344E-2</v>
      </c>
      <c r="R174">
        <f>IFERROR(VLOOKUP($A174,koronahun!$A:$AM,18,FALSE),"")</f>
        <v>17</v>
      </c>
      <c r="S174">
        <f>IFERROR(VLOOKUP($A174,koronahun!$A:$AM,19,FALSE),"")</f>
        <v>312</v>
      </c>
      <c r="T174">
        <f>IFERROR(VLOOKUP($A174,koronahun!$A:$AM,20,FALSE),"")</f>
        <v>733</v>
      </c>
      <c r="U174">
        <f>IFERROR(VLOOKUP($A174,koronahun!$A:$AM,21,FALSE),"")</f>
        <v>110</v>
      </c>
      <c r="V174" s="13">
        <f>IFERROR(VLOOKUP($A174,koronahun!$A:$AM,22,FALSE),"")</f>
        <v>1.2373615966049372E-2</v>
      </c>
      <c r="W174">
        <f>IFERROR(VLOOKUP($A174,koronahun!$A:$AM,23,FALSE),"")</f>
        <v>18</v>
      </c>
      <c r="X174">
        <f>IFERROR(VLOOKUP($A174,koronahun!$A:$AM,24,FALSE),"")</f>
        <v>1</v>
      </c>
      <c r="Y174" s="14">
        <f>IFERROR(VLOOKUP($A174,koronahun!$A:$AM,25,FALSE),"")</f>
        <v>7.1379881195832121E-2</v>
      </c>
      <c r="Z174" s="14">
        <f>IFERROR(VLOOKUP($A174,koronahun!$A:$AM,26,FALSE),"")</f>
        <v>0.15006821282401092</v>
      </c>
      <c r="AA174" s="14">
        <f>IFERROR(VLOOKUP($A174,koronahun!$A:$AM,27,FALSE),"")</f>
        <v>1.3010428100987925</v>
      </c>
      <c r="AB174" s="14">
        <f>IFERROR(VLOOKUP($A174,koronahun!$A:$AM,28,FALSE),"")</f>
        <v>1.2504227638924323</v>
      </c>
      <c r="AC174" s="14">
        <f>IFERROR(VLOOKUP($A174,koronahun!$A:$AM,29,FALSE),"")</f>
        <v>677.28571428571433</v>
      </c>
      <c r="AD174" s="14">
        <f>IFERROR(VLOOKUP($A174,koronahun!$A:$AM,30,FALSE),"")</f>
        <v>10.571428571428571</v>
      </c>
      <c r="AE174" s="14">
        <f>IFERROR(VLOOKUP($A174,koronahun!$A:$AM,31,FALSE),"")</f>
        <v>13070.571428571429</v>
      </c>
      <c r="AF174" s="13">
        <f>IFERROR(VLOOKUP($A174,koronahun!$A:$AM,32,FALSE),"")</f>
        <v>5.2201129696935133E-2</v>
      </c>
      <c r="AG174">
        <f>IFERROR(VLOOKUP($A174,koronahun!$A:$AM,33,FALSE),"")</f>
        <v>5911737</v>
      </c>
      <c r="AH174">
        <f>IFERROR(VLOOKUP($A174,koronahun!$A:$AM,34,FALSE),"")</f>
        <v>1918</v>
      </c>
      <c r="AI174">
        <f>IFERROR(VLOOKUP($A174,koronahun!$A:$AM,35,FALSE),"")</f>
        <v>2861</v>
      </c>
      <c r="AJ174">
        <f>IFERROR(VLOOKUP($A174,koronahun!$A:$AM,36,FALSE),"")</f>
        <v>5682396</v>
      </c>
      <c r="AK174">
        <f>IFERROR(VLOOKUP($A174,koronahun!$A:$AM,37,FALSE),"")</f>
        <v>2807</v>
      </c>
      <c r="AL174">
        <f>IFERROR(VLOOKUP($A174,koronahun!$A:$AM,38,FALSE),"")</f>
        <v>4214.3999999999996</v>
      </c>
      <c r="AM174" s="14">
        <f>IFERROR(VLOOKUP($A174,koronahun!$A:$AM,39,FALSE),"")</f>
        <v>348.42857142857144</v>
      </c>
      <c r="AN174" s="11">
        <f ca="1">IFERROR(__xludf.DUMMYFUNCTION("""COMPUTED_VALUE"""),44066)</f>
        <v>44066</v>
      </c>
      <c r="AO174" s="12">
        <f ca="1">IFERROR(VLOOKUP(AN174,koronahun!A:B,2,FALSE),"")</f>
        <v>5155</v>
      </c>
      <c r="AP174" s="11">
        <f t="shared" ca="1" si="0"/>
        <v>44066</v>
      </c>
      <c r="AQ174" s="11">
        <f ca="1">IFERROR(__xludf.DUMMYFUNCTION("""COMPUTED_VALUE"""),44066)</f>
        <v>44066</v>
      </c>
      <c r="AR174" s="11">
        <v>44482</v>
      </c>
      <c r="AS174" s="11">
        <f t="shared" si="1"/>
        <v>44482</v>
      </c>
      <c r="AT174" s="11">
        <f ca="1">IFERROR(__xludf.DUMMYFUNCTION("""COMPUTED_VALUE"""),44481)</f>
        <v>44481</v>
      </c>
    </row>
    <row r="175" spans="1:46" ht="13">
      <c r="A175" s="11">
        <v>44480</v>
      </c>
      <c r="B175">
        <f>IFERROR(VLOOKUP($A175,koronahun!$A:$AM,2,FALSE),"")</f>
        <v>829456</v>
      </c>
      <c r="C175">
        <f>IFERROR(VLOOKUP($A175,koronahun!$A:$AM,3,FALSE),"")</f>
        <v>2046</v>
      </c>
      <c r="D175">
        <f>IFERROR(VLOOKUP($A175,koronahun!$A:$AM,4,FALSE),"")</f>
        <v>30303</v>
      </c>
      <c r="E175">
        <f>IFERROR(VLOOKUP($A175,koronahun!$A:$AM,5,FALSE),"")</f>
        <v>789010</v>
      </c>
      <c r="F175">
        <f>IFERROR(VLOOKUP($A175,koronahun!$A:$AM,6,FALSE),"")</f>
        <v>7071702</v>
      </c>
      <c r="G175" s="12">
        <f>IFERROR(VLOOKUP($A175,koronahun!$A:$AM,7,FALSE),"")</f>
        <v>721602.24489795917</v>
      </c>
      <c r="H175">
        <f>IFERROR(VLOOKUP($A175,koronahun!$A:$AM,8,FALSE),"")</f>
        <v>0</v>
      </c>
      <c r="I175" s="13">
        <f>IFERROR(VLOOKUP($A175,koronahun!$A:$AM,9,FALSE),"")</f>
        <v>2.472776495328797E-3</v>
      </c>
      <c r="J175" s="13">
        <f>IFERROR(VLOOKUP($A175,koronahun!$A:$AM,10,FALSE),"")</f>
        <v>0.11729227277959393</v>
      </c>
      <c r="K175" s="13">
        <f>IFERROR(VLOOKUP($A175,koronahun!$A:$AM,11,FALSE),"")</f>
        <v>5.598856367499302E-3</v>
      </c>
      <c r="L175">
        <f>IFERROR(VLOOKUP($A175,koronahun!$A:$AM,12,FALSE),"")</f>
        <v>10143</v>
      </c>
      <c r="M175" s="13">
        <f>IFERROR(VLOOKUP($A175,koronahun!$A:$AM,13,FALSE),"")</f>
        <v>3.6533583457109241E-2</v>
      </c>
      <c r="N175" s="13">
        <f>IFERROR(VLOOKUP($A175,koronahun!$A:$AM,14,FALSE),"")</f>
        <v>0.95123791979321382</v>
      </c>
      <c r="O175">
        <f>IFERROR(VLOOKUP($A175,koronahun!$A:$AM,15,FALSE),"")</f>
        <v>5339</v>
      </c>
      <c r="P175">
        <f>IFERROR(VLOOKUP($A175,koronahun!$A:$AM,16,FALSE),"")</f>
        <v>39373</v>
      </c>
      <c r="Q175" s="13">
        <f>IFERROR(VLOOKUP($A175,koronahun!$A:$AM,17,FALSE),"")</f>
        <v>5.1964544230818074E-2</v>
      </c>
      <c r="R175">
        <f>IFERROR(VLOOKUP($A175,koronahun!$A:$AM,18,FALSE),"")</f>
        <v>28</v>
      </c>
      <c r="S175">
        <f>IFERROR(VLOOKUP($A175,koronahun!$A:$AM,19,FALSE),"")</f>
        <v>996</v>
      </c>
      <c r="T175">
        <f>IFERROR(VLOOKUP($A175,koronahun!$A:$AM,20,FALSE),"")</f>
        <v>715</v>
      </c>
      <c r="U175">
        <f>IFERROR(VLOOKUP($A175,koronahun!$A:$AM,21,FALSE),"")</f>
        <v>109</v>
      </c>
      <c r="V175" s="13">
        <f>IFERROR(VLOOKUP($A175,koronahun!$A:$AM,22,FALSE),"")</f>
        <v>1.2228496749676897E-2</v>
      </c>
      <c r="W175">
        <f>IFERROR(VLOOKUP($A175,koronahun!$A:$AM,23,FALSE),"")</f>
        <v>65</v>
      </c>
      <c r="X175">
        <f>IFERROR(VLOOKUP($A175,koronahun!$A:$AM,24,FALSE),"")</f>
        <v>9</v>
      </c>
      <c r="Y175" s="14">
        <f>IFERROR(VLOOKUP($A175,koronahun!$A:$AM,25,FALSE),"")</f>
        <v>7.0491964901902793E-2</v>
      </c>
      <c r="Z175" s="14">
        <f>IFERROR(VLOOKUP($A175,koronahun!$A:$AM,26,FALSE),"")</f>
        <v>0.15244755244755245</v>
      </c>
      <c r="AA175" s="14">
        <f>IFERROR(VLOOKUP($A175,koronahun!$A:$AM,27,FALSE),"")</f>
        <v>1.2669432918395573</v>
      </c>
      <c r="AB175" s="14">
        <f>IFERROR(VLOOKUP($A175,koronahun!$A:$AM,28,FALSE),"")</f>
        <v>1.2326626383330865</v>
      </c>
      <c r="AC175" s="14">
        <f>IFERROR(VLOOKUP($A175,koronahun!$A:$AM,29,FALSE),"")</f>
        <v>654.28571428571433</v>
      </c>
      <c r="AD175" s="14">
        <f>IFERROR(VLOOKUP($A175,koronahun!$A:$AM,30,FALSE),"")</f>
        <v>10.428571428571429</v>
      </c>
      <c r="AE175" s="14">
        <f>IFERROR(VLOOKUP($A175,koronahun!$A:$AM,31,FALSE),"")</f>
        <v>13073.428571428571</v>
      </c>
      <c r="AF175" s="13">
        <f>IFERROR(VLOOKUP($A175,koronahun!$A:$AM,32,FALSE),"")</f>
        <v>4.8208931236904076E-2</v>
      </c>
      <c r="AG175">
        <f>IFERROR(VLOOKUP($A175,koronahun!$A:$AM,33,FALSE),"")</f>
        <v>5909819</v>
      </c>
      <c r="AH175">
        <f>IFERROR(VLOOKUP($A175,koronahun!$A:$AM,34,FALSE),"")</f>
        <v>3982</v>
      </c>
      <c r="AI175">
        <f>IFERROR(VLOOKUP($A175,koronahun!$A:$AM,35,FALSE),"")</f>
        <v>2907.4</v>
      </c>
      <c r="AJ175">
        <f>IFERROR(VLOOKUP($A175,koronahun!$A:$AM,36,FALSE),"")</f>
        <v>5679589</v>
      </c>
      <c r="AK175">
        <f>IFERROR(VLOOKUP($A175,koronahun!$A:$AM,37,FALSE),"")</f>
        <v>5407</v>
      </c>
      <c r="AL175">
        <f>IFERROR(VLOOKUP($A175,koronahun!$A:$AM,38,FALSE),"")</f>
        <v>4324.3999999999996</v>
      </c>
      <c r="AM175" s="14">
        <f>IFERROR(VLOOKUP($A175,koronahun!$A:$AM,39,FALSE),"")</f>
        <v>324.71428571428572</v>
      </c>
      <c r="AN175" s="11">
        <f ca="1">IFERROR(__xludf.DUMMYFUNCTION("""COMPUTED_VALUE"""),44067)</f>
        <v>44067</v>
      </c>
      <c r="AO175" s="12">
        <f ca="1">IFERROR(VLOOKUP(AN175,koronahun!A:B,2,FALSE),"")</f>
        <v>5191</v>
      </c>
      <c r="AP175" s="11">
        <f t="shared" ca="1" si="0"/>
        <v>44067</v>
      </c>
      <c r="AQ175" s="11">
        <f ca="1">IFERROR(__xludf.DUMMYFUNCTION("""COMPUTED_VALUE"""),44067)</f>
        <v>44067</v>
      </c>
      <c r="AR175" s="11">
        <v>44481</v>
      </c>
      <c r="AS175" s="11">
        <f t="shared" si="1"/>
        <v>44481</v>
      </c>
      <c r="AT175" s="11">
        <f ca="1">IFERROR(__xludf.DUMMYFUNCTION("""COMPUTED_VALUE"""),44480)</f>
        <v>44480</v>
      </c>
    </row>
    <row r="176" spans="1:46" ht="13">
      <c r="A176" s="11">
        <v>44477</v>
      </c>
      <c r="B176">
        <f>IFERROR(VLOOKUP($A176,koronahun!$A:$AM,2,FALSE),"")</f>
        <v>827410</v>
      </c>
      <c r="C176">
        <f>IFERROR(VLOOKUP($A176,koronahun!$A:$AM,3,FALSE),"")</f>
        <v>774</v>
      </c>
      <c r="D176">
        <f>IFERROR(VLOOKUP($A176,koronahun!$A:$AM,4,FALSE),"")</f>
        <v>30275</v>
      </c>
      <c r="E176">
        <f>IFERROR(VLOOKUP($A176,koronahun!$A:$AM,5,FALSE),"")</f>
        <v>788014</v>
      </c>
      <c r="F176">
        <f>IFERROR(VLOOKUP($A176,koronahun!$A:$AM,6,FALSE),"")</f>
        <v>7032329</v>
      </c>
      <c r="G176" s="12">
        <f>IFERROR(VLOOKUP($A176,koronahun!$A:$AM,7,FALSE),"")</f>
        <v>717584.59183673467</v>
      </c>
      <c r="H176">
        <f>IFERROR(VLOOKUP($A176,koronahun!$A:$AM,8,FALSE),"")</f>
        <v>0</v>
      </c>
      <c r="I176" s="13">
        <f>IFERROR(VLOOKUP($A176,koronahun!$A:$AM,9,FALSE),"")</f>
        <v>9.3632505721986459E-4</v>
      </c>
      <c r="J176" s="13">
        <f>IFERROR(VLOOKUP($A176,koronahun!$A:$AM,10,FALSE),"")</f>
        <v>0.11765803334855351</v>
      </c>
      <c r="K176" s="13">
        <f>IFERROR(VLOOKUP($A176,koronahun!$A:$AM,11,FALSE),"")</f>
        <v>2.2401127837926313E-3</v>
      </c>
      <c r="L176">
        <f>IFERROR(VLOOKUP($A176,koronahun!$A:$AM,12,FALSE),"")</f>
        <v>9121</v>
      </c>
      <c r="M176" s="13">
        <f>IFERROR(VLOOKUP($A176,koronahun!$A:$AM,13,FALSE),"")</f>
        <v>3.6590082305024113E-2</v>
      </c>
      <c r="N176" s="13">
        <f>IFERROR(VLOOKUP($A176,koronahun!$A:$AM,14,FALSE),"")</f>
        <v>0.95238636226296514</v>
      </c>
      <c r="O176">
        <f>IFERROR(VLOOKUP($A176,koronahun!$A:$AM,15,FALSE),"")</f>
        <v>8006</v>
      </c>
      <c r="P176">
        <f>IFERROR(VLOOKUP($A176,koronahun!$A:$AM,16,FALSE),"")</f>
        <v>15718</v>
      </c>
      <c r="Q176" s="13">
        <f>IFERROR(VLOOKUP($A176,koronahun!$A:$AM,17,FALSE),"")</f>
        <v>4.9242906222165671E-2</v>
      </c>
      <c r="R176">
        <f>IFERROR(VLOOKUP($A176,koronahun!$A:$AM,18,FALSE),"")</f>
        <v>16</v>
      </c>
      <c r="S176">
        <f>IFERROR(VLOOKUP($A176,koronahun!$A:$AM,19,FALSE),"")</f>
        <v>359</v>
      </c>
      <c r="T176">
        <f>IFERROR(VLOOKUP($A176,koronahun!$A:$AM,20,FALSE),"")</f>
        <v>650</v>
      </c>
      <c r="U176">
        <f>IFERROR(VLOOKUP($A176,koronahun!$A:$AM,21,FALSE),"")</f>
        <v>100</v>
      </c>
      <c r="V176" s="13">
        <f>IFERROR(VLOOKUP($A176,koronahun!$A:$AM,22,FALSE),"")</f>
        <v>1.1023555432010732E-2</v>
      </c>
      <c r="W176">
        <f>IFERROR(VLOOKUP($A176,koronahun!$A:$AM,23,FALSE),"")</f>
        <v>23</v>
      </c>
      <c r="X176">
        <f>IFERROR(VLOOKUP($A176,koronahun!$A:$AM,24,FALSE),"")</f>
        <v>8</v>
      </c>
      <c r="Y176" s="14">
        <f>IFERROR(VLOOKUP($A176,koronahun!$A:$AM,25,FALSE),"")</f>
        <v>7.1264115776778866E-2</v>
      </c>
      <c r="Z176" s="14">
        <f>IFERROR(VLOOKUP($A176,koronahun!$A:$AM,26,FALSE),"")</f>
        <v>0.15384615384615385</v>
      </c>
      <c r="AA176" s="14">
        <f>IFERROR(VLOOKUP($A176,koronahun!$A:$AM,27,FALSE),"")</f>
        <v>1.2177858439201452</v>
      </c>
      <c r="AB176" s="14">
        <f>IFERROR(VLOOKUP($A176,koronahun!$A:$AM,28,FALSE),"")</f>
        <v>1.2178878413513137</v>
      </c>
      <c r="AC176" s="14">
        <f>IFERROR(VLOOKUP($A176,koronahun!$A:$AM,29,FALSE),"")</f>
        <v>575.14285714285711</v>
      </c>
      <c r="AD176" s="14">
        <f>IFERROR(VLOOKUP($A176,koronahun!$A:$AM,30,FALSE),"")</f>
        <v>10.857142857142858</v>
      </c>
      <c r="AE176" s="14">
        <f>IFERROR(VLOOKUP($A176,koronahun!$A:$AM,31,FALSE),"")</f>
        <v>12056.571428571429</v>
      </c>
      <c r="AF176" s="13">
        <f>IFERROR(VLOOKUP($A176,koronahun!$A:$AM,32,FALSE),"")</f>
        <v>4.7067301262233255E-2</v>
      </c>
      <c r="AG176">
        <f>IFERROR(VLOOKUP($A176,koronahun!$A:$AM,33,FALSE),"")</f>
        <v>5905837</v>
      </c>
      <c r="AH176">
        <f>IFERROR(VLOOKUP($A176,koronahun!$A:$AM,34,FALSE),"")</f>
        <v>3031</v>
      </c>
      <c r="AI176">
        <f>IFERROR(VLOOKUP($A176,koronahun!$A:$AM,35,FALSE),"")</f>
        <v>2921.8</v>
      </c>
      <c r="AJ176">
        <f>IFERROR(VLOOKUP($A176,koronahun!$A:$AM,36,FALSE),"")</f>
        <v>5674182</v>
      </c>
      <c r="AK176">
        <f>IFERROR(VLOOKUP($A176,koronahun!$A:$AM,37,FALSE),"")</f>
        <v>4709</v>
      </c>
      <c r="AL176">
        <f>IFERROR(VLOOKUP($A176,koronahun!$A:$AM,38,FALSE),"")</f>
        <v>4528.6000000000004</v>
      </c>
      <c r="AM176" s="14">
        <f>IFERROR(VLOOKUP($A176,koronahun!$A:$AM,39,FALSE),"")</f>
        <v>338.28571428571428</v>
      </c>
      <c r="AN176" s="11">
        <f ca="1">IFERROR(__xludf.DUMMYFUNCTION("""COMPUTED_VALUE"""),44068)</f>
        <v>44068</v>
      </c>
      <c r="AO176" s="12">
        <f ca="1">IFERROR(VLOOKUP(AN176,koronahun!A:B,2,FALSE),"")</f>
        <v>5215</v>
      </c>
      <c r="AP176" s="11">
        <f t="shared" ca="1" si="0"/>
        <v>44068</v>
      </c>
      <c r="AQ176" s="11">
        <f ca="1">IFERROR(__xludf.DUMMYFUNCTION("""COMPUTED_VALUE"""),44068)</f>
        <v>44068</v>
      </c>
      <c r="AR176" s="11">
        <v>44480</v>
      </c>
      <c r="AS176" s="11">
        <f t="shared" si="1"/>
        <v>44480</v>
      </c>
      <c r="AT176" s="11">
        <f ca="1">IFERROR(__xludf.DUMMYFUNCTION("""COMPUTED_VALUE"""),44477)</f>
        <v>44477</v>
      </c>
    </row>
    <row r="177" spans="1:46" ht="13">
      <c r="A177" s="11">
        <v>44476</v>
      </c>
      <c r="B177">
        <f>IFERROR(VLOOKUP($A177,koronahun!$A:$AM,2,FALSE),"")</f>
        <v>826636</v>
      </c>
      <c r="C177">
        <f>IFERROR(VLOOKUP($A177,koronahun!$A:$AM,3,FALSE),"")</f>
        <v>837</v>
      </c>
      <c r="D177">
        <f>IFERROR(VLOOKUP($A177,koronahun!$A:$AM,4,FALSE),"")</f>
        <v>30259</v>
      </c>
      <c r="E177">
        <f>IFERROR(VLOOKUP($A177,koronahun!$A:$AM,5,FALSE),"")</f>
        <v>787655</v>
      </c>
      <c r="F177">
        <f>IFERROR(VLOOKUP($A177,koronahun!$A:$AM,6,FALSE),"")</f>
        <v>7016611</v>
      </c>
      <c r="G177" s="12">
        <f>IFERROR(VLOOKUP($A177,koronahun!$A:$AM,7,FALSE),"")</f>
        <v>715980.7142857142</v>
      </c>
      <c r="H177">
        <f>IFERROR(VLOOKUP($A177,koronahun!$A:$AM,8,FALSE),"")</f>
        <v>0</v>
      </c>
      <c r="I177" s="13">
        <f>IFERROR(VLOOKUP($A177,koronahun!$A:$AM,9,FALSE),"")</f>
        <v>1.0135638333299024E-3</v>
      </c>
      <c r="J177" s="13">
        <f>IFERROR(VLOOKUP($A177,koronahun!$A:$AM,10,FALSE),"")</f>
        <v>0.11781129094943414</v>
      </c>
      <c r="K177" s="13">
        <f>IFERROR(VLOOKUP($A177,koronahun!$A:$AM,11,FALSE),"")</f>
        <v>2.313290765392976E-3</v>
      </c>
      <c r="L177">
        <f>IFERROR(VLOOKUP($A177,koronahun!$A:$AM,12,FALSE),"")</f>
        <v>8722</v>
      </c>
      <c r="M177" s="13">
        <f>IFERROR(VLOOKUP($A177,koronahun!$A:$AM,13,FALSE),"")</f>
        <v>3.6604986959193647E-2</v>
      </c>
      <c r="N177" s="13">
        <f>IFERROR(VLOOKUP($A177,koronahun!$A:$AM,14,FALSE),"")</f>
        <v>0.95284381517378869</v>
      </c>
      <c r="O177">
        <f>IFERROR(VLOOKUP($A177,koronahun!$A:$AM,15,FALSE),"")</f>
        <v>7083</v>
      </c>
      <c r="P177">
        <f>IFERROR(VLOOKUP($A177,koronahun!$A:$AM,16,FALSE),"")</f>
        <v>16194</v>
      </c>
      <c r="Q177" s="13">
        <f>IFERROR(VLOOKUP($A177,koronahun!$A:$AM,17,FALSE),"")</f>
        <v>5.1685809559095963E-2</v>
      </c>
      <c r="R177">
        <f>IFERROR(VLOOKUP($A177,koronahun!$A:$AM,18,FALSE),"")</f>
        <v>6</v>
      </c>
      <c r="S177">
        <f>IFERROR(VLOOKUP($A177,koronahun!$A:$AM,19,FALSE),"")</f>
        <v>425</v>
      </c>
      <c r="T177">
        <f>IFERROR(VLOOKUP($A177,koronahun!$A:$AM,20,FALSE),"")</f>
        <v>627</v>
      </c>
      <c r="U177">
        <f>IFERROR(VLOOKUP($A177,koronahun!$A:$AM,21,FALSE),"")</f>
        <v>92</v>
      </c>
      <c r="V177" s="13">
        <f>IFERROR(VLOOKUP($A177,koronahun!$A:$AM,22,FALSE),"")</f>
        <v>1.0551197867017647E-2</v>
      </c>
      <c r="W177">
        <f>IFERROR(VLOOKUP($A177,koronahun!$A:$AM,23,FALSE),"")</f>
        <v>53</v>
      </c>
      <c r="X177">
        <f>IFERROR(VLOOKUP($A177,koronahun!$A:$AM,24,FALSE),"")</f>
        <v>13</v>
      </c>
      <c r="Y177" s="14">
        <f>IFERROR(VLOOKUP($A177,koronahun!$A:$AM,25,FALSE),"")</f>
        <v>7.1887181839027745E-2</v>
      </c>
      <c r="Z177" s="14">
        <f>IFERROR(VLOOKUP($A177,koronahun!$A:$AM,26,FALSE),"")</f>
        <v>0.14673046251993621</v>
      </c>
      <c r="AA177" s="14">
        <f>IFERROR(VLOOKUP($A177,koronahun!$A:$AM,27,FALSE),"")</f>
        <v>1.2447751741608613</v>
      </c>
      <c r="AB177" s="14">
        <f>IFERROR(VLOOKUP($A177,koronahun!$A:$AM,28,FALSE),"")</f>
        <v>1.200846602680337</v>
      </c>
      <c r="AC177" s="14">
        <f>IFERROR(VLOOKUP($A177,koronahun!$A:$AM,29,FALSE),"")</f>
        <v>561.57142857142856</v>
      </c>
      <c r="AD177" s="14">
        <f>IFERROR(VLOOKUP($A177,koronahun!$A:$AM,30,FALSE),"")</f>
        <v>9.8571428571428577</v>
      </c>
      <c r="AE177" s="14">
        <f>IFERROR(VLOOKUP($A177,koronahun!$A:$AM,31,FALSE),"")</f>
        <v>11976</v>
      </c>
      <c r="AF177" s="13">
        <f>IFERROR(VLOOKUP($A177,koronahun!$A:$AM,32,FALSE),"")</f>
        <v>4.6180050359624053E-2</v>
      </c>
      <c r="AG177">
        <f>IFERROR(VLOOKUP($A177,koronahun!$A:$AM,33,FALSE),"")</f>
        <v>5902806</v>
      </c>
      <c r="AH177">
        <f>IFERROR(VLOOKUP($A177,koronahun!$A:$AM,34,FALSE),"")</f>
        <v>2787</v>
      </c>
      <c r="AI177">
        <f>IFERROR(VLOOKUP($A177,koronahun!$A:$AM,35,FALSE),"")</f>
        <v>3053.2</v>
      </c>
      <c r="AJ177">
        <f>IFERROR(VLOOKUP($A177,koronahun!$A:$AM,36,FALSE),"")</f>
        <v>5669473</v>
      </c>
      <c r="AK177">
        <f>IFERROR(VLOOKUP($A177,koronahun!$A:$AM,37,FALSE),"")</f>
        <v>4332</v>
      </c>
      <c r="AL177">
        <f>IFERROR(VLOOKUP($A177,koronahun!$A:$AM,38,FALSE),"")</f>
        <v>4791</v>
      </c>
      <c r="AM177" s="14">
        <f>IFERROR(VLOOKUP($A177,koronahun!$A:$AM,39,FALSE),"")</f>
        <v>366.42857142857144</v>
      </c>
      <c r="AN177" s="11">
        <f ca="1">IFERROR(__xludf.DUMMYFUNCTION("""COMPUTED_VALUE"""),44069)</f>
        <v>44069</v>
      </c>
      <c r="AO177" s="12">
        <f ca="1">IFERROR(VLOOKUP(AN177,koronahun!A:B,2,FALSE),"")</f>
        <v>5288</v>
      </c>
      <c r="AP177" s="11">
        <f t="shared" ca="1" si="0"/>
        <v>44069</v>
      </c>
      <c r="AQ177" s="11">
        <f ca="1">IFERROR(__xludf.DUMMYFUNCTION("""COMPUTED_VALUE"""),44069)</f>
        <v>44069</v>
      </c>
      <c r="AR177" s="11">
        <v>44477</v>
      </c>
      <c r="AS177" s="11">
        <f t="shared" si="1"/>
        <v>44477</v>
      </c>
      <c r="AT177" s="11">
        <f ca="1">IFERROR(__xludf.DUMMYFUNCTION("""COMPUTED_VALUE"""),44476)</f>
        <v>44476</v>
      </c>
    </row>
    <row r="178" spans="1:46" ht="13">
      <c r="A178" s="11">
        <v>44475</v>
      </c>
      <c r="B178">
        <f>IFERROR(VLOOKUP($A178,koronahun!$A:$AM,2,FALSE),"")</f>
        <v>825799</v>
      </c>
      <c r="C178">
        <f>IFERROR(VLOOKUP($A178,koronahun!$A:$AM,3,FALSE),"")</f>
        <v>629</v>
      </c>
      <c r="D178">
        <f>IFERROR(VLOOKUP($A178,koronahun!$A:$AM,4,FALSE),"")</f>
        <v>30253</v>
      </c>
      <c r="E178">
        <f>IFERROR(VLOOKUP($A178,koronahun!$A:$AM,5,FALSE),"")</f>
        <v>787230</v>
      </c>
      <c r="F178">
        <f>IFERROR(VLOOKUP($A178,koronahun!$A:$AM,6,FALSE),"")</f>
        <v>7000417</v>
      </c>
      <c r="G178" s="12">
        <f>IFERROR(VLOOKUP($A178,koronahun!$A:$AM,7,FALSE),"")</f>
        <v>714328.26530612237</v>
      </c>
      <c r="H178">
        <f>IFERROR(VLOOKUP($A178,koronahun!$A:$AM,8,FALSE),"")</f>
        <v>0</v>
      </c>
      <c r="I178" s="13">
        <f>IFERROR(VLOOKUP($A178,koronahun!$A:$AM,9,FALSE),"")</f>
        <v>7.6226716918937915E-4</v>
      </c>
      <c r="J178" s="13">
        <f>IFERROR(VLOOKUP($A178,koronahun!$A:$AM,10,FALSE),"")</f>
        <v>0.11796425841489157</v>
      </c>
      <c r="K178" s="13">
        <f>IFERROR(VLOOKUP($A178,koronahun!$A:$AM,11,FALSE),"")</f>
        <v>1.73246464452779E-3</v>
      </c>
      <c r="L178">
        <f>IFERROR(VLOOKUP($A178,koronahun!$A:$AM,12,FALSE),"")</f>
        <v>8316</v>
      </c>
      <c r="M178" s="13">
        <f>IFERROR(VLOOKUP($A178,koronahun!$A:$AM,13,FALSE),"")</f>
        <v>3.6634822759533496E-2</v>
      </c>
      <c r="N178" s="13">
        <f>IFERROR(VLOOKUP($A178,koronahun!$A:$AM,14,FALSE),"")</f>
        <v>0.953294930122221</v>
      </c>
      <c r="O178">
        <f>IFERROR(VLOOKUP($A178,koronahun!$A:$AM,15,FALSE),"")</f>
        <v>6097</v>
      </c>
      <c r="P178">
        <f>IFERROR(VLOOKUP($A178,koronahun!$A:$AM,16,FALSE),"")</f>
        <v>12107</v>
      </c>
      <c r="Q178" s="13">
        <f>IFERROR(VLOOKUP($A178,koronahun!$A:$AM,17,FALSE),"")</f>
        <v>5.1953415379532498E-2</v>
      </c>
      <c r="R178">
        <f>IFERROR(VLOOKUP($A178,koronahun!$A:$AM,18,FALSE),"")</f>
        <v>7</v>
      </c>
      <c r="S178">
        <f>IFERROR(VLOOKUP($A178,koronahun!$A:$AM,19,FALSE),"")</f>
        <v>347</v>
      </c>
      <c r="T178">
        <f>IFERROR(VLOOKUP($A178,koronahun!$A:$AM,20,FALSE),"")</f>
        <v>574</v>
      </c>
      <c r="U178">
        <f>IFERROR(VLOOKUP($A178,koronahun!$A:$AM,21,FALSE),"")</f>
        <v>79</v>
      </c>
      <c r="V178" s="13">
        <f>IFERROR(VLOOKUP($A178,koronahun!$A:$AM,22,FALSE),"")</f>
        <v>1.007024711824548E-2</v>
      </c>
      <c r="W178">
        <f>IFERROR(VLOOKUP($A178,koronahun!$A:$AM,23,FALSE),"")</f>
        <v>-11</v>
      </c>
      <c r="X178">
        <f>IFERROR(VLOOKUP($A178,koronahun!$A:$AM,24,FALSE),"")</f>
        <v>-7</v>
      </c>
      <c r="Y178" s="14">
        <f>IFERROR(VLOOKUP($A178,koronahun!$A:$AM,25,FALSE),"")</f>
        <v>6.9023569023569029E-2</v>
      </c>
      <c r="Z178" s="14">
        <f>IFERROR(VLOOKUP($A178,koronahun!$A:$AM,26,FALSE),"")</f>
        <v>0.13763066202090593</v>
      </c>
      <c r="AA178" s="14">
        <f>IFERROR(VLOOKUP($A178,koronahun!$A:$AM,27,FALSE),"")</f>
        <v>1.2215666994428056</v>
      </c>
      <c r="AB178" s="14">
        <f>IFERROR(VLOOKUP($A178,koronahun!$A:$AM,28,FALSE),"")</f>
        <v>1.1721915329684993</v>
      </c>
      <c r="AC178" s="14">
        <f>IFERROR(VLOOKUP($A178,koronahun!$A:$AM,29,FALSE),"")</f>
        <v>532.42857142857144</v>
      </c>
      <c r="AD178" s="14">
        <f>IFERROR(VLOOKUP($A178,koronahun!$A:$AM,30,FALSE),"")</f>
        <v>9.7142857142857135</v>
      </c>
      <c r="AE178" s="14">
        <f>IFERROR(VLOOKUP($A178,koronahun!$A:$AM,31,FALSE),"")</f>
        <v>12278.714285714286</v>
      </c>
      <c r="AF178" s="13">
        <f>IFERROR(VLOOKUP($A178,koronahun!$A:$AM,32,FALSE),"")</f>
        <v>4.2756010273830088E-2</v>
      </c>
      <c r="AG178">
        <f>IFERROR(VLOOKUP($A178,koronahun!$A:$AM,33,FALSE),"")</f>
        <v>5900019</v>
      </c>
      <c r="AH178">
        <f>IFERROR(VLOOKUP($A178,koronahun!$A:$AM,34,FALSE),"")</f>
        <v>2587</v>
      </c>
      <c r="AI178">
        <f>IFERROR(VLOOKUP($A178,koronahun!$A:$AM,35,FALSE),"")</f>
        <v>3167.2</v>
      </c>
      <c r="AJ178">
        <f>IFERROR(VLOOKUP($A178,koronahun!$A:$AM,36,FALSE),"")</f>
        <v>5665141</v>
      </c>
      <c r="AK178">
        <f>IFERROR(VLOOKUP($A178,koronahun!$A:$AM,37,FALSE),"")</f>
        <v>3817</v>
      </c>
      <c r="AL178">
        <f>IFERROR(VLOOKUP($A178,koronahun!$A:$AM,38,FALSE),"")</f>
        <v>4946.2</v>
      </c>
      <c r="AM178" s="14">
        <f>IFERROR(VLOOKUP($A178,koronahun!$A:$AM,39,FALSE),"")</f>
        <v>384.42857142857144</v>
      </c>
      <c r="AN178" s="11">
        <f ca="1">IFERROR(__xludf.DUMMYFUNCTION("""COMPUTED_VALUE"""),44070)</f>
        <v>44070</v>
      </c>
      <c r="AO178" s="12">
        <f ca="1">IFERROR(VLOOKUP(AN178,koronahun!A:B,2,FALSE),"")</f>
        <v>5379</v>
      </c>
      <c r="AP178" s="11">
        <f t="shared" ca="1" si="0"/>
        <v>44070</v>
      </c>
      <c r="AQ178" s="11">
        <f ca="1">IFERROR(__xludf.DUMMYFUNCTION("""COMPUTED_VALUE"""),44070)</f>
        <v>44070</v>
      </c>
      <c r="AR178" s="11">
        <v>44476</v>
      </c>
      <c r="AS178" s="11">
        <f t="shared" si="1"/>
        <v>44476</v>
      </c>
      <c r="AT178" s="11">
        <f ca="1">IFERROR(__xludf.DUMMYFUNCTION("""COMPUTED_VALUE"""),44475)</f>
        <v>44475</v>
      </c>
    </row>
    <row r="179" spans="1:46" ht="13">
      <c r="A179" s="11">
        <v>44474</v>
      </c>
      <c r="B179">
        <f>IFERROR(VLOOKUP($A179,koronahun!$A:$AM,2,FALSE),"")</f>
        <v>825170</v>
      </c>
      <c r="C179">
        <f>IFERROR(VLOOKUP($A179,koronahun!$A:$AM,3,FALSE),"")</f>
        <v>294</v>
      </c>
      <c r="D179">
        <f>IFERROR(VLOOKUP($A179,koronahun!$A:$AM,4,FALSE),"")</f>
        <v>30246</v>
      </c>
      <c r="E179">
        <f>IFERROR(VLOOKUP($A179,koronahun!$A:$AM,5,FALSE),"")</f>
        <v>786883</v>
      </c>
      <c r="F179">
        <f>IFERROR(VLOOKUP($A179,koronahun!$A:$AM,6,FALSE),"")</f>
        <v>6988310</v>
      </c>
      <c r="G179" s="12">
        <f>IFERROR(VLOOKUP($A179,koronahun!$A:$AM,7,FALSE),"")</f>
        <v>713092.85714285704</v>
      </c>
      <c r="H179">
        <f>IFERROR(VLOOKUP($A179,koronahun!$A:$AM,8,FALSE),"")</f>
        <v>0</v>
      </c>
      <c r="I179" s="13">
        <f>IFERROR(VLOOKUP($A179,koronahun!$A:$AM,9,FALSE),"")</f>
        <v>3.5641720694989308E-4</v>
      </c>
      <c r="J179" s="13">
        <f>IFERROR(VLOOKUP($A179,koronahun!$A:$AM,10,FALSE),"")</f>
        <v>0.1180786198666058</v>
      </c>
      <c r="K179" s="13">
        <f>IFERROR(VLOOKUP($A179,koronahun!$A:$AM,11,FALSE),"")</f>
        <v>1.1635789752367702E-3</v>
      </c>
      <c r="L179">
        <f>IFERROR(VLOOKUP($A179,koronahun!$A:$AM,12,FALSE),"")</f>
        <v>8041</v>
      </c>
      <c r="M179" s="13">
        <f>IFERROR(VLOOKUP($A179,koronahun!$A:$AM,13,FALSE),"")</f>
        <v>3.665426518172013E-2</v>
      </c>
      <c r="N179" s="13">
        <f>IFERROR(VLOOKUP($A179,koronahun!$A:$AM,14,FALSE),"")</f>
        <v>0.95360107614188594</v>
      </c>
      <c r="O179">
        <f>IFERROR(VLOOKUP($A179,koronahun!$A:$AM,15,FALSE),"")</f>
        <v>5715</v>
      </c>
      <c r="P179">
        <f>IFERROR(VLOOKUP($A179,koronahun!$A:$AM,16,FALSE),"")</f>
        <v>8122</v>
      </c>
      <c r="Q179" s="13">
        <f>IFERROR(VLOOKUP($A179,koronahun!$A:$AM,17,FALSE),"")</f>
        <v>3.6197980792908153E-2</v>
      </c>
      <c r="R179">
        <f>IFERROR(VLOOKUP($A179,koronahun!$A:$AM,18,FALSE),"")</f>
        <v>16</v>
      </c>
      <c r="S179">
        <f>IFERROR(VLOOKUP($A179,koronahun!$A:$AM,19,FALSE),"")</f>
        <v>146</v>
      </c>
      <c r="T179">
        <f>IFERROR(VLOOKUP($A179,koronahun!$A:$AM,20,FALSE),"")</f>
        <v>585</v>
      </c>
      <c r="U179">
        <f>IFERROR(VLOOKUP($A179,koronahun!$A:$AM,21,FALSE),"")</f>
        <v>86</v>
      </c>
      <c r="V179" s="13">
        <f>IFERROR(VLOOKUP($A179,koronahun!$A:$AM,22,FALSE),"")</f>
        <v>9.7446586763939545E-3</v>
      </c>
      <c r="W179">
        <f>IFERROR(VLOOKUP($A179,koronahun!$A:$AM,23,FALSE),"")</f>
        <v>25</v>
      </c>
      <c r="X179">
        <f>IFERROR(VLOOKUP($A179,koronahun!$A:$AM,24,FALSE),"")</f>
        <v>-1</v>
      </c>
      <c r="Y179" s="14">
        <f>IFERROR(VLOOKUP($A179,koronahun!$A:$AM,25,FALSE),"")</f>
        <v>7.2752145255565226E-2</v>
      </c>
      <c r="Z179" s="14">
        <f>IFERROR(VLOOKUP($A179,koronahun!$A:$AM,26,FALSE),"")</f>
        <v>0.14700854700854701</v>
      </c>
      <c r="AA179" s="14">
        <f>IFERROR(VLOOKUP($A179,koronahun!$A:$AM,27,FALSE),"")</f>
        <v>1.2122421823020626</v>
      </c>
      <c r="AB179" s="14">
        <f>IFERROR(VLOOKUP($A179,koronahun!$A:$AM,28,FALSE),"")</f>
        <v>1.1458846239481055</v>
      </c>
      <c r="AC179" s="14">
        <f>IFERROR(VLOOKUP($A179,koronahun!$A:$AM,29,FALSE),"")</f>
        <v>520.57142857142856</v>
      </c>
      <c r="AD179" s="14">
        <f>IFERROR(VLOOKUP($A179,koronahun!$A:$AM,30,FALSE),"")</f>
        <v>9.5714285714285712</v>
      </c>
      <c r="AE179" s="14">
        <f>IFERROR(VLOOKUP($A179,koronahun!$A:$AM,31,FALSE),"")</f>
        <v>12411</v>
      </c>
      <c r="AF179" s="13">
        <f>IFERROR(VLOOKUP($A179,koronahun!$A:$AM,32,FALSE),"")</f>
        <v>4.07440581117577E-2</v>
      </c>
      <c r="AG179">
        <f>IFERROR(VLOOKUP($A179,koronahun!$A:$AM,33,FALSE),"")</f>
        <v>5897432</v>
      </c>
      <c r="AH179">
        <f>IFERROR(VLOOKUP($A179,koronahun!$A:$AM,34,FALSE),"")</f>
        <v>2150</v>
      </c>
      <c r="AI179">
        <f>IFERROR(VLOOKUP($A179,koronahun!$A:$AM,35,FALSE),"")</f>
        <v>3187.8</v>
      </c>
      <c r="AJ179">
        <f>IFERROR(VLOOKUP($A179,koronahun!$A:$AM,36,FALSE),"")</f>
        <v>5661324</v>
      </c>
      <c r="AK179">
        <f>IFERROR(VLOOKUP($A179,koronahun!$A:$AM,37,FALSE),"")</f>
        <v>3357</v>
      </c>
      <c r="AL179">
        <f>IFERROR(VLOOKUP($A179,koronahun!$A:$AM,38,FALSE),"")</f>
        <v>5154.2</v>
      </c>
      <c r="AM179" s="14">
        <f>IFERROR(VLOOKUP($A179,koronahun!$A:$AM,39,FALSE),"")</f>
        <v>438.28571428571428</v>
      </c>
      <c r="AN179" s="11">
        <f ca="1">IFERROR(__xludf.DUMMYFUNCTION("""COMPUTED_VALUE"""),44071)</f>
        <v>44071</v>
      </c>
      <c r="AO179" s="12">
        <f ca="1">IFERROR(VLOOKUP(AN179,koronahun!A:B,2,FALSE),"")</f>
        <v>5511</v>
      </c>
      <c r="AP179" s="11">
        <f t="shared" ca="1" si="0"/>
        <v>44071</v>
      </c>
      <c r="AQ179" s="11">
        <f ca="1">IFERROR(__xludf.DUMMYFUNCTION("""COMPUTED_VALUE"""),44071)</f>
        <v>44071</v>
      </c>
      <c r="AR179" s="11">
        <v>44475</v>
      </c>
      <c r="AS179" s="11">
        <f t="shared" si="1"/>
        <v>44475</v>
      </c>
      <c r="AT179" s="11">
        <f ca="1">IFERROR(__xludf.DUMMYFUNCTION("""COMPUTED_VALUE"""),44474)</f>
        <v>44474</v>
      </c>
    </row>
    <row r="180" spans="1:46" ht="13">
      <c r="A180" s="11">
        <v>44473</v>
      </c>
      <c r="B180">
        <f>IFERROR(VLOOKUP($A180,koronahun!$A:$AM,2,FALSE),"")</f>
        <v>824876</v>
      </c>
      <c r="C180">
        <f>IFERROR(VLOOKUP($A180,koronahun!$A:$AM,3,FALSE),"")</f>
        <v>1492</v>
      </c>
      <c r="D180">
        <f>IFERROR(VLOOKUP($A180,koronahun!$A:$AM,4,FALSE),"")</f>
        <v>30230</v>
      </c>
      <c r="E180">
        <f>IFERROR(VLOOKUP($A180,koronahun!$A:$AM,5,FALSE),"")</f>
        <v>786737</v>
      </c>
      <c r="F180">
        <f>IFERROR(VLOOKUP($A180,koronahun!$A:$AM,6,FALSE),"")</f>
        <v>6980188</v>
      </c>
      <c r="G180" s="12">
        <f>IFERROR(VLOOKUP($A180,koronahun!$A:$AM,7,FALSE),"")</f>
        <v>712264.08163265302</v>
      </c>
      <c r="H180">
        <f>IFERROR(VLOOKUP($A180,koronahun!$A:$AM,8,FALSE),"")</f>
        <v>0</v>
      </c>
      <c r="I180" s="13">
        <f>IFERROR(VLOOKUP($A180,koronahun!$A:$AM,9,FALSE),"")</f>
        <v>1.8120342391885196E-3</v>
      </c>
      <c r="J180" s="13">
        <f>IFERROR(VLOOKUP($A180,koronahun!$A:$AM,10,FALSE),"")</f>
        <v>0.11817389445671091</v>
      </c>
      <c r="K180" s="13">
        <f>IFERROR(VLOOKUP($A180,koronahun!$A:$AM,11,FALSE),"")</f>
        <v>4.6423878871601097E-3</v>
      </c>
      <c r="L180">
        <f>IFERROR(VLOOKUP($A180,koronahun!$A:$AM,12,FALSE),"")</f>
        <v>7909</v>
      </c>
      <c r="M180" s="13">
        <f>IFERROR(VLOOKUP($A180,koronahun!$A:$AM,13,FALSE),"")</f>
        <v>3.6647932537739007E-2</v>
      </c>
      <c r="N180" s="13">
        <f>IFERROR(VLOOKUP($A180,koronahun!$A:$AM,14,FALSE),"")</f>
        <v>0.9537639596739389</v>
      </c>
      <c r="O180">
        <f>IFERROR(VLOOKUP($A180,koronahun!$A:$AM,15,FALSE),"")</f>
        <v>5458</v>
      </c>
      <c r="P180">
        <f>IFERROR(VLOOKUP($A180,koronahun!$A:$AM,16,FALSE),"")</f>
        <v>32255</v>
      </c>
      <c r="Q180" s="13">
        <f>IFERROR(VLOOKUP($A180,koronahun!$A:$AM,17,FALSE),"")</f>
        <v>4.625639435746396E-2</v>
      </c>
      <c r="R180">
        <f>IFERROR(VLOOKUP($A180,koronahun!$A:$AM,18,FALSE),"")</f>
        <v>31</v>
      </c>
      <c r="S180">
        <f>IFERROR(VLOOKUP($A180,koronahun!$A:$AM,19,FALSE),"")</f>
        <v>1091</v>
      </c>
      <c r="T180">
        <f>IFERROR(VLOOKUP($A180,koronahun!$A:$AM,20,FALSE),"")</f>
        <v>560</v>
      </c>
      <c r="U180">
        <f>IFERROR(VLOOKUP($A180,koronahun!$A:$AM,21,FALSE),"")</f>
        <v>87</v>
      </c>
      <c r="V180" s="13">
        <f>IFERROR(VLOOKUP($A180,koronahun!$A:$AM,22,FALSE),"")</f>
        <v>9.5881077883221231E-3</v>
      </c>
      <c r="W180">
        <f>IFERROR(VLOOKUP($A180,koronahun!$A:$AM,23,FALSE),"")</f>
        <v>27</v>
      </c>
      <c r="X180">
        <f>IFERROR(VLOOKUP($A180,koronahun!$A:$AM,24,FALSE),"")</f>
        <v>3</v>
      </c>
      <c r="Y180" s="14">
        <f>IFERROR(VLOOKUP($A180,koronahun!$A:$AM,25,FALSE),"")</f>
        <v>7.0805411556454673E-2</v>
      </c>
      <c r="Z180" s="14">
        <f>IFERROR(VLOOKUP($A180,koronahun!$A:$AM,26,FALSE),"")</f>
        <v>0.15535714285714286</v>
      </c>
      <c r="AA180" s="14">
        <f>IFERROR(VLOOKUP($A180,koronahun!$A:$AM,27,FALSE),"")</f>
        <v>1.193069306930693</v>
      </c>
      <c r="AB180" s="14">
        <f>IFERROR(VLOOKUP($A180,koronahun!$A:$AM,28,FALSE),"")</f>
        <v>1.1286890911969474</v>
      </c>
      <c r="AC180" s="14">
        <f>IFERROR(VLOOKUP($A180,koronahun!$A:$AM,29,FALSE),"")</f>
        <v>516.42857142857144</v>
      </c>
      <c r="AD180" s="14">
        <f>IFERROR(VLOOKUP($A180,koronahun!$A:$AM,30,FALSE),"")</f>
        <v>8.4285714285714288</v>
      </c>
      <c r="AE180" s="14">
        <f>IFERROR(VLOOKUP($A180,koronahun!$A:$AM,31,FALSE),"")</f>
        <v>12324.714285714286</v>
      </c>
      <c r="AF180" s="13">
        <f>IFERROR(VLOOKUP($A180,koronahun!$A:$AM,32,FALSE),"")</f>
        <v>4.0554209226387035E-2</v>
      </c>
      <c r="AG180">
        <f>IFERROR(VLOOKUP($A180,koronahun!$A:$AM,33,FALSE),"")</f>
        <v>5895282</v>
      </c>
      <c r="AH180">
        <f>IFERROR(VLOOKUP($A180,koronahun!$A:$AM,34,FALSE),"")</f>
        <v>4054</v>
      </c>
      <c r="AI180">
        <f>IFERROR(VLOOKUP($A180,koronahun!$A:$AM,35,FALSE),"")</f>
        <v>3220.8</v>
      </c>
      <c r="AJ180">
        <f>IFERROR(VLOOKUP($A180,koronahun!$A:$AM,36,FALSE),"")</f>
        <v>5657967</v>
      </c>
      <c r="AK180">
        <f>IFERROR(VLOOKUP($A180,koronahun!$A:$AM,37,FALSE),"")</f>
        <v>6428</v>
      </c>
      <c r="AL180">
        <f>IFERROR(VLOOKUP($A180,koronahun!$A:$AM,38,FALSE),"")</f>
        <v>5476</v>
      </c>
      <c r="AM180" s="14">
        <f>IFERROR(VLOOKUP($A180,koronahun!$A:$AM,39,FALSE),"")</f>
        <v>510</v>
      </c>
      <c r="AN180" s="11">
        <f ca="1">IFERROR(__xludf.DUMMYFUNCTION("""COMPUTED_VALUE"""),44072)</f>
        <v>44072</v>
      </c>
      <c r="AO180" s="12">
        <f ca="1">IFERROR(VLOOKUP(AN180,koronahun!A:B,2,FALSE),"")</f>
        <v>5669</v>
      </c>
      <c r="AP180" s="11">
        <f t="shared" ca="1" si="0"/>
        <v>44072</v>
      </c>
      <c r="AQ180" s="11">
        <f ca="1">IFERROR(__xludf.DUMMYFUNCTION("""COMPUTED_VALUE"""),44072)</f>
        <v>44072</v>
      </c>
      <c r="AR180" s="11">
        <v>44474</v>
      </c>
      <c r="AS180" s="11">
        <f t="shared" si="1"/>
        <v>44474</v>
      </c>
      <c r="AT180" s="11">
        <f ca="1">IFERROR(__xludf.DUMMYFUNCTION("""COMPUTED_VALUE"""),44473)</f>
        <v>44473</v>
      </c>
    </row>
    <row r="181" spans="1:46" ht="13">
      <c r="A181" s="11">
        <v>44470</v>
      </c>
      <c r="B181">
        <f>IFERROR(VLOOKUP($A181,koronahun!$A:$AM,2,FALSE),"")</f>
        <v>823384</v>
      </c>
      <c r="C181">
        <f>IFERROR(VLOOKUP($A181,koronahun!$A:$AM,3,FALSE),"")</f>
        <v>679</v>
      </c>
      <c r="D181">
        <f>IFERROR(VLOOKUP($A181,koronahun!$A:$AM,4,FALSE),"")</f>
        <v>30199</v>
      </c>
      <c r="E181">
        <f>IFERROR(VLOOKUP($A181,koronahun!$A:$AM,5,FALSE),"")</f>
        <v>785646</v>
      </c>
      <c r="F181">
        <f>IFERROR(VLOOKUP($A181,koronahun!$A:$AM,6,FALSE),"")</f>
        <v>6947933</v>
      </c>
      <c r="G181" s="12">
        <f>IFERROR(VLOOKUP($A181,koronahun!$A:$AM,7,FALSE),"")</f>
        <v>708972.75510204071</v>
      </c>
      <c r="H181">
        <f>IFERROR(VLOOKUP($A181,koronahun!$A:$AM,8,FALSE),"")</f>
        <v>0</v>
      </c>
      <c r="I181" s="13">
        <f>IFERROR(VLOOKUP($A181,koronahun!$A:$AM,9,FALSE),"")</f>
        <v>8.2532621048857127E-4</v>
      </c>
      <c r="J181" s="13">
        <f>IFERROR(VLOOKUP($A181,koronahun!$A:$AM,10,FALSE),"")</f>
        <v>0.11850776338804649</v>
      </c>
      <c r="K181" s="13">
        <f>IFERROR(VLOOKUP($A181,koronahun!$A:$AM,11,FALSE),"")</f>
        <v>2.1858478396614115E-3</v>
      </c>
      <c r="L181">
        <f>IFERROR(VLOOKUP($A181,koronahun!$A:$AM,12,FALSE),"")</f>
        <v>7539</v>
      </c>
      <c r="M181" s="13">
        <f>IFERROR(VLOOKUP($A181,koronahun!$A:$AM,13,FALSE),"")</f>
        <v>3.6676690341323127E-2</v>
      </c>
      <c r="N181" s="13">
        <f>IFERROR(VLOOKUP($A181,koronahun!$A:$AM,14,FALSE),"")</f>
        <v>0.95416719295006946</v>
      </c>
      <c r="O181">
        <f>IFERROR(VLOOKUP($A181,koronahun!$A:$AM,15,FALSE),"")</f>
        <v>6476</v>
      </c>
      <c r="P181">
        <f>IFERROR(VLOOKUP($A181,koronahun!$A:$AM,16,FALSE),"")</f>
        <v>15154</v>
      </c>
      <c r="Q181" s="13">
        <f>IFERROR(VLOOKUP($A181,koronahun!$A:$AM,17,FALSE),"")</f>
        <v>4.4806651709119703E-2</v>
      </c>
      <c r="R181">
        <f>IFERROR(VLOOKUP($A181,koronahun!$A:$AM,18,FALSE),"")</f>
        <v>9</v>
      </c>
      <c r="S181">
        <f>IFERROR(VLOOKUP($A181,koronahun!$A:$AM,19,FALSE),"")</f>
        <v>556</v>
      </c>
      <c r="T181">
        <f>IFERROR(VLOOKUP($A181,koronahun!$A:$AM,20,FALSE),"")</f>
        <v>533</v>
      </c>
      <c r="U181">
        <f>IFERROR(VLOOKUP($A181,koronahun!$A:$AM,21,FALSE),"")</f>
        <v>84</v>
      </c>
      <c r="V181" s="13">
        <f>IFERROR(VLOOKUP($A181,koronahun!$A:$AM,22,FALSE),"")</f>
        <v>9.156116708607406E-3</v>
      </c>
      <c r="W181">
        <f>IFERROR(VLOOKUP($A181,koronahun!$A:$AM,23,FALSE),"")</f>
        <v>-6</v>
      </c>
      <c r="X181">
        <f>IFERROR(VLOOKUP($A181,koronahun!$A:$AM,24,FALSE),"")</f>
        <v>-3</v>
      </c>
      <c r="Y181" s="14">
        <f>IFERROR(VLOOKUP($A181,koronahun!$A:$AM,25,FALSE),"")</f>
        <v>7.0699031701817211E-2</v>
      </c>
      <c r="Z181" s="14">
        <f>IFERROR(VLOOKUP($A181,koronahun!$A:$AM,26,FALSE),"")</f>
        <v>0.1575984990619137</v>
      </c>
      <c r="AA181" s="14">
        <f>IFERROR(VLOOKUP($A181,koronahun!$A:$AM,27,FALSE),"")</f>
        <v>1.1325796505652621</v>
      </c>
      <c r="AB181" s="14">
        <f>IFERROR(VLOOKUP($A181,koronahun!$A:$AM,28,FALSE),"")</f>
        <v>1.1208444605800394</v>
      </c>
      <c r="AC181" s="14">
        <f>IFERROR(VLOOKUP($A181,koronahun!$A:$AM,29,FALSE),"")</f>
        <v>472.28571428571428</v>
      </c>
      <c r="AD181" s="14">
        <f>IFERROR(VLOOKUP($A181,koronahun!$A:$AM,30,FALSE),"")</f>
        <v>6.8571428571428568</v>
      </c>
      <c r="AE181" s="14">
        <f>IFERROR(VLOOKUP($A181,koronahun!$A:$AM,31,FALSE),"")</f>
        <v>12772.857142857143</v>
      </c>
      <c r="AF181" s="13">
        <f>IFERROR(VLOOKUP($A181,koronahun!$A:$AM,32,FALSE),"")</f>
        <v>3.7988056937172728E-2</v>
      </c>
      <c r="AG181">
        <f>IFERROR(VLOOKUP($A181,koronahun!$A:$AM,33,FALSE),"")</f>
        <v>5891228</v>
      </c>
      <c r="AH181">
        <f>IFERROR(VLOOKUP($A181,koronahun!$A:$AM,34,FALSE),"")</f>
        <v>3688</v>
      </c>
      <c r="AI181">
        <f>IFERROR(VLOOKUP($A181,koronahun!$A:$AM,35,FALSE),"")</f>
        <v>3541</v>
      </c>
      <c r="AJ181">
        <f>IFERROR(VLOOKUP($A181,koronahun!$A:$AM,36,FALSE),"")</f>
        <v>5651539</v>
      </c>
      <c r="AK181">
        <f>IFERROR(VLOOKUP($A181,koronahun!$A:$AM,37,FALSE),"")</f>
        <v>6021</v>
      </c>
      <c r="AL181">
        <f>IFERROR(VLOOKUP($A181,koronahun!$A:$AM,38,FALSE),"")</f>
        <v>7253.2</v>
      </c>
      <c r="AM181" s="14">
        <f>IFERROR(VLOOKUP($A181,koronahun!$A:$AM,39,FALSE),"")</f>
        <v>550.28571428571433</v>
      </c>
      <c r="AN181" s="11">
        <f ca="1">IFERROR(__xludf.DUMMYFUNCTION("""COMPUTED_VALUE"""),44073)</f>
        <v>44073</v>
      </c>
      <c r="AO181" s="12">
        <f ca="1">IFERROR(VLOOKUP(AN181,koronahun!A:B,2,FALSE),"")</f>
        <v>5961</v>
      </c>
      <c r="AP181" s="11">
        <f t="shared" ca="1" si="0"/>
        <v>44073</v>
      </c>
      <c r="AQ181" s="11">
        <f ca="1">IFERROR(__xludf.DUMMYFUNCTION("""COMPUTED_VALUE"""),44073)</f>
        <v>44073</v>
      </c>
      <c r="AR181" s="11">
        <v>44473</v>
      </c>
      <c r="AS181" s="11">
        <f t="shared" si="1"/>
        <v>44473</v>
      </c>
      <c r="AT181" s="11">
        <f ca="1">IFERROR(__xludf.DUMMYFUNCTION("""COMPUTED_VALUE"""),44470)</f>
        <v>44470</v>
      </c>
    </row>
    <row r="182" spans="1:46" ht="13">
      <c r="A182" s="11">
        <v>44469</v>
      </c>
      <c r="B182">
        <f>IFERROR(VLOOKUP($A182,koronahun!$A:$AM,2,FALSE),"")</f>
        <v>822705</v>
      </c>
      <c r="C182">
        <f>IFERROR(VLOOKUP($A182,koronahun!$A:$AM,3,FALSE),"")</f>
        <v>633</v>
      </c>
      <c r="D182">
        <f>IFERROR(VLOOKUP($A182,koronahun!$A:$AM,4,FALSE),"")</f>
        <v>30190</v>
      </c>
      <c r="E182">
        <f>IFERROR(VLOOKUP($A182,koronahun!$A:$AM,5,FALSE),"")</f>
        <v>785090</v>
      </c>
      <c r="F182">
        <f>IFERROR(VLOOKUP($A182,koronahun!$A:$AM,6,FALSE),"")</f>
        <v>6932779</v>
      </c>
      <c r="G182" s="12">
        <f>IFERROR(VLOOKUP($A182,koronahun!$A:$AM,7,FALSE),"")</f>
        <v>707426.42857142852</v>
      </c>
      <c r="H182">
        <f>IFERROR(VLOOKUP($A182,koronahun!$A:$AM,8,FALSE),"")</f>
        <v>0</v>
      </c>
      <c r="I182" s="13">
        <f>IFERROR(VLOOKUP($A182,koronahun!$A:$AM,9,FALSE),"")</f>
        <v>7.7000554695939047E-4</v>
      </c>
      <c r="J182" s="13">
        <f>IFERROR(VLOOKUP($A182,koronahun!$A:$AM,10,FALSE),"")</f>
        <v>0.11866886280379052</v>
      </c>
      <c r="K182" s="13">
        <f>IFERROR(VLOOKUP($A182,koronahun!$A:$AM,11,FALSE),"")</f>
        <v>2.6485053220306528E-3</v>
      </c>
      <c r="L182">
        <f>IFERROR(VLOOKUP($A182,koronahun!$A:$AM,12,FALSE),"")</f>
        <v>7425</v>
      </c>
      <c r="M182" s="13">
        <f>IFERROR(VLOOKUP($A182,koronahun!$A:$AM,13,FALSE),"")</f>
        <v>3.6696021052503629E-2</v>
      </c>
      <c r="N182" s="13">
        <f>IFERROR(VLOOKUP($A182,koronahun!$A:$AM,14,FALSE),"")</f>
        <v>0.95427887274296375</v>
      </c>
      <c r="O182">
        <f>IFERROR(VLOOKUP($A182,koronahun!$A:$AM,15,FALSE),"")</f>
        <v>5395</v>
      </c>
      <c r="P182">
        <f>IFERROR(VLOOKUP($A182,koronahun!$A:$AM,16,FALSE),"")</f>
        <v>18313</v>
      </c>
      <c r="Q182" s="13">
        <f>IFERROR(VLOOKUP($A182,koronahun!$A:$AM,17,FALSE),"")</f>
        <v>3.4565609130126143E-2</v>
      </c>
      <c r="R182">
        <f>IFERROR(VLOOKUP($A182,koronahun!$A:$AM,18,FALSE),"")</f>
        <v>5</v>
      </c>
      <c r="S182">
        <f>IFERROR(VLOOKUP($A182,koronahun!$A:$AM,19,FALSE),"")</f>
        <v>551</v>
      </c>
      <c r="T182">
        <f>IFERROR(VLOOKUP($A182,koronahun!$A:$AM,20,FALSE),"")</f>
        <v>539</v>
      </c>
      <c r="U182">
        <f>IFERROR(VLOOKUP($A182,koronahun!$A:$AM,21,FALSE),"")</f>
        <v>87</v>
      </c>
      <c r="V182" s="13">
        <f>IFERROR(VLOOKUP($A182,koronahun!$A:$AM,22,FALSE),"")</f>
        <v>9.0251062045326094E-3</v>
      </c>
      <c r="W182">
        <f>IFERROR(VLOOKUP($A182,koronahun!$A:$AM,23,FALSE),"")</f>
        <v>10</v>
      </c>
      <c r="X182">
        <f>IFERROR(VLOOKUP($A182,koronahun!$A:$AM,24,FALSE),"")</f>
        <v>6</v>
      </c>
      <c r="Y182" s="14">
        <f>IFERROR(VLOOKUP($A182,koronahun!$A:$AM,25,FALSE),"")</f>
        <v>7.2592592592592597E-2</v>
      </c>
      <c r="Z182" s="14">
        <f>IFERROR(VLOOKUP($A182,koronahun!$A:$AM,26,FALSE),"")</f>
        <v>0.16141001855287571</v>
      </c>
      <c r="AA182" s="14">
        <f>IFERROR(VLOOKUP($A182,koronahun!$A:$AM,27,FALSE),"")</f>
        <v>1.1014998256016741</v>
      </c>
      <c r="AB182" s="14">
        <f>IFERROR(VLOOKUP($A182,koronahun!$A:$AM,28,FALSE),"")</f>
        <v>1.1348724118019689</v>
      </c>
      <c r="AC182" s="14">
        <f>IFERROR(VLOOKUP($A182,koronahun!$A:$AM,29,FALSE),"")</f>
        <v>451.14285714285717</v>
      </c>
      <c r="AD182" s="14">
        <f>IFERROR(VLOOKUP($A182,koronahun!$A:$AM,30,FALSE),"")</f>
        <v>6.4285714285714288</v>
      </c>
      <c r="AE182" s="14">
        <f>IFERROR(VLOOKUP($A182,koronahun!$A:$AM,31,FALSE),"")</f>
        <v>12670.142857142857</v>
      </c>
      <c r="AF182" s="13">
        <f>IFERROR(VLOOKUP($A182,koronahun!$A:$AM,32,FALSE),"")</f>
        <v>3.6383844711039816E-2</v>
      </c>
      <c r="AG182">
        <f>IFERROR(VLOOKUP($A182,koronahun!$A:$AM,33,FALSE),"")</f>
        <v>5887540</v>
      </c>
      <c r="AH182">
        <f>IFERROR(VLOOKUP($A182,koronahun!$A:$AM,34,FALSE),"")</f>
        <v>3357</v>
      </c>
      <c r="AI182">
        <f>IFERROR(VLOOKUP($A182,koronahun!$A:$AM,35,FALSE),"")</f>
        <v>3656.2</v>
      </c>
      <c r="AJ182">
        <f>IFERROR(VLOOKUP($A182,koronahun!$A:$AM,36,FALSE),"")</f>
        <v>5645518</v>
      </c>
      <c r="AK182">
        <f>IFERROR(VLOOKUP($A182,koronahun!$A:$AM,37,FALSE),"")</f>
        <v>5108</v>
      </c>
      <c r="AL182">
        <f>IFERROR(VLOOKUP($A182,koronahun!$A:$AM,38,FALSE),"")</f>
        <v>9018.6</v>
      </c>
      <c r="AM182" s="14">
        <f>IFERROR(VLOOKUP($A182,koronahun!$A:$AM,39,FALSE),"")</f>
        <v>521.14285714285711</v>
      </c>
      <c r="AN182" s="11">
        <f ca="1">IFERROR(__xludf.DUMMYFUNCTION("""COMPUTED_VALUE"""),44074)</f>
        <v>44074</v>
      </c>
      <c r="AO182" s="12">
        <f ca="1">IFERROR(VLOOKUP(AN182,koronahun!A:B,2,FALSE),"")</f>
        <v>6139</v>
      </c>
      <c r="AP182" s="11">
        <f t="shared" ca="1" si="0"/>
        <v>44074</v>
      </c>
      <c r="AQ182" s="11">
        <f ca="1">IFERROR(__xludf.DUMMYFUNCTION("""COMPUTED_VALUE"""),44074)</f>
        <v>44074</v>
      </c>
      <c r="AR182" s="11">
        <v>44470</v>
      </c>
      <c r="AS182" s="11">
        <f t="shared" si="1"/>
        <v>44470</v>
      </c>
      <c r="AT182" s="11">
        <f ca="1">IFERROR(__xludf.DUMMYFUNCTION("""COMPUTED_VALUE"""),44469)</f>
        <v>44469</v>
      </c>
    </row>
    <row r="183" spans="1:46" ht="13">
      <c r="A183" s="11">
        <v>44468</v>
      </c>
      <c r="B183">
        <f>IFERROR(VLOOKUP($A183,koronahun!$A:$AM,2,FALSE),"")</f>
        <v>822072</v>
      </c>
      <c r="C183">
        <f>IFERROR(VLOOKUP($A183,koronahun!$A:$AM,3,FALSE),"")</f>
        <v>546</v>
      </c>
      <c r="D183">
        <f>IFERROR(VLOOKUP($A183,koronahun!$A:$AM,4,FALSE),"")</f>
        <v>30185</v>
      </c>
      <c r="E183">
        <f>IFERROR(VLOOKUP($A183,koronahun!$A:$AM,5,FALSE),"")</f>
        <v>784539</v>
      </c>
      <c r="F183">
        <f>IFERROR(VLOOKUP($A183,koronahun!$A:$AM,6,FALSE),"")</f>
        <v>6914466</v>
      </c>
      <c r="G183" s="12">
        <f>IFERROR(VLOOKUP($A183,koronahun!$A:$AM,7,FALSE),"")</f>
        <v>705557.75510204071</v>
      </c>
      <c r="H183">
        <f>IFERROR(VLOOKUP($A183,koronahun!$A:$AM,8,FALSE),"")</f>
        <v>0</v>
      </c>
      <c r="I183" s="13">
        <f>IFERROR(VLOOKUP($A183,koronahun!$A:$AM,9,FALSE),"")</f>
        <v>6.6461682283944755E-4</v>
      </c>
      <c r="J183" s="13">
        <f>IFERROR(VLOOKUP($A183,koronahun!$A:$AM,10,FALSE),"")</f>
        <v>0.11889161071874531</v>
      </c>
      <c r="K183" s="13">
        <f>IFERROR(VLOOKUP($A183,koronahun!$A:$AM,11,FALSE),"")</f>
        <v>1.8884483845601342E-3</v>
      </c>
      <c r="L183">
        <f>IFERROR(VLOOKUP($A183,koronahun!$A:$AM,12,FALSE),"")</f>
        <v>7348</v>
      </c>
      <c r="M183" s="13">
        <f>IFERROR(VLOOKUP($A183,koronahun!$A:$AM,13,FALSE),"")</f>
        <v>3.671819499995134E-2</v>
      </c>
      <c r="N183" s="13">
        <f>IFERROR(VLOOKUP($A183,koronahun!$A:$AM,14,FALSE),"")</f>
        <v>0.95434341517531307</v>
      </c>
      <c r="O183">
        <f>IFERROR(VLOOKUP($A183,koronahun!$A:$AM,15,FALSE),"")</f>
        <v>5048</v>
      </c>
      <c r="P183">
        <f>IFERROR(VLOOKUP($A183,koronahun!$A:$AM,16,FALSE),"")</f>
        <v>13033</v>
      </c>
      <c r="Q183" s="13">
        <f>IFERROR(VLOOKUP($A183,koronahun!$A:$AM,17,FALSE),"")</f>
        <v>4.1893654569170567E-2</v>
      </c>
      <c r="R183">
        <f>IFERROR(VLOOKUP($A183,koronahun!$A:$AM,18,FALSE),"")</f>
        <v>6</v>
      </c>
      <c r="S183">
        <f>IFERROR(VLOOKUP($A183,koronahun!$A:$AM,19,FALSE),"")</f>
        <v>724</v>
      </c>
      <c r="T183">
        <f>IFERROR(VLOOKUP($A183,koronahun!$A:$AM,20,FALSE),"")</f>
        <v>529</v>
      </c>
      <c r="U183">
        <f>IFERROR(VLOOKUP($A183,koronahun!$A:$AM,21,FALSE),"")</f>
        <v>81</v>
      </c>
      <c r="V183" s="13">
        <f>IFERROR(VLOOKUP($A183,koronahun!$A:$AM,22,FALSE),"")</f>
        <v>8.9383898247355469E-3</v>
      </c>
      <c r="W183">
        <f>IFERROR(VLOOKUP($A183,koronahun!$A:$AM,23,FALSE),"")</f>
        <v>16</v>
      </c>
      <c r="X183">
        <f>IFERROR(VLOOKUP($A183,koronahun!$A:$AM,24,FALSE),"")</f>
        <v>7</v>
      </c>
      <c r="Y183" s="14">
        <f>IFERROR(VLOOKUP($A183,koronahun!$A:$AM,25,FALSE),"")</f>
        <v>7.1992378878606419E-2</v>
      </c>
      <c r="Z183" s="14">
        <f>IFERROR(VLOOKUP($A183,koronahun!$A:$AM,26,FALSE),"")</f>
        <v>0.15311909262759923</v>
      </c>
      <c r="AA183" s="14">
        <f>IFERROR(VLOOKUP($A183,koronahun!$A:$AM,27,FALSE),"")</f>
        <v>1.090032154340836</v>
      </c>
      <c r="AB183" s="14">
        <f>IFERROR(VLOOKUP($A183,koronahun!$A:$AM,28,FALSE),"")</f>
        <v>1.1670603374786395</v>
      </c>
      <c r="AC183" s="14">
        <f>IFERROR(VLOOKUP($A183,koronahun!$A:$AM,29,FALSE),"")</f>
        <v>435.85714285714283</v>
      </c>
      <c r="AD183" s="14">
        <f>IFERROR(VLOOKUP($A183,koronahun!$A:$AM,30,FALSE),"")</f>
        <v>6</v>
      </c>
      <c r="AE183" s="14">
        <f>IFERROR(VLOOKUP($A183,koronahun!$A:$AM,31,FALSE),"")</f>
        <v>12081.428571428571</v>
      </c>
      <c r="AF183" s="13">
        <f>IFERROR(VLOOKUP($A183,koronahun!$A:$AM,32,FALSE),"")</f>
        <v>3.6883349717032624E-2</v>
      </c>
      <c r="AG183">
        <f>IFERROR(VLOOKUP($A183,koronahun!$A:$AM,33,FALSE),"")</f>
        <v>5884183</v>
      </c>
      <c r="AH183">
        <f>IFERROR(VLOOKUP($A183,koronahun!$A:$AM,34,FALSE),"")</f>
        <v>2690</v>
      </c>
      <c r="AI183">
        <f>IFERROR(VLOOKUP($A183,koronahun!$A:$AM,35,FALSE),"")</f>
        <v>3663.6</v>
      </c>
      <c r="AJ183">
        <f>IFERROR(VLOOKUP($A183,koronahun!$A:$AM,36,FALSE),"")</f>
        <v>5640410</v>
      </c>
      <c r="AK183">
        <f>IFERROR(VLOOKUP($A183,koronahun!$A:$AM,37,FALSE),"")</f>
        <v>4857</v>
      </c>
      <c r="AL183">
        <f>IFERROR(VLOOKUP($A183,koronahun!$A:$AM,38,FALSE),"")</f>
        <v>9699.7999999999993</v>
      </c>
      <c r="AM183" s="14">
        <f>IFERROR(VLOOKUP($A183,koronahun!$A:$AM,39,FALSE),"")</f>
        <v>485.85714285714283</v>
      </c>
      <c r="AN183" s="11">
        <f ca="1">IFERROR(__xludf.DUMMYFUNCTION("""COMPUTED_VALUE"""),44075)</f>
        <v>44075</v>
      </c>
      <c r="AO183" s="12">
        <f ca="1">IFERROR(VLOOKUP(AN183,koronahun!A:B,2,FALSE),"")</f>
        <v>6257</v>
      </c>
      <c r="AP183" s="11">
        <f t="shared" ca="1" si="0"/>
        <v>44075</v>
      </c>
      <c r="AQ183" s="11">
        <f ca="1">IFERROR(__xludf.DUMMYFUNCTION("""COMPUTED_VALUE"""),44075)</f>
        <v>44075</v>
      </c>
      <c r="AR183" s="11">
        <v>44469</v>
      </c>
      <c r="AS183" s="11">
        <f t="shared" si="1"/>
        <v>44469</v>
      </c>
      <c r="AT183" s="11">
        <f ca="1">IFERROR(__xludf.DUMMYFUNCTION("""COMPUTED_VALUE"""),44468)</f>
        <v>44468</v>
      </c>
    </row>
    <row r="184" spans="1:46" ht="13">
      <c r="A184" s="11">
        <v>44467</v>
      </c>
      <c r="B184">
        <f>IFERROR(VLOOKUP($A184,koronahun!$A:$AM,2,FALSE),"")</f>
        <v>821526</v>
      </c>
      <c r="C184">
        <f>IFERROR(VLOOKUP($A184,koronahun!$A:$AM,3,FALSE),"")</f>
        <v>265</v>
      </c>
      <c r="D184">
        <f>IFERROR(VLOOKUP($A184,koronahun!$A:$AM,4,FALSE),"")</f>
        <v>30179</v>
      </c>
      <c r="E184">
        <f>IFERROR(VLOOKUP($A184,koronahun!$A:$AM,5,FALSE),"")</f>
        <v>783815</v>
      </c>
      <c r="F184">
        <f>IFERROR(VLOOKUP($A184,koronahun!$A:$AM,6,FALSE),"")</f>
        <v>6901433</v>
      </c>
      <c r="G184" s="12">
        <f>IFERROR(VLOOKUP($A184,koronahun!$A:$AM,7,FALSE),"")</f>
        <v>704227.85714285704</v>
      </c>
      <c r="H184">
        <f>IFERROR(VLOOKUP($A184,koronahun!$A:$AM,8,FALSE),"")</f>
        <v>0</v>
      </c>
      <c r="I184" s="13">
        <f>IFERROR(VLOOKUP($A184,koronahun!$A:$AM,9,FALSE),"")</f>
        <v>3.2267452125450983E-4</v>
      </c>
      <c r="J184" s="13">
        <f>IFERROR(VLOOKUP($A184,koronahun!$A:$AM,10,FALSE),"")</f>
        <v>0.1190370173846504</v>
      </c>
      <c r="K184" s="13">
        <f>IFERROR(VLOOKUP($A184,koronahun!$A:$AM,11,FALSE),"")</f>
        <v>1.0905269357106956E-3</v>
      </c>
      <c r="L184">
        <f>IFERROR(VLOOKUP($A184,koronahun!$A:$AM,12,FALSE),"")</f>
        <v>7532</v>
      </c>
      <c r="M184" s="13">
        <f>IFERROR(VLOOKUP($A184,koronahun!$A:$AM,13,FALSE),"")</f>
        <v>3.6735295048482948E-2</v>
      </c>
      <c r="N184" s="13">
        <f>IFERROR(VLOOKUP($A184,koronahun!$A:$AM,14,FALSE),"")</f>
        <v>0.95409640108773186</v>
      </c>
      <c r="O184">
        <f>IFERROR(VLOOKUP($A184,koronahun!$A:$AM,15,FALSE),"")</f>
        <v>4520</v>
      </c>
      <c r="P184">
        <f>IFERROR(VLOOKUP($A184,koronahun!$A:$AM,16,FALSE),"")</f>
        <v>7518</v>
      </c>
      <c r="Q184" s="13">
        <f>IFERROR(VLOOKUP($A184,koronahun!$A:$AM,17,FALSE),"")</f>
        <v>3.52487363660548E-2</v>
      </c>
      <c r="R184">
        <f>IFERROR(VLOOKUP($A184,koronahun!$A:$AM,18,FALSE),"")</f>
        <v>8</v>
      </c>
      <c r="S184">
        <f>IFERROR(VLOOKUP($A184,koronahun!$A:$AM,19,FALSE),"")</f>
        <v>648</v>
      </c>
      <c r="T184">
        <f>IFERROR(VLOOKUP($A184,koronahun!$A:$AM,20,FALSE),"")</f>
        <v>513</v>
      </c>
      <c r="U184">
        <f>IFERROR(VLOOKUP($A184,koronahun!$A:$AM,21,FALSE),"")</f>
        <v>74</v>
      </c>
      <c r="V184" s="13">
        <f>IFERROR(VLOOKUP($A184,koronahun!$A:$AM,22,FALSE),"")</f>
        <v>9.1683038637852005E-3</v>
      </c>
      <c r="W184">
        <f>IFERROR(VLOOKUP($A184,koronahun!$A:$AM,23,FALSE),"")</f>
        <v>35</v>
      </c>
      <c r="X184">
        <f>IFERROR(VLOOKUP($A184,koronahun!$A:$AM,24,FALSE),"")</f>
        <v>3</v>
      </c>
      <c r="Y184" s="14">
        <f>IFERROR(VLOOKUP($A184,koronahun!$A:$AM,25,FALSE),"")</f>
        <v>6.8109399893786504E-2</v>
      </c>
      <c r="Z184" s="14">
        <f>IFERROR(VLOOKUP($A184,koronahun!$A:$AM,26,FALSE),"")</f>
        <v>0.14424951267056529</v>
      </c>
      <c r="AA184" s="14">
        <f>IFERROR(VLOOKUP($A184,koronahun!$A:$AM,27,FALSE),"")</f>
        <v>1.1262645185462721</v>
      </c>
      <c r="AB184" s="14">
        <f>IFERROR(VLOOKUP($A184,koronahun!$A:$AM,28,FALSE),"")</f>
        <v>1.2084607648125112</v>
      </c>
      <c r="AC184" s="14">
        <f>IFERROR(VLOOKUP($A184,koronahun!$A:$AM,29,FALSE),"")</f>
        <v>429.42857142857144</v>
      </c>
      <c r="AD184" s="14">
        <f>IFERROR(VLOOKUP($A184,koronahun!$A:$AM,30,FALSE),"")</f>
        <v>5.4285714285714288</v>
      </c>
      <c r="AE184" s="14">
        <f>IFERROR(VLOOKUP($A184,koronahun!$A:$AM,31,FALSE),"")</f>
        <v>12236.428571428571</v>
      </c>
      <c r="AF184" s="13">
        <f>IFERROR(VLOOKUP($A184,koronahun!$A:$AM,32,FALSE),"")</f>
        <v>3.5601941370134338E-2</v>
      </c>
      <c r="AG184">
        <f>IFERROR(VLOOKUP($A184,koronahun!$A:$AM,33,FALSE),"")</f>
        <v>5881493</v>
      </c>
      <c r="AH184">
        <f>IFERROR(VLOOKUP($A184,koronahun!$A:$AM,34,FALSE),"")</f>
        <v>2315</v>
      </c>
      <c r="AI184">
        <f>IFERROR(VLOOKUP($A184,koronahun!$A:$AM,35,FALSE),"")</f>
        <v>3807</v>
      </c>
      <c r="AJ184">
        <f>IFERROR(VLOOKUP($A184,koronahun!$A:$AM,36,FALSE),"")</f>
        <v>5635553</v>
      </c>
      <c r="AK184">
        <f>IFERROR(VLOOKUP($A184,koronahun!$A:$AM,37,FALSE),"")</f>
        <v>4966</v>
      </c>
      <c r="AL184">
        <f>IFERROR(VLOOKUP($A184,koronahun!$A:$AM,38,FALSE),"")</f>
        <v>11264.4</v>
      </c>
      <c r="AM184" s="14">
        <f>IFERROR(VLOOKUP($A184,koronahun!$A:$AM,39,FALSE),"")</f>
        <v>439.28571428571428</v>
      </c>
      <c r="AN184" s="11">
        <f ca="1">IFERROR(__xludf.DUMMYFUNCTION("""COMPUTED_VALUE"""),44076)</f>
        <v>44076</v>
      </c>
      <c r="AO184" s="12">
        <f ca="1">IFERROR(VLOOKUP(AN184,koronahun!A:B,2,FALSE),"")</f>
        <v>6622</v>
      </c>
      <c r="AP184" s="11">
        <f t="shared" ca="1" si="0"/>
        <v>44076</v>
      </c>
      <c r="AQ184" s="11">
        <f ca="1">IFERROR(__xludf.DUMMYFUNCTION("""COMPUTED_VALUE"""),44076)</f>
        <v>44076</v>
      </c>
      <c r="AR184" s="11">
        <v>44468</v>
      </c>
      <c r="AS184" s="11">
        <f t="shared" si="1"/>
        <v>44468</v>
      </c>
      <c r="AT184" s="11">
        <f ca="1">IFERROR(__xludf.DUMMYFUNCTION("""COMPUTED_VALUE"""),44467)</f>
        <v>44467</v>
      </c>
    </row>
    <row r="185" spans="1:46" ht="13">
      <c r="A185" s="11">
        <v>44466</v>
      </c>
      <c r="B185">
        <f>IFERROR(VLOOKUP($A185,koronahun!$A:$AM,2,FALSE),"")</f>
        <v>821261</v>
      </c>
      <c r="C185">
        <f>IFERROR(VLOOKUP($A185,koronahun!$A:$AM,3,FALSE),"")</f>
        <v>1183</v>
      </c>
      <c r="D185">
        <f>IFERROR(VLOOKUP($A185,koronahun!$A:$AM,4,FALSE),"")</f>
        <v>30171</v>
      </c>
      <c r="E185">
        <f>IFERROR(VLOOKUP($A185,koronahun!$A:$AM,5,FALSE),"")</f>
        <v>783167</v>
      </c>
      <c r="F185">
        <f>IFERROR(VLOOKUP($A185,koronahun!$A:$AM,6,FALSE),"")</f>
        <v>6893915</v>
      </c>
      <c r="G185" s="12">
        <f>IFERROR(VLOOKUP($A185,koronahun!$A:$AM,7,FALSE),"")</f>
        <v>703460.7142857142</v>
      </c>
      <c r="H185">
        <f>IFERROR(VLOOKUP($A185,koronahun!$A:$AM,8,FALSE),"")</f>
        <v>0</v>
      </c>
      <c r="I185" s="13">
        <f>IFERROR(VLOOKUP($A185,koronahun!$A:$AM,9,FALSE),"")</f>
        <v>1.4425457090666985E-3</v>
      </c>
      <c r="J185" s="13">
        <f>IFERROR(VLOOKUP($A185,koronahun!$A:$AM,10,FALSE),"")</f>
        <v>0.11912839076199808</v>
      </c>
      <c r="K185" s="13">
        <f>IFERROR(VLOOKUP($A185,koronahun!$A:$AM,11,FALSE),"")</f>
        <v>5.1602947165154947E-3</v>
      </c>
      <c r="L185">
        <f>IFERROR(VLOOKUP($A185,koronahun!$A:$AM,12,FALSE),"")</f>
        <v>7923</v>
      </c>
      <c r="M185" s="13">
        <f>IFERROR(VLOOKUP($A185,koronahun!$A:$AM,13,FALSE),"")</f>
        <v>3.6737407474603079E-2</v>
      </c>
      <c r="N185" s="13">
        <f>IFERROR(VLOOKUP($A185,koronahun!$A:$AM,14,FALSE),"")</f>
        <v>0.95361523315973851</v>
      </c>
      <c r="O185">
        <f>IFERROR(VLOOKUP($A185,koronahun!$A:$AM,15,FALSE),"")</f>
        <v>4125</v>
      </c>
      <c r="P185">
        <f>IFERROR(VLOOKUP($A185,koronahun!$A:$AM,16,FALSE),"")</f>
        <v>35392</v>
      </c>
      <c r="Q185" s="13">
        <f>IFERROR(VLOOKUP($A185,koronahun!$A:$AM,17,FALSE),"")</f>
        <v>3.3425632911392403E-2</v>
      </c>
      <c r="R185">
        <f>IFERROR(VLOOKUP($A185,koronahun!$A:$AM,18,FALSE),"")</f>
        <v>20</v>
      </c>
      <c r="S185">
        <f>IFERROR(VLOOKUP($A185,koronahun!$A:$AM,19,FALSE),"")</f>
        <v>1373</v>
      </c>
      <c r="T185">
        <f>IFERROR(VLOOKUP($A185,koronahun!$A:$AM,20,FALSE),"")</f>
        <v>478</v>
      </c>
      <c r="U185">
        <f>IFERROR(VLOOKUP($A185,koronahun!$A:$AM,21,FALSE),"")</f>
        <v>71</v>
      </c>
      <c r="V185" s="13">
        <f>IFERROR(VLOOKUP($A185,koronahun!$A:$AM,22,FALSE),"")</f>
        <v>9.6473593656584197E-3</v>
      </c>
      <c r="W185">
        <f>IFERROR(VLOOKUP($A185,koronahun!$A:$AM,23,FALSE),"")</f>
        <v>40</v>
      </c>
      <c r="X185">
        <f>IFERROR(VLOOKUP($A185,koronahun!$A:$AM,24,FALSE),"")</f>
        <v>17</v>
      </c>
      <c r="Y185" s="14">
        <f>IFERROR(VLOOKUP($A185,koronahun!$A:$AM,25,FALSE),"")</f>
        <v>6.033068282216332E-2</v>
      </c>
      <c r="Z185" s="14">
        <f>IFERROR(VLOOKUP($A185,koronahun!$A:$AM,26,FALSE),"")</f>
        <v>0.14853556485355648</v>
      </c>
      <c r="AA185" s="14">
        <f>IFERROR(VLOOKUP($A185,koronahun!$A:$AM,27,FALSE),"")</f>
        <v>1.1538461538461537</v>
      </c>
      <c r="AB185" s="14">
        <f>IFERROR(VLOOKUP($A185,koronahun!$A:$AM,28,FALSE),"")</f>
        <v>1.2457754951416238</v>
      </c>
      <c r="AC185" s="14">
        <f>IFERROR(VLOOKUP($A185,koronahun!$A:$AM,29,FALSE),"")</f>
        <v>432.85714285714283</v>
      </c>
      <c r="AD185" s="14">
        <f>IFERROR(VLOOKUP($A185,koronahun!$A:$AM,30,FALSE),"")</f>
        <v>5</v>
      </c>
      <c r="AE185" s="14">
        <f>IFERROR(VLOOKUP($A185,koronahun!$A:$AM,31,FALSE),"")</f>
        <v>12575.571428571429</v>
      </c>
      <c r="AF185" s="13">
        <f>IFERROR(VLOOKUP($A185,koronahun!$A:$AM,32,FALSE),"")</f>
        <v>3.4395299636753543E-2</v>
      </c>
      <c r="AG185">
        <f>IFERROR(VLOOKUP($A185,koronahun!$A:$AM,33,FALSE),"")</f>
        <v>5879178</v>
      </c>
      <c r="AH185">
        <f>IFERROR(VLOOKUP($A185,koronahun!$A:$AM,34,FALSE),"")</f>
        <v>5655</v>
      </c>
      <c r="AI185">
        <f>IFERROR(VLOOKUP($A185,koronahun!$A:$AM,35,FALSE),"")</f>
        <v>3872.8</v>
      </c>
      <c r="AJ185">
        <f>IFERROR(VLOOKUP($A185,koronahun!$A:$AM,36,FALSE),"")</f>
        <v>5630587</v>
      </c>
      <c r="AK185">
        <f>IFERROR(VLOOKUP($A185,koronahun!$A:$AM,37,FALSE),"")</f>
        <v>15314</v>
      </c>
      <c r="AL185">
        <f>IFERROR(VLOOKUP($A185,koronahun!$A:$AM,38,FALSE),"")</f>
        <v>11908.8</v>
      </c>
      <c r="AM185" s="14">
        <f>IFERROR(VLOOKUP($A185,koronahun!$A:$AM,39,FALSE),"")</f>
        <v>386</v>
      </c>
      <c r="AN185" s="11">
        <f ca="1">IFERROR(__xludf.DUMMYFUNCTION("""COMPUTED_VALUE"""),44077)</f>
        <v>44077</v>
      </c>
      <c r="AO185" s="12">
        <f ca="1">IFERROR(VLOOKUP(AN185,koronahun!A:B,2,FALSE),"")</f>
        <v>6923</v>
      </c>
      <c r="AP185" s="11">
        <f t="shared" ca="1" si="0"/>
        <v>44077</v>
      </c>
      <c r="AQ185" s="11">
        <f ca="1">IFERROR(__xludf.DUMMYFUNCTION("""COMPUTED_VALUE"""),44077)</f>
        <v>44077</v>
      </c>
      <c r="AR185" s="11">
        <v>44467</v>
      </c>
      <c r="AS185" s="11">
        <f t="shared" si="1"/>
        <v>44467</v>
      </c>
      <c r="AT185" s="11">
        <f ca="1">IFERROR(__xludf.DUMMYFUNCTION("""COMPUTED_VALUE"""),44466)</f>
        <v>44466</v>
      </c>
    </row>
    <row r="186" spans="1:46" ht="13">
      <c r="A186" s="11">
        <v>44463</v>
      </c>
      <c r="B186">
        <f>IFERROR(VLOOKUP($A186,koronahun!$A:$AM,2,FALSE),"")</f>
        <v>820078</v>
      </c>
      <c r="C186">
        <f>IFERROR(VLOOKUP($A186,koronahun!$A:$AM,3,FALSE),"")</f>
        <v>531</v>
      </c>
      <c r="D186">
        <f>IFERROR(VLOOKUP($A186,koronahun!$A:$AM,4,FALSE),"")</f>
        <v>30151</v>
      </c>
      <c r="E186">
        <f>IFERROR(VLOOKUP($A186,koronahun!$A:$AM,5,FALSE),"")</f>
        <v>781794</v>
      </c>
      <c r="F186">
        <f>IFERROR(VLOOKUP($A186,koronahun!$A:$AM,6,FALSE),"")</f>
        <v>6858523</v>
      </c>
      <c r="G186" s="12">
        <f>IFERROR(VLOOKUP($A186,koronahun!$A:$AM,7,FALSE),"")</f>
        <v>699849.28571428568</v>
      </c>
      <c r="H186">
        <f>IFERROR(VLOOKUP($A186,koronahun!$A:$AM,8,FALSE),"")</f>
        <v>0</v>
      </c>
      <c r="I186" s="13">
        <f>IFERROR(VLOOKUP($A186,koronahun!$A:$AM,9,FALSE),"")</f>
        <v>6.4791891130099922E-4</v>
      </c>
      <c r="J186" s="13">
        <f>IFERROR(VLOOKUP($A186,koronahun!$A:$AM,10,FALSE),"")</f>
        <v>0.11957064225052537</v>
      </c>
      <c r="K186" s="13">
        <f>IFERROR(VLOOKUP($A186,koronahun!$A:$AM,11,FALSE),"")</f>
        <v>2.1091195788248192E-3</v>
      </c>
      <c r="L186">
        <f>IFERROR(VLOOKUP($A186,koronahun!$A:$AM,12,FALSE),"")</f>
        <v>8133</v>
      </c>
      <c r="M186" s="13">
        <f>IFERROR(VLOOKUP($A186,koronahun!$A:$AM,13,FALSE),"")</f>
        <v>3.6766014940042287E-2</v>
      </c>
      <c r="N186" s="13">
        <f>IFERROR(VLOOKUP($A186,koronahun!$A:$AM,14,FALSE),"")</f>
        <v>0.95331663573464964</v>
      </c>
      <c r="O186">
        <f>IFERROR(VLOOKUP($A186,koronahun!$A:$AM,15,FALSE),"")</f>
        <v>5839</v>
      </c>
      <c r="P186">
        <f>IFERROR(VLOOKUP($A186,koronahun!$A:$AM,16,FALSE),"")</f>
        <v>14435</v>
      </c>
      <c r="Q186" s="13">
        <f>IFERROR(VLOOKUP($A186,koronahun!$A:$AM,17,FALSE),"")</f>
        <v>3.6785590578455145E-2</v>
      </c>
      <c r="R186">
        <f>IFERROR(VLOOKUP($A186,koronahun!$A:$AM,18,FALSE),"")</f>
        <v>6</v>
      </c>
      <c r="S186">
        <f>IFERROR(VLOOKUP($A186,koronahun!$A:$AM,19,FALSE),"")</f>
        <v>352</v>
      </c>
      <c r="T186">
        <f>IFERROR(VLOOKUP($A186,koronahun!$A:$AM,20,FALSE),"")</f>
        <v>438</v>
      </c>
      <c r="U186">
        <f>IFERROR(VLOOKUP($A186,koronahun!$A:$AM,21,FALSE),"")</f>
        <v>54</v>
      </c>
      <c r="V186" s="13">
        <f>IFERROR(VLOOKUP($A186,koronahun!$A:$AM,22,FALSE),"")</f>
        <v>9.9173493253080797E-3</v>
      </c>
      <c r="W186">
        <f>IFERROR(VLOOKUP($A186,koronahun!$A:$AM,23,FALSE),"")</f>
        <v>27</v>
      </c>
      <c r="X186">
        <f>IFERROR(VLOOKUP($A186,koronahun!$A:$AM,24,FALSE),"")</f>
        <v>6</v>
      </c>
      <c r="Y186" s="14">
        <f>IFERROR(VLOOKUP($A186,koronahun!$A:$AM,25,FALSE),"")</f>
        <v>5.3854666174843233E-2</v>
      </c>
      <c r="Z186" s="14">
        <f>IFERROR(VLOOKUP($A186,koronahun!$A:$AM,26,FALSE),"")</f>
        <v>0.12328767123287671</v>
      </c>
      <c r="AA186" s="14">
        <f>IFERROR(VLOOKUP($A186,koronahun!$A:$AM,27,FALSE),"")</f>
        <v>1.2027194066749074</v>
      </c>
      <c r="AB186" s="14">
        <f>IFERROR(VLOOKUP($A186,koronahun!$A:$AM,28,FALSE),"")</f>
        <v>1.2889760087646727</v>
      </c>
      <c r="AC186" s="14">
        <f>IFERROR(VLOOKUP($A186,koronahun!$A:$AM,29,FALSE),"")</f>
        <v>417</v>
      </c>
      <c r="AD186" s="14">
        <f>IFERROR(VLOOKUP($A186,koronahun!$A:$AM,30,FALSE),"")</f>
        <v>4</v>
      </c>
      <c r="AE186" s="14">
        <f>IFERROR(VLOOKUP($A186,koronahun!$A:$AM,31,FALSE),"")</f>
        <v>12792.571428571429</v>
      </c>
      <c r="AF186" s="13">
        <f>IFERROR(VLOOKUP($A186,koronahun!$A:$AM,32,FALSE),"")</f>
        <v>3.3518739606451436E-2</v>
      </c>
      <c r="AG186">
        <f>IFERROR(VLOOKUP($A186,koronahun!$A:$AM,33,FALSE),"")</f>
        <v>5873523</v>
      </c>
      <c r="AH186">
        <f>IFERROR(VLOOKUP($A186,koronahun!$A:$AM,34,FALSE),"")</f>
        <v>4264</v>
      </c>
      <c r="AI186">
        <f>IFERROR(VLOOKUP($A186,koronahun!$A:$AM,35,FALSE),"")</f>
        <v>3696.8</v>
      </c>
      <c r="AJ186">
        <f>IFERROR(VLOOKUP($A186,koronahun!$A:$AM,36,FALSE),"")</f>
        <v>5615273</v>
      </c>
      <c r="AK186">
        <f>IFERROR(VLOOKUP($A186,koronahun!$A:$AM,37,FALSE),"")</f>
        <v>14848</v>
      </c>
      <c r="AL186">
        <f>IFERROR(VLOOKUP($A186,koronahun!$A:$AM,38,FALSE),"")</f>
        <v>10137.4</v>
      </c>
      <c r="AM186" s="14">
        <f>IFERROR(VLOOKUP($A186,koronahun!$A:$AM,39,FALSE),"")</f>
        <v>288.14285714285717</v>
      </c>
      <c r="AN186" s="11">
        <f ca="1">IFERROR(__xludf.DUMMYFUNCTION("""COMPUTED_VALUE"""),44078)</f>
        <v>44078</v>
      </c>
      <c r="AO186" s="12">
        <f ca="1">IFERROR(VLOOKUP(AN186,koronahun!A:B,2,FALSE),"")</f>
        <v>7382</v>
      </c>
      <c r="AP186" s="11">
        <f t="shared" ca="1" si="0"/>
        <v>44078</v>
      </c>
      <c r="AQ186" s="11">
        <f ca="1">IFERROR(__xludf.DUMMYFUNCTION("""COMPUTED_VALUE"""),44078)</f>
        <v>44078</v>
      </c>
      <c r="AR186" s="11">
        <v>44466</v>
      </c>
      <c r="AS186" s="11">
        <f t="shared" si="1"/>
        <v>44466</v>
      </c>
      <c r="AT186" s="11">
        <f ca="1">IFERROR(__xludf.DUMMYFUNCTION("""COMPUTED_VALUE"""),44463)</f>
        <v>44463</v>
      </c>
    </row>
    <row r="187" spans="1:46" ht="13">
      <c r="A187" s="11">
        <v>44462</v>
      </c>
      <c r="B187">
        <f>IFERROR(VLOOKUP($A187,koronahun!$A:$AM,2,FALSE),"")</f>
        <v>819547</v>
      </c>
      <c r="C187">
        <f>IFERROR(VLOOKUP($A187,koronahun!$A:$AM,3,FALSE),"")</f>
        <v>526</v>
      </c>
      <c r="D187">
        <f>IFERROR(VLOOKUP($A187,koronahun!$A:$AM,4,FALSE),"")</f>
        <v>30145</v>
      </c>
      <c r="E187">
        <f>IFERROR(VLOOKUP($A187,koronahun!$A:$AM,5,FALSE),"")</f>
        <v>781442</v>
      </c>
      <c r="F187">
        <f>IFERROR(VLOOKUP($A187,koronahun!$A:$AM,6,FALSE),"")</f>
        <v>6844088</v>
      </c>
      <c r="G187" s="12">
        <f>IFERROR(VLOOKUP($A187,koronahun!$A:$AM,7,FALSE),"")</f>
        <v>698376.32653061219</v>
      </c>
      <c r="H187">
        <f>IFERROR(VLOOKUP($A187,koronahun!$A:$AM,8,FALSE),"")</f>
        <v>0</v>
      </c>
      <c r="I187" s="13">
        <f>IFERROR(VLOOKUP($A187,koronahun!$A:$AM,9,FALSE),"")</f>
        <v>6.422301748062626E-4</v>
      </c>
      <c r="J187" s="13">
        <f>IFERROR(VLOOKUP($A187,koronahun!$A:$AM,10,FALSE),"")</f>
        <v>0.11974524582384095</v>
      </c>
      <c r="K187" s="13">
        <f>IFERROR(VLOOKUP($A187,koronahun!$A:$AM,11,FALSE),"")</f>
        <v>2.077923294878868E-3</v>
      </c>
      <c r="L187">
        <f>IFERROR(VLOOKUP($A187,koronahun!$A:$AM,12,FALSE),"")</f>
        <v>7960</v>
      </c>
      <c r="M187" s="13">
        <f>IFERROR(VLOOKUP($A187,koronahun!$A:$AM,13,FALSE),"")</f>
        <v>3.67825152187733E-2</v>
      </c>
      <c r="N187" s="13">
        <f>IFERROR(VLOOKUP($A187,koronahun!$A:$AM,14,FALSE),"")</f>
        <v>0.95350480204307986</v>
      </c>
      <c r="O187">
        <f>IFERROR(VLOOKUP($A187,koronahun!$A:$AM,15,FALSE),"")</f>
        <v>5495</v>
      </c>
      <c r="P187">
        <f>IFERROR(VLOOKUP($A187,koronahun!$A:$AM,16,FALSE),"")</f>
        <v>14192</v>
      </c>
      <c r="Q187" s="13">
        <f>IFERROR(VLOOKUP($A187,koronahun!$A:$AM,17,FALSE),"")</f>
        <v>3.7063134160090189E-2</v>
      </c>
      <c r="R187">
        <f>IFERROR(VLOOKUP($A187,koronahun!$A:$AM,18,FALSE),"")</f>
        <v>2</v>
      </c>
      <c r="S187">
        <f>IFERROR(VLOOKUP($A187,koronahun!$A:$AM,19,FALSE),"")</f>
        <v>304</v>
      </c>
      <c r="T187">
        <f>IFERROR(VLOOKUP($A187,koronahun!$A:$AM,20,FALSE),"")</f>
        <v>411</v>
      </c>
      <c r="U187">
        <f>IFERROR(VLOOKUP($A187,koronahun!$A:$AM,21,FALSE),"")</f>
        <v>48</v>
      </c>
      <c r="V187" s="13">
        <f>IFERROR(VLOOKUP($A187,koronahun!$A:$AM,22,FALSE),"")</f>
        <v>9.7126827381468061E-3</v>
      </c>
      <c r="W187">
        <f>IFERROR(VLOOKUP($A187,koronahun!$A:$AM,23,FALSE),"")</f>
        <v>5</v>
      </c>
      <c r="X187">
        <f>IFERROR(VLOOKUP($A187,koronahun!$A:$AM,24,FALSE),"")</f>
        <v>2</v>
      </c>
      <c r="Y187" s="14">
        <f>IFERROR(VLOOKUP($A187,koronahun!$A:$AM,25,FALSE),"")</f>
        <v>5.1633165829145726E-2</v>
      </c>
      <c r="Z187" s="14">
        <f>IFERROR(VLOOKUP($A187,koronahun!$A:$AM,26,FALSE),"")</f>
        <v>0.11678832116788321</v>
      </c>
      <c r="AA187" s="14">
        <f>IFERROR(VLOOKUP($A187,koronahun!$A:$AM,27,FALSE),"")</f>
        <v>1.2624394539850285</v>
      </c>
      <c r="AB187" s="14">
        <f>IFERROR(VLOOKUP($A187,koronahun!$A:$AM,28,FALSE),"")</f>
        <v>1.3353115600538046</v>
      </c>
      <c r="AC187" s="14">
        <f>IFERROR(VLOOKUP($A187,koronahun!$A:$AM,29,FALSE),"")</f>
        <v>409.57142857142856</v>
      </c>
      <c r="AD187" s="14">
        <f>IFERROR(VLOOKUP($A187,koronahun!$A:$AM,30,FALSE),"")</f>
        <v>3.8571428571428572</v>
      </c>
      <c r="AE187" s="14">
        <f>IFERROR(VLOOKUP($A187,koronahun!$A:$AM,31,FALSE),"")</f>
        <v>12956.142857142857</v>
      </c>
      <c r="AF187" s="13">
        <f>IFERROR(VLOOKUP($A187,koronahun!$A:$AM,32,FALSE),"")</f>
        <v>3.2310530348270035E-2</v>
      </c>
      <c r="AG187">
        <f>IFERROR(VLOOKUP($A187,koronahun!$A:$AM,33,FALSE),"")</f>
        <v>5869259</v>
      </c>
      <c r="AH187">
        <f>IFERROR(VLOOKUP($A187,koronahun!$A:$AM,34,FALSE),"")</f>
        <v>3394</v>
      </c>
      <c r="AI187">
        <f>IFERROR(VLOOKUP($A187,koronahun!$A:$AM,35,FALSE),"")</f>
        <v>3674.4</v>
      </c>
      <c r="AJ187">
        <f>IFERROR(VLOOKUP($A187,koronahun!$A:$AM,36,FALSE),"")</f>
        <v>5600425</v>
      </c>
      <c r="AK187">
        <f>IFERROR(VLOOKUP($A187,koronahun!$A:$AM,37,FALSE),"")</f>
        <v>8514</v>
      </c>
      <c r="AL187">
        <f>IFERROR(VLOOKUP($A187,koronahun!$A:$AM,38,FALSE),"")</f>
        <v>8301.2000000000007</v>
      </c>
      <c r="AM187" s="14">
        <f>IFERROR(VLOOKUP($A187,koronahun!$A:$AM,39,FALSE),"")</f>
        <v>287</v>
      </c>
      <c r="AN187" s="11">
        <f ca="1">IFERROR(__xludf.DUMMYFUNCTION("""COMPUTED_VALUE"""),44079)</f>
        <v>44079</v>
      </c>
      <c r="AO187" s="12">
        <f ca="1">IFERROR(VLOOKUP(AN187,koronahun!A:B,2,FALSE),"")</f>
        <v>7892</v>
      </c>
      <c r="AP187" s="11">
        <f t="shared" ca="1" si="0"/>
        <v>44079</v>
      </c>
      <c r="AQ187" s="11">
        <f ca="1">IFERROR(__xludf.DUMMYFUNCTION("""COMPUTED_VALUE"""),44079)</f>
        <v>44079</v>
      </c>
      <c r="AR187" s="11">
        <v>44463</v>
      </c>
      <c r="AS187" s="11">
        <f t="shared" si="1"/>
        <v>44463</v>
      </c>
      <c r="AT187" s="11">
        <f ca="1">IFERROR(__xludf.DUMMYFUNCTION("""COMPUTED_VALUE"""),44462)</f>
        <v>44462</v>
      </c>
    </row>
    <row r="188" spans="1:46" ht="13">
      <c r="A188" s="11">
        <v>44461</v>
      </c>
      <c r="B188">
        <f>IFERROR(VLOOKUP($A188,koronahun!$A:$AM,2,FALSE),"")</f>
        <v>819021</v>
      </c>
      <c r="C188">
        <f>IFERROR(VLOOKUP($A188,koronahun!$A:$AM,3,FALSE),"")</f>
        <v>501</v>
      </c>
      <c r="D188">
        <f>IFERROR(VLOOKUP($A188,koronahun!$A:$AM,4,FALSE),"")</f>
        <v>30143</v>
      </c>
      <c r="E188">
        <f>IFERROR(VLOOKUP($A188,koronahun!$A:$AM,5,FALSE),"")</f>
        <v>781138</v>
      </c>
      <c r="F188">
        <f>IFERROR(VLOOKUP($A188,koronahun!$A:$AM,6,FALSE),"")</f>
        <v>6829896</v>
      </c>
      <c r="G188" s="12">
        <f>IFERROR(VLOOKUP($A188,koronahun!$A:$AM,7,FALSE),"")</f>
        <v>696928.16326530604</v>
      </c>
      <c r="H188">
        <f>IFERROR(VLOOKUP($A188,koronahun!$A:$AM,8,FALSE),"")</f>
        <v>0</v>
      </c>
      <c r="I188" s="13">
        <f>IFERROR(VLOOKUP($A188,koronahun!$A:$AM,9,FALSE),"")</f>
        <v>6.1208034012608125E-4</v>
      </c>
      <c r="J188" s="13">
        <f>IFERROR(VLOOKUP($A188,koronahun!$A:$AM,10,FALSE),"")</f>
        <v>0.11991705290973684</v>
      </c>
      <c r="K188" s="13">
        <f>IFERROR(VLOOKUP($A188,koronahun!$A:$AM,11,FALSE),"")</f>
        <v>2.07137028230673E-3</v>
      </c>
      <c r="L188">
        <f>IFERROR(VLOOKUP($A188,koronahun!$A:$AM,12,FALSE),"")</f>
        <v>7740</v>
      </c>
      <c r="M188" s="13">
        <f>IFERROR(VLOOKUP($A188,koronahun!$A:$AM,13,FALSE),"")</f>
        <v>3.6803696120123901E-2</v>
      </c>
      <c r="N188" s="13">
        <f>IFERROR(VLOOKUP($A188,koronahun!$A:$AM,14,FALSE),"")</f>
        <v>0.95374599674489424</v>
      </c>
      <c r="O188">
        <f>IFERROR(VLOOKUP($A188,koronahun!$A:$AM,15,FALSE),"")</f>
        <v>4825</v>
      </c>
      <c r="P188">
        <f>IFERROR(VLOOKUP($A188,koronahun!$A:$AM,16,FALSE),"")</f>
        <v>14118</v>
      </c>
      <c r="Q188" s="13">
        <f>IFERROR(VLOOKUP($A188,koronahun!$A:$AM,17,FALSE),"")</f>
        <v>3.5486612834679132E-2</v>
      </c>
      <c r="R188">
        <f>IFERROR(VLOOKUP($A188,koronahun!$A:$AM,18,FALSE),"")</f>
        <v>2</v>
      </c>
      <c r="S188">
        <f>IFERROR(VLOOKUP($A188,koronahun!$A:$AM,19,FALSE),"")</f>
        <v>398</v>
      </c>
      <c r="T188">
        <f>IFERROR(VLOOKUP($A188,koronahun!$A:$AM,20,FALSE),"")</f>
        <v>406</v>
      </c>
      <c r="U188">
        <f>IFERROR(VLOOKUP($A188,koronahun!$A:$AM,21,FALSE),"")</f>
        <v>46</v>
      </c>
      <c r="V188" s="13">
        <f>IFERROR(VLOOKUP($A188,koronahun!$A:$AM,22,FALSE),"")</f>
        <v>9.4503071349818866E-3</v>
      </c>
      <c r="W188">
        <f>IFERROR(VLOOKUP($A188,koronahun!$A:$AM,23,FALSE),"")</f>
        <v>5</v>
      </c>
      <c r="X188">
        <f>IFERROR(VLOOKUP($A188,koronahun!$A:$AM,24,FALSE),"")</f>
        <v>1</v>
      </c>
      <c r="Y188" s="14">
        <f>IFERROR(VLOOKUP($A188,koronahun!$A:$AM,25,FALSE),"")</f>
        <v>5.2454780361757103E-2</v>
      </c>
      <c r="Z188" s="14">
        <f>IFERROR(VLOOKUP($A188,koronahun!$A:$AM,26,FALSE),"")</f>
        <v>0.11330049261083744</v>
      </c>
      <c r="AA188" s="14">
        <f>IFERROR(VLOOKUP($A188,koronahun!$A:$AM,27,FALSE),"")</f>
        <v>1.2970342910101946</v>
      </c>
      <c r="AB188" s="14">
        <f>IFERROR(VLOOKUP($A188,koronahun!$A:$AM,28,FALSE),"")</f>
        <v>1.3638880256924426</v>
      </c>
      <c r="AC188" s="14">
        <f>IFERROR(VLOOKUP($A188,koronahun!$A:$AM,29,FALSE),"")</f>
        <v>399.85714285714283</v>
      </c>
      <c r="AD188" s="14">
        <f>IFERROR(VLOOKUP($A188,koronahun!$A:$AM,30,FALSE),"")</f>
        <v>4.1428571428571432</v>
      </c>
      <c r="AE188" s="14">
        <f>IFERROR(VLOOKUP($A188,koronahun!$A:$AM,31,FALSE),"")</f>
        <v>13169</v>
      </c>
      <c r="AF188" s="13">
        <f>IFERROR(VLOOKUP($A188,koronahun!$A:$AM,32,FALSE),"")</f>
        <v>3.0738995213739562E-2</v>
      </c>
      <c r="AG188">
        <f>IFERROR(VLOOKUP($A188,koronahun!$A:$AM,33,FALSE),"")</f>
        <v>5865865</v>
      </c>
      <c r="AH188">
        <f>IFERROR(VLOOKUP($A188,koronahun!$A:$AM,34,FALSE),"")</f>
        <v>3407</v>
      </c>
      <c r="AI188">
        <f>IFERROR(VLOOKUP($A188,koronahun!$A:$AM,35,FALSE),"")</f>
        <v>3772.6</v>
      </c>
      <c r="AJ188">
        <f>IFERROR(VLOOKUP($A188,koronahun!$A:$AM,36,FALSE),"")</f>
        <v>5591911</v>
      </c>
      <c r="AK188">
        <f>IFERROR(VLOOKUP($A188,koronahun!$A:$AM,37,FALSE),"")</f>
        <v>12680</v>
      </c>
      <c r="AL188">
        <f>IFERROR(VLOOKUP($A188,koronahun!$A:$AM,38,FALSE),"")</f>
        <v>7713</v>
      </c>
      <c r="AM188" s="14">
        <f>IFERROR(VLOOKUP($A188,koronahun!$A:$AM,39,FALSE),"")</f>
        <v>269.71428571428572</v>
      </c>
      <c r="AN188" s="11">
        <f ca="1">IFERROR(__xludf.DUMMYFUNCTION("""COMPUTED_VALUE"""),44080)</f>
        <v>44080</v>
      </c>
      <c r="AO188" s="12">
        <f ca="1">IFERROR(VLOOKUP(AN188,koronahun!A:B,2,FALSE),"")</f>
        <v>8387</v>
      </c>
      <c r="AP188" s="11">
        <f t="shared" ca="1" si="0"/>
        <v>44080</v>
      </c>
      <c r="AQ188" s="11">
        <f ca="1">IFERROR(__xludf.DUMMYFUNCTION("""COMPUTED_VALUE"""),44080)</f>
        <v>44080</v>
      </c>
      <c r="AR188" s="11">
        <v>44462</v>
      </c>
      <c r="AS188" s="11">
        <f t="shared" si="1"/>
        <v>44462</v>
      </c>
      <c r="AT188" s="11">
        <f ca="1">IFERROR(__xludf.DUMMYFUNCTION("""COMPUTED_VALUE"""),44461)</f>
        <v>44461</v>
      </c>
    </row>
    <row r="189" spans="1:46" ht="13">
      <c r="A189" s="11">
        <v>44460</v>
      </c>
      <c r="B189">
        <f>IFERROR(VLOOKUP($A189,koronahun!$A:$AM,2,FALSE),"")</f>
        <v>818520</v>
      </c>
      <c r="C189">
        <f>IFERROR(VLOOKUP($A189,koronahun!$A:$AM,3,FALSE),"")</f>
        <v>289</v>
      </c>
      <c r="D189">
        <f>IFERROR(VLOOKUP($A189,koronahun!$A:$AM,4,FALSE),"")</f>
        <v>30141</v>
      </c>
      <c r="E189">
        <f>IFERROR(VLOOKUP($A189,koronahun!$A:$AM,5,FALSE),"")</f>
        <v>780740</v>
      </c>
      <c r="F189">
        <f>IFERROR(VLOOKUP($A189,koronahun!$A:$AM,6,FALSE),"")</f>
        <v>6815778</v>
      </c>
      <c r="G189" s="12">
        <f>IFERROR(VLOOKUP($A189,koronahun!$A:$AM,7,FALSE),"")</f>
        <v>695487.55102040817</v>
      </c>
      <c r="H189">
        <f>IFERROR(VLOOKUP($A189,koronahun!$A:$AM,8,FALSE),"")</f>
        <v>0</v>
      </c>
      <c r="I189" s="13">
        <f>IFERROR(VLOOKUP($A189,koronahun!$A:$AM,9,FALSE),"")</f>
        <v>3.5320099091821258E-4</v>
      </c>
      <c r="J189" s="13">
        <f>IFERROR(VLOOKUP($A189,koronahun!$A:$AM,10,FALSE),"")</f>
        <v>0.1200919396142304</v>
      </c>
      <c r="K189" s="13">
        <f>IFERROR(VLOOKUP($A189,koronahun!$A:$AM,11,FALSE),"")</f>
        <v>1.4534477950409396E-3</v>
      </c>
      <c r="L189">
        <f>IFERROR(VLOOKUP($A189,koronahun!$A:$AM,12,FALSE),"")</f>
        <v>7639</v>
      </c>
      <c r="M189" s="13">
        <f>IFERROR(VLOOKUP($A189,koronahun!$A:$AM,13,FALSE),"")</f>
        <v>3.6823779504471486E-2</v>
      </c>
      <c r="N189" s="13">
        <f>IFERROR(VLOOKUP($A189,koronahun!$A:$AM,14,FALSE),"")</f>
        <v>0.95384352245516302</v>
      </c>
      <c r="O189">
        <f>IFERROR(VLOOKUP($A189,koronahun!$A:$AM,15,FALSE),"")</f>
        <v>4302</v>
      </c>
      <c r="P189">
        <f>IFERROR(VLOOKUP($A189,koronahun!$A:$AM,16,FALSE),"")</f>
        <v>9892</v>
      </c>
      <c r="Q189" s="13">
        <f>IFERROR(VLOOKUP($A189,koronahun!$A:$AM,17,FALSE),"")</f>
        <v>2.9215527699150829E-2</v>
      </c>
      <c r="R189">
        <f>IFERROR(VLOOKUP($A189,koronahun!$A:$AM,18,FALSE),"")</f>
        <v>5</v>
      </c>
      <c r="S189">
        <f>IFERROR(VLOOKUP($A189,koronahun!$A:$AM,19,FALSE),"")</f>
        <v>275</v>
      </c>
      <c r="T189">
        <f>IFERROR(VLOOKUP($A189,koronahun!$A:$AM,20,FALSE),"")</f>
        <v>401</v>
      </c>
      <c r="U189">
        <f>IFERROR(VLOOKUP($A189,koronahun!$A:$AM,21,FALSE),"")</f>
        <v>45</v>
      </c>
      <c r="V189" s="13">
        <f>IFERROR(VLOOKUP($A189,koronahun!$A:$AM,22,FALSE),"")</f>
        <v>9.3326980403655377E-3</v>
      </c>
      <c r="W189">
        <f>IFERROR(VLOOKUP($A189,koronahun!$A:$AM,23,FALSE),"")</f>
        <v>21</v>
      </c>
      <c r="X189">
        <f>IFERROR(VLOOKUP($A189,koronahun!$A:$AM,24,FALSE),"")</f>
        <v>0</v>
      </c>
      <c r="Y189" s="14">
        <f>IFERROR(VLOOKUP($A189,koronahun!$A:$AM,25,FALSE),"")</f>
        <v>5.2493781908626781E-2</v>
      </c>
      <c r="Z189" s="14">
        <f>IFERROR(VLOOKUP($A189,koronahun!$A:$AM,26,FALSE),"")</f>
        <v>0.11221945137157108</v>
      </c>
      <c r="AA189" s="14">
        <f>IFERROR(VLOOKUP($A189,koronahun!$A:$AM,27,FALSE),"")</f>
        <v>1.3128381701918348</v>
      </c>
      <c r="AB189" s="14">
        <f>IFERROR(VLOOKUP($A189,koronahun!$A:$AM,28,FALSE),"")</f>
        <v>1.3860206325915125</v>
      </c>
      <c r="AC189" s="14">
        <f>IFERROR(VLOOKUP($A189,koronahun!$A:$AM,29,FALSE),"")</f>
        <v>381.28571428571428</v>
      </c>
      <c r="AD189" s="14">
        <f>IFERROR(VLOOKUP($A189,koronahun!$A:$AM,30,FALSE),"")</f>
        <v>5.5714285714285712</v>
      </c>
      <c r="AE189" s="14">
        <f>IFERROR(VLOOKUP($A189,koronahun!$A:$AM,31,FALSE),"")</f>
        <v>12993.857142857143</v>
      </c>
      <c r="AF189" s="13">
        <f>IFERROR(VLOOKUP($A189,koronahun!$A:$AM,32,FALSE),"")</f>
        <v>2.9397179938147205E-2</v>
      </c>
      <c r="AG189">
        <f>IFERROR(VLOOKUP($A189,koronahun!$A:$AM,33,FALSE),"")</f>
        <v>5862458</v>
      </c>
      <c r="AH189">
        <f>IFERROR(VLOOKUP($A189,koronahun!$A:$AM,34,FALSE),"")</f>
        <v>2644</v>
      </c>
      <c r="AI189">
        <f>IFERROR(VLOOKUP($A189,koronahun!$A:$AM,35,FALSE),"")</f>
        <v>3791.2</v>
      </c>
      <c r="AJ189">
        <f>IFERROR(VLOOKUP($A189,koronahun!$A:$AM,36,FALSE),"")</f>
        <v>5579231</v>
      </c>
      <c r="AK189">
        <f>IFERROR(VLOOKUP($A189,koronahun!$A:$AM,37,FALSE),"")</f>
        <v>8188</v>
      </c>
      <c r="AL189">
        <f>IFERROR(VLOOKUP($A189,koronahun!$A:$AM,38,FALSE),"")</f>
        <v>5969.6</v>
      </c>
      <c r="AM189" s="14">
        <f>IFERROR(VLOOKUP($A189,koronahun!$A:$AM,39,FALSE),"")</f>
        <v>232.28571428571428</v>
      </c>
      <c r="AN189" s="11">
        <f ca="1">IFERROR(__xludf.DUMMYFUNCTION("""COMPUTED_VALUE"""),44081)</f>
        <v>44081</v>
      </c>
      <c r="AO189" s="12">
        <f ca="1">IFERROR(VLOOKUP(AN189,koronahun!A:B,2,FALSE),"")</f>
        <v>8963</v>
      </c>
      <c r="AP189" s="11">
        <f t="shared" ca="1" si="0"/>
        <v>44081</v>
      </c>
      <c r="AQ189" s="11">
        <f ca="1">IFERROR(__xludf.DUMMYFUNCTION("""COMPUTED_VALUE"""),44081)</f>
        <v>44081</v>
      </c>
      <c r="AR189" s="11">
        <v>44461</v>
      </c>
      <c r="AS189" s="11">
        <f t="shared" si="1"/>
        <v>44461</v>
      </c>
      <c r="AT189" s="11">
        <f ca="1">IFERROR(__xludf.DUMMYFUNCTION("""COMPUTED_VALUE"""),44460)</f>
        <v>44460</v>
      </c>
    </row>
    <row r="190" spans="1:46" ht="13">
      <c r="A190" s="11">
        <v>44459</v>
      </c>
      <c r="B190">
        <f>IFERROR(VLOOKUP($A190,koronahun!$A:$AM,2,FALSE),"")</f>
        <v>818231</v>
      </c>
      <c r="C190">
        <f>IFERROR(VLOOKUP($A190,koronahun!$A:$AM,3,FALSE),"")</f>
        <v>1072</v>
      </c>
      <c r="D190">
        <f>IFERROR(VLOOKUP($A190,koronahun!$A:$AM,4,FALSE),"")</f>
        <v>30136</v>
      </c>
      <c r="E190">
        <f>IFERROR(VLOOKUP($A190,koronahun!$A:$AM,5,FALSE),"")</f>
        <v>780465</v>
      </c>
      <c r="F190">
        <f>IFERROR(VLOOKUP($A190,koronahun!$A:$AM,6,FALSE),"")</f>
        <v>6805886</v>
      </c>
      <c r="G190" s="12">
        <f>IFERROR(VLOOKUP($A190,koronahun!$A:$AM,7,FALSE),"")</f>
        <v>694478.16326530604</v>
      </c>
      <c r="H190">
        <f>IFERROR(VLOOKUP($A190,koronahun!$A:$AM,8,FALSE),"")</f>
        <v>0</v>
      </c>
      <c r="I190" s="13">
        <f>IFERROR(VLOOKUP($A190,koronahun!$A:$AM,9,FALSE),"")</f>
        <v>1.3118621957293501E-3</v>
      </c>
      <c r="J190" s="13">
        <f>IFERROR(VLOOKUP($A190,koronahun!$A:$AM,10,FALSE),"")</f>
        <v>0.12022402373474959</v>
      </c>
      <c r="K190" s="13">
        <f>IFERROR(VLOOKUP($A190,koronahun!$A:$AM,11,FALSE),"")</f>
        <v>5.4529673990522933E-3</v>
      </c>
      <c r="L190">
        <f>IFERROR(VLOOKUP($A190,koronahun!$A:$AM,12,FALSE),"")</f>
        <v>7630</v>
      </c>
      <c r="M190" s="13">
        <f>IFERROR(VLOOKUP($A190,koronahun!$A:$AM,13,FALSE),"")</f>
        <v>3.6830674956094309E-2</v>
      </c>
      <c r="N190" s="13">
        <f>IFERROR(VLOOKUP($A190,koronahun!$A:$AM,14,FALSE),"")</f>
        <v>0.95384433002416191</v>
      </c>
      <c r="O190">
        <f>IFERROR(VLOOKUP($A190,koronahun!$A:$AM,15,FALSE),"")</f>
        <v>4031</v>
      </c>
      <c r="P190">
        <f>IFERROR(VLOOKUP($A190,koronahun!$A:$AM,16,FALSE),"")</f>
        <v>36911</v>
      </c>
      <c r="Q190" s="13">
        <f>IFERROR(VLOOKUP($A190,koronahun!$A:$AM,17,FALSE),"")</f>
        <v>2.9042832759881877E-2</v>
      </c>
      <c r="R190">
        <f>IFERROR(VLOOKUP($A190,koronahun!$A:$AM,18,FALSE),"")</f>
        <v>13</v>
      </c>
      <c r="S190">
        <f>IFERROR(VLOOKUP($A190,koronahun!$A:$AM,19,FALSE),"")</f>
        <v>688</v>
      </c>
      <c r="T190">
        <f>IFERROR(VLOOKUP($A190,koronahun!$A:$AM,20,FALSE),"")</f>
        <v>380</v>
      </c>
      <c r="U190">
        <f>IFERROR(VLOOKUP($A190,koronahun!$A:$AM,21,FALSE),"")</f>
        <v>45</v>
      </c>
      <c r="V190" s="13">
        <f>IFERROR(VLOOKUP($A190,koronahun!$A:$AM,22,FALSE),"")</f>
        <v>9.3249950197438133E-3</v>
      </c>
      <c r="W190">
        <f>IFERROR(VLOOKUP($A190,koronahun!$A:$AM,23,FALSE),"")</f>
        <v>27</v>
      </c>
      <c r="X190">
        <f>IFERROR(VLOOKUP($A190,koronahun!$A:$AM,24,FALSE),"")</f>
        <v>4</v>
      </c>
      <c r="Y190" s="14">
        <f>IFERROR(VLOOKUP($A190,koronahun!$A:$AM,25,FALSE),"")</f>
        <v>4.9803407601572737E-2</v>
      </c>
      <c r="Z190" s="14">
        <f>IFERROR(VLOOKUP($A190,koronahun!$A:$AM,26,FALSE),"")</f>
        <v>0.11842105263157894</v>
      </c>
      <c r="AA190" s="14">
        <f>IFERROR(VLOOKUP($A190,koronahun!$A:$AM,27,FALSE),"")</f>
        <v>1.369848721961398</v>
      </c>
      <c r="AB190" s="14">
        <f>IFERROR(VLOOKUP($A190,koronahun!$A:$AM,28,FALSE),"")</f>
        <v>1.3979972254268795</v>
      </c>
      <c r="AC190" s="14">
        <f>IFERROR(VLOOKUP($A190,koronahun!$A:$AM,29,FALSE),"")</f>
        <v>375.14285714285717</v>
      </c>
      <c r="AD190" s="14">
        <f>IFERROR(VLOOKUP($A190,koronahun!$A:$AM,30,FALSE),"")</f>
        <v>5.4285714285714288</v>
      </c>
      <c r="AE190" s="14">
        <f>IFERROR(VLOOKUP($A190,koronahun!$A:$AM,31,FALSE),"")</f>
        <v>12861.142857142857</v>
      </c>
      <c r="AF190" s="13">
        <f>IFERROR(VLOOKUP($A190,koronahun!$A:$AM,32,FALSE),"")</f>
        <v>2.9043307913881024E-2</v>
      </c>
      <c r="AG190">
        <f>IFERROR(VLOOKUP($A190,koronahun!$A:$AM,33,FALSE),"")</f>
        <v>5859814</v>
      </c>
      <c r="AH190">
        <f>IFERROR(VLOOKUP($A190,koronahun!$A:$AM,34,FALSE),"")</f>
        <v>4775</v>
      </c>
      <c r="AI190">
        <f>IFERROR(VLOOKUP($A190,koronahun!$A:$AM,35,FALSE),"")</f>
        <v>3845.2</v>
      </c>
      <c r="AJ190">
        <f>IFERROR(VLOOKUP($A190,koronahun!$A:$AM,36,FALSE),"")</f>
        <v>5571043</v>
      </c>
      <c r="AK190">
        <f>IFERROR(VLOOKUP($A190,koronahun!$A:$AM,37,FALSE),"")</f>
        <v>6457</v>
      </c>
      <c r="AL190">
        <f>IFERROR(VLOOKUP($A190,koronahun!$A:$AM,38,FALSE),"")</f>
        <v>5101</v>
      </c>
      <c r="AM190" s="14">
        <f>IFERROR(VLOOKUP($A190,koronahun!$A:$AM,39,FALSE),"")</f>
        <v>208.57142857142858</v>
      </c>
      <c r="AN190" s="11">
        <f ca="1">IFERROR(__xludf.DUMMYFUNCTION("""COMPUTED_VALUE"""),44082)</f>
        <v>44082</v>
      </c>
      <c r="AO190" s="12">
        <f ca="1">IFERROR(VLOOKUP(AN190,koronahun!A:B,2,FALSE),"")</f>
        <v>9304</v>
      </c>
      <c r="AP190" s="11">
        <f t="shared" ca="1" si="0"/>
        <v>44082</v>
      </c>
      <c r="AQ190" s="11">
        <f ca="1">IFERROR(__xludf.DUMMYFUNCTION("""COMPUTED_VALUE"""),44082)</f>
        <v>44082</v>
      </c>
      <c r="AR190" s="11">
        <v>44460</v>
      </c>
      <c r="AS190" s="11">
        <f t="shared" si="1"/>
        <v>44460</v>
      </c>
      <c r="AT190" s="11">
        <f ca="1">IFERROR(__xludf.DUMMYFUNCTION("""COMPUTED_VALUE"""),44459)</f>
        <v>44459</v>
      </c>
    </row>
    <row r="191" spans="1:46" ht="13">
      <c r="A191" s="11">
        <v>44456</v>
      </c>
      <c r="B191">
        <f>IFERROR(VLOOKUP($A191,koronahun!$A:$AM,2,FALSE),"")</f>
        <v>817159</v>
      </c>
      <c r="C191">
        <f>IFERROR(VLOOKUP($A191,koronahun!$A:$AM,3,FALSE),"")</f>
        <v>479</v>
      </c>
      <c r="D191">
        <f>IFERROR(VLOOKUP($A191,koronahun!$A:$AM,4,FALSE),"")</f>
        <v>30123</v>
      </c>
      <c r="E191">
        <f>IFERROR(VLOOKUP($A191,koronahun!$A:$AM,5,FALSE),"")</f>
        <v>779777</v>
      </c>
      <c r="F191">
        <f>IFERROR(VLOOKUP($A191,koronahun!$A:$AM,6,FALSE),"")</f>
        <v>6768975</v>
      </c>
      <c r="G191" s="12">
        <f>IFERROR(VLOOKUP($A191,koronahun!$A:$AM,7,FALSE),"")</f>
        <v>690711.73469387752</v>
      </c>
      <c r="H191">
        <f>IFERROR(VLOOKUP($A191,koronahun!$A:$AM,8,FALSE),"")</f>
        <v>0</v>
      </c>
      <c r="I191" s="13">
        <f>IFERROR(VLOOKUP($A191,koronahun!$A:$AM,9,FALSE),"")</f>
        <v>5.8652103639124256E-4</v>
      </c>
      <c r="J191" s="13">
        <f>IFERROR(VLOOKUP($A191,koronahun!$A:$AM,10,FALSE),"")</f>
        <v>0.12072123179654232</v>
      </c>
      <c r="K191" s="13">
        <f>IFERROR(VLOOKUP($A191,koronahun!$A:$AM,11,FALSE),"")</f>
        <v>2.3069878187193258E-3</v>
      </c>
      <c r="L191">
        <f>IFERROR(VLOOKUP($A191,koronahun!$A:$AM,12,FALSE),"")</f>
        <v>7259</v>
      </c>
      <c r="M191" s="13">
        <f>IFERROR(VLOOKUP($A191,koronahun!$A:$AM,13,FALSE),"")</f>
        <v>3.686308294958509E-2</v>
      </c>
      <c r="N191" s="13">
        <f>IFERROR(VLOOKUP($A191,koronahun!$A:$AM,14,FALSE),"")</f>
        <v>0.95425370093213191</v>
      </c>
      <c r="O191">
        <f>IFERROR(VLOOKUP($A191,koronahun!$A:$AM,15,FALSE),"")</f>
        <v>4605</v>
      </c>
      <c r="P191">
        <f>IFERROR(VLOOKUP($A191,koronahun!$A:$AM,16,FALSE),"")</f>
        <v>15580</v>
      </c>
      <c r="Q191" s="13">
        <f>IFERROR(VLOOKUP($A191,koronahun!$A:$AM,17,FALSE),"")</f>
        <v>3.074454428754814E-2</v>
      </c>
      <c r="R191">
        <f>IFERROR(VLOOKUP($A191,koronahun!$A:$AM,18,FALSE),"")</f>
        <v>5</v>
      </c>
      <c r="S191">
        <f>IFERROR(VLOOKUP($A191,koronahun!$A:$AM,19,FALSE),"")</f>
        <v>344</v>
      </c>
      <c r="T191">
        <f>IFERROR(VLOOKUP($A191,koronahun!$A:$AM,20,FALSE),"")</f>
        <v>353</v>
      </c>
      <c r="U191">
        <f>IFERROR(VLOOKUP($A191,koronahun!$A:$AM,21,FALSE),"")</f>
        <v>41</v>
      </c>
      <c r="V191" s="13">
        <f>IFERROR(VLOOKUP($A191,koronahun!$A:$AM,22,FALSE),"")</f>
        <v>8.8832161182829782E-3</v>
      </c>
      <c r="W191">
        <f>IFERROR(VLOOKUP($A191,koronahun!$A:$AM,23,FALSE),"")</f>
        <v>10</v>
      </c>
      <c r="X191">
        <f>IFERROR(VLOOKUP($A191,koronahun!$A:$AM,24,FALSE),"")</f>
        <v>1</v>
      </c>
      <c r="Y191" s="14">
        <f>IFERROR(VLOOKUP($A191,koronahun!$A:$AM,25,FALSE),"")</f>
        <v>4.8629287780686044E-2</v>
      </c>
      <c r="Z191" s="14">
        <f>IFERROR(VLOOKUP($A191,koronahun!$A:$AM,26,FALSE),"")</f>
        <v>0.11614730878186968</v>
      </c>
      <c r="AA191" s="14">
        <f>IFERROR(VLOOKUP($A191,koronahun!$A:$AM,27,FALSE),"")</f>
        <v>1.4343971631205674</v>
      </c>
      <c r="AB191" s="14">
        <f>IFERROR(VLOOKUP($A191,koronahun!$A:$AM,28,FALSE),"")</f>
        <v>1.386450478981212</v>
      </c>
      <c r="AC191" s="14">
        <f>IFERROR(VLOOKUP($A191,koronahun!$A:$AM,29,FALSE),"")</f>
        <v>346.71428571428572</v>
      </c>
      <c r="AD191" s="14">
        <f>IFERROR(VLOOKUP($A191,koronahun!$A:$AM,30,FALSE),"")</f>
        <v>5.2857142857142856</v>
      </c>
      <c r="AE191" s="14">
        <f>IFERROR(VLOOKUP($A191,koronahun!$A:$AM,31,FALSE),"")</f>
        <v>12821.142857142857</v>
      </c>
      <c r="AF191" s="13">
        <f>IFERROR(VLOOKUP($A191,koronahun!$A:$AM,32,FALSE),"")</f>
        <v>2.8001196004147556E-2</v>
      </c>
      <c r="AG191">
        <f>IFERROR(VLOOKUP($A191,koronahun!$A:$AM,33,FALSE),"")</f>
        <v>5855039</v>
      </c>
      <c r="AH191">
        <f>IFERROR(VLOOKUP($A191,koronahun!$A:$AM,34,FALSE),"")</f>
        <v>4152</v>
      </c>
      <c r="AI191">
        <f>IFERROR(VLOOKUP($A191,koronahun!$A:$AM,35,FALSE),"")</f>
        <v>4015.6</v>
      </c>
      <c r="AJ191">
        <f>IFERROR(VLOOKUP($A191,koronahun!$A:$AM,36,FALSE),"")</f>
        <v>5564586</v>
      </c>
      <c r="AK191">
        <f>IFERROR(VLOOKUP($A191,koronahun!$A:$AM,37,FALSE),"")</f>
        <v>5667</v>
      </c>
      <c r="AL191">
        <f>IFERROR(VLOOKUP($A191,koronahun!$A:$AM,38,FALSE),"")</f>
        <v>4597.6000000000004</v>
      </c>
      <c r="AM191" s="14">
        <f>IFERROR(VLOOKUP($A191,koronahun!$A:$AM,39,FALSE),"")</f>
        <v>162.42857142857142</v>
      </c>
      <c r="AN191" s="11">
        <f ca="1">IFERROR(__xludf.DUMMYFUNCTION("""COMPUTED_VALUE"""),44083)</f>
        <v>44083</v>
      </c>
      <c r="AO191" s="12">
        <f ca="1">IFERROR(VLOOKUP(AN191,koronahun!A:B,2,FALSE),"")</f>
        <v>9715</v>
      </c>
      <c r="AP191" s="11">
        <f t="shared" ca="1" si="0"/>
        <v>44083</v>
      </c>
      <c r="AQ191" s="11">
        <f ca="1">IFERROR(__xludf.DUMMYFUNCTION("""COMPUTED_VALUE"""),44083)</f>
        <v>44083</v>
      </c>
      <c r="AR191" s="11">
        <v>44459</v>
      </c>
      <c r="AS191" s="11">
        <f t="shared" si="1"/>
        <v>44459</v>
      </c>
      <c r="AT191" s="11">
        <f ca="1">IFERROR(__xludf.DUMMYFUNCTION("""COMPUTED_VALUE"""),44456)</f>
        <v>44456</v>
      </c>
    </row>
    <row r="192" spans="1:46" ht="13">
      <c r="A192" s="11">
        <v>44455</v>
      </c>
      <c r="B192">
        <f>IFERROR(VLOOKUP($A192,koronahun!$A:$AM,2,FALSE),"")</f>
        <v>816680</v>
      </c>
      <c r="C192">
        <f>IFERROR(VLOOKUP($A192,koronahun!$A:$AM,3,FALSE),"")</f>
        <v>458</v>
      </c>
      <c r="D192">
        <f>IFERROR(VLOOKUP($A192,koronahun!$A:$AM,4,FALSE),"")</f>
        <v>30118</v>
      </c>
      <c r="E192">
        <f>IFERROR(VLOOKUP($A192,koronahun!$A:$AM,5,FALSE),"")</f>
        <v>779433</v>
      </c>
      <c r="F192">
        <f>IFERROR(VLOOKUP($A192,koronahun!$A:$AM,6,FALSE),"")</f>
        <v>6753395</v>
      </c>
      <c r="G192" s="12">
        <f>IFERROR(VLOOKUP($A192,koronahun!$A:$AM,7,FALSE),"")</f>
        <v>689121.93877551018</v>
      </c>
      <c r="H192">
        <f>IFERROR(VLOOKUP($A192,koronahun!$A:$AM,8,FALSE),"")</f>
        <v>0</v>
      </c>
      <c r="I192" s="13">
        <f>IFERROR(VLOOKUP($A192,koronahun!$A:$AM,9,FALSE),"")</f>
        <v>5.611218516531042E-4</v>
      </c>
      <c r="J192" s="13">
        <f>IFERROR(VLOOKUP($A192,koronahun!$A:$AM,10,FALSE),"")</f>
        <v>0.12092880691859428</v>
      </c>
      <c r="K192" s="13">
        <f>IFERROR(VLOOKUP($A192,koronahun!$A:$AM,11,FALSE),"")</f>
        <v>2.3274959915923995E-3</v>
      </c>
      <c r="L192">
        <f>IFERROR(VLOOKUP($A192,koronahun!$A:$AM,12,FALSE),"")</f>
        <v>7129</v>
      </c>
      <c r="M192" s="13">
        <f>IFERROR(VLOOKUP($A192,koronahun!$A:$AM,13,FALSE),"")</f>
        <v>3.6878581574178379E-2</v>
      </c>
      <c r="N192" s="13">
        <f>IFERROR(VLOOKUP($A192,koronahun!$A:$AM,14,FALSE),"")</f>
        <v>0.95439217318900915</v>
      </c>
      <c r="O192">
        <f>IFERROR(VLOOKUP($A192,koronahun!$A:$AM,15,FALSE),"")</f>
        <v>3931</v>
      </c>
      <c r="P192">
        <f>IFERROR(VLOOKUP($A192,koronahun!$A:$AM,16,FALSE),"")</f>
        <v>15682</v>
      </c>
      <c r="Q192" s="13">
        <f>IFERROR(VLOOKUP($A192,koronahun!$A:$AM,17,FALSE),"")</f>
        <v>2.9205458487437826E-2</v>
      </c>
      <c r="R192">
        <f>IFERROR(VLOOKUP($A192,koronahun!$A:$AM,18,FALSE),"")</f>
        <v>4</v>
      </c>
      <c r="S192">
        <f>IFERROR(VLOOKUP($A192,koronahun!$A:$AM,19,FALSE),"")</f>
        <v>183</v>
      </c>
      <c r="T192">
        <f>IFERROR(VLOOKUP($A192,koronahun!$A:$AM,20,FALSE),"")</f>
        <v>343</v>
      </c>
      <c r="U192">
        <f>IFERROR(VLOOKUP($A192,koronahun!$A:$AM,21,FALSE),"")</f>
        <v>40</v>
      </c>
      <c r="V192" s="13">
        <f>IFERROR(VLOOKUP($A192,koronahun!$A:$AM,22,FALSE),"")</f>
        <v>8.7292452368124603E-3</v>
      </c>
      <c r="W192">
        <f>IFERROR(VLOOKUP($A192,koronahun!$A:$AM,23,FALSE),"")</f>
        <v>36</v>
      </c>
      <c r="X192">
        <f>IFERROR(VLOOKUP($A192,koronahun!$A:$AM,24,FALSE),"")</f>
        <v>0</v>
      </c>
      <c r="Y192" s="14">
        <f>IFERROR(VLOOKUP($A192,koronahun!$A:$AM,25,FALSE),"")</f>
        <v>4.8113339879365967E-2</v>
      </c>
      <c r="Z192" s="14">
        <f>IFERROR(VLOOKUP($A192,koronahun!$A:$AM,26,FALSE),"")</f>
        <v>0.11661807580174927</v>
      </c>
      <c r="AA192" s="14">
        <f>IFERROR(VLOOKUP($A192,koronahun!$A:$AM,27,FALSE),"")</f>
        <v>1.4053217821782178</v>
      </c>
      <c r="AB192" s="14">
        <f>IFERROR(VLOOKUP($A192,koronahun!$A:$AM,28,FALSE),"")</f>
        <v>1.3532442097753892</v>
      </c>
      <c r="AC192" s="14">
        <f>IFERROR(VLOOKUP($A192,koronahun!$A:$AM,29,FALSE),"")</f>
        <v>324.42857142857144</v>
      </c>
      <c r="AD192" s="14">
        <f>IFERROR(VLOOKUP($A192,koronahun!$A:$AM,30,FALSE),"")</f>
        <v>5.4285714285714288</v>
      </c>
      <c r="AE192" s="14">
        <f>IFERROR(VLOOKUP($A192,koronahun!$A:$AM,31,FALSE),"")</f>
        <v>12642.428571428571</v>
      </c>
      <c r="AF192" s="13">
        <f>IFERROR(VLOOKUP($A192,koronahun!$A:$AM,32,FALSE),"")</f>
        <v>2.6360626877254163E-2</v>
      </c>
      <c r="AG192">
        <f>IFERROR(VLOOKUP($A192,koronahun!$A:$AM,33,FALSE),"")</f>
        <v>5850887</v>
      </c>
      <c r="AH192">
        <f>IFERROR(VLOOKUP($A192,koronahun!$A:$AM,34,FALSE),"")</f>
        <v>3885</v>
      </c>
      <c r="AI192">
        <f>IFERROR(VLOOKUP($A192,koronahun!$A:$AM,35,FALSE),"")</f>
        <v>4134</v>
      </c>
      <c r="AJ192">
        <f>IFERROR(VLOOKUP($A192,koronahun!$A:$AM,36,FALSE),"")</f>
        <v>5558919</v>
      </c>
      <c r="AK192">
        <f>IFERROR(VLOOKUP($A192,koronahun!$A:$AM,37,FALSE),"")</f>
        <v>5573</v>
      </c>
      <c r="AL192">
        <f>IFERROR(VLOOKUP($A192,koronahun!$A:$AM,38,FALSE),"")</f>
        <v>4691.2</v>
      </c>
      <c r="AM192" s="14">
        <f>IFERROR(VLOOKUP($A192,koronahun!$A:$AM,39,FALSE),"")</f>
        <v>128.85714285714286</v>
      </c>
      <c r="AN192" s="11">
        <f ca="1">IFERROR(__xludf.DUMMYFUNCTION("""COMPUTED_VALUE"""),44084)</f>
        <v>44084</v>
      </c>
      <c r="AO192" s="12">
        <f ca="1">IFERROR(VLOOKUP(AN192,koronahun!A:B,2,FALSE),"")</f>
        <v>10191</v>
      </c>
      <c r="AP192" s="11">
        <f t="shared" ca="1" si="0"/>
        <v>44084</v>
      </c>
      <c r="AQ192" s="11">
        <f ca="1">IFERROR(__xludf.DUMMYFUNCTION("""COMPUTED_VALUE"""),44084)</f>
        <v>44084</v>
      </c>
      <c r="AR192" s="11">
        <v>44456</v>
      </c>
      <c r="AS192" s="11">
        <f t="shared" si="1"/>
        <v>44456</v>
      </c>
      <c r="AT192" s="11">
        <f ca="1">IFERROR(__xludf.DUMMYFUNCTION("""COMPUTED_VALUE"""),44455)</f>
        <v>44455</v>
      </c>
    </row>
    <row r="193" spans="1:46" ht="13">
      <c r="A193" s="11">
        <v>44454</v>
      </c>
      <c r="B193">
        <f>IFERROR(VLOOKUP($A193,koronahun!$A:$AM,2,FALSE),"")</f>
        <v>816222</v>
      </c>
      <c r="C193">
        <f>IFERROR(VLOOKUP($A193,koronahun!$A:$AM,3,FALSE),"")</f>
        <v>371</v>
      </c>
      <c r="D193">
        <f>IFERROR(VLOOKUP($A193,koronahun!$A:$AM,4,FALSE),"")</f>
        <v>30114</v>
      </c>
      <c r="E193">
        <f>IFERROR(VLOOKUP($A193,koronahun!$A:$AM,5,FALSE),"")</f>
        <v>779250</v>
      </c>
      <c r="F193">
        <f>IFERROR(VLOOKUP($A193,koronahun!$A:$AM,6,FALSE),"")</f>
        <v>6737713</v>
      </c>
      <c r="G193" s="12">
        <f>IFERROR(VLOOKUP($A193,koronahun!$A:$AM,7,FALSE),"")</f>
        <v>687521.73469387752</v>
      </c>
      <c r="H193">
        <f>IFERROR(VLOOKUP($A193,koronahun!$A:$AM,8,FALSE),"")</f>
        <v>0</v>
      </c>
      <c r="I193" s="13">
        <f>IFERROR(VLOOKUP($A193,koronahun!$A:$AM,9,FALSE),"")</f>
        <v>4.5473989735870889E-4</v>
      </c>
      <c r="J193" s="13">
        <f>IFERROR(VLOOKUP($A193,koronahun!$A:$AM,10,FALSE),"")</f>
        <v>0.12114229264440322</v>
      </c>
      <c r="K193" s="13">
        <f>IFERROR(VLOOKUP($A193,koronahun!$A:$AM,11,FALSE),"")</f>
        <v>1.9170770493370753E-3</v>
      </c>
      <c r="L193">
        <f>IFERROR(VLOOKUP($A193,koronahun!$A:$AM,12,FALSE),"")</f>
        <v>6858</v>
      </c>
      <c r="M193" s="13">
        <f>IFERROR(VLOOKUP($A193,koronahun!$A:$AM,13,FALSE),"")</f>
        <v>3.6894374324632266E-2</v>
      </c>
      <c r="N193" s="13">
        <f>IFERROR(VLOOKUP($A193,koronahun!$A:$AM,14,FALSE),"")</f>
        <v>0.95470349978314728</v>
      </c>
      <c r="O193">
        <f>IFERROR(VLOOKUP($A193,koronahun!$A:$AM,15,FALSE),"")</f>
        <v>3286</v>
      </c>
      <c r="P193">
        <f>IFERROR(VLOOKUP($A193,koronahun!$A:$AM,16,FALSE),"")</f>
        <v>12892</v>
      </c>
      <c r="Q193" s="13">
        <f>IFERROR(VLOOKUP($A193,koronahun!$A:$AM,17,FALSE),"")</f>
        <v>2.8777536456717344E-2</v>
      </c>
      <c r="R193">
        <f>IFERROR(VLOOKUP($A193,koronahun!$A:$AM,18,FALSE),"")</f>
        <v>12</v>
      </c>
      <c r="S193">
        <f>IFERROR(VLOOKUP($A193,koronahun!$A:$AM,19,FALSE),"")</f>
        <v>136</v>
      </c>
      <c r="T193">
        <f>IFERROR(VLOOKUP($A193,koronahun!$A:$AM,20,FALSE),"")</f>
        <v>307</v>
      </c>
      <c r="U193">
        <f>IFERROR(VLOOKUP($A193,koronahun!$A:$AM,21,FALSE),"")</f>
        <v>40</v>
      </c>
      <c r="V193" s="13">
        <f>IFERROR(VLOOKUP($A193,koronahun!$A:$AM,22,FALSE),"")</f>
        <v>8.4021258922204987E-3</v>
      </c>
      <c r="W193">
        <f>IFERROR(VLOOKUP($A193,koronahun!$A:$AM,23,FALSE),"")</f>
        <v>7</v>
      </c>
      <c r="X193">
        <f>IFERROR(VLOOKUP($A193,koronahun!$A:$AM,24,FALSE),"")</f>
        <v>-3</v>
      </c>
      <c r="Y193" s="14">
        <f>IFERROR(VLOOKUP($A193,koronahun!$A:$AM,25,FALSE),"")</f>
        <v>4.4765237678623504E-2</v>
      </c>
      <c r="Z193" s="14">
        <f>IFERROR(VLOOKUP($A193,koronahun!$A:$AM,26,FALSE),"")</f>
        <v>0.13029315960912052</v>
      </c>
      <c r="AA193" s="14">
        <f>IFERROR(VLOOKUP($A193,koronahun!$A:$AM,27,FALSE),"")</f>
        <v>1.4076973255055447</v>
      </c>
      <c r="AB193" s="14">
        <f>IFERROR(VLOOKUP($A193,koronahun!$A:$AM,28,FALSE),"")</f>
        <v>1.3254713893899024</v>
      </c>
      <c r="AC193" s="14">
        <f>IFERROR(VLOOKUP($A193,koronahun!$A:$AM,29,FALSE),"")</f>
        <v>308.28571428571428</v>
      </c>
      <c r="AD193" s="14">
        <f>IFERROR(VLOOKUP($A193,koronahun!$A:$AM,30,FALSE),"")</f>
        <v>5.2857142857142856</v>
      </c>
      <c r="AE193" s="14">
        <f>IFERROR(VLOOKUP($A193,koronahun!$A:$AM,31,FALSE),"")</f>
        <v>12289.857142857143</v>
      </c>
      <c r="AF193" s="13">
        <f>IFERROR(VLOOKUP($A193,koronahun!$A:$AM,32,FALSE),"")</f>
        <v>2.5741269703756304E-2</v>
      </c>
      <c r="AG193">
        <f>IFERROR(VLOOKUP($A193,koronahun!$A:$AM,33,FALSE),"")</f>
        <v>5847002</v>
      </c>
      <c r="AH193">
        <f>IFERROR(VLOOKUP($A193,koronahun!$A:$AM,34,FALSE),"")</f>
        <v>3500</v>
      </c>
      <c r="AI193">
        <f>IFERROR(VLOOKUP($A193,koronahun!$A:$AM,35,FALSE),"")</f>
        <v>4234.2</v>
      </c>
      <c r="AJ193">
        <f>IFERROR(VLOOKUP($A193,koronahun!$A:$AM,36,FALSE),"")</f>
        <v>5553346</v>
      </c>
      <c r="AK193">
        <f>IFERROR(VLOOKUP($A193,koronahun!$A:$AM,37,FALSE),"")</f>
        <v>3963</v>
      </c>
      <c r="AL193">
        <f>IFERROR(VLOOKUP($A193,koronahun!$A:$AM,38,FALSE),"")</f>
        <v>4613.3999999999996</v>
      </c>
      <c r="AM193" s="14">
        <f>IFERROR(VLOOKUP($A193,koronahun!$A:$AM,39,FALSE),"")</f>
        <v>121.28571428571429</v>
      </c>
      <c r="AN193" s="11">
        <f ca="1">IFERROR(__xludf.DUMMYFUNCTION("""COMPUTED_VALUE"""),44085)</f>
        <v>44085</v>
      </c>
      <c r="AO193" s="12">
        <f ca="1">IFERROR(VLOOKUP(AN193,koronahun!A:B,2,FALSE),"")</f>
        <v>10909</v>
      </c>
      <c r="AP193" s="11">
        <f t="shared" ca="1" si="0"/>
        <v>44085</v>
      </c>
      <c r="AQ193" s="11">
        <f ca="1">IFERROR(__xludf.DUMMYFUNCTION("""COMPUTED_VALUE"""),44085)</f>
        <v>44085</v>
      </c>
      <c r="AR193" s="11">
        <v>44455</v>
      </c>
      <c r="AS193" s="11">
        <f t="shared" si="1"/>
        <v>44455</v>
      </c>
      <c r="AT193" s="11">
        <f ca="1">IFERROR(__xludf.DUMMYFUNCTION("""COMPUTED_VALUE"""),44454)</f>
        <v>44454</v>
      </c>
    </row>
    <row r="194" spans="1:46" ht="13">
      <c r="A194" s="11">
        <v>44453</v>
      </c>
      <c r="B194">
        <f>IFERROR(VLOOKUP($A194,koronahun!$A:$AM,2,FALSE),"")</f>
        <v>815851</v>
      </c>
      <c r="C194">
        <f>IFERROR(VLOOKUP($A194,koronahun!$A:$AM,3,FALSE),"")</f>
        <v>246</v>
      </c>
      <c r="D194">
        <f>IFERROR(VLOOKUP($A194,koronahun!$A:$AM,4,FALSE),"")</f>
        <v>30102</v>
      </c>
      <c r="E194">
        <f>IFERROR(VLOOKUP($A194,koronahun!$A:$AM,5,FALSE),"")</f>
        <v>779114</v>
      </c>
      <c r="F194">
        <f>IFERROR(VLOOKUP($A194,koronahun!$A:$AM,6,FALSE),"")</f>
        <v>6724821</v>
      </c>
      <c r="G194" s="12">
        <f>IFERROR(VLOOKUP($A194,koronahun!$A:$AM,7,FALSE),"")</f>
        <v>686206.22448979586</v>
      </c>
      <c r="H194">
        <f>IFERROR(VLOOKUP($A194,koronahun!$A:$AM,8,FALSE),"")</f>
        <v>0</v>
      </c>
      <c r="I194" s="13">
        <f>IFERROR(VLOOKUP($A194,koronahun!$A:$AM,9,FALSE),"")</f>
        <v>3.0161659136469245E-4</v>
      </c>
      <c r="J194" s="13">
        <f>IFERROR(VLOOKUP($A194,koronahun!$A:$AM,10,FALSE),"")</f>
        <v>0.12131936299865825</v>
      </c>
      <c r="K194" s="13">
        <f>IFERROR(VLOOKUP($A194,koronahun!$A:$AM,11,FALSE),"")</f>
        <v>1.3346023694961984E-3</v>
      </c>
      <c r="L194">
        <f>IFERROR(VLOOKUP($A194,koronahun!$A:$AM,12,FALSE),"")</f>
        <v>6635</v>
      </c>
      <c r="M194" s="13">
        <f>IFERROR(VLOOKUP($A194,koronahun!$A:$AM,13,FALSE),"")</f>
        <v>3.689644310051713E-2</v>
      </c>
      <c r="N194" s="13">
        <f>IFERROR(VLOOKUP($A194,koronahun!$A:$AM,14,FALSE),"")</f>
        <v>0.95497094444941544</v>
      </c>
      <c r="O194">
        <f>IFERROR(VLOOKUP($A194,koronahun!$A:$AM,15,FALSE),"")</f>
        <v>2842</v>
      </c>
      <c r="P194">
        <f>IFERROR(VLOOKUP($A194,koronahun!$A:$AM,16,FALSE),"")</f>
        <v>8963</v>
      </c>
      <c r="Q194" s="13">
        <f>IFERROR(VLOOKUP($A194,koronahun!$A:$AM,17,FALSE),"")</f>
        <v>2.7446167577819928E-2</v>
      </c>
      <c r="R194">
        <f>IFERROR(VLOOKUP($A194,koronahun!$A:$AM,18,FALSE),"")</f>
        <v>4</v>
      </c>
      <c r="S194">
        <f>IFERROR(VLOOKUP($A194,koronahun!$A:$AM,19,FALSE),"")</f>
        <v>109</v>
      </c>
      <c r="T194">
        <f>IFERROR(VLOOKUP($A194,koronahun!$A:$AM,20,FALSE),"")</f>
        <v>300</v>
      </c>
      <c r="U194">
        <f>IFERROR(VLOOKUP($A194,koronahun!$A:$AM,21,FALSE),"")</f>
        <v>43</v>
      </c>
      <c r="V194" s="13">
        <f>IFERROR(VLOOKUP($A194,koronahun!$A:$AM,22,FALSE),"")</f>
        <v>8.1326124500674755E-3</v>
      </c>
      <c r="W194">
        <f>IFERROR(VLOOKUP($A194,koronahun!$A:$AM,23,FALSE),"")</f>
        <v>34</v>
      </c>
      <c r="X194">
        <f>IFERROR(VLOOKUP($A194,koronahun!$A:$AM,24,FALSE),"")</f>
        <v>9</v>
      </c>
      <c r="Y194" s="14">
        <f>IFERROR(VLOOKUP($A194,koronahun!$A:$AM,25,FALSE),"")</f>
        <v>4.5214770158251698E-2</v>
      </c>
      <c r="Z194" s="14">
        <f>IFERROR(VLOOKUP($A194,koronahun!$A:$AM,26,FALSE),"")</f>
        <v>0.14333333333333334</v>
      </c>
      <c r="AA194" s="14">
        <f>IFERROR(VLOOKUP($A194,koronahun!$A:$AM,27,FALSE),"")</f>
        <v>1.3727211343686698</v>
      </c>
      <c r="AB194" s="14">
        <f>IFERROR(VLOOKUP($A194,koronahun!$A:$AM,28,FALSE),"")</f>
        <v>1.3007158438867834</v>
      </c>
      <c r="AC194" s="14">
        <f>IFERROR(VLOOKUP($A194,koronahun!$A:$AM,29,FALSE),"")</f>
        <v>290.42857142857144</v>
      </c>
      <c r="AD194" s="14">
        <f>IFERROR(VLOOKUP($A194,koronahun!$A:$AM,30,FALSE),"")</f>
        <v>4</v>
      </c>
      <c r="AE194" s="14">
        <f>IFERROR(VLOOKUP($A194,koronahun!$A:$AM,31,FALSE),"")</f>
        <v>11990.142857142857</v>
      </c>
      <c r="AF194" s="13">
        <f>IFERROR(VLOOKUP($A194,koronahun!$A:$AM,32,FALSE),"")</f>
        <v>2.4543850238983152E-2</v>
      </c>
      <c r="AG194">
        <f>IFERROR(VLOOKUP($A194,koronahun!$A:$AM,33,FALSE),"")</f>
        <v>5843502</v>
      </c>
      <c r="AH194">
        <f>IFERROR(VLOOKUP($A194,koronahun!$A:$AM,34,FALSE),"")</f>
        <v>2914</v>
      </c>
      <c r="AI194">
        <f>IFERROR(VLOOKUP($A194,koronahun!$A:$AM,35,FALSE),"")</f>
        <v>4449.6000000000004</v>
      </c>
      <c r="AJ194">
        <f>IFERROR(VLOOKUP($A194,koronahun!$A:$AM,36,FALSE),"")</f>
        <v>5549383</v>
      </c>
      <c r="AK194">
        <f>IFERROR(VLOOKUP($A194,koronahun!$A:$AM,37,FALSE),"")</f>
        <v>3845</v>
      </c>
      <c r="AL194">
        <f>IFERROR(VLOOKUP($A194,koronahun!$A:$AM,38,FALSE),"")</f>
        <v>5036</v>
      </c>
      <c r="AM194" s="14">
        <f>IFERROR(VLOOKUP($A194,koronahun!$A:$AM,39,FALSE),"")</f>
        <v>122.28571428571429</v>
      </c>
      <c r="AN194" s="11">
        <f ca="1">IFERROR(__xludf.DUMMYFUNCTION("""COMPUTED_VALUE"""),44086)</f>
        <v>44086</v>
      </c>
      <c r="AO194" s="12">
        <f ca="1">IFERROR(VLOOKUP(AN194,koronahun!A:B,2,FALSE),"")</f>
        <v>11825</v>
      </c>
      <c r="AP194" s="11">
        <f t="shared" ca="1" si="0"/>
        <v>44086</v>
      </c>
      <c r="AQ194" s="11">
        <f ca="1">IFERROR(__xludf.DUMMYFUNCTION("""COMPUTED_VALUE"""),44086)</f>
        <v>44086</v>
      </c>
      <c r="AR194" s="11">
        <v>44454</v>
      </c>
      <c r="AS194" s="11">
        <f t="shared" si="1"/>
        <v>44454</v>
      </c>
      <c r="AT194" s="11">
        <f ca="1">IFERROR(__xludf.DUMMYFUNCTION("""COMPUTED_VALUE"""),44453)</f>
        <v>44453</v>
      </c>
    </row>
    <row r="195" spans="1:46" ht="13">
      <c r="A195" s="11">
        <v>44452</v>
      </c>
      <c r="B195">
        <f>IFERROR(VLOOKUP($A195,koronahun!$A:$AM,2,FALSE),"")</f>
        <v>815605</v>
      </c>
      <c r="C195">
        <f>IFERROR(VLOOKUP($A195,koronahun!$A:$AM,3,FALSE),"")</f>
        <v>873</v>
      </c>
      <c r="D195">
        <f>IFERROR(VLOOKUP($A195,koronahun!$A:$AM,4,FALSE),"")</f>
        <v>30098</v>
      </c>
      <c r="E195">
        <f>IFERROR(VLOOKUP($A195,koronahun!$A:$AM,5,FALSE),"")</f>
        <v>779005</v>
      </c>
      <c r="F195">
        <f>IFERROR(VLOOKUP($A195,koronahun!$A:$AM,6,FALSE),"")</f>
        <v>6715858</v>
      </c>
      <c r="G195" s="12">
        <f>IFERROR(VLOOKUP($A195,koronahun!$A:$AM,7,FALSE),"")</f>
        <v>685291.63265306118</v>
      </c>
      <c r="H195">
        <f>IFERROR(VLOOKUP($A195,koronahun!$A:$AM,8,FALSE),"")</f>
        <v>0</v>
      </c>
      <c r="I195" s="13">
        <f>IFERROR(VLOOKUP($A195,koronahun!$A:$AM,9,FALSE),"")</f>
        <v>1.0715179961017856E-3</v>
      </c>
      <c r="J195" s="13">
        <f>IFERROR(VLOOKUP($A195,koronahun!$A:$AM,10,FALSE),"")</f>
        <v>0.12144464638769908</v>
      </c>
      <c r="K195" s="13">
        <f>IFERROR(VLOOKUP($A195,koronahun!$A:$AM,11,FALSE),"")</f>
        <v>5.4843172720436062E-3</v>
      </c>
      <c r="L195">
        <f>IFERROR(VLOOKUP($A195,koronahun!$A:$AM,12,FALSE),"")</f>
        <v>6502</v>
      </c>
      <c r="M195" s="13">
        <f>IFERROR(VLOOKUP($A195,koronahun!$A:$AM,13,FALSE),"")</f>
        <v>3.690266734509965E-2</v>
      </c>
      <c r="N195" s="13">
        <f>IFERROR(VLOOKUP($A195,koronahun!$A:$AM,14,FALSE),"")</f>
        <v>0.95512533640671649</v>
      </c>
      <c r="O195">
        <f>IFERROR(VLOOKUP($A195,koronahun!$A:$AM,15,FALSE),"")</f>
        <v>2630</v>
      </c>
      <c r="P195">
        <f>IFERROR(VLOOKUP($A195,koronahun!$A:$AM,16,FALSE),"")</f>
        <v>36631</v>
      </c>
      <c r="Q195" s="13">
        <f>IFERROR(VLOOKUP($A195,koronahun!$A:$AM,17,FALSE),"")</f>
        <v>2.3832273211214543E-2</v>
      </c>
      <c r="R195">
        <f>IFERROR(VLOOKUP($A195,koronahun!$A:$AM,18,FALSE),"")</f>
        <v>12</v>
      </c>
      <c r="S195">
        <f>IFERROR(VLOOKUP($A195,koronahun!$A:$AM,19,FALSE),"")</f>
        <v>365</v>
      </c>
      <c r="T195">
        <f>IFERROR(VLOOKUP($A195,koronahun!$A:$AM,20,FALSE),"")</f>
        <v>266</v>
      </c>
      <c r="U195">
        <f>IFERROR(VLOOKUP($A195,koronahun!$A:$AM,21,FALSE),"")</f>
        <v>34</v>
      </c>
      <c r="V195" s="13">
        <f>IFERROR(VLOOKUP($A195,koronahun!$A:$AM,22,FALSE),"")</f>
        <v>7.9719962481838644E-3</v>
      </c>
      <c r="W195">
        <f>IFERROR(VLOOKUP($A195,koronahun!$A:$AM,23,FALSE),"")</f>
        <v>46</v>
      </c>
      <c r="X195">
        <f>IFERROR(VLOOKUP($A195,koronahun!$A:$AM,24,FALSE),"")</f>
        <v>4</v>
      </c>
      <c r="Y195" s="14">
        <f>IFERROR(VLOOKUP($A195,koronahun!$A:$AM,25,FALSE),"")</f>
        <v>4.091048908028299E-2</v>
      </c>
      <c r="Z195" s="14">
        <f>IFERROR(VLOOKUP($A195,koronahun!$A:$AM,26,FALSE),"")</f>
        <v>0.12781954887218044</v>
      </c>
      <c r="AA195" s="14">
        <f>IFERROR(VLOOKUP($A195,koronahun!$A:$AM,27,FALSE),"")</f>
        <v>1.3121149897330595</v>
      </c>
      <c r="AB195" s="14">
        <f>IFERROR(VLOOKUP($A195,koronahun!$A:$AM,28,FALSE),"")</f>
        <v>1.2873709115456773</v>
      </c>
      <c r="AC195" s="14">
        <f>IFERROR(VLOOKUP($A195,koronahun!$A:$AM,29,FALSE),"")</f>
        <v>273.85714285714283</v>
      </c>
      <c r="AD195" s="14">
        <f>IFERROR(VLOOKUP($A195,koronahun!$A:$AM,30,FALSE),"")</f>
        <v>4</v>
      </c>
      <c r="AE195" s="14">
        <f>IFERROR(VLOOKUP($A195,koronahun!$A:$AM,31,FALSE),"")</f>
        <v>11681.285714285714</v>
      </c>
      <c r="AF195" s="13">
        <f>IFERROR(VLOOKUP($A195,koronahun!$A:$AM,32,FALSE),"")</f>
        <v>2.2877583934123476E-2</v>
      </c>
      <c r="AG195">
        <f>IFERROR(VLOOKUP($A195,koronahun!$A:$AM,33,FALSE),"")</f>
        <v>5840588</v>
      </c>
      <c r="AH195">
        <f>IFERROR(VLOOKUP($A195,koronahun!$A:$AM,34,FALSE),"")</f>
        <v>5627</v>
      </c>
      <c r="AI195">
        <f>IFERROR(VLOOKUP($A195,koronahun!$A:$AM,35,FALSE),"")</f>
        <v>4621.3999999999996</v>
      </c>
      <c r="AJ195">
        <f>IFERROR(VLOOKUP($A195,koronahun!$A:$AM,36,FALSE),"")</f>
        <v>5545538</v>
      </c>
      <c r="AK195">
        <f>IFERROR(VLOOKUP($A195,koronahun!$A:$AM,37,FALSE),"")</f>
        <v>3940</v>
      </c>
      <c r="AL195">
        <f>IFERROR(VLOOKUP($A195,koronahun!$A:$AM,38,FALSE),"")</f>
        <v>5140</v>
      </c>
      <c r="AM195" s="14">
        <f>IFERROR(VLOOKUP($A195,koronahun!$A:$AM,39,FALSE),"")</f>
        <v>109.85714285714286</v>
      </c>
      <c r="AN195" s="11">
        <f ca="1">IFERROR(__xludf.DUMMYFUNCTION("""COMPUTED_VALUE"""),44087)</f>
        <v>44087</v>
      </c>
      <c r="AO195" s="12">
        <f ca="1">IFERROR(VLOOKUP(AN195,koronahun!A:B,2,FALSE),"")</f>
        <v>12309</v>
      </c>
      <c r="AP195" s="11">
        <f t="shared" ca="1" si="0"/>
        <v>44087</v>
      </c>
      <c r="AQ195" s="11">
        <f ca="1">IFERROR(__xludf.DUMMYFUNCTION("""COMPUTED_VALUE"""),44087)</f>
        <v>44087</v>
      </c>
      <c r="AR195" s="11">
        <v>44453</v>
      </c>
      <c r="AS195" s="11">
        <f t="shared" si="1"/>
        <v>44453</v>
      </c>
      <c r="AT195" s="11">
        <f ca="1">IFERROR(__xludf.DUMMYFUNCTION("""COMPUTED_VALUE"""),44452)</f>
        <v>44452</v>
      </c>
    </row>
    <row r="196" spans="1:46" ht="13">
      <c r="A196" s="11">
        <v>44449</v>
      </c>
      <c r="B196">
        <f>IFERROR(VLOOKUP($A196,koronahun!$A:$AM,2,FALSE),"")</f>
        <v>814732</v>
      </c>
      <c r="C196">
        <f>IFERROR(VLOOKUP($A196,koronahun!$A:$AM,3,FALSE),"")</f>
        <v>323</v>
      </c>
      <c r="D196">
        <f>IFERROR(VLOOKUP($A196,koronahun!$A:$AM,4,FALSE),"")</f>
        <v>30086</v>
      </c>
      <c r="E196">
        <f>IFERROR(VLOOKUP($A196,koronahun!$A:$AM,5,FALSE),"")</f>
        <v>778640</v>
      </c>
      <c r="F196">
        <f>IFERROR(VLOOKUP($A196,koronahun!$A:$AM,6,FALSE),"")</f>
        <v>6679227</v>
      </c>
      <c r="G196" s="12">
        <f>IFERROR(VLOOKUP($A196,koronahun!$A:$AM,7,FALSE),"")</f>
        <v>681553.77551020402</v>
      </c>
      <c r="H196">
        <f>IFERROR(VLOOKUP($A196,koronahun!$A:$AM,8,FALSE),"")</f>
        <v>0</v>
      </c>
      <c r="I196" s="13">
        <f>IFERROR(VLOOKUP($A196,koronahun!$A:$AM,9,FALSE),"")</f>
        <v>3.9660661903294288E-4</v>
      </c>
      <c r="J196" s="13">
        <f>IFERROR(VLOOKUP($A196,koronahun!$A:$AM,10,FALSE),"")</f>
        <v>0.12197998361187605</v>
      </c>
      <c r="K196" s="13">
        <f>IFERROR(VLOOKUP($A196,koronahun!$A:$AM,11,FALSE),"")</f>
        <v>2.1499203738751891E-3</v>
      </c>
      <c r="L196">
        <f>IFERROR(VLOOKUP($A196,koronahun!$A:$AM,12,FALSE),"")</f>
        <v>6006</v>
      </c>
      <c r="M196" s="13">
        <f>IFERROR(VLOOKUP($A196,koronahun!$A:$AM,13,FALSE),"")</f>
        <v>3.6927480447558218E-2</v>
      </c>
      <c r="N196" s="13">
        <f>IFERROR(VLOOKUP($A196,koronahun!$A:$AM,14,FALSE),"")</f>
        <v>0.95570077031465561</v>
      </c>
      <c r="O196">
        <f>IFERROR(VLOOKUP($A196,koronahun!$A:$AM,15,FALSE),"")</f>
        <v>2868</v>
      </c>
      <c r="P196">
        <f>IFERROR(VLOOKUP($A196,koronahun!$A:$AM,16,FALSE),"")</f>
        <v>14329</v>
      </c>
      <c r="Q196" s="13">
        <f>IFERROR(VLOOKUP($A196,koronahun!$A:$AM,17,FALSE),"")</f>
        <v>2.2541698653081164E-2</v>
      </c>
      <c r="R196">
        <f>IFERROR(VLOOKUP($A196,koronahun!$A:$AM,18,FALSE),"")</f>
        <v>6</v>
      </c>
      <c r="S196">
        <f>IFERROR(VLOOKUP($A196,koronahun!$A:$AM,19,FALSE),"")</f>
        <v>109</v>
      </c>
      <c r="T196">
        <f>IFERROR(VLOOKUP($A196,koronahun!$A:$AM,20,FALSE),"")</f>
        <v>220</v>
      </c>
      <c r="U196">
        <f>IFERROR(VLOOKUP($A196,koronahun!$A:$AM,21,FALSE),"")</f>
        <v>30</v>
      </c>
      <c r="V196" s="13">
        <f>IFERROR(VLOOKUP($A196,koronahun!$A:$AM,22,FALSE),"")</f>
        <v>7.3717492377861678E-3</v>
      </c>
      <c r="W196">
        <f>IFERROR(VLOOKUP($A196,koronahun!$A:$AM,23,FALSE),"")</f>
        <v>5</v>
      </c>
      <c r="X196">
        <f>IFERROR(VLOOKUP($A196,koronahun!$A:$AM,24,FALSE),"")</f>
        <v>4</v>
      </c>
      <c r="Y196" s="14">
        <f>IFERROR(VLOOKUP($A196,koronahun!$A:$AM,25,FALSE),"")</f>
        <v>3.6630036630036632E-2</v>
      </c>
      <c r="Z196" s="14">
        <f>IFERROR(VLOOKUP($A196,koronahun!$A:$AM,26,FALSE),"")</f>
        <v>0.13636363636363635</v>
      </c>
      <c r="AA196" s="14">
        <f>IFERROR(VLOOKUP($A196,koronahun!$A:$AM,27,FALSE),"")</f>
        <v>1.2683658170914542</v>
      </c>
      <c r="AB196" s="14">
        <f>IFERROR(VLOOKUP($A196,koronahun!$A:$AM,28,FALSE),"")</f>
        <v>1.2891432119715789</v>
      </c>
      <c r="AC196" s="14">
        <f>IFERROR(VLOOKUP($A196,koronahun!$A:$AM,29,FALSE),"")</f>
        <v>241.71428571428572</v>
      </c>
      <c r="AD196" s="14">
        <f>IFERROR(VLOOKUP($A196,koronahun!$A:$AM,30,FALSE),"")</f>
        <v>3.5714285714285716</v>
      </c>
      <c r="AE196" s="14">
        <f>IFERROR(VLOOKUP($A196,koronahun!$A:$AM,31,FALSE),"")</f>
        <v>10453.714285714286</v>
      </c>
      <c r="AF196" s="13">
        <f>IFERROR(VLOOKUP($A196,koronahun!$A:$AM,32,FALSE),"")</f>
        <v>2.2733427601317757E-2</v>
      </c>
      <c r="AG196">
        <f>IFERROR(VLOOKUP($A196,koronahun!$A:$AM,33,FALSE),"")</f>
        <v>5834961</v>
      </c>
      <c r="AH196">
        <f>IFERROR(VLOOKUP($A196,koronahun!$A:$AM,34,FALSE),"")</f>
        <v>4744</v>
      </c>
      <c r="AI196">
        <f>IFERROR(VLOOKUP($A196,koronahun!$A:$AM,35,FALSE),"")</f>
        <v>7075.4</v>
      </c>
      <c r="AJ196">
        <f>IFERROR(VLOOKUP($A196,koronahun!$A:$AM,36,FALSE),"")</f>
        <v>5541598</v>
      </c>
      <c r="AK196">
        <f>IFERROR(VLOOKUP($A196,koronahun!$A:$AM,37,FALSE),"")</f>
        <v>6135</v>
      </c>
      <c r="AL196">
        <f>IFERROR(VLOOKUP($A196,koronahun!$A:$AM,38,FALSE),"")</f>
        <v>5896</v>
      </c>
      <c r="AM196" s="14">
        <f>IFERROR(VLOOKUP($A196,koronahun!$A:$AM,39,FALSE),"")</f>
        <v>93.142857142857139</v>
      </c>
      <c r="AN196" s="11">
        <f ca="1">IFERROR(__xludf.DUMMYFUNCTION("""COMPUTED_VALUE"""),44088)</f>
        <v>44088</v>
      </c>
      <c r="AO196" s="12">
        <f ca="1">IFERROR(VLOOKUP(AN196,koronahun!A:B,2,FALSE),"")</f>
        <v>13153</v>
      </c>
      <c r="AP196" s="11">
        <f t="shared" ca="1" si="0"/>
        <v>44088</v>
      </c>
      <c r="AQ196" s="11">
        <f ca="1">IFERROR(__xludf.DUMMYFUNCTION("""COMPUTED_VALUE"""),44088)</f>
        <v>44088</v>
      </c>
      <c r="AR196" s="11">
        <v>44452</v>
      </c>
      <c r="AS196" s="11">
        <f t="shared" si="1"/>
        <v>44452</v>
      </c>
      <c r="AT196" s="11">
        <f ca="1">IFERROR(__xludf.DUMMYFUNCTION("""COMPUTED_VALUE"""),44449)</f>
        <v>44449</v>
      </c>
    </row>
    <row r="197" spans="1:46" ht="13">
      <c r="A197" s="11">
        <v>44448</v>
      </c>
      <c r="B197">
        <f>IFERROR(VLOOKUP($A197,koronahun!$A:$AM,2,FALSE),"")</f>
        <v>814409</v>
      </c>
      <c r="C197">
        <f>IFERROR(VLOOKUP($A197,koronahun!$A:$AM,3,FALSE),"")</f>
        <v>345</v>
      </c>
      <c r="D197">
        <f>IFERROR(VLOOKUP($A197,koronahun!$A:$AM,4,FALSE),"")</f>
        <v>30080</v>
      </c>
      <c r="E197">
        <f>IFERROR(VLOOKUP($A197,koronahun!$A:$AM,5,FALSE),"")</f>
        <v>778531</v>
      </c>
      <c r="F197">
        <f>IFERROR(VLOOKUP($A197,koronahun!$A:$AM,6,FALSE),"")</f>
        <v>6664898</v>
      </c>
      <c r="G197" s="12">
        <f>IFERROR(VLOOKUP($A197,koronahun!$A:$AM,7,FALSE),"")</f>
        <v>680091.63265306118</v>
      </c>
      <c r="H197">
        <f>IFERROR(VLOOKUP($A197,koronahun!$A:$AM,8,FALSE),"")</f>
        <v>0</v>
      </c>
      <c r="I197" s="13">
        <f>IFERROR(VLOOKUP($A197,koronahun!$A:$AM,9,FALSE),"")</f>
        <v>4.2379960297961832E-4</v>
      </c>
      <c r="J197" s="13">
        <f>IFERROR(VLOOKUP($A197,koronahun!$A:$AM,10,FALSE),"")</f>
        <v>0.12219376800665216</v>
      </c>
      <c r="K197" s="13">
        <f>IFERROR(VLOOKUP($A197,koronahun!$A:$AM,11,FALSE),"")</f>
        <v>1.9865646052939375E-3</v>
      </c>
      <c r="L197">
        <f>IFERROR(VLOOKUP($A197,koronahun!$A:$AM,12,FALSE),"")</f>
        <v>5798</v>
      </c>
      <c r="M197" s="13">
        <f>IFERROR(VLOOKUP($A197,koronahun!$A:$AM,13,FALSE),"")</f>
        <v>3.6934758825111214E-2</v>
      </c>
      <c r="N197" s="13">
        <f>IFERROR(VLOOKUP($A197,koronahun!$A:$AM,14,FALSE),"")</f>
        <v>0.95594596818060706</v>
      </c>
      <c r="O197">
        <f>IFERROR(VLOOKUP($A197,koronahun!$A:$AM,15,FALSE),"")</f>
        <v>2563</v>
      </c>
      <c r="P197">
        <f>IFERROR(VLOOKUP($A197,koronahun!$A:$AM,16,FALSE),"")</f>
        <v>13214</v>
      </c>
      <c r="Q197" s="13">
        <f>IFERROR(VLOOKUP($A197,koronahun!$A:$AM,17,FALSE),"")</f>
        <v>2.610867261994854E-2</v>
      </c>
      <c r="R197">
        <f>IFERROR(VLOOKUP($A197,koronahun!$A:$AM,18,FALSE),"")</f>
        <v>3</v>
      </c>
      <c r="S197">
        <f>IFERROR(VLOOKUP($A197,koronahun!$A:$AM,19,FALSE),"")</f>
        <v>130</v>
      </c>
      <c r="T197">
        <f>IFERROR(VLOOKUP($A197,koronahun!$A:$AM,20,FALSE),"")</f>
        <v>215</v>
      </c>
      <c r="U197">
        <f>IFERROR(VLOOKUP($A197,koronahun!$A:$AM,21,FALSE),"")</f>
        <v>26</v>
      </c>
      <c r="V197" s="13">
        <f>IFERROR(VLOOKUP($A197,koronahun!$A:$AM,22,FALSE),"")</f>
        <v>7.1192729942817431E-3</v>
      </c>
      <c r="W197">
        <f>IFERROR(VLOOKUP($A197,koronahun!$A:$AM,23,FALSE),"")</f>
        <v>7</v>
      </c>
      <c r="X197">
        <f>IFERROR(VLOOKUP($A197,koronahun!$A:$AM,24,FALSE),"")</f>
        <v>0</v>
      </c>
      <c r="Y197" s="14">
        <f>IFERROR(VLOOKUP($A197,koronahun!$A:$AM,25,FALSE),"")</f>
        <v>3.7081752328389096E-2</v>
      </c>
      <c r="Z197" s="14">
        <f>IFERROR(VLOOKUP($A197,koronahun!$A:$AM,26,FALSE),"")</f>
        <v>0.12093023255813953</v>
      </c>
      <c r="AA197" s="14">
        <f>IFERROR(VLOOKUP($A197,koronahun!$A:$AM,27,FALSE),"")</f>
        <v>1.2664576802507836</v>
      </c>
      <c r="AB197" s="14">
        <f>IFERROR(VLOOKUP($A197,koronahun!$A:$AM,28,FALSE),"")</f>
        <v>1.3239024809857205</v>
      </c>
      <c r="AC197" s="14">
        <f>IFERROR(VLOOKUP($A197,koronahun!$A:$AM,29,FALSE),"")</f>
        <v>230.85714285714286</v>
      </c>
      <c r="AD197" s="14">
        <f>IFERROR(VLOOKUP($A197,koronahun!$A:$AM,30,FALSE),"")</f>
        <v>2.8571428571428572</v>
      </c>
      <c r="AE197" s="14">
        <f>IFERROR(VLOOKUP($A197,koronahun!$A:$AM,31,FALSE),"")</f>
        <v>9961.2857142857138</v>
      </c>
      <c r="AF197" s="13">
        <f>IFERROR(VLOOKUP($A197,koronahun!$A:$AM,32,FALSE),"")</f>
        <v>2.2764694560648228E-2</v>
      </c>
      <c r="AG197">
        <f>IFERROR(VLOOKUP($A197,koronahun!$A:$AM,33,FALSE),"")</f>
        <v>5830217</v>
      </c>
      <c r="AH197">
        <f>IFERROR(VLOOKUP($A197,koronahun!$A:$AM,34,FALSE),"")</f>
        <v>4386</v>
      </c>
      <c r="AI197">
        <f>IFERROR(VLOOKUP($A197,koronahun!$A:$AM,35,FALSE),"")</f>
        <v>9819.2000000000007</v>
      </c>
      <c r="AJ197">
        <f>IFERROR(VLOOKUP($A197,koronahun!$A:$AM,36,FALSE),"")</f>
        <v>5535463</v>
      </c>
      <c r="AK197">
        <f>IFERROR(VLOOKUP($A197,koronahun!$A:$AM,37,FALSE),"")</f>
        <v>5184</v>
      </c>
      <c r="AL197">
        <f>IFERROR(VLOOKUP($A197,koronahun!$A:$AM,38,FALSE),"")</f>
        <v>4957</v>
      </c>
      <c r="AM197" s="14">
        <f>IFERROR(VLOOKUP($A197,koronahun!$A:$AM,39,FALSE),"")</f>
        <v>88.857142857142861</v>
      </c>
      <c r="AN197" s="11">
        <f ca="1">IFERROR(__xludf.DUMMYFUNCTION("""COMPUTED_VALUE"""),44089)</f>
        <v>44089</v>
      </c>
      <c r="AO197" s="12">
        <f ca="1">IFERROR(VLOOKUP(AN197,koronahun!A:B,2,FALSE),"")</f>
        <v>13879</v>
      </c>
      <c r="AP197" s="11">
        <f t="shared" ca="1" si="0"/>
        <v>44089</v>
      </c>
      <c r="AQ197" s="11">
        <f ca="1">IFERROR(__xludf.DUMMYFUNCTION("""COMPUTED_VALUE"""),44089)</f>
        <v>44089</v>
      </c>
      <c r="AR197" s="11">
        <v>44449</v>
      </c>
      <c r="AS197" s="11">
        <f t="shared" si="1"/>
        <v>44449</v>
      </c>
      <c r="AT197" s="11">
        <f ca="1">IFERROR(__xludf.DUMMYFUNCTION("""COMPUTED_VALUE"""),44448)</f>
        <v>44448</v>
      </c>
    </row>
    <row r="198" spans="1:46" ht="13">
      <c r="A198" s="11">
        <v>44447</v>
      </c>
      <c r="B198">
        <f>IFERROR(VLOOKUP($A198,koronahun!$A:$AM,2,FALSE),"")</f>
        <v>814064</v>
      </c>
      <c r="C198">
        <f>IFERROR(VLOOKUP($A198,koronahun!$A:$AM,3,FALSE),"")</f>
        <v>246</v>
      </c>
      <c r="D198">
        <f>IFERROR(VLOOKUP($A198,koronahun!$A:$AM,4,FALSE),"")</f>
        <v>30077</v>
      </c>
      <c r="E198">
        <f>IFERROR(VLOOKUP($A198,koronahun!$A:$AM,5,FALSE),"")</f>
        <v>778401</v>
      </c>
      <c r="F198">
        <f>IFERROR(VLOOKUP($A198,koronahun!$A:$AM,6,FALSE),"")</f>
        <v>6651684</v>
      </c>
      <c r="G198" s="12">
        <f>IFERROR(VLOOKUP($A198,koronahun!$A:$AM,7,FALSE),"")</f>
        <v>678743.26530612237</v>
      </c>
      <c r="H198">
        <f>IFERROR(VLOOKUP($A198,koronahun!$A:$AM,8,FALSE),"")</f>
        <v>0</v>
      </c>
      <c r="I198" s="13">
        <f>IFERROR(VLOOKUP($A198,koronahun!$A:$AM,9,FALSE),"")</f>
        <v>3.022788879085987E-4</v>
      </c>
      <c r="J198" s="13">
        <f>IFERROR(VLOOKUP($A198,koronahun!$A:$AM,10,FALSE),"")</f>
        <v>0.12238464725624368</v>
      </c>
      <c r="K198" s="13">
        <f>IFERROR(VLOOKUP($A198,koronahun!$A:$AM,11,FALSE),"")</f>
        <v>1.6253845493601009E-3</v>
      </c>
      <c r="L198">
        <f>IFERROR(VLOOKUP($A198,koronahun!$A:$AM,12,FALSE),"")</f>
        <v>5586</v>
      </c>
      <c r="M198" s="13">
        <f>IFERROR(VLOOKUP($A198,koronahun!$A:$AM,13,FALSE),"")</f>
        <v>3.694672654729849E-2</v>
      </c>
      <c r="N198" s="13">
        <f>IFERROR(VLOOKUP($A198,koronahun!$A:$AM,14,FALSE),"")</f>
        <v>0.95619140509837064</v>
      </c>
      <c r="O198">
        <f>IFERROR(VLOOKUP($A198,koronahun!$A:$AM,15,FALSE),"")</f>
        <v>2212</v>
      </c>
      <c r="P198">
        <f>IFERROR(VLOOKUP($A198,koronahun!$A:$AM,16,FALSE),"")</f>
        <v>10794</v>
      </c>
      <c r="Q198" s="13">
        <f>IFERROR(VLOOKUP($A198,koronahun!$A:$AM,17,FALSE),"")</f>
        <v>2.2790439132851583E-2</v>
      </c>
      <c r="R198">
        <f>IFERROR(VLOOKUP($A198,koronahun!$A:$AM,18,FALSE),"")</f>
        <v>3</v>
      </c>
      <c r="S198">
        <f>IFERROR(VLOOKUP($A198,koronahun!$A:$AM,19,FALSE),"")</f>
        <v>143</v>
      </c>
      <c r="T198">
        <f>IFERROR(VLOOKUP($A198,koronahun!$A:$AM,20,FALSE),"")</f>
        <v>208</v>
      </c>
      <c r="U198">
        <f>IFERROR(VLOOKUP($A198,koronahun!$A:$AM,21,FALSE),"")</f>
        <v>26</v>
      </c>
      <c r="V198" s="13">
        <f>IFERROR(VLOOKUP($A198,koronahun!$A:$AM,22,FALSE),"")</f>
        <v>6.8618683543308634E-3</v>
      </c>
      <c r="W198">
        <f>IFERROR(VLOOKUP($A198,koronahun!$A:$AM,23,FALSE),"")</f>
        <v>-2</v>
      </c>
      <c r="X198">
        <f>IFERROR(VLOOKUP($A198,koronahun!$A:$AM,24,FALSE),"")</f>
        <v>2</v>
      </c>
      <c r="Y198" s="14">
        <f>IFERROR(VLOOKUP($A198,koronahun!$A:$AM,25,FALSE),"")</f>
        <v>3.7235947010383103E-2</v>
      </c>
      <c r="Z198" s="14">
        <f>IFERROR(VLOOKUP($A198,koronahun!$A:$AM,26,FALSE),"")</f>
        <v>0.125</v>
      </c>
      <c r="AA198" s="14">
        <f>IFERROR(VLOOKUP($A198,koronahun!$A:$AM,27,FALSE),"")</f>
        <v>1.2839195979899498</v>
      </c>
      <c r="AB198" s="14">
        <f>IFERROR(VLOOKUP($A198,koronahun!$A:$AM,28,FALSE),"")</f>
        <v>1.4173500753703465</v>
      </c>
      <c r="AC198" s="14">
        <f>IFERROR(VLOOKUP($A198,koronahun!$A:$AM,29,FALSE),"")</f>
        <v>219</v>
      </c>
      <c r="AD198" s="14">
        <f>IFERROR(VLOOKUP($A198,koronahun!$A:$AM,30,FALSE),"")</f>
        <v>2.5714285714285716</v>
      </c>
      <c r="AE198" s="14">
        <f>IFERROR(VLOOKUP($A198,koronahun!$A:$AM,31,FALSE),"")</f>
        <v>9638</v>
      </c>
      <c r="AF198" s="13">
        <f>IFERROR(VLOOKUP($A198,koronahun!$A:$AM,32,FALSE),"")</f>
        <v>2.2327911182672584E-2</v>
      </c>
      <c r="AG198">
        <f>IFERROR(VLOOKUP($A198,koronahun!$A:$AM,33,FALSE),"")</f>
        <v>5825831</v>
      </c>
      <c r="AH198">
        <f>IFERROR(VLOOKUP($A198,koronahun!$A:$AM,34,FALSE),"")</f>
        <v>4577</v>
      </c>
      <c r="AI198">
        <f>IFERROR(VLOOKUP($A198,koronahun!$A:$AM,35,FALSE),"")</f>
        <v>10764.2</v>
      </c>
      <c r="AJ198">
        <f>IFERROR(VLOOKUP($A198,koronahun!$A:$AM,36,FALSE),"")</f>
        <v>5530279</v>
      </c>
      <c r="AK198">
        <f>IFERROR(VLOOKUP($A198,koronahun!$A:$AM,37,FALSE),"")</f>
        <v>6076</v>
      </c>
      <c r="AL198">
        <f>IFERROR(VLOOKUP($A198,koronahun!$A:$AM,38,FALSE),"")</f>
        <v>4229.8</v>
      </c>
      <c r="AM198" s="14">
        <f>IFERROR(VLOOKUP($A198,koronahun!$A:$AM,39,FALSE),"")</f>
        <v>107.85714285714286</v>
      </c>
      <c r="AN198" s="11">
        <f ca="1">IFERROR(__xludf.DUMMYFUNCTION("""COMPUTED_VALUE"""),44090)</f>
        <v>44090</v>
      </c>
      <c r="AO198" s="12">
        <f ca="1">IFERROR(VLOOKUP(AN198,koronahun!A:B,2,FALSE),"")</f>
        <v>14460</v>
      </c>
      <c r="AP198" s="11">
        <f t="shared" ca="1" si="0"/>
        <v>44090</v>
      </c>
      <c r="AQ198" s="11">
        <f ca="1">IFERROR(__xludf.DUMMYFUNCTION("""COMPUTED_VALUE"""),44090)</f>
        <v>44090</v>
      </c>
      <c r="AR198" s="11">
        <v>44448</v>
      </c>
      <c r="AS198" s="11">
        <f t="shared" si="1"/>
        <v>44448</v>
      </c>
      <c r="AT198" s="11">
        <f ca="1">IFERROR(__xludf.DUMMYFUNCTION("""COMPUTED_VALUE"""),44447)</f>
        <v>44447</v>
      </c>
    </row>
    <row r="199" spans="1:46" ht="13">
      <c r="A199" s="11">
        <v>44446</v>
      </c>
      <c r="B199">
        <f>IFERROR(VLOOKUP($A199,koronahun!$A:$AM,2,FALSE),"")</f>
        <v>813818</v>
      </c>
      <c r="C199">
        <f>IFERROR(VLOOKUP($A199,koronahun!$A:$AM,3,FALSE),"")</f>
        <v>130</v>
      </c>
      <c r="D199">
        <f>IFERROR(VLOOKUP($A199,koronahun!$A:$AM,4,FALSE),"")</f>
        <v>30074</v>
      </c>
      <c r="E199">
        <f>IFERROR(VLOOKUP($A199,koronahun!$A:$AM,5,FALSE),"")</f>
        <v>778258</v>
      </c>
      <c r="F199">
        <f>IFERROR(VLOOKUP($A199,koronahun!$A:$AM,6,FALSE),"")</f>
        <v>6640890</v>
      </c>
      <c r="G199" s="12">
        <f>IFERROR(VLOOKUP($A199,koronahun!$A:$AM,7,FALSE),"")</f>
        <v>677641.83673469385</v>
      </c>
      <c r="H199">
        <f>IFERROR(VLOOKUP($A199,koronahun!$A:$AM,8,FALSE),"")</f>
        <v>0</v>
      </c>
      <c r="I199" s="13">
        <f>IFERROR(VLOOKUP($A199,koronahun!$A:$AM,9,FALSE),"")</f>
        <v>1.5976639694821601E-4</v>
      </c>
      <c r="J199" s="13">
        <f>IFERROR(VLOOKUP($A199,koronahun!$A:$AM,10,FALSE),"")</f>
        <v>0.1225465261433332</v>
      </c>
      <c r="K199" s="13">
        <f>IFERROR(VLOOKUP($A199,koronahun!$A:$AM,11,FALSE),"")</f>
        <v>1.02515959614048E-3</v>
      </c>
      <c r="L199">
        <f>IFERROR(VLOOKUP($A199,koronahun!$A:$AM,12,FALSE),"")</f>
        <v>5486</v>
      </c>
      <c r="M199" s="13">
        <f>IFERROR(VLOOKUP($A199,koronahun!$A:$AM,13,FALSE),"")</f>
        <v>3.6954208434809746E-2</v>
      </c>
      <c r="N199" s="13">
        <f>IFERROR(VLOOKUP($A199,koronahun!$A:$AM,14,FALSE),"")</f>
        <v>0.95630472660963506</v>
      </c>
      <c r="O199">
        <f>IFERROR(VLOOKUP($A199,koronahun!$A:$AM,15,FALSE),"")</f>
        <v>1955</v>
      </c>
      <c r="P199">
        <f>IFERROR(VLOOKUP($A199,koronahun!$A:$AM,16,FALSE),"")</f>
        <v>6801</v>
      </c>
      <c r="Q199" s="13">
        <f>IFERROR(VLOOKUP($A199,koronahun!$A:$AM,17,FALSE),"")</f>
        <v>1.9114836053521541E-2</v>
      </c>
      <c r="R199">
        <f>IFERROR(VLOOKUP($A199,koronahun!$A:$AM,18,FALSE),"")</f>
        <v>4</v>
      </c>
      <c r="S199">
        <f>IFERROR(VLOOKUP($A199,koronahun!$A:$AM,19,FALSE),"")</f>
        <v>22</v>
      </c>
      <c r="T199">
        <f>IFERROR(VLOOKUP($A199,koronahun!$A:$AM,20,FALSE),"")</f>
        <v>210</v>
      </c>
      <c r="U199">
        <f>IFERROR(VLOOKUP($A199,koronahun!$A:$AM,21,FALSE),"")</f>
        <v>24</v>
      </c>
      <c r="V199" s="13">
        <f>IFERROR(VLOOKUP($A199,koronahun!$A:$AM,22,FALSE),"")</f>
        <v>6.7410649555551729E-3</v>
      </c>
      <c r="W199">
        <f>IFERROR(VLOOKUP($A199,koronahun!$A:$AM,23,FALSE),"")</f>
        <v>16</v>
      </c>
      <c r="X199">
        <f>IFERROR(VLOOKUP($A199,koronahun!$A:$AM,24,FALSE),"")</f>
        <v>1</v>
      </c>
      <c r="Y199" s="14">
        <f>IFERROR(VLOOKUP($A199,koronahun!$A:$AM,25,FALSE),"")</f>
        <v>3.8279256288734964E-2</v>
      </c>
      <c r="Z199" s="14">
        <f>IFERROR(VLOOKUP($A199,koronahun!$A:$AM,26,FALSE),"")</f>
        <v>0.11428571428571428</v>
      </c>
      <c r="AA199" s="14">
        <f>IFERROR(VLOOKUP($A199,koronahun!$A:$AM,27,FALSE),"")</f>
        <v>1.3059964726631392</v>
      </c>
      <c r="AB199" s="14">
        <f>IFERROR(VLOOKUP($A199,koronahun!$A:$AM,28,FALSE),"")</f>
        <v>1.5122598229299411</v>
      </c>
      <c r="AC199" s="14">
        <f>IFERROR(VLOOKUP($A199,koronahun!$A:$AM,29,FALSE),"")</f>
        <v>211.57142857142858</v>
      </c>
      <c r="AD199" s="14">
        <f>IFERROR(VLOOKUP($A199,koronahun!$A:$AM,30,FALSE),"")</f>
        <v>2.2857142857142856</v>
      </c>
      <c r="AE199" s="14">
        <f>IFERROR(VLOOKUP($A199,koronahun!$A:$AM,31,FALSE),"")</f>
        <v>9481</v>
      </c>
      <c r="AF199" s="13">
        <f>IFERROR(VLOOKUP($A199,koronahun!$A:$AM,32,FALSE),"")</f>
        <v>2.1771886275132692E-2</v>
      </c>
      <c r="AG199">
        <f>IFERROR(VLOOKUP($A199,koronahun!$A:$AM,33,FALSE),"")</f>
        <v>5821254</v>
      </c>
      <c r="AH199">
        <f>IFERROR(VLOOKUP($A199,koronahun!$A:$AM,34,FALSE),"")</f>
        <v>3773</v>
      </c>
      <c r="AI199">
        <f>IFERROR(VLOOKUP($A199,koronahun!$A:$AM,35,FALSE),"")</f>
        <v>13337.6</v>
      </c>
      <c r="AJ199">
        <f>IFERROR(VLOOKUP($A199,koronahun!$A:$AM,36,FALSE),"")</f>
        <v>5524203</v>
      </c>
      <c r="AK199">
        <f>IFERROR(VLOOKUP($A199,koronahun!$A:$AM,37,FALSE),"")</f>
        <v>4365</v>
      </c>
      <c r="AL199">
        <f>IFERROR(VLOOKUP($A199,koronahun!$A:$AM,38,FALSE),"")</f>
        <v>3366.4</v>
      </c>
      <c r="AM199" s="14">
        <f>IFERROR(VLOOKUP($A199,koronahun!$A:$AM,39,FALSE),"")</f>
        <v>116.14285714285714</v>
      </c>
      <c r="AN199" s="11">
        <f ca="1">IFERROR(__xludf.DUMMYFUNCTION("""COMPUTED_VALUE"""),44091)</f>
        <v>44091</v>
      </c>
      <c r="AO199" s="12">
        <f ca="1">IFERROR(VLOOKUP(AN199,koronahun!A:B,2,FALSE),"")</f>
        <v>15170</v>
      </c>
      <c r="AP199" s="11">
        <f t="shared" ca="1" si="0"/>
        <v>44091</v>
      </c>
      <c r="AQ199" s="11">
        <f ca="1">IFERROR(__xludf.DUMMYFUNCTION("""COMPUTED_VALUE"""),44091)</f>
        <v>44091</v>
      </c>
      <c r="AR199" s="11">
        <v>44447</v>
      </c>
      <c r="AS199" s="11">
        <f t="shared" si="1"/>
        <v>44447</v>
      </c>
      <c r="AT199" s="11">
        <f ca="1">IFERROR(__xludf.DUMMYFUNCTION("""COMPUTED_VALUE"""),44446)</f>
        <v>44446</v>
      </c>
    </row>
    <row r="200" spans="1:46" ht="13">
      <c r="A200" s="11">
        <v>44445</v>
      </c>
      <c r="B200">
        <f>IFERROR(VLOOKUP($A200,koronahun!$A:$AM,2,FALSE),"")</f>
        <v>813688</v>
      </c>
      <c r="C200">
        <f>IFERROR(VLOOKUP($A200,koronahun!$A:$AM,3,FALSE),"")</f>
        <v>648</v>
      </c>
      <c r="D200">
        <f>IFERROR(VLOOKUP($A200,koronahun!$A:$AM,4,FALSE),"")</f>
        <v>30070</v>
      </c>
      <c r="E200">
        <f>IFERROR(VLOOKUP($A200,koronahun!$A:$AM,5,FALSE),"")</f>
        <v>778236</v>
      </c>
      <c r="F200">
        <f>IFERROR(VLOOKUP($A200,koronahun!$A:$AM,6,FALSE),"")</f>
        <v>6634089</v>
      </c>
      <c r="G200" s="12">
        <f>IFERROR(VLOOKUP($A200,koronahun!$A:$AM,7,FALSE),"")</f>
        <v>676947.85714285704</v>
      </c>
      <c r="H200">
        <f>IFERROR(VLOOKUP($A200,koronahun!$A:$AM,8,FALSE),"")</f>
        <v>0</v>
      </c>
      <c r="I200" s="13">
        <f>IFERROR(VLOOKUP($A200,koronahun!$A:$AM,9,FALSE),"")</f>
        <v>7.9700875725671554E-4</v>
      </c>
      <c r="J200" s="13">
        <f>IFERROR(VLOOKUP($A200,koronahun!$A:$AM,10,FALSE),"")</f>
        <v>0.12265256013297379</v>
      </c>
      <c r="K200" s="13">
        <f>IFERROR(VLOOKUP($A200,koronahun!$A:$AM,11,FALSE),"")</f>
        <v>4.2442905754133597E-3</v>
      </c>
      <c r="L200">
        <f>IFERROR(VLOOKUP($A200,koronahun!$A:$AM,12,FALSE),"")</f>
        <v>5382</v>
      </c>
      <c r="M200" s="13">
        <f>IFERROR(VLOOKUP($A200,koronahun!$A:$AM,13,FALSE),"")</f>
        <v>3.6955196586406586E-2</v>
      </c>
      <c r="N200" s="13">
        <f>IFERROR(VLOOKUP($A200,koronahun!$A:$AM,14,FALSE),"")</f>
        <v>0.95643047457993724</v>
      </c>
      <c r="O200">
        <f>IFERROR(VLOOKUP($A200,koronahun!$A:$AM,15,FALSE),"")</f>
        <v>1799</v>
      </c>
      <c r="P200">
        <f>IFERROR(VLOOKUP($A200,koronahun!$A:$AM,16,FALSE),"")</f>
        <v>28038</v>
      </c>
      <c r="Q200" s="13">
        <f>IFERROR(VLOOKUP($A200,koronahun!$A:$AM,17,FALSE),"")</f>
        <v>2.3111491547185961E-2</v>
      </c>
      <c r="R200">
        <f>IFERROR(VLOOKUP($A200,koronahun!$A:$AM,18,FALSE),"")</f>
        <v>9</v>
      </c>
      <c r="S200">
        <f>IFERROR(VLOOKUP($A200,koronahun!$A:$AM,19,FALSE),"")</f>
        <v>248</v>
      </c>
      <c r="T200">
        <f>IFERROR(VLOOKUP($A200,koronahun!$A:$AM,20,FALSE),"")</f>
        <v>194</v>
      </c>
      <c r="U200">
        <f>IFERROR(VLOOKUP($A200,koronahun!$A:$AM,21,FALSE),"")</f>
        <v>23</v>
      </c>
      <c r="V200" s="13">
        <f>IFERROR(VLOOKUP($A200,koronahun!$A:$AM,22,FALSE),"")</f>
        <v>6.6143288336561433E-3</v>
      </c>
      <c r="W200">
        <f>IFERROR(VLOOKUP($A200,koronahun!$A:$AM,23,FALSE),"")</f>
        <v>45</v>
      </c>
      <c r="X200">
        <f>IFERROR(VLOOKUP($A200,koronahun!$A:$AM,24,FALSE),"")</f>
        <v>4</v>
      </c>
      <c r="Y200" s="14">
        <f>IFERROR(VLOOKUP($A200,koronahun!$A:$AM,25,FALSE),"")</f>
        <v>3.6046079524340392E-2</v>
      </c>
      <c r="Z200" s="14">
        <f>IFERROR(VLOOKUP($A200,koronahun!$A:$AM,26,FALSE),"")</f>
        <v>0.11855670103092783</v>
      </c>
      <c r="AA200" s="14">
        <f>IFERROR(VLOOKUP($A200,koronahun!$A:$AM,27,FALSE),"")</f>
        <v>1.3209764918625677</v>
      </c>
      <c r="AB200" s="14">
        <f>IFERROR(VLOOKUP($A200,koronahun!$A:$AM,28,FALSE),"")</f>
        <v>1.5978495192230011</v>
      </c>
      <c r="AC200" s="14">
        <f>IFERROR(VLOOKUP($A200,koronahun!$A:$AM,29,FALSE),"")</f>
        <v>208.71428571428572</v>
      </c>
      <c r="AD200" s="14">
        <f>IFERROR(VLOOKUP($A200,koronahun!$A:$AM,30,FALSE),"")</f>
        <v>1.8571428571428572</v>
      </c>
      <c r="AE200" s="14">
        <f>IFERROR(VLOOKUP($A200,koronahun!$A:$AM,31,FALSE),"")</f>
        <v>9312</v>
      </c>
      <c r="AF200" s="13">
        <f>IFERROR(VLOOKUP($A200,koronahun!$A:$AM,32,FALSE),"")</f>
        <v>2.1864903400491041E-2</v>
      </c>
      <c r="AG200">
        <f>IFERROR(VLOOKUP($A200,koronahun!$A:$AM,33,FALSE),"")</f>
        <v>5817481</v>
      </c>
      <c r="AH200">
        <f>IFERROR(VLOOKUP($A200,koronahun!$A:$AM,34,FALSE),"")</f>
        <v>17897</v>
      </c>
      <c r="AI200">
        <f>IFERROR(VLOOKUP($A200,koronahun!$A:$AM,35,FALSE),"")</f>
        <v>15469</v>
      </c>
      <c r="AJ200">
        <f>IFERROR(VLOOKUP($A200,koronahun!$A:$AM,36,FALSE),"")</f>
        <v>5519838</v>
      </c>
      <c r="AK200">
        <f>IFERROR(VLOOKUP($A200,koronahun!$A:$AM,37,FALSE),"")</f>
        <v>7720</v>
      </c>
      <c r="AL200">
        <f>IFERROR(VLOOKUP($A200,koronahun!$A:$AM,38,FALSE),"")</f>
        <v>2610</v>
      </c>
      <c r="AM200" s="14">
        <f>IFERROR(VLOOKUP($A200,koronahun!$A:$AM,39,FALSE),"")</f>
        <v>143.14285714285714</v>
      </c>
      <c r="AN200" s="11">
        <f ca="1">IFERROR(__xludf.DUMMYFUNCTION("""COMPUTED_VALUE"""),44092)</f>
        <v>44092</v>
      </c>
      <c r="AO200" s="12">
        <f ca="1">IFERROR(VLOOKUP(AN200,koronahun!A:B,2,FALSE),"")</f>
        <v>16111</v>
      </c>
      <c r="AP200" s="11">
        <f t="shared" ca="1" si="0"/>
        <v>44092</v>
      </c>
      <c r="AQ200" s="11">
        <f ca="1">IFERROR(__xludf.DUMMYFUNCTION("""COMPUTED_VALUE"""),44092)</f>
        <v>44092</v>
      </c>
      <c r="AR200" s="11">
        <v>44446</v>
      </c>
      <c r="AS200" s="11">
        <f t="shared" si="1"/>
        <v>44446</v>
      </c>
      <c r="AT200" s="11">
        <f ca="1">IFERROR(__xludf.DUMMYFUNCTION("""COMPUTED_VALUE"""),44445)</f>
        <v>44445</v>
      </c>
    </row>
    <row r="201" spans="1:46" ht="13">
      <c r="A201" s="11">
        <v>44442</v>
      </c>
      <c r="B201">
        <f>IFERROR(VLOOKUP($A201,koronahun!$A:$AM,2,FALSE),"")</f>
        <v>813040</v>
      </c>
      <c r="C201">
        <f>IFERROR(VLOOKUP($A201,koronahun!$A:$AM,3,FALSE),"")</f>
        <v>247</v>
      </c>
      <c r="D201">
        <f>IFERROR(VLOOKUP($A201,koronahun!$A:$AM,4,FALSE),"")</f>
        <v>30061</v>
      </c>
      <c r="E201">
        <f>IFERROR(VLOOKUP($A201,koronahun!$A:$AM,5,FALSE),"")</f>
        <v>777988</v>
      </c>
      <c r="F201">
        <f>IFERROR(VLOOKUP($A201,koronahun!$A:$AM,6,FALSE),"")</f>
        <v>6606051</v>
      </c>
      <c r="G201" s="12">
        <f>IFERROR(VLOOKUP($A201,koronahun!$A:$AM,7,FALSE),"")</f>
        <v>674086.83673469385</v>
      </c>
      <c r="H201">
        <f>IFERROR(VLOOKUP($A201,koronahun!$A:$AM,8,FALSE),"")</f>
        <v>0</v>
      </c>
      <c r="I201" s="13">
        <f>IFERROR(VLOOKUP($A201,koronahun!$A:$AM,9,FALSE),"")</f>
        <v>3.0389041244203627E-4</v>
      </c>
      <c r="J201" s="13">
        <f>IFERROR(VLOOKUP($A201,koronahun!$A:$AM,10,FALSE),"")</f>
        <v>0.12307504135223903</v>
      </c>
      <c r="K201" s="13">
        <f>IFERROR(VLOOKUP($A201,koronahun!$A:$AM,11,FALSE),"")</f>
        <v>1.6499956255859403E-3</v>
      </c>
      <c r="L201">
        <f>IFERROR(VLOOKUP($A201,koronahun!$A:$AM,12,FALSE),"")</f>
        <v>4991</v>
      </c>
      <c r="M201" s="13">
        <f>IFERROR(VLOOKUP($A201,koronahun!$A:$AM,13,FALSE),"")</f>
        <v>3.6973580635639082E-2</v>
      </c>
      <c r="N201" s="13">
        <f>IFERROR(VLOOKUP($A201,koronahun!$A:$AM,14,FALSE),"")</f>
        <v>0.95688773000098393</v>
      </c>
      <c r="O201">
        <f>IFERROR(VLOOKUP($A201,koronahun!$A:$AM,15,FALSE),"")</f>
        <v>1874</v>
      </c>
      <c r="P201">
        <f>IFERROR(VLOOKUP($A201,koronahun!$A:$AM,16,FALSE),"")</f>
        <v>10882</v>
      </c>
      <c r="Q201" s="13">
        <f>IFERROR(VLOOKUP($A201,koronahun!$A:$AM,17,FALSE),"")</f>
        <v>2.2698033449733503E-2</v>
      </c>
      <c r="R201">
        <f>IFERROR(VLOOKUP($A201,koronahun!$A:$AM,18,FALSE),"")</f>
        <v>1</v>
      </c>
      <c r="S201">
        <f>IFERROR(VLOOKUP($A201,koronahun!$A:$AM,19,FALSE),"")</f>
        <v>79</v>
      </c>
      <c r="T201">
        <f>IFERROR(VLOOKUP($A201,koronahun!$A:$AM,20,FALSE),"")</f>
        <v>149</v>
      </c>
      <c r="U201">
        <f>IFERROR(VLOOKUP($A201,koronahun!$A:$AM,21,FALSE),"")</f>
        <v>19</v>
      </c>
      <c r="V201" s="13">
        <f>IFERROR(VLOOKUP($A201,koronahun!$A:$AM,22,FALSE),"")</f>
        <v>6.1386893633769554E-3</v>
      </c>
      <c r="W201">
        <f>IFERROR(VLOOKUP($A201,koronahun!$A:$AM,23,FALSE),"")</f>
        <v>11</v>
      </c>
      <c r="X201">
        <f>IFERROR(VLOOKUP($A201,koronahun!$A:$AM,24,FALSE),"")</f>
        <v>3</v>
      </c>
      <c r="Y201" s="14">
        <f>IFERROR(VLOOKUP($A201,koronahun!$A:$AM,25,FALSE),"")</f>
        <v>2.9853736726106993E-2</v>
      </c>
      <c r="Z201" s="14">
        <f>IFERROR(VLOOKUP($A201,koronahun!$A:$AM,26,FALSE),"")</f>
        <v>0.12751677852348994</v>
      </c>
      <c r="AA201" s="14">
        <f>IFERROR(VLOOKUP($A201,koronahun!$A:$AM,27,FALSE),"")</f>
        <v>1.4421621621621621</v>
      </c>
      <c r="AB201" s="14">
        <f>IFERROR(VLOOKUP($A201,koronahun!$A:$AM,28,FALSE),"")</f>
        <v>1.6921631349509743</v>
      </c>
      <c r="AC201" s="14">
        <f>IFERROR(VLOOKUP($A201,koronahun!$A:$AM,29,FALSE),"")</f>
        <v>190.57142857142858</v>
      </c>
      <c r="AD201" s="14">
        <f>IFERROR(VLOOKUP($A201,koronahun!$A:$AM,30,FALSE),"")</f>
        <v>0.5714285714285714</v>
      </c>
      <c r="AE201" s="14">
        <f>IFERROR(VLOOKUP($A201,koronahun!$A:$AM,31,FALSE),"")</f>
        <v>9144.1428571428569</v>
      </c>
      <c r="AF201" s="13">
        <f>IFERROR(VLOOKUP($A201,koronahun!$A:$AM,32,FALSE),"")</f>
        <v>2.1121546385771489E-2</v>
      </c>
      <c r="AG201">
        <f>IFERROR(VLOOKUP($A201,koronahun!$A:$AM,33,FALSE),"")</f>
        <v>5799584</v>
      </c>
      <c r="AH201">
        <f>IFERROR(VLOOKUP($A201,koronahun!$A:$AM,34,FALSE),"")</f>
        <v>18463</v>
      </c>
      <c r="AI201">
        <f>IFERROR(VLOOKUP($A201,koronahun!$A:$AM,35,FALSE),"")</f>
        <v>14849.6</v>
      </c>
      <c r="AJ201">
        <f>IFERROR(VLOOKUP($A201,koronahun!$A:$AM,36,FALSE),"")</f>
        <v>5512118</v>
      </c>
      <c r="AK201">
        <f>IFERROR(VLOOKUP($A201,koronahun!$A:$AM,37,FALSE),"")</f>
        <v>1440</v>
      </c>
      <c r="AL201">
        <f>IFERROR(VLOOKUP($A201,koronahun!$A:$AM,38,FALSE),"")</f>
        <v>1355.4</v>
      </c>
      <c r="AM201" s="14">
        <f>IFERROR(VLOOKUP($A201,koronahun!$A:$AM,39,FALSE),"")</f>
        <v>386</v>
      </c>
      <c r="AN201" s="11">
        <f ca="1">IFERROR(__xludf.DUMMYFUNCTION("""COMPUTED_VALUE"""),44093)</f>
        <v>44093</v>
      </c>
      <c r="AO201" s="12">
        <f ca="1">IFERROR(VLOOKUP(AN201,koronahun!A:B,2,FALSE),"")</f>
        <v>16920</v>
      </c>
      <c r="AP201" s="11">
        <f t="shared" ca="1" si="0"/>
        <v>44093</v>
      </c>
      <c r="AQ201" s="11">
        <f ca="1">IFERROR(__xludf.DUMMYFUNCTION("""COMPUTED_VALUE"""),44093)</f>
        <v>44093</v>
      </c>
      <c r="AR201" s="11">
        <v>44445</v>
      </c>
      <c r="AS201" s="11">
        <f t="shared" si="1"/>
        <v>44445</v>
      </c>
      <c r="AT201" s="11">
        <f ca="1">IFERROR(__xludf.DUMMYFUNCTION("""COMPUTED_VALUE"""),44442)</f>
        <v>44442</v>
      </c>
    </row>
    <row r="202" spans="1:46" ht="13">
      <c r="A202" s="11">
        <v>44441</v>
      </c>
      <c r="B202">
        <f>IFERROR(VLOOKUP($A202,koronahun!$A:$AM,2,FALSE),"")</f>
        <v>812793</v>
      </c>
      <c r="C202">
        <f>IFERROR(VLOOKUP($A202,koronahun!$A:$AM,3,FALSE),"")</f>
        <v>262</v>
      </c>
      <c r="D202">
        <f>IFERROR(VLOOKUP($A202,koronahun!$A:$AM,4,FALSE),"")</f>
        <v>30060</v>
      </c>
      <c r="E202">
        <f>IFERROR(VLOOKUP($A202,koronahun!$A:$AM,5,FALSE),"")</f>
        <v>777909</v>
      </c>
      <c r="F202">
        <f>IFERROR(VLOOKUP($A202,koronahun!$A:$AM,6,FALSE),"")</f>
        <v>6595169</v>
      </c>
      <c r="G202" s="12">
        <f>IFERROR(VLOOKUP($A202,koronahun!$A:$AM,7,FALSE),"")</f>
        <v>672976.42857142852</v>
      </c>
      <c r="H202">
        <f>IFERROR(VLOOKUP($A202,koronahun!$A:$AM,8,FALSE),"")</f>
        <v>0</v>
      </c>
      <c r="I202" s="13">
        <f>IFERROR(VLOOKUP($A202,koronahun!$A:$AM,9,FALSE),"")</f>
        <v>3.2244923578300395E-4</v>
      </c>
      <c r="J202" s="13">
        <f>IFERROR(VLOOKUP($A202,koronahun!$A:$AM,10,FALSE),"")</f>
        <v>0.12324066297618758</v>
      </c>
      <c r="K202" s="13">
        <f>IFERROR(VLOOKUP($A202,koronahun!$A:$AM,11,FALSE),"")</f>
        <v>1.6632195349546447E-3</v>
      </c>
      <c r="L202">
        <f>IFERROR(VLOOKUP($A202,koronahun!$A:$AM,12,FALSE),"")</f>
        <v>4824</v>
      </c>
      <c r="M202" s="13">
        <f>IFERROR(VLOOKUP($A202,koronahun!$A:$AM,13,FALSE),"")</f>
        <v>3.6983586226751464E-2</v>
      </c>
      <c r="N202" s="13">
        <f>IFERROR(VLOOKUP($A202,koronahun!$A:$AM,14,FALSE),"")</f>
        <v>0.95708132328895545</v>
      </c>
      <c r="O202">
        <f>IFERROR(VLOOKUP($A202,koronahun!$A:$AM,15,FALSE),"")</f>
        <v>1750</v>
      </c>
      <c r="P202">
        <f>IFERROR(VLOOKUP($A202,koronahun!$A:$AM,16,FALSE),"")</f>
        <v>10951</v>
      </c>
      <c r="Q202" s="13">
        <f>IFERROR(VLOOKUP($A202,koronahun!$A:$AM,17,FALSE),"")</f>
        <v>2.3924755730070312E-2</v>
      </c>
      <c r="R202">
        <f>IFERROR(VLOOKUP($A202,koronahun!$A:$AM,18,FALSE),"")</f>
        <v>1</v>
      </c>
      <c r="S202">
        <f>IFERROR(VLOOKUP($A202,koronahun!$A:$AM,19,FALSE),"")</f>
        <v>263</v>
      </c>
      <c r="T202">
        <f>IFERROR(VLOOKUP($A202,koronahun!$A:$AM,20,FALSE),"")</f>
        <v>138</v>
      </c>
      <c r="U202">
        <f>IFERROR(VLOOKUP($A202,koronahun!$A:$AM,21,FALSE),"")</f>
        <v>16</v>
      </c>
      <c r="V202" s="13">
        <f>IFERROR(VLOOKUP($A202,koronahun!$A:$AM,22,FALSE),"")</f>
        <v>5.9350904842930489E-3</v>
      </c>
      <c r="W202">
        <f>IFERROR(VLOOKUP($A202,koronahun!$A:$AM,23,FALSE),"")</f>
        <v>6</v>
      </c>
      <c r="X202">
        <f>IFERROR(VLOOKUP($A202,koronahun!$A:$AM,24,FALSE),"")</f>
        <v>3</v>
      </c>
      <c r="Y202" s="14">
        <f>IFERROR(VLOOKUP($A202,koronahun!$A:$AM,25,FALSE),"")</f>
        <v>2.8606965174129355E-2</v>
      </c>
      <c r="Z202" s="14">
        <f>IFERROR(VLOOKUP($A202,koronahun!$A:$AM,26,FALSE),"")</f>
        <v>0.11594202898550725</v>
      </c>
      <c r="AA202" s="14">
        <f>IFERROR(VLOOKUP($A202,koronahun!$A:$AM,27,FALSE),"")</f>
        <v>1.7336956521739131</v>
      </c>
      <c r="AB202" s="14">
        <f>IFERROR(VLOOKUP($A202,koronahun!$A:$AM,28,FALSE),"")</f>
        <v>1.8015801648841332</v>
      </c>
      <c r="AC202" s="14">
        <f>IFERROR(VLOOKUP($A202,koronahun!$A:$AM,29,FALSE),"")</f>
        <v>182.28571428571428</v>
      </c>
      <c r="AD202" s="14">
        <f>IFERROR(VLOOKUP($A202,koronahun!$A:$AM,30,FALSE),"")</f>
        <v>0.5714285714285714</v>
      </c>
      <c r="AE202" s="14">
        <f>IFERROR(VLOOKUP($A202,koronahun!$A:$AM,31,FALSE),"")</f>
        <v>9034.8571428571431</v>
      </c>
      <c r="AF202" s="13">
        <f>IFERROR(VLOOKUP($A202,koronahun!$A:$AM,32,FALSE),"")</f>
        <v>2.0318225155941425E-2</v>
      </c>
      <c r="AG202">
        <f>IFERROR(VLOOKUP($A202,koronahun!$A:$AM,33,FALSE),"")</f>
        <v>5781121</v>
      </c>
      <c r="AH202">
        <f>IFERROR(VLOOKUP($A202,koronahun!$A:$AM,34,FALSE),"")</f>
        <v>9111</v>
      </c>
      <c r="AI202">
        <f>IFERROR(VLOOKUP($A202,koronahun!$A:$AM,35,FALSE),"")</f>
        <v>13119.2</v>
      </c>
      <c r="AJ202">
        <f>IFERROR(VLOOKUP($A202,koronahun!$A:$AM,36,FALSE),"")</f>
        <v>5510678</v>
      </c>
      <c r="AK202">
        <f>IFERROR(VLOOKUP($A202,koronahun!$A:$AM,37,FALSE),"")</f>
        <v>1548</v>
      </c>
      <c r="AL202">
        <f>IFERROR(VLOOKUP($A202,koronahun!$A:$AM,38,FALSE),"")</f>
        <v>1155.8</v>
      </c>
      <c r="AM202" s="14">
        <f>IFERROR(VLOOKUP($A202,koronahun!$A:$AM,39,FALSE),"")</f>
        <v>472.71428571428572</v>
      </c>
      <c r="AN202" s="11">
        <f ca="1">IFERROR(__xludf.DUMMYFUNCTION("""COMPUTED_VALUE"""),44094)</f>
        <v>44094</v>
      </c>
      <c r="AO202" s="12">
        <f ca="1">IFERROR(VLOOKUP(AN202,koronahun!A:B,2,FALSE),"")</f>
        <v>17990</v>
      </c>
      <c r="AP202" s="11">
        <f t="shared" ca="1" si="0"/>
        <v>44094</v>
      </c>
      <c r="AQ202" s="11">
        <f ca="1">IFERROR(__xludf.DUMMYFUNCTION("""COMPUTED_VALUE"""),44094)</f>
        <v>44094</v>
      </c>
      <c r="AR202" s="11">
        <v>44442</v>
      </c>
      <c r="AS202" s="11">
        <f t="shared" si="1"/>
        <v>44442</v>
      </c>
      <c r="AT202" s="11">
        <f ca="1">IFERROR(__xludf.DUMMYFUNCTION("""COMPUTED_VALUE"""),44441)</f>
        <v>44441</v>
      </c>
    </row>
    <row r="203" spans="1:46" ht="13">
      <c r="A203" s="11">
        <v>44440</v>
      </c>
      <c r="B203">
        <f>IFERROR(VLOOKUP($A203,koronahun!$A:$AM,2,FALSE),"")</f>
        <v>812531</v>
      </c>
      <c r="C203">
        <f>IFERROR(VLOOKUP($A203,koronahun!$A:$AM,3,FALSE),"")</f>
        <v>194</v>
      </c>
      <c r="D203">
        <f>IFERROR(VLOOKUP($A203,koronahun!$A:$AM,4,FALSE),"")</f>
        <v>30059</v>
      </c>
      <c r="E203">
        <f>IFERROR(VLOOKUP($A203,koronahun!$A:$AM,5,FALSE),"")</f>
        <v>777646</v>
      </c>
      <c r="F203">
        <f>IFERROR(VLOOKUP($A203,koronahun!$A:$AM,6,FALSE),"")</f>
        <v>6584218</v>
      </c>
      <c r="G203" s="12">
        <f>IFERROR(VLOOKUP($A203,koronahun!$A:$AM,7,FALSE),"")</f>
        <v>671858.97959183669</v>
      </c>
      <c r="H203">
        <f>IFERROR(VLOOKUP($A203,koronahun!$A:$AM,8,FALSE),"")</f>
        <v>0</v>
      </c>
      <c r="I203" s="13">
        <f>IFERROR(VLOOKUP($A203,koronahun!$A:$AM,9,FALSE),"")</f>
        <v>2.388171411618577E-4</v>
      </c>
      <c r="J203" s="13">
        <f>IFERROR(VLOOKUP($A203,koronahun!$A:$AM,10,FALSE),"")</f>
        <v>0.12340584713325106</v>
      </c>
      <c r="K203" s="13">
        <f>IFERROR(VLOOKUP($A203,koronahun!$A:$AM,11,FALSE),"")</f>
        <v>1.4746316957138944E-3</v>
      </c>
      <c r="L203">
        <f>IFERROR(VLOOKUP($A203,koronahun!$A:$AM,12,FALSE),"")</f>
        <v>4826</v>
      </c>
      <c r="M203" s="13">
        <f>IFERROR(VLOOKUP($A203,koronahun!$A:$AM,13,FALSE),"")</f>
        <v>3.699428083359281E-2</v>
      </c>
      <c r="N203" s="13">
        <f>IFERROR(VLOOKUP($A203,koronahun!$A:$AM,14,FALSE),"")</f>
        <v>0.95706625347217522</v>
      </c>
      <c r="O203">
        <f>IFERROR(VLOOKUP($A203,koronahun!$A:$AM,15,FALSE),"")</f>
        <v>1437</v>
      </c>
      <c r="P203">
        <f>IFERROR(VLOOKUP($A203,koronahun!$A:$AM,16,FALSE),"")</f>
        <v>9695</v>
      </c>
      <c r="Q203" s="13">
        <f>IFERROR(VLOOKUP($A203,koronahun!$A:$AM,17,FALSE),"")</f>
        <v>2.0010314595152141E-2</v>
      </c>
      <c r="R203">
        <f>IFERROR(VLOOKUP($A203,koronahun!$A:$AM,18,FALSE),"")</f>
        <v>1</v>
      </c>
      <c r="S203">
        <f>IFERROR(VLOOKUP($A203,koronahun!$A:$AM,19,FALSE),"")</f>
        <v>201</v>
      </c>
      <c r="T203">
        <f>IFERROR(VLOOKUP($A203,koronahun!$A:$AM,20,FALSE),"")</f>
        <v>132</v>
      </c>
      <c r="U203">
        <f>IFERROR(VLOOKUP($A203,koronahun!$A:$AM,21,FALSE),"")</f>
        <v>13</v>
      </c>
      <c r="V203" s="13">
        <f>IFERROR(VLOOKUP($A203,koronahun!$A:$AM,22,FALSE),"")</f>
        <v>5.9394656942319737E-3</v>
      </c>
      <c r="W203">
        <f>IFERROR(VLOOKUP($A203,koronahun!$A:$AM,23,FALSE),"")</f>
        <v>13</v>
      </c>
      <c r="X203">
        <f>IFERROR(VLOOKUP($A203,koronahun!$A:$AM,24,FALSE),"")</f>
        <v>0</v>
      </c>
      <c r="Y203" s="14">
        <f>IFERROR(VLOOKUP($A203,koronahun!$A:$AM,25,FALSE),"")</f>
        <v>2.7351844177372565E-2</v>
      </c>
      <c r="Z203" s="14">
        <f>IFERROR(VLOOKUP($A203,koronahun!$A:$AM,26,FALSE),"")</f>
        <v>9.8484848484848481E-2</v>
      </c>
      <c r="AA203" s="14">
        <f>IFERROR(VLOOKUP($A203,koronahun!$A:$AM,27,FALSE),"")</f>
        <v>1.7584683357879234</v>
      </c>
      <c r="AB203" s="14">
        <f>IFERROR(VLOOKUP($A203,koronahun!$A:$AM,28,FALSE),"")</f>
        <v>1.713540507208577</v>
      </c>
      <c r="AC203" s="14">
        <f>IFERROR(VLOOKUP($A203,koronahun!$A:$AM,29,FALSE),"")</f>
        <v>170.57142857142858</v>
      </c>
      <c r="AD203" s="14">
        <f>IFERROR(VLOOKUP($A203,koronahun!$A:$AM,30,FALSE),"")</f>
        <v>0.5714285714285714</v>
      </c>
      <c r="AE203" s="14">
        <f>IFERROR(VLOOKUP($A203,koronahun!$A:$AM,31,FALSE),"")</f>
        <v>10100.428571428571</v>
      </c>
      <c r="AF203" s="13">
        <f>IFERROR(VLOOKUP($A203,koronahun!$A:$AM,32,FALSE),"")</f>
        <v>1.7488732999606883E-2</v>
      </c>
      <c r="AG203">
        <f>IFERROR(VLOOKUP($A203,koronahun!$A:$AM,33,FALSE),"")</f>
        <v>5772010</v>
      </c>
      <c r="AH203">
        <f>IFERROR(VLOOKUP($A203,koronahun!$A:$AM,34,FALSE),"")</f>
        <v>17444</v>
      </c>
      <c r="AI203">
        <f>IFERROR(VLOOKUP($A203,koronahun!$A:$AM,35,FALSE),"")</f>
        <v>12562.6</v>
      </c>
      <c r="AJ203">
        <f>IFERROR(VLOOKUP($A203,koronahun!$A:$AM,36,FALSE),"")</f>
        <v>5509130</v>
      </c>
      <c r="AK203">
        <f>IFERROR(VLOOKUP($A203,koronahun!$A:$AM,37,FALSE),"")</f>
        <v>1759</v>
      </c>
      <c r="AL203">
        <f>IFERROR(VLOOKUP($A203,koronahun!$A:$AM,38,FALSE),"")</f>
        <v>985</v>
      </c>
      <c r="AM203" s="14">
        <f>IFERROR(VLOOKUP($A203,koronahun!$A:$AM,39,FALSE),"")</f>
        <v>582.42857142857144</v>
      </c>
      <c r="AN203" s="11">
        <f ca="1">IFERROR(__xludf.DUMMYFUNCTION("""COMPUTED_VALUE"""),44095)</f>
        <v>44095</v>
      </c>
      <c r="AO203" s="12">
        <f ca="1">IFERROR(VLOOKUP(AN203,koronahun!A:B,2,FALSE),"")</f>
        <v>18866</v>
      </c>
      <c r="AP203" s="11">
        <f t="shared" ca="1" si="0"/>
        <v>44095</v>
      </c>
      <c r="AQ203" s="11">
        <f ca="1">IFERROR(__xludf.DUMMYFUNCTION("""COMPUTED_VALUE"""),44095)</f>
        <v>44095</v>
      </c>
      <c r="AR203" s="11">
        <v>44441</v>
      </c>
      <c r="AS203" s="11">
        <f t="shared" si="1"/>
        <v>44441</v>
      </c>
      <c r="AT203" s="11">
        <f ca="1">IFERROR(__xludf.DUMMYFUNCTION("""COMPUTED_VALUE"""),44440)</f>
        <v>44440</v>
      </c>
    </row>
    <row r="204" spans="1:46" ht="13">
      <c r="A204" s="11">
        <v>44439</v>
      </c>
      <c r="B204">
        <f>IFERROR(VLOOKUP($A204,koronahun!$A:$AM,2,FALSE),"")</f>
        <v>812337</v>
      </c>
      <c r="C204">
        <f>IFERROR(VLOOKUP($A204,koronahun!$A:$AM,3,FALSE),"")</f>
        <v>110</v>
      </c>
      <c r="D204">
        <f>IFERROR(VLOOKUP($A204,koronahun!$A:$AM,4,FALSE),"")</f>
        <v>30058</v>
      </c>
      <c r="E204">
        <f>IFERROR(VLOOKUP($A204,koronahun!$A:$AM,5,FALSE),"")</f>
        <v>777445</v>
      </c>
      <c r="F204">
        <f>IFERROR(VLOOKUP($A204,koronahun!$A:$AM,6,FALSE),"")</f>
        <v>6574523</v>
      </c>
      <c r="G204" s="12">
        <f>IFERROR(VLOOKUP($A204,koronahun!$A:$AM,7,FALSE),"")</f>
        <v>670869.69387755101</v>
      </c>
      <c r="H204">
        <f>IFERROR(VLOOKUP($A204,koronahun!$A:$AM,8,FALSE),"")</f>
        <v>0</v>
      </c>
      <c r="I204" s="13">
        <f>IFERROR(VLOOKUP($A204,koronahun!$A:$AM,9,FALSE),"")</f>
        <v>1.3543011990490344E-4</v>
      </c>
      <c r="J204" s="13">
        <f>IFERROR(VLOOKUP($A204,koronahun!$A:$AM,10,FALSE),"")</f>
        <v>0.12355831746272695</v>
      </c>
      <c r="K204" s="13">
        <f>IFERROR(VLOOKUP($A204,koronahun!$A:$AM,11,FALSE),"")</f>
        <v>8.5524147479678876E-4</v>
      </c>
      <c r="L204">
        <f>IFERROR(VLOOKUP($A204,koronahun!$A:$AM,12,FALSE),"")</f>
        <v>4834</v>
      </c>
      <c r="M204" s="13">
        <f>IFERROR(VLOOKUP($A204,koronahun!$A:$AM,13,FALSE),"")</f>
        <v>3.7001884685789271E-2</v>
      </c>
      <c r="N204" s="13">
        <f>IFERROR(VLOOKUP($A204,koronahun!$A:$AM,14,FALSE),"")</f>
        <v>0.95704738304422921</v>
      </c>
      <c r="O204">
        <f>IFERROR(VLOOKUP($A204,koronahun!$A:$AM,15,FALSE),"")</f>
        <v>1344</v>
      </c>
      <c r="P204">
        <f>IFERROR(VLOOKUP($A204,koronahun!$A:$AM,16,FALSE),"")</f>
        <v>5618</v>
      </c>
      <c r="Q204" s="13">
        <f>IFERROR(VLOOKUP($A204,koronahun!$A:$AM,17,FALSE),"")</f>
        <v>1.9579921680313278E-2</v>
      </c>
      <c r="R204">
        <f>IFERROR(VLOOKUP($A204,koronahun!$A:$AM,18,FALSE),"")</f>
        <v>1</v>
      </c>
      <c r="S204">
        <f>IFERROR(VLOOKUP($A204,koronahun!$A:$AM,19,FALSE),"")</f>
        <v>211</v>
      </c>
      <c r="T204">
        <f>IFERROR(VLOOKUP($A204,koronahun!$A:$AM,20,FALSE),"")</f>
        <v>119</v>
      </c>
      <c r="U204">
        <f>IFERROR(VLOOKUP($A204,koronahun!$A:$AM,21,FALSE),"")</f>
        <v>13</v>
      </c>
      <c r="V204" s="13">
        <f>IFERROR(VLOOKUP($A204,koronahun!$A:$AM,22,FALSE),"")</f>
        <v>5.9507322699815469E-3</v>
      </c>
      <c r="W204">
        <f>IFERROR(VLOOKUP($A204,koronahun!$A:$AM,23,FALSE),"")</f>
        <v>21</v>
      </c>
      <c r="X204">
        <f>IFERROR(VLOOKUP($A204,koronahun!$A:$AM,24,FALSE),"")</f>
        <v>6</v>
      </c>
      <c r="Y204" s="14">
        <f>IFERROR(VLOOKUP($A204,koronahun!$A:$AM,25,FALSE),"")</f>
        <v>2.4617294166321888E-2</v>
      </c>
      <c r="Z204" s="14">
        <f>IFERROR(VLOOKUP($A204,koronahun!$A:$AM,26,FALSE),"")</f>
        <v>0.1092436974789916</v>
      </c>
      <c r="AA204" s="14">
        <f>IFERROR(VLOOKUP($A204,koronahun!$A:$AM,27,FALSE),"")</f>
        <v>1.7339449541284404</v>
      </c>
      <c r="AB204" s="14">
        <f>IFERROR(VLOOKUP($A204,koronahun!$A:$AM,28,FALSE),"")</f>
        <v>1.6171099979457295</v>
      </c>
      <c r="AC204" s="14">
        <f>IFERROR(VLOOKUP($A204,koronahun!$A:$AM,29,FALSE),"")</f>
        <v>162</v>
      </c>
      <c r="AD204" s="14">
        <f>IFERROR(VLOOKUP($A204,koronahun!$A:$AM,30,FALSE),"")</f>
        <v>0.5714285714285714</v>
      </c>
      <c r="AE204" s="14">
        <f>IFERROR(VLOOKUP($A204,koronahun!$A:$AM,31,FALSE),"")</f>
        <v>10050.571428571429</v>
      </c>
      <c r="AF204" s="13">
        <f>IFERROR(VLOOKUP($A204,koronahun!$A:$AM,32,FALSE),"")</f>
        <v>1.6354206994764343E-2</v>
      </c>
      <c r="AG204">
        <f>IFERROR(VLOOKUP($A204,koronahun!$A:$AM,33,FALSE),"")</f>
        <v>5754566</v>
      </c>
      <c r="AH204">
        <f>IFERROR(VLOOKUP($A204,koronahun!$A:$AM,34,FALSE),"")</f>
        <v>14430</v>
      </c>
      <c r="AI204">
        <f>IFERROR(VLOOKUP($A204,koronahun!$A:$AM,35,FALSE),"")</f>
        <v>10136.6</v>
      </c>
      <c r="AJ204">
        <f>IFERROR(VLOOKUP($A204,koronahun!$A:$AM,36,FALSE),"")</f>
        <v>5507371</v>
      </c>
      <c r="AK204">
        <f>IFERROR(VLOOKUP($A204,koronahun!$A:$AM,37,FALSE),"")</f>
        <v>583</v>
      </c>
      <c r="AL204">
        <f>IFERROR(VLOOKUP($A204,koronahun!$A:$AM,38,FALSE),"")</f>
        <v>801.2</v>
      </c>
      <c r="AM204" s="14">
        <f>IFERROR(VLOOKUP($A204,koronahun!$A:$AM,39,FALSE),"")</f>
        <v>743.42857142857144</v>
      </c>
      <c r="AN204" s="11">
        <f ca="1">IFERROR(__xludf.DUMMYFUNCTION("""COMPUTED_VALUE"""),44096)</f>
        <v>44096</v>
      </c>
      <c r="AO204" s="12">
        <f ca="1">IFERROR(VLOOKUP(AN204,koronahun!A:B,2,FALSE),"")</f>
        <v>19499</v>
      </c>
      <c r="AP204" s="11">
        <f t="shared" ca="1" si="0"/>
        <v>44096</v>
      </c>
      <c r="AQ204" s="11">
        <f ca="1">IFERROR(__xludf.DUMMYFUNCTION("""COMPUTED_VALUE"""),44096)</f>
        <v>44096</v>
      </c>
      <c r="AR204" s="11">
        <v>44440</v>
      </c>
      <c r="AS204" s="11">
        <f t="shared" si="1"/>
        <v>44440</v>
      </c>
      <c r="AT204" s="11">
        <f ca="1">IFERROR(__xludf.DUMMYFUNCTION("""COMPUTED_VALUE"""),44439)</f>
        <v>44439</v>
      </c>
    </row>
    <row r="205" spans="1:46" ht="13">
      <c r="A205" s="11">
        <v>44438</v>
      </c>
      <c r="B205">
        <f>IFERROR(VLOOKUP($A205,koronahun!$A:$AM,2,FALSE),"")</f>
        <v>812227</v>
      </c>
      <c r="C205">
        <f>IFERROR(VLOOKUP($A205,koronahun!$A:$AM,3,FALSE),"")</f>
        <v>521</v>
      </c>
      <c r="D205">
        <f>IFERROR(VLOOKUP($A205,koronahun!$A:$AM,4,FALSE),"")</f>
        <v>30057</v>
      </c>
      <c r="E205">
        <f>IFERROR(VLOOKUP($A205,koronahun!$A:$AM,5,FALSE),"")</f>
        <v>777234</v>
      </c>
      <c r="F205">
        <f>IFERROR(VLOOKUP($A205,koronahun!$A:$AM,6,FALSE),"")</f>
        <v>6568905</v>
      </c>
      <c r="G205" s="12">
        <f>IFERROR(VLOOKUP($A205,koronahun!$A:$AM,7,FALSE),"")</f>
        <v>670296.42857142852</v>
      </c>
      <c r="H205">
        <f>IFERROR(VLOOKUP($A205,koronahun!$A:$AM,8,FALSE),"")</f>
        <v>0</v>
      </c>
      <c r="I205" s="13">
        <f>IFERROR(VLOOKUP($A205,koronahun!$A:$AM,9,FALSE),"")</f>
        <v>6.4185801263018881E-4</v>
      </c>
      <c r="J205" s="13">
        <f>IFERROR(VLOOKUP($A205,koronahun!$A:$AM,10,FALSE),"")</f>
        <v>0.1236472440992829</v>
      </c>
      <c r="K205" s="13">
        <f>IFERROR(VLOOKUP($A205,koronahun!$A:$AM,11,FALSE),"")</f>
        <v>4.1062102627895079E-3</v>
      </c>
      <c r="L205">
        <f>IFERROR(VLOOKUP($A205,koronahun!$A:$AM,12,FALSE),"")</f>
        <v>4936</v>
      </c>
      <c r="M205" s="13">
        <f>IFERROR(VLOOKUP($A205,koronahun!$A:$AM,13,FALSE),"")</f>
        <v>3.7005664672560751E-2</v>
      </c>
      <c r="N205" s="13">
        <f>IFERROR(VLOOKUP($A205,koronahun!$A:$AM,14,FALSE),"")</f>
        <v>0.95691721649243378</v>
      </c>
      <c r="O205">
        <f>IFERROR(VLOOKUP($A205,koronahun!$A:$AM,15,FALSE),"")</f>
        <v>1270</v>
      </c>
      <c r="P205">
        <f>IFERROR(VLOOKUP($A205,koronahun!$A:$AM,16,FALSE),"")</f>
        <v>26863</v>
      </c>
      <c r="Q205" s="13">
        <f>IFERROR(VLOOKUP($A205,koronahun!$A:$AM,17,FALSE),"")</f>
        <v>1.9394706473588208E-2</v>
      </c>
      <c r="R205">
        <f>IFERROR(VLOOKUP($A205,koronahun!$A:$AM,18,FALSE),"")</f>
        <v>0</v>
      </c>
      <c r="S205">
        <f>IFERROR(VLOOKUP($A205,koronahun!$A:$AM,19,FALSE),"")</f>
        <v>1948</v>
      </c>
      <c r="T205">
        <f>IFERROR(VLOOKUP($A205,koronahun!$A:$AM,20,FALSE),"")</f>
        <v>98</v>
      </c>
      <c r="U205">
        <f>IFERROR(VLOOKUP($A205,koronahun!$A:$AM,21,FALSE),"")</f>
        <v>7</v>
      </c>
      <c r="V205" s="13">
        <f>IFERROR(VLOOKUP($A205,koronahun!$A:$AM,22,FALSE),"")</f>
        <v>6.0771188350054852E-3</v>
      </c>
      <c r="W205">
        <f>IFERROR(VLOOKUP($A205,koronahun!$A:$AM,23,FALSE),"")</f>
        <v>16</v>
      </c>
      <c r="X205">
        <f>IFERROR(VLOOKUP($A205,koronahun!$A:$AM,24,FALSE),"")</f>
        <v>-1</v>
      </c>
      <c r="Y205" s="14">
        <f>IFERROR(VLOOKUP($A205,koronahun!$A:$AM,25,FALSE),"")</f>
        <v>1.9854132901134521E-2</v>
      </c>
      <c r="Z205" s="14">
        <f>IFERROR(VLOOKUP($A205,koronahun!$A:$AM,26,FALSE),"")</f>
        <v>7.1428571428571425E-2</v>
      </c>
      <c r="AA205" s="14">
        <f>IFERROR(VLOOKUP($A205,koronahun!$A:$AM,27,FALSE),"")</f>
        <v>1.7925445705024312</v>
      </c>
      <c r="AB205" s="14">
        <f>IFERROR(VLOOKUP($A205,koronahun!$A:$AM,28,FALSE),"")</f>
        <v>1.5303607685514526</v>
      </c>
      <c r="AC205" s="14">
        <f>IFERROR(VLOOKUP($A205,koronahun!$A:$AM,29,FALSE),"")</f>
        <v>158</v>
      </c>
      <c r="AD205" s="14">
        <f>IFERROR(VLOOKUP($A205,koronahun!$A:$AM,30,FALSE),"")</f>
        <v>0.7142857142857143</v>
      </c>
      <c r="AE205" s="14">
        <f>IFERROR(VLOOKUP($A205,koronahun!$A:$AM,31,FALSE),"")</f>
        <v>10923.428571428571</v>
      </c>
      <c r="AF205" s="13">
        <f>IFERROR(VLOOKUP($A205,koronahun!$A:$AM,32,FALSE),"")</f>
        <v>1.3836585550925424E-2</v>
      </c>
      <c r="AG205">
        <f>IFERROR(VLOOKUP($A205,koronahun!$A:$AM,33,FALSE),"")</f>
        <v>5740136</v>
      </c>
      <c r="AH205">
        <f>IFERROR(VLOOKUP($A205,koronahun!$A:$AM,34,FALSE),"")</f>
        <v>14800</v>
      </c>
      <c r="AI205">
        <f>IFERROR(VLOOKUP($A205,koronahun!$A:$AM,35,FALSE),"")</f>
        <v>8177</v>
      </c>
      <c r="AJ205">
        <f>IFERROR(VLOOKUP($A205,koronahun!$A:$AM,36,FALSE),"")</f>
        <v>5506788</v>
      </c>
      <c r="AK205">
        <f>IFERROR(VLOOKUP($A205,koronahun!$A:$AM,37,FALSE),"")</f>
        <v>1447</v>
      </c>
      <c r="AL205">
        <f>IFERROR(VLOOKUP($A205,koronahun!$A:$AM,38,FALSE),"")</f>
        <v>848.4</v>
      </c>
      <c r="AM205" s="14">
        <f>IFERROR(VLOOKUP($A205,koronahun!$A:$AM,39,FALSE),"")</f>
        <v>814.85714285714289</v>
      </c>
      <c r="AN205" s="11">
        <f ca="1">IFERROR(__xludf.DUMMYFUNCTION("""COMPUTED_VALUE"""),44097)</f>
        <v>44097</v>
      </c>
      <c r="AO205" s="12">
        <f ca="1">IFERROR(VLOOKUP(AN205,koronahun!A:B,2,FALSE),"")</f>
        <v>20450</v>
      </c>
      <c r="AP205" s="11">
        <f t="shared" ca="1" si="0"/>
        <v>44097</v>
      </c>
      <c r="AQ205" s="11">
        <f ca="1">IFERROR(__xludf.DUMMYFUNCTION("""COMPUTED_VALUE"""),44097)</f>
        <v>44097</v>
      </c>
      <c r="AR205" s="11">
        <v>44439</v>
      </c>
      <c r="AS205" s="11">
        <f t="shared" si="1"/>
        <v>44439</v>
      </c>
      <c r="AT205" s="11">
        <f ca="1">IFERROR(__xludf.DUMMYFUNCTION("""COMPUTED_VALUE"""),44438)</f>
        <v>44438</v>
      </c>
    </row>
    <row r="206" spans="1:46" ht="13">
      <c r="A206" s="11">
        <v>44435</v>
      </c>
      <c r="B206">
        <f>IFERROR(VLOOKUP($A206,koronahun!$A:$AM,2,FALSE),"")</f>
        <v>811706</v>
      </c>
      <c r="C206">
        <f>IFERROR(VLOOKUP($A206,koronahun!$A:$AM,3,FALSE),"")</f>
        <v>189</v>
      </c>
      <c r="D206">
        <f>IFERROR(VLOOKUP($A206,koronahun!$A:$AM,4,FALSE),"")</f>
        <v>30057</v>
      </c>
      <c r="E206">
        <f>IFERROR(VLOOKUP($A206,koronahun!$A:$AM,5,FALSE),"")</f>
        <v>775286</v>
      </c>
      <c r="F206">
        <f>IFERROR(VLOOKUP($A206,koronahun!$A:$AM,6,FALSE),"")</f>
        <v>6542042</v>
      </c>
      <c r="G206" s="12">
        <f>IFERROR(VLOOKUP($A206,koronahun!$A:$AM,7,FALSE),"")</f>
        <v>667555.30612244888</v>
      </c>
      <c r="H206">
        <f>IFERROR(VLOOKUP($A206,koronahun!$A:$AM,8,FALSE),"")</f>
        <v>0</v>
      </c>
      <c r="I206" s="13">
        <f>IFERROR(VLOOKUP($A206,koronahun!$A:$AM,9,FALSE),"")</f>
        <v>2.3289715434180675E-4</v>
      </c>
      <c r="J206" s="13">
        <f>IFERROR(VLOOKUP($A206,koronahun!$A:$AM,10,FALSE),"")</f>
        <v>0.12407532693920338</v>
      </c>
      <c r="K206" s="13">
        <f>IFERROR(VLOOKUP($A206,koronahun!$A:$AM,11,FALSE),"")</f>
        <v>1.5488542810886531E-3</v>
      </c>
      <c r="L206">
        <f>IFERROR(VLOOKUP($A206,koronahun!$A:$AM,12,FALSE),"")</f>
        <v>6363</v>
      </c>
      <c r="M206" s="13">
        <f>IFERROR(VLOOKUP($A206,koronahun!$A:$AM,13,FALSE),"")</f>
        <v>3.7029417054943538E-2</v>
      </c>
      <c r="N206" s="13">
        <f>IFERROR(VLOOKUP($A206,koronahun!$A:$AM,14,FALSE),"")</f>
        <v>0.95513153777352888</v>
      </c>
      <c r="O206">
        <f>IFERROR(VLOOKUP($A206,koronahun!$A:$AM,15,FALSE),"")</f>
        <v>1137</v>
      </c>
      <c r="P206">
        <f>IFERROR(VLOOKUP($A206,koronahun!$A:$AM,16,FALSE),"")</f>
        <v>10117</v>
      </c>
      <c r="Q206" s="13">
        <f>IFERROR(VLOOKUP($A206,koronahun!$A:$AM,17,FALSE),"")</f>
        <v>1.8681427300583177E-2</v>
      </c>
      <c r="R206">
        <f>IFERROR(VLOOKUP($A206,koronahun!$A:$AM,18,FALSE),"")</f>
        <v>1</v>
      </c>
      <c r="S206">
        <f>IFERROR(VLOOKUP($A206,koronahun!$A:$AM,19,FALSE),"")</f>
        <v>686</v>
      </c>
      <c r="T206">
        <f>IFERROR(VLOOKUP($A206,koronahun!$A:$AM,20,FALSE),"")</f>
        <v>82</v>
      </c>
      <c r="U206">
        <f>IFERROR(VLOOKUP($A206,koronahun!$A:$AM,21,FALSE),"")</f>
        <v>8</v>
      </c>
      <c r="V206" s="13">
        <f>IFERROR(VLOOKUP($A206,koronahun!$A:$AM,22,FALSE),"")</f>
        <v>7.8390451715276213E-3</v>
      </c>
      <c r="W206">
        <f>IFERROR(VLOOKUP($A206,koronahun!$A:$AM,23,FALSE),"")</f>
        <v>-11</v>
      </c>
      <c r="X206">
        <f>IFERROR(VLOOKUP($A206,koronahun!$A:$AM,24,FALSE),"")</f>
        <v>-1</v>
      </c>
      <c r="Y206" s="14">
        <f>IFERROR(VLOOKUP($A206,koronahun!$A:$AM,25,FALSE),"")</f>
        <v>1.2887002986012887E-2</v>
      </c>
      <c r="Z206" s="14">
        <f>IFERROR(VLOOKUP($A206,koronahun!$A:$AM,26,FALSE),"")</f>
        <v>9.7560975609756101E-2</v>
      </c>
      <c r="AA206" s="14">
        <f>IFERROR(VLOOKUP($A206,koronahun!$A:$AM,27,FALSE),"")</f>
        <v>1.989247311827957</v>
      </c>
      <c r="AB206" s="14">
        <f>IFERROR(VLOOKUP($A206,koronahun!$A:$AM,28,FALSE),"")</f>
        <v>1.422156114085855</v>
      </c>
      <c r="AC206" s="14">
        <f>IFERROR(VLOOKUP($A206,koronahun!$A:$AM,29,FALSE),"")</f>
        <v>132.14285714285714</v>
      </c>
      <c r="AD206" s="14">
        <f>IFERROR(VLOOKUP($A206,koronahun!$A:$AM,30,FALSE),"")</f>
        <v>1.5714285714285714</v>
      </c>
      <c r="AE206" s="14">
        <f>IFERROR(VLOOKUP($A206,koronahun!$A:$AM,31,FALSE),"")</f>
        <v>10622.714285714286</v>
      </c>
      <c r="AF206" s="13">
        <f>IFERROR(VLOOKUP($A206,koronahun!$A:$AM,32,FALSE),"")</f>
        <v>1.2704231217997913E-2</v>
      </c>
      <c r="AG206">
        <f>IFERROR(VLOOKUP($A206,koronahun!$A:$AM,33,FALSE),"")</f>
        <v>5725336</v>
      </c>
      <c r="AH206">
        <f>IFERROR(VLOOKUP($A206,koronahun!$A:$AM,34,FALSE),"")</f>
        <v>9811</v>
      </c>
      <c r="AI206">
        <f>IFERROR(VLOOKUP($A206,koronahun!$A:$AM,35,FALSE),"")</f>
        <v>6424.4</v>
      </c>
      <c r="AJ206">
        <f>IFERROR(VLOOKUP($A206,koronahun!$A:$AM,36,FALSE),"")</f>
        <v>5505341</v>
      </c>
      <c r="AK206">
        <f>IFERROR(VLOOKUP($A206,koronahun!$A:$AM,37,FALSE),"")</f>
        <v>442</v>
      </c>
      <c r="AL206">
        <f>IFERROR(VLOOKUP($A206,koronahun!$A:$AM,38,FALSE),"")</f>
        <v>651</v>
      </c>
      <c r="AM206" s="14">
        <f>IFERROR(VLOOKUP($A206,koronahun!$A:$AM,39,FALSE),"")</f>
        <v>787</v>
      </c>
      <c r="AN206" s="11">
        <f ca="1">IFERROR(__xludf.DUMMYFUNCTION("""COMPUTED_VALUE"""),44098)</f>
        <v>44098</v>
      </c>
      <c r="AO206" s="12">
        <f ca="1">IFERROR(VLOOKUP(AN206,koronahun!A:B,2,FALSE),"")</f>
        <v>21200</v>
      </c>
      <c r="AP206" s="11">
        <f t="shared" ca="1" si="0"/>
        <v>44098</v>
      </c>
      <c r="AQ206" s="11">
        <f ca="1">IFERROR(__xludf.DUMMYFUNCTION("""COMPUTED_VALUE"""),44098)</f>
        <v>44098</v>
      </c>
      <c r="AR206" s="11">
        <v>44438</v>
      </c>
      <c r="AS206" s="11">
        <f t="shared" si="1"/>
        <v>44438</v>
      </c>
      <c r="AT206" s="11">
        <f ca="1">IFERROR(__xludf.DUMMYFUNCTION("""COMPUTED_VALUE"""),44435)</f>
        <v>44435</v>
      </c>
    </row>
    <row r="207" spans="1:46" ht="13">
      <c r="A207" s="11">
        <v>44434</v>
      </c>
      <c r="B207">
        <f>IFERROR(VLOOKUP($A207,koronahun!$A:$AM,2,FALSE),"")</f>
        <v>811517</v>
      </c>
      <c r="C207">
        <f>IFERROR(VLOOKUP($A207,koronahun!$A:$AM,3,FALSE),"")</f>
        <v>180</v>
      </c>
      <c r="D207">
        <f>IFERROR(VLOOKUP($A207,koronahun!$A:$AM,4,FALSE),"")</f>
        <v>30056</v>
      </c>
      <c r="E207">
        <f>IFERROR(VLOOKUP($A207,koronahun!$A:$AM,5,FALSE),"")</f>
        <v>774600</v>
      </c>
      <c r="F207">
        <f>IFERROR(VLOOKUP($A207,koronahun!$A:$AM,6,FALSE),"")</f>
        <v>6531925</v>
      </c>
      <c r="G207" s="12">
        <f>IFERROR(VLOOKUP($A207,koronahun!$A:$AM,7,FALSE),"")</f>
        <v>666522.95918367337</v>
      </c>
      <c r="H207">
        <f>IFERROR(VLOOKUP($A207,koronahun!$A:$AM,8,FALSE),"")</f>
        <v>0</v>
      </c>
      <c r="I207" s="13">
        <f>IFERROR(VLOOKUP($A207,koronahun!$A:$AM,9,FALSE),"")</f>
        <v>2.2185602283637996E-4</v>
      </c>
      <c r="J207" s="13">
        <f>IFERROR(VLOOKUP($A207,koronahun!$A:$AM,10,FALSE),"")</f>
        <v>0.12423856673185929</v>
      </c>
      <c r="K207" s="13">
        <f>IFERROR(VLOOKUP($A207,koronahun!$A:$AM,11,FALSE),"")</f>
        <v>2.8264308902336143E-3</v>
      </c>
      <c r="L207">
        <f>IFERROR(VLOOKUP($A207,koronahun!$A:$AM,12,FALSE),"")</f>
        <v>6861</v>
      </c>
      <c r="M207" s="13">
        <f>IFERROR(VLOOKUP($A207,koronahun!$A:$AM,13,FALSE),"")</f>
        <v>3.7036808840726687E-2</v>
      </c>
      <c r="N207" s="13">
        <f>IFERROR(VLOOKUP($A207,koronahun!$A:$AM,14,FALSE),"")</f>
        <v>0.954508654778643</v>
      </c>
      <c r="O207">
        <f>IFERROR(VLOOKUP($A207,koronahun!$A:$AM,15,FALSE),"")</f>
        <v>1217</v>
      </c>
      <c r="P207">
        <f>IFERROR(VLOOKUP($A207,koronahun!$A:$AM,16,FALSE),"")</f>
        <v>18410</v>
      </c>
      <c r="Q207" s="13">
        <f>IFERROR(VLOOKUP($A207,koronahun!$A:$AM,17,FALSE),"")</f>
        <v>9.7772949483976093E-3</v>
      </c>
      <c r="R207">
        <f>IFERROR(VLOOKUP($A207,koronahun!$A:$AM,18,FALSE),"")</f>
        <v>1</v>
      </c>
      <c r="S207">
        <f>IFERROR(VLOOKUP($A207,koronahun!$A:$AM,19,FALSE),"")</f>
        <v>1031</v>
      </c>
      <c r="T207">
        <f>IFERROR(VLOOKUP($A207,koronahun!$A:$AM,20,FALSE),"")</f>
        <v>93</v>
      </c>
      <c r="U207">
        <f>IFERROR(VLOOKUP($A207,koronahun!$A:$AM,21,FALSE),"")</f>
        <v>9</v>
      </c>
      <c r="V207" s="13">
        <f>IFERROR(VLOOKUP($A207,koronahun!$A:$AM,22,FALSE),"")</f>
        <v>8.4545363806303505E-3</v>
      </c>
      <c r="W207">
        <f>IFERROR(VLOOKUP($A207,koronahun!$A:$AM,23,FALSE),"")</f>
        <v>1</v>
      </c>
      <c r="X207">
        <f>IFERROR(VLOOKUP($A207,koronahun!$A:$AM,24,FALSE),"")</f>
        <v>-4</v>
      </c>
      <c r="Y207" s="14">
        <f>IFERROR(VLOOKUP($A207,koronahun!$A:$AM,25,FALSE),"")</f>
        <v>1.355487538259729E-2</v>
      </c>
      <c r="Z207" s="14">
        <f>IFERROR(VLOOKUP($A207,koronahun!$A:$AM,26,FALSE),"")</f>
        <v>9.6774193548387094E-2</v>
      </c>
      <c r="AA207" s="14">
        <f>IFERROR(VLOOKUP($A207,koronahun!$A:$AM,27,FALSE),"")</f>
        <v>1.2934973637961336</v>
      </c>
      <c r="AB207" s="14">
        <f>IFERROR(VLOOKUP($A207,koronahun!$A:$AM,28,FALSE),"")</f>
        <v>1.0243066517202635</v>
      </c>
      <c r="AC207" s="14">
        <f>IFERROR(VLOOKUP($A207,koronahun!$A:$AM,29,FALSE),"")</f>
        <v>105.14285714285714</v>
      </c>
      <c r="AD207" s="14">
        <f>IFERROR(VLOOKUP($A207,koronahun!$A:$AM,30,FALSE),"")</f>
        <v>1.4285714285714286</v>
      </c>
      <c r="AE207" s="14">
        <f>IFERROR(VLOOKUP($A207,koronahun!$A:$AM,31,FALSE),"")</f>
        <v>9177.4285714285706</v>
      </c>
      <c r="AF207" s="13">
        <f>IFERROR(VLOOKUP($A207,koronahun!$A:$AM,32,FALSE),"")</f>
        <v>8.9679457578812766E-3</v>
      </c>
      <c r="AG207">
        <f>IFERROR(VLOOKUP($A207,koronahun!$A:$AM,33,FALSE),"")</f>
        <v>5715525</v>
      </c>
      <c r="AH207">
        <f>IFERROR(VLOOKUP($A207,koronahun!$A:$AM,34,FALSE),"")</f>
        <v>6328</v>
      </c>
      <c r="AI207">
        <f>IFERROR(VLOOKUP($A207,koronahun!$A:$AM,35,FALSE),"")</f>
        <v>4462.2</v>
      </c>
      <c r="AJ207">
        <f>IFERROR(VLOOKUP($A207,koronahun!$A:$AM,36,FALSE),"")</f>
        <v>5504899</v>
      </c>
      <c r="AK207">
        <f>IFERROR(VLOOKUP($A207,koronahun!$A:$AM,37,FALSE),"")</f>
        <v>694</v>
      </c>
      <c r="AL207">
        <f>IFERROR(VLOOKUP($A207,koronahun!$A:$AM,38,FALSE),"")</f>
        <v>562.6</v>
      </c>
      <c r="AM207" s="14">
        <f>IFERROR(VLOOKUP($A207,koronahun!$A:$AM,39,FALSE),"")</f>
        <v>689</v>
      </c>
      <c r="AN207" s="11">
        <f ca="1">IFERROR(__xludf.DUMMYFUNCTION("""COMPUTED_VALUE"""),44099)</f>
        <v>44099</v>
      </c>
      <c r="AO207" s="12">
        <f ca="1">IFERROR(VLOOKUP(AN207,koronahun!A:B,2,FALSE),"")</f>
        <v>22127</v>
      </c>
      <c r="AP207" s="11">
        <f t="shared" ca="1" si="0"/>
        <v>44099</v>
      </c>
      <c r="AQ207" s="11">
        <f ca="1">IFERROR(__xludf.DUMMYFUNCTION("""COMPUTED_VALUE"""),44099)</f>
        <v>44099</v>
      </c>
      <c r="AR207" s="11">
        <v>44435</v>
      </c>
      <c r="AS207" s="11">
        <f t="shared" si="1"/>
        <v>44435</v>
      </c>
      <c r="AT207" s="11">
        <f ca="1">IFERROR(__xludf.DUMMYFUNCTION("""COMPUTED_VALUE"""),44434)</f>
        <v>44434</v>
      </c>
    </row>
    <row r="208" spans="1:46" ht="13">
      <c r="A208" s="11">
        <v>44433</v>
      </c>
      <c r="B208">
        <f>IFERROR(VLOOKUP($A208,koronahun!$A:$AM,2,FALSE),"")</f>
        <v>811337</v>
      </c>
      <c r="C208">
        <f>IFERROR(VLOOKUP($A208,koronahun!$A:$AM,3,FALSE),"")</f>
        <v>134</v>
      </c>
      <c r="D208">
        <f>IFERROR(VLOOKUP($A208,koronahun!$A:$AM,4,FALSE),"")</f>
        <v>30055</v>
      </c>
      <c r="E208">
        <f>IFERROR(VLOOKUP($A208,koronahun!$A:$AM,5,FALSE),"")</f>
        <v>773569</v>
      </c>
      <c r="F208">
        <f>IFERROR(VLOOKUP($A208,koronahun!$A:$AM,6,FALSE),"")</f>
        <v>6513515</v>
      </c>
      <c r="G208" s="12">
        <f>IFERROR(VLOOKUP($A208,koronahun!$A:$AM,7,FALSE),"")</f>
        <v>664644.38775510201</v>
      </c>
      <c r="H208">
        <f>IFERROR(VLOOKUP($A208,koronahun!$A:$AM,8,FALSE),"")</f>
        <v>0</v>
      </c>
      <c r="I208" s="13">
        <f>IFERROR(VLOOKUP($A208,koronahun!$A:$AM,9,FALSE),"")</f>
        <v>1.6518676582803564E-4</v>
      </c>
      <c r="J208" s="13">
        <f>IFERROR(VLOOKUP($A208,koronahun!$A:$AM,10,FALSE),"")</f>
        <v>0.1245620836061635</v>
      </c>
      <c r="K208" s="13">
        <f>IFERROR(VLOOKUP($A208,koronahun!$A:$AM,11,FALSE),"")</f>
        <v>1.4369245325575027E-3</v>
      </c>
      <c r="L208">
        <f>IFERROR(VLOOKUP($A208,koronahun!$A:$AM,12,FALSE),"")</f>
        <v>7713</v>
      </c>
      <c r="M208" s="13">
        <f>IFERROR(VLOOKUP($A208,koronahun!$A:$AM,13,FALSE),"")</f>
        <v>3.7043793146374439E-2</v>
      </c>
      <c r="N208" s="13">
        <f>IFERROR(VLOOKUP($A208,koronahun!$A:$AM,14,FALSE),"")</f>
        <v>0.9534496762750867</v>
      </c>
      <c r="O208">
        <f>IFERROR(VLOOKUP($A208,koronahun!$A:$AM,15,FALSE),"")</f>
        <v>1101</v>
      </c>
      <c r="P208">
        <f>IFERROR(VLOOKUP($A208,koronahun!$A:$AM,16,FALSE),"")</f>
        <v>9346</v>
      </c>
      <c r="Q208" s="13">
        <f>IFERROR(VLOOKUP($A208,koronahun!$A:$AM,17,FALSE),"")</f>
        <v>1.433768457093944E-2</v>
      </c>
      <c r="R208">
        <f>IFERROR(VLOOKUP($A208,koronahun!$A:$AM,18,FALSE),"")</f>
        <v>1</v>
      </c>
      <c r="S208">
        <f>IFERROR(VLOOKUP($A208,koronahun!$A:$AM,19,FALSE),"")</f>
        <v>1328</v>
      </c>
      <c r="T208">
        <f>IFERROR(VLOOKUP($A208,koronahun!$A:$AM,20,FALSE),"")</f>
        <v>92</v>
      </c>
      <c r="U208">
        <f>IFERROR(VLOOKUP($A208,koronahun!$A:$AM,21,FALSE),"")</f>
        <v>13</v>
      </c>
      <c r="V208" s="13">
        <f>IFERROR(VLOOKUP($A208,koronahun!$A:$AM,22,FALSE),"")</f>
        <v>9.5065305785388809E-3</v>
      </c>
      <c r="W208">
        <f>IFERROR(VLOOKUP($A208,koronahun!$A:$AM,23,FALSE),"")</f>
        <v>11</v>
      </c>
      <c r="X208">
        <f>IFERROR(VLOOKUP($A208,koronahun!$A:$AM,24,FALSE),"")</f>
        <v>2</v>
      </c>
      <c r="Y208" s="14">
        <f>IFERROR(VLOOKUP($A208,koronahun!$A:$AM,25,FALSE),"")</f>
        <v>1.1927913911577855E-2</v>
      </c>
      <c r="Z208" s="14">
        <f>IFERROR(VLOOKUP($A208,koronahun!$A:$AM,26,FALSE),"")</f>
        <v>0.14130434782608695</v>
      </c>
      <c r="AA208" s="14">
        <f>IFERROR(VLOOKUP($A208,koronahun!$A:$AM,27,FALSE),"")</f>
        <v>1.2763157894736843</v>
      </c>
      <c r="AB208" s="14">
        <f>IFERROR(VLOOKUP($A208,koronahun!$A:$AM,28,FALSE),"")</f>
        <v>1.0438467877629927</v>
      </c>
      <c r="AC208" s="14">
        <f>IFERROR(VLOOKUP($A208,koronahun!$A:$AM,29,FALSE),"")</f>
        <v>97</v>
      </c>
      <c r="AD208" s="14">
        <f>IFERROR(VLOOKUP($A208,koronahun!$A:$AM,30,FALSE),"")</f>
        <v>1.4285714285714286</v>
      </c>
      <c r="AE208" s="14">
        <f>IFERROR(VLOOKUP($A208,koronahun!$A:$AM,31,FALSE),"")</f>
        <v>7993.8571428571431</v>
      </c>
      <c r="AF208" s="13">
        <f>IFERROR(VLOOKUP($A208,koronahun!$A:$AM,32,FALSE),"")</f>
        <v>9.4421163978313828E-3</v>
      </c>
      <c r="AG208">
        <f>IFERROR(VLOOKUP($A208,koronahun!$A:$AM,33,FALSE),"")</f>
        <v>5709197</v>
      </c>
      <c r="AH208">
        <f>IFERROR(VLOOKUP($A208,koronahun!$A:$AM,34,FALSE),"")</f>
        <v>5314</v>
      </c>
      <c r="AI208">
        <f>IFERROR(VLOOKUP($A208,koronahun!$A:$AM,35,FALSE),"")</f>
        <v>4312.6000000000004</v>
      </c>
      <c r="AJ208">
        <f>IFERROR(VLOOKUP($A208,koronahun!$A:$AM,36,FALSE),"")</f>
        <v>5504205</v>
      </c>
      <c r="AK208">
        <f>IFERROR(VLOOKUP($A208,koronahun!$A:$AM,37,FALSE),"")</f>
        <v>840</v>
      </c>
      <c r="AL208">
        <f>IFERROR(VLOOKUP($A208,koronahun!$A:$AM,38,FALSE),"")</f>
        <v>601.20000000000005</v>
      </c>
      <c r="AM208" s="14">
        <f>IFERROR(VLOOKUP($A208,koronahun!$A:$AM,39,FALSE),"")</f>
        <v>668.28571428571433</v>
      </c>
      <c r="AN208" s="11">
        <f ca="1">IFERROR(__xludf.DUMMYFUNCTION("""COMPUTED_VALUE"""),44100)</f>
        <v>44100</v>
      </c>
      <c r="AO208" s="12">
        <f ca="1">IFERROR(VLOOKUP(AN208,koronahun!A:B,2,FALSE),"")</f>
        <v>23077</v>
      </c>
      <c r="AP208" s="11">
        <f t="shared" ca="1" si="0"/>
        <v>44100</v>
      </c>
      <c r="AQ208" s="11">
        <f ca="1">IFERROR(__xludf.DUMMYFUNCTION("""COMPUTED_VALUE"""),44100)</f>
        <v>44100</v>
      </c>
      <c r="AR208" s="11">
        <v>44434</v>
      </c>
      <c r="AS208" s="11">
        <f t="shared" si="1"/>
        <v>44434</v>
      </c>
      <c r="AT208" s="11">
        <f ca="1">IFERROR(__xludf.DUMMYFUNCTION("""COMPUTED_VALUE"""),44433)</f>
        <v>44433</v>
      </c>
    </row>
    <row r="209" spans="1:46" ht="13">
      <c r="A209" s="11">
        <v>44432</v>
      </c>
      <c r="B209">
        <f>IFERROR(VLOOKUP($A209,koronahun!$A:$AM,2,FALSE),"")</f>
        <v>811203</v>
      </c>
      <c r="C209">
        <f>IFERROR(VLOOKUP($A209,koronahun!$A:$AM,3,FALSE),"")</f>
        <v>82</v>
      </c>
      <c r="D209">
        <f>IFERROR(VLOOKUP($A209,koronahun!$A:$AM,4,FALSE),"")</f>
        <v>30054</v>
      </c>
      <c r="E209">
        <f>IFERROR(VLOOKUP($A209,koronahun!$A:$AM,5,FALSE),"")</f>
        <v>772241</v>
      </c>
      <c r="F209">
        <f>IFERROR(VLOOKUP($A209,koronahun!$A:$AM,6,FALSE),"")</f>
        <v>6504169</v>
      </c>
      <c r="G209" s="12">
        <f>IFERROR(VLOOKUP($A209,koronahun!$A:$AM,7,FALSE),"")</f>
        <v>663690.7142857142</v>
      </c>
      <c r="H209">
        <f>IFERROR(VLOOKUP($A209,koronahun!$A:$AM,8,FALSE),"")</f>
        <v>0</v>
      </c>
      <c r="I209" s="13">
        <f>IFERROR(VLOOKUP($A209,koronahun!$A:$AM,9,FALSE),"")</f>
        <v>1.0109465788704767E-4</v>
      </c>
      <c r="J209" s="13">
        <f>IFERROR(VLOOKUP($A209,koronahun!$A:$AM,10,FALSE),"")</f>
        <v>0.12472046774922362</v>
      </c>
      <c r="K209" s="13">
        <f>IFERROR(VLOOKUP($A209,koronahun!$A:$AM,11,FALSE),"")</f>
        <v>1.8064084063297611E-3</v>
      </c>
      <c r="L209">
        <f>IFERROR(VLOOKUP($A209,koronahun!$A:$AM,12,FALSE),"")</f>
        <v>8908</v>
      </c>
      <c r="M209" s="13">
        <f>IFERROR(VLOOKUP($A209,koronahun!$A:$AM,13,FALSE),"")</f>
        <v>3.7048679553699879E-2</v>
      </c>
      <c r="N209" s="13">
        <f>IFERROR(VLOOKUP($A209,koronahun!$A:$AM,14,FALSE),"")</f>
        <v>0.95197009872991101</v>
      </c>
      <c r="O209">
        <f>IFERROR(VLOOKUP($A209,koronahun!$A:$AM,15,FALSE),"")</f>
        <v>942</v>
      </c>
      <c r="P209">
        <f>IFERROR(VLOOKUP($A209,koronahun!$A:$AM,16,FALSE),"")</f>
        <v>11728</v>
      </c>
      <c r="Q209" s="13">
        <f>IFERROR(VLOOKUP($A209,koronahun!$A:$AM,17,FALSE),"")</f>
        <v>6.9918144611186899E-3</v>
      </c>
      <c r="R209">
        <f>IFERROR(VLOOKUP($A209,koronahun!$A:$AM,18,FALSE),"")</f>
        <v>2</v>
      </c>
      <c r="S209">
        <f>IFERROR(VLOOKUP($A209,koronahun!$A:$AM,19,FALSE),"")</f>
        <v>711</v>
      </c>
      <c r="T209">
        <f>IFERROR(VLOOKUP($A209,koronahun!$A:$AM,20,FALSE),"")</f>
        <v>81</v>
      </c>
      <c r="U209">
        <f>IFERROR(VLOOKUP($A209,koronahun!$A:$AM,21,FALSE),"")</f>
        <v>11</v>
      </c>
      <c r="V209" s="13">
        <f>IFERROR(VLOOKUP($A209,koronahun!$A:$AM,22,FALSE),"")</f>
        <v>1.0981221716389116E-2</v>
      </c>
      <c r="W209">
        <f>IFERROR(VLOOKUP($A209,koronahun!$A:$AM,23,FALSE),"")</f>
        <v>8</v>
      </c>
      <c r="X209">
        <f>IFERROR(VLOOKUP($A209,koronahun!$A:$AM,24,FALSE),"")</f>
        <v>1</v>
      </c>
      <c r="Y209" s="14">
        <f>IFERROR(VLOOKUP($A209,koronahun!$A:$AM,25,FALSE),"")</f>
        <v>9.0929501571621017E-3</v>
      </c>
      <c r="Z209" s="14">
        <f>IFERROR(VLOOKUP($A209,koronahun!$A:$AM,26,FALSE),"")</f>
        <v>0.13580246913580246</v>
      </c>
      <c r="AA209" s="14">
        <f>IFERROR(VLOOKUP($A209,koronahun!$A:$AM,27,FALSE),"")</f>
        <v>1.3001988071570576</v>
      </c>
      <c r="AB209" s="14">
        <f>IFERROR(VLOOKUP($A209,koronahun!$A:$AM,28,FALSE),"")</f>
        <v>1.0579507184758508</v>
      </c>
      <c r="AC209" s="14">
        <f>IFERROR(VLOOKUP($A209,koronahun!$A:$AM,29,FALSE),"")</f>
        <v>93.428571428571431</v>
      </c>
      <c r="AD209" s="14">
        <f>IFERROR(VLOOKUP($A209,koronahun!$A:$AM,30,FALSE),"")</f>
        <v>1.7142857142857142</v>
      </c>
      <c r="AE209" s="14">
        <f>IFERROR(VLOOKUP($A209,koronahun!$A:$AM,31,FALSE),"")</f>
        <v>7843.5714285714284</v>
      </c>
      <c r="AF209" s="13">
        <f>IFERROR(VLOOKUP($A209,koronahun!$A:$AM,32,FALSE),"")</f>
        <v>9.2029855603254357E-3</v>
      </c>
      <c r="AG209">
        <f>IFERROR(VLOOKUP($A209,koronahun!$A:$AM,33,FALSE),"")</f>
        <v>5703883</v>
      </c>
      <c r="AH209">
        <f>IFERROR(VLOOKUP($A209,koronahun!$A:$AM,34,FALSE),"")</f>
        <v>4632</v>
      </c>
      <c r="AI209">
        <f>IFERROR(VLOOKUP($A209,koronahun!$A:$AM,35,FALSE),"")</f>
        <v>4464.8</v>
      </c>
      <c r="AJ209">
        <f>IFERROR(VLOOKUP($A209,koronahun!$A:$AM,36,FALSE),"")</f>
        <v>5503365</v>
      </c>
      <c r="AK209">
        <f>IFERROR(VLOOKUP($A209,koronahun!$A:$AM,37,FALSE),"")</f>
        <v>819</v>
      </c>
      <c r="AL209">
        <f>IFERROR(VLOOKUP($A209,koronahun!$A:$AM,38,FALSE),"")</f>
        <v>599.20000000000005</v>
      </c>
      <c r="AM209" s="14">
        <f>IFERROR(VLOOKUP($A209,koronahun!$A:$AM,39,FALSE),"")</f>
        <v>531.71428571428567</v>
      </c>
      <c r="AN209" s="11">
        <f ca="1">IFERROR(__xludf.DUMMYFUNCTION("""COMPUTED_VALUE"""),44101)</f>
        <v>44101</v>
      </c>
      <c r="AO209" s="12">
        <f ca="1">IFERROR(VLOOKUP(AN209,koronahun!A:B,2,FALSE),"")</f>
        <v>24014</v>
      </c>
      <c r="AP209" s="11">
        <f t="shared" ca="1" si="0"/>
        <v>44101</v>
      </c>
      <c r="AQ209" s="11">
        <f ca="1">IFERROR(__xludf.DUMMYFUNCTION("""COMPUTED_VALUE"""),44101)</f>
        <v>44101</v>
      </c>
      <c r="AR209" s="11">
        <v>44433</v>
      </c>
      <c r="AS209" s="11">
        <f t="shared" si="1"/>
        <v>44433</v>
      </c>
      <c r="AT209" s="11">
        <f ca="1">IFERROR(__xludf.DUMMYFUNCTION("""COMPUTED_VALUE"""),44432)</f>
        <v>44432</v>
      </c>
    </row>
    <row r="210" spans="1:46" ht="13">
      <c r="A210" s="11">
        <v>44431</v>
      </c>
      <c r="B210">
        <f>IFERROR(VLOOKUP($A210,koronahun!$A:$AM,2,FALSE),"")</f>
        <v>811121</v>
      </c>
      <c r="C210">
        <f>IFERROR(VLOOKUP($A210,koronahun!$A:$AM,3,FALSE),"")</f>
        <v>340</v>
      </c>
      <c r="D210">
        <f>IFERROR(VLOOKUP($A210,koronahun!$A:$AM,4,FALSE),"")</f>
        <v>30052</v>
      </c>
      <c r="E210">
        <f>IFERROR(VLOOKUP($A210,koronahun!$A:$AM,5,FALSE),"")</f>
        <v>771530</v>
      </c>
      <c r="F210">
        <f>IFERROR(VLOOKUP($A210,koronahun!$A:$AM,6,FALSE),"")</f>
        <v>6492441</v>
      </c>
      <c r="G210" s="12">
        <f>IFERROR(VLOOKUP($A210,koronahun!$A:$AM,7,FALSE),"")</f>
        <v>662493.97959183669</v>
      </c>
      <c r="H210">
        <f>IFERROR(VLOOKUP($A210,koronahun!$A:$AM,8,FALSE),"")</f>
        <v>0</v>
      </c>
      <c r="I210" s="13">
        <f>IFERROR(VLOOKUP($A210,koronahun!$A:$AM,9,FALSE),"")</f>
        <v>4.1934875138909276E-4</v>
      </c>
      <c r="J210" s="13">
        <f>IFERROR(VLOOKUP($A210,koronahun!$A:$AM,10,FALSE),"")</f>
        <v>0.12493313377818913</v>
      </c>
      <c r="K210" s="13">
        <f>IFERROR(VLOOKUP($A210,koronahun!$A:$AM,11,FALSE),"")</f>
        <v>3.8279550806679919E-3</v>
      </c>
      <c r="L210">
        <f>IFERROR(VLOOKUP($A210,koronahun!$A:$AM,12,FALSE),"")</f>
        <v>9539</v>
      </c>
      <c r="M210" s="13">
        <f>IFERROR(VLOOKUP($A210,koronahun!$A:$AM,13,FALSE),"")</f>
        <v>3.7049959253921426E-2</v>
      </c>
      <c r="N210" s="13">
        <f>IFERROR(VLOOKUP($A210,koronahun!$A:$AM,14,FALSE),"")</f>
        <v>0.95118977316577924</v>
      </c>
      <c r="O210">
        <f>IFERROR(VLOOKUP($A210,koronahun!$A:$AM,15,FALSE),"")</f>
        <v>865</v>
      </c>
      <c r="P210">
        <f>IFERROR(VLOOKUP($A210,koronahun!$A:$AM,16,FALSE),"")</f>
        <v>24758</v>
      </c>
      <c r="Q210" s="13">
        <f>IFERROR(VLOOKUP($A210,koronahun!$A:$AM,17,FALSE),"")</f>
        <v>1.3732934808950643E-2</v>
      </c>
      <c r="R210">
        <f>IFERROR(VLOOKUP($A210,koronahun!$A:$AM,18,FALSE),"")</f>
        <v>6</v>
      </c>
      <c r="S210">
        <f>IFERROR(VLOOKUP($A210,koronahun!$A:$AM,19,FALSE),"")</f>
        <v>1753</v>
      </c>
      <c r="T210">
        <f>IFERROR(VLOOKUP($A210,koronahun!$A:$AM,20,FALSE),"")</f>
        <v>73</v>
      </c>
      <c r="U210">
        <f>IFERROR(VLOOKUP($A210,koronahun!$A:$AM,21,FALSE),"")</f>
        <v>10</v>
      </c>
      <c r="V210" s="13">
        <f>IFERROR(VLOOKUP($A210,koronahun!$A:$AM,22,FALSE),"")</f>
        <v>1.1760267580299364E-2</v>
      </c>
      <c r="W210">
        <f>IFERROR(VLOOKUP($A210,koronahun!$A:$AM,23,FALSE),"")</f>
        <v>-3</v>
      </c>
      <c r="X210">
        <f>IFERROR(VLOOKUP($A210,koronahun!$A:$AM,24,FALSE),"")</f>
        <v>-1</v>
      </c>
      <c r="Y210" s="14">
        <f>IFERROR(VLOOKUP($A210,koronahun!$A:$AM,25,FALSE),"")</f>
        <v>7.6527937938987312E-3</v>
      </c>
      <c r="Z210" s="14">
        <f>IFERROR(VLOOKUP($A210,koronahun!$A:$AM,26,FALSE),"")</f>
        <v>0.13698630136986301</v>
      </c>
      <c r="AA210" s="14">
        <f>IFERROR(VLOOKUP($A210,koronahun!$A:$AM,27,FALSE),"")</f>
        <v>1.2515212981744421</v>
      </c>
      <c r="AB210" s="14">
        <f>IFERROR(VLOOKUP($A210,koronahun!$A:$AM,28,FALSE),"")</f>
        <v>1.0668949142636905</v>
      </c>
      <c r="AC210" s="14">
        <f>IFERROR(VLOOKUP($A210,koronahun!$A:$AM,29,FALSE),"")</f>
        <v>88.142857142857139</v>
      </c>
      <c r="AD210" s="14">
        <f>IFERROR(VLOOKUP($A210,koronahun!$A:$AM,30,FALSE),"")</f>
        <v>1.5714285714285714</v>
      </c>
      <c r="AE210" s="14">
        <f>IFERROR(VLOOKUP($A210,koronahun!$A:$AM,31,FALSE),"")</f>
        <v>6765.2857142857147</v>
      </c>
      <c r="AF210" s="13">
        <f>IFERROR(VLOOKUP($A210,koronahun!$A:$AM,32,FALSE),"")</f>
        <v>9.9577327159485855E-3</v>
      </c>
      <c r="AG210">
        <f>IFERROR(VLOOKUP($A210,koronahun!$A:$AM,33,FALSE),"")</f>
        <v>5699251</v>
      </c>
      <c r="AH210">
        <f>IFERROR(VLOOKUP($A210,koronahun!$A:$AM,34,FALSE),"")</f>
        <v>6037</v>
      </c>
      <c r="AI210">
        <f>IFERROR(VLOOKUP($A210,koronahun!$A:$AM,35,FALSE),"")</f>
        <v>4329</v>
      </c>
      <c r="AJ210">
        <f>IFERROR(VLOOKUP($A210,koronahun!$A:$AM,36,FALSE),"")</f>
        <v>5502546</v>
      </c>
      <c r="AK210">
        <f>IFERROR(VLOOKUP($A210,koronahun!$A:$AM,37,FALSE),"")</f>
        <v>460</v>
      </c>
      <c r="AL210">
        <f>IFERROR(VLOOKUP($A210,koronahun!$A:$AM,38,FALSE),"")</f>
        <v>470.6</v>
      </c>
      <c r="AM210" s="14">
        <f>IFERROR(VLOOKUP($A210,koronahun!$A:$AM,39,FALSE),"")</f>
        <v>460.28571428571428</v>
      </c>
      <c r="AN210" s="11">
        <f ca="1">IFERROR(__xludf.DUMMYFUNCTION("""COMPUTED_VALUE"""),44102)</f>
        <v>44102</v>
      </c>
      <c r="AO210" s="12">
        <f ca="1">IFERROR(VLOOKUP(AN210,koronahun!A:B,2,FALSE),"")</f>
        <v>24716</v>
      </c>
      <c r="AP210" s="11">
        <f t="shared" ca="1" si="0"/>
        <v>44102</v>
      </c>
      <c r="AQ210" s="11">
        <f ca="1">IFERROR(__xludf.DUMMYFUNCTION("""COMPUTED_VALUE"""),44102)</f>
        <v>44102</v>
      </c>
      <c r="AR210" s="11">
        <v>44432</v>
      </c>
      <c r="AS210" s="11">
        <f t="shared" si="1"/>
        <v>44432</v>
      </c>
      <c r="AT210" s="11">
        <f ca="1">IFERROR(__xludf.DUMMYFUNCTION("""COMPUTED_VALUE"""),44431)</f>
        <v>44431</v>
      </c>
    </row>
    <row r="211" spans="1:46" ht="13">
      <c r="A211" s="11">
        <v>44427</v>
      </c>
      <c r="B211">
        <f>IFERROR(VLOOKUP($A211,koronahun!$A:$AM,2,FALSE),"")</f>
        <v>810781</v>
      </c>
      <c r="C211">
        <f>IFERROR(VLOOKUP($A211,koronahun!$A:$AM,3,FALSE),"")</f>
        <v>123</v>
      </c>
      <c r="D211">
        <f>IFERROR(VLOOKUP($A211,koronahun!$A:$AM,4,FALSE),"")</f>
        <v>30046</v>
      </c>
      <c r="E211">
        <f>IFERROR(VLOOKUP($A211,koronahun!$A:$AM,5,FALSE),"")</f>
        <v>769777</v>
      </c>
      <c r="F211">
        <f>IFERROR(VLOOKUP($A211,koronahun!$A:$AM,6,FALSE),"")</f>
        <v>6467683</v>
      </c>
      <c r="G211" s="12">
        <f>IFERROR(VLOOKUP($A211,koronahun!$A:$AM,7,FALSE),"")</f>
        <v>659967.6530612245</v>
      </c>
      <c r="H211">
        <f>IFERROR(VLOOKUP($A211,koronahun!$A:$AM,8,FALSE),"")</f>
        <v>0</v>
      </c>
      <c r="I211" s="13">
        <f>IFERROR(VLOOKUP($A211,koronahun!$A:$AM,9,FALSE),"")</f>
        <v>1.5172859578268518E-4</v>
      </c>
      <c r="J211" s="13">
        <f>IFERROR(VLOOKUP($A211,koronahun!$A:$AM,10,FALSE),"")</f>
        <v>0.12535880314480471</v>
      </c>
      <c r="K211" s="13">
        <f>IFERROR(VLOOKUP($A211,koronahun!$A:$AM,11,FALSE),"")</f>
        <v>1.5679301680294625E-3</v>
      </c>
      <c r="L211">
        <f>IFERROR(VLOOKUP($A211,koronahun!$A:$AM,12,FALSE),"")</f>
        <v>10958</v>
      </c>
      <c r="M211" s="13">
        <f>IFERROR(VLOOKUP($A211,koronahun!$A:$AM,13,FALSE),"")</f>
        <v>3.7058095835990235E-2</v>
      </c>
      <c r="N211" s="13">
        <f>IFERROR(VLOOKUP($A211,koronahun!$A:$AM,14,FALSE),"")</f>
        <v>0.94942654058247544</v>
      </c>
      <c r="O211">
        <f>IFERROR(VLOOKUP($A211,koronahun!$A:$AM,15,FALSE),"")</f>
        <v>879</v>
      </c>
      <c r="P211">
        <f>IFERROR(VLOOKUP($A211,koronahun!$A:$AM,16,FALSE),"")</f>
        <v>10125</v>
      </c>
      <c r="Q211" s="13">
        <f>IFERROR(VLOOKUP($A211,koronahun!$A:$AM,17,FALSE),"")</f>
        <v>1.2148148148148148E-2</v>
      </c>
      <c r="R211">
        <f>IFERROR(VLOOKUP($A211,koronahun!$A:$AM,18,FALSE),"")</f>
        <v>1</v>
      </c>
      <c r="S211">
        <f>IFERROR(VLOOKUP($A211,koronahun!$A:$AM,19,FALSE),"")</f>
        <v>886</v>
      </c>
      <c r="T211">
        <f>IFERROR(VLOOKUP($A211,koronahun!$A:$AM,20,FALSE),"")</f>
        <v>76</v>
      </c>
      <c r="U211">
        <f>IFERROR(VLOOKUP($A211,koronahun!$A:$AM,21,FALSE),"")</f>
        <v>11</v>
      </c>
      <c r="V211" s="13">
        <f>IFERROR(VLOOKUP($A211,koronahun!$A:$AM,22,FALSE),"")</f>
        <v>1.3515363581534347E-2</v>
      </c>
      <c r="W211">
        <f>IFERROR(VLOOKUP($A211,koronahun!$A:$AM,23,FALSE),"")</f>
        <v>1</v>
      </c>
      <c r="X211">
        <f>IFERROR(VLOOKUP($A211,koronahun!$A:$AM,24,FALSE),"")</f>
        <v>0</v>
      </c>
      <c r="Y211" s="14">
        <f>IFERROR(VLOOKUP($A211,koronahun!$A:$AM,25,FALSE),"")</f>
        <v>6.9355721847052382E-3</v>
      </c>
      <c r="Z211" s="14">
        <f>IFERROR(VLOOKUP($A211,koronahun!$A:$AM,26,FALSE),"")</f>
        <v>0.14473684210526316</v>
      </c>
      <c r="AA211" s="14">
        <f>IFERROR(VLOOKUP($A211,koronahun!$A:$AM,27,FALSE),"")</f>
        <v>1.39119804400978</v>
      </c>
      <c r="AB211" s="14">
        <f>IFERROR(VLOOKUP($A211,koronahun!$A:$AM,28,FALSE),"")</f>
        <v>1.3400243442268756</v>
      </c>
      <c r="AC211" s="14">
        <f>IFERROR(VLOOKUP($A211,koronahun!$A:$AM,29,FALSE),"")</f>
        <v>81.285714285714292</v>
      </c>
      <c r="AD211" s="14">
        <f>IFERROR(VLOOKUP($A211,koronahun!$A:$AM,30,FALSE),"")</f>
        <v>1.2857142857142858</v>
      </c>
      <c r="AE211" s="14">
        <f>IFERROR(VLOOKUP($A211,koronahun!$A:$AM,31,FALSE),"")</f>
        <v>7446.5714285714284</v>
      </c>
      <c r="AF211" s="13">
        <f>IFERROR(VLOOKUP($A211,koronahun!$A:$AM,32,FALSE),"")</f>
        <v>1.1459727994876318E-2</v>
      </c>
      <c r="AG211">
        <f>IFERROR(VLOOKUP($A211,koronahun!$A:$AM,33,FALSE),"")</f>
        <v>5693214</v>
      </c>
      <c r="AH211">
        <f>IFERROR(VLOOKUP($A211,koronahun!$A:$AM,34,FALSE),"")</f>
        <v>5580</v>
      </c>
      <c r="AI211">
        <f>IFERROR(VLOOKUP($A211,koronahun!$A:$AM,35,FALSE),"")</f>
        <v>5911.2</v>
      </c>
      <c r="AJ211">
        <f>IFERROR(VLOOKUP($A211,koronahun!$A:$AM,36,FALSE),"")</f>
        <v>5502086</v>
      </c>
      <c r="AK211">
        <f>IFERROR(VLOOKUP($A211,koronahun!$A:$AM,37,FALSE),"")</f>
        <v>887</v>
      </c>
      <c r="AL211">
        <f>IFERROR(VLOOKUP($A211,koronahun!$A:$AM,38,FALSE),"")</f>
        <v>829.2</v>
      </c>
      <c r="AM211" s="14">
        <f>IFERROR(VLOOKUP($A211,koronahun!$A:$AM,39,FALSE),"")</f>
        <v>853.71428571428567</v>
      </c>
      <c r="AN211" s="11">
        <f ca="1">IFERROR(__xludf.DUMMYFUNCTION("""COMPUTED_VALUE"""),44103)</f>
        <v>44103</v>
      </c>
      <c r="AO211" s="12">
        <f ca="1">IFERROR(VLOOKUP(AN211,koronahun!A:B,2,FALSE),"")</f>
        <v>25567</v>
      </c>
      <c r="AP211" s="11">
        <f t="shared" ca="1" si="0"/>
        <v>44103</v>
      </c>
      <c r="AQ211" s="11">
        <f ca="1">IFERROR(__xludf.DUMMYFUNCTION("""COMPUTED_VALUE"""),44103)</f>
        <v>44103</v>
      </c>
      <c r="AR211" s="11">
        <v>44431</v>
      </c>
      <c r="AS211" s="11">
        <f t="shared" si="1"/>
        <v>44431</v>
      </c>
      <c r="AT211" s="11">
        <f ca="1">IFERROR(__xludf.DUMMYFUNCTION("""COMPUTED_VALUE"""),44427)</f>
        <v>44427</v>
      </c>
    </row>
    <row r="212" spans="1:46" ht="13">
      <c r="A212" s="11">
        <v>44426</v>
      </c>
      <c r="B212">
        <f>IFERROR(VLOOKUP($A212,koronahun!$A:$AM,2,FALSE),"")</f>
        <v>810658</v>
      </c>
      <c r="C212">
        <f>IFERROR(VLOOKUP($A212,koronahun!$A:$AM,3,FALSE),"")</f>
        <v>109</v>
      </c>
      <c r="D212">
        <f>IFERROR(VLOOKUP($A212,koronahun!$A:$AM,4,FALSE),"")</f>
        <v>30045</v>
      </c>
      <c r="E212">
        <f>IFERROR(VLOOKUP($A212,koronahun!$A:$AM,5,FALSE),"")</f>
        <v>768891</v>
      </c>
      <c r="F212">
        <f>IFERROR(VLOOKUP($A212,koronahun!$A:$AM,6,FALSE),"")</f>
        <v>6457558</v>
      </c>
      <c r="G212" s="12">
        <f>IFERROR(VLOOKUP($A212,koronahun!$A:$AM,7,FALSE),"")</f>
        <v>658934.48979591834</v>
      </c>
      <c r="H212">
        <f>IFERROR(VLOOKUP($A212,koronahun!$A:$AM,8,FALSE),"")</f>
        <v>0</v>
      </c>
      <c r="I212" s="13">
        <f>IFERROR(VLOOKUP($A212,koronahun!$A:$AM,9,FALSE),"")</f>
        <v>1.3447675587780627E-4</v>
      </c>
      <c r="J212" s="13">
        <f>IFERROR(VLOOKUP($A212,koronahun!$A:$AM,10,FALSE),"")</f>
        <v>0.12553630954611636</v>
      </c>
      <c r="K212" s="13">
        <f>IFERROR(VLOOKUP($A212,koronahun!$A:$AM,11,FALSE),"")</f>
        <v>1.2860382207954273E-3</v>
      </c>
      <c r="L212">
        <f>IFERROR(VLOOKUP($A212,koronahun!$A:$AM,12,FALSE),"")</f>
        <v>11722</v>
      </c>
      <c r="M212" s="13">
        <f>IFERROR(VLOOKUP($A212,koronahun!$A:$AM,13,FALSE),"")</f>
        <v>3.7062485043014438E-2</v>
      </c>
      <c r="N212" s="13">
        <f>IFERROR(VLOOKUP($A212,koronahun!$A:$AM,14,FALSE),"")</f>
        <v>0.94847765642231374</v>
      </c>
      <c r="O212">
        <f>IFERROR(VLOOKUP($A212,koronahun!$A:$AM,15,FALSE),"")</f>
        <v>864</v>
      </c>
      <c r="P212">
        <f>IFERROR(VLOOKUP($A212,koronahun!$A:$AM,16,FALSE),"")</f>
        <v>8294</v>
      </c>
      <c r="Q212" s="13">
        <f>IFERROR(VLOOKUP($A212,koronahun!$A:$AM,17,FALSE),"")</f>
        <v>1.3142030383409694E-2</v>
      </c>
      <c r="R212">
        <f>IFERROR(VLOOKUP($A212,koronahun!$A:$AM,18,FALSE),"")</f>
        <v>3</v>
      </c>
      <c r="S212">
        <f>IFERROR(VLOOKUP($A212,koronahun!$A:$AM,19,FALSE),"")</f>
        <v>372</v>
      </c>
      <c r="T212">
        <f>IFERROR(VLOOKUP($A212,koronahun!$A:$AM,20,FALSE),"")</f>
        <v>75</v>
      </c>
      <c r="U212">
        <f>IFERROR(VLOOKUP($A212,koronahun!$A:$AM,21,FALSE),"")</f>
        <v>11</v>
      </c>
      <c r="V212" s="13">
        <f>IFERROR(VLOOKUP($A212,koronahun!$A:$AM,22,FALSE),"")</f>
        <v>1.4459858534671834E-2</v>
      </c>
      <c r="W212">
        <f>IFERROR(VLOOKUP($A212,koronahun!$A:$AM,23,FALSE),"")</f>
        <v>-10</v>
      </c>
      <c r="X212">
        <f>IFERROR(VLOOKUP($A212,koronahun!$A:$AM,24,FALSE),"")</f>
        <v>0</v>
      </c>
      <c r="Y212" s="14">
        <f>IFERROR(VLOOKUP($A212,koronahun!$A:$AM,25,FALSE),"")</f>
        <v>6.3982255587783652E-3</v>
      </c>
      <c r="Z212" s="14">
        <f>IFERROR(VLOOKUP($A212,koronahun!$A:$AM,26,FALSE),"")</f>
        <v>0.14666666666666667</v>
      </c>
      <c r="AA212" s="14">
        <f>IFERROR(VLOOKUP($A212,koronahun!$A:$AM,27,FALSE),"")</f>
        <v>1.3468354430379748</v>
      </c>
      <c r="AB212" s="14">
        <f>IFERROR(VLOOKUP($A212,koronahun!$A:$AM,28,FALSE),"")</f>
        <v>1.2793379269142811</v>
      </c>
      <c r="AC212" s="14">
        <f>IFERROR(VLOOKUP($A212,koronahun!$A:$AM,29,FALSE),"")</f>
        <v>76</v>
      </c>
      <c r="AD212" s="14">
        <f>IFERROR(VLOOKUP($A212,koronahun!$A:$AM,30,FALSE),"")</f>
        <v>1.1428571428571428</v>
      </c>
      <c r="AE212" s="14">
        <f>IFERROR(VLOOKUP($A212,koronahun!$A:$AM,31,FALSE),"")</f>
        <v>7182.1428571428569</v>
      </c>
      <c r="AF212" s="13">
        <f>IFERROR(VLOOKUP($A212,koronahun!$A:$AM,32,FALSE),"")</f>
        <v>1.1108899428819326E-2</v>
      </c>
      <c r="AG212">
        <f>IFERROR(VLOOKUP($A212,koronahun!$A:$AM,33,FALSE),"")</f>
        <v>5687634</v>
      </c>
      <c r="AH212">
        <f>IFERROR(VLOOKUP($A212,koronahun!$A:$AM,34,FALSE),"")</f>
        <v>6075</v>
      </c>
      <c r="AI212">
        <f>IFERROR(VLOOKUP($A212,koronahun!$A:$AM,35,FALSE),"")</f>
        <v>5802.2</v>
      </c>
      <c r="AJ212">
        <f>IFERROR(VLOOKUP($A212,koronahun!$A:$AM,36,FALSE),"")</f>
        <v>5501199</v>
      </c>
      <c r="AK212">
        <f>IFERROR(VLOOKUP($A212,koronahun!$A:$AM,37,FALSE),"")</f>
        <v>830</v>
      </c>
      <c r="AL212">
        <f>IFERROR(VLOOKUP($A212,koronahun!$A:$AM,38,FALSE),"")</f>
        <v>720</v>
      </c>
      <c r="AM212" s="14">
        <f>IFERROR(VLOOKUP($A212,koronahun!$A:$AM,39,FALSE),"")</f>
        <v>1089.4285714285713</v>
      </c>
      <c r="AN212" s="11">
        <f ca="1">IFERROR(__xludf.DUMMYFUNCTION("""COMPUTED_VALUE"""),44104)</f>
        <v>44104</v>
      </c>
      <c r="AO212" s="12">
        <f ca="1">IFERROR(VLOOKUP(AN212,koronahun!A:B,2,FALSE),"")</f>
        <v>26461</v>
      </c>
      <c r="AP212" s="11">
        <f t="shared" ca="1" si="0"/>
        <v>44104</v>
      </c>
      <c r="AQ212" s="11">
        <f ca="1">IFERROR(__xludf.DUMMYFUNCTION("""COMPUTED_VALUE"""),44104)</f>
        <v>44104</v>
      </c>
      <c r="AR212" s="11">
        <v>44427</v>
      </c>
      <c r="AS212" s="11">
        <f t="shared" si="1"/>
        <v>44427</v>
      </c>
      <c r="AT212" s="11">
        <f ca="1">IFERROR(__xludf.DUMMYFUNCTION("""COMPUTED_VALUE"""),44426)</f>
        <v>44426</v>
      </c>
    </row>
    <row r="213" spans="1:46" ht="13">
      <c r="A213" s="11">
        <v>44425</v>
      </c>
      <c r="B213">
        <f>IFERROR(VLOOKUP($A213,koronahun!$A:$AM,2,FALSE),"")</f>
        <v>810549</v>
      </c>
      <c r="C213">
        <f>IFERROR(VLOOKUP($A213,koronahun!$A:$AM,3,FALSE),"")</f>
        <v>45</v>
      </c>
      <c r="D213">
        <f>IFERROR(VLOOKUP($A213,koronahun!$A:$AM,4,FALSE),"")</f>
        <v>30042</v>
      </c>
      <c r="E213">
        <f>IFERROR(VLOOKUP($A213,koronahun!$A:$AM,5,FALSE),"")</f>
        <v>768519</v>
      </c>
      <c r="F213">
        <f>IFERROR(VLOOKUP($A213,koronahun!$A:$AM,6,FALSE),"")</f>
        <v>6449264</v>
      </c>
      <c r="G213" s="12">
        <f>IFERROR(VLOOKUP($A213,koronahun!$A:$AM,7,FALSE),"")</f>
        <v>658088.16326530604</v>
      </c>
      <c r="H213">
        <f>IFERROR(VLOOKUP($A213,koronahun!$A:$AM,8,FALSE),"")</f>
        <v>0</v>
      </c>
      <c r="I213" s="13">
        <f>IFERROR(VLOOKUP($A213,koronahun!$A:$AM,9,FALSE),"")</f>
        <v>5.5521009149862311E-5</v>
      </c>
      <c r="J213" s="13">
        <f>IFERROR(VLOOKUP($A213,koronahun!$A:$AM,10,FALSE),"")</f>
        <v>0.12568085288491834</v>
      </c>
      <c r="K213" s="13">
        <f>IFERROR(VLOOKUP($A213,koronahun!$A:$AM,11,FALSE),"")</f>
        <v>6.4855632603081671E-4</v>
      </c>
      <c r="L213">
        <f>IFERROR(VLOOKUP($A213,koronahun!$A:$AM,12,FALSE),"")</f>
        <v>11988</v>
      </c>
      <c r="M213" s="13">
        <f>IFERROR(VLOOKUP($A213,koronahun!$A:$AM,13,FALSE),"")</f>
        <v>3.706376789065189E-2</v>
      </c>
      <c r="N213" s="13">
        <f>IFERROR(VLOOKUP($A213,koronahun!$A:$AM,14,FALSE),"")</f>
        <v>0.94814625642619998</v>
      </c>
      <c r="O213">
        <f>IFERROR(VLOOKUP($A213,koronahun!$A:$AM,15,FALSE),"")</f>
        <v>731</v>
      </c>
      <c r="P213">
        <f>IFERROR(VLOOKUP($A213,koronahun!$A:$AM,16,FALSE),"")</f>
        <v>4180</v>
      </c>
      <c r="Q213" s="13">
        <f>IFERROR(VLOOKUP($A213,koronahun!$A:$AM,17,FALSE),"")</f>
        <v>1.076555023923445E-2</v>
      </c>
      <c r="R213">
        <f>IFERROR(VLOOKUP($A213,koronahun!$A:$AM,18,FALSE),"")</f>
        <v>1</v>
      </c>
      <c r="S213">
        <f>IFERROR(VLOOKUP($A213,koronahun!$A:$AM,19,FALSE),"")</f>
        <v>211</v>
      </c>
      <c r="T213">
        <f>IFERROR(VLOOKUP($A213,koronahun!$A:$AM,20,FALSE),"")</f>
        <v>85</v>
      </c>
      <c r="U213">
        <f>IFERROR(VLOOKUP($A213,koronahun!$A:$AM,21,FALSE),"")</f>
        <v>11</v>
      </c>
      <c r="V213" s="13">
        <f>IFERROR(VLOOKUP($A213,koronahun!$A:$AM,22,FALSE),"")</f>
        <v>1.4789975683148089E-2</v>
      </c>
      <c r="W213">
        <f>IFERROR(VLOOKUP($A213,koronahun!$A:$AM,23,FALSE),"")</f>
        <v>-7</v>
      </c>
      <c r="X213">
        <f>IFERROR(VLOOKUP($A213,koronahun!$A:$AM,24,FALSE),"")</f>
        <v>0</v>
      </c>
      <c r="Y213" s="14">
        <f>IFERROR(VLOOKUP($A213,koronahun!$A:$AM,25,FALSE),"")</f>
        <v>7.0904237570904236E-3</v>
      </c>
      <c r="Z213" s="14">
        <f>IFERROR(VLOOKUP($A213,koronahun!$A:$AM,26,FALSE),"")</f>
        <v>0.12941176470588237</v>
      </c>
      <c r="AA213" s="14">
        <f>IFERROR(VLOOKUP($A213,koronahun!$A:$AM,27,FALSE),"")</f>
        <v>1.3449197860962567</v>
      </c>
      <c r="AB213" s="14">
        <f>IFERROR(VLOOKUP($A213,koronahun!$A:$AM,28,FALSE),"")</f>
        <v>1.2240629792280955</v>
      </c>
      <c r="AC213" s="14">
        <f>IFERROR(VLOOKUP($A213,koronahun!$A:$AM,29,FALSE),"")</f>
        <v>71.857142857142861</v>
      </c>
      <c r="AD213" s="14">
        <f>IFERROR(VLOOKUP($A213,koronahun!$A:$AM,30,FALSE),"")</f>
        <v>0.7142857142857143</v>
      </c>
      <c r="AE213" s="14">
        <f>IFERROR(VLOOKUP($A213,koronahun!$A:$AM,31,FALSE),"")</f>
        <v>7165.4285714285716</v>
      </c>
      <c r="AF213" s="13">
        <f>IFERROR(VLOOKUP($A213,koronahun!$A:$AM,32,FALSE),"")</f>
        <v>1.0437201191198167E-2</v>
      </c>
      <c r="AG213">
        <f>IFERROR(VLOOKUP($A213,koronahun!$A:$AM,33,FALSE),"")</f>
        <v>5681559</v>
      </c>
      <c r="AH213">
        <f>IFERROR(VLOOKUP($A213,koronahun!$A:$AM,34,FALSE),"")</f>
        <v>3953</v>
      </c>
      <c r="AI213">
        <f>IFERROR(VLOOKUP($A213,koronahun!$A:$AM,35,FALSE),"")</f>
        <v>5492.6</v>
      </c>
      <c r="AJ213">
        <f>IFERROR(VLOOKUP($A213,koronahun!$A:$AM,36,FALSE),"")</f>
        <v>5500369</v>
      </c>
      <c r="AK213">
        <f>IFERROR(VLOOKUP($A213,koronahun!$A:$AM,37,FALSE),"")</f>
        <v>176</v>
      </c>
      <c r="AL213">
        <f>IFERROR(VLOOKUP($A213,koronahun!$A:$AM,38,FALSE),"")</f>
        <v>1251.8</v>
      </c>
      <c r="AM213" s="14">
        <f>IFERROR(VLOOKUP($A213,koronahun!$A:$AM,39,FALSE),"")</f>
        <v>1355.1428571428571</v>
      </c>
      <c r="AN213" s="11">
        <f ca="1">IFERROR(__xludf.DUMMYFUNCTION("""COMPUTED_VALUE"""),44105)</f>
        <v>44105</v>
      </c>
      <c r="AO213" s="12">
        <f ca="1">IFERROR(VLOOKUP(AN213,koronahun!A:B,2,FALSE),"")</f>
        <v>27309</v>
      </c>
      <c r="AP213" s="11">
        <f t="shared" ca="1" si="0"/>
        <v>44105</v>
      </c>
      <c r="AQ213" s="11">
        <f ca="1">IFERROR(__xludf.DUMMYFUNCTION("""COMPUTED_VALUE"""),44105)</f>
        <v>44105</v>
      </c>
      <c r="AR213" s="11">
        <v>44426</v>
      </c>
      <c r="AS213" s="11">
        <f t="shared" si="1"/>
        <v>44426</v>
      </c>
      <c r="AT213" s="11">
        <f ca="1">IFERROR(__xludf.DUMMYFUNCTION("""COMPUTED_VALUE"""),44425)</f>
        <v>44425</v>
      </c>
    </row>
    <row r="214" spans="1:46" ht="13">
      <c r="A214" s="11">
        <v>44424</v>
      </c>
      <c r="B214">
        <f>IFERROR(VLOOKUP($A214,koronahun!$A:$AM,2,FALSE),"")</f>
        <v>810504</v>
      </c>
      <c r="C214">
        <f>IFERROR(VLOOKUP($A214,koronahun!$A:$AM,3,FALSE),"")</f>
        <v>188</v>
      </c>
      <c r="D214">
        <f>IFERROR(VLOOKUP($A214,koronahun!$A:$AM,4,FALSE),"")</f>
        <v>30041</v>
      </c>
      <c r="E214">
        <f>IFERROR(VLOOKUP($A214,koronahun!$A:$AM,5,FALSE),"")</f>
        <v>768308</v>
      </c>
      <c r="F214">
        <f>IFERROR(VLOOKUP($A214,koronahun!$A:$AM,6,FALSE),"")</f>
        <v>6445084</v>
      </c>
      <c r="G214" s="12">
        <f>IFERROR(VLOOKUP($A214,koronahun!$A:$AM,7,FALSE),"")</f>
        <v>657661.63265306118</v>
      </c>
      <c r="H214">
        <f>IFERROR(VLOOKUP($A214,koronahun!$A:$AM,8,FALSE),"")</f>
        <v>0</v>
      </c>
      <c r="I214" s="13">
        <f>IFERROR(VLOOKUP($A214,koronahun!$A:$AM,9,FALSE),"")</f>
        <v>2.320082535702121E-4</v>
      </c>
      <c r="J214" s="13">
        <f>IFERROR(VLOOKUP($A214,koronahun!$A:$AM,10,FALSE),"")</f>
        <v>0.12575538193140695</v>
      </c>
      <c r="K214" s="13">
        <f>IFERROR(VLOOKUP($A214,koronahun!$A:$AM,11,FALSE),"")</f>
        <v>3.2833166666459113E-3</v>
      </c>
      <c r="L214">
        <f>IFERROR(VLOOKUP($A214,koronahun!$A:$AM,12,FALSE),"")</f>
        <v>12155</v>
      </c>
      <c r="M214" s="13">
        <f>IFERROR(VLOOKUP($A214,koronahun!$A:$AM,13,FALSE),"")</f>
        <v>3.7064591908244744E-2</v>
      </c>
      <c r="N214" s="13">
        <f>IFERROR(VLOOKUP($A214,koronahun!$A:$AM,14,FALSE),"")</f>
        <v>0.94793856662027576</v>
      </c>
      <c r="O214">
        <f>IFERROR(VLOOKUP($A214,koronahun!$A:$AM,15,FALSE),"")</f>
        <v>835</v>
      </c>
      <c r="P214">
        <f>IFERROR(VLOOKUP($A214,koronahun!$A:$AM,16,FALSE),"")</f>
        <v>21092</v>
      </c>
      <c r="Q214" s="13">
        <f>IFERROR(VLOOKUP($A214,koronahun!$A:$AM,17,FALSE),"")</f>
        <v>8.9133320690309124E-3</v>
      </c>
      <c r="R214">
        <f>IFERROR(VLOOKUP($A214,koronahun!$A:$AM,18,FALSE),"")</f>
        <v>3</v>
      </c>
      <c r="S214">
        <f>IFERROR(VLOOKUP($A214,koronahun!$A:$AM,19,FALSE),"")</f>
        <v>2356</v>
      </c>
      <c r="T214">
        <f>IFERROR(VLOOKUP($A214,koronahun!$A:$AM,20,FALSE),"")</f>
        <v>92</v>
      </c>
      <c r="U214">
        <f>IFERROR(VLOOKUP($A214,koronahun!$A:$AM,21,FALSE),"")</f>
        <v>11</v>
      </c>
      <c r="V214" s="13">
        <f>IFERROR(VLOOKUP($A214,koronahun!$A:$AM,22,FALSE),"")</f>
        <v>1.4996841471479474E-2</v>
      </c>
      <c r="W214">
        <f>IFERROR(VLOOKUP($A214,koronahun!$A:$AM,23,FALSE),"")</f>
        <v>9</v>
      </c>
      <c r="X214">
        <f>IFERROR(VLOOKUP($A214,koronahun!$A:$AM,24,FALSE),"")</f>
        <v>-3</v>
      </c>
      <c r="Y214" s="14">
        <f>IFERROR(VLOOKUP($A214,koronahun!$A:$AM,25,FALSE),"")</f>
        <v>7.5689016865487452E-3</v>
      </c>
      <c r="Z214" s="14">
        <f>IFERROR(VLOOKUP($A214,koronahun!$A:$AM,26,FALSE),"")</f>
        <v>0.11956521739130435</v>
      </c>
      <c r="AA214" s="14">
        <f>IFERROR(VLOOKUP($A214,koronahun!$A:$AM,27,FALSE),"")</f>
        <v>1.3506849315068492</v>
      </c>
      <c r="AB214" s="14">
        <f>IFERROR(VLOOKUP($A214,koronahun!$A:$AM,28,FALSE),"")</f>
        <v>1.1498706886755108</v>
      </c>
      <c r="AC214" s="14">
        <f>IFERROR(VLOOKUP($A214,koronahun!$A:$AM,29,FALSE),"")</f>
        <v>70.428571428571431</v>
      </c>
      <c r="AD214" s="14">
        <f>IFERROR(VLOOKUP($A214,koronahun!$A:$AM,30,FALSE),"")</f>
        <v>0.5714285714285714</v>
      </c>
      <c r="AE214" s="14">
        <f>IFERROR(VLOOKUP($A214,koronahun!$A:$AM,31,FALSE),"")</f>
        <v>7150.5714285714284</v>
      </c>
      <c r="AF214" s="13">
        <f>IFERROR(VLOOKUP($A214,koronahun!$A:$AM,32,FALSE),"")</f>
        <v>1.0001461113910648E-2</v>
      </c>
      <c r="AG214">
        <f>IFERROR(VLOOKUP($A214,koronahun!$A:$AM,33,FALSE),"")</f>
        <v>5677606</v>
      </c>
      <c r="AH214">
        <f>IFERROR(VLOOKUP($A214,koronahun!$A:$AM,34,FALSE),"")</f>
        <v>8613</v>
      </c>
      <c r="AI214">
        <f>IFERROR(VLOOKUP($A214,koronahun!$A:$AM,35,FALSE),"")</f>
        <v>5696.2</v>
      </c>
      <c r="AJ214">
        <f>IFERROR(VLOOKUP($A214,koronahun!$A:$AM,36,FALSE),"")</f>
        <v>5500193</v>
      </c>
      <c r="AK214">
        <f>IFERROR(VLOOKUP($A214,koronahun!$A:$AM,37,FALSE),"")</f>
        <v>1971</v>
      </c>
      <c r="AL214">
        <f>IFERROR(VLOOKUP($A214,koronahun!$A:$AM,38,FALSE),"")</f>
        <v>1761.2</v>
      </c>
      <c r="AM214" s="14">
        <f>IFERROR(VLOOKUP($A214,koronahun!$A:$AM,39,FALSE),"")</f>
        <v>1580.1428571428571</v>
      </c>
      <c r="AN214" s="11">
        <f ca="1">IFERROR(__xludf.DUMMYFUNCTION("""COMPUTED_VALUE"""),44106)</f>
        <v>44106</v>
      </c>
      <c r="AO214" s="12">
        <f ca="1">IFERROR(VLOOKUP(AN214,koronahun!A:B,2,FALSE),"")</f>
        <v>28631</v>
      </c>
      <c r="AP214" s="11">
        <f t="shared" ca="1" si="0"/>
        <v>44106</v>
      </c>
      <c r="AQ214" s="11">
        <f ca="1">IFERROR(__xludf.DUMMYFUNCTION("""COMPUTED_VALUE"""),44106)</f>
        <v>44106</v>
      </c>
      <c r="AR214" s="11">
        <v>44425</v>
      </c>
      <c r="AS214" s="11">
        <f t="shared" si="1"/>
        <v>44425</v>
      </c>
      <c r="AT214" s="11">
        <f ca="1">IFERROR(__xludf.DUMMYFUNCTION("""COMPUTED_VALUE"""),44424)</f>
        <v>44424</v>
      </c>
    </row>
    <row r="215" spans="1:46" ht="13">
      <c r="A215" s="11">
        <v>44421</v>
      </c>
      <c r="B215">
        <f>IFERROR(VLOOKUP($A215,koronahun!$A:$AM,2,FALSE),"")</f>
        <v>810316</v>
      </c>
      <c r="C215">
        <f>IFERROR(VLOOKUP($A215,koronahun!$A:$AM,3,FALSE),"")</f>
        <v>104</v>
      </c>
      <c r="D215">
        <f>IFERROR(VLOOKUP($A215,koronahun!$A:$AM,4,FALSE),"")</f>
        <v>30038</v>
      </c>
      <c r="E215">
        <f>IFERROR(VLOOKUP($A215,koronahun!$A:$AM,5,FALSE),"")</f>
        <v>765952</v>
      </c>
      <c r="F215">
        <f>IFERROR(VLOOKUP($A215,koronahun!$A:$AM,6,FALSE),"")</f>
        <v>6423992</v>
      </c>
      <c r="G215" s="12">
        <f>IFERROR(VLOOKUP($A215,koronahun!$A:$AM,7,FALSE),"")</f>
        <v>655509.38775510201</v>
      </c>
      <c r="H215">
        <f>IFERROR(VLOOKUP($A215,koronahun!$A:$AM,8,FALSE),"")</f>
        <v>0</v>
      </c>
      <c r="I215" s="13">
        <f>IFERROR(VLOOKUP($A215,koronahun!$A:$AM,9,FALSE),"")</f>
        <v>1.2836146588794044E-4</v>
      </c>
      <c r="J215" s="13">
        <f>IFERROR(VLOOKUP($A215,koronahun!$A:$AM,10,FALSE),"")</f>
        <v>0.12613901138108516</v>
      </c>
      <c r="K215" s="13">
        <f>IFERROR(VLOOKUP($A215,koronahun!$A:$AM,11,FALSE),"")</f>
        <v>1.3147728248692982E-3</v>
      </c>
      <c r="L215">
        <f>IFERROR(VLOOKUP($A215,koronahun!$A:$AM,12,FALSE),"")</f>
        <v>14326</v>
      </c>
      <c r="M215" s="13">
        <f>IFERROR(VLOOKUP($A215,koronahun!$A:$AM,13,FALSE),"")</f>
        <v>3.706948894011719E-2</v>
      </c>
      <c r="N215" s="13">
        <f>IFERROR(VLOOKUP($A215,koronahun!$A:$AM,14,FALSE),"")</f>
        <v>0.94525098850325062</v>
      </c>
      <c r="O215">
        <f>IFERROR(VLOOKUP($A215,koronahun!$A:$AM,15,FALSE),"")</f>
        <v>1085</v>
      </c>
      <c r="P215">
        <f>IFERROR(VLOOKUP($A215,koronahun!$A:$AM,16,FALSE),"")</f>
        <v>8435</v>
      </c>
      <c r="Q215" s="13">
        <f>IFERROR(VLOOKUP($A215,koronahun!$A:$AM,17,FALSE),"")</f>
        <v>1.2329579134558387E-2</v>
      </c>
      <c r="R215">
        <f>IFERROR(VLOOKUP($A215,koronahun!$A:$AM,18,FALSE),"")</f>
        <v>1</v>
      </c>
      <c r="S215">
        <f>IFERROR(VLOOKUP($A215,koronahun!$A:$AM,19,FALSE),"")</f>
        <v>2151</v>
      </c>
      <c r="T215">
        <f>IFERROR(VLOOKUP($A215,koronahun!$A:$AM,20,FALSE),"")</f>
        <v>83</v>
      </c>
      <c r="U215">
        <f>IFERROR(VLOOKUP($A215,koronahun!$A:$AM,21,FALSE),"")</f>
        <v>14</v>
      </c>
      <c r="V215" s="13">
        <f>IFERROR(VLOOKUP($A215,koronahun!$A:$AM,22,FALSE),"")</f>
        <v>1.7679522556632226E-2</v>
      </c>
      <c r="W215">
        <f>IFERROR(VLOOKUP($A215,koronahun!$A:$AM,23,FALSE),"")</f>
        <v>3</v>
      </c>
      <c r="X215">
        <f>IFERROR(VLOOKUP($A215,koronahun!$A:$AM,24,FALSE),"")</f>
        <v>-1</v>
      </c>
      <c r="Y215" s="14">
        <f>IFERROR(VLOOKUP($A215,koronahun!$A:$AM,25,FALSE),"")</f>
        <v>5.7936618735166829E-3</v>
      </c>
      <c r="Z215" s="14">
        <f>IFERROR(VLOOKUP($A215,koronahun!$A:$AM,26,FALSE),"")</f>
        <v>0.16867469879518071</v>
      </c>
      <c r="AA215" s="14">
        <f>IFERROR(VLOOKUP($A215,koronahun!$A:$AM,27,FALSE),"")</f>
        <v>1.2664835164835164</v>
      </c>
      <c r="AB215" s="14">
        <f>IFERROR(VLOOKUP($A215,koronahun!$A:$AM,28,FALSE),"")</f>
        <v>1.0698378690408075</v>
      </c>
      <c r="AC215" s="14">
        <f>IFERROR(VLOOKUP($A215,koronahun!$A:$AM,29,FALSE),"")</f>
        <v>65.857142857142861</v>
      </c>
      <c r="AD215" s="14">
        <f>IFERROR(VLOOKUP($A215,koronahun!$A:$AM,30,FALSE),"")</f>
        <v>0.7142857142857143</v>
      </c>
      <c r="AE215" s="14">
        <f>IFERROR(VLOOKUP($A215,koronahun!$A:$AM,31,FALSE),"")</f>
        <v>6903.4285714285716</v>
      </c>
      <c r="AF215" s="13">
        <f>IFERROR(VLOOKUP($A215,koronahun!$A:$AM,32,FALSE),"")</f>
        <v>9.8301984807056438E-3</v>
      </c>
      <c r="AG215">
        <f>IFERROR(VLOOKUP($A215,koronahun!$A:$AM,33,FALSE),"")</f>
        <v>5668993</v>
      </c>
      <c r="AH215">
        <f>IFERROR(VLOOKUP($A215,koronahun!$A:$AM,34,FALSE),"")</f>
        <v>5335</v>
      </c>
      <c r="AI215">
        <f>IFERROR(VLOOKUP($A215,koronahun!$A:$AM,35,FALSE),"")</f>
        <v>5424.6</v>
      </c>
      <c r="AJ215">
        <f>IFERROR(VLOOKUP($A215,koronahun!$A:$AM,36,FALSE),"")</f>
        <v>5498222</v>
      </c>
      <c r="AK215">
        <f>IFERROR(VLOOKUP($A215,koronahun!$A:$AM,37,FALSE),"")</f>
        <v>282</v>
      </c>
      <c r="AL215">
        <f>IFERROR(VLOOKUP($A215,koronahun!$A:$AM,38,FALSE),"")</f>
        <v>3600.8</v>
      </c>
      <c r="AM215" s="14">
        <f>IFERROR(VLOOKUP($A215,koronahun!$A:$AM,39,FALSE),"")</f>
        <v>1891.8571428571429</v>
      </c>
      <c r="AN215" s="11">
        <f ca="1">IFERROR(__xludf.DUMMYFUNCTION("""COMPUTED_VALUE"""),44107)</f>
        <v>44107</v>
      </c>
      <c r="AO215" s="12">
        <f ca="1">IFERROR(VLOOKUP(AN215,koronahun!A:B,2,FALSE),"")</f>
        <v>29717</v>
      </c>
      <c r="AP215" s="11">
        <f t="shared" ca="1" si="0"/>
        <v>44107</v>
      </c>
      <c r="AQ215" s="11">
        <f ca="1">IFERROR(__xludf.DUMMYFUNCTION("""COMPUTED_VALUE"""),44107)</f>
        <v>44107</v>
      </c>
      <c r="AR215" s="11">
        <v>44424</v>
      </c>
      <c r="AS215" s="11">
        <f t="shared" si="1"/>
        <v>44424</v>
      </c>
      <c r="AT215" s="11">
        <f ca="1">IFERROR(__xludf.DUMMYFUNCTION("""COMPUTED_VALUE"""),44421)</f>
        <v>44421</v>
      </c>
    </row>
    <row r="216" spans="1:46" ht="13">
      <c r="A216" s="11">
        <v>44420</v>
      </c>
      <c r="B216">
        <f>IFERROR(VLOOKUP($A216,koronahun!$A:$AM,2,FALSE),"")</f>
        <v>810212</v>
      </c>
      <c r="C216">
        <f>IFERROR(VLOOKUP($A216,koronahun!$A:$AM,3,FALSE),"")</f>
        <v>86</v>
      </c>
      <c r="D216">
        <f>IFERROR(VLOOKUP($A216,koronahun!$A:$AM,4,FALSE),"")</f>
        <v>30037</v>
      </c>
      <c r="E216">
        <f>IFERROR(VLOOKUP($A216,koronahun!$A:$AM,5,FALSE),"")</f>
        <v>763801</v>
      </c>
      <c r="F216">
        <f>IFERROR(VLOOKUP($A216,koronahun!$A:$AM,6,FALSE),"")</f>
        <v>6415557</v>
      </c>
      <c r="G216" s="12">
        <f>IFERROR(VLOOKUP($A216,koronahun!$A:$AM,7,FALSE),"")</f>
        <v>654648.67346938769</v>
      </c>
      <c r="H216">
        <f>IFERROR(VLOOKUP($A216,koronahun!$A:$AM,8,FALSE),"")</f>
        <v>0</v>
      </c>
      <c r="I216" s="13">
        <f>IFERROR(VLOOKUP($A216,koronahun!$A:$AM,9,FALSE),"")</f>
        <v>1.0615632629985953E-4</v>
      </c>
      <c r="J216" s="13">
        <f>IFERROR(VLOOKUP($A216,koronahun!$A:$AM,10,FALSE),"")</f>
        <v>0.1262886449298167</v>
      </c>
      <c r="K216" s="13">
        <f>IFERROR(VLOOKUP($A216,koronahun!$A:$AM,11,FALSE),"")</f>
        <v>1.2913429920295388E-3</v>
      </c>
      <c r="L216">
        <f>IFERROR(VLOOKUP($A216,koronahun!$A:$AM,12,FALSE),"")</f>
        <v>16374</v>
      </c>
      <c r="M216" s="13">
        <f>IFERROR(VLOOKUP($A216,koronahun!$A:$AM,13,FALSE),"")</f>
        <v>3.7073012989192952E-2</v>
      </c>
      <c r="N216" s="13">
        <f>IFERROR(VLOOKUP($A216,koronahun!$A:$AM,14,FALSE),"")</f>
        <v>0.94271746160264225</v>
      </c>
      <c r="O216">
        <f>IFERROR(VLOOKUP($A216,koronahun!$A:$AM,15,FALSE),"")</f>
        <v>1168</v>
      </c>
      <c r="P216">
        <f>IFERROR(VLOOKUP($A216,koronahun!$A:$AM,16,FALSE),"")</f>
        <v>8274</v>
      </c>
      <c r="Q216" s="13">
        <f>IFERROR(VLOOKUP($A216,koronahun!$A:$AM,17,FALSE),"")</f>
        <v>1.0394005317863187E-2</v>
      </c>
      <c r="R216">
        <f>IFERROR(VLOOKUP($A216,koronahun!$A:$AM,18,FALSE),"")</f>
        <v>0</v>
      </c>
      <c r="S216">
        <f>IFERROR(VLOOKUP($A216,koronahun!$A:$AM,19,FALSE),"")</f>
        <v>2536</v>
      </c>
      <c r="T216">
        <f>IFERROR(VLOOKUP($A216,koronahun!$A:$AM,20,FALSE),"")</f>
        <v>80</v>
      </c>
      <c r="U216">
        <f>IFERROR(VLOOKUP($A216,koronahun!$A:$AM,21,FALSE),"")</f>
        <v>15</v>
      </c>
      <c r="V216" s="13">
        <f>IFERROR(VLOOKUP($A216,koronahun!$A:$AM,22,FALSE),"")</f>
        <v>2.0209525408164775E-2</v>
      </c>
      <c r="W216">
        <f>IFERROR(VLOOKUP($A216,koronahun!$A:$AM,23,FALSE),"")</f>
        <v>1</v>
      </c>
      <c r="X216">
        <f>IFERROR(VLOOKUP($A216,koronahun!$A:$AM,24,FALSE),"")</f>
        <v>0</v>
      </c>
      <c r="Y216" s="14">
        <f>IFERROR(VLOOKUP($A216,koronahun!$A:$AM,25,FALSE),"")</f>
        <v>4.8857945523390744E-3</v>
      </c>
      <c r="Z216" s="14">
        <f>IFERROR(VLOOKUP($A216,koronahun!$A:$AM,26,FALSE),"")</f>
        <v>0.1875</v>
      </c>
      <c r="AA216" s="14">
        <f>IFERROR(VLOOKUP($A216,koronahun!$A:$AM,27,FALSE),"")</f>
        <v>1.0877659574468086</v>
      </c>
      <c r="AB216" s="14">
        <f>IFERROR(VLOOKUP($A216,koronahun!$A:$AM,28,FALSE),"")</f>
        <v>1.0032078324107707</v>
      </c>
      <c r="AC216" s="14">
        <f>IFERROR(VLOOKUP($A216,koronahun!$A:$AM,29,FALSE),"")</f>
        <v>58.428571428571431</v>
      </c>
      <c r="AD216" s="14">
        <f>IFERROR(VLOOKUP($A216,koronahun!$A:$AM,30,FALSE),"")</f>
        <v>0.7142857142857143</v>
      </c>
      <c r="AE216" s="14">
        <f>IFERROR(VLOOKUP($A216,koronahun!$A:$AM,31,FALSE),"")</f>
        <v>6873.5714285714284</v>
      </c>
      <c r="AF216" s="13">
        <f>IFERROR(VLOOKUP($A216,koronahun!$A:$AM,32,FALSE),"")</f>
        <v>8.6285666314258654E-3</v>
      </c>
      <c r="AG216">
        <f>IFERROR(VLOOKUP($A216,koronahun!$A:$AM,33,FALSE),"")</f>
        <v>5663658</v>
      </c>
      <c r="AH216">
        <f>IFERROR(VLOOKUP($A216,koronahun!$A:$AM,34,FALSE),"")</f>
        <v>5035</v>
      </c>
      <c r="AI216">
        <f>IFERROR(VLOOKUP($A216,koronahun!$A:$AM,35,FALSE),"")</f>
        <v>5352.8</v>
      </c>
      <c r="AJ216">
        <f>IFERROR(VLOOKUP($A216,koronahun!$A:$AM,36,FALSE),"")</f>
        <v>5497940</v>
      </c>
      <c r="AK216">
        <f>IFERROR(VLOOKUP($A216,koronahun!$A:$AM,37,FALSE),"")</f>
        <v>341</v>
      </c>
      <c r="AL216">
        <f>IFERROR(VLOOKUP($A216,koronahun!$A:$AM,38,FALSE),"")</f>
        <v>4493.8</v>
      </c>
      <c r="AM216" s="14">
        <f>IFERROR(VLOOKUP($A216,koronahun!$A:$AM,39,FALSE),"")</f>
        <v>1835.1428571428571</v>
      </c>
      <c r="AN216" s="11">
        <f ca="1">IFERROR(__xludf.DUMMYFUNCTION("""COMPUTED_VALUE"""),44108)</f>
        <v>44108</v>
      </c>
      <c r="AO216" s="12">
        <f ca="1">IFERROR(VLOOKUP(AN216,koronahun!A:B,2,FALSE),"")</f>
        <v>30575</v>
      </c>
      <c r="AP216" s="11">
        <f t="shared" ca="1" si="0"/>
        <v>44108</v>
      </c>
      <c r="AQ216" s="11">
        <f ca="1">IFERROR(__xludf.DUMMYFUNCTION("""COMPUTED_VALUE"""),44108)</f>
        <v>44108</v>
      </c>
      <c r="AR216" s="11">
        <v>44421</v>
      </c>
      <c r="AS216" s="11">
        <f t="shared" si="1"/>
        <v>44421</v>
      </c>
      <c r="AT216" s="11">
        <f ca="1">IFERROR(__xludf.DUMMYFUNCTION("""COMPUTED_VALUE"""),44420)</f>
        <v>44420</v>
      </c>
    </row>
    <row r="217" spans="1:46" ht="13">
      <c r="A217" s="11">
        <v>44419</v>
      </c>
      <c r="B217">
        <f>IFERROR(VLOOKUP($A217,koronahun!$A:$AM,2,FALSE),"")</f>
        <v>810126</v>
      </c>
      <c r="C217">
        <f>IFERROR(VLOOKUP($A217,koronahun!$A:$AM,3,FALSE),"")</f>
        <v>80</v>
      </c>
      <c r="D217">
        <f>IFERROR(VLOOKUP($A217,koronahun!$A:$AM,4,FALSE),"")</f>
        <v>30037</v>
      </c>
      <c r="E217">
        <f>IFERROR(VLOOKUP($A217,koronahun!$A:$AM,5,FALSE),"")</f>
        <v>761265</v>
      </c>
      <c r="F217">
        <f>IFERROR(VLOOKUP($A217,koronahun!$A:$AM,6,FALSE),"")</f>
        <v>6407283</v>
      </c>
      <c r="G217" s="12">
        <f>IFERROR(VLOOKUP($A217,koronahun!$A:$AM,7,FALSE),"")</f>
        <v>653804.38775510201</v>
      </c>
      <c r="H217">
        <f>IFERROR(VLOOKUP($A217,koronahun!$A:$AM,8,FALSE),"")</f>
        <v>0</v>
      </c>
      <c r="I217" s="13">
        <f>IFERROR(VLOOKUP($A217,koronahun!$A:$AM,9,FALSE),"")</f>
        <v>9.8759823516195375E-5</v>
      </c>
      <c r="J217" s="13">
        <f>IFERROR(VLOOKUP($A217,koronahun!$A:$AM,10,FALSE),"")</f>
        <v>0.12643830466049338</v>
      </c>
      <c r="K217" s="13">
        <f>IFERROR(VLOOKUP($A217,koronahun!$A:$AM,11,FALSE),"")</f>
        <v>1.2778347475412971E-3</v>
      </c>
      <c r="L217">
        <f>IFERROR(VLOOKUP($A217,koronahun!$A:$AM,12,FALSE),"")</f>
        <v>18824</v>
      </c>
      <c r="M217" s="13">
        <f>IFERROR(VLOOKUP($A217,koronahun!$A:$AM,13,FALSE),"")</f>
        <v>3.7076948524056755E-2</v>
      </c>
      <c r="N217" s="13">
        <f>IFERROR(VLOOKUP($A217,koronahun!$A:$AM,14,FALSE),"")</f>
        <v>0.93968715977514605</v>
      </c>
      <c r="O217">
        <f>IFERROR(VLOOKUP($A217,koronahun!$A:$AM,15,FALSE),"")</f>
        <v>1233</v>
      </c>
      <c r="P217">
        <f>IFERROR(VLOOKUP($A217,koronahun!$A:$AM,16,FALSE),"")</f>
        <v>8177</v>
      </c>
      <c r="Q217" s="13">
        <f>IFERROR(VLOOKUP($A217,koronahun!$A:$AM,17,FALSE),"")</f>
        <v>9.7835391953039006E-3</v>
      </c>
      <c r="R217">
        <f>IFERROR(VLOOKUP($A217,koronahun!$A:$AM,18,FALSE),"")</f>
        <v>0</v>
      </c>
      <c r="S217">
        <f>IFERROR(VLOOKUP($A217,koronahun!$A:$AM,19,FALSE),"")</f>
        <v>2232</v>
      </c>
      <c r="T217">
        <f>IFERROR(VLOOKUP($A217,koronahun!$A:$AM,20,FALSE),"")</f>
        <v>79</v>
      </c>
      <c r="U217">
        <f>IFERROR(VLOOKUP($A217,koronahun!$A:$AM,21,FALSE),"")</f>
        <v>15</v>
      </c>
      <c r="V217" s="13">
        <f>IFERROR(VLOOKUP($A217,koronahun!$A:$AM,22,FALSE),"")</f>
        <v>2.3235891700797161E-2</v>
      </c>
      <c r="W217">
        <f>IFERROR(VLOOKUP($A217,koronahun!$A:$AM,23,FALSE),"")</f>
        <v>-8</v>
      </c>
      <c r="X217">
        <f>IFERROR(VLOOKUP($A217,koronahun!$A:$AM,24,FALSE),"")</f>
        <v>0</v>
      </c>
      <c r="Y217" s="14">
        <f>IFERROR(VLOOKUP($A217,koronahun!$A:$AM,25,FALSE),"")</f>
        <v>4.1967700807479811E-3</v>
      </c>
      <c r="Z217" s="14">
        <f>IFERROR(VLOOKUP($A217,koronahun!$A:$AM,26,FALSE),"")</f>
        <v>0.189873417721519</v>
      </c>
      <c r="AA217" s="14">
        <f>IFERROR(VLOOKUP($A217,koronahun!$A:$AM,27,FALSE),"")</f>
        <v>1.070460704607046</v>
      </c>
      <c r="AB217" s="14">
        <f>IFERROR(VLOOKUP($A217,koronahun!$A:$AM,28,FALSE),"")</f>
        <v>0.96862301075109303</v>
      </c>
      <c r="AC217" s="14">
        <f>IFERROR(VLOOKUP($A217,koronahun!$A:$AM,29,FALSE),"")</f>
        <v>56.428571428571431</v>
      </c>
      <c r="AD217" s="14">
        <f>IFERROR(VLOOKUP($A217,koronahun!$A:$AM,30,FALSE),"")</f>
        <v>0.7142857142857143</v>
      </c>
      <c r="AE217" s="14">
        <f>IFERROR(VLOOKUP($A217,koronahun!$A:$AM,31,FALSE),"")</f>
        <v>6711.2857142857147</v>
      </c>
      <c r="AF217" s="13">
        <f>IFERROR(VLOOKUP($A217,koronahun!$A:$AM,32,FALSE),"")</f>
        <v>8.567137380685954E-3</v>
      </c>
      <c r="AG217">
        <f>IFERROR(VLOOKUP($A217,koronahun!$A:$AM,33,FALSE),"")</f>
        <v>5658623</v>
      </c>
      <c r="AH217">
        <f>IFERROR(VLOOKUP($A217,koronahun!$A:$AM,34,FALSE),"")</f>
        <v>4527</v>
      </c>
      <c r="AI217">
        <f>IFERROR(VLOOKUP($A217,koronahun!$A:$AM,35,FALSE),"")</f>
        <v>5239</v>
      </c>
      <c r="AJ217">
        <f>IFERROR(VLOOKUP($A217,koronahun!$A:$AM,36,FALSE),"")</f>
        <v>5497599</v>
      </c>
      <c r="AK217">
        <f>IFERROR(VLOOKUP($A217,koronahun!$A:$AM,37,FALSE),"")</f>
        <v>3489</v>
      </c>
      <c r="AL217">
        <f>IFERROR(VLOOKUP($A217,koronahun!$A:$AM,38,FALSE),"")</f>
        <v>6922.4</v>
      </c>
      <c r="AM217" s="14">
        <f>IFERROR(VLOOKUP($A217,koronahun!$A:$AM,39,FALSE),"")</f>
        <v>1641.7142857142858</v>
      </c>
      <c r="AN217" s="11">
        <f ca="1">IFERROR(__xludf.DUMMYFUNCTION("""COMPUTED_VALUE"""),44109)</f>
        <v>44109</v>
      </c>
      <c r="AO217" s="12">
        <f ca="1">IFERROR(VLOOKUP(AN217,koronahun!A:B,2,FALSE),"")</f>
        <v>31480</v>
      </c>
      <c r="AP217" s="11">
        <f t="shared" ca="1" si="0"/>
        <v>44109</v>
      </c>
      <c r="AQ217" s="11">
        <f ca="1">IFERROR(__xludf.DUMMYFUNCTION("""COMPUTED_VALUE"""),44109)</f>
        <v>44109</v>
      </c>
      <c r="AR217" s="11">
        <v>44420</v>
      </c>
      <c r="AS217" s="11">
        <f t="shared" si="1"/>
        <v>44420</v>
      </c>
      <c r="AT217" s="11">
        <f ca="1">IFERROR(__xludf.DUMMYFUNCTION("""COMPUTED_VALUE"""),44419)</f>
        <v>44419</v>
      </c>
    </row>
    <row r="218" spans="1:46" ht="13">
      <c r="A218" s="11">
        <v>44418</v>
      </c>
      <c r="B218">
        <f>IFERROR(VLOOKUP($A218,koronahun!$A:$AM,2,FALSE),"")</f>
        <v>810046</v>
      </c>
      <c r="C218">
        <f>IFERROR(VLOOKUP($A218,koronahun!$A:$AM,3,FALSE),"")</f>
        <v>35</v>
      </c>
      <c r="D218">
        <f>IFERROR(VLOOKUP($A218,koronahun!$A:$AM,4,FALSE),"")</f>
        <v>30037</v>
      </c>
      <c r="E218">
        <f>IFERROR(VLOOKUP($A218,koronahun!$A:$AM,5,FALSE),"")</f>
        <v>759033</v>
      </c>
      <c r="F218">
        <f>IFERROR(VLOOKUP($A218,koronahun!$A:$AM,6,FALSE),"")</f>
        <v>6399106</v>
      </c>
      <c r="G218" s="12">
        <f>IFERROR(VLOOKUP($A218,koronahun!$A:$AM,7,FALSE),"")</f>
        <v>652970</v>
      </c>
      <c r="H218">
        <f>IFERROR(VLOOKUP($A218,koronahun!$A:$AM,8,FALSE),"")</f>
        <v>0</v>
      </c>
      <c r="I218" s="13">
        <f>IFERROR(VLOOKUP($A218,koronahun!$A:$AM,9,FALSE),"")</f>
        <v>4.3209289750386105E-5</v>
      </c>
      <c r="J218" s="13">
        <f>IFERROR(VLOOKUP($A218,koronahun!$A:$AM,10,FALSE),"")</f>
        <v>0.12658737017327107</v>
      </c>
      <c r="K218" s="13">
        <f>IFERROR(VLOOKUP($A218,koronahun!$A:$AM,11,FALSE),"")</f>
        <v>6.3736995760770476E-4</v>
      </c>
      <c r="L218">
        <f>IFERROR(VLOOKUP($A218,koronahun!$A:$AM,12,FALSE),"")</f>
        <v>20976</v>
      </c>
      <c r="M218" s="13">
        <f>IFERROR(VLOOKUP($A218,koronahun!$A:$AM,13,FALSE),"")</f>
        <v>3.7080610236949509E-2</v>
      </c>
      <c r="N218" s="13">
        <f>IFERROR(VLOOKUP($A218,koronahun!$A:$AM,14,FALSE),"")</f>
        <v>0.9370245640371041</v>
      </c>
      <c r="O218">
        <f>IFERROR(VLOOKUP($A218,koronahun!$A:$AM,15,FALSE),"")</f>
        <v>1137</v>
      </c>
      <c r="P218">
        <f>IFERROR(VLOOKUP($A218,koronahun!$A:$AM,16,FALSE),"")</f>
        <v>4076</v>
      </c>
      <c r="Q218" s="13">
        <f>IFERROR(VLOOKUP($A218,koronahun!$A:$AM,17,FALSE),"")</f>
        <v>8.5868498527968597E-3</v>
      </c>
      <c r="R218">
        <f>IFERROR(VLOOKUP($A218,koronahun!$A:$AM,18,FALSE),"")</f>
        <v>0</v>
      </c>
      <c r="S218">
        <f>IFERROR(VLOOKUP($A218,koronahun!$A:$AM,19,FALSE),"")</f>
        <v>1786</v>
      </c>
      <c r="T218">
        <f>IFERROR(VLOOKUP($A218,koronahun!$A:$AM,20,FALSE),"")</f>
        <v>87</v>
      </c>
      <c r="U218">
        <f>IFERROR(VLOOKUP($A218,koronahun!$A:$AM,21,FALSE),"")</f>
        <v>15</v>
      </c>
      <c r="V218" s="13">
        <f>IFERROR(VLOOKUP($A218,koronahun!$A:$AM,22,FALSE),"")</f>
        <v>2.5894825725946428E-2</v>
      </c>
      <c r="W218">
        <f>IFERROR(VLOOKUP($A218,koronahun!$A:$AM,23,FALSE),"")</f>
        <v>12</v>
      </c>
      <c r="X218">
        <f>IFERROR(VLOOKUP($A218,koronahun!$A:$AM,24,FALSE),"")</f>
        <v>4</v>
      </c>
      <c r="Y218" s="14">
        <f>IFERROR(VLOOKUP($A218,koronahun!$A:$AM,25,FALSE),"")</f>
        <v>4.1475972540045763E-3</v>
      </c>
      <c r="Z218" s="14">
        <f>IFERROR(VLOOKUP($A218,koronahun!$A:$AM,26,FALSE),"")</f>
        <v>0.17241379310344829</v>
      </c>
      <c r="AA218" s="14">
        <f>IFERROR(VLOOKUP($A218,koronahun!$A:$AM,27,FALSE),"")</f>
        <v>0.97395833333333337</v>
      </c>
      <c r="AB218" s="14">
        <f>IFERROR(VLOOKUP($A218,koronahun!$A:$AM,28,FALSE),"")</f>
        <v>0.93150928709587077</v>
      </c>
      <c r="AC218" s="14">
        <f>IFERROR(VLOOKUP($A218,koronahun!$A:$AM,29,FALSE),"")</f>
        <v>53.428571428571431</v>
      </c>
      <c r="AD218" s="14">
        <f>IFERROR(VLOOKUP($A218,koronahun!$A:$AM,30,FALSE),"")</f>
        <v>1.1428571428571428</v>
      </c>
      <c r="AE218" s="14">
        <f>IFERROR(VLOOKUP($A218,koronahun!$A:$AM,31,FALSE),"")</f>
        <v>6698.7142857142853</v>
      </c>
      <c r="AF218" s="13">
        <f>IFERROR(VLOOKUP($A218,koronahun!$A:$AM,32,FALSE),"")</f>
        <v>8.0692007123508505E-3</v>
      </c>
      <c r="AG218">
        <f>IFERROR(VLOOKUP($A218,koronahun!$A:$AM,33,FALSE),"")</f>
        <v>5654096</v>
      </c>
      <c r="AH218">
        <f>IFERROR(VLOOKUP($A218,koronahun!$A:$AM,34,FALSE),"")</f>
        <v>4971</v>
      </c>
      <c r="AI218">
        <f>IFERROR(VLOOKUP($A218,koronahun!$A:$AM,35,FALSE),"")</f>
        <v>5142.6000000000004</v>
      </c>
      <c r="AJ218">
        <f>IFERROR(VLOOKUP($A218,koronahun!$A:$AM,36,FALSE),"")</f>
        <v>5494110</v>
      </c>
      <c r="AK218">
        <f>IFERROR(VLOOKUP($A218,koronahun!$A:$AM,37,FALSE),"")</f>
        <v>2723</v>
      </c>
      <c r="AL218">
        <f>IFERROR(VLOOKUP($A218,koronahun!$A:$AM,38,FALSE),"")</f>
        <v>8186.6</v>
      </c>
      <c r="AM218" s="14">
        <f>IFERROR(VLOOKUP($A218,koronahun!$A:$AM,39,FALSE),"")</f>
        <v>1367.4285714285713</v>
      </c>
      <c r="AN218" s="11">
        <f ca="1">IFERROR(__xludf.DUMMYFUNCTION("""COMPUTED_VALUE"""),44110)</f>
        <v>44110</v>
      </c>
      <c r="AO218" s="12">
        <f ca="1">IFERROR(VLOOKUP(AN218,koronahun!A:B,2,FALSE),"")</f>
        <v>32298</v>
      </c>
      <c r="AP218" s="11">
        <f t="shared" ca="1" si="0"/>
        <v>44110</v>
      </c>
      <c r="AQ218" s="11">
        <f ca="1">IFERROR(__xludf.DUMMYFUNCTION("""COMPUTED_VALUE"""),44110)</f>
        <v>44110</v>
      </c>
      <c r="AR218" s="11">
        <v>44419</v>
      </c>
      <c r="AS218" s="11">
        <f t="shared" si="1"/>
        <v>44419</v>
      </c>
      <c r="AT218" s="11">
        <f ca="1">IFERROR(__xludf.DUMMYFUNCTION("""COMPUTED_VALUE"""),44418)</f>
        <v>44418</v>
      </c>
    </row>
    <row r="219" spans="1:46" ht="13">
      <c r="A219" s="11">
        <v>44417</v>
      </c>
      <c r="B219">
        <f>IFERROR(VLOOKUP($A219,koronahun!$A:$AM,2,FALSE),"")</f>
        <v>810011</v>
      </c>
      <c r="C219">
        <f>IFERROR(VLOOKUP($A219,koronahun!$A:$AM,3,FALSE),"")</f>
        <v>156</v>
      </c>
      <c r="D219">
        <f>IFERROR(VLOOKUP($A219,koronahun!$A:$AM,4,FALSE),"")</f>
        <v>30037</v>
      </c>
      <c r="E219">
        <f>IFERROR(VLOOKUP($A219,koronahun!$A:$AM,5,FALSE),"")</f>
        <v>757247</v>
      </c>
      <c r="F219">
        <f>IFERROR(VLOOKUP($A219,koronahun!$A:$AM,6,FALSE),"")</f>
        <v>6395030</v>
      </c>
      <c r="G219" s="12">
        <f>IFERROR(VLOOKUP($A219,koronahun!$A:$AM,7,FALSE),"")</f>
        <v>652554.08163265302</v>
      </c>
      <c r="H219">
        <f>IFERROR(VLOOKUP($A219,koronahun!$A:$AM,8,FALSE),"")</f>
        <v>0</v>
      </c>
      <c r="I219" s="13">
        <f>IFERROR(VLOOKUP($A219,koronahun!$A:$AM,9,FALSE),"")</f>
        <v>1.926270752171685E-4</v>
      </c>
      <c r="J219" s="13">
        <f>IFERROR(VLOOKUP($A219,koronahun!$A:$AM,10,FALSE),"")</f>
        <v>0.12666258015990542</v>
      </c>
      <c r="K219" s="13">
        <f>IFERROR(VLOOKUP($A219,koronahun!$A:$AM,11,FALSE),"")</f>
        <v>3.0368582554800533E-3</v>
      </c>
      <c r="L219">
        <f>IFERROR(VLOOKUP($A219,koronahun!$A:$AM,12,FALSE),"")</f>
        <v>22727</v>
      </c>
      <c r="M219" s="13">
        <f>IFERROR(VLOOKUP($A219,koronahun!$A:$AM,13,FALSE),"")</f>
        <v>3.7082212463781357E-2</v>
      </c>
      <c r="N219" s="13">
        <f>IFERROR(VLOOKUP($A219,koronahun!$A:$AM,14,FALSE),"")</f>
        <v>0.93486014387458938</v>
      </c>
      <c r="O219">
        <f>IFERROR(VLOOKUP($A219,koronahun!$A:$AM,15,FALSE),"")</f>
        <v>1252</v>
      </c>
      <c r="P219">
        <f>IFERROR(VLOOKUP($A219,koronahun!$A:$AM,16,FALSE),"")</f>
        <v>19362</v>
      </c>
      <c r="Q219" s="13">
        <f>IFERROR(VLOOKUP($A219,koronahun!$A:$AM,17,FALSE),"")</f>
        <v>8.0570189030058879E-3</v>
      </c>
      <c r="R219">
        <f>IFERROR(VLOOKUP($A219,koronahun!$A:$AM,18,FALSE),"")</f>
        <v>4</v>
      </c>
      <c r="S219">
        <f>IFERROR(VLOOKUP($A219,koronahun!$A:$AM,19,FALSE),"")</f>
        <v>4538</v>
      </c>
      <c r="T219">
        <f>IFERROR(VLOOKUP($A219,koronahun!$A:$AM,20,FALSE),"")</f>
        <v>75</v>
      </c>
      <c r="U219">
        <f>IFERROR(VLOOKUP($A219,koronahun!$A:$AM,21,FALSE),"")</f>
        <v>11</v>
      </c>
      <c r="V219" s="13">
        <f>IFERROR(VLOOKUP($A219,koronahun!$A:$AM,22,FALSE),"")</f>
        <v>2.8057643661629286E-2</v>
      </c>
      <c r="W219">
        <f>IFERROR(VLOOKUP($A219,koronahun!$A:$AM,23,FALSE),"")</f>
        <v>-1</v>
      </c>
      <c r="X219">
        <f>IFERROR(VLOOKUP($A219,koronahun!$A:$AM,24,FALSE),"")</f>
        <v>-1</v>
      </c>
      <c r="Y219" s="14">
        <f>IFERROR(VLOOKUP($A219,koronahun!$A:$AM,25,FALSE),"")</f>
        <v>3.3000396004752059E-3</v>
      </c>
      <c r="Z219" s="14">
        <f>IFERROR(VLOOKUP($A219,koronahun!$A:$AM,26,FALSE),"")</f>
        <v>0.14666666666666667</v>
      </c>
      <c r="AA219" s="14">
        <f>IFERROR(VLOOKUP($A219,koronahun!$A:$AM,27,FALSE),"")</f>
        <v>0.95052083333333337</v>
      </c>
      <c r="AB219" s="14">
        <f>IFERROR(VLOOKUP($A219,koronahun!$A:$AM,28,FALSE),"")</f>
        <v>0.92919882343672278</v>
      </c>
      <c r="AC219" s="14">
        <f>IFERROR(VLOOKUP($A219,koronahun!$A:$AM,29,FALSE),"")</f>
        <v>52.142857142857146</v>
      </c>
      <c r="AD219" s="14">
        <f>IFERROR(VLOOKUP($A219,koronahun!$A:$AM,30,FALSE),"")</f>
        <v>1.4285714285714286</v>
      </c>
      <c r="AE219" s="14">
        <f>IFERROR(VLOOKUP($A219,koronahun!$A:$AM,31,FALSE),"")</f>
        <v>6697.4285714285716</v>
      </c>
      <c r="AF219" s="13">
        <f>IFERROR(VLOOKUP($A219,koronahun!$A:$AM,32,FALSE),"")</f>
        <v>7.6304144644371626E-3</v>
      </c>
      <c r="AG219">
        <f>IFERROR(VLOOKUP($A219,koronahun!$A:$AM,33,FALSE),"")</f>
        <v>5649125</v>
      </c>
      <c r="AH219">
        <f>IFERROR(VLOOKUP($A219,koronahun!$A:$AM,34,FALSE),"")</f>
        <v>7255</v>
      </c>
      <c r="AI219">
        <f>IFERROR(VLOOKUP($A219,koronahun!$A:$AM,35,FALSE),"")</f>
        <v>4934.8</v>
      </c>
      <c r="AJ219">
        <f>IFERROR(VLOOKUP($A219,koronahun!$A:$AM,36,FALSE),"")</f>
        <v>5491387</v>
      </c>
      <c r="AK219">
        <f>IFERROR(VLOOKUP($A219,koronahun!$A:$AM,37,FALSE),"")</f>
        <v>11169</v>
      </c>
      <c r="AL219">
        <f>IFERROR(VLOOKUP($A219,koronahun!$A:$AM,38,FALSE),"")</f>
        <v>9527.6</v>
      </c>
      <c r="AM219" s="14">
        <f>IFERROR(VLOOKUP($A219,koronahun!$A:$AM,39,FALSE),"")</f>
        <v>1151.7142857142858</v>
      </c>
      <c r="AN219" s="11">
        <f ca="1">IFERROR(__xludf.DUMMYFUNCTION("""COMPUTED_VALUE"""),44111)</f>
        <v>44111</v>
      </c>
      <c r="AO219" s="12">
        <f ca="1">IFERROR(VLOOKUP(AN219,koronahun!A:B,2,FALSE),"")</f>
        <v>33114</v>
      </c>
      <c r="AP219" s="11">
        <f t="shared" ca="1" si="0"/>
        <v>44111</v>
      </c>
      <c r="AQ219" s="11">
        <f ca="1">IFERROR(__xludf.DUMMYFUNCTION("""COMPUTED_VALUE"""),44111)</f>
        <v>44111</v>
      </c>
      <c r="AR219" s="11">
        <v>44418</v>
      </c>
      <c r="AS219" s="11">
        <f t="shared" si="1"/>
        <v>44418</v>
      </c>
      <c r="AT219" s="11">
        <f ca="1">IFERROR(__xludf.DUMMYFUNCTION("""COMPUTED_VALUE"""),44417)</f>
        <v>44417</v>
      </c>
    </row>
    <row r="220" spans="1:46" ht="13">
      <c r="A220" s="11">
        <v>44414</v>
      </c>
      <c r="B220">
        <f>IFERROR(VLOOKUP($A220,koronahun!$A:$AM,2,FALSE),"")</f>
        <v>809855</v>
      </c>
      <c r="C220">
        <f>IFERROR(VLOOKUP($A220,koronahun!$A:$AM,3,FALSE),"")</f>
        <v>52</v>
      </c>
      <c r="D220">
        <f>IFERROR(VLOOKUP($A220,koronahun!$A:$AM,4,FALSE),"")</f>
        <v>30033</v>
      </c>
      <c r="E220">
        <f>IFERROR(VLOOKUP($A220,koronahun!$A:$AM,5,FALSE),"")</f>
        <v>752709</v>
      </c>
      <c r="F220">
        <f>IFERROR(VLOOKUP($A220,koronahun!$A:$AM,6,FALSE),"")</f>
        <v>6375668</v>
      </c>
      <c r="G220" s="12">
        <f>IFERROR(VLOOKUP($A220,koronahun!$A:$AM,7,FALSE),"")</f>
        <v>650578.3673469387</v>
      </c>
      <c r="H220">
        <f>IFERROR(VLOOKUP($A220,koronahun!$A:$AM,8,FALSE),"")</f>
        <v>0</v>
      </c>
      <c r="I220" s="13">
        <f>IFERROR(VLOOKUP($A220,koronahun!$A:$AM,9,FALSE),"")</f>
        <v>6.4213148136028146E-5</v>
      </c>
      <c r="J220" s="13">
        <f>IFERROR(VLOOKUP($A220,koronahun!$A:$AM,10,FALSE),"")</f>
        <v>0.12702276843775429</v>
      </c>
      <c r="K220" s="13">
        <f>IFERROR(VLOOKUP($A220,koronahun!$A:$AM,11,FALSE),"")</f>
        <v>1.2918845589798855E-3</v>
      </c>
      <c r="L220">
        <f>IFERROR(VLOOKUP($A220,koronahun!$A:$AM,12,FALSE),"")</f>
        <v>27113</v>
      </c>
      <c r="M220" s="13">
        <f>IFERROR(VLOOKUP($A220,koronahun!$A:$AM,13,FALSE),"")</f>
        <v>3.7084416346136038E-2</v>
      </c>
      <c r="N220" s="13">
        <f>IFERROR(VLOOKUP($A220,koronahun!$A:$AM,14,FALSE),"")</f>
        <v>0.92943675102333134</v>
      </c>
      <c r="O220">
        <f>IFERROR(VLOOKUP($A220,koronahun!$A:$AM,15,FALSE),"")</f>
        <v>1346</v>
      </c>
      <c r="P220">
        <f>IFERROR(VLOOKUP($A220,koronahun!$A:$AM,16,FALSE),"")</f>
        <v>8226</v>
      </c>
      <c r="Q220" s="13">
        <f>IFERROR(VLOOKUP($A220,koronahun!$A:$AM,17,FALSE),"")</f>
        <v>6.3214198881594939E-3</v>
      </c>
      <c r="R220">
        <f>IFERROR(VLOOKUP($A220,koronahun!$A:$AM,18,FALSE),"")</f>
        <v>1</v>
      </c>
      <c r="S220">
        <f>IFERROR(VLOOKUP($A220,koronahun!$A:$AM,19,FALSE),"")</f>
        <v>1754</v>
      </c>
      <c r="T220">
        <f>IFERROR(VLOOKUP($A220,koronahun!$A:$AM,20,FALSE),"")</f>
        <v>76</v>
      </c>
      <c r="U220">
        <f>IFERROR(VLOOKUP($A220,koronahun!$A:$AM,21,FALSE),"")</f>
        <v>12</v>
      </c>
      <c r="V220" s="13">
        <f>IFERROR(VLOOKUP($A220,koronahun!$A:$AM,22,FALSE),"")</f>
        <v>3.3478832630532626E-2</v>
      </c>
      <c r="W220">
        <f>IFERROR(VLOOKUP($A220,koronahun!$A:$AM,23,FALSE),"")</f>
        <v>-3</v>
      </c>
      <c r="X220">
        <f>IFERROR(VLOOKUP($A220,koronahun!$A:$AM,24,FALSE),"")</f>
        <v>1</v>
      </c>
      <c r="Y220" s="14">
        <f>IFERROR(VLOOKUP($A220,koronahun!$A:$AM,25,FALSE),"")</f>
        <v>2.8030833917309038E-3</v>
      </c>
      <c r="Z220" s="14">
        <f>IFERROR(VLOOKUP($A220,koronahun!$A:$AM,26,FALSE),"")</f>
        <v>0.15789473684210525</v>
      </c>
      <c r="AA220" s="14">
        <f>IFERROR(VLOOKUP($A220,koronahun!$A:$AM,27,FALSE),"")</f>
        <v>0.93333333333333335</v>
      </c>
      <c r="AB220" s="14">
        <f>IFERROR(VLOOKUP($A220,koronahun!$A:$AM,28,FALSE),"")</f>
        <v>0.93205948089065926</v>
      </c>
      <c r="AC220" s="14">
        <f>IFERROR(VLOOKUP($A220,koronahun!$A:$AM,29,FALSE),"")</f>
        <v>52</v>
      </c>
      <c r="AD220" s="14">
        <f>IFERROR(VLOOKUP($A220,koronahun!$A:$AM,30,FALSE),"")</f>
        <v>1</v>
      </c>
      <c r="AE220" s="14">
        <f>IFERROR(VLOOKUP($A220,koronahun!$A:$AM,31,FALSE),"")</f>
        <v>6756.4285714285716</v>
      </c>
      <c r="AF220" s="13">
        <f>IFERROR(VLOOKUP($A220,koronahun!$A:$AM,32,FALSE),"")</f>
        <v>7.5866465877550762E-3</v>
      </c>
      <c r="AG220">
        <f>IFERROR(VLOOKUP($A220,koronahun!$A:$AM,33,FALSE),"")</f>
        <v>5641870</v>
      </c>
      <c r="AH220">
        <f>IFERROR(VLOOKUP($A220,koronahun!$A:$AM,34,FALSE),"")</f>
        <v>4976</v>
      </c>
      <c r="AI220">
        <f>IFERROR(VLOOKUP($A220,koronahun!$A:$AM,35,FALSE),"")</f>
        <v>4922</v>
      </c>
      <c r="AJ220">
        <f>IFERROR(VLOOKUP($A220,koronahun!$A:$AM,36,FALSE),"")</f>
        <v>5480218</v>
      </c>
      <c r="AK220">
        <f>IFERROR(VLOOKUP($A220,koronahun!$A:$AM,37,FALSE),"")</f>
        <v>4747</v>
      </c>
      <c r="AL220">
        <f>IFERROR(VLOOKUP($A220,koronahun!$A:$AM,38,FALSE),"")</f>
        <v>10247.6</v>
      </c>
      <c r="AM220" s="14">
        <f>IFERROR(VLOOKUP($A220,koronahun!$A:$AM,39,FALSE),"")</f>
        <v>650.28571428571433</v>
      </c>
      <c r="AN220" s="11">
        <f ca="1">IFERROR(__xludf.DUMMYFUNCTION("""COMPUTED_VALUE"""),44112)</f>
        <v>44112</v>
      </c>
      <c r="AO220" s="12">
        <f ca="1">IFERROR(VLOOKUP(AN220,koronahun!A:B,2,FALSE),"")</f>
        <v>34046</v>
      </c>
      <c r="AP220" s="11">
        <f t="shared" ca="1" si="0"/>
        <v>44112</v>
      </c>
      <c r="AQ220" s="11">
        <f ca="1">IFERROR(__xludf.DUMMYFUNCTION("""COMPUTED_VALUE"""),44112)</f>
        <v>44112</v>
      </c>
      <c r="AR220" s="11">
        <v>44417</v>
      </c>
      <c r="AS220" s="11">
        <f t="shared" si="1"/>
        <v>44417</v>
      </c>
      <c r="AT220" s="11">
        <f ca="1">IFERROR(__xludf.DUMMYFUNCTION("""COMPUTED_VALUE"""),44414)</f>
        <v>44414</v>
      </c>
    </row>
    <row r="221" spans="1:46" ht="13">
      <c r="A221" s="11">
        <v>44413</v>
      </c>
      <c r="B221">
        <f>IFERROR(VLOOKUP($A221,koronahun!$A:$AM,2,FALSE),"")</f>
        <v>809803</v>
      </c>
      <c r="C221">
        <f>IFERROR(VLOOKUP($A221,koronahun!$A:$AM,3,FALSE),"")</f>
        <v>72</v>
      </c>
      <c r="D221">
        <f>IFERROR(VLOOKUP($A221,koronahun!$A:$AM,4,FALSE),"")</f>
        <v>30032</v>
      </c>
      <c r="E221">
        <f>IFERROR(VLOOKUP($A221,koronahun!$A:$AM,5,FALSE),"")</f>
        <v>750955</v>
      </c>
      <c r="F221">
        <f>IFERROR(VLOOKUP($A221,koronahun!$A:$AM,6,FALSE),"")</f>
        <v>6367442</v>
      </c>
      <c r="G221" s="12">
        <f>IFERROR(VLOOKUP($A221,koronahun!$A:$AM,7,FALSE),"")</f>
        <v>649738.97959183669</v>
      </c>
      <c r="H221">
        <f>IFERROR(VLOOKUP($A221,koronahun!$A:$AM,8,FALSE),"")</f>
        <v>0</v>
      </c>
      <c r="I221" s="13">
        <f>IFERROR(VLOOKUP($A221,koronahun!$A:$AM,9,FALSE),"")</f>
        <v>8.8918418585925448E-5</v>
      </c>
      <c r="J221" s="13">
        <f>IFERROR(VLOOKUP($A221,koronahun!$A:$AM,10,FALSE),"")</f>
        <v>0.12717870064619355</v>
      </c>
      <c r="K221" s="13">
        <f>IFERROR(VLOOKUP($A221,koronahun!$A:$AM,11,FALSE),"")</f>
        <v>1.1222734007682652E-3</v>
      </c>
      <c r="L221">
        <f>IFERROR(VLOOKUP($A221,koronahun!$A:$AM,12,FALSE),"")</f>
        <v>28816</v>
      </c>
      <c r="M221" s="13">
        <f>IFERROR(VLOOKUP($A221,koronahun!$A:$AM,13,FALSE),"")</f>
        <v>3.7085562785023021E-2</v>
      </c>
      <c r="N221" s="13">
        <f>IFERROR(VLOOKUP($A221,koronahun!$A:$AM,14,FALSE),"")</f>
        <v>0.9273304742017503</v>
      </c>
      <c r="O221">
        <f>IFERROR(VLOOKUP($A221,koronahun!$A:$AM,15,FALSE),"")</f>
        <v>1364</v>
      </c>
      <c r="P221">
        <f>IFERROR(VLOOKUP($A221,koronahun!$A:$AM,16,FALSE),"")</f>
        <v>7138</v>
      </c>
      <c r="Q221" s="13">
        <f>IFERROR(VLOOKUP($A221,koronahun!$A:$AM,17,FALSE),"")</f>
        <v>1.0086859064163631E-2</v>
      </c>
      <c r="R221">
        <f>IFERROR(VLOOKUP($A221,koronahun!$A:$AM,18,FALSE),"")</f>
        <v>0</v>
      </c>
      <c r="S221">
        <f>IFERROR(VLOOKUP($A221,koronahun!$A:$AM,19,FALSE),"")</f>
        <v>1182</v>
      </c>
      <c r="T221">
        <f>IFERROR(VLOOKUP($A221,koronahun!$A:$AM,20,FALSE),"")</f>
        <v>79</v>
      </c>
      <c r="U221">
        <f>IFERROR(VLOOKUP($A221,koronahun!$A:$AM,21,FALSE),"")</f>
        <v>11</v>
      </c>
      <c r="V221" s="13">
        <f>IFERROR(VLOOKUP($A221,koronahun!$A:$AM,22,FALSE),"")</f>
        <v>3.5583963013226673E-2</v>
      </c>
      <c r="W221">
        <f>IFERROR(VLOOKUP($A221,koronahun!$A:$AM,23,FALSE),"")</f>
        <v>-3</v>
      </c>
      <c r="X221">
        <f>IFERROR(VLOOKUP($A221,koronahun!$A:$AM,24,FALSE),"")</f>
        <v>3</v>
      </c>
      <c r="Y221" s="14">
        <f>IFERROR(VLOOKUP($A221,koronahun!$A:$AM,25,FALSE),"")</f>
        <v>2.7415324819544699E-3</v>
      </c>
      <c r="Z221" s="14">
        <f>IFERROR(VLOOKUP($A221,koronahun!$A:$AM,26,FALSE),"")</f>
        <v>0.13924050632911392</v>
      </c>
      <c r="AA221" s="14">
        <f>IFERROR(VLOOKUP($A221,koronahun!$A:$AM,27,FALSE),"")</f>
        <v>0.91484184914841848</v>
      </c>
      <c r="AB221" s="14">
        <f>IFERROR(VLOOKUP($A221,koronahun!$A:$AM,28,FALSE),"")</f>
        <v>0.95283962273463074</v>
      </c>
      <c r="AC221" s="14">
        <f>IFERROR(VLOOKUP($A221,koronahun!$A:$AM,29,FALSE),"")</f>
        <v>53.714285714285715</v>
      </c>
      <c r="AD221" s="14">
        <f>IFERROR(VLOOKUP($A221,koronahun!$A:$AM,30,FALSE),"")</f>
        <v>1</v>
      </c>
      <c r="AE221" s="14">
        <f>IFERROR(VLOOKUP($A221,koronahun!$A:$AM,31,FALSE),"")</f>
        <v>6235.5714285714284</v>
      </c>
      <c r="AF221" s="13">
        <f>IFERROR(VLOOKUP($A221,koronahun!$A:$AM,32,FALSE),"")</f>
        <v>9.1171224354506877E-3</v>
      </c>
      <c r="AG221">
        <f>IFERROR(VLOOKUP($A221,koronahun!$A:$AM,33,FALSE),"")</f>
        <v>5636894</v>
      </c>
      <c r="AH221">
        <f>IFERROR(VLOOKUP($A221,koronahun!$A:$AM,34,FALSE),"")</f>
        <v>4466</v>
      </c>
      <c r="AI221">
        <f>IFERROR(VLOOKUP($A221,koronahun!$A:$AM,35,FALSE),"")</f>
        <v>5126.8</v>
      </c>
      <c r="AJ221">
        <f>IFERROR(VLOOKUP($A221,koronahun!$A:$AM,36,FALSE),"")</f>
        <v>5475471</v>
      </c>
      <c r="AK221">
        <f>IFERROR(VLOOKUP($A221,koronahun!$A:$AM,37,FALSE),"")</f>
        <v>12484</v>
      </c>
      <c r="AL221">
        <f>IFERROR(VLOOKUP($A221,koronahun!$A:$AM,38,FALSE),"")</f>
        <v>11454.6</v>
      </c>
      <c r="AM221" s="14">
        <f>IFERROR(VLOOKUP($A221,koronahun!$A:$AM,39,FALSE),"")</f>
        <v>491.85714285714283</v>
      </c>
      <c r="AN221" s="11">
        <f ca="1">IFERROR(__xludf.DUMMYFUNCTION("""COMPUTED_VALUE"""),44113)</f>
        <v>44113</v>
      </c>
      <c r="AO221" s="12">
        <f ca="1">IFERROR(VLOOKUP(AN221,koronahun!A:B,2,FALSE),"")</f>
        <v>35222</v>
      </c>
      <c r="AP221" s="11">
        <f t="shared" ca="1" si="0"/>
        <v>44113</v>
      </c>
      <c r="AQ221" s="11">
        <f ca="1">IFERROR(__xludf.DUMMYFUNCTION("""COMPUTED_VALUE"""),44113)</f>
        <v>44113</v>
      </c>
      <c r="AR221" s="11">
        <v>44414</v>
      </c>
      <c r="AS221" s="11">
        <f t="shared" si="1"/>
        <v>44414</v>
      </c>
      <c r="AT221" s="11">
        <f ca="1">IFERROR(__xludf.DUMMYFUNCTION("""COMPUTED_VALUE"""),44413)</f>
        <v>44413</v>
      </c>
    </row>
    <row r="222" spans="1:46" ht="13">
      <c r="A222" s="11">
        <v>44412</v>
      </c>
      <c r="B222">
        <f>IFERROR(VLOOKUP($A222,koronahun!$A:$AM,2,FALSE),"")</f>
        <v>809731</v>
      </c>
      <c r="C222">
        <f>IFERROR(VLOOKUP($A222,koronahun!$A:$AM,3,FALSE),"")</f>
        <v>59</v>
      </c>
      <c r="D222">
        <f>IFERROR(VLOOKUP($A222,koronahun!$A:$AM,4,FALSE),"")</f>
        <v>30032</v>
      </c>
      <c r="E222">
        <f>IFERROR(VLOOKUP($A222,koronahun!$A:$AM,5,FALSE),"")</f>
        <v>749773</v>
      </c>
      <c r="F222">
        <f>IFERROR(VLOOKUP($A222,koronahun!$A:$AM,6,FALSE),"")</f>
        <v>6360304</v>
      </c>
      <c r="G222" s="12">
        <f>IFERROR(VLOOKUP($A222,koronahun!$A:$AM,7,FALSE),"")</f>
        <v>649010.61224489787</v>
      </c>
      <c r="H222">
        <f>IFERROR(VLOOKUP($A222,koronahun!$A:$AM,8,FALSE),"")</f>
        <v>0</v>
      </c>
      <c r="I222" s="13">
        <f>IFERROR(VLOOKUP($A222,koronahun!$A:$AM,9,FALSE),"")</f>
        <v>7.2869013625270477E-5</v>
      </c>
      <c r="J222" s="13">
        <f>IFERROR(VLOOKUP($A222,koronahun!$A:$AM,10,FALSE),"")</f>
        <v>0.12731010970544804</v>
      </c>
      <c r="K222" s="13">
        <f>IFERROR(VLOOKUP($A222,koronahun!$A:$AM,11,FALSE),"")</f>
        <v>1.2734140768220219E-3</v>
      </c>
      <c r="L222">
        <f>IFERROR(VLOOKUP($A222,koronahun!$A:$AM,12,FALSE),"")</f>
        <v>29926</v>
      </c>
      <c r="M222" s="13">
        <f>IFERROR(VLOOKUP($A222,koronahun!$A:$AM,13,FALSE),"")</f>
        <v>3.708886037461824E-2</v>
      </c>
      <c r="N222" s="13">
        <f>IFERROR(VLOOKUP($A222,koronahun!$A:$AM,14,FALSE),"")</f>
        <v>0.92595318692257056</v>
      </c>
      <c r="O222">
        <f>IFERROR(VLOOKUP($A222,koronahun!$A:$AM,15,FALSE),"")</f>
        <v>1412</v>
      </c>
      <c r="P222">
        <f>IFERROR(VLOOKUP($A222,koronahun!$A:$AM,16,FALSE),"")</f>
        <v>8089</v>
      </c>
      <c r="Q222" s="13">
        <f>IFERROR(VLOOKUP($A222,koronahun!$A:$AM,17,FALSE),"")</f>
        <v>7.2938558536283843E-3</v>
      </c>
      <c r="R222">
        <f>IFERROR(VLOOKUP($A222,koronahun!$A:$AM,18,FALSE),"")</f>
        <v>3</v>
      </c>
      <c r="S222">
        <f>IFERROR(VLOOKUP($A222,koronahun!$A:$AM,19,FALSE),"")</f>
        <v>312</v>
      </c>
      <c r="T222">
        <f>IFERROR(VLOOKUP($A222,koronahun!$A:$AM,20,FALSE),"")</f>
        <v>82</v>
      </c>
      <c r="U222">
        <f>IFERROR(VLOOKUP($A222,koronahun!$A:$AM,21,FALSE),"")</f>
        <v>8</v>
      </c>
      <c r="V222" s="13">
        <f>IFERROR(VLOOKUP($A222,koronahun!$A:$AM,22,FALSE),"")</f>
        <v>3.695795270281118E-2</v>
      </c>
      <c r="W222">
        <f>IFERROR(VLOOKUP($A222,koronahun!$A:$AM,23,FALSE),"")</f>
        <v>5</v>
      </c>
      <c r="X222">
        <f>IFERROR(VLOOKUP($A222,koronahun!$A:$AM,24,FALSE),"")</f>
        <v>-2</v>
      </c>
      <c r="Y222" s="14">
        <f>IFERROR(VLOOKUP($A222,koronahun!$A:$AM,25,FALSE),"")</f>
        <v>2.7400922274944863E-3</v>
      </c>
      <c r="Z222" s="14">
        <f>IFERROR(VLOOKUP($A222,koronahun!$A:$AM,26,FALSE),"")</f>
        <v>9.7560975609756101E-2</v>
      </c>
      <c r="AA222" s="14">
        <f>IFERROR(VLOOKUP($A222,koronahun!$A:$AM,27,FALSE),"")</f>
        <v>0.8848920863309353</v>
      </c>
      <c r="AB222" s="14">
        <f>IFERROR(VLOOKUP($A222,koronahun!$A:$AM,28,FALSE),"")</f>
        <v>1.0014205486795951</v>
      </c>
      <c r="AC222" s="14">
        <f>IFERROR(VLOOKUP($A222,koronahun!$A:$AM,29,FALSE),"")</f>
        <v>52.714285714285715</v>
      </c>
      <c r="AD222" s="14">
        <f>IFERROR(VLOOKUP($A222,koronahun!$A:$AM,30,FALSE),"")</f>
        <v>1</v>
      </c>
      <c r="AE222" s="14">
        <f>IFERROR(VLOOKUP($A222,koronahun!$A:$AM,31,FALSE),"")</f>
        <v>6239.2857142857147</v>
      </c>
      <c r="AF222" s="13">
        <f>IFERROR(VLOOKUP($A222,koronahun!$A:$AM,32,FALSE),"")</f>
        <v>8.9143793216687715E-3</v>
      </c>
      <c r="AG222">
        <f>IFERROR(VLOOKUP($A222,koronahun!$A:$AM,33,FALSE),"")</f>
        <v>5632428</v>
      </c>
      <c r="AH222">
        <f>IFERROR(VLOOKUP($A222,koronahun!$A:$AM,34,FALSE),"")</f>
        <v>4045</v>
      </c>
      <c r="AI222">
        <f>IFERROR(VLOOKUP($A222,koronahun!$A:$AM,35,FALSE),"")</f>
        <v>5343</v>
      </c>
      <c r="AJ222">
        <f>IFERROR(VLOOKUP($A222,koronahun!$A:$AM,36,FALSE),"")</f>
        <v>5462987</v>
      </c>
      <c r="AK222">
        <f>IFERROR(VLOOKUP($A222,koronahun!$A:$AM,37,FALSE),"")</f>
        <v>9810</v>
      </c>
      <c r="AL222">
        <f>IFERROR(VLOOKUP($A222,koronahun!$A:$AM,38,FALSE),"")</f>
        <v>11441.2</v>
      </c>
      <c r="AM222" s="14">
        <f>IFERROR(VLOOKUP($A222,koronahun!$A:$AM,39,FALSE),"")</f>
        <v>398.85714285714283</v>
      </c>
      <c r="AN222" s="11">
        <f ca="1">IFERROR(__xludf.DUMMYFUNCTION("""COMPUTED_VALUE"""),44114)</f>
        <v>44114</v>
      </c>
      <c r="AO222" s="12">
        <f ca="1">IFERROR(VLOOKUP(AN222,koronahun!A:B,2,FALSE),"")</f>
        <v>36596</v>
      </c>
      <c r="AP222" s="11">
        <f t="shared" ca="1" si="0"/>
        <v>44114</v>
      </c>
      <c r="AQ222" s="11">
        <f ca="1">IFERROR(__xludf.DUMMYFUNCTION("""COMPUTED_VALUE"""),44114)</f>
        <v>44114</v>
      </c>
      <c r="AR222" s="11">
        <v>44413</v>
      </c>
      <c r="AS222" s="11">
        <f t="shared" si="1"/>
        <v>44413</v>
      </c>
      <c r="AT222" s="11">
        <f ca="1">IFERROR(__xludf.DUMMYFUNCTION("""COMPUTED_VALUE"""),44412)</f>
        <v>44412</v>
      </c>
    </row>
    <row r="223" spans="1:46" ht="13">
      <c r="A223" s="11">
        <v>44411</v>
      </c>
      <c r="B223">
        <f>IFERROR(VLOOKUP($A223,koronahun!$A:$AM,2,FALSE),"")</f>
        <v>809672</v>
      </c>
      <c r="C223">
        <f>IFERROR(VLOOKUP($A223,koronahun!$A:$AM,3,FALSE),"")</f>
        <v>26</v>
      </c>
      <c r="D223">
        <f>IFERROR(VLOOKUP($A223,koronahun!$A:$AM,4,FALSE),"")</f>
        <v>30029</v>
      </c>
      <c r="E223">
        <f>IFERROR(VLOOKUP($A223,koronahun!$A:$AM,5,FALSE),"")</f>
        <v>749461</v>
      </c>
      <c r="F223">
        <f>IFERROR(VLOOKUP($A223,koronahun!$A:$AM,6,FALSE),"")</f>
        <v>6352215</v>
      </c>
      <c r="G223" s="12">
        <f>IFERROR(VLOOKUP($A223,koronahun!$A:$AM,7,FALSE),"")</f>
        <v>648185.20408163266</v>
      </c>
      <c r="H223">
        <f>IFERROR(VLOOKUP($A223,koronahun!$A:$AM,8,FALSE),"")</f>
        <v>0</v>
      </c>
      <c r="I223" s="13">
        <f>IFERROR(VLOOKUP($A223,koronahun!$A:$AM,9,FALSE),"")</f>
        <v>3.2112799915024593E-5</v>
      </c>
      <c r="J223" s="13">
        <f>IFERROR(VLOOKUP($A223,koronahun!$A:$AM,10,FALSE),"")</f>
        <v>0.12746294009255038</v>
      </c>
      <c r="K223" s="13">
        <f>IFERROR(VLOOKUP($A223,koronahun!$A:$AM,11,FALSE),"")</f>
        <v>6.4065929149729973E-4</v>
      </c>
      <c r="L223">
        <f>IFERROR(VLOOKUP($A223,koronahun!$A:$AM,12,FALSE),"")</f>
        <v>30182</v>
      </c>
      <c r="M223" s="13">
        <f>IFERROR(VLOOKUP($A223,koronahun!$A:$AM,13,FALSE),"")</f>
        <v>3.7087857799207577E-2</v>
      </c>
      <c r="N223" s="13">
        <f>IFERROR(VLOOKUP($A223,koronahun!$A:$AM,14,FALSE),"")</f>
        <v>0.92563531899337015</v>
      </c>
      <c r="O223">
        <f>IFERROR(VLOOKUP($A223,koronahun!$A:$AM,15,FALSE),"")</f>
        <v>1349</v>
      </c>
      <c r="P223">
        <f>IFERROR(VLOOKUP($A223,koronahun!$A:$AM,16,FALSE),"")</f>
        <v>4067</v>
      </c>
      <c r="Q223" s="13">
        <f>IFERROR(VLOOKUP($A223,koronahun!$A:$AM,17,FALSE),"")</f>
        <v>6.3929186132284238E-3</v>
      </c>
      <c r="R223">
        <f>IFERROR(VLOOKUP($A223,koronahun!$A:$AM,18,FALSE),"")</f>
        <v>2</v>
      </c>
      <c r="S223">
        <f>IFERROR(VLOOKUP($A223,koronahun!$A:$AM,19,FALSE),"")</f>
        <v>276</v>
      </c>
      <c r="T223">
        <f>IFERROR(VLOOKUP($A223,koronahun!$A:$AM,20,FALSE),"")</f>
        <v>77</v>
      </c>
      <c r="U223">
        <f>IFERROR(VLOOKUP($A223,koronahun!$A:$AM,21,FALSE),"")</f>
        <v>10</v>
      </c>
      <c r="V223" s="13">
        <f>IFERROR(VLOOKUP($A223,koronahun!$A:$AM,22,FALSE),"")</f>
        <v>3.7276823207422267E-2</v>
      </c>
      <c r="W223">
        <f>IFERROR(VLOOKUP($A223,koronahun!$A:$AM,23,FALSE),"")</f>
        <v>1</v>
      </c>
      <c r="X223">
        <f>IFERROR(VLOOKUP($A223,koronahun!$A:$AM,24,FALSE),"")</f>
        <v>-1</v>
      </c>
      <c r="Y223" s="14">
        <f>IFERROR(VLOOKUP($A223,koronahun!$A:$AM,25,FALSE),"")</f>
        <v>2.55118945066596E-3</v>
      </c>
      <c r="Z223" s="14">
        <f>IFERROR(VLOOKUP($A223,koronahun!$A:$AM,26,FALSE),"")</f>
        <v>0.12987012987012986</v>
      </c>
      <c r="AA223" s="14">
        <f>IFERROR(VLOOKUP($A223,koronahun!$A:$AM,27,FALSE),"")</f>
        <v>0.96240601503759393</v>
      </c>
      <c r="AB223" s="14">
        <f>IFERROR(VLOOKUP($A223,koronahun!$A:$AM,28,FALSE),"")</f>
        <v>1.0748925818638584</v>
      </c>
      <c r="AC223" s="14">
        <f>IFERROR(VLOOKUP($A223,koronahun!$A:$AM,29,FALSE),"")</f>
        <v>54.857142857142854</v>
      </c>
      <c r="AD223" s="14">
        <f>IFERROR(VLOOKUP($A223,koronahun!$A:$AM,30,FALSE),"")</f>
        <v>1.1428571428571428</v>
      </c>
      <c r="AE223" s="14">
        <f>IFERROR(VLOOKUP($A223,koronahun!$A:$AM,31,FALSE),"")</f>
        <v>6274.8571428571431</v>
      </c>
      <c r="AF223" s="13">
        <f>IFERROR(VLOOKUP($A223,koronahun!$A:$AM,32,FALSE),"")</f>
        <v>9.2306141475849753E-3</v>
      </c>
      <c r="AG223">
        <f>IFERROR(VLOOKUP($A223,koronahun!$A:$AM,33,FALSE),"")</f>
        <v>5628383</v>
      </c>
      <c r="AH223">
        <f>IFERROR(VLOOKUP($A223,koronahun!$A:$AM,34,FALSE),"")</f>
        <v>3932</v>
      </c>
      <c r="AI223">
        <f>IFERROR(VLOOKUP($A223,koronahun!$A:$AM,35,FALSE),"")</f>
        <v>5484.8</v>
      </c>
      <c r="AJ223">
        <f>IFERROR(VLOOKUP($A223,koronahun!$A:$AM,36,FALSE),"")</f>
        <v>5453177</v>
      </c>
      <c r="AK223">
        <f>IFERROR(VLOOKUP($A223,koronahun!$A:$AM,37,FALSE),"")</f>
        <v>9428</v>
      </c>
      <c r="AL223">
        <f>IFERROR(VLOOKUP($A223,koronahun!$A:$AM,38,FALSE),"")</f>
        <v>12516.8</v>
      </c>
      <c r="AM223" s="14">
        <f>IFERROR(VLOOKUP($A223,koronahun!$A:$AM,39,FALSE),"")</f>
        <v>463.14285714285717</v>
      </c>
      <c r="AN223" s="11">
        <f ca="1">IFERROR(__xludf.DUMMYFUNCTION("""COMPUTED_VALUE"""),44115)</f>
        <v>44115</v>
      </c>
      <c r="AO223" s="12">
        <f ca="1">IFERROR(VLOOKUP(AN223,koronahun!A:B,2,FALSE),"")</f>
        <v>37664</v>
      </c>
      <c r="AP223" s="11">
        <f t="shared" ca="1" si="0"/>
        <v>44115</v>
      </c>
      <c r="AQ223" s="11">
        <f ca="1">IFERROR(__xludf.DUMMYFUNCTION("""COMPUTED_VALUE"""),44115)</f>
        <v>44115</v>
      </c>
      <c r="AR223" s="11">
        <v>44412</v>
      </c>
      <c r="AS223" s="11">
        <f t="shared" si="1"/>
        <v>44412</v>
      </c>
      <c r="AT223" s="11">
        <f ca="1">IFERROR(__xludf.DUMMYFUNCTION("""COMPUTED_VALUE"""),44411)</f>
        <v>44411</v>
      </c>
    </row>
    <row r="224" spans="1:46" ht="13">
      <c r="A224" s="11">
        <v>44410</v>
      </c>
      <c r="B224">
        <f>IFERROR(VLOOKUP($A224,koronahun!$A:$AM,2,FALSE),"")</f>
        <v>809646</v>
      </c>
      <c r="C224">
        <f>IFERROR(VLOOKUP($A224,koronahun!$A:$AM,3,FALSE),"")</f>
        <v>155</v>
      </c>
      <c r="D224">
        <f>IFERROR(VLOOKUP($A224,koronahun!$A:$AM,4,FALSE),"")</f>
        <v>30027</v>
      </c>
      <c r="E224">
        <f>IFERROR(VLOOKUP($A224,koronahun!$A:$AM,5,FALSE),"")</f>
        <v>749185</v>
      </c>
      <c r="F224">
        <f>IFERROR(VLOOKUP($A224,koronahun!$A:$AM,6,FALSE),"")</f>
        <v>6348148</v>
      </c>
      <c r="G224" s="12">
        <f>IFERROR(VLOOKUP($A224,koronahun!$A:$AM,7,FALSE),"")</f>
        <v>647770.20408163266</v>
      </c>
      <c r="H224">
        <f>IFERROR(VLOOKUP($A224,koronahun!$A:$AM,8,FALSE),"")</f>
        <v>0</v>
      </c>
      <c r="I224" s="13">
        <f>IFERROR(VLOOKUP($A224,koronahun!$A:$AM,9,FALSE),"")</f>
        <v>1.9147834874013424E-4</v>
      </c>
      <c r="J224" s="13">
        <f>IFERROR(VLOOKUP($A224,koronahun!$A:$AM,10,FALSE),"")</f>
        <v>0.1275405047267329</v>
      </c>
      <c r="K224" s="13">
        <f>IFERROR(VLOOKUP($A224,koronahun!$A:$AM,11,FALSE),"")</f>
        <v>3.1248158096875769E-3</v>
      </c>
      <c r="L224">
        <f>IFERROR(VLOOKUP($A224,koronahun!$A:$AM,12,FALSE),"")</f>
        <v>30434</v>
      </c>
      <c r="M224" s="13">
        <f>IFERROR(VLOOKUP($A224,koronahun!$A:$AM,13,FALSE),"")</f>
        <v>3.7086578578786285E-2</v>
      </c>
      <c r="N224" s="13">
        <f>IFERROR(VLOOKUP($A224,koronahun!$A:$AM,14,FALSE),"")</f>
        <v>0.9253241540129884</v>
      </c>
      <c r="O224">
        <f>IFERROR(VLOOKUP($A224,koronahun!$A:$AM,15,FALSE),"")</f>
        <v>1365</v>
      </c>
      <c r="P224">
        <f>IFERROR(VLOOKUP($A224,koronahun!$A:$AM,16,FALSE),"")</f>
        <v>19775</v>
      </c>
      <c r="Q224" s="13">
        <f>IFERROR(VLOOKUP($A224,koronahun!$A:$AM,17,FALSE),"")</f>
        <v>7.8381795195954489E-3</v>
      </c>
      <c r="R224">
        <f>IFERROR(VLOOKUP($A224,koronahun!$A:$AM,18,FALSE),"")</f>
        <v>1</v>
      </c>
      <c r="S224">
        <f>IFERROR(VLOOKUP($A224,koronahun!$A:$AM,19,FALSE),"")</f>
        <v>1028</v>
      </c>
      <c r="T224">
        <f>IFERROR(VLOOKUP($A224,koronahun!$A:$AM,20,FALSE),"")</f>
        <v>76</v>
      </c>
      <c r="U224">
        <f>IFERROR(VLOOKUP($A224,koronahun!$A:$AM,21,FALSE),"")</f>
        <v>11</v>
      </c>
      <c r="V224" s="13">
        <f>IFERROR(VLOOKUP($A224,koronahun!$A:$AM,22,FALSE),"")</f>
        <v>3.7589267408225324E-2</v>
      </c>
      <c r="W224">
        <f>IFERROR(VLOOKUP($A224,koronahun!$A:$AM,23,FALSE),"")</f>
        <v>-2</v>
      </c>
      <c r="X224">
        <f>IFERROR(VLOOKUP($A224,koronahun!$A:$AM,24,FALSE),"")</f>
        <v>0</v>
      </c>
      <c r="Y224" s="14">
        <f>IFERROR(VLOOKUP($A224,koronahun!$A:$AM,25,FALSE),"")</f>
        <v>2.4972070710389694E-3</v>
      </c>
      <c r="Z224" s="14">
        <f>IFERROR(VLOOKUP($A224,koronahun!$A:$AM,26,FALSE),"")</f>
        <v>0.14473684210526316</v>
      </c>
      <c r="AA224" s="14">
        <f>IFERROR(VLOOKUP($A224,koronahun!$A:$AM,27,FALSE),"")</f>
        <v>0.96482412060301503</v>
      </c>
      <c r="AB224" s="14">
        <f>IFERROR(VLOOKUP($A224,koronahun!$A:$AM,28,FALSE),"")</f>
        <v>1.1220510184959791</v>
      </c>
      <c r="AC224" s="14">
        <f>IFERROR(VLOOKUP($A224,koronahun!$A:$AM,29,FALSE),"")</f>
        <v>54.857142857142854</v>
      </c>
      <c r="AD224" s="14">
        <f>IFERROR(VLOOKUP($A224,koronahun!$A:$AM,30,FALSE),"")</f>
        <v>1</v>
      </c>
      <c r="AE224" s="14">
        <f>IFERROR(VLOOKUP($A224,koronahun!$A:$AM,31,FALSE),"")</f>
        <v>6315.4285714285716</v>
      </c>
      <c r="AF224" s="13">
        <f>IFERROR(VLOOKUP($A224,koronahun!$A:$AM,32,FALSE),"")</f>
        <v>9.1471579818227667E-3</v>
      </c>
      <c r="AG224">
        <f>IFERROR(VLOOKUP($A224,koronahun!$A:$AM,33,FALSE),"")</f>
        <v>5624451</v>
      </c>
      <c r="AH224">
        <f>IFERROR(VLOOKUP($A224,koronahun!$A:$AM,34,FALSE),"")</f>
        <v>7191</v>
      </c>
      <c r="AI224">
        <f>IFERROR(VLOOKUP($A224,koronahun!$A:$AM,35,FALSE),"")</f>
        <v>5581.6</v>
      </c>
      <c r="AJ224">
        <f>IFERROR(VLOOKUP($A224,koronahun!$A:$AM,36,FALSE),"")</f>
        <v>5443749</v>
      </c>
      <c r="AK224">
        <f>IFERROR(VLOOKUP($A224,koronahun!$A:$AM,37,FALSE),"")</f>
        <v>14769</v>
      </c>
      <c r="AL224">
        <f>IFERROR(VLOOKUP($A224,koronahun!$A:$AM,38,FALSE),"")</f>
        <v>13777</v>
      </c>
      <c r="AM224" s="14">
        <f>IFERROR(VLOOKUP($A224,koronahun!$A:$AM,39,FALSE),"")</f>
        <v>476.71428571428572</v>
      </c>
      <c r="AN224" s="11">
        <f ca="1">IFERROR(__xludf.DUMMYFUNCTION("""COMPUTED_VALUE"""),44116)</f>
        <v>44116</v>
      </c>
      <c r="AO224" s="12">
        <f ca="1">IFERROR(VLOOKUP(AN224,koronahun!A:B,2,FALSE),"")</f>
        <v>38837</v>
      </c>
      <c r="AP224" s="11">
        <f t="shared" ca="1" si="0"/>
        <v>44116</v>
      </c>
      <c r="AQ224" s="11">
        <f ca="1">IFERROR(__xludf.DUMMYFUNCTION("""COMPUTED_VALUE"""),44116)</f>
        <v>44116</v>
      </c>
      <c r="AR224" s="11">
        <v>44411</v>
      </c>
      <c r="AS224" s="11">
        <f t="shared" si="1"/>
        <v>44411</v>
      </c>
      <c r="AT224" s="11">
        <f ca="1">IFERROR(__xludf.DUMMYFUNCTION("""COMPUTED_VALUE"""),44410)</f>
        <v>44410</v>
      </c>
    </row>
    <row r="225" spans="1:46" ht="13">
      <c r="A225" s="11">
        <v>44407</v>
      </c>
      <c r="B225">
        <f>IFERROR(VLOOKUP($A225,koronahun!$A:$AM,2,FALSE),"")</f>
        <v>809491</v>
      </c>
      <c r="C225">
        <f>IFERROR(VLOOKUP($A225,koronahun!$A:$AM,3,FALSE),"")</f>
        <v>64</v>
      </c>
      <c r="D225">
        <f>IFERROR(VLOOKUP($A225,koronahun!$A:$AM,4,FALSE),"")</f>
        <v>30026</v>
      </c>
      <c r="E225">
        <f>IFERROR(VLOOKUP($A225,koronahun!$A:$AM,5,FALSE),"")</f>
        <v>748157</v>
      </c>
      <c r="F225">
        <f>IFERROR(VLOOKUP($A225,koronahun!$A:$AM,6,FALSE),"")</f>
        <v>6328373</v>
      </c>
      <c r="G225" s="12">
        <f>IFERROR(VLOOKUP($A225,koronahun!$A:$AM,7,FALSE),"")</f>
        <v>645752.3469387755</v>
      </c>
      <c r="H225">
        <f>IFERROR(VLOOKUP($A225,koronahun!$A:$AM,8,FALSE),"")</f>
        <v>0</v>
      </c>
      <c r="I225" s="13">
        <f>IFERROR(VLOOKUP($A225,koronahun!$A:$AM,9,FALSE),"")</f>
        <v>7.9068279165384896E-5</v>
      </c>
      <c r="J225" s="13">
        <f>IFERROR(VLOOKUP($A225,koronahun!$A:$AM,10,FALSE),"")</f>
        <v>0.12791455244499653</v>
      </c>
      <c r="K225" s="13">
        <f>IFERROR(VLOOKUP($A225,koronahun!$A:$AM,11,FALSE),"")</f>
        <v>7.242488803792281E-4</v>
      </c>
      <c r="L225">
        <f>IFERROR(VLOOKUP($A225,koronahun!$A:$AM,12,FALSE),"")</f>
        <v>31308</v>
      </c>
      <c r="M225" s="13">
        <f>IFERROR(VLOOKUP($A225,koronahun!$A:$AM,13,FALSE),"")</f>
        <v>3.7092444511427548E-2</v>
      </c>
      <c r="N225" s="13">
        <f>IFERROR(VLOOKUP($A225,koronahun!$A:$AM,14,FALSE),"")</f>
        <v>0.9242313997314362</v>
      </c>
      <c r="O225">
        <f>IFERROR(VLOOKUP($A225,koronahun!$A:$AM,15,FALSE),"")</f>
        <v>1335</v>
      </c>
      <c r="P225">
        <f>IFERROR(VLOOKUP($A225,koronahun!$A:$AM,16,FALSE),"")</f>
        <v>4580</v>
      </c>
      <c r="Q225" s="13">
        <f>IFERROR(VLOOKUP($A225,koronahun!$A:$AM,17,FALSE),"")</f>
        <v>1.3973799126637555E-2</v>
      </c>
      <c r="R225">
        <f>IFERROR(VLOOKUP($A225,koronahun!$A:$AM,18,FALSE),"")</f>
        <v>1</v>
      </c>
      <c r="S225">
        <f>IFERROR(VLOOKUP($A225,koronahun!$A:$AM,19,FALSE),"")</f>
        <v>645</v>
      </c>
      <c r="T225">
        <f>IFERROR(VLOOKUP($A225,koronahun!$A:$AM,20,FALSE),"")</f>
        <v>78</v>
      </c>
      <c r="U225">
        <f>IFERROR(VLOOKUP($A225,koronahun!$A:$AM,21,FALSE),"")</f>
        <v>11</v>
      </c>
      <c r="V225" s="13">
        <f>IFERROR(VLOOKUP($A225,koronahun!$A:$AM,22,FALSE),"")</f>
        <v>3.8676155757136274E-2</v>
      </c>
      <c r="W225">
        <f>IFERROR(VLOOKUP($A225,koronahun!$A:$AM,23,FALSE),"")</f>
        <v>-1</v>
      </c>
      <c r="X225">
        <f>IFERROR(VLOOKUP($A225,koronahun!$A:$AM,24,FALSE),"")</f>
        <v>-2</v>
      </c>
      <c r="Y225" s="14">
        <f>IFERROR(VLOOKUP($A225,koronahun!$A:$AM,25,FALSE),"")</f>
        <v>2.4913760061326179E-3</v>
      </c>
      <c r="Z225" s="14">
        <f>IFERROR(VLOOKUP($A225,koronahun!$A:$AM,26,FALSE),"")</f>
        <v>0.14102564102564102</v>
      </c>
      <c r="AA225" s="14">
        <f>IFERROR(VLOOKUP($A225,koronahun!$A:$AM,27,FALSE),"")</f>
        <v>1.0372340425531914</v>
      </c>
      <c r="AB225" s="14">
        <f>IFERROR(VLOOKUP($A225,koronahun!$A:$AM,28,FALSE),"")</f>
        <v>1.1740092712984531</v>
      </c>
      <c r="AC225" s="14">
        <f>IFERROR(VLOOKUP($A225,koronahun!$A:$AM,29,FALSE),"")</f>
        <v>55.714285714285715</v>
      </c>
      <c r="AD225" s="14">
        <f>IFERROR(VLOOKUP($A225,koronahun!$A:$AM,30,FALSE),"")</f>
        <v>0.8571428571428571</v>
      </c>
      <c r="AE225" s="14">
        <f>IFERROR(VLOOKUP($A225,koronahun!$A:$AM,31,FALSE),"")</f>
        <v>6223.1428571428569</v>
      </c>
      <c r="AF225" s="13">
        <f>IFERROR(VLOOKUP($A225,koronahun!$A:$AM,32,FALSE),"")</f>
        <v>9.2628301441904665E-3</v>
      </c>
      <c r="AG225">
        <f>IFERROR(VLOOKUP($A225,koronahun!$A:$AM,33,FALSE),"")</f>
        <v>5617260</v>
      </c>
      <c r="AH225">
        <f>IFERROR(VLOOKUP($A225,koronahun!$A:$AM,34,FALSE),"")</f>
        <v>6000</v>
      </c>
      <c r="AI225">
        <f>IFERROR(VLOOKUP($A225,koronahun!$A:$AM,35,FALSE),"")</f>
        <v>5797.6</v>
      </c>
      <c r="AJ225">
        <f>IFERROR(VLOOKUP($A225,koronahun!$A:$AM,36,FALSE),"")</f>
        <v>5428980</v>
      </c>
      <c r="AK225">
        <f>IFERROR(VLOOKUP($A225,koronahun!$A:$AM,37,FALSE),"")</f>
        <v>10782</v>
      </c>
      <c r="AL225">
        <f>IFERROR(VLOOKUP($A225,koronahun!$A:$AM,38,FALSE),"")</f>
        <v>14293.8</v>
      </c>
      <c r="AM225" s="14">
        <f>IFERROR(VLOOKUP($A225,koronahun!$A:$AM,39,FALSE),"")</f>
        <v>411.42857142857144</v>
      </c>
      <c r="AN225" s="11">
        <f ca="1">IFERROR(__xludf.DUMMYFUNCTION("""COMPUTED_VALUE"""),44117)</f>
        <v>44117</v>
      </c>
      <c r="AO225" s="12">
        <f ca="1">IFERROR(VLOOKUP(AN225,koronahun!A:B,2,FALSE),"")</f>
        <v>39862</v>
      </c>
      <c r="AP225" s="11">
        <f t="shared" ca="1" si="0"/>
        <v>44117</v>
      </c>
      <c r="AQ225" s="11">
        <f ca="1">IFERROR(__xludf.DUMMYFUNCTION("""COMPUTED_VALUE"""),44117)</f>
        <v>44117</v>
      </c>
      <c r="AR225" s="11">
        <v>44410</v>
      </c>
      <c r="AS225" s="11">
        <f t="shared" si="1"/>
        <v>44410</v>
      </c>
      <c r="AT225" s="11">
        <f ca="1">IFERROR(__xludf.DUMMYFUNCTION("""COMPUTED_VALUE"""),44407)</f>
        <v>44407</v>
      </c>
    </row>
    <row r="226" spans="1:46" ht="13">
      <c r="A226" s="11">
        <v>44406</v>
      </c>
      <c r="B226">
        <f>IFERROR(VLOOKUP($A226,koronahun!$A:$AM,2,FALSE),"")</f>
        <v>809427</v>
      </c>
      <c r="C226">
        <f>IFERROR(VLOOKUP($A226,koronahun!$A:$AM,3,FALSE),"")</f>
        <v>65</v>
      </c>
      <c r="D226">
        <f>IFERROR(VLOOKUP($A226,koronahun!$A:$AM,4,FALSE),"")</f>
        <v>30025</v>
      </c>
      <c r="E226">
        <f>IFERROR(VLOOKUP($A226,koronahun!$A:$AM,5,FALSE),"")</f>
        <v>747512</v>
      </c>
      <c r="F226">
        <f>IFERROR(VLOOKUP($A226,koronahun!$A:$AM,6,FALSE),"")</f>
        <v>6323793</v>
      </c>
      <c r="G226" s="12">
        <f>IFERROR(VLOOKUP($A226,koronahun!$A:$AM,7,FALSE),"")</f>
        <v>645285</v>
      </c>
      <c r="H226">
        <f>IFERROR(VLOOKUP($A226,koronahun!$A:$AM,8,FALSE),"")</f>
        <v>0</v>
      </c>
      <c r="I226" s="13">
        <f>IFERROR(VLOOKUP($A226,koronahun!$A:$AM,9,FALSE),"")</f>
        <v>8.0310170232850069E-5</v>
      </c>
      <c r="J226" s="13">
        <f>IFERROR(VLOOKUP($A226,koronahun!$A:$AM,10,FALSE),"")</f>
        <v>0.1279970739080169</v>
      </c>
      <c r="K226" s="13">
        <f>IFERROR(VLOOKUP($A226,koronahun!$A:$AM,11,FALSE),"")</f>
        <v>1.1341492432118462E-3</v>
      </c>
      <c r="L226">
        <f>IFERROR(VLOOKUP($A226,koronahun!$A:$AM,12,FALSE),"")</f>
        <v>31890</v>
      </c>
      <c r="M226" s="13">
        <f>IFERROR(VLOOKUP($A226,koronahun!$A:$AM,13,FALSE),"")</f>
        <v>3.7094141905323147E-2</v>
      </c>
      <c r="N226" s="13">
        <f>IFERROR(VLOOKUP($A226,koronahun!$A:$AM,14,FALSE),"")</f>
        <v>0.92350761711679996</v>
      </c>
      <c r="O226">
        <f>IFERROR(VLOOKUP($A226,koronahun!$A:$AM,15,FALSE),"")</f>
        <v>1412</v>
      </c>
      <c r="P226">
        <f>IFERROR(VLOOKUP($A226,koronahun!$A:$AM,16,FALSE),"")</f>
        <v>7164</v>
      </c>
      <c r="Q226" s="13">
        <f>IFERROR(VLOOKUP($A226,koronahun!$A:$AM,17,FALSE),"")</f>
        <v>9.0731434952540484E-3</v>
      </c>
      <c r="R226">
        <f>IFERROR(VLOOKUP($A226,koronahun!$A:$AM,18,FALSE),"")</f>
        <v>0</v>
      </c>
      <c r="S226">
        <f>IFERROR(VLOOKUP($A226,koronahun!$A:$AM,19,FALSE),"")</f>
        <v>531</v>
      </c>
      <c r="T226">
        <f>IFERROR(VLOOKUP($A226,koronahun!$A:$AM,20,FALSE),"")</f>
        <v>79</v>
      </c>
      <c r="U226">
        <f>IFERROR(VLOOKUP($A226,koronahun!$A:$AM,21,FALSE),"")</f>
        <v>13</v>
      </c>
      <c r="V226" s="13">
        <f>IFERROR(VLOOKUP($A226,koronahun!$A:$AM,22,FALSE),"")</f>
        <v>3.939824097787694E-2</v>
      </c>
      <c r="W226">
        <f>IFERROR(VLOOKUP($A226,koronahun!$A:$AM,23,FALSE),"")</f>
        <v>9</v>
      </c>
      <c r="X226">
        <f>IFERROR(VLOOKUP($A226,koronahun!$A:$AM,24,FALSE),"")</f>
        <v>2</v>
      </c>
      <c r="Y226" s="14">
        <f>IFERROR(VLOOKUP($A226,koronahun!$A:$AM,25,FALSE),"")</f>
        <v>2.4772656005017245E-3</v>
      </c>
      <c r="Z226" s="14">
        <f>IFERROR(VLOOKUP($A226,koronahun!$A:$AM,26,FALSE),"")</f>
        <v>0.16455696202531644</v>
      </c>
      <c r="AA226" s="14">
        <f>IFERROR(VLOOKUP($A226,koronahun!$A:$AM,27,FALSE),"")</f>
        <v>1.1577464788732394</v>
      </c>
      <c r="AB226" s="14">
        <f>IFERROR(VLOOKUP($A226,koronahun!$A:$AM,28,FALSE),"")</f>
        <v>1.227673573898926</v>
      </c>
      <c r="AC226" s="14">
        <f>IFERROR(VLOOKUP($A226,koronahun!$A:$AM,29,FALSE),"")</f>
        <v>58.714285714285715</v>
      </c>
      <c r="AD226" s="14">
        <f>IFERROR(VLOOKUP($A226,koronahun!$A:$AM,30,FALSE),"")</f>
        <v>0.7142857142857143</v>
      </c>
      <c r="AE226" s="14">
        <f>IFERROR(VLOOKUP($A226,koronahun!$A:$AM,31,FALSE),"")</f>
        <v>6998.4285714285716</v>
      </c>
      <c r="AF226" s="13">
        <f>IFERROR(VLOOKUP($A226,koronahun!$A:$AM,32,FALSE),"")</f>
        <v>8.1668811512802635E-3</v>
      </c>
      <c r="AG226">
        <f>IFERROR(VLOOKUP($A226,koronahun!$A:$AM,33,FALSE),"")</f>
        <v>5611260</v>
      </c>
      <c r="AH226">
        <f>IFERROR(VLOOKUP($A226,koronahun!$A:$AM,34,FALSE),"")</f>
        <v>5547</v>
      </c>
      <c r="AI226">
        <f>IFERROR(VLOOKUP($A226,koronahun!$A:$AM,35,FALSE),"")</f>
        <v>5689</v>
      </c>
      <c r="AJ226">
        <f>IFERROR(VLOOKUP($A226,koronahun!$A:$AM,36,FALSE),"")</f>
        <v>5418198</v>
      </c>
      <c r="AK226">
        <f>IFERROR(VLOOKUP($A226,koronahun!$A:$AM,37,FALSE),"")</f>
        <v>12417</v>
      </c>
      <c r="AL226">
        <f>IFERROR(VLOOKUP($A226,koronahun!$A:$AM,38,FALSE),"")</f>
        <v>14815</v>
      </c>
      <c r="AM226" s="14">
        <f>IFERROR(VLOOKUP($A226,koronahun!$A:$AM,39,FALSE),"")</f>
        <v>399.71428571428572</v>
      </c>
      <c r="AN226" s="11">
        <f ca="1">IFERROR(__xludf.DUMMYFUNCTION("""COMPUTED_VALUE"""),44118)</f>
        <v>44118</v>
      </c>
      <c r="AO226" s="12">
        <f ca="1">IFERROR(VLOOKUP(AN226,koronahun!A:B,2,FALSE),"")</f>
        <v>40782</v>
      </c>
      <c r="AP226" s="11">
        <f t="shared" ca="1" si="0"/>
        <v>44118</v>
      </c>
      <c r="AQ226" s="11">
        <f ca="1">IFERROR(__xludf.DUMMYFUNCTION("""COMPUTED_VALUE"""),44118)</f>
        <v>44118</v>
      </c>
      <c r="AR226" s="11">
        <v>44407</v>
      </c>
      <c r="AS226" s="11">
        <f t="shared" si="1"/>
        <v>44407</v>
      </c>
      <c r="AT226" s="11">
        <f ca="1">IFERROR(__xludf.DUMMYFUNCTION("""COMPUTED_VALUE"""),44406)</f>
        <v>44406</v>
      </c>
    </row>
    <row r="227" spans="1:46" ht="13">
      <c r="A227" s="11">
        <v>44405</v>
      </c>
      <c r="B227">
        <f>IFERROR(VLOOKUP($A227,koronahun!$A:$AM,2,FALSE),"")</f>
        <v>809362</v>
      </c>
      <c r="C227">
        <f>IFERROR(VLOOKUP($A227,koronahun!$A:$AM,3,FALSE),"")</f>
        <v>74</v>
      </c>
      <c r="D227">
        <f>IFERROR(VLOOKUP($A227,koronahun!$A:$AM,4,FALSE),"")</f>
        <v>30025</v>
      </c>
      <c r="E227">
        <f>IFERROR(VLOOKUP($A227,koronahun!$A:$AM,5,FALSE),"")</f>
        <v>746981</v>
      </c>
      <c r="F227">
        <f>IFERROR(VLOOKUP($A227,koronahun!$A:$AM,6,FALSE),"")</f>
        <v>6316629</v>
      </c>
      <c r="G227" s="12">
        <f>IFERROR(VLOOKUP($A227,koronahun!$A:$AM,7,FALSE),"")</f>
        <v>644553.97959183669</v>
      </c>
      <c r="H227">
        <f>IFERROR(VLOOKUP($A227,koronahun!$A:$AM,8,FALSE),"")</f>
        <v>0</v>
      </c>
      <c r="I227" s="13">
        <f>IFERROR(VLOOKUP($A227,koronahun!$A:$AM,9,FALSE),"")</f>
        <v>9.1438400173980095E-5</v>
      </c>
      <c r="J227" s="13">
        <f>IFERROR(VLOOKUP($A227,koronahun!$A:$AM,10,FALSE),"")</f>
        <v>0.12813195139369432</v>
      </c>
      <c r="K227" s="13">
        <f>IFERROR(VLOOKUP($A227,koronahun!$A:$AM,11,FALSE),"")</f>
        <v>1.3217525951164904E-3</v>
      </c>
      <c r="L227">
        <f>IFERROR(VLOOKUP($A227,koronahun!$A:$AM,12,FALSE),"")</f>
        <v>32356</v>
      </c>
      <c r="M227" s="13">
        <f>IFERROR(VLOOKUP($A227,koronahun!$A:$AM,13,FALSE),"")</f>
        <v>3.7097120942174204E-2</v>
      </c>
      <c r="N227" s="13">
        <f>IFERROR(VLOOKUP($A227,koronahun!$A:$AM,14,FALSE),"")</f>
        <v>0.92292571185699357</v>
      </c>
      <c r="O227">
        <f>IFERROR(VLOOKUP($A227,koronahun!$A:$AM,15,FALSE),"")</f>
        <v>1475</v>
      </c>
      <c r="P227">
        <f>IFERROR(VLOOKUP($A227,koronahun!$A:$AM,16,FALSE),"")</f>
        <v>8338</v>
      </c>
      <c r="Q227" s="13">
        <f>IFERROR(VLOOKUP($A227,koronahun!$A:$AM,17,FALSE),"")</f>
        <v>8.8750299832094023E-3</v>
      </c>
      <c r="R227">
        <f>IFERROR(VLOOKUP($A227,koronahun!$A:$AM,18,FALSE),"")</f>
        <v>4</v>
      </c>
      <c r="S227">
        <f>IFERROR(VLOOKUP($A227,koronahun!$A:$AM,19,FALSE),"")</f>
        <v>762</v>
      </c>
      <c r="T227">
        <f>IFERROR(VLOOKUP($A227,koronahun!$A:$AM,20,FALSE),"")</f>
        <v>70</v>
      </c>
      <c r="U227">
        <f>IFERROR(VLOOKUP($A227,koronahun!$A:$AM,21,FALSE),"")</f>
        <v>11</v>
      </c>
      <c r="V227" s="13">
        <f>IFERROR(VLOOKUP($A227,koronahun!$A:$AM,22,FALSE),"")</f>
        <v>3.9977167200832261E-2</v>
      </c>
      <c r="W227">
        <f>IFERROR(VLOOKUP($A227,koronahun!$A:$AM,23,FALSE),"")</f>
        <v>-3</v>
      </c>
      <c r="X227">
        <f>IFERROR(VLOOKUP($A227,koronahun!$A:$AM,24,FALSE),"")</f>
        <v>0</v>
      </c>
      <c r="Y227" s="14">
        <f>IFERROR(VLOOKUP($A227,koronahun!$A:$AM,25,FALSE),"")</f>
        <v>2.1634318209914701E-3</v>
      </c>
      <c r="Z227" s="14">
        <f>IFERROR(VLOOKUP($A227,koronahun!$A:$AM,26,FALSE),"")</f>
        <v>0.15714285714285714</v>
      </c>
      <c r="AA227" s="14">
        <f>IFERROR(VLOOKUP($A227,koronahun!$A:$AM,27,FALSE),"")</f>
        <v>1.2522522522522523</v>
      </c>
      <c r="AB227" s="14">
        <f>IFERROR(VLOOKUP($A227,koronahun!$A:$AM,28,FALSE),"")</f>
        <v>1.2610496512586065</v>
      </c>
      <c r="AC227" s="14">
        <f>IFERROR(VLOOKUP($A227,koronahun!$A:$AM,29,FALSE),"")</f>
        <v>59.571428571428569</v>
      </c>
      <c r="AD227" s="14">
        <f>IFERROR(VLOOKUP($A227,koronahun!$A:$AM,30,FALSE),"")</f>
        <v>0.8571428571428571</v>
      </c>
      <c r="AE227" s="14">
        <f>IFERROR(VLOOKUP($A227,koronahun!$A:$AM,31,FALSE),"")</f>
        <v>6923.7142857142853</v>
      </c>
      <c r="AF227" s="13">
        <f>IFERROR(VLOOKUP($A227,koronahun!$A:$AM,32,FALSE),"")</f>
        <v>8.4904846461761486E-3</v>
      </c>
      <c r="AG227">
        <f>IFERROR(VLOOKUP($A227,koronahun!$A:$AM,33,FALSE),"")</f>
        <v>5605713</v>
      </c>
      <c r="AH227">
        <f>IFERROR(VLOOKUP($A227,koronahun!$A:$AM,34,FALSE),"")</f>
        <v>4754</v>
      </c>
      <c r="AI227">
        <f>IFERROR(VLOOKUP($A227,koronahun!$A:$AM,35,FALSE),"")</f>
        <v>5506</v>
      </c>
      <c r="AJ227">
        <f>IFERROR(VLOOKUP($A227,koronahun!$A:$AM,36,FALSE),"")</f>
        <v>5405781</v>
      </c>
      <c r="AK227">
        <f>IFERROR(VLOOKUP($A227,koronahun!$A:$AM,37,FALSE),"")</f>
        <v>15188</v>
      </c>
      <c r="AL227">
        <f>IFERROR(VLOOKUP($A227,koronahun!$A:$AM,38,FALSE),"")</f>
        <v>15691.2</v>
      </c>
      <c r="AM227" s="14">
        <f>IFERROR(VLOOKUP($A227,koronahun!$A:$AM,39,FALSE),"")</f>
        <v>418.57142857142856</v>
      </c>
      <c r="AN227" s="11">
        <f ca="1">IFERROR(__xludf.DUMMYFUNCTION("""COMPUTED_VALUE"""),44119)</f>
        <v>44119</v>
      </c>
      <c r="AO227" s="12">
        <f ca="1">IFERROR(VLOOKUP(AN227,koronahun!A:B,2,FALSE),"")</f>
        <v>41732</v>
      </c>
      <c r="AP227" s="11">
        <f t="shared" ca="1" si="0"/>
        <v>44119</v>
      </c>
      <c r="AQ227" s="11">
        <f ca="1">IFERROR(__xludf.DUMMYFUNCTION("""COMPUTED_VALUE"""),44119)</f>
        <v>44119</v>
      </c>
      <c r="AR227" s="11">
        <v>44406</v>
      </c>
      <c r="AS227" s="11">
        <f t="shared" si="1"/>
        <v>44406</v>
      </c>
      <c r="AT227" s="11">
        <f ca="1">IFERROR(__xludf.DUMMYFUNCTION("""COMPUTED_VALUE"""),44405)</f>
        <v>44405</v>
      </c>
    </row>
    <row r="228" spans="1:46" ht="13">
      <c r="A228" s="11">
        <v>44404</v>
      </c>
      <c r="B228">
        <f>IFERROR(VLOOKUP($A228,koronahun!$A:$AM,2,FALSE),"")</f>
        <v>809288</v>
      </c>
      <c r="C228">
        <f>IFERROR(VLOOKUP($A228,koronahun!$A:$AM,3,FALSE),"")</f>
        <v>26</v>
      </c>
      <c r="D228">
        <f>IFERROR(VLOOKUP($A228,koronahun!$A:$AM,4,FALSE),"")</f>
        <v>30021</v>
      </c>
      <c r="E228">
        <f>IFERROR(VLOOKUP($A228,koronahun!$A:$AM,5,FALSE),"")</f>
        <v>746219</v>
      </c>
      <c r="F228">
        <f>IFERROR(VLOOKUP($A228,koronahun!$A:$AM,6,FALSE),"")</f>
        <v>6308291</v>
      </c>
      <c r="G228" s="12">
        <f>IFERROR(VLOOKUP($A228,koronahun!$A:$AM,7,FALSE),"")</f>
        <v>643703.16326530604</v>
      </c>
      <c r="H228">
        <f>IFERROR(VLOOKUP($A228,koronahun!$A:$AM,8,FALSE),"")</f>
        <v>0</v>
      </c>
      <c r="I228" s="13">
        <f>IFERROR(VLOOKUP($A228,koronahun!$A:$AM,9,FALSE),"")</f>
        <v>3.212803764417457E-5</v>
      </c>
      <c r="J228" s="13">
        <f>IFERROR(VLOOKUP($A228,koronahun!$A:$AM,10,FALSE),"")</f>
        <v>0.12828957953905423</v>
      </c>
      <c r="K228" s="13">
        <f>IFERROR(VLOOKUP($A228,koronahun!$A:$AM,11,FALSE),"")</f>
        <v>6.9020326970117103E-4</v>
      </c>
      <c r="L228">
        <f>IFERROR(VLOOKUP($A228,koronahun!$A:$AM,12,FALSE),"")</f>
        <v>33048</v>
      </c>
      <c r="M228" s="13">
        <f>IFERROR(VLOOKUP($A228,koronahun!$A:$AM,13,FALSE),"")</f>
        <v>3.7095570427338596E-2</v>
      </c>
      <c r="N228" s="13">
        <f>IFERROR(VLOOKUP($A228,koronahun!$A:$AM,14,FALSE),"")</f>
        <v>0.92206853431658442</v>
      </c>
      <c r="O228">
        <f>IFERROR(VLOOKUP($A228,koronahun!$A:$AM,15,FALSE),"")</f>
        <v>1471</v>
      </c>
      <c r="P228">
        <f>IFERROR(VLOOKUP($A228,koronahun!$A:$AM,16,FALSE),"")</f>
        <v>4351</v>
      </c>
      <c r="Q228" s="13">
        <f>IFERROR(VLOOKUP($A228,koronahun!$A:$AM,17,FALSE),"")</f>
        <v>5.9756377844173755E-3</v>
      </c>
      <c r="R228">
        <f>IFERROR(VLOOKUP($A228,koronahun!$A:$AM,18,FALSE),"")</f>
        <v>1</v>
      </c>
      <c r="S228">
        <f>IFERROR(VLOOKUP($A228,koronahun!$A:$AM,19,FALSE),"")</f>
        <v>371</v>
      </c>
      <c r="T228">
        <f>IFERROR(VLOOKUP($A228,koronahun!$A:$AM,20,FALSE),"")</f>
        <v>73</v>
      </c>
      <c r="U228">
        <f>IFERROR(VLOOKUP($A228,koronahun!$A:$AM,21,FALSE),"")</f>
        <v>11</v>
      </c>
      <c r="V228" s="13">
        <f>IFERROR(VLOOKUP($A228,koronahun!$A:$AM,22,FALSE),"")</f>
        <v>4.0835895256076948E-2</v>
      </c>
      <c r="W228">
        <f>IFERROR(VLOOKUP($A228,koronahun!$A:$AM,23,FALSE),"")</f>
        <v>18</v>
      </c>
      <c r="X228">
        <f>IFERROR(VLOOKUP($A228,koronahun!$A:$AM,24,FALSE),"")</f>
        <v>2</v>
      </c>
      <c r="Y228" s="14">
        <f>IFERROR(VLOOKUP($A228,koronahun!$A:$AM,25,FALSE),"")</f>
        <v>2.2089082546598885E-3</v>
      </c>
      <c r="Z228" s="14">
        <f>IFERROR(VLOOKUP($A228,koronahun!$A:$AM,26,FALSE),"")</f>
        <v>0.15068493150684931</v>
      </c>
      <c r="AA228" s="14">
        <f>IFERROR(VLOOKUP($A228,koronahun!$A:$AM,27,FALSE),"")</f>
        <v>1.1981981981981982</v>
      </c>
      <c r="AB228" s="14">
        <f>IFERROR(VLOOKUP($A228,koronahun!$A:$AM,28,FALSE),"")</f>
        <v>1.2536648942388129</v>
      </c>
      <c r="AC228" s="14">
        <f>IFERROR(VLOOKUP($A228,koronahun!$A:$AM,29,FALSE),"")</f>
        <v>57</v>
      </c>
      <c r="AD228" s="14">
        <f>IFERROR(VLOOKUP($A228,koronahun!$A:$AM,30,FALSE),"")</f>
        <v>0.2857142857142857</v>
      </c>
      <c r="AE228" s="14">
        <f>IFERROR(VLOOKUP($A228,koronahun!$A:$AM,31,FALSE),"")</f>
        <v>6667</v>
      </c>
      <c r="AF228" s="13">
        <f>IFERROR(VLOOKUP($A228,koronahun!$A:$AM,32,FALSE),"")</f>
        <v>8.4277550598690805E-3</v>
      </c>
      <c r="AG228">
        <f>IFERROR(VLOOKUP($A228,koronahun!$A:$AM,33,FALSE),"")</f>
        <v>5600959</v>
      </c>
      <c r="AH228">
        <f>IFERROR(VLOOKUP($A228,koronahun!$A:$AM,34,FALSE),"")</f>
        <v>4416</v>
      </c>
      <c r="AI228">
        <f>IFERROR(VLOOKUP($A228,koronahun!$A:$AM,35,FALSE),"")</f>
        <v>5480.4</v>
      </c>
      <c r="AJ228">
        <f>IFERROR(VLOOKUP($A228,koronahun!$A:$AM,36,FALSE),"")</f>
        <v>5390593</v>
      </c>
      <c r="AK228">
        <f>IFERROR(VLOOKUP($A228,koronahun!$A:$AM,37,FALSE),"")</f>
        <v>15729</v>
      </c>
      <c r="AL228">
        <f>IFERROR(VLOOKUP($A228,koronahun!$A:$AM,38,FALSE),"")</f>
        <v>15807.2</v>
      </c>
      <c r="AM228" s="14">
        <f>IFERROR(VLOOKUP($A228,koronahun!$A:$AM,39,FALSE),"")</f>
        <v>395.71428571428572</v>
      </c>
      <c r="AN228" s="11">
        <f ca="1">IFERROR(__xludf.DUMMYFUNCTION("""COMPUTED_VALUE"""),44120)</f>
        <v>44120</v>
      </c>
      <c r="AO228" s="12">
        <f ca="1">IFERROR(VLOOKUP(AN228,koronahun!A:B,2,FALSE),"")</f>
        <v>43025</v>
      </c>
      <c r="AP228" s="11">
        <f t="shared" ca="1" si="0"/>
        <v>44120</v>
      </c>
      <c r="AQ228" s="11">
        <f ca="1">IFERROR(__xludf.DUMMYFUNCTION("""COMPUTED_VALUE"""),44120)</f>
        <v>44120</v>
      </c>
      <c r="AR228" s="11">
        <v>44405</v>
      </c>
      <c r="AS228" s="11">
        <f t="shared" si="1"/>
        <v>44405</v>
      </c>
      <c r="AT228" s="11">
        <f ca="1">IFERROR(__xludf.DUMMYFUNCTION("""COMPUTED_VALUE"""),44404)</f>
        <v>44404</v>
      </c>
    </row>
    <row r="229" spans="1:46" ht="13">
      <c r="A229" s="11">
        <v>44403</v>
      </c>
      <c r="B229">
        <f>IFERROR(VLOOKUP($A229,koronahun!$A:$AM,2,FALSE),"")</f>
        <v>809262</v>
      </c>
      <c r="C229">
        <f>IFERROR(VLOOKUP($A229,koronahun!$A:$AM,3,FALSE),"")</f>
        <v>161</v>
      </c>
      <c r="D229">
        <f>IFERROR(VLOOKUP($A229,koronahun!$A:$AM,4,FALSE),"")</f>
        <v>30020</v>
      </c>
      <c r="E229">
        <f>IFERROR(VLOOKUP($A229,koronahun!$A:$AM,5,FALSE),"")</f>
        <v>745848</v>
      </c>
      <c r="F229">
        <f>IFERROR(VLOOKUP($A229,koronahun!$A:$AM,6,FALSE),"")</f>
        <v>6303940</v>
      </c>
      <c r="G229" s="12">
        <f>IFERROR(VLOOKUP($A229,koronahun!$A:$AM,7,FALSE),"")</f>
        <v>643259.18367346935</v>
      </c>
      <c r="H229">
        <f>IFERROR(VLOOKUP($A229,koronahun!$A:$AM,8,FALSE),"")</f>
        <v>0</v>
      </c>
      <c r="I229" s="13">
        <f>IFERROR(VLOOKUP($A229,koronahun!$A:$AM,9,FALSE),"")</f>
        <v>1.9898628230591731E-4</v>
      </c>
      <c r="J229" s="13">
        <f>IFERROR(VLOOKUP($A229,koronahun!$A:$AM,10,FALSE),"")</f>
        <v>0.12837400102158333</v>
      </c>
      <c r="K229" s="13">
        <f>IFERROR(VLOOKUP($A229,koronahun!$A:$AM,11,FALSE),"")</f>
        <v>3.0436873917131318E-3</v>
      </c>
      <c r="L229">
        <f>IFERROR(VLOOKUP($A229,koronahun!$A:$AM,12,FALSE),"")</f>
        <v>33394</v>
      </c>
      <c r="M229" s="13">
        <f>IFERROR(VLOOKUP($A229,koronahun!$A:$AM,13,FALSE),"")</f>
        <v>3.7095526541466174E-2</v>
      </c>
      <c r="N229" s="13">
        <f>IFERROR(VLOOKUP($A229,koronahun!$A:$AM,14,FALSE),"")</f>
        <v>0.92163971618585827</v>
      </c>
      <c r="O229">
        <f>IFERROR(VLOOKUP($A229,koronahun!$A:$AM,15,FALSE),"")</f>
        <v>1517</v>
      </c>
      <c r="P229">
        <f>IFERROR(VLOOKUP($A229,koronahun!$A:$AM,16,FALSE),"")</f>
        <v>19129</v>
      </c>
      <c r="Q229" s="13">
        <f>IFERROR(VLOOKUP($A229,koronahun!$A:$AM,17,FALSE),"")</f>
        <v>8.4165403314339481E-3</v>
      </c>
      <c r="R229">
        <f>IFERROR(VLOOKUP($A229,koronahun!$A:$AM,18,FALSE),"")</f>
        <v>0</v>
      </c>
      <c r="S229">
        <f>IFERROR(VLOOKUP($A229,koronahun!$A:$AM,19,FALSE),"")</f>
        <v>571</v>
      </c>
      <c r="T229">
        <f>IFERROR(VLOOKUP($A229,koronahun!$A:$AM,20,FALSE),"")</f>
        <v>55</v>
      </c>
      <c r="U229">
        <f>IFERROR(VLOOKUP($A229,koronahun!$A:$AM,21,FALSE),"")</f>
        <v>9</v>
      </c>
      <c r="V229" s="13">
        <f>IFERROR(VLOOKUP($A229,koronahun!$A:$AM,22,FALSE),"")</f>
        <v>4.1264757272675597E-2</v>
      </c>
      <c r="W229">
        <f>IFERROR(VLOOKUP($A229,koronahun!$A:$AM,23,FALSE),"")</f>
        <v>-12</v>
      </c>
      <c r="X229">
        <f>IFERROR(VLOOKUP($A229,koronahun!$A:$AM,24,FALSE),"")</f>
        <v>0</v>
      </c>
      <c r="Y229" s="14">
        <f>IFERROR(VLOOKUP($A229,koronahun!$A:$AM,25,FALSE),"")</f>
        <v>1.6470024555309338E-3</v>
      </c>
      <c r="Z229" s="14">
        <f>IFERROR(VLOOKUP($A229,koronahun!$A:$AM,26,FALSE),"")</f>
        <v>0.16363636363636364</v>
      </c>
      <c r="AA229" s="14">
        <f>IFERROR(VLOOKUP($A229,koronahun!$A:$AM,27,FALSE),"")</f>
        <v>1.2246153846153847</v>
      </c>
      <c r="AB229" s="14">
        <f>IFERROR(VLOOKUP($A229,koronahun!$A:$AM,28,FALSE),"")</f>
        <v>1.2682237278816162</v>
      </c>
      <c r="AC229" s="14">
        <f>IFERROR(VLOOKUP($A229,koronahun!$A:$AM,29,FALSE),"")</f>
        <v>56.857142857142854</v>
      </c>
      <c r="AD229" s="14">
        <f>IFERROR(VLOOKUP($A229,koronahun!$A:$AM,30,FALSE),"")</f>
        <v>0.42857142857142855</v>
      </c>
      <c r="AE229" s="14">
        <f>IFERROR(VLOOKUP($A229,koronahun!$A:$AM,31,FALSE),"")</f>
        <v>6668</v>
      </c>
      <c r="AF229" s="13">
        <f>IFERROR(VLOOKUP($A229,koronahun!$A:$AM,32,FALSE),"")</f>
        <v>8.379942785225164E-3</v>
      </c>
      <c r="AG229">
        <f>IFERROR(VLOOKUP($A229,koronahun!$A:$AM,33,FALSE),"")</f>
        <v>5596543</v>
      </c>
      <c r="AH229">
        <f>IFERROR(VLOOKUP($A229,koronahun!$A:$AM,34,FALSE),"")</f>
        <v>8271</v>
      </c>
      <c r="AI229">
        <f>IFERROR(VLOOKUP($A229,koronahun!$A:$AM,35,FALSE),"")</f>
        <v>5488.8</v>
      </c>
      <c r="AJ229">
        <f>IFERROR(VLOOKUP($A229,koronahun!$A:$AM,36,FALSE),"")</f>
        <v>5374864</v>
      </c>
      <c r="AK229">
        <f>IFERROR(VLOOKUP($A229,koronahun!$A:$AM,37,FALSE),"")</f>
        <v>17353</v>
      </c>
      <c r="AL229">
        <f>IFERROR(VLOOKUP($A229,koronahun!$A:$AM,38,FALSE),"")</f>
        <v>16346.4</v>
      </c>
      <c r="AM229" s="14">
        <f>IFERROR(VLOOKUP($A229,koronahun!$A:$AM,39,FALSE),"")</f>
        <v>371.85714285714283</v>
      </c>
      <c r="AN229" s="11">
        <f ca="1">IFERROR(__xludf.DUMMYFUNCTION("""COMPUTED_VALUE"""),44121)</f>
        <v>44121</v>
      </c>
      <c r="AO229" s="12">
        <f ca="1">IFERROR(VLOOKUP(AN229,koronahun!A:B,2,FALSE),"")</f>
        <v>44816</v>
      </c>
      <c r="AP229" s="11">
        <f t="shared" ca="1" si="0"/>
        <v>44121</v>
      </c>
      <c r="AQ229" s="11">
        <f ca="1">IFERROR(__xludf.DUMMYFUNCTION("""COMPUTED_VALUE"""),44121)</f>
        <v>44121</v>
      </c>
      <c r="AR229" s="11">
        <v>44404</v>
      </c>
      <c r="AS229" s="11">
        <f t="shared" si="1"/>
        <v>44404</v>
      </c>
      <c r="AT229" s="11">
        <f ca="1">IFERROR(__xludf.DUMMYFUNCTION("""COMPUTED_VALUE"""),44403)</f>
        <v>44403</v>
      </c>
    </row>
    <row r="230" spans="1:46" ht="13">
      <c r="A230" s="11">
        <v>44400</v>
      </c>
      <c r="B230">
        <f>IFERROR(VLOOKUP($A230,koronahun!$A:$AM,2,FALSE),"")</f>
        <v>809101</v>
      </c>
      <c r="C230">
        <f>IFERROR(VLOOKUP($A230,koronahun!$A:$AM,3,FALSE),"")</f>
        <v>85</v>
      </c>
      <c r="D230">
        <f>IFERROR(VLOOKUP($A230,koronahun!$A:$AM,4,FALSE),"")</f>
        <v>30020</v>
      </c>
      <c r="E230">
        <f>IFERROR(VLOOKUP($A230,koronahun!$A:$AM,5,FALSE),"")</f>
        <v>745277</v>
      </c>
      <c r="F230">
        <f>IFERROR(VLOOKUP($A230,koronahun!$A:$AM,6,FALSE),"")</f>
        <v>6284811</v>
      </c>
      <c r="G230" s="12">
        <f>IFERROR(VLOOKUP($A230,koronahun!$A:$AM,7,FALSE),"")</f>
        <v>641307.24489795917</v>
      </c>
      <c r="H230">
        <f>IFERROR(VLOOKUP($A230,koronahun!$A:$AM,8,FALSE),"")</f>
        <v>0</v>
      </c>
      <c r="I230" s="13">
        <f>IFERROR(VLOOKUP($A230,koronahun!$A:$AM,9,FALSE),"")</f>
        <v>1.0506590722556785E-4</v>
      </c>
      <c r="J230" s="13">
        <f>IFERROR(VLOOKUP($A230,koronahun!$A:$AM,10,FALSE),"")</f>
        <v>0.12873911403222785</v>
      </c>
      <c r="K230" s="13">
        <f>IFERROR(VLOOKUP($A230,koronahun!$A:$AM,11,FALSE),"")</f>
        <v>1.5947908492440562E-3</v>
      </c>
      <c r="L230">
        <f>IFERROR(VLOOKUP($A230,koronahun!$A:$AM,12,FALSE),"")</f>
        <v>33804</v>
      </c>
      <c r="M230" s="13">
        <f>IFERROR(VLOOKUP($A230,koronahun!$A:$AM,13,FALSE),"")</f>
        <v>3.7102908042382844E-2</v>
      </c>
      <c r="N230" s="13">
        <f>IFERROR(VLOOKUP($A230,koronahun!$A:$AM,14,FALSE),"")</f>
        <v>0.92111738831122447</v>
      </c>
      <c r="O230">
        <f>IFERROR(VLOOKUP($A230,koronahun!$A:$AM,15,FALSE),"")</f>
        <v>1376</v>
      </c>
      <c r="P230">
        <f>IFERROR(VLOOKUP($A230,koronahun!$A:$AM,16,FALSE),"")</f>
        <v>10007</v>
      </c>
      <c r="Q230" s="13">
        <f>IFERROR(VLOOKUP($A230,koronahun!$A:$AM,17,FALSE),"")</f>
        <v>8.4940541620865395E-3</v>
      </c>
      <c r="R230">
        <f>IFERROR(VLOOKUP($A230,koronahun!$A:$AM,18,FALSE),"")</f>
        <v>0</v>
      </c>
      <c r="S230">
        <f>IFERROR(VLOOKUP($A230,koronahun!$A:$AM,19,FALSE),"")</f>
        <v>563</v>
      </c>
      <c r="T230">
        <f>IFERROR(VLOOKUP($A230,koronahun!$A:$AM,20,FALSE),"")</f>
        <v>67</v>
      </c>
      <c r="U230">
        <f>IFERROR(VLOOKUP($A230,koronahun!$A:$AM,21,FALSE),"")</f>
        <v>9</v>
      </c>
      <c r="V230" s="13">
        <f>IFERROR(VLOOKUP($A230,koronahun!$A:$AM,22,FALSE),"")</f>
        <v>4.1779703646392725E-2</v>
      </c>
      <c r="W230">
        <f>IFERROR(VLOOKUP($A230,koronahun!$A:$AM,23,FALSE),"")</f>
        <v>5</v>
      </c>
      <c r="X230">
        <f>IFERROR(VLOOKUP($A230,koronahun!$A:$AM,24,FALSE),"")</f>
        <v>-1</v>
      </c>
      <c r="Y230" s="14">
        <f>IFERROR(VLOOKUP($A230,koronahun!$A:$AM,25,FALSE),"")</f>
        <v>1.9820139628446338E-3</v>
      </c>
      <c r="Z230" s="14">
        <f>IFERROR(VLOOKUP($A230,koronahun!$A:$AM,26,FALSE),"")</f>
        <v>0.13432835820895522</v>
      </c>
      <c r="AA230" s="14">
        <f>IFERROR(VLOOKUP($A230,koronahun!$A:$AM,27,FALSE),"")</f>
        <v>1.3055555555555556</v>
      </c>
      <c r="AB230" s="14">
        <f>IFERROR(VLOOKUP($A230,koronahun!$A:$AM,28,FALSE),"")</f>
        <v>1.2579576906697305</v>
      </c>
      <c r="AC230" s="14">
        <f>IFERROR(VLOOKUP($A230,koronahun!$A:$AM,29,FALSE),"")</f>
        <v>53.714285714285715</v>
      </c>
      <c r="AD230" s="14">
        <f>IFERROR(VLOOKUP($A230,koronahun!$A:$AM,30,FALSE),"")</f>
        <v>0.7142857142857143</v>
      </c>
      <c r="AE230" s="14">
        <f>IFERROR(VLOOKUP($A230,koronahun!$A:$AM,31,FALSE),"")</f>
        <v>6648</v>
      </c>
      <c r="AF230" s="13">
        <f>IFERROR(VLOOKUP($A230,koronahun!$A:$AM,32,FALSE),"")</f>
        <v>8.1606401957933956E-3</v>
      </c>
      <c r="AG230">
        <f>IFERROR(VLOOKUP($A230,koronahun!$A:$AM,33,FALSE),"")</f>
        <v>5588272</v>
      </c>
      <c r="AH230">
        <f>IFERROR(VLOOKUP($A230,koronahun!$A:$AM,34,FALSE),"")</f>
        <v>5457</v>
      </c>
      <c r="AI230">
        <f>IFERROR(VLOOKUP($A230,koronahun!$A:$AM,35,FALSE),"")</f>
        <v>5818.8</v>
      </c>
      <c r="AJ230">
        <f>IFERROR(VLOOKUP($A230,koronahun!$A:$AM,36,FALSE),"")</f>
        <v>5357511</v>
      </c>
      <c r="AK230">
        <f>IFERROR(VLOOKUP($A230,koronahun!$A:$AM,37,FALSE),"")</f>
        <v>13388</v>
      </c>
      <c r="AL230">
        <f>IFERROR(VLOOKUP($A230,koronahun!$A:$AM,38,FALSE),"")</f>
        <v>17739.400000000001</v>
      </c>
      <c r="AM230" s="14">
        <f>IFERROR(VLOOKUP($A230,koronahun!$A:$AM,39,FALSE),"")</f>
        <v>377.85714285714283</v>
      </c>
      <c r="AN230" s="11">
        <f ca="1">IFERROR(__xludf.DUMMYFUNCTION("""COMPUTED_VALUE"""),44122)</f>
        <v>44122</v>
      </c>
      <c r="AO230" s="12">
        <f ca="1">IFERROR(VLOOKUP(AN230,koronahun!A:B,2,FALSE),"")</f>
        <v>46290</v>
      </c>
      <c r="AP230" s="11">
        <f t="shared" ca="1" si="0"/>
        <v>44122</v>
      </c>
      <c r="AQ230" s="11">
        <f ca="1">IFERROR(__xludf.DUMMYFUNCTION("""COMPUTED_VALUE"""),44122)</f>
        <v>44122</v>
      </c>
      <c r="AR230" s="11">
        <v>44403</v>
      </c>
      <c r="AS230" s="11">
        <f t="shared" si="1"/>
        <v>44403</v>
      </c>
      <c r="AT230" s="11">
        <f ca="1">IFERROR(__xludf.DUMMYFUNCTION("""COMPUTED_VALUE"""),44400)</f>
        <v>44400</v>
      </c>
    </row>
    <row r="231" spans="1:46" ht="13">
      <c r="A231" s="11">
        <v>44399</v>
      </c>
      <c r="B231">
        <f>IFERROR(VLOOKUP($A231,koronahun!$A:$AM,2,FALSE),"")</f>
        <v>809016</v>
      </c>
      <c r="C231">
        <f>IFERROR(VLOOKUP($A231,koronahun!$A:$AM,3,FALSE),"")</f>
        <v>71</v>
      </c>
      <c r="D231">
        <f>IFERROR(VLOOKUP($A231,koronahun!$A:$AM,4,FALSE),"")</f>
        <v>30020</v>
      </c>
      <c r="E231">
        <f>IFERROR(VLOOKUP($A231,koronahun!$A:$AM,5,FALSE),"")</f>
        <v>744714</v>
      </c>
      <c r="F231">
        <f>IFERROR(VLOOKUP($A231,koronahun!$A:$AM,6,FALSE),"")</f>
        <v>6274804</v>
      </c>
      <c r="G231" s="12">
        <f>IFERROR(VLOOKUP($A231,koronahun!$A:$AM,7,FALSE),"")</f>
        <v>640286.12244897953</v>
      </c>
      <c r="H231">
        <f>IFERROR(VLOOKUP($A231,koronahun!$A:$AM,8,FALSE),"")</f>
        <v>0</v>
      </c>
      <c r="I231" s="13">
        <f>IFERROR(VLOOKUP($A231,koronahun!$A:$AM,9,FALSE),"")</f>
        <v>8.7768636928344949E-5</v>
      </c>
      <c r="J231" s="13">
        <f>IFERROR(VLOOKUP($A231,koronahun!$A:$AM,10,FALSE),"")</f>
        <v>0.12893087975337555</v>
      </c>
      <c r="K231" s="13">
        <f>IFERROR(VLOOKUP($A231,koronahun!$A:$AM,11,FALSE),"")</f>
        <v>1.0594810632716476E-3</v>
      </c>
      <c r="L231">
        <f>IFERROR(VLOOKUP($A231,koronahun!$A:$AM,12,FALSE),"")</f>
        <v>34282</v>
      </c>
      <c r="M231" s="13">
        <f>IFERROR(VLOOKUP($A231,koronahun!$A:$AM,13,FALSE),"")</f>
        <v>3.710680629307702E-2</v>
      </c>
      <c r="N231" s="13">
        <f>IFERROR(VLOOKUP($A231,koronahun!$A:$AM,14,FALSE),"")</f>
        <v>0.92051825921860631</v>
      </c>
      <c r="O231">
        <f>IFERROR(VLOOKUP($A231,koronahun!$A:$AM,15,FALSE),"")</f>
        <v>1384</v>
      </c>
      <c r="P231">
        <f>IFERROR(VLOOKUP($A231,koronahun!$A:$AM,16,FALSE),"")</f>
        <v>6641</v>
      </c>
      <c r="Q231" s="13">
        <f>IFERROR(VLOOKUP($A231,koronahun!$A:$AM,17,FALSE),"")</f>
        <v>1.0691160969733474E-2</v>
      </c>
      <c r="R231">
        <f>IFERROR(VLOOKUP($A231,koronahun!$A:$AM,18,FALSE),"")</f>
        <v>1</v>
      </c>
      <c r="S231">
        <f>IFERROR(VLOOKUP($A231,koronahun!$A:$AM,19,FALSE),"")</f>
        <v>663</v>
      </c>
      <c r="T231">
        <f>IFERROR(VLOOKUP($A231,koronahun!$A:$AM,20,FALSE),"")</f>
        <v>62</v>
      </c>
      <c r="U231">
        <f>IFERROR(VLOOKUP($A231,koronahun!$A:$AM,21,FALSE),"")</f>
        <v>10</v>
      </c>
      <c r="V231" s="13">
        <f>IFERROR(VLOOKUP($A231,koronahun!$A:$AM,22,FALSE),"")</f>
        <v>4.2374934488316668E-2</v>
      </c>
      <c r="W231">
        <f>IFERROR(VLOOKUP($A231,koronahun!$A:$AM,23,FALSE),"")</f>
        <v>-14</v>
      </c>
      <c r="X231">
        <f>IFERROR(VLOOKUP($A231,koronahun!$A:$AM,24,FALSE),"")</f>
        <v>0</v>
      </c>
      <c r="Y231" s="14">
        <f>IFERROR(VLOOKUP($A231,koronahun!$A:$AM,25,FALSE),"")</f>
        <v>1.8085292573362115E-3</v>
      </c>
      <c r="Z231" s="14">
        <f>IFERROR(VLOOKUP($A231,koronahun!$A:$AM,26,FALSE),"")</f>
        <v>0.16129032258064516</v>
      </c>
      <c r="AA231" s="14">
        <f>IFERROR(VLOOKUP($A231,koronahun!$A:$AM,27,FALSE),"")</f>
        <v>1.3246268656716418</v>
      </c>
      <c r="AB231" s="14">
        <f>IFERROR(VLOOKUP($A231,koronahun!$A:$AM,28,FALSE),"")</f>
        <v>1.2368465795586192</v>
      </c>
      <c r="AC231" s="14">
        <f>IFERROR(VLOOKUP($A231,koronahun!$A:$AM,29,FALSE),"")</f>
        <v>50.714285714285715</v>
      </c>
      <c r="AD231" s="14">
        <f>IFERROR(VLOOKUP($A231,koronahun!$A:$AM,30,FALSE),"")</f>
        <v>1</v>
      </c>
      <c r="AE231" s="14">
        <f>IFERROR(VLOOKUP($A231,koronahun!$A:$AM,31,FALSE),"")</f>
        <v>6470.8571428571431</v>
      </c>
      <c r="AF231" s="13">
        <f>IFERROR(VLOOKUP($A231,koronahun!$A:$AM,32,FALSE),"")</f>
        <v>7.9218498949148123E-3</v>
      </c>
      <c r="AG231">
        <f>IFERROR(VLOOKUP($A231,koronahun!$A:$AM,33,FALSE),"")</f>
        <v>5582815</v>
      </c>
      <c r="AH231">
        <f>IFERROR(VLOOKUP($A231,koronahun!$A:$AM,34,FALSE),"")</f>
        <v>4632</v>
      </c>
      <c r="AI231">
        <f>IFERROR(VLOOKUP($A231,koronahun!$A:$AM,35,FALSE),"")</f>
        <v>5991.2</v>
      </c>
      <c r="AJ231">
        <f>IFERROR(VLOOKUP($A231,koronahun!$A:$AM,36,FALSE),"")</f>
        <v>5344123</v>
      </c>
      <c r="AK231">
        <f>IFERROR(VLOOKUP($A231,koronahun!$A:$AM,37,FALSE),"")</f>
        <v>16798</v>
      </c>
      <c r="AL231">
        <f>IFERROR(VLOOKUP($A231,koronahun!$A:$AM,38,FALSE),"")</f>
        <v>18732.8</v>
      </c>
      <c r="AM231" s="14">
        <f>IFERROR(VLOOKUP($A231,koronahun!$A:$AM,39,FALSE),"")</f>
        <v>349.14285714285717</v>
      </c>
      <c r="AN231" s="11">
        <f ca="1">IFERROR(__xludf.DUMMYFUNCTION("""COMPUTED_VALUE"""),44123)</f>
        <v>44123</v>
      </c>
      <c r="AO231" s="12">
        <f ca="1">IFERROR(VLOOKUP(AN231,koronahun!A:B,2,FALSE),"")</f>
        <v>47768</v>
      </c>
      <c r="AP231" s="11">
        <f t="shared" ca="1" si="0"/>
        <v>44123</v>
      </c>
      <c r="AQ231" s="11">
        <f ca="1">IFERROR(__xludf.DUMMYFUNCTION("""COMPUTED_VALUE"""),44123)</f>
        <v>44123</v>
      </c>
      <c r="AR231" s="11">
        <v>44400</v>
      </c>
      <c r="AS231" s="11">
        <f t="shared" si="1"/>
        <v>44400</v>
      </c>
      <c r="AT231" s="11">
        <f ca="1">IFERROR(__xludf.DUMMYFUNCTION("""COMPUTED_VALUE"""),44399)</f>
        <v>44399</v>
      </c>
    </row>
    <row r="232" spans="1:46" ht="13">
      <c r="A232" s="11">
        <v>44398</v>
      </c>
      <c r="B232">
        <f>IFERROR(VLOOKUP($A232,koronahun!$A:$AM,2,FALSE),"")</f>
        <v>808945</v>
      </c>
      <c r="C232">
        <f>IFERROR(VLOOKUP($A232,koronahun!$A:$AM,3,FALSE),"")</f>
        <v>56</v>
      </c>
      <c r="D232">
        <f>IFERROR(VLOOKUP($A232,koronahun!$A:$AM,4,FALSE),"")</f>
        <v>30019</v>
      </c>
      <c r="E232">
        <f>IFERROR(VLOOKUP($A232,koronahun!$A:$AM,5,FALSE),"")</f>
        <v>744051</v>
      </c>
      <c r="F232">
        <f>IFERROR(VLOOKUP($A232,koronahun!$A:$AM,6,FALSE),"")</f>
        <v>6268163</v>
      </c>
      <c r="G232" s="12">
        <f>IFERROR(VLOOKUP($A232,koronahun!$A:$AM,7,FALSE),"")</f>
        <v>639608.46938775503</v>
      </c>
      <c r="H232">
        <f>IFERROR(VLOOKUP($A232,koronahun!$A:$AM,8,FALSE),"")</f>
        <v>0</v>
      </c>
      <c r="I232" s="13">
        <f>IFERROR(VLOOKUP($A232,koronahun!$A:$AM,9,FALSE),"")</f>
        <v>6.9230759721049484E-5</v>
      </c>
      <c r="J232" s="13">
        <f>IFERROR(VLOOKUP($A232,koronahun!$A:$AM,10,FALSE),"")</f>
        <v>0.12905615249635341</v>
      </c>
      <c r="K232" s="13">
        <f>IFERROR(VLOOKUP($A232,koronahun!$A:$AM,11,FALSE),"")</f>
        <v>1.0446175128425192E-3</v>
      </c>
      <c r="L232">
        <f>IFERROR(VLOOKUP($A232,koronahun!$A:$AM,12,FALSE),"")</f>
        <v>34875</v>
      </c>
      <c r="M232" s="13">
        <f>IFERROR(VLOOKUP($A232,koronahun!$A:$AM,13,FALSE),"")</f>
        <v>3.7108826928901224E-2</v>
      </c>
      <c r="N232" s="13">
        <f>IFERROR(VLOOKUP($A232,koronahun!$A:$AM,14,FALSE),"")</f>
        <v>0.91977946584749271</v>
      </c>
      <c r="O232">
        <f>IFERROR(VLOOKUP($A232,koronahun!$A:$AM,15,FALSE),"")</f>
        <v>1409</v>
      </c>
      <c r="P232">
        <f>IFERROR(VLOOKUP($A232,koronahun!$A:$AM,16,FALSE),"")</f>
        <v>6541</v>
      </c>
      <c r="Q232" s="13">
        <f>IFERROR(VLOOKUP($A232,koronahun!$A:$AM,17,FALSE),"")</f>
        <v>8.5613820516740567E-3</v>
      </c>
      <c r="R232">
        <f>IFERROR(VLOOKUP($A232,koronahun!$A:$AM,18,FALSE),"")</f>
        <v>0</v>
      </c>
      <c r="S232">
        <f>IFERROR(VLOOKUP($A232,koronahun!$A:$AM,19,FALSE),"")</f>
        <v>602</v>
      </c>
      <c r="T232">
        <f>IFERROR(VLOOKUP($A232,koronahun!$A:$AM,20,FALSE),"")</f>
        <v>76</v>
      </c>
      <c r="U232">
        <f>IFERROR(VLOOKUP($A232,koronahun!$A:$AM,21,FALSE),"")</f>
        <v>10</v>
      </c>
      <c r="V232" s="13">
        <f>IFERROR(VLOOKUP($A232,koronahun!$A:$AM,22,FALSE),"")</f>
        <v>4.3111707223606056E-2</v>
      </c>
      <c r="W232">
        <f>IFERROR(VLOOKUP($A232,koronahun!$A:$AM,23,FALSE),"")</f>
        <v>-1</v>
      </c>
      <c r="X232">
        <f>IFERROR(VLOOKUP($A232,koronahun!$A:$AM,24,FALSE),"")</f>
        <v>-1</v>
      </c>
      <c r="Y232" s="14">
        <f>IFERROR(VLOOKUP($A232,koronahun!$A:$AM,25,FALSE),"")</f>
        <v>2.17921146953405E-3</v>
      </c>
      <c r="Z232" s="14">
        <f>IFERROR(VLOOKUP($A232,koronahun!$A:$AM,26,FALSE),"")</f>
        <v>0.13157894736842105</v>
      </c>
      <c r="AA232" s="14">
        <f>IFERROR(VLOOKUP($A232,koronahun!$A:$AM,27,FALSE),"")</f>
        <v>1.2153284671532847</v>
      </c>
      <c r="AB232" s="14">
        <f>IFERROR(VLOOKUP($A232,koronahun!$A:$AM,28,FALSE),"")</f>
        <v>1.2019641248792268</v>
      </c>
      <c r="AC232" s="14">
        <f>IFERROR(VLOOKUP($A232,koronahun!$A:$AM,29,FALSE),"")</f>
        <v>47.571428571428569</v>
      </c>
      <c r="AD232" s="14">
        <f>IFERROR(VLOOKUP($A232,koronahun!$A:$AM,30,FALSE),"")</f>
        <v>0.8571428571428571</v>
      </c>
      <c r="AE232" s="14">
        <f>IFERROR(VLOOKUP($A232,koronahun!$A:$AM,31,FALSE),"")</f>
        <v>6587.2857142857147</v>
      </c>
      <c r="AF232" s="13">
        <f>IFERROR(VLOOKUP($A232,koronahun!$A:$AM,32,FALSE),"")</f>
        <v>7.09799538337155E-3</v>
      </c>
      <c r="AG232">
        <f>IFERROR(VLOOKUP($A232,koronahun!$A:$AM,33,FALSE),"")</f>
        <v>5578183</v>
      </c>
      <c r="AH232">
        <f>IFERROR(VLOOKUP($A232,koronahun!$A:$AM,34,FALSE),"")</f>
        <v>4626</v>
      </c>
      <c r="AI232">
        <f>IFERROR(VLOOKUP($A232,koronahun!$A:$AM,35,FALSE),"")</f>
        <v>5946.4</v>
      </c>
      <c r="AJ232">
        <f>IFERROR(VLOOKUP($A232,koronahun!$A:$AM,36,FALSE),"")</f>
        <v>5327325</v>
      </c>
      <c r="AK232">
        <f>IFERROR(VLOOKUP($A232,koronahun!$A:$AM,37,FALSE),"")</f>
        <v>15768</v>
      </c>
      <c r="AL232">
        <f>IFERROR(VLOOKUP($A232,koronahun!$A:$AM,38,FALSE),"")</f>
        <v>20116.8</v>
      </c>
      <c r="AM232" s="14">
        <f>IFERROR(VLOOKUP($A232,koronahun!$A:$AM,39,FALSE),"")</f>
        <v>307.85714285714283</v>
      </c>
      <c r="AN232" s="11">
        <f ca="1">IFERROR(__xludf.DUMMYFUNCTION("""COMPUTED_VALUE"""),44124)</f>
        <v>44124</v>
      </c>
      <c r="AO232" s="12">
        <f ca="1">IFERROR(VLOOKUP(AN232,koronahun!A:B,2,FALSE),"")</f>
        <v>48757</v>
      </c>
      <c r="AP232" s="11">
        <f t="shared" ca="1" si="0"/>
        <v>44124</v>
      </c>
      <c r="AQ232" s="11">
        <f ca="1">IFERROR(__xludf.DUMMYFUNCTION("""COMPUTED_VALUE"""),44124)</f>
        <v>44124</v>
      </c>
      <c r="AR232" s="11">
        <v>44399</v>
      </c>
      <c r="AS232" s="11">
        <f t="shared" si="1"/>
        <v>44399</v>
      </c>
      <c r="AT232" s="11">
        <f ca="1">IFERROR(__xludf.DUMMYFUNCTION("""COMPUTED_VALUE"""),44398)</f>
        <v>44398</v>
      </c>
    </row>
    <row r="233" spans="1:46" ht="13">
      <c r="A233" s="11">
        <v>44397</v>
      </c>
      <c r="B233">
        <f>IFERROR(VLOOKUP($A233,koronahun!$A:$AM,2,FALSE),"")</f>
        <v>808889</v>
      </c>
      <c r="C233">
        <f>IFERROR(VLOOKUP($A233,koronahun!$A:$AM,3,FALSE),"")</f>
        <v>25</v>
      </c>
      <c r="D233">
        <f>IFERROR(VLOOKUP($A233,koronahun!$A:$AM,4,FALSE),"")</f>
        <v>30019</v>
      </c>
      <c r="E233">
        <f>IFERROR(VLOOKUP($A233,koronahun!$A:$AM,5,FALSE),"")</f>
        <v>743449</v>
      </c>
      <c r="F233">
        <f>IFERROR(VLOOKUP($A233,koronahun!$A:$AM,6,FALSE),"")</f>
        <v>6261622</v>
      </c>
      <c r="G233" s="12">
        <f>IFERROR(VLOOKUP($A233,koronahun!$A:$AM,7,FALSE),"")</f>
        <v>638941.0204081632</v>
      </c>
      <c r="H233">
        <f>IFERROR(VLOOKUP($A233,koronahun!$A:$AM,8,FALSE),"")</f>
        <v>0</v>
      </c>
      <c r="I233" s="13">
        <f>IFERROR(VLOOKUP($A233,koronahun!$A:$AM,9,FALSE),"")</f>
        <v>3.0907544407959808E-5</v>
      </c>
      <c r="J233" s="13">
        <f>IFERROR(VLOOKUP($A233,koronahun!$A:$AM,10,FALSE),"")</f>
        <v>0.12918202344376584</v>
      </c>
      <c r="K233" s="13">
        <f>IFERROR(VLOOKUP($A233,koronahun!$A:$AM,11,FALSE),"")</f>
        <v>6.9647053408646335E-4</v>
      </c>
      <c r="L233">
        <f>IFERROR(VLOOKUP($A233,koronahun!$A:$AM,12,FALSE),"")</f>
        <v>35421</v>
      </c>
      <c r="M233" s="13">
        <f>IFERROR(VLOOKUP($A233,koronahun!$A:$AM,13,FALSE),"")</f>
        <v>3.7111396001181865E-2</v>
      </c>
      <c r="N233" s="13">
        <f>IFERROR(VLOOKUP($A233,koronahun!$A:$AM,14,FALSE),"")</f>
        <v>0.91909891221168794</v>
      </c>
      <c r="O233">
        <f>IFERROR(VLOOKUP($A233,koronahun!$A:$AM,15,FALSE),"")</f>
        <v>1504</v>
      </c>
      <c r="P233">
        <f>IFERROR(VLOOKUP($A233,koronahun!$A:$AM,16,FALSE),"")</f>
        <v>4358</v>
      </c>
      <c r="Q233" s="13">
        <f>IFERROR(VLOOKUP($A233,koronahun!$A:$AM,17,FALSE),"")</f>
        <v>5.7365764111977973E-3</v>
      </c>
      <c r="R233">
        <f>IFERROR(VLOOKUP($A233,koronahun!$A:$AM,18,FALSE),"")</f>
        <v>2</v>
      </c>
      <c r="S233">
        <f>IFERROR(VLOOKUP($A233,koronahun!$A:$AM,19,FALSE),"")</f>
        <v>204</v>
      </c>
      <c r="T233">
        <f>IFERROR(VLOOKUP($A233,koronahun!$A:$AM,20,FALSE),"")</f>
        <v>77</v>
      </c>
      <c r="U233">
        <f>IFERROR(VLOOKUP($A233,koronahun!$A:$AM,21,FALSE),"")</f>
        <v>11</v>
      </c>
      <c r="V233" s="13">
        <f>IFERROR(VLOOKUP($A233,koronahun!$A:$AM,22,FALSE),"")</f>
        <v>4.3789691787130249E-2</v>
      </c>
      <c r="W233">
        <f>IFERROR(VLOOKUP($A233,koronahun!$A:$AM,23,FALSE),"")</f>
        <v>1</v>
      </c>
      <c r="X233">
        <f>IFERROR(VLOOKUP($A233,koronahun!$A:$AM,24,FALSE),"")</f>
        <v>0</v>
      </c>
      <c r="Y233" s="14">
        <f>IFERROR(VLOOKUP($A233,koronahun!$A:$AM,25,FALSE),"")</f>
        <v>2.1738516699133285E-3</v>
      </c>
      <c r="Z233" s="14">
        <f>IFERROR(VLOOKUP($A233,koronahun!$A:$AM,26,FALSE),"")</f>
        <v>0.14285714285714285</v>
      </c>
      <c r="AA233" s="14">
        <f>IFERROR(VLOOKUP($A233,koronahun!$A:$AM,27,FALSE),"")</f>
        <v>1.2709923664122138</v>
      </c>
      <c r="AB233" s="14">
        <f>IFERROR(VLOOKUP($A233,koronahun!$A:$AM,28,FALSE),"")</f>
        <v>1.2198508124009506</v>
      </c>
      <c r="AC233" s="14">
        <f>IFERROR(VLOOKUP($A233,koronahun!$A:$AM,29,FALSE),"")</f>
        <v>47.571428571428569</v>
      </c>
      <c r="AD233" s="14">
        <f>IFERROR(VLOOKUP($A233,koronahun!$A:$AM,30,FALSE),"")</f>
        <v>1.2857142857142858</v>
      </c>
      <c r="AE233" s="14">
        <f>IFERROR(VLOOKUP($A233,koronahun!$A:$AM,31,FALSE),"")</f>
        <v>6680.5714285714284</v>
      </c>
      <c r="AF233" s="13">
        <f>IFERROR(VLOOKUP($A233,koronahun!$A:$AM,32,FALSE),"")</f>
        <v>6.9425719060364609E-3</v>
      </c>
      <c r="AG233">
        <f>IFERROR(VLOOKUP($A233,koronahun!$A:$AM,33,FALSE),"")</f>
        <v>5573557</v>
      </c>
      <c r="AH233">
        <f>IFERROR(VLOOKUP($A233,koronahun!$A:$AM,34,FALSE),"")</f>
        <v>4458</v>
      </c>
      <c r="AI233">
        <f>IFERROR(VLOOKUP($A233,koronahun!$A:$AM,35,FALSE),"")</f>
        <v>5933.2</v>
      </c>
      <c r="AJ233">
        <f>IFERROR(VLOOKUP($A233,koronahun!$A:$AM,36,FALSE),"")</f>
        <v>5311557</v>
      </c>
      <c r="AK233">
        <f>IFERROR(VLOOKUP($A233,koronahun!$A:$AM,37,FALSE),"")</f>
        <v>18425</v>
      </c>
      <c r="AL233">
        <f>IFERROR(VLOOKUP($A233,koronahun!$A:$AM,38,FALSE),"")</f>
        <v>21726.400000000001</v>
      </c>
      <c r="AM233" s="14">
        <f>IFERROR(VLOOKUP($A233,koronahun!$A:$AM,39,FALSE),"")</f>
        <v>255.14285714285714</v>
      </c>
      <c r="AN233" s="11">
        <f ca="1">IFERROR(__xludf.DUMMYFUNCTION("""COMPUTED_VALUE"""),44125)</f>
        <v>44125</v>
      </c>
      <c r="AO233" s="12">
        <f ca="1">IFERROR(VLOOKUP(AN233,koronahun!A:B,2,FALSE),"")</f>
        <v>50180</v>
      </c>
      <c r="AP233" s="11">
        <f t="shared" ca="1" si="0"/>
        <v>44125</v>
      </c>
      <c r="AQ233" s="11">
        <f ca="1">IFERROR(__xludf.DUMMYFUNCTION("""COMPUTED_VALUE"""),44125)</f>
        <v>44125</v>
      </c>
      <c r="AR233" s="11">
        <v>44398</v>
      </c>
      <c r="AS233" s="11">
        <f t="shared" si="1"/>
        <v>44398</v>
      </c>
      <c r="AT233" s="11">
        <f ca="1">IFERROR(__xludf.DUMMYFUNCTION("""COMPUTED_VALUE"""),44397)</f>
        <v>44397</v>
      </c>
    </row>
    <row r="234" spans="1:46" ht="13">
      <c r="A234" s="11">
        <v>44396</v>
      </c>
      <c r="B234">
        <f>IFERROR(VLOOKUP($A234,koronahun!$A:$AM,2,FALSE),"")</f>
        <v>808864</v>
      </c>
      <c r="C234">
        <f>IFERROR(VLOOKUP($A234,koronahun!$A:$AM,3,FALSE),"")</f>
        <v>139</v>
      </c>
      <c r="D234">
        <f>IFERROR(VLOOKUP($A234,koronahun!$A:$AM,4,FALSE),"")</f>
        <v>30017</v>
      </c>
      <c r="E234">
        <f>IFERROR(VLOOKUP($A234,koronahun!$A:$AM,5,FALSE),"")</f>
        <v>743245</v>
      </c>
      <c r="F234">
        <f>IFERROR(VLOOKUP($A234,koronahun!$A:$AM,6,FALSE),"")</f>
        <v>6257264</v>
      </c>
      <c r="G234" s="12">
        <f>IFERROR(VLOOKUP($A234,koronahun!$A:$AM,7,FALSE),"")</f>
        <v>638496.32653061219</v>
      </c>
      <c r="H234">
        <f>IFERROR(VLOOKUP($A234,koronahun!$A:$AM,8,FALSE),"")</f>
        <v>0</v>
      </c>
      <c r="I234" s="13">
        <f>IFERROR(VLOOKUP($A234,koronahun!$A:$AM,9,FALSE),"")</f>
        <v>1.7187548301338527E-4</v>
      </c>
      <c r="J234" s="13">
        <f>IFERROR(VLOOKUP($A234,koronahun!$A:$AM,10,FALSE),"")</f>
        <v>0.12926799956019117</v>
      </c>
      <c r="K234" s="13">
        <f>IFERROR(VLOOKUP($A234,koronahun!$A:$AM,11,FALSE),"")</f>
        <v>3.0439504510461628E-3</v>
      </c>
      <c r="L234">
        <f>IFERROR(VLOOKUP($A234,koronahun!$A:$AM,12,FALSE),"")</f>
        <v>35602</v>
      </c>
      <c r="M234" s="13">
        <f>IFERROR(VLOOKUP($A234,koronahun!$A:$AM,13,FALSE),"")</f>
        <v>3.7110070419749182E-2</v>
      </c>
      <c r="N234" s="13">
        <f>IFERROR(VLOOKUP($A234,koronahun!$A:$AM,14,FALSE),"")</f>
        <v>0.91887511373976338</v>
      </c>
      <c r="O234">
        <f>IFERROR(VLOOKUP($A234,koronahun!$A:$AM,15,FALSE),"")</f>
        <v>1594</v>
      </c>
      <c r="P234">
        <f>IFERROR(VLOOKUP($A234,koronahun!$A:$AM,16,FALSE),"")</f>
        <v>18989</v>
      </c>
      <c r="Q234" s="13">
        <f>IFERROR(VLOOKUP($A234,koronahun!$A:$AM,17,FALSE),"")</f>
        <v>7.3200273842751063E-3</v>
      </c>
      <c r="R234">
        <f>IFERROR(VLOOKUP($A234,koronahun!$A:$AM,18,FALSE),"")</f>
        <v>2</v>
      </c>
      <c r="S234">
        <f>IFERROR(VLOOKUP($A234,koronahun!$A:$AM,19,FALSE),"")</f>
        <v>613</v>
      </c>
      <c r="T234">
        <f>IFERROR(VLOOKUP($A234,koronahun!$A:$AM,20,FALSE),"")</f>
        <v>76</v>
      </c>
      <c r="U234">
        <f>IFERROR(VLOOKUP($A234,koronahun!$A:$AM,21,FALSE),"")</f>
        <v>11</v>
      </c>
      <c r="V234" s="13">
        <f>IFERROR(VLOOKUP($A234,koronahun!$A:$AM,22,FALSE),"")</f>
        <v>4.4014815840487401E-2</v>
      </c>
      <c r="W234">
        <f>IFERROR(VLOOKUP($A234,koronahun!$A:$AM,23,FALSE),"")</f>
        <v>-10</v>
      </c>
      <c r="X234">
        <f>IFERROR(VLOOKUP($A234,koronahun!$A:$AM,24,FALSE),"")</f>
        <v>1</v>
      </c>
      <c r="Y234" s="14">
        <f>IFERROR(VLOOKUP($A234,koronahun!$A:$AM,25,FALSE),"")</f>
        <v>2.1347115330599404E-3</v>
      </c>
      <c r="Z234" s="14">
        <f>IFERROR(VLOOKUP($A234,koronahun!$A:$AM,26,FALSE),"")</f>
        <v>0.14473684210526316</v>
      </c>
      <c r="AA234" s="14">
        <f>IFERROR(VLOOKUP($A234,koronahun!$A:$AM,27,FALSE),"")</f>
        <v>1.1732851985559567</v>
      </c>
      <c r="AB234" s="14">
        <f>IFERROR(VLOOKUP($A234,koronahun!$A:$AM,28,FALSE),"")</f>
        <v>1.2060193115955722</v>
      </c>
      <c r="AC234" s="14">
        <f>IFERROR(VLOOKUP($A234,koronahun!$A:$AM,29,FALSE),"")</f>
        <v>46.428571428571431</v>
      </c>
      <c r="AD234" s="14">
        <f>IFERROR(VLOOKUP($A234,koronahun!$A:$AM,30,FALSE),"")</f>
        <v>1.4285714285714286</v>
      </c>
      <c r="AE234" s="14">
        <f>IFERROR(VLOOKUP($A234,koronahun!$A:$AM,31,FALSE),"")</f>
        <v>6628.8571428571431</v>
      </c>
      <c r="AF234" s="13">
        <f>IFERROR(VLOOKUP($A234,koronahun!$A:$AM,32,FALSE),"")</f>
        <v>6.6461074746477526E-3</v>
      </c>
      <c r="AG234">
        <f>IFERROR(VLOOKUP($A234,koronahun!$A:$AM,33,FALSE),"")</f>
        <v>5569099</v>
      </c>
      <c r="AH234">
        <f>IFERROR(VLOOKUP($A234,koronahun!$A:$AM,34,FALSE),"")</f>
        <v>9921</v>
      </c>
      <c r="AI234">
        <f>IFERROR(VLOOKUP($A234,koronahun!$A:$AM,35,FALSE),"")</f>
        <v>6108.4</v>
      </c>
      <c r="AJ234">
        <f>IFERROR(VLOOKUP($A234,koronahun!$A:$AM,36,FALSE),"")</f>
        <v>5293132</v>
      </c>
      <c r="AK234">
        <f>IFERROR(VLOOKUP($A234,koronahun!$A:$AM,37,FALSE),"")</f>
        <v>24318</v>
      </c>
      <c r="AL234">
        <f>IFERROR(VLOOKUP($A234,koronahun!$A:$AM,38,FALSE),"")</f>
        <v>23525.8</v>
      </c>
      <c r="AM234" s="14">
        <f>IFERROR(VLOOKUP($A234,koronahun!$A:$AM,39,FALSE),"")</f>
        <v>248</v>
      </c>
      <c r="AN234" s="11">
        <f ca="1">IFERROR(__xludf.DUMMYFUNCTION("""COMPUTED_VALUE"""),44126)</f>
        <v>44126</v>
      </c>
      <c r="AO234" s="12">
        <f ca="1">IFERROR(VLOOKUP(AN234,koronahun!A:B,2,FALSE),"")</f>
        <v>52212</v>
      </c>
      <c r="AP234" s="11">
        <f t="shared" ca="1" si="0"/>
        <v>44126</v>
      </c>
      <c r="AQ234" s="11">
        <f ca="1">IFERROR(__xludf.DUMMYFUNCTION("""COMPUTED_VALUE"""),44126)</f>
        <v>44126</v>
      </c>
      <c r="AR234" s="11">
        <v>44397</v>
      </c>
      <c r="AS234" s="11">
        <f t="shared" si="1"/>
        <v>44397</v>
      </c>
      <c r="AT234" s="11">
        <f ca="1">IFERROR(__xludf.DUMMYFUNCTION("""COMPUTED_VALUE"""),44396)</f>
        <v>44396</v>
      </c>
    </row>
    <row r="235" spans="1:46" ht="13">
      <c r="A235" s="11">
        <v>44393</v>
      </c>
      <c r="B235">
        <f>IFERROR(VLOOKUP($A235,koronahun!$A:$AM,2,FALSE),"")</f>
        <v>808725</v>
      </c>
      <c r="C235">
        <f>IFERROR(VLOOKUP($A235,koronahun!$A:$AM,3,FALSE),"")</f>
        <v>64</v>
      </c>
      <c r="D235">
        <f>IFERROR(VLOOKUP($A235,koronahun!$A:$AM,4,FALSE),"")</f>
        <v>30015</v>
      </c>
      <c r="E235">
        <f>IFERROR(VLOOKUP($A235,koronahun!$A:$AM,5,FALSE),"")</f>
        <v>742632</v>
      </c>
      <c r="F235">
        <f>IFERROR(VLOOKUP($A235,koronahun!$A:$AM,6,FALSE),"")</f>
        <v>6238275</v>
      </c>
      <c r="G235" s="12">
        <f>IFERROR(VLOOKUP($A235,koronahun!$A:$AM,7,FALSE),"")</f>
        <v>636558.67346938769</v>
      </c>
      <c r="H235">
        <f>IFERROR(VLOOKUP($A235,koronahun!$A:$AM,8,FALSE),"")</f>
        <v>0</v>
      </c>
      <c r="I235" s="13">
        <f>IFERROR(VLOOKUP($A235,koronahun!$A:$AM,9,FALSE),"")</f>
        <v>7.914317618878616E-5</v>
      </c>
      <c r="J235" s="13">
        <f>IFERROR(VLOOKUP($A235,koronahun!$A:$AM,10,FALSE),"")</f>
        <v>0.12963920314510022</v>
      </c>
      <c r="K235" s="13">
        <f>IFERROR(VLOOKUP($A235,koronahun!$A:$AM,11,FALSE),"")</f>
        <v>1.4073342549684501E-3</v>
      </c>
      <c r="L235">
        <f>IFERROR(VLOOKUP($A235,koronahun!$A:$AM,12,FALSE),"")</f>
        <v>36078</v>
      </c>
      <c r="M235" s="13">
        <f>IFERROR(VLOOKUP($A235,koronahun!$A:$AM,13,FALSE),"")</f>
        <v>3.7113975702494667E-2</v>
      </c>
      <c r="N235" s="13">
        <f>IFERROR(VLOOKUP($A235,koronahun!$A:$AM,14,FALSE),"")</f>
        <v>0.91827506259853475</v>
      </c>
      <c r="O235">
        <f>IFERROR(VLOOKUP($A235,koronahun!$A:$AM,15,FALSE),"")</f>
        <v>1473</v>
      </c>
      <c r="P235">
        <f>IFERROR(VLOOKUP($A235,koronahun!$A:$AM,16,FALSE),"")</f>
        <v>8767</v>
      </c>
      <c r="Q235" s="13">
        <f>IFERROR(VLOOKUP($A235,koronahun!$A:$AM,17,FALSE),"")</f>
        <v>7.3001026576936237E-3</v>
      </c>
      <c r="R235">
        <f>IFERROR(VLOOKUP($A235,koronahun!$A:$AM,18,FALSE),"")</f>
        <v>2</v>
      </c>
      <c r="S235">
        <f>IFERROR(VLOOKUP($A235,koronahun!$A:$AM,19,FALSE),"")</f>
        <v>362</v>
      </c>
      <c r="T235">
        <f>IFERROR(VLOOKUP($A235,koronahun!$A:$AM,20,FALSE),"")</f>
        <v>86</v>
      </c>
      <c r="U235">
        <f>IFERROR(VLOOKUP($A235,koronahun!$A:$AM,21,FALSE),"")</f>
        <v>10</v>
      </c>
      <c r="V235" s="13">
        <f>IFERROR(VLOOKUP($A235,koronahun!$A:$AM,22,FALSE),"")</f>
        <v>4.4610961698970601E-2</v>
      </c>
      <c r="W235">
        <f>IFERROR(VLOOKUP($A235,koronahun!$A:$AM,23,FALSE),"")</f>
        <v>3</v>
      </c>
      <c r="X235">
        <f>IFERROR(VLOOKUP($A235,koronahun!$A:$AM,24,FALSE),"")</f>
        <v>1</v>
      </c>
      <c r="Y235" s="14">
        <f>IFERROR(VLOOKUP($A235,koronahun!$A:$AM,25,FALSE),"")</f>
        <v>2.3837241532235712E-3</v>
      </c>
      <c r="Z235" s="14">
        <f>IFERROR(VLOOKUP($A235,koronahun!$A:$AM,26,FALSE),"")</f>
        <v>0.11627906976744186</v>
      </c>
      <c r="AA235" s="14">
        <f>IFERROR(VLOOKUP($A235,koronahun!$A:$AM,27,FALSE),"")</f>
        <v>1.2</v>
      </c>
      <c r="AB235" s="14">
        <f>IFERROR(VLOOKUP($A235,koronahun!$A:$AM,28,FALSE),"")</f>
        <v>1.2231804537025626</v>
      </c>
      <c r="AC235" s="14">
        <f>IFERROR(VLOOKUP($A235,koronahun!$A:$AM,29,FALSE),"")</f>
        <v>41.142857142857146</v>
      </c>
      <c r="AD235" s="14">
        <f>IFERROR(VLOOKUP($A235,koronahun!$A:$AM,30,FALSE),"")</f>
        <v>1.5714285714285714</v>
      </c>
      <c r="AE235" s="14">
        <f>IFERROR(VLOOKUP($A235,koronahun!$A:$AM,31,FALSE),"")</f>
        <v>6555.2857142857147</v>
      </c>
      <c r="AF235" s="13">
        <f>IFERROR(VLOOKUP($A235,koronahun!$A:$AM,32,FALSE),"")</f>
        <v>6.2863566259187455E-3</v>
      </c>
      <c r="AG235">
        <f>IFERROR(VLOOKUP($A235,koronahun!$A:$AM,33,FALSE),"")</f>
        <v>5559178</v>
      </c>
      <c r="AH235">
        <f>IFERROR(VLOOKUP($A235,koronahun!$A:$AM,34,FALSE),"")</f>
        <v>6319</v>
      </c>
      <c r="AI235">
        <f>IFERROR(VLOOKUP($A235,koronahun!$A:$AM,35,FALSE),"")</f>
        <v>5950</v>
      </c>
      <c r="AJ235">
        <f>IFERROR(VLOOKUP($A235,koronahun!$A:$AM,36,FALSE),"")</f>
        <v>5268814</v>
      </c>
      <c r="AK235">
        <f>IFERROR(VLOOKUP($A235,koronahun!$A:$AM,37,FALSE),"")</f>
        <v>18355</v>
      </c>
      <c r="AL235">
        <f>IFERROR(VLOOKUP($A235,koronahun!$A:$AM,38,FALSE),"")</f>
        <v>24666</v>
      </c>
      <c r="AM235" s="14">
        <f>IFERROR(VLOOKUP($A235,koronahun!$A:$AM,39,FALSE),"")</f>
        <v>221.28571428571428</v>
      </c>
      <c r="AN235" s="11">
        <f ca="1">IFERROR(__xludf.DUMMYFUNCTION("""COMPUTED_VALUE"""),44127)</f>
        <v>44127</v>
      </c>
      <c r="AO235" s="12">
        <f ca="1">IFERROR(VLOOKUP(AN235,koronahun!A:B,2,FALSE),"")</f>
        <v>54278</v>
      </c>
      <c r="AP235" s="11">
        <f t="shared" ca="1" si="0"/>
        <v>44127</v>
      </c>
      <c r="AQ235" s="11">
        <f ca="1">IFERROR(__xludf.DUMMYFUNCTION("""COMPUTED_VALUE"""),44127)</f>
        <v>44127</v>
      </c>
      <c r="AR235" s="11">
        <v>44396</v>
      </c>
      <c r="AS235" s="11">
        <f t="shared" si="1"/>
        <v>44396</v>
      </c>
      <c r="AT235" s="11">
        <f ca="1">IFERROR(__xludf.DUMMYFUNCTION("""COMPUTED_VALUE"""),44393)</f>
        <v>44393</v>
      </c>
    </row>
    <row r="236" spans="1:46" ht="13">
      <c r="A236" s="11">
        <v>44392</v>
      </c>
      <c r="B236">
        <f>IFERROR(VLOOKUP($A236,koronahun!$A:$AM,2,FALSE),"")</f>
        <v>808661</v>
      </c>
      <c r="C236">
        <f>IFERROR(VLOOKUP($A236,koronahun!$A:$AM,3,FALSE),"")</f>
        <v>49</v>
      </c>
      <c r="D236">
        <f>IFERROR(VLOOKUP($A236,koronahun!$A:$AM,4,FALSE),"")</f>
        <v>30013</v>
      </c>
      <c r="E236">
        <f>IFERROR(VLOOKUP($A236,koronahun!$A:$AM,5,FALSE),"")</f>
        <v>742270</v>
      </c>
      <c r="F236">
        <f>IFERROR(VLOOKUP($A236,koronahun!$A:$AM,6,FALSE),"")</f>
        <v>6229508</v>
      </c>
      <c r="G236" s="12">
        <f>IFERROR(VLOOKUP($A236,koronahun!$A:$AM,7,FALSE),"")</f>
        <v>635664.08163265302</v>
      </c>
      <c r="H236">
        <f>IFERROR(VLOOKUP($A236,koronahun!$A:$AM,8,FALSE),"")</f>
        <v>0</v>
      </c>
      <c r="I236" s="13">
        <f>IFERROR(VLOOKUP($A236,koronahun!$A:$AM,9,FALSE),"")</f>
        <v>6.0597666124173273E-5</v>
      </c>
      <c r="J236" s="13">
        <f>IFERROR(VLOOKUP($A236,koronahun!$A:$AM,10,FALSE),"")</f>
        <v>0.12981137515193816</v>
      </c>
      <c r="K236" s="13">
        <f>IFERROR(VLOOKUP($A236,koronahun!$A:$AM,11,FALSE),"")</f>
        <v>1.198318496856021E-3</v>
      </c>
      <c r="L236">
        <f>IFERROR(VLOOKUP($A236,koronahun!$A:$AM,12,FALSE),"")</f>
        <v>36378</v>
      </c>
      <c r="M236" s="13">
        <f>IFERROR(VLOOKUP($A236,koronahun!$A:$AM,13,FALSE),"")</f>
        <v>3.7114439796156855E-2</v>
      </c>
      <c r="N236" s="13">
        <f>IFERROR(VLOOKUP($A236,koronahun!$A:$AM,14,FALSE),"")</f>
        <v>0.91790008421328595</v>
      </c>
      <c r="O236">
        <f>IFERROR(VLOOKUP($A236,koronahun!$A:$AM,15,FALSE),"")</f>
        <v>1544</v>
      </c>
      <c r="P236">
        <f>IFERROR(VLOOKUP($A236,koronahun!$A:$AM,16,FALSE),"")</f>
        <v>7456</v>
      </c>
      <c r="Q236" s="13">
        <f>IFERROR(VLOOKUP($A236,koronahun!$A:$AM,17,FALSE),"")</f>
        <v>6.5718884120171675E-3</v>
      </c>
      <c r="R236">
        <f>IFERROR(VLOOKUP($A236,koronahun!$A:$AM,18,FALSE),"")</f>
        <v>0</v>
      </c>
      <c r="S236">
        <f>IFERROR(VLOOKUP($A236,koronahun!$A:$AM,19,FALSE),"")</f>
        <v>374</v>
      </c>
      <c r="T236">
        <f>IFERROR(VLOOKUP($A236,koronahun!$A:$AM,20,FALSE),"")</f>
        <v>83</v>
      </c>
      <c r="U236">
        <f>IFERROR(VLOOKUP($A236,koronahun!$A:$AM,21,FALSE),"")</f>
        <v>9</v>
      </c>
      <c r="V236" s="13">
        <f>IFERROR(VLOOKUP($A236,koronahun!$A:$AM,22,FALSE),"")</f>
        <v>4.498547599055723E-2</v>
      </c>
      <c r="W236">
        <f>IFERROR(VLOOKUP($A236,koronahun!$A:$AM,23,FALSE),"")</f>
        <v>-1</v>
      </c>
      <c r="X236">
        <f>IFERROR(VLOOKUP($A236,koronahun!$A:$AM,24,FALSE),"")</f>
        <v>-2</v>
      </c>
      <c r="Y236" s="14">
        <f>IFERROR(VLOOKUP($A236,koronahun!$A:$AM,25,FALSE),"")</f>
        <v>2.2815987684864478E-3</v>
      </c>
      <c r="Z236" s="14">
        <f>IFERROR(VLOOKUP($A236,koronahun!$A:$AM,26,FALSE),"")</f>
        <v>0.10843373493975904</v>
      </c>
      <c r="AA236" s="14">
        <f>IFERROR(VLOOKUP($A236,koronahun!$A:$AM,27,FALSE),"")</f>
        <v>1.150214592274678</v>
      </c>
      <c r="AB236" s="14">
        <f>IFERROR(VLOOKUP($A236,koronahun!$A:$AM,28,FALSE),"")</f>
        <v>1.1504278404621444</v>
      </c>
      <c r="AC236" s="14">
        <f>IFERROR(VLOOKUP($A236,koronahun!$A:$AM,29,FALSE),"")</f>
        <v>38.285714285714285</v>
      </c>
      <c r="AD236" s="14">
        <f>IFERROR(VLOOKUP($A236,koronahun!$A:$AM,30,FALSE),"")</f>
        <v>1.2857142857142858</v>
      </c>
      <c r="AE236" s="14">
        <f>IFERROR(VLOOKUP($A236,koronahun!$A:$AM,31,FALSE),"")</f>
        <v>7188.7142857142853</v>
      </c>
      <c r="AF236" s="13">
        <f>IFERROR(VLOOKUP($A236,koronahun!$A:$AM,32,FALSE),"")</f>
        <v>5.4929522598220334E-3</v>
      </c>
      <c r="AG236">
        <f>IFERROR(VLOOKUP($A236,koronahun!$A:$AM,33,FALSE),"")</f>
        <v>5552859</v>
      </c>
      <c r="AH236">
        <f>IFERROR(VLOOKUP($A236,koronahun!$A:$AM,34,FALSE),"")</f>
        <v>4408</v>
      </c>
      <c r="AI236">
        <f>IFERROR(VLOOKUP($A236,koronahun!$A:$AM,35,FALSE),"")</f>
        <v>5792.2</v>
      </c>
      <c r="AJ236">
        <f>IFERROR(VLOOKUP($A236,koronahun!$A:$AM,36,FALSE),"")</f>
        <v>5250459</v>
      </c>
      <c r="AK236">
        <f>IFERROR(VLOOKUP($A236,koronahun!$A:$AM,37,FALSE),"")</f>
        <v>23718</v>
      </c>
      <c r="AL236">
        <f>IFERROR(VLOOKUP($A236,koronahun!$A:$AM,38,FALSE),"")</f>
        <v>24825.8</v>
      </c>
      <c r="AM236" s="14">
        <f>IFERROR(VLOOKUP($A236,koronahun!$A:$AM,39,FALSE),"")</f>
        <v>211.42857142857142</v>
      </c>
      <c r="AN236" s="11">
        <f ca="1">IFERROR(__xludf.DUMMYFUNCTION("""COMPUTED_VALUE"""),44128)</f>
        <v>44128</v>
      </c>
      <c r="AO236" s="12">
        <f ca="1">IFERROR(VLOOKUP(AN236,koronahun!A:B,2,FALSE),"")</f>
        <v>56098</v>
      </c>
      <c r="AP236" s="11">
        <f t="shared" ca="1" si="0"/>
        <v>44128</v>
      </c>
      <c r="AQ236" s="11">
        <f ca="1">IFERROR(__xludf.DUMMYFUNCTION("""COMPUTED_VALUE"""),44128)</f>
        <v>44128</v>
      </c>
      <c r="AR236" s="11">
        <v>44393</v>
      </c>
      <c r="AS236" s="11">
        <f t="shared" si="1"/>
        <v>44393</v>
      </c>
      <c r="AT236" s="11">
        <f ca="1">IFERROR(__xludf.DUMMYFUNCTION("""COMPUTED_VALUE"""),44392)</f>
        <v>44392</v>
      </c>
    </row>
    <row r="237" spans="1:46" ht="13">
      <c r="A237" s="11">
        <v>44391</v>
      </c>
      <c r="B237">
        <f>IFERROR(VLOOKUP($A237,koronahun!$A:$AM,2,FALSE),"")</f>
        <v>808612</v>
      </c>
      <c r="C237">
        <f>IFERROR(VLOOKUP($A237,koronahun!$A:$AM,3,FALSE),"")</f>
        <v>56</v>
      </c>
      <c r="D237">
        <f>IFERROR(VLOOKUP($A237,koronahun!$A:$AM,4,FALSE),"")</f>
        <v>30013</v>
      </c>
      <c r="E237">
        <f>IFERROR(VLOOKUP($A237,koronahun!$A:$AM,5,FALSE),"")</f>
        <v>741896</v>
      </c>
      <c r="F237">
        <f>IFERROR(VLOOKUP($A237,koronahun!$A:$AM,6,FALSE),"")</f>
        <v>6222052</v>
      </c>
      <c r="G237" s="12">
        <f>IFERROR(VLOOKUP($A237,koronahun!$A:$AM,7,FALSE),"")</f>
        <v>634903.26530612237</v>
      </c>
      <c r="H237">
        <f>IFERROR(VLOOKUP($A237,koronahun!$A:$AM,8,FALSE),"")</f>
        <v>0</v>
      </c>
      <c r="I237" s="13">
        <f>IFERROR(VLOOKUP($A237,koronahun!$A:$AM,9,FALSE),"")</f>
        <v>6.9259272085050381E-5</v>
      </c>
      <c r="J237" s="13">
        <f>IFERROR(VLOOKUP($A237,koronahun!$A:$AM,10,FALSE),"")</f>
        <v>0.12995905530844165</v>
      </c>
      <c r="K237" s="13">
        <f>IFERROR(VLOOKUP($A237,koronahun!$A:$AM,11,FALSE),"")</f>
        <v>1.1575485715039668E-3</v>
      </c>
      <c r="L237">
        <f>IFERROR(VLOOKUP($A237,koronahun!$A:$AM,12,FALSE),"")</f>
        <v>36703</v>
      </c>
      <c r="M237" s="13">
        <f>IFERROR(VLOOKUP($A237,koronahun!$A:$AM,13,FALSE),"")</f>
        <v>3.7116688844588012E-2</v>
      </c>
      <c r="N237" s="13">
        <f>IFERROR(VLOOKUP($A237,koronahun!$A:$AM,14,FALSE),"")</f>
        <v>0.91749318585427864</v>
      </c>
      <c r="O237">
        <f>IFERROR(VLOOKUP($A237,koronahun!$A:$AM,15,FALSE),"")</f>
        <v>1582</v>
      </c>
      <c r="P237">
        <f>IFERROR(VLOOKUP($A237,koronahun!$A:$AM,16,FALSE),"")</f>
        <v>7194</v>
      </c>
      <c r="Q237" s="13">
        <f>IFERROR(VLOOKUP($A237,koronahun!$A:$AM,17,FALSE),"")</f>
        <v>7.7842646649986099E-3</v>
      </c>
      <c r="R237">
        <f>IFERROR(VLOOKUP($A237,koronahun!$A:$AM,18,FALSE),"")</f>
        <v>3</v>
      </c>
      <c r="S237">
        <f>IFERROR(VLOOKUP($A237,koronahun!$A:$AM,19,FALSE),"")</f>
        <v>233</v>
      </c>
      <c r="T237">
        <f>IFERROR(VLOOKUP($A237,koronahun!$A:$AM,20,FALSE),"")</f>
        <v>84</v>
      </c>
      <c r="U237">
        <f>IFERROR(VLOOKUP($A237,koronahun!$A:$AM,21,FALSE),"")</f>
        <v>11</v>
      </c>
      <c r="V237" s="13">
        <f>IFERROR(VLOOKUP($A237,koronahun!$A:$AM,22,FALSE),"")</f>
        <v>4.5390125301133302E-2</v>
      </c>
      <c r="W237">
        <f>IFERROR(VLOOKUP($A237,koronahun!$A:$AM,23,FALSE),"")</f>
        <v>-2</v>
      </c>
      <c r="X237">
        <f>IFERROR(VLOOKUP($A237,koronahun!$A:$AM,24,FALSE),"")</f>
        <v>-1</v>
      </c>
      <c r="Y237" s="14">
        <f>IFERROR(VLOOKUP($A237,koronahun!$A:$AM,25,FALSE),"")</f>
        <v>2.2886412554832028E-3</v>
      </c>
      <c r="Z237" s="14">
        <f>IFERROR(VLOOKUP($A237,koronahun!$A:$AM,26,FALSE),"")</f>
        <v>0.13095238095238096</v>
      </c>
      <c r="AA237" s="14">
        <f>IFERROR(VLOOKUP($A237,koronahun!$A:$AM,27,FALSE),"")</f>
        <v>1.3047619047619048</v>
      </c>
      <c r="AB237" s="14">
        <f>IFERROR(VLOOKUP($A237,koronahun!$A:$AM,28,FALSE),"")</f>
        <v>1.0678532764375885</v>
      </c>
      <c r="AC237" s="14">
        <f>IFERROR(VLOOKUP($A237,koronahun!$A:$AM,29,FALSE),"")</f>
        <v>39.142857142857146</v>
      </c>
      <c r="AD237" s="14">
        <f>IFERROR(VLOOKUP($A237,koronahun!$A:$AM,30,FALSE),"")</f>
        <v>2</v>
      </c>
      <c r="AE237" s="14">
        <f>IFERROR(VLOOKUP($A237,koronahun!$A:$AM,31,FALSE),"")</f>
        <v>6947.1428571428569</v>
      </c>
      <c r="AF237" s="13">
        <f>IFERROR(VLOOKUP($A237,koronahun!$A:$AM,32,FALSE),"")</f>
        <v>6.0866404924229366E-3</v>
      </c>
      <c r="AG237">
        <f>IFERROR(VLOOKUP($A237,koronahun!$A:$AM,33,FALSE),"")</f>
        <v>5548451</v>
      </c>
      <c r="AH237">
        <f>IFERROR(VLOOKUP($A237,koronahun!$A:$AM,34,FALSE),"")</f>
        <v>4560</v>
      </c>
      <c r="AI237">
        <f>IFERROR(VLOOKUP($A237,koronahun!$A:$AM,35,FALSE),"")</f>
        <v>5791.2</v>
      </c>
      <c r="AJ237">
        <f>IFERROR(VLOOKUP($A237,koronahun!$A:$AM,36,FALSE),"")</f>
        <v>5226741</v>
      </c>
      <c r="AK237">
        <f>IFERROR(VLOOKUP($A237,koronahun!$A:$AM,37,FALSE),"")</f>
        <v>23816</v>
      </c>
      <c r="AL237">
        <f>IFERROR(VLOOKUP($A237,koronahun!$A:$AM,38,FALSE),"")</f>
        <v>24778.799999999999</v>
      </c>
      <c r="AM237" s="14">
        <f>IFERROR(VLOOKUP($A237,koronahun!$A:$AM,39,FALSE),"")</f>
        <v>194.42857142857142</v>
      </c>
      <c r="AN237" s="11">
        <f ca="1">IFERROR(__xludf.DUMMYFUNCTION("""COMPUTED_VALUE"""),44129)</f>
        <v>44129</v>
      </c>
      <c r="AO237" s="12">
        <f ca="1">IFERROR(VLOOKUP(AN237,koronahun!A:B,2,FALSE),"")</f>
        <v>59247</v>
      </c>
      <c r="AP237" s="11">
        <f t="shared" ca="1" si="0"/>
        <v>44129</v>
      </c>
      <c r="AQ237" s="11">
        <f ca="1">IFERROR(__xludf.DUMMYFUNCTION("""COMPUTED_VALUE"""),44129)</f>
        <v>44129</v>
      </c>
      <c r="AR237" s="11">
        <v>44392</v>
      </c>
      <c r="AS237" s="11">
        <f t="shared" si="1"/>
        <v>44392</v>
      </c>
      <c r="AT237" s="11">
        <f ca="1">IFERROR(__xludf.DUMMYFUNCTION("""COMPUTED_VALUE"""),44391)</f>
        <v>44391</v>
      </c>
    </row>
    <row r="238" spans="1:46" ht="13">
      <c r="A238" s="11">
        <v>44390</v>
      </c>
      <c r="B238">
        <f>IFERROR(VLOOKUP($A238,koronahun!$A:$AM,2,FALSE),"")</f>
        <v>808556</v>
      </c>
      <c r="C238">
        <f>IFERROR(VLOOKUP($A238,koronahun!$A:$AM,3,FALSE),"")</f>
        <v>17</v>
      </c>
      <c r="D238">
        <f>IFERROR(VLOOKUP($A238,koronahun!$A:$AM,4,FALSE),"")</f>
        <v>30010</v>
      </c>
      <c r="E238">
        <f>IFERROR(VLOOKUP($A238,koronahun!$A:$AM,5,FALSE),"")</f>
        <v>741663</v>
      </c>
      <c r="F238">
        <f>IFERROR(VLOOKUP($A238,koronahun!$A:$AM,6,FALSE),"")</f>
        <v>6214858</v>
      </c>
      <c r="G238" s="12">
        <f>IFERROR(VLOOKUP($A238,koronahun!$A:$AM,7,FALSE),"")</f>
        <v>634169.18367346935</v>
      </c>
      <c r="H238">
        <f>IFERROR(VLOOKUP($A238,koronahun!$A:$AM,8,FALSE),"")</f>
        <v>0</v>
      </c>
      <c r="I238" s="13">
        <f>IFERROR(VLOOKUP($A238,koronahun!$A:$AM,9,FALSE),"")</f>
        <v>2.1025578234321413E-5</v>
      </c>
      <c r="J238" s="13">
        <f>IFERROR(VLOOKUP($A238,koronahun!$A:$AM,10,FALSE),"")</f>
        <v>0.13010047856282478</v>
      </c>
      <c r="K238" s="13">
        <f>IFERROR(VLOOKUP($A238,koronahun!$A:$AM,11,FALSE),"")</f>
        <v>6.4338895309539964E-4</v>
      </c>
      <c r="L238">
        <f>IFERROR(VLOOKUP($A238,koronahun!$A:$AM,12,FALSE),"")</f>
        <v>36883</v>
      </c>
      <c r="M238" s="13">
        <f>IFERROR(VLOOKUP($A238,koronahun!$A:$AM,13,FALSE),"")</f>
        <v>3.7115549201292182E-2</v>
      </c>
      <c r="N238" s="13">
        <f>IFERROR(VLOOKUP($A238,koronahun!$A:$AM,14,FALSE),"")</f>
        <v>0.91726856272169155</v>
      </c>
      <c r="O238">
        <f>IFERROR(VLOOKUP($A238,koronahun!$A:$AM,15,FALSE),"")</f>
        <v>1659</v>
      </c>
      <c r="P238">
        <f>IFERROR(VLOOKUP($A238,koronahun!$A:$AM,16,FALSE),"")</f>
        <v>3996</v>
      </c>
      <c r="Q238" s="13">
        <f>IFERROR(VLOOKUP($A238,koronahun!$A:$AM,17,FALSE),"")</f>
        <v>4.2542542542542547E-3</v>
      </c>
      <c r="R238">
        <f>IFERROR(VLOOKUP($A238,koronahun!$A:$AM,18,FALSE),"")</f>
        <v>3</v>
      </c>
      <c r="S238">
        <f>IFERROR(VLOOKUP($A238,koronahun!$A:$AM,19,FALSE),"")</f>
        <v>154</v>
      </c>
      <c r="T238">
        <f>IFERROR(VLOOKUP($A238,koronahun!$A:$AM,20,FALSE),"")</f>
        <v>86</v>
      </c>
      <c r="U238">
        <f>IFERROR(VLOOKUP($A238,koronahun!$A:$AM,21,FALSE),"")</f>
        <v>12</v>
      </c>
      <c r="V238" s="13">
        <f>IFERROR(VLOOKUP($A238,koronahun!$A:$AM,22,FALSE),"")</f>
        <v>4.561588807701631E-2</v>
      </c>
      <c r="W238">
        <f>IFERROR(VLOOKUP($A238,koronahun!$A:$AM,23,FALSE),"")</f>
        <v>13</v>
      </c>
      <c r="X238">
        <f>IFERROR(VLOOKUP($A238,koronahun!$A:$AM,24,FALSE),"")</f>
        <v>0</v>
      </c>
      <c r="Y238" s="14">
        <f>IFERROR(VLOOKUP($A238,koronahun!$A:$AM,25,FALSE),"")</f>
        <v>2.3316975300273837E-3</v>
      </c>
      <c r="Z238" s="14">
        <f>IFERROR(VLOOKUP($A238,koronahun!$A:$AM,26,FALSE),"")</f>
        <v>0.13953488372093023</v>
      </c>
      <c r="AA238" s="14">
        <f>IFERROR(VLOOKUP($A238,koronahun!$A:$AM,27,FALSE),"")</f>
        <v>1.201834862385321</v>
      </c>
      <c r="AB238" s="14">
        <f>IFERROR(VLOOKUP($A238,koronahun!$A:$AM,28,FALSE),"")</f>
        <v>0.92588106545687909</v>
      </c>
      <c r="AC238" s="14">
        <f>IFERROR(VLOOKUP($A238,koronahun!$A:$AM,29,FALSE),"")</f>
        <v>37.428571428571431</v>
      </c>
      <c r="AD238" s="14">
        <f>IFERROR(VLOOKUP($A238,koronahun!$A:$AM,30,FALSE),"")</f>
        <v>1.7142857142857142</v>
      </c>
      <c r="AE238" s="14">
        <f>IFERROR(VLOOKUP($A238,koronahun!$A:$AM,31,FALSE),"")</f>
        <v>6646.1428571428569</v>
      </c>
      <c r="AF238" s="13">
        <f>IFERROR(VLOOKUP($A238,koronahun!$A:$AM,32,FALSE),"")</f>
        <v>6.2596873038698432E-3</v>
      </c>
      <c r="AG238">
        <f>IFERROR(VLOOKUP($A238,koronahun!$A:$AM,33,FALSE),"")</f>
        <v>5543891</v>
      </c>
      <c r="AH238">
        <f>IFERROR(VLOOKUP($A238,koronahun!$A:$AM,34,FALSE),"")</f>
        <v>5334</v>
      </c>
      <c r="AI238">
        <f>IFERROR(VLOOKUP($A238,koronahun!$A:$AM,35,FALSE),"")</f>
        <v>6112.8</v>
      </c>
      <c r="AJ238">
        <f>IFERROR(VLOOKUP($A238,koronahun!$A:$AM,36,FALSE),"")</f>
        <v>5202925</v>
      </c>
      <c r="AK238">
        <f>IFERROR(VLOOKUP($A238,koronahun!$A:$AM,37,FALSE),"")</f>
        <v>27422</v>
      </c>
      <c r="AL238">
        <f>IFERROR(VLOOKUP($A238,koronahun!$A:$AM,38,FALSE),"")</f>
        <v>26180.2</v>
      </c>
      <c r="AM238" s="14">
        <f>IFERROR(VLOOKUP($A238,koronahun!$A:$AM,39,FALSE),"")</f>
        <v>190.85714285714286</v>
      </c>
      <c r="AN238" s="11">
        <f ca="1">IFERROR(__xludf.DUMMYFUNCTION("""COMPUTED_VALUE"""),44130)</f>
        <v>44130</v>
      </c>
      <c r="AO238" s="12">
        <f ca="1">IFERROR(VLOOKUP(AN238,koronahun!A:B,2,FALSE),"")</f>
        <v>61563</v>
      </c>
      <c r="AP238" s="11">
        <f t="shared" ca="1" si="0"/>
        <v>44130</v>
      </c>
      <c r="AQ238" s="11">
        <f ca="1">IFERROR(__xludf.DUMMYFUNCTION("""COMPUTED_VALUE"""),44130)</f>
        <v>44130</v>
      </c>
      <c r="AR238" s="11">
        <v>44391</v>
      </c>
      <c r="AS238" s="11">
        <f t="shared" si="1"/>
        <v>44391</v>
      </c>
      <c r="AT238" s="11">
        <f ca="1">IFERROR(__xludf.DUMMYFUNCTION("""COMPUTED_VALUE"""),44390)</f>
        <v>44390</v>
      </c>
    </row>
    <row r="239" spans="1:46" ht="13">
      <c r="A239" s="11">
        <v>44389</v>
      </c>
      <c r="B239">
        <f>IFERROR(VLOOKUP($A239,koronahun!$A:$AM,2,FALSE),"")</f>
        <v>808539</v>
      </c>
      <c r="C239">
        <f>IFERROR(VLOOKUP($A239,koronahun!$A:$AM,3,FALSE),"")</f>
        <v>102</v>
      </c>
      <c r="D239">
        <f>IFERROR(VLOOKUP($A239,koronahun!$A:$AM,4,FALSE),"")</f>
        <v>30007</v>
      </c>
      <c r="E239">
        <f>IFERROR(VLOOKUP($A239,koronahun!$A:$AM,5,FALSE),"")</f>
        <v>741509</v>
      </c>
      <c r="F239">
        <f>IFERROR(VLOOKUP($A239,koronahun!$A:$AM,6,FALSE),"")</f>
        <v>6210862</v>
      </c>
      <c r="G239" s="12">
        <f>IFERROR(VLOOKUP($A239,koronahun!$A:$AM,7,FALSE),"")</f>
        <v>633761.42857142852</v>
      </c>
      <c r="H239">
        <f>IFERROR(VLOOKUP($A239,koronahun!$A:$AM,8,FALSE),"")</f>
        <v>0</v>
      </c>
      <c r="I239" s="13">
        <f>IFERROR(VLOOKUP($A239,koronahun!$A:$AM,9,FALSE),"")</f>
        <v>1.2616938611171929E-4</v>
      </c>
      <c r="J239" s="13">
        <f>IFERROR(VLOOKUP($A239,koronahun!$A:$AM,10,FALSE),"")</f>
        <v>0.13018144663333367</v>
      </c>
      <c r="K239" s="13">
        <f>IFERROR(VLOOKUP($A239,koronahun!$A:$AM,11,FALSE),"")</f>
        <v>2.9833401912154082E-3</v>
      </c>
      <c r="L239">
        <f>IFERROR(VLOOKUP($A239,koronahun!$A:$AM,12,FALSE),"")</f>
        <v>37023</v>
      </c>
      <c r="M239" s="13">
        <f>IFERROR(VLOOKUP($A239,koronahun!$A:$AM,13,FALSE),"")</f>
        <v>3.7112619181016625E-2</v>
      </c>
      <c r="N239" s="13">
        <f>IFERROR(VLOOKUP($A239,koronahun!$A:$AM,14,FALSE),"")</f>
        <v>0.91709738182079037</v>
      </c>
      <c r="O239">
        <f>IFERROR(VLOOKUP($A239,koronahun!$A:$AM,15,FALSE),"")</f>
        <v>1649</v>
      </c>
      <c r="P239">
        <f>IFERROR(VLOOKUP($A239,koronahun!$A:$AM,16,FALSE),"")</f>
        <v>18474</v>
      </c>
      <c r="Q239" s="13">
        <f>IFERROR(VLOOKUP($A239,koronahun!$A:$AM,17,FALSE),"")</f>
        <v>5.5212731406300746E-3</v>
      </c>
      <c r="R239">
        <f>IFERROR(VLOOKUP($A239,koronahun!$A:$AM,18,FALSE),"")</f>
        <v>3</v>
      </c>
      <c r="S239">
        <f>IFERROR(VLOOKUP($A239,koronahun!$A:$AM,19,FALSE),"")</f>
        <v>426</v>
      </c>
      <c r="T239">
        <f>IFERROR(VLOOKUP($A239,koronahun!$A:$AM,20,FALSE),"")</f>
        <v>73</v>
      </c>
      <c r="U239">
        <f>IFERROR(VLOOKUP($A239,koronahun!$A:$AM,21,FALSE),"")</f>
        <v>12</v>
      </c>
      <c r="V239" s="13">
        <f>IFERROR(VLOOKUP($A239,koronahun!$A:$AM,22,FALSE),"")</f>
        <v>4.5789998998193041E-2</v>
      </c>
      <c r="W239">
        <f>IFERROR(VLOOKUP($A239,koronahun!$A:$AM,23,FALSE),"")</f>
        <v>-14</v>
      </c>
      <c r="X239">
        <f>IFERROR(VLOOKUP($A239,koronahun!$A:$AM,24,FALSE),"")</f>
        <v>-1</v>
      </c>
      <c r="Y239" s="14">
        <f>IFERROR(VLOOKUP($A239,koronahun!$A:$AM,25,FALSE),"")</f>
        <v>1.9717472922237528E-3</v>
      </c>
      <c r="Z239" s="14">
        <f>IFERROR(VLOOKUP($A239,koronahun!$A:$AM,26,FALSE),"")</f>
        <v>0.16438356164383561</v>
      </c>
      <c r="AA239" s="14">
        <f>IFERROR(VLOOKUP($A239,koronahun!$A:$AM,27,FALSE),"")</f>
        <v>1.259090909090909</v>
      </c>
      <c r="AB239" s="14">
        <f>IFERROR(VLOOKUP($A239,koronahun!$A:$AM,28,FALSE),"")</f>
        <v>0.79673858277573317</v>
      </c>
      <c r="AC239" s="14">
        <f>IFERROR(VLOOKUP($A239,koronahun!$A:$AM,29,FALSE),"")</f>
        <v>39.571428571428569</v>
      </c>
      <c r="AD239" s="14">
        <f>IFERROR(VLOOKUP($A239,koronahun!$A:$AM,30,FALSE),"")</f>
        <v>1.5714285714285714</v>
      </c>
      <c r="AE239" s="14">
        <f>IFERROR(VLOOKUP($A239,koronahun!$A:$AM,31,FALSE),"")</f>
        <v>6670.7142857142853</v>
      </c>
      <c r="AF239" s="13">
        <f>IFERROR(VLOOKUP($A239,koronahun!$A:$AM,32,FALSE),"")</f>
        <v>6.9443450902550771E-3</v>
      </c>
      <c r="AG239">
        <f>IFERROR(VLOOKUP($A239,koronahun!$A:$AM,33,FALSE),"")</f>
        <v>5538557</v>
      </c>
      <c r="AH239">
        <f>IFERROR(VLOOKUP($A239,koronahun!$A:$AM,34,FALSE),"")</f>
        <v>9129</v>
      </c>
      <c r="AI239">
        <f>IFERROR(VLOOKUP($A239,koronahun!$A:$AM,35,FALSE),"")</f>
        <v>6378.4</v>
      </c>
      <c r="AJ239">
        <f>IFERROR(VLOOKUP($A239,koronahun!$A:$AM,36,FALSE),"")</f>
        <v>5175503</v>
      </c>
      <c r="AK239">
        <f>IFERROR(VLOOKUP($A239,koronahun!$A:$AM,37,FALSE),"")</f>
        <v>30019</v>
      </c>
      <c r="AL239">
        <f>IFERROR(VLOOKUP($A239,koronahun!$A:$AM,38,FALSE),"")</f>
        <v>23335.8</v>
      </c>
      <c r="AM239" s="14">
        <f>IFERROR(VLOOKUP($A239,koronahun!$A:$AM,39,FALSE),"")</f>
        <v>187.71428571428572</v>
      </c>
      <c r="AN239" s="11">
        <f ca="1">IFERROR(__xludf.DUMMYFUNCTION("""COMPUTED_VALUE"""),44131)</f>
        <v>44131</v>
      </c>
      <c r="AO239" s="12">
        <f ca="1">IFERROR(VLOOKUP(AN239,koronahun!A:B,2,FALSE),"")</f>
        <v>63642</v>
      </c>
      <c r="AP239" s="11">
        <f t="shared" ca="1" si="0"/>
        <v>44131</v>
      </c>
      <c r="AQ239" s="11">
        <f ca="1">IFERROR(__xludf.DUMMYFUNCTION("""COMPUTED_VALUE"""),44131)</f>
        <v>44131</v>
      </c>
      <c r="AR239" s="11">
        <v>44390</v>
      </c>
      <c r="AS239" s="11">
        <f t="shared" si="1"/>
        <v>44390</v>
      </c>
      <c r="AT239" s="11">
        <f ca="1">IFERROR(__xludf.DUMMYFUNCTION("""COMPUTED_VALUE"""),44389)</f>
        <v>44389</v>
      </c>
    </row>
    <row r="240" spans="1:46" ht="13">
      <c r="A240" s="11">
        <v>44386</v>
      </c>
      <c r="B240">
        <f>IFERROR(VLOOKUP($A240,koronahun!$A:$AM,2,FALSE),"")</f>
        <v>808437</v>
      </c>
      <c r="C240">
        <f>IFERROR(VLOOKUP($A240,koronahun!$A:$AM,3,FALSE),"")</f>
        <v>44</v>
      </c>
      <c r="D240">
        <f>IFERROR(VLOOKUP($A240,koronahun!$A:$AM,4,FALSE),"")</f>
        <v>30004</v>
      </c>
      <c r="E240">
        <f>IFERROR(VLOOKUP($A240,koronahun!$A:$AM,5,FALSE),"")</f>
        <v>741083</v>
      </c>
      <c r="F240">
        <f>IFERROR(VLOOKUP($A240,koronahun!$A:$AM,6,FALSE),"")</f>
        <v>6192388</v>
      </c>
      <c r="G240" s="12">
        <f>IFERROR(VLOOKUP($A240,koronahun!$A:$AM,7,FALSE),"")</f>
        <v>631876.32653061219</v>
      </c>
      <c r="H240">
        <f>IFERROR(VLOOKUP($A240,koronahun!$A:$AM,8,FALSE),"")</f>
        <v>0</v>
      </c>
      <c r="I240" s="13">
        <f>IFERROR(VLOOKUP($A240,koronahun!$A:$AM,9,FALSE),"")</f>
        <v>5.4428972047011786E-5</v>
      </c>
      <c r="J240" s="13">
        <f>IFERROR(VLOOKUP($A240,koronahun!$A:$AM,10,FALSE),"")</f>
        <v>0.13055335033915832</v>
      </c>
      <c r="K240" s="13">
        <f>IFERROR(VLOOKUP($A240,koronahun!$A:$AM,11,FALSE),"")</f>
        <v>2.136365188494862E-3</v>
      </c>
      <c r="L240">
        <f>IFERROR(VLOOKUP($A240,koronahun!$A:$AM,12,FALSE),"")</f>
        <v>37350</v>
      </c>
      <c r="M240" s="13">
        <f>IFERROR(VLOOKUP($A240,koronahun!$A:$AM,13,FALSE),"")</f>
        <v>3.711359079309829E-2</v>
      </c>
      <c r="N240" s="13">
        <f>IFERROR(VLOOKUP($A240,koronahun!$A:$AM,14,FALSE),"")</f>
        <v>0.91668614870422804</v>
      </c>
      <c r="O240">
        <f>IFERROR(VLOOKUP($A240,koronahun!$A:$AM,15,FALSE),"")</f>
        <v>1629</v>
      </c>
      <c r="P240">
        <f>IFERROR(VLOOKUP($A240,koronahun!$A:$AM,16,FALSE),"")</f>
        <v>13201</v>
      </c>
      <c r="Q240" s="13">
        <f>IFERROR(VLOOKUP($A240,koronahun!$A:$AM,17,FALSE),"")</f>
        <v>3.33308082721006E-3</v>
      </c>
      <c r="R240">
        <f>IFERROR(VLOOKUP($A240,koronahun!$A:$AM,18,FALSE),"")</f>
        <v>0</v>
      </c>
      <c r="S240">
        <f>IFERROR(VLOOKUP($A240,koronahun!$A:$AM,19,FALSE),"")</f>
        <v>293</v>
      </c>
      <c r="T240">
        <f>IFERROR(VLOOKUP($A240,koronahun!$A:$AM,20,FALSE),"")</f>
        <v>87</v>
      </c>
      <c r="U240">
        <f>IFERROR(VLOOKUP($A240,koronahun!$A:$AM,21,FALSE),"")</f>
        <v>13</v>
      </c>
      <c r="V240" s="13">
        <f>IFERROR(VLOOKUP($A240,koronahun!$A:$AM,22,FALSE),"")</f>
        <v>4.620026050267368E-2</v>
      </c>
      <c r="W240">
        <f>IFERROR(VLOOKUP($A240,koronahun!$A:$AM,23,FALSE),"")</f>
        <v>15</v>
      </c>
      <c r="X240">
        <f>IFERROR(VLOOKUP($A240,koronahun!$A:$AM,24,FALSE),"")</f>
        <v>0</v>
      </c>
      <c r="Y240" s="14">
        <f>IFERROR(VLOOKUP($A240,koronahun!$A:$AM,25,FALSE),"")</f>
        <v>2.3293172690763051E-3</v>
      </c>
      <c r="Z240" s="14">
        <f>IFERROR(VLOOKUP($A240,koronahun!$A:$AM,26,FALSE),"")</f>
        <v>0.14942528735632185</v>
      </c>
      <c r="AA240" s="14">
        <f>IFERROR(VLOOKUP($A240,koronahun!$A:$AM,27,FALSE),"")</f>
        <v>0.83623693379790942</v>
      </c>
      <c r="AB240" s="14">
        <f>IFERROR(VLOOKUP($A240,koronahun!$A:$AM,28,FALSE),"")</f>
        <v>0.65171651746240578</v>
      </c>
      <c r="AC240" s="14">
        <f>IFERROR(VLOOKUP($A240,koronahun!$A:$AM,29,FALSE),"")</f>
        <v>34.285714285714285</v>
      </c>
      <c r="AD240" s="14">
        <f>IFERROR(VLOOKUP($A240,koronahun!$A:$AM,30,FALSE),"")</f>
        <v>1.7142857142857142</v>
      </c>
      <c r="AE240" s="14">
        <f>IFERROR(VLOOKUP($A240,koronahun!$A:$AM,31,FALSE),"")</f>
        <v>6638.2857142857147</v>
      </c>
      <c r="AF240" s="13">
        <f>IFERROR(VLOOKUP($A240,koronahun!$A:$AM,32,FALSE),"")</f>
        <v>6.5525363436438316E-3</v>
      </c>
      <c r="AG240">
        <f>IFERROR(VLOOKUP($A240,koronahun!$A:$AM,33,FALSE),"")</f>
        <v>5529428</v>
      </c>
      <c r="AH240">
        <f>IFERROR(VLOOKUP($A240,koronahun!$A:$AM,34,FALSE),"")</f>
        <v>5530</v>
      </c>
      <c r="AI240">
        <f>IFERROR(VLOOKUP($A240,koronahun!$A:$AM,35,FALSE),"")</f>
        <v>6708</v>
      </c>
      <c r="AJ240">
        <f>IFERROR(VLOOKUP($A240,koronahun!$A:$AM,36,FALSE),"")</f>
        <v>5145484</v>
      </c>
      <c r="AK240">
        <f>IFERROR(VLOOKUP($A240,koronahun!$A:$AM,37,FALSE),"")</f>
        <v>19154</v>
      </c>
      <c r="AL240">
        <f>IFERROR(VLOOKUP($A240,koronahun!$A:$AM,38,FALSE),"")</f>
        <v>34454.800000000003</v>
      </c>
      <c r="AM240" s="14">
        <f>IFERROR(VLOOKUP($A240,koronahun!$A:$AM,39,FALSE),"")</f>
        <v>217.42857142857142</v>
      </c>
      <c r="AN240" s="11">
        <f ca="1">IFERROR(__xludf.DUMMYFUNCTION("""COMPUTED_VALUE"""),44132)</f>
        <v>44132</v>
      </c>
      <c r="AO240" s="12">
        <f ca="1">IFERROR(VLOOKUP(AN240,koronahun!A:B,2,FALSE),"")</f>
        <v>65933</v>
      </c>
      <c r="AP240" s="11">
        <f t="shared" ca="1" si="0"/>
        <v>44132</v>
      </c>
      <c r="AQ240" s="11">
        <f ca="1">IFERROR(__xludf.DUMMYFUNCTION("""COMPUTED_VALUE"""),44132)</f>
        <v>44132</v>
      </c>
      <c r="AR240" s="11">
        <v>44389</v>
      </c>
      <c r="AS240" s="11">
        <f t="shared" si="1"/>
        <v>44389</v>
      </c>
      <c r="AT240" s="11">
        <f ca="1">IFERROR(__xludf.DUMMYFUNCTION("""COMPUTED_VALUE"""),44386)</f>
        <v>44386</v>
      </c>
    </row>
    <row r="241" spans="1:46" ht="13">
      <c r="A241" s="11">
        <v>44385</v>
      </c>
      <c r="B241">
        <f>IFERROR(VLOOKUP($A241,koronahun!$A:$AM,2,FALSE),"")</f>
        <v>808393</v>
      </c>
      <c r="C241">
        <f>IFERROR(VLOOKUP($A241,koronahun!$A:$AM,3,FALSE),"")</f>
        <v>55</v>
      </c>
      <c r="D241">
        <f>IFERROR(VLOOKUP($A241,koronahun!$A:$AM,4,FALSE),"")</f>
        <v>30004</v>
      </c>
      <c r="E241">
        <f>IFERROR(VLOOKUP($A241,koronahun!$A:$AM,5,FALSE),"")</f>
        <v>740790</v>
      </c>
      <c r="F241">
        <f>IFERROR(VLOOKUP($A241,koronahun!$A:$AM,6,FALSE),"")</f>
        <v>6179187</v>
      </c>
      <c r="G241" s="12">
        <f>IFERROR(VLOOKUP($A241,koronahun!$A:$AM,7,FALSE),"")</f>
        <v>630529.28571428568</v>
      </c>
      <c r="H241">
        <f>IFERROR(VLOOKUP($A241,koronahun!$A:$AM,8,FALSE),"")</f>
        <v>0</v>
      </c>
      <c r="I241" s="13">
        <f>IFERROR(VLOOKUP($A241,koronahun!$A:$AM,9,FALSE),"")</f>
        <v>6.804084430028033E-5</v>
      </c>
      <c r="J241" s="13">
        <f>IFERROR(VLOOKUP($A241,koronahun!$A:$AM,10,FALSE),"")</f>
        <v>0.1308251392942146</v>
      </c>
      <c r="K241" s="13">
        <f>IFERROR(VLOOKUP($A241,koronahun!$A:$AM,11,FALSE),"")</f>
        <v>9.338418789449352E-4</v>
      </c>
      <c r="L241">
        <f>IFERROR(VLOOKUP($A241,koronahun!$A:$AM,12,FALSE),"")</f>
        <v>37599</v>
      </c>
      <c r="M241" s="13">
        <f>IFERROR(VLOOKUP($A241,koronahun!$A:$AM,13,FALSE),"")</f>
        <v>3.711561084769413E-2</v>
      </c>
      <c r="N241" s="13">
        <f>IFERROR(VLOOKUP($A241,koronahun!$A:$AM,14,FALSE),"")</f>
        <v>0.91637359551604236</v>
      </c>
      <c r="O241">
        <f>IFERROR(VLOOKUP($A241,koronahun!$A:$AM,15,FALSE),"")</f>
        <v>1678</v>
      </c>
      <c r="P241">
        <f>IFERROR(VLOOKUP($A241,koronahun!$A:$AM,16,FALSE),"")</f>
        <v>5765</v>
      </c>
      <c r="Q241" s="13">
        <f>IFERROR(VLOOKUP($A241,koronahun!$A:$AM,17,FALSE),"")</f>
        <v>9.5403295750216832E-3</v>
      </c>
      <c r="R241">
        <f>IFERROR(VLOOKUP($A241,koronahun!$A:$AM,18,FALSE),"")</f>
        <v>5</v>
      </c>
      <c r="S241">
        <f>IFERROR(VLOOKUP($A241,koronahun!$A:$AM,19,FALSE),"")</f>
        <v>255</v>
      </c>
      <c r="T241">
        <f>IFERROR(VLOOKUP($A241,koronahun!$A:$AM,20,FALSE),"")</f>
        <v>72</v>
      </c>
      <c r="U241">
        <f>IFERROR(VLOOKUP($A241,koronahun!$A:$AM,21,FALSE),"")</f>
        <v>13</v>
      </c>
      <c r="V241" s="13">
        <f>IFERROR(VLOOKUP($A241,koronahun!$A:$AM,22,FALSE),"")</f>
        <v>4.651079363626355E-2</v>
      </c>
      <c r="W241">
        <f>IFERROR(VLOOKUP($A241,koronahun!$A:$AM,23,FALSE),"")</f>
        <v>-8</v>
      </c>
      <c r="X241">
        <f>IFERROR(VLOOKUP($A241,koronahun!$A:$AM,24,FALSE),"")</f>
        <v>-4</v>
      </c>
      <c r="Y241" s="14">
        <f>IFERROR(VLOOKUP($A241,koronahun!$A:$AM,25,FALSE),"")</f>
        <v>1.9149445463975106E-3</v>
      </c>
      <c r="Z241" s="14">
        <f>IFERROR(VLOOKUP($A241,koronahun!$A:$AM,26,FALSE),"")</f>
        <v>0.18055555555555555</v>
      </c>
      <c r="AA241" s="14">
        <f>IFERROR(VLOOKUP($A241,koronahun!$A:$AM,27,FALSE),"")</f>
        <v>0.73734177215189878</v>
      </c>
      <c r="AB241" s="14">
        <f>IFERROR(VLOOKUP($A241,koronahun!$A:$AM,28,FALSE),"")</f>
        <v>0.60355626763228443</v>
      </c>
      <c r="AC241" s="14">
        <f>IFERROR(VLOOKUP($A241,koronahun!$A:$AM,29,FALSE),"")</f>
        <v>33.285714285714285</v>
      </c>
      <c r="AD241" s="14">
        <f>IFERROR(VLOOKUP($A241,koronahun!$A:$AM,30,FALSE),"")</f>
        <v>1.7142857142857142</v>
      </c>
      <c r="AE241" s="14">
        <f>IFERROR(VLOOKUP($A241,koronahun!$A:$AM,31,FALSE),"")</f>
        <v>5808.2857142857147</v>
      </c>
      <c r="AF241" s="13">
        <f>IFERROR(VLOOKUP($A241,koronahun!$A:$AM,32,FALSE),"")</f>
        <v>6.887137875401116E-3</v>
      </c>
      <c r="AG241">
        <f>IFERROR(VLOOKUP($A241,koronahun!$A:$AM,33,FALSE),"")</f>
        <v>5523898</v>
      </c>
      <c r="AH241">
        <f>IFERROR(VLOOKUP($A241,koronahun!$A:$AM,34,FALSE),"")</f>
        <v>4403</v>
      </c>
      <c r="AI241">
        <f>IFERROR(VLOOKUP($A241,koronahun!$A:$AM,35,FALSE),"")</f>
        <v>6057.8</v>
      </c>
      <c r="AJ241">
        <f>IFERROR(VLOOKUP($A241,koronahun!$A:$AM,36,FALSE),"")</f>
        <v>5126330</v>
      </c>
      <c r="AK241">
        <f>IFERROR(VLOOKUP($A241,koronahun!$A:$AM,37,FALSE),"")</f>
        <v>23483</v>
      </c>
      <c r="AL241">
        <f>IFERROR(VLOOKUP($A241,koronahun!$A:$AM,38,FALSE),"")</f>
        <v>33505</v>
      </c>
      <c r="AM241" s="14">
        <f>IFERROR(VLOOKUP($A241,koronahun!$A:$AM,39,FALSE),"")</f>
        <v>226.57142857142858</v>
      </c>
      <c r="AN241" s="11">
        <f ca="1">IFERROR(__xludf.DUMMYFUNCTION("""COMPUTED_VALUE"""),44133)</f>
        <v>44133</v>
      </c>
      <c r="AO241" s="12">
        <f ca="1">IFERROR(VLOOKUP(AN241,koronahun!A:B,2,FALSE),"")</f>
        <v>68127</v>
      </c>
      <c r="AP241" s="11">
        <f t="shared" ca="1" si="0"/>
        <v>44133</v>
      </c>
      <c r="AQ241" s="11">
        <f ca="1">IFERROR(__xludf.DUMMYFUNCTION("""COMPUTED_VALUE"""),44133)</f>
        <v>44133</v>
      </c>
      <c r="AR241" s="11">
        <v>44386</v>
      </c>
      <c r="AS241" s="11">
        <f t="shared" si="1"/>
        <v>44386</v>
      </c>
      <c r="AT241" s="11">
        <f ca="1">IFERROR(__xludf.DUMMYFUNCTION("""COMPUTED_VALUE"""),44385)</f>
        <v>44385</v>
      </c>
    </row>
    <row r="242" spans="1:46" ht="13">
      <c r="A242" s="11">
        <v>44384</v>
      </c>
      <c r="B242">
        <f>IFERROR(VLOOKUP($A242,koronahun!$A:$AM,2,FALSE),"")</f>
        <v>808338</v>
      </c>
      <c r="C242">
        <f>IFERROR(VLOOKUP($A242,koronahun!$A:$AM,3,FALSE),"")</f>
        <v>44</v>
      </c>
      <c r="D242">
        <f>IFERROR(VLOOKUP($A242,koronahun!$A:$AM,4,FALSE),"")</f>
        <v>29999</v>
      </c>
      <c r="E242">
        <f>IFERROR(VLOOKUP($A242,koronahun!$A:$AM,5,FALSE),"")</f>
        <v>740535</v>
      </c>
      <c r="F242">
        <f>IFERROR(VLOOKUP($A242,koronahun!$A:$AM,6,FALSE),"")</f>
        <v>6173422</v>
      </c>
      <c r="G242" s="12">
        <f>IFERROR(VLOOKUP($A242,koronahun!$A:$AM,7,FALSE),"")</f>
        <v>629941.0204081632</v>
      </c>
      <c r="H242">
        <f>IFERROR(VLOOKUP($A242,koronahun!$A:$AM,8,FALSE),"")</f>
        <v>0</v>
      </c>
      <c r="I242" s="13">
        <f>IFERROR(VLOOKUP($A242,koronahun!$A:$AM,9,FALSE),"")</f>
        <v>5.4435638517668077E-5</v>
      </c>
      <c r="J242" s="13">
        <f>IFERROR(VLOOKUP($A242,koronahun!$A:$AM,10,FALSE),"")</f>
        <v>0.13093840012881025</v>
      </c>
      <c r="K242" s="13">
        <f>IFERROR(VLOOKUP($A242,koronahun!$A:$AM,11,FALSE),"")</f>
        <v>8.2469580526997968E-4</v>
      </c>
      <c r="L242">
        <f>IFERROR(VLOOKUP($A242,koronahun!$A:$AM,12,FALSE),"")</f>
        <v>37804</v>
      </c>
      <c r="M242" s="13">
        <f>IFERROR(VLOOKUP($A242,koronahun!$A:$AM,13,FALSE),"")</f>
        <v>3.7111950693892899E-2</v>
      </c>
      <c r="N242" s="13">
        <f>IFERROR(VLOOKUP($A242,koronahun!$A:$AM,14,FALSE),"")</f>
        <v>0.9161204842528744</v>
      </c>
      <c r="O242">
        <f>IFERROR(VLOOKUP($A242,koronahun!$A:$AM,15,FALSE),"")</f>
        <v>1778</v>
      </c>
      <c r="P242">
        <f>IFERROR(VLOOKUP($A242,koronahun!$A:$AM,16,FALSE),"")</f>
        <v>5087</v>
      </c>
      <c r="Q242" s="13">
        <f>IFERROR(VLOOKUP($A242,koronahun!$A:$AM,17,FALSE),"")</f>
        <v>8.6494987222331433E-3</v>
      </c>
      <c r="R242">
        <f>IFERROR(VLOOKUP($A242,koronahun!$A:$AM,18,FALSE),"")</f>
        <v>1</v>
      </c>
      <c r="S242">
        <f>IFERROR(VLOOKUP($A242,koronahun!$A:$AM,19,FALSE),"")</f>
        <v>208</v>
      </c>
      <c r="T242">
        <f>IFERROR(VLOOKUP($A242,koronahun!$A:$AM,20,FALSE),"")</f>
        <v>80</v>
      </c>
      <c r="U242">
        <f>IFERROR(VLOOKUP($A242,koronahun!$A:$AM,21,FALSE),"")</f>
        <v>17</v>
      </c>
      <c r="V242" s="13">
        <f>IFERROR(VLOOKUP($A242,koronahun!$A:$AM,22,FALSE),"")</f>
        <v>4.6767565053232679E-2</v>
      </c>
      <c r="W242">
        <f>IFERROR(VLOOKUP($A242,koronahun!$A:$AM,23,FALSE),"")</f>
        <v>-8</v>
      </c>
      <c r="X242">
        <f>IFERROR(VLOOKUP($A242,koronahun!$A:$AM,24,FALSE),"")</f>
        <v>-4</v>
      </c>
      <c r="Y242" s="14">
        <f>IFERROR(VLOOKUP($A242,koronahun!$A:$AM,25,FALSE),"")</f>
        <v>2.1161781822029413E-3</v>
      </c>
      <c r="Z242" s="14">
        <f>IFERROR(VLOOKUP($A242,koronahun!$A:$AM,26,FALSE),"")</f>
        <v>0.21249999999999999</v>
      </c>
      <c r="AA242" s="14">
        <f>IFERROR(VLOOKUP($A242,koronahun!$A:$AM,27,FALSE),"")</f>
        <v>0.59490084985835689</v>
      </c>
      <c r="AB242" s="14">
        <f>IFERROR(VLOOKUP($A242,koronahun!$A:$AM,28,FALSE),"")</f>
        <v>0.57716071013677062</v>
      </c>
      <c r="AC242" s="14">
        <f>IFERROR(VLOOKUP($A242,koronahun!$A:$AM,29,FALSE),"")</f>
        <v>30</v>
      </c>
      <c r="AD242" s="14">
        <f>IFERROR(VLOOKUP($A242,koronahun!$A:$AM,30,FALSE),"")</f>
        <v>1</v>
      </c>
      <c r="AE242" s="14">
        <f>IFERROR(VLOOKUP($A242,koronahun!$A:$AM,31,FALSE),"")</f>
        <v>6161</v>
      </c>
      <c r="AF242" s="13">
        <f>IFERROR(VLOOKUP($A242,koronahun!$A:$AM,32,FALSE),"")</f>
        <v>5.7563369591823021E-3</v>
      </c>
      <c r="AG242">
        <f>IFERROR(VLOOKUP($A242,koronahun!$A:$AM,33,FALSE),"")</f>
        <v>5519495</v>
      </c>
      <c r="AH242">
        <f>IFERROR(VLOOKUP($A242,koronahun!$A:$AM,34,FALSE),"")</f>
        <v>6168</v>
      </c>
      <c r="AI242">
        <f>IFERROR(VLOOKUP($A242,koronahun!$A:$AM,35,FALSE),"")</f>
        <v>6596.2</v>
      </c>
      <c r="AJ242">
        <f>IFERROR(VLOOKUP($A242,koronahun!$A:$AM,36,FALSE),"")</f>
        <v>5102847</v>
      </c>
      <c r="AK242">
        <f>IFERROR(VLOOKUP($A242,koronahun!$A:$AM,37,FALSE),"")</f>
        <v>30823</v>
      </c>
      <c r="AL242">
        <f>IFERROR(VLOOKUP($A242,koronahun!$A:$AM,38,FALSE),"")</f>
        <v>37184</v>
      </c>
      <c r="AM242" s="14">
        <f>IFERROR(VLOOKUP($A242,koronahun!$A:$AM,39,FALSE),"")</f>
        <v>250.42857142857142</v>
      </c>
      <c r="AN242" s="11">
        <f ca="1">IFERROR(__xludf.DUMMYFUNCTION("""COMPUTED_VALUE"""),44134)</f>
        <v>44134</v>
      </c>
      <c r="AO242" s="12">
        <f ca="1">IFERROR(VLOOKUP(AN242,koronahun!A:B,2,FALSE),"")</f>
        <v>71413</v>
      </c>
      <c r="AP242" s="11">
        <f t="shared" ca="1" si="0"/>
        <v>44134</v>
      </c>
      <c r="AQ242" s="11">
        <f ca="1">IFERROR(__xludf.DUMMYFUNCTION("""COMPUTED_VALUE"""),44134)</f>
        <v>44134</v>
      </c>
      <c r="AR242" s="11">
        <v>44385</v>
      </c>
      <c r="AS242" s="11">
        <f t="shared" si="1"/>
        <v>44385</v>
      </c>
      <c r="AT242" s="11">
        <f ca="1">IFERROR(__xludf.DUMMYFUNCTION("""COMPUTED_VALUE"""),44384)</f>
        <v>44384</v>
      </c>
    </row>
    <row r="243" spans="1:46" ht="13">
      <c r="A243" s="11">
        <v>44383</v>
      </c>
      <c r="B243">
        <f>IFERROR(VLOOKUP($A243,koronahun!$A:$AM,2,FALSE),"")</f>
        <v>808294</v>
      </c>
      <c r="C243">
        <f>IFERROR(VLOOKUP($A243,koronahun!$A:$AM,3,FALSE),"")</f>
        <v>32</v>
      </c>
      <c r="D243">
        <f>IFERROR(VLOOKUP($A243,koronahun!$A:$AM,4,FALSE),"")</f>
        <v>29998</v>
      </c>
      <c r="E243">
        <f>IFERROR(VLOOKUP($A243,koronahun!$A:$AM,5,FALSE),"")</f>
        <v>740327</v>
      </c>
      <c r="F243">
        <f>IFERROR(VLOOKUP($A243,koronahun!$A:$AM,6,FALSE),"")</f>
        <v>6168335</v>
      </c>
      <c r="G243" s="12">
        <f>IFERROR(VLOOKUP($A243,koronahun!$A:$AM,7,FALSE),"")</f>
        <v>629421.93877551018</v>
      </c>
      <c r="H243">
        <f>IFERROR(VLOOKUP($A243,koronahun!$A:$AM,8,FALSE),"")</f>
        <v>0</v>
      </c>
      <c r="I243" s="13">
        <f>IFERROR(VLOOKUP($A243,koronahun!$A:$AM,9,FALSE),"")</f>
        <v>3.9591122680516964E-5</v>
      </c>
      <c r="J243" s="13">
        <f>IFERROR(VLOOKUP($A243,koronahun!$A:$AM,10,FALSE),"")</f>
        <v>0.13103925127283134</v>
      </c>
      <c r="K243" s="13">
        <f>IFERROR(VLOOKUP($A243,koronahun!$A:$AM,11,FALSE),"")</f>
        <v>6.7616597668427865E-4</v>
      </c>
      <c r="L243">
        <f>IFERROR(VLOOKUP($A243,koronahun!$A:$AM,12,FALSE),"")</f>
        <v>37969</v>
      </c>
      <c r="M243" s="13">
        <f>IFERROR(VLOOKUP($A243,koronahun!$A:$AM,13,FALSE),"")</f>
        <v>3.7112733733022887E-2</v>
      </c>
      <c r="N243" s="13">
        <f>IFERROR(VLOOKUP($A243,koronahun!$A:$AM,14,FALSE),"")</f>
        <v>0.91591302174703759</v>
      </c>
      <c r="O243">
        <f>IFERROR(VLOOKUP($A243,koronahun!$A:$AM,15,FALSE),"")</f>
        <v>1852</v>
      </c>
      <c r="P243">
        <f>IFERROR(VLOOKUP($A243,koronahun!$A:$AM,16,FALSE),"")</f>
        <v>4168</v>
      </c>
      <c r="Q243" s="13">
        <f>IFERROR(VLOOKUP($A243,koronahun!$A:$AM,17,FALSE),"")</f>
        <v>7.677543186180422E-3</v>
      </c>
      <c r="R243">
        <f>IFERROR(VLOOKUP($A243,koronahun!$A:$AM,18,FALSE),"")</f>
        <v>2</v>
      </c>
      <c r="S243">
        <f>IFERROR(VLOOKUP($A243,koronahun!$A:$AM,19,FALSE),"")</f>
        <v>132</v>
      </c>
      <c r="T243">
        <f>IFERROR(VLOOKUP($A243,koronahun!$A:$AM,20,FALSE),"")</f>
        <v>88</v>
      </c>
      <c r="U243">
        <f>IFERROR(VLOOKUP($A243,koronahun!$A:$AM,21,FALSE),"")</f>
        <v>21</v>
      </c>
      <c r="V243" s="13">
        <f>IFERROR(VLOOKUP($A243,koronahun!$A:$AM,22,FALSE),"")</f>
        <v>4.6974244519939527E-2</v>
      </c>
      <c r="W243">
        <f>IFERROR(VLOOKUP($A243,koronahun!$A:$AM,23,FALSE),"")</f>
        <v>6</v>
      </c>
      <c r="X243">
        <f>IFERROR(VLOOKUP($A243,koronahun!$A:$AM,24,FALSE),"")</f>
        <v>3</v>
      </c>
      <c r="Y243" s="14">
        <f>IFERROR(VLOOKUP($A243,koronahun!$A:$AM,25,FALSE),"")</f>
        <v>2.3176802128051831E-3</v>
      </c>
      <c r="Z243" s="14">
        <f>IFERROR(VLOOKUP($A243,koronahun!$A:$AM,26,FALSE),"")</f>
        <v>0.23863636363636365</v>
      </c>
      <c r="AA243" s="14">
        <f>IFERROR(VLOOKUP($A243,koronahun!$A:$AM,27,FALSE),"")</f>
        <v>0.55612244897959184</v>
      </c>
      <c r="AB243" s="14">
        <f>IFERROR(VLOOKUP($A243,koronahun!$A:$AM,28,FALSE),"")</f>
        <v>0.58291552249725465</v>
      </c>
      <c r="AC243" s="14">
        <f>IFERROR(VLOOKUP($A243,koronahun!$A:$AM,29,FALSE),"")</f>
        <v>31.142857142857142</v>
      </c>
      <c r="AD243" s="14">
        <f>IFERROR(VLOOKUP($A243,koronahun!$A:$AM,30,FALSE),"")</f>
        <v>1</v>
      </c>
      <c r="AE243" s="14">
        <f>IFERROR(VLOOKUP($A243,koronahun!$A:$AM,31,FALSE),"")</f>
        <v>6785.2857142857147</v>
      </c>
      <c r="AF243" s="13">
        <f>IFERROR(VLOOKUP($A243,koronahun!$A:$AM,32,FALSE),"")</f>
        <v>5.1261517119335163E-3</v>
      </c>
      <c r="AG243">
        <f>IFERROR(VLOOKUP($A243,koronahun!$A:$AM,33,FALSE),"")</f>
        <v>5513327</v>
      </c>
      <c r="AH243">
        <f>IFERROR(VLOOKUP($A243,koronahun!$A:$AM,34,FALSE),"")</f>
        <v>6662</v>
      </c>
      <c r="AI243">
        <f>IFERROR(VLOOKUP($A243,koronahun!$A:$AM,35,FALSE),"")</f>
        <v>7184.4</v>
      </c>
      <c r="AJ243">
        <f>IFERROR(VLOOKUP($A243,koronahun!$A:$AM,36,FALSE),"")</f>
        <v>5072024</v>
      </c>
      <c r="AK243">
        <f>IFERROR(VLOOKUP($A243,koronahun!$A:$AM,37,FALSE),"")</f>
        <v>13200</v>
      </c>
      <c r="AL243">
        <f>IFERROR(VLOOKUP($A243,koronahun!$A:$AM,38,FALSE),"")</f>
        <v>39589.599999999999</v>
      </c>
      <c r="AM243" s="14">
        <f>IFERROR(VLOOKUP($A243,koronahun!$A:$AM,39,FALSE),"")</f>
        <v>255</v>
      </c>
      <c r="AN243" s="11">
        <f ca="1">IFERROR(__xludf.DUMMYFUNCTION("""COMPUTED_VALUE"""),44135)</f>
        <v>44135</v>
      </c>
      <c r="AO243" s="12">
        <f ca="1">IFERROR(VLOOKUP(AN243,koronahun!A:B,2,FALSE),"")</f>
        <v>75321</v>
      </c>
      <c r="AP243" s="11">
        <f t="shared" ca="1" si="0"/>
        <v>44135</v>
      </c>
      <c r="AQ243" s="11">
        <f ca="1">IFERROR(__xludf.DUMMYFUNCTION("""COMPUTED_VALUE"""),44135)</f>
        <v>44135</v>
      </c>
      <c r="AR243" s="11">
        <v>44384</v>
      </c>
      <c r="AS243" s="11">
        <f t="shared" si="1"/>
        <v>44384</v>
      </c>
      <c r="AT243" s="11">
        <f ca="1">IFERROR(__xludf.DUMMYFUNCTION("""COMPUTED_VALUE"""),44383)</f>
        <v>44383</v>
      </c>
    </row>
    <row r="244" spans="1:46" ht="13">
      <c r="A244" s="11">
        <v>44382</v>
      </c>
      <c r="B244">
        <f>IFERROR(VLOOKUP($A244,koronahun!$A:$AM,2,FALSE),"")</f>
        <v>808262</v>
      </c>
      <c r="C244">
        <f>IFERROR(VLOOKUP($A244,koronahun!$A:$AM,3,FALSE),"")</f>
        <v>65</v>
      </c>
      <c r="D244">
        <f>IFERROR(VLOOKUP($A244,koronahun!$A:$AM,4,FALSE),"")</f>
        <v>29996</v>
      </c>
      <c r="E244">
        <f>IFERROR(VLOOKUP($A244,koronahun!$A:$AM,5,FALSE),"")</f>
        <v>740195</v>
      </c>
      <c r="F244">
        <f>IFERROR(VLOOKUP($A244,koronahun!$A:$AM,6,FALSE),"")</f>
        <v>6164167</v>
      </c>
      <c r="G244" s="12">
        <f>IFERROR(VLOOKUP($A244,koronahun!$A:$AM,7,FALSE),"")</f>
        <v>628996.63265306118</v>
      </c>
      <c r="H244">
        <f>IFERROR(VLOOKUP($A244,koronahun!$A:$AM,8,FALSE),"")</f>
        <v>0</v>
      </c>
      <c r="I244" s="13">
        <f>IFERROR(VLOOKUP($A244,koronahun!$A:$AM,9,FALSE),"")</f>
        <v>8.0425935755762512E-5</v>
      </c>
      <c r="J244" s="13">
        <f>IFERROR(VLOOKUP($A244,koronahun!$A:$AM,10,FALSE),"")</f>
        <v>0.13112266426266517</v>
      </c>
      <c r="K244" s="13">
        <f>IFERROR(VLOOKUP($A244,koronahun!$A:$AM,11,FALSE),"")</f>
        <v>2.9689615224409039E-3</v>
      </c>
      <c r="L244">
        <f>IFERROR(VLOOKUP($A244,koronahun!$A:$AM,12,FALSE),"")</f>
        <v>38071</v>
      </c>
      <c r="M244" s="13">
        <f>IFERROR(VLOOKUP($A244,koronahun!$A:$AM,13,FALSE),"")</f>
        <v>3.7111728622649588E-2</v>
      </c>
      <c r="N244" s="13">
        <f>IFERROR(VLOOKUP($A244,koronahun!$A:$AM,14,FALSE),"")</f>
        <v>0.91578597039078913</v>
      </c>
      <c r="O244">
        <f>IFERROR(VLOOKUP($A244,koronahun!$A:$AM,15,FALSE),"")</f>
        <v>2332</v>
      </c>
      <c r="P244">
        <f>IFERROR(VLOOKUP($A244,koronahun!$A:$AM,16,FALSE),"")</f>
        <v>18247</v>
      </c>
      <c r="Q244" s="13">
        <f>IFERROR(VLOOKUP($A244,koronahun!$A:$AM,17,FALSE),"")</f>
        <v>3.5622294075738476E-3</v>
      </c>
      <c r="R244">
        <f>IFERROR(VLOOKUP($A244,koronahun!$A:$AM,18,FALSE),"")</f>
        <v>4</v>
      </c>
      <c r="S244">
        <f>IFERROR(VLOOKUP($A244,koronahun!$A:$AM,19,FALSE),"")</f>
        <v>634</v>
      </c>
      <c r="T244">
        <f>IFERROR(VLOOKUP($A244,koronahun!$A:$AM,20,FALSE),"")</f>
        <v>82</v>
      </c>
      <c r="U244">
        <f>IFERROR(VLOOKUP($A244,koronahun!$A:$AM,21,FALSE),"")</f>
        <v>18</v>
      </c>
      <c r="V244" s="13">
        <f>IFERROR(VLOOKUP($A244,koronahun!$A:$AM,22,FALSE),"")</f>
        <v>4.7102300986561291E-2</v>
      </c>
      <c r="W244">
        <f>IFERROR(VLOOKUP($A244,koronahun!$A:$AM,23,FALSE),"")</f>
        <v>-16</v>
      </c>
      <c r="X244">
        <f>IFERROR(VLOOKUP($A244,koronahun!$A:$AM,24,FALSE),"")</f>
        <v>-4</v>
      </c>
      <c r="Y244" s="14">
        <f>IFERROR(VLOOKUP($A244,koronahun!$A:$AM,25,FALSE),"")</f>
        <v>2.1538704000420269E-3</v>
      </c>
      <c r="Z244" s="14">
        <f>IFERROR(VLOOKUP($A244,koronahun!$A:$AM,26,FALSE),"")</f>
        <v>0.21951219512195122</v>
      </c>
      <c r="AA244" s="14">
        <f>IFERROR(VLOOKUP($A244,koronahun!$A:$AM,27,FALSE),"")</f>
        <v>0.53398058252427183</v>
      </c>
      <c r="AB244" s="14">
        <f>IFERROR(VLOOKUP($A244,koronahun!$A:$AM,28,FALSE),"")</f>
        <v>0.60639893648140508</v>
      </c>
      <c r="AC244" s="14">
        <f>IFERROR(VLOOKUP($A244,koronahun!$A:$AM,29,FALSE),"")</f>
        <v>31.428571428571427</v>
      </c>
      <c r="AD244" s="14">
        <f>IFERROR(VLOOKUP($A244,koronahun!$A:$AM,30,FALSE),"")</f>
        <v>1</v>
      </c>
      <c r="AE244" s="14">
        <f>IFERROR(VLOOKUP($A244,koronahun!$A:$AM,31,FALSE),"")</f>
        <v>6803.5714285714284</v>
      </c>
      <c r="AF244" s="13">
        <f>IFERROR(VLOOKUP($A244,koronahun!$A:$AM,32,FALSE),"")</f>
        <v>5.173510858682534E-3</v>
      </c>
      <c r="AG244">
        <f>IFERROR(VLOOKUP($A244,koronahun!$A:$AM,33,FALSE),"")</f>
        <v>5506665</v>
      </c>
      <c r="AH244">
        <f>IFERROR(VLOOKUP($A244,koronahun!$A:$AM,34,FALSE),"")</f>
        <v>10777</v>
      </c>
      <c r="AI244">
        <f>IFERROR(VLOOKUP($A244,koronahun!$A:$AM,35,FALSE),"")</f>
        <v>7692</v>
      </c>
      <c r="AJ244">
        <f>IFERROR(VLOOKUP($A244,koronahun!$A:$AM,36,FALSE),"")</f>
        <v>5058824</v>
      </c>
      <c r="AK244">
        <f>IFERROR(VLOOKUP($A244,koronahun!$A:$AM,37,FALSE),"")</f>
        <v>85614</v>
      </c>
      <c r="AL244">
        <f>IFERROR(VLOOKUP($A244,koronahun!$A:$AM,38,FALSE),"")</f>
        <v>43335.199999999997</v>
      </c>
      <c r="AM244" s="14">
        <f>IFERROR(VLOOKUP($A244,koronahun!$A:$AM,39,FALSE),"")</f>
        <v>257.71428571428572</v>
      </c>
      <c r="AN244" s="11">
        <f ca="1">IFERROR(__xludf.DUMMYFUNCTION("""COMPUTED_VALUE"""),44136)</f>
        <v>44136</v>
      </c>
      <c r="AO244" s="12">
        <f ca="1">IFERROR(VLOOKUP(AN244,koronahun!A:B,2,FALSE),"")</f>
        <v>79199</v>
      </c>
      <c r="AP244" s="11">
        <f t="shared" ca="1" si="0"/>
        <v>44136</v>
      </c>
      <c r="AQ244" s="11">
        <f ca="1">IFERROR(__xludf.DUMMYFUNCTION("""COMPUTED_VALUE"""),44136)</f>
        <v>44136</v>
      </c>
      <c r="AR244" s="11">
        <v>44383</v>
      </c>
      <c r="AS244" s="11">
        <f t="shared" si="1"/>
        <v>44383</v>
      </c>
      <c r="AT244" s="11">
        <f ca="1">IFERROR(__xludf.DUMMYFUNCTION("""COMPUTED_VALUE"""),44382)</f>
        <v>44382</v>
      </c>
    </row>
    <row r="245" spans="1:46" ht="13">
      <c r="A245" s="11">
        <v>44379</v>
      </c>
      <c r="B245">
        <f>IFERROR(VLOOKUP($A245,koronahun!$A:$AM,2,FALSE),"")</f>
        <v>808197</v>
      </c>
      <c r="C245">
        <f>IFERROR(VLOOKUP($A245,koronahun!$A:$AM,3,FALSE),"")</f>
        <v>37</v>
      </c>
      <c r="D245">
        <f>IFERROR(VLOOKUP($A245,koronahun!$A:$AM,4,FALSE),"")</f>
        <v>29992</v>
      </c>
      <c r="E245">
        <f>IFERROR(VLOOKUP($A245,koronahun!$A:$AM,5,FALSE),"")</f>
        <v>739561</v>
      </c>
      <c r="F245">
        <f>IFERROR(VLOOKUP($A245,koronahun!$A:$AM,6,FALSE),"")</f>
        <v>6145920</v>
      </c>
      <c r="G245" s="12">
        <f>IFERROR(VLOOKUP($A245,koronahun!$A:$AM,7,FALSE),"")</f>
        <v>627134.69387755101</v>
      </c>
      <c r="H245">
        <f>IFERROR(VLOOKUP($A245,koronahun!$A:$AM,8,FALSE),"")</f>
        <v>0</v>
      </c>
      <c r="I245" s="13">
        <f>IFERROR(VLOOKUP($A245,koronahun!$A:$AM,9,FALSE),"")</f>
        <v>4.578301326470006E-5</v>
      </c>
      <c r="J245" s="13">
        <f>IFERROR(VLOOKUP($A245,koronahun!$A:$AM,10,FALSE),"")</f>
        <v>0.13150138628553576</v>
      </c>
      <c r="K245" s="13">
        <f>IFERROR(VLOOKUP($A245,koronahun!$A:$AM,11,FALSE),"")</f>
        <v>1.204034386739885E-3</v>
      </c>
      <c r="L245">
        <f>IFERROR(VLOOKUP($A245,koronahun!$A:$AM,12,FALSE),"")</f>
        <v>38644</v>
      </c>
      <c r="M245" s="13">
        <f>IFERROR(VLOOKUP($A245,koronahun!$A:$AM,13,FALSE),"")</f>
        <v>3.7109764079797374E-2</v>
      </c>
      <c r="N245" s="13">
        <f>IFERROR(VLOOKUP($A245,koronahun!$A:$AM,14,FALSE),"")</f>
        <v>0.91507516113026899</v>
      </c>
      <c r="O245">
        <f>IFERROR(VLOOKUP($A245,koronahun!$A:$AM,15,FALSE),"")</f>
        <v>1851</v>
      </c>
      <c r="P245">
        <f>IFERROR(VLOOKUP($A245,koronahun!$A:$AM,16,FALSE),"")</f>
        <v>7391</v>
      </c>
      <c r="Q245" s="13">
        <f>IFERROR(VLOOKUP($A245,koronahun!$A:$AM,17,FALSE),"")</f>
        <v>5.0060884859964823E-3</v>
      </c>
      <c r="R245">
        <f>IFERROR(VLOOKUP($A245,koronahun!$A:$AM,18,FALSE),"")</f>
        <v>0</v>
      </c>
      <c r="S245">
        <f>IFERROR(VLOOKUP($A245,koronahun!$A:$AM,19,FALSE),"")</f>
        <v>357</v>
      </c>
      <c r="T245">
        <f>IFERROR(VLOOKUP($A245,koronahun!$A:$AM,20,FALSE),"")</f>
        <v>98</v>
      </c>
      <c r="U245">
        <f>IFERROR(VLOOKUP($A245,koronahun!$A:$AM,21,FALSE),"")</f>
        <v>22</v>
      </c>
      <c r="V245" s="13">
        <f>IFERROR(VLOOKUP($A245,koronahun!$A:$AM,22,FALSE),"")</f>
        <v>4.7815074789933645E-2</v>
      </c>
      <c r="W245">
        <f>IFERROR(VLOOKUP($A245,koronahun!$A:$AM,23,FALSE),"")</f>
        <v>-18</v>
      </c>
      <c r="X245">
        <f>IFERROR(VLOOKUP($A245,koronahun!$A:$AM,24,FALSE),"")</f>
        <v>2</v>
      </c>
      <c r="Y245" s="14">
        <f>IFERROR(VLOOKUP($A245,koronahun!$A:$AM,25,FALSE),"")</f>
        <v>2.5359693613497569E-3</v>
      </c>
      <c r="Z245" s="14">
        <f>IFERROR(VLOOKUP($A245,koronahun!$A:$AM,26,FALSE),"")</f>
        <v>0.22448979591836735</v>
      </c>
      <c r="AA245" s="14">
        <f>IFERROR(VLOOKUP($A245,koronahun!$A:$AM,27,FALSE),"")</f>
        <v>0.5954356846473029</v>
      </c>
      <c r="AB245" s="14">
        <f>IFERROR(VLOOKUP($A245,koronahun!$A:$AM,28,FALSE),"")</f>
        <v>0.64045752083125163</v>
      </c>
      <c r="AC245" s="14">
        <f>IFERROR(VLOOKUP($A245,koronahun!$A:$AM,29,FALSE),"")</f>
        <v>41</v>
      </c>
      <c r="AD245" s="14">
        <f>IFERROR(VLOOKUP($A245,koronahun!$A:$AM,30,FALSE),"")</f>
        <v>1.7142857142857142</v>
      </c>
      <c r="AE245" s="14">
        <f>IFERROR(VLOOKUP($A245,koronahun!$A:$AM,31,FALSE),"")</f>
        <v>7357.8571428571431</v>
      </c>
      <c r="AF245" s="13">
        <f>IFERROR(VLOOKUP($A245,koronahun!$A:$AM,32,FALSE),"")</f>
        <v>5.6541774641745892E-3</v>
      </c>
      <c r="AG245">
        <f>IFERROR(VLOOKUP($A245,koronahun!$A:$AM,33,FALSE),"")</f>
        <v>5495888</v>
      </c>
      <c r="AH245">
        <f>IFERROR(VLOOKUP($A245,koronahun!$A:$AM,34,FALSE),"")</f>
        <v>2279</v>
      </c>
      <c r="AI245">
        <f>IFERROR(VLOOKUP($A245,koronahun!$A:$AM,35,FALSE),"")</f>
        <v>8204.4</v>
      </c>
      <c r="AJ245">
        <f>IFERROR(VLOOKUP($A245,koronahun!$A:$AM,36,FALSE),"")</f>
        <v>4973210</v>
      </c>
      <c r="AK245">
        <f>IFERROR(VLOOKUP($A245,koronahun!$A:$AM,37,FALSE),"")</f>
        <v>14405</v>
      </c>
      <c r="AL245">
        <f>IFERROR(VLOOKUP($A245,koronahun!$A:$AM,38,FALSE),"")</f>
        <v>48911</v>
      </c>
      <c r="AM245" s="14">
        <f>IFERROR(VLOOKUP($A245,koronahun!$A:$AM,39,FALSE),"")</f>
        <v>332.57142857142856</v>
      </c>
      <c r="AN245" s="11">
        <f ca="1">IFERROR(__xludf.DUMMYFUNCTION("""COMPUTED_VALUE"""),44137)</f>
        <v>44137</v>
      </c>
      <c r="AO245" s="12">
        <f ca="1">IFERROR(VLOOKUP(AN245,koronahun!A:B,2,FALSE),"")</f>
        <v>82780</v>
      </c>
      <c r="AP245" s="11">
        <f t="shared" ca="1" si="0"/>
        <v>44137</v>
      </c>
      <c r="AQ245" s="11">
        <f ca="1">IFERROR(__xludf.DUMMYFUNCTION("""COMPUTED_VALUE"""),44137)</f>
        <v>44137</v>
      </c>
      <c r="AR245" s="11">
        <v>44382</v>
      </c>
      <c r="AS245" s="11">
        <f t="shared" si="1"/>
        <v>44382</v>
      </c>
      <c r="AT245" s="11">
        <f ca="1">IFERROR(__xludf.DUMMYFUNCTION("""COMPUTED_VALUE"""),44379)</f>
        <v>44379</v>
      </c>
    </row>
    <row r="246" spans="1:46" ht="13">
      <c r="A246" s="11">
        <v>44378</v>
      </c>
      <c r="B246">
        <f>IFERROR(VLOOKUP($A246,koronahun!$A:$AM,2,FALSE),"")</f>
        <v>808160</v>
      </c>
      <c r="C246">
        <f>IFERROR(VLOOKUP($A246,koronahun!$A:$AM,3,FALSE),"")</f>
        <v>32</v>
      </c>
      <c r="D246">
        <f>IFERROR(VLOOKUP($A246,koronahun!$A:$AM,4,FALSE),"")</f>
        <v>29992</v>
      </c>
      <c r="E246">
        <f>IFERROR(VLOOKUP($A246,koronahun!$A:$AM,5,FALSE),"")</f>
        <v>739204</v>
      </c>
      <c r="F246">
        <f>IFERROR(VLOOKUP($A246,koronahun!$A:$AM,6,FALSE),"")</f>
        <v>6138529</v>
      </c>
      <c r="G246" s="12">
        <f>IFERROR(VLOOKUP($A246,koronahun!$A:$AM,7,FALSE),"")</f>
        <v>626380.51020408154</v>
      </c>
      <c r="H246">
        <f>IFERROR(VLOOKUP($A246,koronahun!$A:$AM,8,FALSE),"")</f>
        <v>0</v>
      </c>
      <c r="I246" s="13">
        <f>IFERROR(VLOOKUP($A246,koronahun!$A:$AM,9,FALSE),"")</f>
        <v>3.959768749505029E-5</v>
      </c>
      <c r="J246" s="13">
        <f>IFERROR(VLOOKUP($A246,koronahun!$A:$AM,10,FALSE),"")</f>
        <v>0.13165369097384733</v>
      </c>
      <c r="K246" s="13">
        <f>IFERROR(VLOOKUP($A246,koronahun!$A:$AM,11,FALSE),"")</f>
        <v>1.3431653778488636E-3</v>
      </c>
      <c r="L246">
        <f>IFERROR(VLOOKUP($A246,koronahun!$A:$AM,12,FALSE),"")</f>
        <v>38964</v>
      </c>
      <c r="M246" s="13">
        <f>IFERROR(VLOOKUP($A246,koronahun!$A:$AM,13,FALSE),"")</f>
        <v>3.7111463076618494E-2</v>
      </c>
      <c r="N246" s="13">
        <f>IFERROR(VLOOKUP($A246,koronahun!$A:$AM,14,FALSE),"")</f>
        <v>0.91467531181944173</v>
      </c>
      <c r="O246">
        <f>IFERROR(VLOOKUP($A246,koronahun!$A:$AM,15,FALSE),"")</f>
        <v>1998</v>
      </c>
      <c r="P246">
        <f>IFERROR(VLOOKUP($A246,koronahun!$A:$AM,16,FALSE),"")</f>
        <v>8234</v>
      </c>
      <c r="Q246" s="13">
        <f>IFERROR(VLOOKUP($A246,koronahun!$A:$AM,17,FALSE),"")</f>
        <v>3.8863249939276173E-3</v>
      </c>
      <c r="R246">
        <f>IFERROR(VLOOKUP($A246,koronahun!$A:$AM,18,FALSE),"")</f>
        <v>0</v>
      </c>
      <c r="S246">
        <f>IFERROR(VLOOKUP($A246,koronahun!$A:$AM,19,FALSE),"")</f>
        <v>422</v>
      </c>
      <c r="T246">
        <f>IFERROR(VLOOKUP($A246,koronahun!$A:$AM,20,FALSE),"")</f>
        <v>116</v>
      </c>
      <c r="U246">
        <f>IFERROR(VLOOKUP($A246,koronahun!$A:$AM,21,FALSE),"")</f>
        <v>20</v>
      </c>
      <c r="V246" s="13">
        <f>IFERROR(VLOOKUP($A246,koronahun!$A:$AM,22,FALSE),"")</f>
        <v>4.8213225103939814E-2</v>
      </c>
      <c r="W246">
        <f>IFERROR(VLOOKUP($A246,koronahun!$A:$AM,23,FALSE),"")</f>
        <v>-10</v>
      </c>
      <c r="X246">
        <f>IFERROR(VLOOKUP($A246,koronahun!$A:$AM,24,FALSE),"")</f>
        <v>-3</v>
      </c>
      <c r="Y246" s="14">
        <f>IFERROR(VLOOKUP($A246,koronahun!$A:$AM,25,FALSE),"")</f>
        <v>2.9771070731957703E-3</v>
      </c>
      <c r="Z246" s="14">
        <f>IFERROR(VLOOKUP($A246,koronahun!$A:$AM,26,FALSE),"")</f>
        <v>0.17241379310344829</v>
      </c>
      <c r="AA246" s="14">
        <f>IFERROR(VLOOKUP($A246,koronahun!$A:$AM,27,FALSE),"")</f>
        <v>0.6053639846743295</v>
      </c>
      <c r="AB246" s="14">
        <f>IFERROR(VLOOKUP($A246,koronahun!$A:$AM,28,FALSE),"")</f>
        <v>0.67246756258517648</v>
      </c>
      <c r="AC246" s="14">
        <f>IFERROR(VLOOKUP($A246,koronahun!$A:$AM,29,FALSE),"")</f>
        <v>45.142857142857146</v>
      </c>
      <c r="AD246" s="14">
        <f>IFERROR(VLOOKUP($A246,koronahun!$A:$AM,30,FALSE),"")</f>
        <v>2.8571428571428572</v>
      </c>
      <c r="AE246" s="14">
        <f>IFERROR(VLOOKUP($A246,koronahun!$A:$AM,31,FALSE),"")</f>
        <v>7897.2857142857147</v>
      </c>
      <c r="AF246" s="13">
        <f>IFERROR(VLOOKUP($A246,koronahun!$A:$AM,32,FALSE),"")</f>
        <v>5.8350140340120982E-3</v>
      </c>
      <c r="AG246">
        <f>IFERROR(VLOOKUP($A246,koronahun!$A:$AM,33,FALSE),"")</f>
        <v>5493609</v>
      </c>
      <c r="AH246">
        <f>IFERROR(VLOOKUP($A246,koronahun!$A:$AM,34,FALSE),"")</f>
        <v>7095</v>
      </c>
      <c r="AI246">
        <f>IFERROR(VLOOKUP($A246,koronahun!$A:$AM,35,FALSE),"")</f>
        <v>9613</v>
      </c>
      <c r="AJ246">
        <f>IFERROR(VLOOKUP($A246,koronahun!$A:$AM,36,FALSE),"")</f>
        <v>4958805</v>
      </c>
      <c r="AK246">
        <f>IFERROR(VLOOKUP($A246,koronahun!$A:$AM,37,FALSE),"")</f>
        <v>41878</v>
      </c>
      <c r="AL246">
        <f>IFERROR(VLOOKUP($A246,koronahun!$A:$AM,38,FALSE),"")</f>
        <v>60205.8</v>
      </c>
      <c r="AM246" s="14">
        <f>IFERROR(VLOOKUP($A246,koronahun!$A:$AM,39,FALSE),"")</f>
        <v>335.71428571428572</v>
      </c>
      <c r="AN246" s="11">
        <f ca="1">IFERROR(__xludf.DUMMYFUNCTION("""COMPUTED_VALUE"""),44138)</f>
        <v>44138</v>
      </c>
      <c r="AO246" s="12">
        <f ca="1">IFERROR(VLOOKUP(AN246,koronahun!A:B,2,FALSE),"")</f>
        <v>86769</v>
      </c>
      <c r="AP246" s="11">
        <f t="shared" ca="1" si="0"/>
        <v>44138</v>
      </c>
      <c r="AQ246" s="11">
        <f ca="1">IFERROR(__xludf.DUMMYFUNCTION("""COMPUTED_VALUE"""),44138)</f>
        <v>44138</v>
      </c>
      <c r="AR246" s="11">
        <v>44379</v>
      </c>
      <c r="AS246" s="11">
        <f t="shared" si="1"/>
        <v>44379</v>
      </c>
      <c r="AT246" s="11">
        <f ca="1">IFERROR(__xludf.DUMMYFUNCTION("""COMPUTED_VALUE"""),44378)</f>
        <v>44378</v>
      </c>
    </row>
    <row r="247" spans="1:46" ht="13">
      <c r="A247" s="11">
        <v>44377</v>
      </c>
      <c r="B247">
        <f>IFERROR(VLOOKUP($A247,koronahun!$A:$AM,2,FALSE),"")</f>
        <v>808128</v>
      </c>
      <c r="C247">
        <f>IFERROR(VLOOKUP($A247,koronahun!$A:$AM,3,FALSE),"")</f>
        <v>52</v>
      </c>
      <c r="D247">
        <f>IFERROR(VLOOKUP($A247,koronahun!$A:$AM,4,FALSE),"")</f>
        <v>29992</v>
      </c>
      <c r="E247">
        <f>IFERROR(VLOOKUP($A247,koronahun!$A:$AM,5,FALSE),"")</f>
        <v>738782</v>
      </c>
      <c r="F247">
        <f>IFERROR(VLOOKUP($A247,koronahun!$A:$AM,6,FALSE),"")</f>
        <v>6130295</v>
      </c>
      <c r="G247" s="12">
        <f>IFERROR(VLOOKUP($A247,koronahun!$A:$AM,7,FALSE),"")</f>
        <v>625540.30612244888</v>
      </c>
      <c r="H247">
        <f>IFERROR(VLOOKUP($A247,koronahun!$A:$AM,8,FALSE),"")</f>
        <v>0</v>
      </c>
      <c r="I247" s="13">
        <f>IFERROR(VLOOKUP($A247,koronahun!$A:$AM,9,FALSE),"")</f>
        <v>6.4350382884778169E-5</v>
      </c>
      <c r="J247" s="13">
        <f>IFERROR(VLOOKUP($A247,koronahun!$A:$AM,10,FALSE),"")</f>
        <v>0.13182530367625048</v>
      </c>
      <c r="K247" s="13">
        <f>IFERROR(VLOOKUP($A247,koronahun!$A:$AM,11,FALSE),"")</f>
        <v>1.5450498771573434E-3</v>
      </c>
      <c r="L247">
        <f>IFERROR(VLOOKUP($A247,koronahun!$A:$AM,12,FALSE),"")</f>
        <v>39354</v>
      </c>
      <c r="M247" s="13">
        <f>IFERROR(VLOOKUP($A247,koronahun!$A:$AM,13,FALSE),"")</f>
        <v>3.7112932604735881E-2</v>
      </c>
      <c r="N247" s="13">
        <f>IFERROR(VLOOKUP($A247,koronahun!$A:$AM,14,FALSE),"")</f>
        <v>0.91418933634275756</v>
      </c>
      <c r="O247">
        <f>IFERROR(VLOOKUP($A247,koronahun!$A:$AM,15,FALSE),"")</f>
        <v>2212</v>
      </c>
      <c r="P247">
        <f>IFERROR(VLOOKUP($A247,koronahun!$A:$AM,16,FALSE),"")</f>
        <v>9457</v>
      </c>
      <c r="Q247" s="13">
        <f>IFERROR(VLOOKUP($A247,koronahun!$A:$AM,17,FALSE),"")</f>
        <v>5.4985724859892143E-3</v>
      </c>
      <c r="R247">
        <f>IFERROR(VLOOKUP($A247,koronahun!$A:$AM,18,FALSE),"")</f>
        <v>1</v>
      </c>
      <c r="S247">
        <f>IFERROR(VLOOKUP($A247,koronahun!$A:$AM,19,FALSE),"")</f>
        <v>240</v>
      </c>
      <c r="T247">
        <f>IFERROR(VLOOKUP($A247,koronahun!$A:$AM,20,FALSE),"")</f>
        <v>126</v>
      </c>
      <c r="U247">
        <f>IFERROR(VLOOKUP($A247,koronahun!$A:$AM,21,FALSE),"")</f>
        <v>23</v>
      </c>
      <c r="V247" s="13">
        <f>IFERROR(VLOOKUP($A247,koronahun!$A:$AM,22,FALSE),"")</f>
        <v>4.8697731052506535E-2</v>
      </c>
      <c r="W247">
        <f>IFERROR(VLOOKUP($A247,koronahun!$A:$AM,23,FALSE),"")</f>
        <v>-24</v>
      </c>
      <c r="X247">
        <f>IFERROR(VLOOKUP($A247,koronahun!$A:$AM,24,FALSE),"")</f>
        <v>1</v>
      </c>
      <c r="Y247" s="14">
        <f>IFERROR(VLOOKUP($A247,koronahun!$A:$AM,25,FALSE),"")</f>
        <v>3.2017075773745998E-3</v>
      </c>
      <c r="Z247" s="14">
        <f>IFERROR(VLOOKUP($A247,koronahun!$A:$AM,26,FALSE),"")</f>
        <v>0.18253968253968253</v>
      </c>
      <c r="AA247" s="14">
        <f>IFERROR(VLOOKUP($A247,koronahun!$A:$AM,27,FALSE),"")</f>
        <v>0.62367491166077738</v>
      </c>
      <c r="AB247" s="14">
        <f>IFERROR(VLOOKUP($A247,koronahun!$A:$AM,28,FALSE),"")</f>
        <v>0.69421282310585097</v>
      </c>
      <c r="AC247" s="14">
        <f>IFERROR(VLOOKUP($A247,koronahun!$A:$AM,29,FALSE),"")</f>
        <v>50.428571428571431</v>
      </c>
      <c r="AD247" s="14">
        <f>IFERROR(VLOOKUP($A247,koronahun!$A:$AM,30,FALSE),"")</f>
        <v>3</v>
      </c>
      <c r="AE247" s="14">
        <f>IFERROR(VLOOKUP($A247,koronahun!$A:$AM,31,FALSE),"")</f>
        <v>8111.2857142857147</v>
      </c>
      <c r="AF247" s="13">
        <f>IFERROR(VLOOKUP($A247,koronahun!$A:$AM,32,FALSE),"")</f>
        <v>6.4757515013178198E-3</v>
      </c>
      <c r="AG247">
        <f>IFERROR(VLOOKUP($A247,koronahun!$A:$AM,33,FALSE),"")</f>
        <v>5486514</v>
      </c>
      <c r="AH247">
        <f>IFERROR(VLOOKUP($A247,koronahun!$A:$AM,34,FALSE),"")</f>
        <v>9109</v>
      </c>
      <c r="AI247">
        <f>IFERROR(VLOOKUP($A247,koronahun!$A:$AM,35,FALSE),"")</f>
        <v>10960.2</v>
      </c>
      <c r="AJ247">
        <f>IFERROR(VLOOKUP($A247,koronahun!$A:$AM,36,FALSE),"")</f>
        <v>4916927</v>
      </c>
      <c r="AK247">
        <f>IFERROR(VLOOKUP($A247,koronahun!$A:$AM,37,FALSE),"")</f>
        <v>42851</v>
      </c>
      <c r="AL247">
        <f>IFERROR(VLOOKUP($A247,koronahun!$A:$AM,38,FALSE),"")</f>
        <v>59410</v>
      </c>
      <c r="AM247" s="14">
        <f>IFERROR(VLOOKUP($A247,koronahun!$A:$AM,39,FALSE),"")</f>
        <v>342.14285714285717</v>
      </c>
      <c r="AN247" s="11">
        <f ca="1">IFERROR(__xludf.DUMMYFUNCTION("""COMPUTED_VALUE"""),44139)</f>
        <v>44139</v>
      </c>
      <c r="AO247" s="12">
        <f ca="1">IFERROR(VLOOKUP(AN247,koronahun!A:B,2,FALSE),"")</f>
        <v>90988</v>
      </c>
      <c r="AP247" s="11">
        <f t="shared" ca="1" si="0"/>
        <v>44139</v>
      </c>
      <c r="AQ247" s="11">
        <f ca="1">IFERROR(__xludf.DUMMYFUNCTION("""COMPUTED_VALUE"""),44139)</f>
        <v>44139</v>
      </c>
      <c r="AR247" s="11">
        <v>44378</v>
      </c>
      <c r="AS247" s="11">
        <f t="shared" si="1"/>
        <v>44378</v>
      </c>
      <c r="AT247" s="11">
        <f ca="1">IFERROR(__xludf.DUMMYFUNCTION("""COMPUTED_VALUE"""),44377)</f>
        <v>44377</v>
      </c>
    </row>
    <row r="248" spans="1:46" ht="13">
      <c r="A248" s="11">
        <v>44376</v>
      </c>
      <c r="B248">
        <f>IFERROR(VLOOKUP($A248,koronahun!$A:$AM,2,FALSE),"")</f>
        <v>808076</v>
      </c>
      <c r="C248">
        <f>IFERROR(VLOOKUP($A248,koronahun!$A:$AM,3,FALSE),"")</f>
        <v>34</v>
      </c>
      <c r="D248">
        <f>IFERROR(VLOOKUP($A248,koronahun!$A:$AM,4,FALSE),"")</f>
        <v>29991</v>
      </c>
      <c r="E248">
        <f>IFERROR(VLOOKUP($A248,koronahun!$A:$AM,5,FALSE),"")</f>
        <v>738542</v>
      </c>
      <c r="F248">
        <f>IFERROR(VLOOKUP($A248,koronahun!$A:$AM,6,FALSE),"")</f>
        <v>6120838</v>
      </c>
      <c r="G248" s="12">
        <f>IFERROR(VLOOKUP($A248,koronahun!$A:$AM,7,FALSE),"")</f>
        <v>624575.30612244888</v>
      </c>
      <c r="H248">
        <f>IFERROR(VLOOKUP($A248,koronahun!$A:$AM,8,FALSE),"")</f>
        <v>0</v>
      </c>
      <c r="I248" s="13">
        <f>IFERROR(VLOOKUP($A248,koronahun!$A:$AM,9,FALSE),"")</f>
        <v>4.2077020748921465E-5</v>
      </c>
      <c r="J248" s="13">
        <f>IFERROR(VLOOKUP($A248,koronahun!$A:$AM,10,FALSE),"")</f>
        <v>0.13202048477675768</v>
      </c>
      <c r="K248" s="13">
        <f>IFERROR(VLOOKUP($A248,koronahun!$A:$AM,11,FALSE),"")</f>
        <v>7.0235763933281252E-4</v>
      </c>
      <c r="L248">
        <f>IFERROR(VLOOKUP($A248,koronahun!$A:$AM,12,FALSE),"")</f>
        <v>39543</v>
      </c>
      <c r="M248" s="13">
        <f>IFERROR(VLOOKUP($A248,koronahun!$A:$AM,13,FALSE),"")</f>
        <v>3.7114083328795809E-2</v>
      </c>
      <c r="N248" s="13">
        <f>IFERROR(VLOOKUP($A248,koronahun!$A:$AM,14,FALSE),"")</f>
        <v>0.91395116300941992</v>
      </c>
      <c r="O248">
        <f>IFERROR(VLOOKUP($A248,koronahun!$A:$AM,15,FALSE),"")</f>
        <v>2376</v>
      </c>
      <c r="P248">
        <f>IFERROR(VLOOKUP($A248,koronahun!$A:$AM,16,FALSE),"")</f>
        <v>4296</v>
      </c>
      <c r="Q248" s="13">
        <f>IFERROR(VLOOKUP($A248,koronahun!$A:$AM,17,FALSE),"")</f>
        <v>7.9143389199255124E-3</v>
      </c>
      <c r="R248">
        <f>IFERROR(VLOOKUP($A248,koronahun!$A:$AM,18,FALSE),"")</f>
        <v>2</v>
      </c>
      <c r="S248">
        <f>IFERROR(VLOOKUP($A248,koronahun!$A:$AM,19,FALSE),"")</f>
        <v>151</v>
      </c>
      <c r="T248">
        <f>IFERROR(VLOOKUP($A248,koronahun!$A:$AM,20,FALSE),"")</f>
        <v>150</v>
      </c>
      <c r="U248">
        <f>IFERROR(VLOOKUP($A248,koronahun!$A:$AM,21,FALSE),"")</f>
        <v>22</v>
      </c>
      <c r="V248" s="13">
        <f>IFERROR(VLOOKUP($A248,koronahun!$A:$AM,22,FALSE),"")</f>
        <v>4.8934753661784285E-2</v>
      </c>
      <c r="W248">
        <f>IFERROR(VLOOKUP($A248,koronahun!$A:$AM,23,FALSE),"")</f>
        <v>-7</v>
      </c>
      <c r="X248">
        <f>IFERROR(VLOOKUP($A248,koronahun!$A:$AM,24,FALSE),"")</f>
        <v>-2</v>
      </c>
      <c r="Y248" s="14">
        <f>IFERROR(VLOOKUP($A248,koronahun!$A:$AM,25,FALSE),"")</f>
        <v>3.7933388968970486E-3</v>
      </c>
      <c r="Z248" s="14">
        <f>IFERROR(VLOOKUP($A248,koronahun!$A:$AM,26,FALSE),"")</f>
        <v>0.14666666666666667</v>
      </c>
      <c r="AA248" s="14">
        <f>IFERROR(VLOOKUP($A248,koronahun!$A:$AM,27,FALSE),"")</f>
        <v>0.67353951890034369</v>
      </c>
      <c r="AB248" s="14">
        <f>IFERROR(VLOOKUP($A248,koronahun!$A:$AM,28,FALSE),"")</f>
        <v>0.7068564815503946</v>
      </c>
      <c r="AC248" s="14">
        <f>IFERROR(VLOOKUP($A248,koronahun!$A:$AM,29,FALSE),"")</f>
        <v>56</v>
      </c>
      <c r="AD248" s="14">
        <f>IFERROR(VLOOKUP($A248,koronahun!$A:$AM,30,FALSE),"")</f>
        <v>4</v>
      </c>
      <c r="AE248" s="14">
        <f>IFERROR(VLOOKUP($A248,koronahun!$A:$AM,31,FALSE),"")</f>
        <v>8290.2857142857138</v>
      </c>
      <c r="AF248" s="13">
        <f>IFERROR(VLOOKUP($A248,koronahun!$A:$AM,32,FALSE),"")</f>
        <v>7.0753834093487348E-3</v>
      </c>
      <c r="AG248">
        <f>IFERROR(VLOOKUP($A248,koronahun!$A:$AM,33,FALSE),"")</f>
        <v>5477405</v>
      </c>
      <c r="AH248">
        <f>IFERROR(VLOOKUP($A248,koronahun!$A:$AM,34,FALSE),"")</f>
        <v>9200</v>
      </c>
      <c r="AI248">
        <f>IFERROR(VLOOKUP($A248,koronahun!$A:$AM,35,FALSE),"")</f>
        <v>11235</v>
      </c>
      <c r="AJ248">
        <f>IFERROR(VLOOKUP($A248,koronahun!$A:$AM,36,FALSE),"")</f>
        <v>4874076</v>
      </c>
      <c r="AK248">
        <f>IFERROR(VLOOKUP($A248,koronahun!$A:$AM,37,FALSE),"")</f>
        <v>31928</v>
      </c>
      <c r="AL248">
        <f>IFERROR(VLOOKUP($A248,koronahun!$A:$AM,38,FALSE),"")</f>
        <v>63809.4</v>
      </c>
      <c r="AM248" s="14">
        <f>IFERROR(VLOOKUP($A248,koronahun!$A:$AM,39,FALSE),"")</f>
        <v>372.14285714285717</v>
      </c>
      <c r="AN248" s="11">
        <f ca="1">IFERROR(__xludf.DUMMYFUNCTION("""COMPUTED_VALUE"""),44140)</f>
        <v>44140</v>
      </c>
      <c r="AO248" s="12">
        <f ca="1">IFERROR(VLOOKUP(AN248,koronahun!A:B,2,FALSE),"")</f>
        <v>94916</v>
      </c>
      <c r="AP248" s="11">
        <f t="shared" ca="1" si="0"/>
        <v>44140</v>
      </c>
      <c r="AQ248" s="11">
        <f ca="1">IFERROR(__xludf.DUMMYFUNCTION("""COMPUTED_VALUE"""),44140)</f>
        <v>44140</v>
      </c>
      <c r="AR248" s="11">
        <v>44377</v>
      </c>
      <c r="AS248" s="11">
        <f t="shared" si="1"/>
        <v>44377</v>
      </c>
      <c r="AT248" s="11">
        <f ca="1">IFERROR(__xludf.DUMMYFUNCTION("""COMPUTED_VALUE"""),44376)</f>
        <v>44376</v>
      </c>
    </row>
    <row r="249" spans="1:46" ht="13">
      <c r="A249" s="11">
        <v>44375</v>
      </c>
      <c r="B249">
        <f>IFERROR(VLOOKUP($A249,koronahun!$A:$AM,2,FALSE),"")</f>
        <v>808042</v>
      </c>
      <c r="C249">
        <f>IFERROR(VLOOKUP($A249,koronahun!$A:$AM,3,FALSE),"")</f>
        <v>132</v>
      </c>
      <c r="D249">
        <f>IFERROR(VLOOKUP($A249,koronahun!$A:$AM,4,FALSE),"")</f>
        <v>29989</v>
      </c>
      <c r="E249">
        <f>IFERROR(VLOOKUP($A249,koronahun!$A:$AM,5,FALSE),"")</f>
        <v>738391</v>
      </c>
      <c r="F249">
        <f>IFERROR(VLOOKUP($A249,koronahun!$A:$AM,6,FALSE),"")</f>
        <v>6116542</v>
      </c>
      <c r="G249" s="12">
        <f>IFERROR(VLOOKUP($A249,koronahun!$A:$AM,7,FALSE),"")</f>
        <v>624136.93877551018</v>
      </c>
      <c r="H249">
        <f>IFERROR(VLOOKUP($A249,koronahun!$A:$AM,8,FALSE),"")</f>
        <v>0</v>
      </c>
      <c r="I249" s="13">
        <f>IFERROR(VLOOKUP($A249,koronahun!$A:$AM,9,FALSE),"")</f>
        <v>1.6338453540617147E-4</v>
      </c>
      <c r="J249" s="13">
        <f>IFERROR(VLOOKUP($A249,koronahun!$A:$AM,10,FALSE),"")</f>
        <v>0.13210765167638838</v>
      </c>
      <c r="K249" s="13">
        <f>IFERROR(VLOOKUP($A249,koronahun!$A:$AM,11,FALSE),"")</f>
        <v>3.630701223989505E-3</v>
      </c>
      <c r="L249">
        <f>IFERROR(VLOOKUP($A249,koronahun!$A:$AM,12,FALSE),"")</f>
        <v>39662</v>
      </c>
      <c r="M249" s="13">
        <f>IFERROR(VLOOKUP($A249,koronahun!$A:$AM,13,FALSE),"")</f>
        <v>3.7113169859982524E-2</v>
      </c>
      <c r="N249" s="13">
        <f>IFERROR(VLOOKUP($A249,koronahun!$A:$AM,14,FALSE),"")</f>
        <v>0.9138027478769668</v>
      </c>
      <c r="O249">
        <f>IFERROR(VLOOKUP($A249,koronahun!$A:$AM,15,FALSE),"")</f>
        <v>2614</v>
      </c>
      <c r="P249">
        <f>IFERROR(VLOOKUP($A249,koronahun!$A:$AM,16,FALSE),"")</f>
        <v>22127</v>
      </c>
      <c r="Q249" s="13">
        <f>IFERROR(VLOOKUP($A249,koronahun!$A:$AM,17,FALSE),"")</f>
        <v>5.9655624350341213E-3</v>
      </c>
      <c r="R249">
        <f>IFERROR(VLOOKUP($A249,koronahun!$A:$AM,18,FALSE),"")</f>
        <v>9</v>
      </c>
      <c r="S249">
        <f>IFERROR(VLOOKUP($A249,koronahun!$A:$AM,19,FALSE),"")</f>
        <v>1158</v>
      </c>
      <c r="T249">
        <f>IFERROR(VLOOKUP($A249,koronahun!$A:$AM,20,FALSE),"")</f>
        <v>157</v>
      </c>
      <c r="U249">
        <f>IFERROR(VLOOKUP($A249,koronahun!$A:$AM,21,FALSE),"")</f>
        <v>24</v>
      </c>
      <c r="V249" s="13">
        <f>IFERROR(VLOOKUP($A249,koronahun!$A:$AM,22,FALSE),"")</f>
        <v>4.908408226305068E-2</v>
      </c>
      <c r="W249">
        <f>IFERROR(VLOOKUP($A249,koronahun!$A:$AM,23,FALSE),"")</f>
        <v>-25</v>
      </c>
      <c r="X249">
        <f>IFERROR(VLOOKUP($A249,koronahun!$A:$AM,24,FALSE),"")</f>
        <v>2</v>
      </c>
      <c r="Y249" s="14">
        <f>IFERROR(VLOOKUP($A249,koronahun!$A:$AM,25,FALSE),"")</f>
        <v>3.9584488931470926E-3</v>
      </c>
      <c r="Z249" s="14">
        <f>IFERROR(VLOOKUP($A249,koronahun!$A:$AM,26,FALSE),"")</f>
        <v>0.15286624203821655</v>
      </c>
      <c r="AA249" s="14">
        <f>IFERROR(VLOOKUP($A249,koronahun!$A:$AM,27,FALSE),"")</f>
        <v>0.70427350427350432</v>
      </c>
      <c r="AB249" s="14">
        <f>IFERROR(VLOOKUP($A249,koronahun!$A:$AM,28,FALSE),"")</f>
        <v>0.70205929205604012</v>
      </c>
      <c r="AC249" s="14">
        <f>IFERROR(VLOOKUP($A249,koronahun!$A:$AM,29,FALSE),"")</f>
        <v>58.857142857142854</v>
      </c>
      <c r="AD249" s="14">
        <f>IFERROR(VLOOKUP($A249,koronahun!$A:$AM,30,FALSE),"")</f>
        <v>4.2857142857142856</v>
      </c>
      <c r="AE249" s="14">
        <f>IFERROR(VLOOKUP($A249,koronahun!$A:$AM,31,FALSE),"")</f>
        <v>8293.4285714285706</v>
      </c>
      <c r="AF249" s="13">
        <f>IFERROR(VLOOKUP($A249,koronahun!$A:$AM,32,FALSE),"")</f>
        <v>7.9936735688559898E-3</v>
      </c>
      <c r="AG249">
        <f>IFERROR(VLOOKUP($A249,koronahun!$A:$AM,33,FALSE),"")</f>
        <v>5468205</v>
      </c>
      <c r="AH249">
        <f>IFERROR(VLOOKUP($A249,koronahun!$A:$AM,34,FALSE),"")</f>
        <v>13339</v>
      </c>
      <c r="AI249">
        <f>IFERROR(VLOOKUP($A249,koronahun!$A:$AM,35,FALSE),"")</f>
        <v>11354.8</v>
      </c>
      <c r="AJ249">
        <f>IFERROR(VLOOKUP($A249,koronahun!$A:$AM,36,FALSE),"")</f>
        <v>4842148</v>
      </c>
      <c r="AK249">
        <f>IFERROR(VLOOKUP($A249,koronahun!$A:$AM,37,FALSE),"")</f>
        <v>113493</v>
      </c>
      <c r="AL249">
        <f>IFERROR(VLOOKUP($A249,koronahun!$A:$AM,38,FALSE),"")</f>
        <v>70207</v>
      </c>
      <c r="AM249" s="14">
        <f>IFERROR(VLOOKUP($A249,koronahun!$A:$AM,39,FALSE),"")</f>
        <v>402.42857142857144</v>
      </c>
      <c r="AN249" s="11">
        <f ca="1">IFERROR(__xludf.DUMMYFUNCTION("""COMPUTED_VALUE"""),44141)</f>
        <v>44141</v>
      </c>
      <c r="AO249" s="12">
        <f ca="1">IFERROR(VLOOKUP(AN249,koronahun!A:B,2,FALSE),"")</f>
        <v>99625</v>
      </c>
      <c r="AP249" s="11">
        <f t="shared" ca="1" si="0"/>
        <v>44141</v>
      </c>
      <c r="AQ249" s="11">
        <f ca="1">IFERROR(__xludf.DUMMYFUNCTION("""COMPUTED_VALUE"""),44141)</f>
        <v>44141</v>
      </c>
      <c r="AR249" s="11">
        <v>44376</v>
      </c>
      <c r="AS249" s="11">
        <f t="shared" si="1"/>
        <v>44376</v>
      </c>
      <c r="AT249" s="11">
        <f ca="1">IFERROR(__xludf.DUMMYFUNCTION("""COMPUTED_VALUE"""),44375)</f>
        <v>44375</v>
      </c>
    </row>
    <row r="250" spans="1:46" ht="13">
      <c r="A250" s="11">
        <v>44372</v>
      </c>
      <c r="B250">
        <f>IFERROR(VLOOKUP($A250,koronahun!$A:$AM,2,FALSE),"")</f>
        <v>807910</v>
      </c>
      <c r="C250">
        <f>IFERROR(VLOOKUP($A250,koronahun!$A:$AM,3,FALSE),"")</f>
        <v>66</v>
      </c>
      <c r="D250">
        <f>IFERROR(VLOOKUP($A250,koronahun!$A:$AM,4,FALSE),"")</f>
        <v>29980</v>
      </c>
      <c r="E250">
        <f>IFERROR(VLOOKUP($A250,koronahun!$A:$AM,5,FALSE),"")</f>
        <v>737233</v>
      </c>
      <c r="F250">
        <f>IFERROR(VLOOKUP($A250,koronahun!$A:$AM,6,FALSE),"")</f>
        <v>6094415</v>
      </c>
      <c r="G250" s="12">
        <f>IFERROR(VLOOKUP($A250,koronahun!$A:$AM,7,FALSE),"")</f>
        <v>621879.08163265302</v>
      </c>
      <c r="H250">
        <f>IFERROR(VLOOKUP($A250,koronahun!$A:$AM,8,FALSE),"")</f>
        <v>0</v>
      </c>
      <c r="I250" s="13">
        <f>IFERROR(VLOOKUP($A250,koronahun!$A:$AM,9,FALSE),"")</f>
        <v>8.1698941874916442E-5</v>
      </c>
      <c r="J250" s="13">
        <f>IFERROR(VLOOKUP($A250,koronahun!$A:$AM,10,FALSE),"")</f>
        <v>0.13256563591419357</v>
      </c>
      <c r="K250" s="13">
        <f>IFERROR(VLOOKUP($A250,koronahun!$A:$AM,11,FALSE),"")</f>
        <v>1.8356969829275414E-3</v>
      </c>
      <c r="L250">
        <f>IFERROR(VLOOKUP($A250,koronahun!$A:$AM,12,FALSE),"")</f>
        <v>40697</v>
      </c>
      <c r="M250" s="13">
        <f>IFERROR(VLOOKUP($A250,koronahun!$A:$AM,13,FALSE),"")</f>
        <v>3.7108093723310767E-2</v>
      </c>
      <c r="N250" s="13">
        <f>IFERROR(VLOOKUP($A250,koronahun!$A:$AM,14,FALSE),"")</f>
        <v>0.91251872114468191</v>
      </c>
      <c r="O250">
        <f>IFERROR(VLOOKUP($A250,koronahun!$A:$AM,15,FALSE),"")</f>
        <v>2701</v>
      </c>
      <c r="P250">
        <f>IFERROR(VLOOKUP($A250,koronahun!$A:$AM,16,FALSE),"")</f>
        <v>11167</v>
      </c>
      <c r="Q250" s="13">
        <f>IFERROR(VLOOKUP($A250,koronahun!$A:$AM,17,FALSE),"")</f>
        <v>5.9102713351840246E-3</v>
      </c>
      <c r="R250">
        <f>IFERROR(VLOOKUP($A250,koronahun!$A:$AM,18,FALSE),"")</f>
        <v>8</v>
      </c>
      <c r="S250">
        <f>IFERROR(VLOOKUP($A250,koronahun!$A:$AM,19,FALSE),"")</f>
        <v>379</v>
      </c>
      <c r="T250">
        <f>IFERROR(VLOOKUP($A250,koronahun!$A:$AM,20,FALSE),"")</f>
        <v>182</v>
      </c>
      <c r="U250">
        <f>IFERROR(VLOOKUP($A250,koronahun!$A:$AM,21,FALSE),"")</f>
        <v>22</v>
      </c>
      <c r="V250" s="13">
        <f>IFERROR(VLOOKUP($A250,koronahun!$A:$AM,22,FALSE),"")</f>
        <v>5.0373185132007281E-2</v>
      </c>
      <c r="W250">
        <f>IFERROR(VLOOKUP($A250,koronahun!$A:$AM,23,FALSE),"")</f>
        <v>-33</v>
      </c>
      <c r="X250">
        <f>IFERROR(VLOOKUP($A250,koronahun!$A:$AM,24,FALSE),"")</f>
        <v>-8</v>
      </c>
      <c r="Y250" s="14">
        <f>IFERROR(VLOOKUP($A250,koronahun!$A:$AM,25,FALSE),"")</f>
        <v>4.4720741086566578E-3</v>
      </c>
      <c r="Z250" s="14">
        <f>IFERROR(VLOOKUP($A250,koronahun!$A:$AM,26,FALSE),"")</f>
        <v>0.12087912087912088</v>
      </c>
      <c r="AA250" s="14">
        <f>IFERROR(VLOOKUP($A250,koronahun!$A:$AM,27,FALSE),"")</f>
        <v>0.75548589341692785</v>
      </c>
      <c r="AB250" s="14">
        <f>IFERROR(VLOOKUP($A250,koronahun!$A:$AM,28,FALSE),"")</f>
        <v>0.68358952843983289</v>
      </c>
      <c r="AC250" s="14">
        <f>IFERROR(VLOOKUP($A250,koronahun!$A:$AM,29,FALSE),"")</f>
        <v>68.857142857142861</v>
      </c>
      <c r="AD250" s="14">
        <f>IFERROR(VLOOKUP($A250,koronahun!$A:$AM,30,FALSE),"")</f>
        <v>4.2857142857142856</v>
      </c>
      <c r="AE250" s="14">
        <f>IFERROR(VLOOKUP($A250,koronahun!$A:$AM,31,FALSE),"")</f>
        <v>8699.4285714285706</v>
      </c>
      <c r="AF250" s="13">
        <f>IFERROR(VLOOKUP($A250,koronahun!$A:$AM,32,FALSE),"")</f>
        <v>8.4185674096956958E-3</v>
      </c>
      <c r="AG250">
        <f>IFERROR(VLOOKUP($A250,koronahun!$A:$AM,33,FALSE),"")</f>
        <v>5454866</v>
      </c>
      <c r="AH250">
        <f>IFERROR(VLOOKUP($A250,koronahun!$A:$AM,34,FALSE),"")</f>
        <v>9322</v>
      </c>
      <c r="AI250">
        <f>IFERROR(VLOOKUP($A250,koronahun!$A:$AM,35,FALSE),"")</f>
        <v>13161.6</v>
      </c>
      <c r="AJ250">
        <f>IFERROR(VLOOKUP($A250,koronahun!$A:$AM,36,FALSE),"")</f>
        <v>4728655</v>
      </c>
      <c r="AK250">
        <f>IFERROR(VLOOKUP($A250,koronahun!$A:$AM,37,FALSE),"")</f>
        <v>70879</v>
      </c>
      <c r="AL250">
        <f>IFERROR(VLOOKUP($A250,koronahun!$A:$AM,38,FALSE),"")</f>
        <v>73668.399999999994</v>
      </c>
      <c r="AM250" s="14">
        <f>IFERROR(VLOOKUP($A250,koronahun!$A:$AM,39,FALSE),"")</f>
        <v>372.28571428571428</v>
      </c>
      <c r="AN250" s="11">
        <f ca="1">IFERROR(__xludf.DUMMYFUNCTION("""COMPUTED_VALUE"""),44142)</f>
        <v>44142</v>
      </c>
      <c r="AO250" s="12">
        <f ca="1">IFERROR(VLOOKUP(AN250,koronahun!A:B,2,FALSE),"")</f>
        <v>104943</v>
      </c>
      <c r="AP250" s="11">
        <f t="shared" ca="1" si="0"/>
        <v>44142</v>
      </c>
      <c r="AQ250" s="11">
        <f ca="1">IFERROR(__xludf.DUMMYFUNCTION("""COMPUTED_VALUE"""),44142)</f>
        <v>44142</v>
      </c>
      <c r="AR250" s="11">
        <v>44375</v>
      </c>
      <c r="AS250" s="11">
        <f t="shared" si="1"/>
        <v>44375</v>
      </c>
      <c r="AT250" s="11">
        <f ca="1">IFERROR(__xludf.DUMMYFUNCTION("""COMPUTED_VALUE"""),44372)</f>
        <v>44372</v>
      </c>
    </row>
    <row r="251" spans="1:46" ht="13">
      <c r="A251" s="11">
        <v>44371</v>
      </c>
      <c r="B251">
        <f>IFERROR(VLOOKUP($A251,koronahun!$A:$AM,2,FALSE),"")</f>
        <v>807844</v>
      </c>
      <c r="C251">
        <f>IFERROR(VLOOKUP($A251,koronahun!$A:$AM,3,FALSE),"")</f>
        <v>69</v>
      </c>
      <c r="D251">
        <f>IFERROR(VLOOKUP($A251,koronahun!$A:$AM,4,FALSE),"")</f>
        <v>29972</v>
      </c>
      <c r="E251">
        <f>IFERROR(VLOOKUP($A251,koronahun!$A:$AM,5,FALSE),"")</f>
        <v>736854</v>
      </c>
      <c r="F251">
        <f>IFERROR(VLOOKUP($A251,koronahun!$A:$AM,6,FALSE),"")</f>
        <v>6083248</v>
      </c>
      <c r="G251" s="12">
        <f>IFERROR(VLOOKUP($A251,koronahun!$A:$AM,7,FALSE),"")</f>
        <v>620739.59183673467</v>
      </c>
      <c r="H251">
        <f>IFERROR(VLOOKUP($A251,koronahun!$A:$AM,8,FALSE),"")</f>
        <v>0</v>
      </c>
      <c r="I251" s="13">
        <f>IFERROR(VLOOKUP($A251,koronahun!$A:$AM,9,FALSE),"")</f>
        <v>8.5419826065426637E-5</v>
      </c>
      <c r="J251" s="13">
        <f>IFERROR(VLOOKUP($A251,koronahun!$A:$AM,10,FALSE),"")</f>
        <v>0.13279813678482286</v>
      </c>
      <c r="K251" s="13">
        <f>IFERROR(VLOOKUP($A251,koronahun!$A:$AM,11,FALSE),"")</f>
        <v>1.6023667345241208E-3</v>
      </c>
      <c r="L251">
        <f>IFERROR(VLOOKUP($A251,koronahun!$A:$AM,12,FALSE),"")</f>
        <v>41018</v>
      </c>
      <c r="M251" s="13">
        <f>IFERROR(VLOOKUP($A251,koronahun!$A:$AM,13,FALSE),"")</f>
        <v>3.7101222513257509E-2</v>
      </c>
      <c r="N251" s="13">
        <f>IFERROR(VLOOKUP($A251,koronahun!$A:$AM,14,FALSE),"")</f>
        <v>0.91212412297423762</v>
      </c>
      <c r="O251">
        <f>IFERROR(VLOOKUP($A251,koronahun!$A:$AM,15,FALSE),"")</f>
        <v>2973</v>
      </c>
      <c r="P251">
        <f>IFERROR(VLOOKUP($A251,koronahun!$A:$AM,16,FALSE),"")</f>
        <v>9732</v>
      </c>
      <c r="Q251" s="13">
        <f>IFERROR(VLOOKUP($A251,koronahun!$A:$AM,17,FALSE),"")</f>
        <v>7.0900123304562272E-3</v>
      </c>
      <c r="R251">
        <f>IFERROR(VLOOKUP($A251,koronahun!$A:$AM,18,FALSE),"")</f>
        <v>1</v>
      </c>
      <c r="S251">
        <f>IFERROR(VLOOKUP($A251,koronahun!$A:$AM,19,FALSE),"")</f>
        <v>467</v>
      </c>
      <c r="T251">
        <f>IFERROR(VLOOKUP($A251,koronahun!$A:$AM,20,FALSE),"")</f>
        <v>215</v>
      </c>
      <c r="U251">
        <f>IFERROR(VLOOKUP($A251,koronahun!$A:$AM,21,FALSE),"")</f>
        <v>30</v>
      </c>
      <c r="V251" s="13">
        <f>IFERROR(VLOOKUP($A251,koronahun!$A:$AM,22,FALSE),"")</f>
        <v>5.0774654512504888E-2</v>
      </c>
      <c r="W251">
        <f>IFERROR(VLOOKUP($A251,koronahun!$A:$AM,23,FALSE),"")</f>
        <v>-26</v>
      </c>
      <c r="X251">
        <f>IFERROR(VLOOKUP($A251,koronahun!$A:$AM,24,FALSE),"")</f>
        <v>-2</v>
      </c>
      <c r="Y251" s="14">
        <f>IFERROR(VLOOKUP($A251,koronahun!$A:$AM,25,FALSE),"")</f>
        <v>5.2416012482324834E-3</v>
      </c>
      <c r="Z251" s="14">
        <f>IFERROR(VLOOKUP($A251,koronahun!$A:$AM,26,FALSE),"")</f>
        <v>0.13953488372093023</v>
      </c>
      <c r="AA251" s="14">
        <f>IFERROR(VLOOKUP($A251,koronahun!$A:$AM,27,FALSE),"")</f>
        <v>0.71409028727770174</v>
      </c>
      <c r="AB251" s="14">
        <f>IFERROR(VLOOKUP($A251,koronahun!$A:$AM,28,FALSE),"")</f>
        <v>0.63716831366128746</v>
      </c>
      <c r="AC251" s="14">
        <f>IFERROR(VLOOKUP($A251,koronahun!$A:$AM,29,FALSE),"")</f>
        <v>74.571428571428569</v>
      </c>
      <c r="AD251" s="14">
        <f>IFERROR(VLOOKUP($A251,koronahun!$A:$AM,30,FALSE),"")</f>
        <v>3.4285714285714284</v>
      </c>
      <c r="AE251" s="14">
        <f>IFERROR(VLOOKUP($A251,koronahun!$A:$AM,31,FALSE),"")</f>
        <v>9031.5714285714294</v>
      </c>
      <c r="AF251" s="13">
        <f>IFERROR(VLOOKUP($A251,koronahun!$A:$AM,32,FALSE),"")</f>
        <v>8.807814654666006E-3</v>
      </c>
      <c r="AG251">
        <f>IFERROR(VLOOKUP($A251,koronahun!$A:$AM,33,FALSE),"")</f>
        <v>5445544</v>
      </c>
      <c r="AH251">
        <f>IFERROR(VLOOKUP($A251,koronahun!$A:$AM,34,FALSE),"")</f>
        <v>13831</v>
      </c>
      <c r="AI251">
        <f>IFERROR(VLOOKUP($A251,koronahun!$A:$AM,35,FALSE),"")</f>
        <v>13924.2</v>
      </c>
      <c r="AJ251">
        <f>IFERROR(VLOOKUP($A251,koronahun!$A:$AM,36,FALSE),"")</f>
        <v>4657776</v>
      </c>
      <c r="AK251">
        <f>IFERROR(VLOOKUP($A251,koronahun!$A:$AM,37,FALSE),"")</f>
        <v>37899</v>
      </c>
      <c r="AL251">
        <f>IFERROR(VLOOKUP($A251,koronahun!$A:$AM,38,FALSE),"")</f>
        <v>71740.600000000006</v>
      </c>
      <c r="AM251" s="14">
        <f>IFERROR(VLOOKUP($A251,koronahun!$A:$AM,39,FALSE),"")</f>
        <v>421</v>
      </c>
      <c r="AN251" s="11">
        <f ca="1">IFERROR(__xludf.DUMMYFUNCTION("""COMPUTED_VALUE"""),44143)</f>
        <v>44143</v>
      </c>
      <c r="AO251" s="12">
        <f ca="1">IFERROR(VLOOKUP(AN251,koronahun!A:B,2,FALSE),"")</f>
        <v>109616</v>
      </c>
      <c r="AP251" s="11">
        <f t="shared" ca="1" si="0"/>
        <v>44143</v>
      </c>
      <c r="AQ251" s="11">
        <f ca="1">IFERROR(__xludf.DUMMYFUNCTION("""COMPUTED_VALUE"""),44143)</f>
        <v>44143</v>
      </c>
      <c r="AR251" s="11">
        <v>44372</v>
      </c>
      <c r="AS251" s="11">
        <f t="shared" si="1"/>
        <v>44372</v>
      </c>
      <c r="AT251" s="11">
        <f ca="1">IFERROR(__xludf.DUMMYFUNCTION("""COMPUTED_VALUE"""),44371)</f>
        <v>44371</v>
      </c>
    </row>
    <row r="252" spans="1:46" ht="13">
      <c r="A252" s="11">
        <v>44370</v>
      </c>
      <c r="B252">
        <f>IFERROR(VLOOKUP($A252,koronahun!$A:$AM,2,FALSE),"")</f>
        <v>807775</v>
      </c>
      <c r="C252">
        <f>IFERROR(VLOOKUP($A252,koronahun!$A:$AM,3,FALSE),"")</f>
        <v>91</v>
      </c>
      <c r="D252">
        <f>IFERROR(VLOOKUP($A252,koronahun!$A:$AM,4,FALSE),"")</f>
        <v>29971</v>
      </c>
      <c r="E252">
        <f>IFERROR(VLOOKUP($A252,koronahun!$A:$AM,5,FALSE),"")</f>
        <v>736387</v>
      </c>
      <c r="F252">
        <f>IFERROR(VLOOKUP($A252,koronahun!$A:$AM,6,FALSE),"")</f>
        <v>6073516</v>
      </c>
      <c r="G252" s="12">
        <f>IFERROR(VLOOKUP($A252,koronahun!$A:$AM,7,FALSE),"")</f>
        <v>619746.53061224485</v>
      </c>
      <c r="H252">
        <f>IFERROR(VLOOKUP($A252,koronahun!$A:$AM,8,FALSE),"")</f>
        <v>0</v>
      </c>
      <c r="I252" s="13">
        <f>IFERROR(VLOOKUP($A252,koronahun!$A:$AM,9,FALSE),"")</f>
        <v>1.1266782553572932E-4</v>
      </c>
      <c r="J252" s="13">
        <f>IFERROR(VLOOKUP($A252,koronahun!$A:$AM,10,FALSE),"")</f>
        <v>0.13299956730170795</v>
      </c>
      <c r="K252" s="13">
        <f>IFERROR(VLOOKUP($A252,koronahun!$A:$AM,11,FALSE),"")</f>
        <v>1.76650877497977E-3</v>
      </c>
      <c r="L252">
        <f>IFERROR(VLOOKUP($A252,koronahun!$A:$AM,12,FALSE),"")</f>
        <v>41417</v>
      </c>
      <c r="M252" s="13">
        <f>IFERROR(VLOOKUP($A252,koronahun!$A:$AM,13,FALSE),"")</f>
        <v>3.7103153724737707E-2</v>
      </c>
      <c r="N252" s="13">
        <f>IFERROR(VLOOKUP($A252,koronahun!$A:$AM,14,FALSE),"")</f>
        <v>0.9116239051716134</v>
      </c>
      <c r="O252">
        <f>IFERROR(VLOOKUP($A252,koronahun!$A:$AM,15,FALSE),"")</f>
        <v>3322</v>
      </c>
      <c r="P252">
        <f>IFERROR(VLOOKUP($A252,koronahun!$A:$AM,16,FALSE),"")</f>
        <v>10710</v>
      </c>
      <c r="Q252" s="13">
        <f>IFERROR(VLOOKUP($A252,koronahun!$A:$AM,17,FALSE),"")</f>
        <v>8.4967320261437902E-3</v>
      </c>
      <c r="R252">
        <f>IFERROR(VLOOKUP($A252,koronahun!$A:$AM,18,FALSE),"")</f>
        <v>8</v>
      </c>
      <c r="S252">
        <f>IFERROR(VLOOKUP($A252,koronahun!$A:$AM,19,FALSE),"")</f>
        <v>450</v>
      </c>
      <c r="T252">
        <f>IFERROR(VLOOKUP($A252,koronahun!$A:$AM,20,FALSE),"")</f>
        <v>241</v>
      </c>
      <c r="U252">
        <f>IFERROR(VLOOKUP($A252,koronahun!$A:$AM,21,FALSE),"")</f>
        <v>32</v>
      </c>
      <c r="V252" s="13">
        <f>IFERROR(VLOOKUP($A252,koronahun!$A:$AM,22,FALSE),"")</f>
        <v>5.1272941103648911E-2</v>
      </c>
      <c r="W252">
        <f>IFERROR(VLOOKUP($A252,koronahun!$A:$AM,23,FALSE),"")</f>
        <v>-40</v>
      </c>
      <c r="X252">
        <f>IFERROR(VLOOKUP($A252,koronahun!$A:$AM,24,FALSE),"")</f>
        <v>0</v>
      </c>
      <c r="Y252" s="14">
        <f>IFERROR(VLOOKUP($A252,koronahun!$A:$AM,25,FALSE),"")</f>
        <v>5.8188666489605717E-3</v>
      </c>
      <c r="Z252" s="14">
        <f>IFERROR(VLOOKUP($A252,koronahun!$A:$AM,26,FALSE),"")</f>
        <v>0.13278008298755187</v>
      </c>
      <c r="AA252" s="14">
        <f>IFERROR(VLOOKUP($A252,koronahun!$A:$AM,27,FALSE),"")</f>
        <v>0.68689320388349517</v>
      </c>
      <c r="AB252" s="14">
        <f>IFERROR(VLOOKUP($A252,koronahun!$A:$AM,28,FALSE),"")</f>
        <v>0.60777151299395504</v>
      </c>
      <c r="AC252" s="14">
        <f>IFERROR(VLOOKUP($A252,koronahun!$A:$AM,29,FALSE),"")</f>
        <v>80.857142857142861</v>
      </c>
      <c r="AD252" s="14">
        <f>IFERROR(VLOOKUP($A252,koronahun!$A:$AM,30,FALSE),"")</f>
        <v>3.8571428571428572</v>
      </c>
      <c r="AE252" s="14">
        <f>IFERROR(VLOOKUP($A252,koronahun!$A:$AM,31,FALSE),"")</f>
        <v>9198.8571428571431</v>
      </c>
      <c r="AF252" s="13">
        <f>IFERROR(VLOOKUP($A252,koronahun!$A:$AM,32,FALSE),"")</f>
        <v>9.4626361819710736E-3</v>
      </c>
      <c r="AG252">
        <f>IFERROR(VLOOKUP($A252,koronahun!$A:$AM,33,FALSE),"")</f>
        <v>5431713</v>
      </c>
      <c r="AH252">
        <f>IFERROR(VLOOKUP($A252,koronahun!$A:$AM,34,FALSE),"")</f>
        <v>10483</v>
      </c>
      <c r="AI252">
        <f>IFERROR(VLOOKUP($A252,koronahun!$A:$AM,35,FALSE),"")</f>
        <v>13717.8</v>
      </c>
      <c r="AJ252">
        <f>IFERROR(VLOOKUP($A252,koronahun!$A:$AM,36,FALSE),"")</f>
        <v>4619877</v>
      </c>
      <c r="AK252">
        <f>IFERROR(VLOOKUP($A252,koronahun!$A:$AM,37,FALSE),"")</f>
        <v>64848</v>
      </c>
      <c r="AL252">
        <f>IFERROR(VLOOKUP($A252,koronahun!$A:$AM,38,FALSE),"")</f>
        <v>69577.399999999994</v>
      </c>
      <c r="AM252" s="14">
        <f>IFERROR(VLOOKUP($A252,koronahun!$A:$AM,39,FALSE),"")</f>
        <v>498</v>
      </c>
      <c r="AN252" s="11">
        <f ca="1">IFERROR(__xludf.DUMMYFUNCTION("""COMPUTED_VALUE"""),44144)</f>
        <v>44144</v>
      </c>
      <c r="AO252" s="12">
        <f ca="1">IFERROR(VLOOKUP(AN252,koronahun!A:B,2,FALSE),"")</f>
        <v>114778</v>
      </c>
      <c r="AP252" s="11">
        <f t="shared" ca="1" si="0"/>
        <v>44144</v>
      </c>
      <c r="AQ252" s="11">
        <f ca="1">IFERROR(__xludf.DUMMYFUNCTION("""COMPUTED_VALUE"""),44144)</f>
        <v>44144</v>
      </c>
      <c r="AR252" s="11">
        <v>44371</v>
      </c>
      <c r="AS252" s="11">
        <f t="shared" si="1"/>
        <v>44371</v>
      </c>
      <c r="AT252" s="11">
        <f ca="1">IFERROR(__xludf.DUMMYFUNCTION("""COMPUTED_VALUE"""),44370)</f>
        <v>44370</v>
      </c>
    </row>
    <row r="253" spans="1:46" ht="13">
      <c r="A253" s="11">
        <v>44369</v>
      </c>
      <c r="B253">
        <f>IFERROR(VLOOKUP($A253,koronahun!$A:$AM,2,FALSE),"")</f>
        <v>807684</v>
      </c>
      <c r="C253">
        <f>IFERROR(VLOOKUP($A253,koronahun!$A:$AM,3,FALSE),"")</f>
        <v>54</v>
      </c>
      <c r="D253">
        <f>IFERROR(VLOOKUP($A253,koronahun!$A:$AM,4,FALSE),"")</f>
        <v>29963</v>
      </c>
      <c r="E253">
        <f>IFERROR(VLOOKUP($A253,koronahun!$A:$AM,5,FALSE),"")</f>
        <v>735937</v>
      </c>
      <c r="F253">
        <f>IFERROR(VLOOKUP($A253,koronahun!$A:$AM,6,FALSE),"")</f>
        <v>6062806</v>
      </c>
      <c r="G253" s="12">
        <f>IFERROR(VLOOKUP($A253,koronahun!$A:$AM,7,FALSE),"")</f>
        <v>618653.67346938769</v>
      </c>
      <c r="H253">
        <f>IFERROR(VLOOKUP($A253,koronahun!$A:$AM,8,FALSE),"")</f>
        <v>0</v>
      </c>
      <c r="I253" s="13">
        <f>IFERROR(VLOOKUP($A253,koronahun!$A:$AM,9,FALSE),"")</f>
        <v>6.6862300806062186E-5</v>
      </c>
      <c r="J253" s="13">
        <f>IFERROR(VLOOKUP($A253,koronahun!$A:$AM,10,FALSE),"")</f>
        <v>0.13321950265273208</v>
      </c>
      <c r="K253" s="13">
        <f>IFERROR(VLOOKUP($A253,koronahun!$A:$AM,11,FALSE),"")</f>
        <v>7.127190810644504E-4</v>
      </c>
      <c r="L253">
        <f>IFERROR(VLOOKUP($A253,koronahun!$A:$AM,12,FALSE),"")</f>
        <v>41784</v>
      </c>
      <c r="M253" s="13">
        <f>IFERROR(VLOOKUP($A253,koronahun!$A:$AM,13,FALSE),"")</f>
        <v>3.709742919260503E-2</v>
      </c>
      <c r="N253" s="13">
        <f>IFERROR(VLOOKUP($A253,koronahun!$A:$AM,14,FALSE),"")</f>
        <v>0.9111694672669014</v>
      </c>
      <c r="O253">
        <f>IFERROR(VLOOKUP($A253,koronahun!$A:$AM,15,FALSE),"")</f>
        <v>3866</v>
      </c>
      <c r="P253">
        <f>IFERROR(VLOOKUP($A253,koronahun!$A:$AM,16,FALSE),"")</f>
        <v>4318</v>
      </c>
      <c r="Q253" s="13">
        <f>IFERROR(VLOOKUP($A253,koronahun!$A:$AM,17,FALSE),"")</f>
        <v>1.2505789717461788E-2</v>
      </c>
      <c r="R253">
        <f>IFERROR(VLOOKUP($A253,koronahun!$A:$AM,18,FALSE),"")</f>
        <v>4</v>
      </c>
      <c r="S253">
        <f>IFERROR(VLOOKUP($A253,koronahun!$A:$AM,19,FALSE),"")</f>
        <v>363</v>
      </c>
      <c r="T253">
        <f>IFERROR(VLOOKUP($A253,koronahun!$A:$AM,20,FALSE),"")</f>
        <v>281</v>
      </c>
      <c r="U253">
        <f>IFERROR(VLOOKUP($A253,koronahun!$A:$AM,21,FALSE),"")</f>
        <v>32</v>
      </c>
      <c r="V253" s="13">
        <f>IFERROR(VLOOKUP($A253,koronahun!$A:$AM,22,FALSE),"")</f>
        <v>5.1733103540493562E-2</v>
      </c>
      <c r="W253">
        <f>IFERROR(VLOOKUP($A253,koronahun!$A:$AM,23,FALSE),"")</f>
        <v>6</v>
      </c>
      <c r="X253">
        <f>IFERROR(VLOOKUP($A253,koronahun!$A:$AM,24,FALSE),"")</f>
        <v>-5</v>
      </c>
      <c r="Y253" s="14">
        <f>IFERROR(VLOOKUP($A253,koronahun!$A:$AM,25,FALSE),"")</f>
        <v>6.7250622247750332E-3</v>
      </c>
      <c r="Z253" s="14">
        <f>IFERROR(VLOOKUP($A253,koronahun!$A:$AM,26,FALSE),"")</f>
        <v>0.11387900355871886</v>
      </c>
      <c r="AA253" s="14">
        <f>IFERROR(VLOOKUP($A253,koronahun!$A:$AM,27,FALSE),"")</f>
        <v>0.6495535714285714</v>
      </c>
      <c r="AB253" s="14">
        <f>IFERROR(VLOOKUP($A253,koronahun!$A:$AM,28,FALSE),"")</f>
        <v>0.58827556177376528</v>
      </c>
      <c r="AC253" s="14">
        <f>IFERROR(VLOOKUP($A253,koronahun!$A:$AM,29,FALSE),"")</f>
        <v>83.142857142857139</v>
      </c>
      <c r="AD253" s="14">
        <f>IFERROR(VLOOKUP($A253,koronahun!$A:$AM,30,FALSE),"")</f>
        <v>4</v>
      </c>
      <c r="AE253" s="14">
        <f>IFERROR(VLOOKUP($A253,koronahun!$A:$AM,31,FALSE),"")</f>
        <v>9541.4285714285706</v>
      </c>
      <c r="AF253" s="13">
        <f>IFERROR(VLOOKUP($A253,koronahun!$A:$AM,32,FALSE),"")</f>
        <v>9.3958805609962066E-3</v>
      </c>
      <c r="AG253">
        <f>IFERROR(VLOOKUP($A253,koronahun!$A:$AM,33,FALSE),"")</f>
        <v>5421230</v>
      </c>
      <c r="AH253">
        <f>IFERROR(VLOOKUP($A253,koronahun!$A:$AM,34,FALSE),"")</f>
        <v>9799</v>
      </c>
      <c r="AI253">
        <f>IFERROR(VLOOKUP($A253,koronahun!$A:$AM,35,FALSE),"")</f>
        <v>13851.6</v>
      </c>
      <c r="AJ253">
        <f>IFERROR(VLOOKUP($A253,koronahun!$A:$AM,36,FALSE),"")</f>
        <v>4555029</v>
      </c>
      <c r="AK253">
        <f>IFERROR(VLOOKUP($A253,koronahun!$A:$AM,37,FALSE),"")</f>
        <v>63916</v>
      </c>
      <c r="AL253">
        <f>IFERROR(VLOOKUP($A253,koronahun!$A:$AM,38,FALSE),"")</f>
        <v>62953</v>
      </c>
      <c r="AM253" s="14">
        <f>IFERROR(VLOOKUP($A253,koronahun!$A:$AM,39,FALSE),"")</f>
        <v>615.85714285714289</v>
      </c>
      <c r="AN253" s="11">
        <f ca="1">IFERROR(__xludf.DUMMYFUNCTION("""COMPUTED_VALUE"""),44145)</f>
        <v>44145</v>
      </c>
      <c r="AO253" s="12">
        <f ca="1">IFERROR(VLOOKUP(AN253,koronahun!A:B,2,FALSE),"")</f>
        <v>118918</v>
      </c>
      <c r="AP253" s="11">
        <f t="shared" ca="1" si="0"/>
        <v>44145</v>
      </c>
      <c r="AQ253" s="11">
        <f ca="1">IFERROR(__xludf.DUMMYFUNCTION("""COMPUTED_VALUE"""),44145)</f>
        <v>44145</v>
      </c>
      <c r="AR253" s="11">
        <v>44370</v>
      </c>
      <c r="AS253" s="11">
        <f t="shared" si="1"/>
        <v>44370</v>
      </c>
      <c r="AT253" s="11">
        <f ca="1">IFERROR(__xludf.DUMMYFUNCTION("""COMPUTED_VALUE"""),44369)</f>
        <v>44369</v>
      </c>
    </row>
    <row r="254" spans="1:46" ht="13">
      <c r="A254" s="11">
        <v>44368</v>
      </c>
      <c r="B254">
        <f>IFERROR(VLOOKUP($A254,koronahun!$A:$AM,2,FALSE),"")</f>
        <v>807630</v>
      </c>
      <c r="C254">
        <f>IFERROR(VLOOKUP($A254,koronahun!$A:$AM,3,FALSE),"")</f>
        <v>202</v>
      </c>
      <c r="D254">
        <f>IFERROR(VLOOKUP($A254,koronahun!$A:$AM,4,FALSE),"")</f>
        <v>29959</v>
      </c>
      <c r="E254">
        <f>IFERROR(VLOOKUP($A254,koronahun!$A:$AM,5,FALSE),"")</f>
        <v>735574</v>
      </c>
      <c r="F254">
        <f>IFERROR(VLOOKUP($A254,koronahun!$A:$AM,6,FALSE),"")</f>
        <v>6058488</v>
      </c>
      <c r="G254" s="12">
        <f>IFERROR(VLOOKUP($A254,koronahun!$A:$AM,7,FALSE),"")</f>
        <v>618213.06122448971</v>
      </c>
      <c r="H254">
        <f>IFERROR(VLOOKUP($A254,koronahun!$A:$AM,8,FALSE),"")</f>
        <v>0</v>
      </c>
      <c r="I254" s="13">
        <f>IFERROR(VLOOKUP($A254,koronahun!$A:$AM,9,FALSE),"")</f>
        <v>2.5017710557473854E-4</v>
      </c>
      <c r="J254" s="13">
        <f>IFERROR(VLOOKUP($A254,koronahun!$A:$AM,10,FALSE),"")</f>
        <v>0.13330553761928718</v>
      </c>
      <c r="K254" s="13">
        <f>IFERROR(VLOOKUP($A254,koronahun!$A:$AM,11,FALSE),"")</f>
        <v>4.1383809349071409E-3</v>
      </c>
      <c r="L254">
        <f>IFERROR(VLOOKUP($A254,koronahun!$A:$AM,12,FALSE),"")</f>
        <v>42097</v>
      </c>
      <c r="M254" s="13">
        <f>IFERROR(VLOOKUP($A254,koronahun!$A:$AM,13,FALSE),"")</f>
        <v>3.7094956849052167E-2</v>
      </c>
      <c r="N254" s="13">
        <f>IFERROR(VLOOKUP($A254,koronahun!$A:$AM,14,FALSE),"")</f>
        <v>0.91078092690959966</v>
      </c>
      <c r="O254">
        <f>IFERROR(VLOOKUP($A254,koronahun!$A:$AM,15,FALSE),"")</f>
        <v>3969</v>
      </c>
      <c r="P254">
        <f>IFERROR(VLOOKUP($A254,koronahun!$A:$AM,16,FALSE),"")</f>
        <v>24969</v>
      </c>
      <c r="Q254" s="13">
        <f>IFERROR(VLOOKUP($A254,koronahun!$A:$AM,17,FALSE),"")</f>
        <v>8.0900316392326487E-3</v>
      </c>
      <c r="R254">
        <f>IFERROR(VLOOKUP($A254,koronahun!$A:$AM,18,FALSE),"")</f>
        <v>9</v>
      </c>
      <c r="S254">
        <f>IFERROR(VLOOKUP($A254,koronahun!$A:$AM,19,FALSE),"")</f>
        <v>947</v>
      </c>
      <c r="T254">
        <f>IFERROR(VLOOKUP($A254,koronahun!$A:$AM,20,FALSE),"")</f>
        <v>275</v>
      </c>
      <c r="U254">
        <f>IFERROR(VLOOKUP($A254,koronahun!$A:$AM,21,FALSE),"")</f>
        <v>37</v>
      </c>
      <c r="V254" s="13">
        <f>IFERROR(VLOOKUP($A254,koronahun!$A:$AM,22,FALSE),"")</f>
        <v>5.2124116241348141E-2</v>
      </c>
      <c r="W254">
        <f>IFERROR(VLOOKUP($A254,koronahun!$A:$AM,23,FALSE),"")</f>
        <v>-14</v>
      </c>
      <c r="X254">
        <f>IFERROR(VLOOKUP($A254,koronahun!$A:$AM,24,FALSE),"")</f>
        <v>-6</v>
      </c>
      <c r="Y254" s="14">
        <f>IFERROR(VLOOKUP($A254,koronahun!$A:$AM,25,FALSE),"")</f>
        <v>6.5325320094068457E-3</v>
      </c>
      <c r="Z254" s="14">
        <f>IFERROR(VLOOKUP($A254,koronahun!$A:$AM,26,FALSE),"")</f>
        <v>0.13454545454545455</v>
      </c>
      <c r="AA254" s="14">
        <f>IFERROR(VLOOKUP($A254,koronahun!$A:$AM,27,FALSE),"")</f>
        <v>0.61192468619246865</v>
      </c>
      <c r="AB254" s="14">
        <f>IFERROR(VLOOKUP($A254,koronahun!$A:$AM,28,FALSE),"")</f>
        <v>0.57831129996462394</v>
      </c>
      <c r="AC254" s="14">
        <f>IFERROR(VLOOKUP($A254,koronahun!$A:$AM,29,FALSE),"")</f>
        <v>83.571428571428569</v>
      </c>
      <c r="AD254" s="14">
        <f>IFERROR(VLOOKUP($A254,koronahun!$A:$AM,30,FALSE),"")</f>
        <v>4.8571428571428568</v>
      </c>
      <c r="AE254" s="14">
        <f>IFERROR(VLOOKUP($A254,koronahun!$A:$AM,31,FALSE),"")</f>
        <v>9616.8571428571431</v>
      </c>
      <c r="AF254" s="13">
        <f>IFERROR(VLOOKUP($A254,koronahun!$A:$AM,32,FALSE),"")</f>
        <v>9.2471782510160239E-3</v>
      </c>
      <c r="AG254">
        <f>IFERROR(VLOOKUP($A254,koronahun!$A:$AM,33,FALSE),"")</f>
        <v>5411431</v>
      </c>
      <c r="AH254">
        <f>IFERROR(VLOOKUP($A254,koronahun!$A:$AM,34,FALSE),"")</f>
        <v>22373</v>
      </c>
      <c r="AI254">
        <f>IFERROR(VLOOKUP($A254,koronahun!$A:$AM,35,FALSE),"")</f>
        <v>13810.4</v>
      </c>
      <c r="AJ254">
        <f>IFERROR(VLOOKUP($A254,koronahun!$A:$AM,36,FALSE),"")</f>
        <v>4491113</v>
      </c>
      <c r="AK254">
        <f>IFERROR(VLOOKUP($A254,koronahun!$A:$AM,37,FALSE),"")</f>
        <v>130800</v>
      </c>
      <c r="AL254">
        <f>IFERROR(VLOOKUP($A254,koronahun!$A:$AM,38,FALSE),"")</f>
        <v>56498.8</v>
      </c>
      <c r="AM254" s="14">
        <f>IFERROR(VLOOKUP($A254,koronahun!$A:$AM,39,FALSE),"")</f>
        <v>712.28571428571433</v>
      </c>
      <c r="AN254" s="11">
        <f ca="1">IFERROR(__xludf.DUMMYFUNCTION("""COMPUTED_VALUE"""),44146)</f>
        <v>44146</v>
      </c>
      <c r="AO254" s="12">
        <f ca="1">IFERROR(VLOOKUP(AN254,koronahun!A:B,2,FALSE),"")</f>
        <v>122863</v>
      </c>
      <c r="AP254" s="11">
        <f t="shared" ca="1" si="0"/>
        <v>44146</v>
      </c>
      <c r="AQ254" s="11">
        <f ca="1">IFERROR(__xludf.DUMMYFUNCTION("""COMPUTED_VALUE"""),44146)</f>
        <v>44146</v>
      </c>
      <c r="AR254" s="11">
        <v>44369</v>
      </c>
      <c r="AS254" s="11">
        <f t="shared" si="1"/>
        <v>44369</v>
      </c>
      <c r="AT254" s="11">
        <f ca="1">IFERROR(__xludf.DUMMYFUNCTION("""COMPUTED_VALUE"""),44368)</f>
        <v>44368</v>
      </c>
    </row>
    <row r="255" spans="1:46" ht="13">
      <c r="A255" s="11">
        <v>44365</v>
      </c>
      <c r="B255">
        <f>IFERROR(VLOOKUP($A255,koronahun!$A:$AM,2,FALSE),"")</f>
        <v>807428</v>
      </c>
      <c r="C255">
        <f>IFERROR(VLOOKUP($A255,koronahun!$A:$AM,3,FALSE),"")</f>
        <v>106</v>
      </c>
      <c r="D255">
        <f>IFERROR(VLOOKUP($A255,koronahun!$A:$AM,4,FALSE),"")</f>
        <v>29950</v>
      </c>
      <c r="E255">
        <f>IFERROR(VLOOKUP($A255,koronahun!$A:$AM,5,FALSE),"")</f>
        <v>734627</v>
      </c>
      <c r="F255">
        <f>IFERROR(VLOOKUP($A255,koronahun!$A:$AM,6,FALSE),"")</f>
        <v>6033519</v>
      </c>
      <c r="G255" s="12">
        <f>IFERROR(VLOOKUP($A255,koronahun!$A:$AM,7,FALSE),"")</f>
        <v>615665.20408163266</v>
      </c>
      <c r="H255">
        <f>IFERROR(VLOOKUP($A255,koronahun!$A:$AM,8,FALSE),"")</f>
        <v>0</v>
      </c>
      <c r="I255" s="13">
        <f>IFERROR(VLOOKUP($A255,koronahun!$A:$AM,9,FALSE),"")</f>
        <v>1.3129829237900118E-4</v>
      </c>
      <c r="J255" s="13">
        <f>IFERROR(VLOOKUP($A255,koronahun!$A:$AM,10,FALSE),"")</f>
        <v>0.13382372708198981</v>
      </c>
      <c r="K255" s="13">
        <f>IFERROR(VLOOKUP($A255,koronahun!$A:$AM,11,FALSE),"")</f>
        <v>2.2411859614583124E-3</v>
      </c>
      <c r="L255">
        <f>IFERROR(VLOOKUP($A255,koronahun!$A:$AM,12,FALSE),"")</f>
        <v>42851</v>
      </c>
      <c r="M255" s="13">
        <f>IFERROR(VLOOKUP($A255,koronahun!$A:$AM,13,FALSE),"")</f>
        <v>3.7093090653284255E-2</v>
      </c>
      <c r="N255" s="13">
        <f>IFERROR(VLOOKUP($A255,koronahun!$A:$AM,14,FALSE),"")</f>
        <v>0.9098359234507597</v>
      </c>
      <c r="O255">
        <f>IFERROR(VLOOKUP($A255,koronahun!$A:$AM,15,FALSE),"")</f>
        <v>4044</v>
      </c>
      <c r="P255">
        <f>IFERROR(VLOOKUP($A255,koronahun!$A:$AM,16,FALSE),"")</f>
        <v>13492</v>
      </c>
      <c r="Q255" s="13">
        <f>IFERROR(VLOOKUP($A255,koronahun!$A:$AM,17,FALSE),"")</f>
        <v>7.8565075600355774E-3</v>
      </c>
      <c r="R255">
        <f>IFERROR(VLOOKUP($A255,koronahun!$A:$AM,18,FALSE),"")</f>
        <v>2</v>
      </c>
      <c r="S255">
        <f>IFERROR(VLOOKUP($A255,koronahun!$A:$AM,19,FALSE),"")</f>
        <v>720</v>
      </c>
      <c r="T255">
        <f>IFERROR(VLOOKUP($A255,koronahun!$A:$AM,20,FALSE),"")</f>
        <v>289</v>
      </c>
      <c r="U255">
        <f>IFERROR(VLOOKUP($A255,koronahun!$A:$AM,21,FALSE),"")</f>
        <v>43</v>
      </c>
      <c r="V255" s="13">
        <f>IFERROR(VLOOKUP($A255,koronahun!$A:$AM,22,FALSE),"")</f>
        <v>5.3070985895956047E-2</v>
      </c>
      <c r="W255">
        <f>IFERROR(VLOOKUP($A255,koronahun!$A:$AM,23,FALSE),"")</f>
        <v>-31</v>
      </c>
      <c r="X255">
        <f>IFERROR(VLOOKUP($A255,koronahun!$A:$AM,24,FALSE),"")</f>
        <v>-2</v>
      </c>
      <c r="Y255" s="14">
        <f>IFERROR(VLOOKUP($A255,koronahun!$A:$AM,25,FALSE),"")</f>
        <v>6.7443000163356749E-3</v>
      </c>
      <c r="Z255" s="14">
        <f>IFERROR(VLOOKUP($A255,koronahun!$A:$AM,26,FALSE),"")</f>
        <v>0.14878892733564014</v>
      </c>
      <c r="AA255" s="14">
        <f>IFERROR(VLOOKUP($A255,koronahun!$A:$AM,27,FALSE),"")</f>
        <v>0.52337981952420021</v>
      </c>
      <c r="AB255" s="14">
        <f>IFERROR(VLOOKUP($A255,koronahun!$A:$AM,28,FALSE),"")</f>
        <v>0.57920166898015979</v>
      </c>
      <c r="AC255" s="14">
        <f>IFERROR(VLOOKUP($A255,koronahun!$A:$AM,29,FALSE),"")</f>
        <v>91.142857142857139</v>
      </c>
      <c r="AD255" s="14">
        <f>IFERROR(VLOOKUP($A255,koronahun!$A:$AM,30,FALSE),"")</f>
        <v>6.5714285714285712</v>
      </c>
      <c r="AE255" s="14">
        <f>IFERROR(VLOOKUP($A255,koronahun!$A:$AM,31,FALSE),"")</f>
        <v>10090.285714285714</v>
      </c>
      <c r="AF255" s="13">
        <f>IFERROR(VLOOKUP($A255,koronahun!$A:$AM,32,FALSE),"")</f>
        <v>9.4323752608635146E-3</v>
      </c>
      <c r="AG255">
        <f>IFERROR(VLOOKUP($A255,koronahun!$A:$AM,33,FALSE),"")</f>
        <v>5389058</v>
      </c>
      <c r="AH255">
        <f>IFERROR(VLOOKUP($A255,koronahun!$A:$AM,34,FALSE),"")</f>
        <v>13135</v>
      </c>
      <c r="AI255">
        <f>IFERROR(VLOOKUP($A255,koronahun!$A:$AM,35,FALSE),"")</f>
        <v>12812.4</v>
      </c>
      <c r="AJ255">
        <f>IFERROR(VLOOKUP($A255,koronahun!$A:$AM,36,FALSE),"")</f>
        <v>4360313</v>
      </c>
      <c r="AK255">
        <f>IFERROR(VLOOKUP($A255,koronahun!$A:$AM,37,FALSE),"")</f>
        <v>61240</v>
      </c>
      <c r="AL255">
        <f>IFERROR(VLOOKUP($A255,koronahun!$A:$AM,38,FALSE),"")</f>
        <v>40526.400000000001</v>
      </c>
      <c r="AM255" s="14">
        <f>IFERROR(VLOOKUP($A255,koronahun!$A:$AM,39,FALSE),"")</f>
        <v>1430.4285714285713</v>
      </c>
      <c r="AN255" s="11">
        <f ca="1">IFERROR(__xludf.DUMMYFUNCTION("""COMPUTED_VALUE"""),44147)</f>
        <v>44147</v>
      </c>
      <c r="AO255" s="12">
        <f ca="1">IFERROR(VLOOKUP(AN255,koronahun!A:B,2,FALSE),"")</f>
        <v>126790</v>
      </c>
      <c r="AP255" s="11">
        <f t="shared" ca="1" si="0"/>
        <v>44147</v>
      </c>
      <c r="AQ255" s="11">
        <f ca="1">IFERROR(__xludf.DUMMYFUNCTION("""COMPUTED_VALUE"""),44147)</f>
        <v>44147</v>
      </c>
      <c r="AR255" s="11">
        <v>44368</v>
      </c>
      <c r="AS255" s="11">
        <f t="shared" si="1"/>
        <v>44368</v>
      </c>
      <c r="AT255" s="11">
        <f ca="1">IFERROR(__xludf.DUMMYFUNCTION("""COMPUTED_VALUE"""),44365)</f>
        <v>44365</v>
      </c>
    </row>
    <row r="256" spans="1:46" ht="13">
      <c r="A256" s="11">
        <v>44364</v>
      </c>
      <c r="B256">
        <f>IFERROR(VLOOKUP($A256,koronahun!$A:$AM,2,FALSE),"")</f>
        <v>807322</v>
      </c>
      <c r="C256">
        <f>IFERROR(VLOOKUP($A256,koronahun!$A:$AM,3,FALSE),"")</f>
        <v>113</v>
      </c>
      <c r="D256">
        <f>IFERROR(VLOOKUP($A256,koronahun!$A:$AM,4,FALSE),"")</f>
        <v>29948</v>
      </c>
      <c r="E256">
        <f>IFERROR(VLOOKUP($A256,koronahun!$A:$AM,5,FALSE),"")</f>
        <v>733907</v>
      </c>
      <c r="F256">
        <f>IFERROR(VLOOKUP($A256,koronahun!$A:$AM,6,FALSE),"")</f>
        <v>6020027</v>
      </c>
      <c r="G256" s="12">
        <f>IFERROR(VLOOKUP($A256,koronahun!$A:$AM,7,FALSE),"")</f>
        <v>614288.46938775503</v>
      </c>
      <c r="H256">
        <f>IFERROR(VLOOKUP($A256,koronahun!$A:$AM,8,FALSE),"")</f>
        <v>0</v>
      </c>
      <c r="I256" s="13">
        <f>IFERROR(VLOOKUP($A256,koronahun!$A:$AM,9,FALSE),"")</f>
        <v>1.3998852837369255E-4</v>
      </c>
      <c r="J256" s="13">
        <f>IFERROR(VLOOKUP($A256,koronahun!$A:$AM,10,FALSE),"")</f>
        <v>0.13410604304598633</v>
      </c>
      <c r="K256" s="13">
        <f>IFERROR(VLOOKUP($A256,koronahun!$A:$AM,11,FALSE),"")</f>
        <v>1.8144075575741157E-3</v>
      </c>
      <c r="L256">
        <f>IFERROR(VLOOKUP($A256,koronahun!$A:$AM,12,FALSE),"")</f>
        <v>43467</v>
      </c>
      <c r="M256" s="13">
        <f>IFERROR(VLOOKUP($A256,koronahun!$A:$AM,13,FALSE),"")</f>
        <v>3.7095483586474791E-2</v>
      </c>
      <c r="N256" s="13">
        <f>IFERROR(VLOOKUP($A256,koronahun!$A:$AM,14,FALSE),"")</f>
        <v>0.90906354589618521</v>
      </c>
      <c r="O256">
        <f>IFERROR(VLOOKUP($A256,koronahun!$A:$AM,15,FALSE),"")</f>
        <v>4411</v>
      </c>
      <c r="P256">
        <f>IFERROR(VLOOKUP($A256,koronahun!$A:$AM,16,FALSE),"")</f>
        <v>10903</v>
      </c>
      <c r="Q256" s="13">
        <f>IFERROR(VLOOKUP($A256,koronahun!$A:$AM,17,FALSE),"")</f>
        <v>1.0364119966981564E-2</v>
      </c>
      <c r="R256">
        <f>IFERROR(VLOOKUP($A256,koronahun!$A:$AM,18,FALSE),"")</f>
        <v>4</v>
      </c>
      <c r="S256">
        <f>IFERROR(VLOOKUP($A256,koronahun!$A:$AM,19,FALSE),"")</f>
        <v>1006</v>
      </c>
      <c r="T256">
        <f>IFERROR(VLOOKUP($A256,koronahun!$A:$AM,20,FALSE),"")</f>
        <v>320</v>
      </c>
      <c r="U256">
        <f>IFERROR(VLOOKUP($A256,koronahun!$A:$AM,21,FALSE),"")</f>
        <v>45</v>
      </c>
      <c r="V256" s="13">
        <f>IFERROR(VLOOKUP($A256,koronahun!$A:$AM,22,FALSE),"")</f>
        <v>5.3840970517340048E-2</v>
      </c>
      <c r="W256">
        <f>IFERROR(VLOOKUP($A256,koronahun!$A:$AM,23,FALSE),"")</f>
        <v>-29</v>
      </c>
      <c r="X256">
        <f>IFERROR(VLOOKUP($A256,koronahun!$A:$AM,24,FALSE),"")</f>
        <v>-8</v>
      </c>
      <c r="Y256" s="14">
        <f>IFERROR(VLOOKUP($A256,koronahun!$A:$AM,25,FALSE),"")</f>
        <v>7.3619067338440659E-3</v>
      </c>
      <c r="Z256" s="14">
        <f>IFERROR(VLOOKUP($A256,koronahun!$A:$AM,26,FALSE),"")</f>
        <v>0.140625</v>
      </c>
      <c r="AA256" s="14">
        <f>IFERROR(VLOOKUP($A256,koronahun!$A:$AM,27,FALSE),"")</f>
        <v>0.56710628394103957</v>
      </c>
      <c r="AB256" s="14">
        <f>IFERROR(VLOOKUP($A256,koronahun!$A:$AM,28,FALSE),"")</f>
        <v>0.59618239170206633</v>
      </c>
      <c r="AC256" s="14">
        <f>IFERROR(VLOOKUP($A256,koronahun!$A:$AM,29,FALSE),"")</f>
        <v>104.42857142857143</v>
      </c>
      <c r="AD256" s="14">
        <f>IFERROR(VLOOKUP($A256,koronahun!$A:$AM,30,FALSE),"")</f>
        <v>7.4285714285714288</v>
      </c>
      <c r="AE256" s="14">
        <f>IFERROR(VLOOKUP($A256,koronahun!$A:$AM,31,FALSE),"")</f>
        <v>10164.714285714286</v>
      </c>
      <c r="AF256" s="13">
        <f>IFERROR(VLOOKUP($A256,koronahun!$A:$AM,32,FALSE),"")</f>
        <v>1.0701293544760203E-2</v>
      </c>
      <c r="AG256">
        <f>IFERROR(VLOOKUP($A256,koronahun!$A:$AM,33,FALSE),"")</f>
        <v>5375923</v>
      </c>
      <c r="AH256">
        <f>IFERROR(VLOOKUP($A256,koronahun!$A:$AM,34,FALSE),"")</f>
        <v>12799</v>
      </c>
      <c r="AI256">
        <f>IFERROR(VLOOKUP($A256,koronahun!$A:$AM,35,FALSE),"")</f>
        <v>12889.6</v>
      </c>
      <c r="AJ256">
        <f>IFERROR(VLOOKUP($A256,koronahun!$A:$AM,36,FALSE),"")</f>
        <v>4299073</v>
      </c>
      <c r="AK256">
        <f>IFERROR(VLOOKUP($A256,koronahun!$A:$AM,37,FALSE),"")</f>
        <v>27083</v>
      </c>
      <c r="AL256">
        <f>IFERROR(VLOOKUP($A256,koronahun!$A:$AM,38,FALSE),"")</f>
        <v>37239.4</v>
      </c>
      <c r="AM256" s="14">
        <f>IFERROR(VLOOKUP($A256,koronahun!$A:$AM,39,FALSE),"")</f>
        <v>1658.7142857142858</v>
      </c>
      <c r="AN256" s="11">
        <f ca="1">IFERROR(__xludf.DUMMYFUNCTION("""COMPUTED_VALUE"""),44148)</f>
        <v>44148</v>
      </c>
      <c r="AO256" s="12">
        <f ca="1">IFERROR(VLOOKUP(AN256,koronahun!A:B,2,FALSE),"")</f>
        <v>131887</v>
      </c>
      <c r="AP256" s="11">
        <f t="shared" ca="1" si="0"/>
        <v>44148</v>
      </c>
      <c r="AQ256" s="11">
        <f ca="1">IFERROR(__xludf.DUMMYFUNCTION("""COMPUTED_VALUE"""),44148)</f>
        <v>44148</v>
      </c>
      <c r="AR256" s="11">
        <v>44365</v>
      </c>
      <c r="AS256" s="11">
        <f t="shared" si="1"/>
        <v>44365</v>
      </c>
      <c r="AT256" s="11">
        <f ca="1">IFERROR(__xludf.DUMMYFUNCTION("""COMPUTED_VALUE"""),44364)</f>
        <v>44364</v>
      </c>
    </row>
    <row r="257" spans="1:46" ht="13">
      <c r="A257" s="11">
        <v>44363</v>
      </c>
      <c r="B257">
        <f>IFERROR(VLOOKUP($A257,koronahun!$A:$AM,2,FALSE),"")</f>
        <v>807209</v>
      </c>
      <c r="C257">
        <f>IFERROR(VLOOKUP($A257,koronahun!$A:$AM,3,FALSE),"")</f>
        <v>107</v>
      </c>
      <c r="D257">
        <f>IFERROR(VLOOKUP($A257,koronahun!$A:$AM,4,FALSE),"")</f>
        <v>29944</v>
      </c>
      <c r="E257">
        <f>IFERROR(VLOOKUP($A257,koronahun!$A:$AM,5,FALSE),"")</f>
        <v>732901</v>
      </c>
      <c r="F257">
        <f>IFERROR(VLOOKUP($A257,koronahun!$A:$AM,6,FALSE),"")</f>
        <v>6009124</v>
      </c>
      <c r="G257" s="12">
        <f>IFERROR(VLOOKUP($A257,koronahun!$A:$AM,7,FALSE),"")</f>
        <v>613175.91836734687</v>
      </c>
      <c r="H257">
        <f>IFERROR(VLOOKUP($A257,koronahun!$A:$AM,8,FALSE),"")</f>
        <v>0</v>
      </c>
      <c r="I257" s="13">
        <f>IFERROR(VLOOKUP($A257,koronahun!$A:$AM,9,FALSE),"")</f>
        <v>1.3257308246045728E-4</v>
      </c>
      <c r="J257" s="13">
        <f>IFERROR(VLOOKUP($A257,koronahun!$A:$AM,10,FALSE),"")</f>
        <v>0.13433056132640964</v>
      </c>
      <c r="K257" s="13">
        <f>IFERROR(VLOOKUP($A257,koronahun!$A:$AM,11,FALSE),"")</f>
        <v>2.1861182491841251E-3</v>
      </c>
      <c r="L257">
        <f>IFERROR(VLOOKUP($A257,koronahun!$A:$AM,12,FALSE),"")</f>
        <v>44364</v>
      </c>
      <c r="M257" s="13">
        <f>IFERROR(VLOOKUP($A257,koronahun!$A:$AM,13,FALSE),"")</f>
        <v>3.7095721182494247E-2</v>
      </c>
      <c r="N257" s="13">
        <f>IFERROR(VLOOKUP($A257,koronahun!$A:$AM,14,FALSE),"")</f>
        <v>0.90794453481068715</v>
      </c>
      <c r="O257">
        <f>IFERROR(VLOOKUP($A257,koronahun!$A:$AM,15,FALSE),"")</f>
        <v>4665</v>
      </c>
      <c r="P257">
        <f>IFERROR(VLOOKUP($A257,koronahun!$A:$AM,16,FALSE),"")</f>
        <v>13108</v>
      </c>
      <c r="Q257" s="13">
        <f>IFERROR(VLOOKUP($A257,koronahun!$A:$AM,17,FALSE),"")</f>
        <v>8.1629539212694537E-3</v>
      </c>
      <c r="R257">
        <f>IFERROR(VLOOKUP($A257,koronahun!$A:$AM,18,FALSE),"")</f>
        <v>9</v>
      </c>
      <c r="S257">
        <f>IFERROR(VLOOKUP($A257,koronahun!$A:$AM,19,FALSE),"")</f>
        <v>1275</v>
      </c>
      <c r="T257">
        <f>IFERROR(VLOOKUP($A257,koronahun!$A:$AM,20,FALSE),"")</f>
        <v>349</v>
      </c>
      <c r="U257">
        <f>IFERROR(VLOOKUP($A257,koronahun!$A:$AM,21,FALSE),"")</f>
        <v>53</v>
      </c>
      <c r="V257" s="13">
        <f>IFERROR(VLOOKUP($A257,koronahun!$A:$AM,22,FALSE),"")</f>
        <v>5.4959744006818557E-2</v>
      </c>
      <c r="W257">
        <f>IFERROR(VLOOKUP($A257,koronahun!$A:$AM,23,FALSE),"")</f>
        <v>-42</v>
      </c>
      <c r="X257">
        <f>IFERROR(VLOOKUP($A257,koronahun!$A:$AM,24,FALSE),"")</f>
        <v>9</v>
      </c>
      <c r="Y257" s="14">
        <f>IFERROR(VLOOKUP($A257,koronahun!$A:$AM,25,FALSE),"")</f>
        <v>7.8667387972229733E-3</v>
      </c>
      <c r="Z257" s="14">
        <f>IFERROR(VLOOKUP($A257,koronahun!$A:$AM,26,FALSE),"")</f>
        <v>0.15186246418338109</v>
      </c>
      <c r="AA257" s="14">
        <f>IFERROR(VLOOKUP($A257,koronahun!$A:$AM,27,FALSE),"")</f>
        <v>0.58941344778254645</v>
      </c>
      <c r="AB257" s="14">
        <f>IFERROR(VLOOKUP($A257,koronahun!$A:$AM,28,FALSE),"")</f>
        <v>0.60085550046585101</v>
      </c>
      <c r="AC257" s="14">
        <f>IFERROR(VLOOKUP($A257,koronahun!$A:$AM,29,FALSE),"")</f>
        <v>117.71428571428571</v>
      </c>
      <c r="AD257" s="14">
        <f>IFERROR(VLOOKUP($A257,koronahun!$A:$AM,30,FALSE),"")</f>
        <v>7.8571428571428568</v>
      </c>
      <c r="AE257" s="14">
        <f>IFERROR(VLOOKUP($A257,koronahun!$A:$AM,31,FALSE),"")</f>
        <v>10402.857142857143</v>
      </c>
      <c r="AF257" s="13">
        <f>IFERROR(VLOOKUP($A257,koronahun!$A:$AM,32,FALSE),"")</f>
        <v>1.1906114738316953E-2</v>
      </c>
      <c r="AG257">
        <f>IFERROR(VLOOKUP($A257,koronahun!$A:$AM,33,FALSE),"")</f>
        <v>5363124</v>
      </c>
      <c r="AH257">
        <f>IFERROR(VLOOKUP($A257,koronahun!$A:$AM,34,FALSE),"")</f>
        <v>11152</v>
      </c>
      <c r="AI257">
        <f>IFERROR(VLOOKUP($A257,koronahun!$A:$AM,35,FALSE),"")</f>
        <v>13239.6</v>
      </c>
      <c r="AJ257">
        <f>IFERROR(VLOOKUP($A257,koronahun!$A:$AM,36,FALSE),"")</f>
        <v>4271990</v>
      </c>
      <c r="AK257">
        <f>IFERROR(VLOOKUP($A257,koronahun!$A:$AM,37,FALSE),"")</f>
        <v>31726</v>
      </c>
      <c r="AL257">
        <f>IFERROR(VLOOKUP($A257,koronahun!$A:$AM,38,FALSE),"")</f>
        <v>39694</v>
      </c>
      <c r="AM257" s="14">
        <f>IFERROR(VLOOKUP($A257,koronahun!$A:$AM,39,FALSE),"")</f>
        <v>1785.8571428571429</v>
      </c>
      <c r="AN257" s="11">
        <f ca="1">IFERROR(__xludf.DUMMYFUNCTION("""COMPUTED_VALUE"""),44149)</f>
        <v>44149</v>
      </c>
      <c r="AO257" s="12">
        <f ca="1">IFERROR(VLOOKUP(AN257,koronahun!A:B,2,FALSE),"")</f>
        <v>136723</v>
      </c>
      <c r="AP257" s="11">
        <f t="shared" ref="AP257:AP511" ca="1" si="2">IF(AO257="","",AN257)</f>
        <v>44149</v>
      </c>
      <c r="AQ257" s="11">
        <f ca="1">IFERROR(__xludf.DUMMYFUNCTION("""COMPUTED_VALUE"""),44149)</f>
        <v>44149</v>
      </c>
      <c r="AR257" s="11">
        <v>44364</v>
      </c>
      <c r="AS257" s="11">
        <f t="shared" ref="AS257:AS511" si="3">IF(AR257="",AR258,AR257)</f>
        <v>44364</v>
      </c>
      <c r="AT257" s="11">
        <f ca="1">IFERROR(__xludf.DUMMYFUNCTION("""COMPUTED_VALUE"""),44363)</f>
        <v>44363</v>
      </c>
    </row>
    <row r="258" spans="1:46" ht="13">
      <c r="A258" s="11">
        <v>44362</v>
      </c>
      <c r="B258">
        <f>IFERROR(VLOOKUP($A258,koronahun!$A:$AM,2,FALSE),"")</f>
        <v>807102</v>
      </c>
      <c r="C258">
        <f>IFERROR(VLOOKUP($A258,koronahun!$A:$AM,3,FALSE),"")</f>
        <v>57</v>
      </c>
      <c r="D258">
        <f>IFERROR(VLOOKUP($A258,koronahun!$A:$AM,4,FALSE),"")</f>
        <v>29935</v>
      </c>
      <c r="E258">
        <f>IFERROR(VLOOKUP($A258,koronahun!$A:$AM,5,FALSE),"")</f>
        <v>731626</v>
      </c>
      <c r="F258">
        <f>IFERROR(VLOOKUP($A258,koronahun!$A:$AM,6,FALSE),"")</f>
        <v>5996016</v>
      </c>
      <c r="G258" s="12">
        <f>IFERROR(VLOOKUP($A258,koronahun!$A:$AM,7,FALSE),"")</f>
        <v>611838.3673469387</v>
      </c>
      <c r="H258">
        <f>IFERROR(VLOOKUP($A258,koronahun!$A:$AM,8,FALSE),"")</f>
        <v>0</v>
      </c>
      <c r="I258" s="13">
        <f>IFERROR(VLOOKUP($A258,koronahun!$A:$AM,9,FALSE),"")</f>
        <v>7.0628031894132303E-5</v>
      </c>
      <c r="J258" s="13">
        <f>IFERROR(VLOOKUP($A258,koronahun!$A:$AM,10,FALSE),"")</f>
        <v>0.13460637863541391</v>
      </c>
      <c r="K258" s="13">
        <f>IFERROR(VLOOKUP($A258,koronahun!$A:$AM,11,FALSE),"")</f>
        <v>8.0885703460259017E-4</v>
      </c>
      <c r="L258">
        <f>IFERROR(VLOOKUP($A258,koronahun!$A:$AM,12,FALSE),"")</f>
        <v>45541</v>
      </c>
      <c r="M258" s="13">
        <f>IFERROR(VLOOKUP($A258,koronahun!$A:$AM,13,FALSE),"")</f>
        <v>3.7089488069661579E-2</v>
      </c>
      <c r="N258" s="13">
        <f>IFERROR(VLOOKUP($A258,koronahun!$A:$AM,14,FALSE),"")</f>
        <v>0.90648517783378058</v>
      </c>
      <c r="O258">
        <f>IFERROR(VLOOKUP($A258,koronahun!$A:$AM,15,FALSE),"")</f>
        <v>5182</v>
      </c>
      <c r="P258">
        <f>IFERROR(VLOOKUP($A258,koronahun!$A:$AM,16,FALSE),"")</f>
        <v>4846</v>
      </c>
      <c r="Q258" s="13">
        <f>IFERROR(VLOOKUP($A258,koronahun!$A:$AM,17,FALSE),"")</f>
        <v>1.1762278167560874E-2</v>
      </c>
      <c r="R258">
        <f>IFERROR(VLOOKUP($A258,koronahun!$A:$AM,18,FALSE),"")</f>
        <v>10</v>
      </c>
      <c r="S258">
        <f>IFERROR(VLOOKUP($A258,koronahun!$A:$AM,19,FALSE),"")</f>
        <v>1038</v>
      </c>
      <c r="T258">
        <f>IFERROR(VLOOKUP($A258,koronahun!$A:$AM,20,FALSE),"")</f>
        <v>391</v>
      </c>
      <c r="U258">
        <f>IFERROR(VLOOKUP($A258,koronahun!$A:$AM,21,FALSE),"")</f>
        <v>44</v>
      </c>
      <c r="V258" s="13">
        <f>IFERROR(VLOOKUP($A258,koronahun!$A:$AM,22,FALSE),"")</f>
        <v>5.6425334096557811E-2</v>
      </c>
      <c r="W258">
        <f>IFERROR(VLOOKUP($A258,koronahun!$A:$AM,23,FALSE),"")</f>
        <v>-15</v>
      </c>
      <c r="X258">
        <f>IFERROR(VLOOKUP($A258,koronahun!$A:$AM,24,FALSE),"")</f>
        <v>-3</v>
      </c>
      <c r="Y258" s="14">
        <f>IFERROR(VLOOKUP($A258,koronahun!$A:$AM,25,FALSE),"")</f>
        <v>8.5856700555543355E-3</v>
      </c>
      <c r="Z258" s="14">
        <f>IFERROR(VLOOKUP($A258,koronahun!$A:$AM,26,FALSE),"")</f>
        <v>0.11253196930946291</v>
      </c>
      <c r="AA258" s="14">
        <f>IFERROR(VLOOKUP($A258,koronahun!$A:$AM,27,FALSE),"")</f>
        <v>0.59973226238286481</v>
      </c>
      <c r="AB258" s="14">
        <f>IFERROR(VLOOKUP($A258,koronahun!$A:$AM,28,FALSE),"")</f>
        <v>0.60647104412488939</v>
      </c>
      <c r="AC258" s="14">
        <f>IFERROR(VLOOKUP($A258,koronahun!$A:$AM,29,FALSE),"")</f>
        <v>128</v>
      </c>
      <c r="AD258" s="14">
        <f>IFERROR(VLOOKUP($A258,koronahun!$A:$AM,30,FALSE),"")</f>
        <v>7.4285714285714288</v>
      </c>
      <c r="AE258" s="14">
        <f>IFERROR(VLOOKUP($A258,koronahun!$A:$AM,31,FALSE),"")</f>
        <v>10467.428571428571</v>
      </c>
      <c r="AF258" s="13">
        <f>IFERROR(VLOOKUP($A258,koronahun!$A:$AM,32,FALSE),"")</f>
        <v>1.2913641948163357E-2</v>
      </c>
      <c r="AG258">
        <f>IFERROR(VLOOKUP($A258,koronahun!$A:$AM,33,FALSE),"")</f>
        <v>5351972</v>
      </c>
      <c r="AH258">
        <f>IFERROR(VLOOKUP($A258,koronahun!$A:$AM,34,FALSE),"")</f>
        <v>9593</v>
      </c>
      <c r="AI258">
        <f>IFERROR(VLOOKUP($A258,koronahun!$A:$AM,35,FALSE),"")</f>
        <v>14658.4</v>
      </c>
      <c r="AJ258">
        <f>IFERROR(VLOOKUP($A258,koronahun!$A:$AM,36,FALSE),"")</f>
        <v>4240264</v>
      </c>
      <c r="AK258">
        <f>IFERROR(VLOOKUP($A258,koronahun!$A:$AM,37,FALSE),"")</f>
        <v>31645</v>
      </c>
      <c r="AL258">
        <f>IFERROR(VLOOKUP($A258,koronahun!$A:$AM,38,FALSE),"")</f>
        <v>42641.599999999999</v>
      </c>
      <c r="AM258" s="14">
        <f>IFERROR(VLOOKUP($A258,koronahun!$A:$AM,39,FALSE),"")</f>
        <v>1864.1428571428571</v>
      </c>
      <c r="AN258" s="11">
        <f ca="1">IFERROR(__xludf.DUMMYFUNCTION("""COMPUTED_VALUE"""),44150)</f>
        <v>44150</v>
      </c>
      <c r="AO258" s="12">
        <f ca="1">IFERROR(VLOOKUP(AN258,koronahun!A:B,2,FALSE),"")</f>
        <v>140961</v>
      </c>
      <c r="AP258" s="11">
        <f t="shared" ca="1" si="2"/>
        <v>44150</v>
      </c>
      <c r="AQ258" s="11">
        <f ca="1">IFERROR(__xludf.DUMMYFUNCTION("""COMPUTED_VALUE"""),44150)</f>
        <v>44150</v>
      </c>
      <c r="AR258" s="11">
        <v>44363</v>
      </c>
      <c r="AS258" s="11">
        <f t="shared" si="3"/>
        <v>44363</v>
      </c>
      <c r="AT258" s="11">
        <f ca="1">IFERROR(__xludf.DUMMYFUNCTION("""COMPUTED_VALUE"""),44362)</f>
        <v>44362</v>
      </c>
    </row>
    <row r="259" spans="1:46" ht="13">
      <c r="A259" s="11">
        <v>44361</v>
      </c>
      <c r="B259">
        <f>IFERROR(VLOOKUP($A259,koronahun!$A:$AM,2,FALSE),"")</f>
        <v>807045</v>
      </c>
      <c r="C259">
        <f>IFERROR(VLOOKUP($A259,koronahun!$A:$AM,3,FALSE),"")</f>
        <v>255</v>
      </c>
      <c r="D259">
        <f>IFERROR(VLOOKUP($A259,koronahun!$A:$AM,4,FALSE),"")</f>
        <v>29925</v>
      </c>
      <c r="E259">
        <f>IFERROR(VLOOKUP($A259,koronahun!$A:$AM,5,FALSE),"")</f>
        <v>730588</v>
      </c>
      <c r="F259">
        <f>IFERROR(VLOOKUP($A259,koronahun!$A:$AM,6,FALSE),"")</f>
        <v>5991170</v>
      </c>
      <c r="G259" s="12">
        <f>IFERROR(VLOOKUP($A259,koronahun!$A:$AM,7,FALSE),"")</f>
        <v>611343.87755102036</v>
      </c>
      <c r="H259">
        <f>IFERROR(VLOOKUP($A259,koronahun!$A:$AM,8,FALSE),"")</f>
        <v>0</v>
      </c>
      <c r="I259" s="13">
        <f>IFERROR(VLOOKUP($A259,koronahun!$A:$AM,9,FALSE),"")</f>
        <v>3.1606737812813743E-4</v>
      </c>
      <c r="J259" s="13">
        <f>IFERROR(VLOOKUP($A259,koronahun!$A:$AM,10,FALSE),"")</f>
        <v>0.13470574195023677</v>
      </c>
      <c r="K259" s="13">
        <f>IFERROR(VLOOKUP($A259,koronahun!$A:$AM,11,FALSE),"")</f>
        <v>4.7431722251318866E-3</v>
      </c>
      <c r="L259">
        <f>IFERROR(VLOOKUP($A259,koronahun!$A:$AM,12,FALSE),"")</f>
        <v>46532</v>
      </c>
      <c r="M259" s="13">
        <f>IFERROR(VLOOKUP($A259,koronahun!$A:$AM,13,FALSE),"")</f>
        <v>3.7079716744419455E-2</v>
      </c>
      <c r="N259" s="13">
        <f>IFERROR(VLOOKUP($A259,koronahun!$A:$AM,14,FALSE),"")</f>
        <v>0.90526302746439169</v>
      </c>
      <c r="O259">
        <f>IFERROR(VLOOKUP($A259,koronahun!$A:$AM,15,FALSE),"")</f>
        <v>5567</v>
      </c>
      <c r="P259">
        <f>IFERROR(VLOOKUP($A259,koronahun!$A:$AM,16,FALSE),"")</f>
        <v>28283</v>
      </c>
      <c r="Q259" s="13">
        <f>IFERROR(VLOOKUP($A259,koronahun!$A:$AM,17,FALSE),"")</f>
        <v>9.0160166884701055E-3</v>
      </c>
      <c r="R259">
        <f>IFERROR(VLOOKUP($A259,koronahun!$A:$AM,18,FALSE),"")</f>
        <v>21</v>
      </c>
      <c r="S259">
        <f>IFERROR(VLOOKUP($A259,koronahun!$A:$AM,19,FALSE),"")</f>
        <v>5974</v>
      </c>
      <c r="T259">
        <f>IFERROR(VLOOKUP($A259,koronahun!$A:$AM,20,FALSE),"")</f>
        <v>406</v>
      </c>
      <c r="U259">
        <f>IFERROR(VLOOKUP($A259,koronahun!$A:$AM,21,FALSE),"")</f>
        <v>47</v>
      </c>
      <c r="V259" s="13">
        <f>IFERROR(VLOOKUP($A259,koronahun!$A:$AM,22,FALSE),"")</f>
        <v>5.7657255791188841E-2</v>
      </c>
      <c r="W259">
        <f>IFERROR(VLOOKUP($A259,koronahun!$A:$AM,23,FALSE),"")</f>
        <v>-36</v>
      </c>
      <c r="X259">
        <f>IFERROR(VLOOKUP($A259,koronahun!$A:$AM,24,FALSE),"")</f>
        <v>-4</v>
      </c>
      <c r="Y259" s="14">
        <f>IFERROR(VLOOKUP($A259,koronahun!$A:$AM,25,FALSE),"")</f>
        <v>8.7251783718731192E-3</v>
      </c>
      <c r="Z259" s="14">
        <f>IFERROR(VLOOKUP($A259,koronahun!$A:$AM,26,FALSE),"")</f>
        <v>0.11576354679802955</v>
      </c>
      <c r="AA259" s="14">
        <f>IFERROR(VLOOKUP($A259,koronahun!$A:$AM,27,FALSE),"")</f>
        <v>0.61637653127014824</v>
      </c>
      <c r="AB259" s="14">
        <f>IFERROR(VLOOKUP($A259,koronahun!$A:$AM,28,FALSE),"")</f>
        <v>0.62221941453659979</v>
      </c>
      <c r="AC259" s="14">
        <f>IFERROR(VLOOKUP($A259,koronahun!$A:$AM,29,FALSE),"")</f>
        <v>136.57142857142858</v>
      </c>
      <c r="AD259" s="14">
        <f>IFERROR(VLOOKUP($A259,koronahun!$A:$AM,30,FALSE),"")</f>
        <v>8.4285714285714288</v>
      </c>
      <c r="AE259" s="14">
        <f>IFERROR(VLOOKUP($A259,koronahun!$A:$AM,31,FALSE),"")</f>
        <v>10614.857142857143</v>
      </c>
      <c r="AF259" s="13">
        <f>IFERROR(VLOOKUP($A259,koronahun!$A:$AM,32,FALSE),"")</f>
        <v>1.4542132214617157E-2</v>
      </c>
      <c r="AG259">
        <f>IFERROR(VLOOKUP($A259,koronahun!$A:$AM,33,FALSE),"")</f>
        <v>5342379</v>
      </c>
      <c r="AH259">
        <f>IFERROR(VLOOKUP($A259,koronahun!$A:$AM,34,FALSE),"")</f>
        <v>17383</v>
      </c>
      <c r="AI259">
        <f>IFERROR(VLOOKUP($A259,koronahun!$A:$AM,35,FALSE),"")</f>
        <v>16119.6</v>
      </c>
      <c r="AJ259">
        <f>IFERROR(VLOOKUP($A259,koronahun!$A:$AM,36,FALSE),"")</f>
        <v>4208619</v>
      </c>
      <c r="AK259">
        <f>IFERROR(VLOOKUP($A259,koronahun!$A:$AM,37,FALSE),"")</f>
        <v>50938</v>
      </c>
      <c r="AL259">
        <f>IFERROR(VLOOKUP($A259,koronahun!$A:$AM,38,FALSE),"")</f>
        <v>42804.800000000003</v>
      </c>
      <c r="AM259" s="14">
        <f>IFERROR(VLOOKUP($A259,koronahun!$A:$AM,39,FALSE),"")</f>
        <v>1904.8571428571429</v>
      </c>
      <c r="AN259" s="11">
        <f ca="1">IFERROR(__xludf.DUMMYFUNCTION("""COMPUTED_VALUE"""),44151)</f>
        <v>44151</v>
      </c>
      <c r="AO259" s="12">
        <f ca="1">IFERROR(VLOOKUP(AN259,koronahun!A:B,2,FALSE),"")</f>
        <v>147456</v>
      </c>
      <c r="AP259" s="11">
        <f t="shared" ca="1" si="2"/>
        <v>44151</v>
      </c>
      <c r="AQ259" s="11">
        <f ca="1">IFERROR(__xludf.DUMMYFUNCTION("""COMPUTED_VALUE"""),44151)</f>
        <v>44151</v>
      </c>
      <c r="AR259" s="11">
        <v>44362</v>
      </c>
      <c r="AS259" s="11">
        <f t="shared" si="3"/>
        <v>44362</v>
      </c>
      <c r="AT259" s="11">
        <f ca="1">IFERROR(__xludf.DUMMYFUNCTION("""COMPUTED_VALUE"""),44361)</f>
        <v>44361</v>
      </c>
    </row>
    <row r="260" spans="1:46" ht="13">
      <c r="A260" s="11">
        <v>44358</v>
      </c>
      <c r="B260">
        <f>IFERROR(VLOOKUP($A260,koronahun!$A:$AM,2,FALSE),"")</f>
        <v>806790</v>
      </c>
      <c r="C260">
        <f>IFERROR(VLOOKUP($A260,koronahun!$A:$AM,3,FALSE),"")</f>
        <v>199</v>
      </c>
      <c r="D260">
        <f>IFERROR(VLOOKUP($A260,koronahun!$A:$AM,4,FALSE),"")</f>
        <v>29904</v>
      </c>
      <c r="E260">
        <f>IFERROR(VLOOKUP($A260,koronahun!$A:$AM,5,FALSE),"")</f>
        <v>724614</v>
      </c>
      <c r="F260">
        <f>IFERROR(VLOOKUP($A260,koronahun!$A:$AM,6,FALSE),"")</f>
        <v>5962887</v>
      </c>
      <c r="G260" s="12">
        <f>IFERROR(VLOOKUP($A260,koronahun!$A:$AM,7,FALSE),"")</f>
        <v>608457.85714285704</v>
      </c>
      <c r="H260">
        <f>IFERROR(VLOOKUP($A260,koronahun!$A:$AM,8,FALSE),"")</f>
        <v>0</v>
      </c>
      <c r="I260" s="13">
        <f>IFERROR(VLOOKUP($A260,koronahun!$A:$AM,9,FALSE),"")</f>
        <v>2.4671735737195183E-4</v>
      </c>
      <c r="J260" s="13">
        <f>IFERROR(VLOOKUP($A260,koronahun!$A:$AM,10,FALSE),"")</f>
        <v>0.13530190996408284</v>
      </c>
      <c r="K260" s="13">
        <f>IFERROR(VLOOKUP($A260,koronahun!$A:$AM,11,FALSE),"")</f>
        <v>2.3555718275424897E-3</v>
      </c>
      <c r="L260">
        <f>IFERROR(VLOOKUP($A260,koronahun!$A:$AM,12,FALSE),"")</f>
        <v>52272</v>
      </c>
      <c r="M260" s="13">
        <f>IFERROR(VLOOKUP($A260,koronahun!$A:$AM,13,FALSE),"")</f>
        <v>3.7065407355073812E-2</v>
      </c>
      <c r="N260" s="13">
        <f>IFERROR(VLOOKUP($A260,koronahun!$A:$AM,14,FALSE),"")</f>
        <v>0.89814449856840073</v>
      </c>
      <c r="O260">
        <f>IFERROR(VLOOKUP($A260,koronahun!$A:$AM,15,FALSE),"")</f>
        <v>6182</v>
      </c>
      <c r="P260">
        <f>IFERROR(VLOOKUP($A260,koronahun!$A:$AM,16,FALSE),"")</f>
        <v>14013</v>
      </c>
      <c r="Q260" s="13">
        <f>IFERROR(VLOOKUP($A260,koronahun!$A:$AM,17,FALSE),"")</f>
        <v>1.4201098979519019E-2</v>
      </c>
      <c r="R260">
        <f>IFERROR(VLOOKUP($A260,koronahun!$A:$AM,18,FALSE),"")</f>
        <v>8</v>
      </c>
      <c r="S260">
        <f>IFERROR(VLOOKUP($A260,koronahun!$A:$AM,19,FALSE),"")</f>
        <v>2318</v>
      </c>
      <c r="T260">
        <f>IFERROR(VLOOKUP($A260,koronahun!$A:$AM,20,FALSE),"")</f>
        <v>442</v>
      </c>
      <c r="U260">
        <f>IFERROR(VLOOKUP($A260,koronahun!$A:$AM,21,FALSE),"")</f>
        <v>51</v>
      </c>
      <c r="V260" s="13">
        <f>IFERROR(VLOOKUP($A260,koronahun!$A:$AM,22,FALSE),"")</f>
        <v>6.4790094076525487E-2</v>
      </c>
      <c r="W260">
        <f>IFERROR(VLOOKUP($A260,koronahun!$A:$AM,23,FALSE),"")</f>
        <v>-39</v>
      </c>
      <c r="X260">
        <f>IFERROR(VLOOKUP($A260,koronahun!$A:$AM,24,FALSE),"")</f>
        <v>-6</v>
      </c>
      <c r="Y260" s="14">
        <f>IFERROR(VLOOKUP($A260,koronahun!$A:$AM,25,FALSE),"")</f>
        <v>8.4557698194061837E-3</v>
      </c>
      <c r="Z260" s="14">
        <f>IFERROR(VLOOKUP($A260,koronahun!$A:$AM,26,FALSE),"")</f>
        <v>0.11538461538461539</v>
      </c>
      <c r="AA260" s="14">
        <f>IFERROR(VLOOKUP($A260,koronahun!$A:$AM,27,FALSE),"")</f>
        <v>0.60828343313373257</v>
      </c>
      <c r="AB260" s="14">
        <f>IFERROR(VLOOKUP($A260,koronahun!$A:$AM,28,FALSE),"")</f>
        <v>0.67004805743178519</v>
      </c>
      <c r="AC260" s="14">
        <f>IFERROR(VLOOKUP($A260,koronahun!$A:$AM,29,FALSE),"")</f>
        <v>174.14285714285714</v>
      </c>
      <c r="AD260" s="14">
        <f>IFERROR(VLOOKUP($A260,koronahun!$A:$AM,30,FALSE),"")</f>
        <v>12.285714285714286</v>
      </c>
      <c r="AE260" s="14">
        <f>IFERROR(VLOOKUP($A260,koronahun!$A:$AM,31,FALSE),"")</f>
        <v>11142.857142857143</v>
      </c>
      <c r="AF260" s="13">
        <f>IFERROR(VLOOKUP($A260,koronahun!$A:$AM,32,FALSE),"")</f>
        <v>1.5786982033000059E-2</v>
      </c>
      <c r="AG260">
        <f>IFERROR(VLOOKUP($A260,koronahun!$A:$AM,33,FALSE),"")</f>
        <v>5324996</v>
      </c>
      <c r="AH260">
        <f>IFERROR(VLOOKUP($A260,koronahun!$A:$AM,34,FALSE),"")</f>
        <v>13521</v>
      </c>
      <c r="AI260">
        <f>IFERROR(VLOOKUP($A260,koronahun!$A:$AM,35,FALSE),"")</f>
        <v>12299</v>
      </c>
      <c r="AJ260">
        <f>IFERROR(VLOOKUP($A260,koronahun!$A:$AM,36,FALSE),"")</f>
        <v>4157681</v>
      </c>
      <c r="AK260">
        <f>IFERROR(VLOOKUP($A260,koronahun!$A:$AM,37,FALSE),"")</f>
        <v>44805</v>
      </c>
      <c r="AL260">
        <f>IFERROR(VLOOKUP($A260,koronahun!$A:$AM,38,FALSE),"")</f>
        <v>49069.571428571428</v>
      </c>
      <c r="AM260" s="14">
        <f>IFERROR(VLOOKUP($A260,koronahun!$A:$AM,39,FALSE),"")</f>
        <v>1929.8571428571429</v>
      </c>
      <c r="AN260" s="11">
        <f ca="1">IFERROR(__xludf.DUMMYFUNCTION("""COMPUTED_VALUE"""),44152)</f>
        <v>44152</v>
      </c>
      <c r="AO260" s="12">
        <f ca="1">IFERROR(VLOOKUP(AN260,koronahun!A:B,2,FALSE),"")</f>
        <v>152659</v>
      </c>
      <c r="AP260" s="11">
        <f t="shared" ca="1" si="2"/>
        <v>44152</v>
      </c>
      <c r="AQ260" s="11">
        <f ca="1">IFERROR(__xludf.DUMMYFUNCTION("""COMPUTED_VALUE"""),44152)</f>
        <v>44152</v>
      </c>
      <c r="AR260" s="11">
        <v>44361</v>
      </c>
      <c r="AS260" s="11">
        <f t="shared" si="3"/>
        <v>44361</v>
      </c>
      <c r="AT260" s="11">
        <f ca="1">IFERROR(__xludf.DUMMYFUNCTION("""COMPUTED_VALUE"""),44358)</f>
        <v>44358</v>
      </c>
    </row>
    <row r="261" spans="1:46" ht="13">
      <c r="A261" s="11">
        <v>44357</v>
      </c>
      <c r="B261">
        <f>IFERROR(VLOOKUP($A261,koronahun!$A:$AM,2,FALSE),"")</f>
        <v>806591</v>
      </c>
      <c r="C261">
        <f>IFERROR(VLOOKUP($A261,koronahun!$A:$AM,3,FALSE),"")</f>
        <v>206</v>
      </c>
      <c r="D261">
        <f>IFERROR(VLOOKUP($A261,koronahun!$A:$AM,4,FALSE),"")</f>
        <v>29896</v>
      </c>
      <c r="E261">
        <f>IFERROR(VLOOKUP($A261,koronahun!$A:$AM,5,FALSE),"")</f>
        <v>722296</v>
      </c>
      <c r="F261">
        <f>IFERROR(VLOOKUP($A261,koronahun!$A:$AM,6,FALSE),"")</f>
        <v>5948874</v>
      </c>
      <c r="G261" s="12">
        <f>IFERROR(VLOOKUP($A261,koronahun!$A:$AM,7,FALSE),"")</f>
        <v>607027.95918367337</v>
      </c>
      <c r="H261">
        <f>IFERROR(VLOOKUP($A261,koronahun!$A:$AM,8,FALSE),"")</f>
        <v>0</v>
      </c>
      <c r="I261" s="13">
        <f>IFERROR(VLOOKUP($A261,koronahun!$A:$AM,9,FALSE),"")</f>
        <v>2.554611010869498E-4</v>
      </c>
      <c r="J261" s="13">
        <f>IFERROR(VLOOKUP($A261,koronahun!$A:$AM,10,FALSE),"")</f>
        <v>0.13558717162273062</v>
      </c>
      <c r="K261" s="13">
        <f>IFERROR(VLOOKUP($A261,koronahun!$A:$AM,11,FALSE),"")</f>
        <v>2.1174791587492822E-3</v>
      </c>
      <c r="L261">
        <f>IFERROR(VLOOKUP($A261,koronahun!$A:$AM,12,FALSE),"")</f>
        <v>54399</v>
      </c>
      <c r="M261" s="13">
        <f>IFERROR(VLOOKUP($A261,koronahun!$A:$AM,13,FALSE),"")</f>
        <v>3.7064633748702877E-2</v>
      </c>
      <c r="N261" s="13">
        <f>IFERROR(VLOOKUP($A261,koronahun!$A:$AM,14,FALSE),"")</f>
        <v>0.89549226311724284</v>
      </c>
      <c r="O261">
        <f>IFERROR(VLOOKUP($A261,koronahun!$A:$AM,15,FALSE),"")</f>
        <v>6189</v>
      </c>
      <c r="P261">
        <f>IFERROR(VLOOKUP($A261,koronahun!$A:$AM,16,FALSE),"")</f>
        <v>12570</v>
      </c>
      <c r="Q261" s="13">
        <f>IFERROR(VLOOKUP($A261,koronahun!$A:$AM,17,FALSE),"")</f>
        <v>1.6388225934765313E-2</v>
      </c>
      <c r="R261">
        <f>IFERROR(VLOOKUP($A261,koronahun!$A:$AM,18,FALSE),"")</f>
        <v>7</v>
      </c>
      <c r="S261">
        <f>IFERROR(VLOOKUP($A261,koronahun!$A:$AM,19,FALSE),"")</f>
        <v>1896</v>
      </c>
      <c r="T261">
        <f>IFERROR(VLOOKUP($A261,koronahun!$A:$AM,20,FALSE),"")</f>
        <v>481</v>
      </c>
      <c r="U261">
        <f>IFERROR(VLOOKUP($A261,koronahun!$A:$AM,21,FALSE),"")</f>
        <v>57</v>
      </c>
      <c r="V261" s="13">
        <f>IFERROR(VLOOKUP($A261,koronahun!$A:$AM,22,FALSE),"")</f>
        <v>6.7443103134054314E-2</v>
      </c>
      <c r="W261">
        <f>IFERROR(VLOOKUP($A261,koronahun!$A:$AM,23,FALSE),"")</f>
        <v>-68</v>
      </c>
      <c r="X261">
        <f>IFERROR(VLOOKUP($A261,koronahun!$A:$AM,24,FALSE),"")</f>
        <v>-1</v>
      </c>
      <c r="Y261" s="14">
        <f>IFERROR(VLOOKUP($A261,koronahun!$A:$AM,25,FALSE),"")</f>
        <v>8.8420743028364487E-3</v>
      </c>
      <c r="Z261" s="14">
        <f>IFERROR(VLOOKUP($A261,koronahun!$A:$AM,26,FALSE),"")</f>
        <v>0.11850311850311851</v>
      </c>
      <c r="AA261" s="14">
        <f>IFERROR(VLOOKUP($A261,koronahun!$A:$AM,27,FALSE),"")</f>
        <v>0.59047182775996332</v>
      </c>
      <c r="AB261" s="14">
        <f>IFERROR(VLOOKUP($A261,koronahun!$A:$AM,28,FALSE),"")</f>
        <v>0.69577265634007179</v>
      </c>
      <c r="AC261" s="14">
        <f>IFERROR(VLOOKUP($A261,koronahun!$A:$AM,29,FALSE),"")</f>
        <v>184.14285714285714</v>
      </c>
      <c r="AD261" s="14">
        <f>IFERROR(VLOOKUP($A261,koronahun!$A:$AM,30,FALSE),"")</f>
        <v>14.857142857142858</v>
      </c>
      <c r="AE261" s="14">
        <f>IFERROR(VLOOKUP($A261,koronahun!$A:$AM,31,FALSE),"")</f>
        <v>11808.571428571429</v>
      </c>
      <c r="AF261" s="13">
        <f>IFERROR(VLOOKUP($A261,koronahun!$A:$AM,32,FALSE),"")</f>
        <v>1.5816228835147099E-2</v>
      </c>
      <c r="AG261">
        <f>IFERROR(VLOOKUP($A261,koronahun!$A:$AM,33,FALSE),"")</f>
        <v>5311475</v>
      </c>
      <c r="AH261">
        <f>IFERROR(VLOOKUP($A261,koronahun!$A:$AM,34,FALSE),"")</f>
        <v>14549</v>
      </c>
      <c r="AI261">
        <f>IFERROR(VLOOKUP($A261,koronahun!$A:$AM,35,FALSE),"")</f>
        <v>12022.428571428571</v>
      </c>
      <c r="AJ261">
        <f>IFERROR(VLOOKUP($A261,koronahun!$A:$AM,36,FALSE),"")</f>
        <v>4112876</v>
      </c>
      <c r="AK261">
        <f>IFERROR(VLOOKUP($A261,koronahun!$A:$AM,37,FALSE),"")</f>
        <v>39356</v>
      </c>
      <c r="AL261">
        <f>IFERROR(VLOOKUP($A261,koronahun!$A:$AM,38,FALSE),"")</f>
        <v>54374.857142857145</v>
      </c>
      <c r="AM261" s="14">
        <f>IFERROR(VLOOKUP($A261,koronahun!$A:$AM,39,FALSE),"")</f>
        <v>2014</v>
      </c>
      <c r="AN261" s="11">
        <f ca="1">IFERROR(__xludf.DUMMYFUNCTION("""COMPUTED_VALUE"""),44153)</f>
        <v>44153</v>
      </c>
      <c r="AO261" s="12">
        <f ca="1">IFERROR(VLOOKUP(AN261,koronahun!A:B,2,FALSE),"")</f>
        <v>156949</v>
      </c>
      <c r="AP261" s="11">
        <f t="shared" ca="1" si="2"/>
        <v>44153</v>
      </c>
      <c r="AQ261" s="11">
        <f ca="1">IFERROR(__xludf.DUMMYFUNCTION("""COMPUTED_VALUE"""),44153)</f>
        <v>44153</v>
      </c>
      <c r="AR261" s="11">
        <v>44358</v>
      </c>
      <c r="AS261" s="11">
        <f t="shared" si="3"/>
        <v>44358</v>
      </c>
      <c r="AT261" s="11">
        <f ca="1">IFERROR(__xludf.DUMMYFUNCTION("""COMPUTED_VALUE"""),44357)</f>
        <v>44357</v>
      </c>
    </row>
    <row r="262" spans="1:46" ht="13">
      <c r="A262" s="11">
        <v>44356</v>
      </c>
      <c r="B262">
        <f>IFERROR(VLOOKUP($A262,koronahun!$A:$AM,2,FALSE),"")</f>
        <v>806385</v>
      </c>
      <c r="C262">
        <f>IFERROR(VLOOKUP($A262,koronahun!$A:$AM,3,FALSE),"")</f>
        <v>179</v>
      </c>
      <c r="D262">
        <f>IFERROR(VLOOKUP($A262,koronahun!$A:$AM,4,FALSE),"")</f>
        <v>29889</v>
      </c>
      <c r="E262">
        <f>IFERROR(VLOOKUP($A262,koronahun!$A:$AM,5,FALSE),"")</f>
        <v>720400</v>
      </c>
      <c r="F262">
        <f>IFERROR(VLOOKUP($A262,koronahun!$A:$AM,6,FALSE),"")</f>
        <v>5936304</v>
      </c>
      <c r="G262" s="12">
        <f>IFERROR(VLOOKUP($A262,koronahun!$A:$AM,7,FALSE),"")</f>
        <v>605745.30612244899</v>
      </c>
      <c r="H262">
        <f>IFERROR(VLOOKUP($A262,koronahun!$A:$AM,8,FALSE),"")</f>
        <v>0</v>
      </c>
      <c r="I262" s="13">
        <f>IFERROR(VLOOKUP($A262,koronahun!$A:$AM,9,FALSE),"")</f>
        <v>2.2202762073217019E-4</v>
      </c>
      <c r="J262" s="13">
        <f>IFERROR(VLOOKUP($A262,koronahun!$A:$AM,10,FALSE),"")</f>
        <v>0.13583957290596976</v>
      </c>
      <c r="K262" s="13">
        <f>IFERROR(VLOOKUP($A262,koronahun!$A:$AM,11,FALSE),"")</f>
        <v>2.2894793359294272E-3</v>
      </c>
      <c r="L262">
        <f>IFERROR(VLOOKUP($A262,koronahun!$A:$AM,12,FALSE),"")</f>
        <v>56096</v>
      </c>
      <c r="M262" s="13">
        <f>IFERROR(VLOOKUP($A262,koronahun!$A:$AM,13,FALSE),"")</f>
        <v>3.7065421603824478E-2</v>
      </c>
      <c r="N262" s="13">
        <f>IFERROR(VLOOKUP($A262,koronahun!$A:$AM,14,FALSE),"")</f>
        <v>0.8933697923448477</v>
      </c>
      <c r="O262">
        <f>IFERROR(VLOOKUP($A262,koronahun!$A:$AM,15,FALSE),"")</f>
        <v>6749</v>
      </c>
      <c r="P262">
        <f>IFERROR(VLOOKUP($A262,koronahun!$A:$AM,16,FALSE),"")</f>
        <v>13560</v>
      </c>
      <c r="Q262" s="13">
        <f>IFERROR(VLOOKUP($A262,koronahun!$A:$AM,17,FALSE),"")</f>
        <v>1.3200589970501475E-2</v>
      </c>
      <c r="R262">
        <f>IFERROR(VLOOKUP($A262,koronahun!$A:$AM,18,FALSE),"")</f>
        <v>6</v>
      </c>
      <c r="S262">
        <f>IFERROR(VLOOKUP($A262,koronahun!$A:$AM,19,FALSE),"")</f>
        <v>1823</v>
      </c>
      <c r="T262">
        <f>IFERROR(VLOOKUP($A262,koronahun!$A:$AM,20,FALSE),"")</f>
        <v>549</v>
      </c>
      <c r="U262">
        <f>IFERROR(VLOOKUP($A262,koronahun!$A:$AM,21,FALSE),"")</f>
        <v>58</v>
      </c>
      <c r="V262" s="13">
        <f>IFERROR(VLOOKUP($A262,koronahun!$A:$AM,22,FALSE),"")</f>
        <v>6.9564786051327834E-2</v>
      </c>
      <c r="W262">
        <f>IFERROR(VLOOKUP($A262,koronahun!$A:$AM,23,FALSE),"")</f>
        <v>-42</v>
      </c>
      <c r="X262">
        <f>IFERROR(VLOOKUP($A262,koronahun!$A:$AM,24,FALSE),"")</f>
        <v>-5</v>
      </c>
      <c r="Y262" s="14">
        <f>IFERROR(VLOOKUP($A262,koronahun!$A:$AM,25,FALSE),"")</f>
        <v>9.7867940673131773E-3</v>
      </c>
      <c r="Z262" s="14">
        <f>IFERROR(VLOOKUP($A262,koronahun!$A:$AM,26,FALSE),"")</f>
        <v>0.10564663023679417</v>
      </c>
      <c r="AA262" s="14">
        <f>IFERROR(VLOOKUP($A262,koronahun!$A:$AM,27,FALSE),"")</f>
        <v>0.61749116607773846</v>
      </c>
      <c r="AB262" s="14">
        <f>IFERROR(VLOOKUP($A262,koronahun!$A:$AM,28,FALSE),"")</f>
        <v>0.72478091317303328</v>
      </c>
      <c r="AC262" s="14">
        <f>IFERROR(VLOOKUP($A262,koronahun!$A:$AM,29,FALSE),"")</f>
        <v>199.71428571428572</v>
      </c>
      <c r="AD262" s="14">
        <f>IFERROR(VLOOKUP($A262,koronahun!$A:$AM,30,FALSE),"")</f>
        <v>16.428571428571427</v>
      </c>
      <c r="AE262" s="14">
        <f>IFERROR(VLOOKUP($A262,koronahun!$A:$AM,31,FALSE),"")</f>
        <v>10503.714285714286</v>
      </c>
      <c r="AF262" s="13">
        <f>IFERROR(VLOOKUP($A262,koronahun!$A:$AM,32,FALSE),"")</f>
        <v>2.6571677682982887E-2</v>
      </c>
      <c r="AG262">
        <f>IFERROR(VLOOKUP($A262,koronahun!$A:$AM,33,FALSE),"")</f>
        <v>5296926</v>
      </c>
      <c r="AH262">
        <f>IFERROR(VLOOKUP($A262,koronahun!$A:$AM,34,FALSE),"")</f>
        <v>18246</v>
      </c>
      <c r="AI262">
        <f>IFERROR(VLOOKUP($A262,koronahun!$A:$AM,35,FALSE),"")</f>
        <v>12853.571428571429</v>
      </c>
      <c r="AJ262">
        <f>IFERROR(VLOOKUP($A262,koronahun!$A:$AM,36,FALSE),"")</f>
        <v>4073520</v>
      </c>
      <c r="AK262">
        <f>IFERROR(VLOOKUP($A262,koronahun!$A:$AM,37,FALSE),"")</f>
        <v>46464</v>
      </c>
      <c r="AL262">
        <f>IFERROR(VLOOKUP($A262,koronahun!$A:$AM,38,FALSE),"")</f>
        <v>54131.142857142855</v>
      </c>
      <c r="AM262" s="14">
        <f>IFERROR(VLOOKUP($A262,koronahun!$A:$AM,39,FALSE),"")</f>
        <v>2146</v>
      </c>
      <c r="AN262" s="11">
        <f ca="1">IFERROR(__xludf.DUMMYFUNCTION("""COMPUTED_VALUE"""),44154)</f>
        <v>44154</v>
      </c>
      <c r="AO262" s="12">
        <f ca="1">IFERROR(VLOOKUP(AN262,koronahun!A:B,2,FALSE),"")</f>
        <v>161461</v>
      </c>
      <c r="AP262" s="11">
        <f t="shared" ca="1" si="2"/>
        <v>44154</v>
      </c>
      <c r="AQ262" s="11">
        <f ca="1">IFERROR(__xludf.DUMMYFUNCTION("""COMPUTED_VALUE"""),44154)</f>
        <v>44154</v>
      </c>
      <c r="AR262" s="11">
        <v>44357</v>
      </c>
      <c r="AS262" s="11">
        <f t="shared" si="3"/>
        <v>44357</v>
      </c>
      <c r="AT262" s="11">
        <f ca="1">IFERROR(__xludf.DUMMYFUNCTION("""COMPUTED_VALUE"""),44356)</f>
        <v>44356</v>
      </c>
    </row>
    <row r="263" spans="1:46" ht="13">
      <c r="A263" s="11">
        <v>44355</v>
      </c>
      <c r="B263">
        <f>IFERROR(VLOOKUP($A263,koronahun!$A:$AM,2,FALSE),"")</f>
        <v>806206</v>
      </c>
      <c r="C263">
        <f>IFERROR(VLOOKUP($A263,koronahun!$A:$AM,3,FALSE),"")</f>
        <v>117</v>
      </c>
      <c r="D263">
        <f>IFERROR(VLOOKUP($A263,koronahun!$A:$AM,4,FALSE),"")</f>
        <v>29883</v>
      </c>
      <c r="E263">
        <f>IFERROR(VLOOKUP($A263,koronahun!$A:$AM,5,FALSE),"")</f>
        <v>718577</v>
      </c>
      <c r="F263">
        <f>IFERROR(VLOOKUP($A263,koronahun!$A:$AM,6,FALSE),"")</f>
        <v>5922744</v>
      </c>
      <c r="G263" s="12">
        <f>IFERROR(VLOOKUP($A263,koronahun!$A:$AM,7,FALSE),"")</f>
        <v>604361.63265306118</v>
      </c>
      <c r="H263">
        <f>IFERROR(VLOOKUP($A263,koronahun!$A:$AM,8,FALSE),"")</f>
        <v>0</v>
      </c>
      <c r="I263" s="13">
        <f>IFERROR(VLOOKUP($A263,koronahun!$A:$AM,9,FALSE),"")</f>
        <v>1.4514526311610752E-4</v>
      </c>
      <c r="J263" s="13">
        <f>IFERROR(VLOOKUP($A263,koronahun!$A:$AM,10,FALSE),"")</f>
        <v>0.13612035232317993</v>
      </c>
      <c r="K263" s="13">
        <f>IFERROR(VLOOKUP($A263,koronahun!$A:$AM,11,FALSE),"")</f>
        <v>9.9343131989130737E-4</v>
      </c>
      <c r="L263">
        <f>IFERROR(VLOOKUP($A263,koronahun!$A:$AM,12,FALSE),"")</f>
        <v>57746</v>
      </c>
      <c r="M263" s="13">
        <f>IFERROR(VLOOKUP($A263,koronahun!$A:$AM,13,FALSE),"")</f>
        <v>3.7066208884577886E-2</v>
      </c>
      <c r="N263" s="13">
        <f>IFERROR(VLOOKUP($A263,koronahun!$A:$AM,14,FALSE),"")</f>
        <v>0.89130693644056236</v>
      </c>
      <c r="O263">
        <f>IFERROR(VLOOKUP($A263,koronahun!$A:$AM,15,FALSE),"")</f>
        <v>6890</v>
      </c>
      <c r="P263">
        <f>IFERROR(VLOOKUP($A263,koronahun!$A:$AM,16,FALSE),"")</f>
        <v>5878</v>
      </c>
      <c r="Q263" s="13">
        <f>IFERROR(VLOOKUP($A263,koronahun!$A:$AM,17,FALSE),"")</f>
        <v>1.9904729499829875E-2</v>
      </c>
      <c r="R263">
        <f>IFERROR(VLOOKUP($A263,koronahun!$A:$AM,18,FALSE),"")</f>
        <v>17</v>
      </c>
      <c r="S263">
        <f>IFERROR(VLOOKUP($A263,koronahun!$A:$AM,19,FALSE),"")</f>
        <v>1323</v>
      </c>
      <c r="T263">
        <f>IFERROR(VLOOKUP($A263,koronahun!$A:$AM,20,FALSE),"")</f>
        <v>591</v>
      </c>
      <c r="U263">
        <f>IFERROR(VLOOKUP($A263,koronahun!$A:$AM,21,FALSE),"")</f>
        <v>63</v>
      </c>
      <c r="V263" s="13">
        <f>IFERROR(VLOOKUP($A263,koronahun!$A:$AM,22,FALSE),"")</f>
        <v>7.1626854674859769E-2</v>
      </c>
      <c r="W263">
        <f>IFERROR(VLOOKUP($A263,koronahun!$A:$AM,23,FALSE),"")</f>
        <v>-8</v>
      </c>
      <c r="X263">
        <f>IFERROR(VLOOKUP($A263,koronahun!$A:$AM,24,FALSE),"")</f>
        <v>-4</v>
      </c>
      <c r="Y263" s="14">
        <f>IFERROR(VLOOKUP($A263,koronahun!$A:$AM,25,FALSE),"")</f>
        <v>1.0234475115159491E-2</v>
      </c>
      <c r="Z263" s="14">
        <f>IFERROR(VLOOKUP($A263,koronahun!$A:$AM,26,FALSE),"")</f>
        <v>0.1065989847715736</v>
      </c>
      <c r="AA263" s="14">
        <f>IFERROR(VLOOKUP($A263,koronahun!$A:$AM,27,FALSE),"")</f>
        <v>0.67847411444141692</v>
      </c>
      <c r="AB263" s="14">
        <f>IFERROR(VLOOKUP($A263,koronahun!$A:$AM,28,FALSE),"")</f>
        <v>0.73973489787780833</v>
      </c>
      <c r="AC263" s="14">
        <f>IFERROR(VLOOKUP($A263,koronahun!$A:$AM,29,FALSE),"")</f>
        <v>213.42857142857142</v>
      </c>
      <c r="AD263" s="14">
        <f>IFERROR(VLOOKUP($A263,koronahun!$A:$AM,30,FALSE),"")</f>
        <v>17.428571428571427</v>
      </c>
      <c r="AE263" s="14">
        <f>IFERROR(VLOOKUP($A263,koronahun!$A:$AM,31,FALSE),"")</f>
        <v>12159.142857142857</v>
      </c>
      <c r="AF263" s="13">
        <f>IFERROR(VLOOKUP($A263,koronahun!$A:$AM,32,FALSE),"")</f>
        <v>2.6248059578855485E-2</v>
      </c>
      <c r="AG263">
        <f>IFERROR(VLOOKUP($A263,koronahun!$A:$AM,33,FALSE),"")</f>
        <v>5278680</v>
      </c>
      <c r="AH263">
        <f>IFERROR(VLOOKUP($A263,koronahun!$A:$AM,34,FALSE),"")</f>
        <v>16899</v>
      </c>
      <c r="AI263">
        <f>IFERROR(VLOOKUP($A263,koronahun!$A:$AM,35,FALSE),"")</f>
        <v>14578.571428571429</v>
      </c>
      <c r="AJ263">
        <f>IFERROR(VLOOKUP($A263,koronahun!$A:$AM,36,FALSE),"")</f>
        <v>4027056</v>
      </c>
      <c r="AK263">
        <f>IFERROR(VLOOKUP($A263,koronahun!$A:$AM,37,FALSE),"")</f>
        <v>32461</v>
      </c>
      <c r="AL263">
        <f>IFERROR(VLOOKUP($A263,koronahun!$A:$AM,38,FALSE),"")</f>
        <v>53058.428571428572</v>
      </c>
      <c r="AM263" s="14">
        <f>IFERROR(VLOOKUP($A263,koronahun!$A:$AM,39,FALSE),"")</f>
        <v>2175</v>
      </c>
      <c r="AN263" s="11">
        <f ca="1">IFERROR(__xludf.DUMMYFUNCTION("""COMPUTED_VALUE"""),44155)</f>
        <v>44155</v>
      </c>
      <c r="AO263" s="12">
        <f ca="1">IFERROR(VLOOKUP(AN263,koronahun!A:B,2,FALSE),"")</f>
        <v>165901</v>
      </c>
      <c r="AP263" s="11">
        <f t="shared" ca="1" si="2"/>
        <v>44155</v>
      </c>
      <c r="AQ263" s="11">
        <f ca="1">IFERROR(__xludf.DUMMYFUNCTION("""COMPUTED_VALUE"""),44155)</f>
        <v>44155</v>
      </c>
      <c r="AR263" s="11">
        <v>44356</v>
      </c>
      <c r="AS263" s="11">
        <f t="shared" si="3"/>
        <v>44356</v>
      </c>
      <c r="AT263" s="11">
        <f ca="1">IFERROR(__xludf.DUMMYFUNCTION("""COMPUTED_VALUE"""),44355)</f>
        <v>44355</v>
      </c>
    </row>
    <row r="264" spans="1:46" ht="13">
      <c r="A264" s="11">
        <v>44354</v>
      </c>
      <c r="B264">
        <f>IFERROR(VLOOKUP($A264,koronahun!$A:$AM,2,FALSE),"")</f>
        <v>806089</v>
      </c>
      <c r="C264">
        <f>IFERROR(VLOOKUP($A264,koronahun!$A:$AM,3,FALSE),"")</f>
        <v>81</v>
      </c>
      <c r="D264">
        <f>IFERROR(VLOOKUP($A264,koronahun!$A:$AM,4,FALSE),"")</f>
        <v>29866</v>
      </c>
      <c r="E264">
        <f>IFERROR(VLOOKUP($A264,koronahun!$A:$AM,5,FALSE),"")</f>
        <v>717254</v>
      </c>
      <c r="F264">
        <f>IFERROR(VLOOKUP($A264,koronahun!$A:$AM,6,FALSE),"")</f>
        <v>5916866</v>
      </c>
      <c r="G264" s="12">
        <f>IFERROR(VLOOKUP($A264,koronahun!$A:$AM,7,FALSE),"")</f>
        <v>603761.83673469385</v>
      </c>
      <c r="H264">
        <f>IFERROR(VLOOKUP($A264,koronahun!$A:$AM,8,FALSE),"")</f>
        <v>0</v>
      </c>
      <c r="I264" s="13">
        <f>IFERROR(VLOOKUP($A264,koronahun!$A:$AM,9,FALSE),"")</f>
        <v>1.0049528044386657E-4</v>
      </c>
      <c r="J264" s="13">
        <f>IFERROR(VLOOKUP($A264,koronahun!$A:$AM,10,FALSE),"")</f>
        <v>0.13623580456275333</v>
      </c>
      <c r="K264" s="13">
        <f>IFERROR(VLOOKUP($A264,koronahun!$A:$AM,11,FALSE),"")</f>
        <v>1.1197499664988677E-3</v>
      </c>
      <c r="L264">
        <f>IFERROR(VLOOKUP($A264,koronahun!$A:$AM,12,FALSE),"")</f>
        <v>58969</v>
      </c>
      <c r="M264" s="13">
        <f>IFERROR(VLOOKUP($A264,koronahun!$A:$AM,13,FALSE),"")</f>
        <v>3.7050499386544165E-2</v>
      </c>
      <c r="N264" s="13">
        <f>IFERROR(VLOOKUP($A264,koronahun!$A:$AM,14,FALSE),"")</f>
        <v>0.88979504744513327</v>
      </c>
      <c r="O264">
        <f>IFERROR(VLOOKUP($A264,koronahun!$A:$AM,15,FALSE),"")</f>
        <v>7066</v>
      </c>
      <c r="P264">
        <f>IFERROR(VLOOKUP($A264,koronahun!$A:$AM,16,FALSE),"")</f>
        <v>6618</v>
      </c>
      <c r="Q264" s="13">
        <f>IFERROR(VLOOKUP($A264,koronahun!$A:$AM,17,FALSE),"")</f>
        <v>1.2239347234814143E-2</v>
      </c>
      <c r="R264">
        <f>IFERROR(VLOOKUP($A264,koronahun!$A:$AM,18,FALSE),"")</f>
        <v>12</v>
      </c>
      <c r="S264">
        <f>IFERROR(VLOOKUP($A264,koronahun!$A:$AM,19,FALSE),"")</f>
        <v>1091</v>
      </c>
      <c r="T264">
        <f>IFERROR(VLOOKUP($A264,koronahun!$A:$AM,20,FALSE),"")</f>
        <v>599</v>
      </c>
      <c r="U264">
        <f>IFERROR(VLOOKUP($A264,koronahun!$A:$AM,21,FALSE),"")</f>
        <v>67</v>
      </c>
      <c r="V264" s="13">
        <f>IFERROR(VLOOKUP($A264,koronahun!$A:$AM,22,FALSE),"")</f>
        <v>7.31544531683226E-2</v>
      </c>
      <c r="W264">
        <f>IFERROR(VLOOKUP($A264,koronahun!$A:$AM,23,FALSE),"")</f>
        <v>-3</v>
      </c>
      <c r="X264">
        <f>IFERROR(VLOOKUP($A264,koronahun!$A:$AM,24,FALSE),"")</f>
        <v>-1</v>
      </c>
      <c r="Y264" s="14">
        <f>IFERROR(VLOOKUP($A264,koronahun!$A:$AM,25,FALSE),"")</f>
        <v>1.0157879563838627E-2</v>
      </c>
      <c r="Z264" s="14">
        <f>IFERROR(VLOOKUP($A264,koronahun!$A:$AM,26,FALSE),"")</f>
        <v>0.11185308848080133</v>
      </c>
      <c r="AA264" s="14">
        <f>IFERROR(VLOOKUP($A264,koronahun!$A:$AM,27,FALSE),"")</f>
        <v>0.70757299270072993</v>
      </c>
      <c r="AB264" s="14">
        <f>IFERROR(VLOOKUP($A264,koronahun!$A:$AM,28,FALSE),"")</f>
        <v>0.731297064771952</v>
      </c>
      <c r="AC264" s="14">
        <f>IFERROR(VLOOKUP($A264,koronahun!$A:$AM,29,FALSE),"")</f>
        <v>221.57142857142858</v>
      </c>
      <c r="AD264" s="14">
        <f>IFERROR(VLOOKUP($A264,koronahun!$A:$AM,30,FALSE),"")</f>
        <v>19</v>
      </c>
      <c r="AE264" s="14">
        <f>IFERROR(VLOOKUP($A264,koronahun!$A:$AM,31,FALSE),"")</f>
        <v>13145.428571428571</v>
      </c>
      <c r="AF264" s="13">
        <f>IFERROR(VLOOKUP($A264,koronahun!$A:$AM,32,FALSE),"")</f>
        <v>2.5349225811874848E-2</v>
      </c>
      <c r="AG264">
        <f>IFERROR(VLOOKUP($A264,koronahun!$A:$AM,33,FALSE),"")</f>
        <v>5261781</v>
      </c>
      <c r="AH264">
        <f>IFERROR(VLOOKUP($A264,koronahun!$A:$AM,34,FALSE),"")</f>
        <v>1363</v>
      </c>
      <c r="AI264">
        <f>IFERROR(VLOOKUP($A264,koronahun!$A:$AM,35,FALSE),"")</f>
        <v>16404.571428571428</v>
      </c>
      <c r="AJ264">
        <f>IFERROR(VLOOKUP($A264,koronahun!$A:$AM,36,FALSE),"")</f>
        <v>3994595</v>
      </c>
      <c r="AK264">
        <f>IFERROR(VLOOKUP($A264,koronahun!$A:$AM,37,FALSE),"")</f>
        <v>5070</v>
      </c>
      <c r="AL264">
        <f>IFERROR(VLOOKUP($A264,koronahun!$A:$AM,38,FALSE),"")</f>
        <v>54700.714285714283</v>
      </c>
      <c r="AM264" s="14">
        <f>IFERROR(VLOOKUP($A264,koronahun!$A:$AM,39,FALSE),"")</f>
        <v>2431.1428571428573</v>
      </c>
      <c r="AN264" s="11">
        <f ca="1">IFERROR(__xludf.DUMMYFUNCTION("""COMPUTED_VALUE"""),44156)</f>
        <v>44156</v>
      </c>
      <c r="AO264" s="12">
        <f ca="1">IFERROR(VLOOKUP(AN264,koronahun!A:B,2,FALSE),"")</f>
        <v>170298</v>
      </c>
      <c r="AP264" s="11">
        <f t="shared" ca="1" si="2"/>
        <v>44156</v>
      </c>
      <c r="AQ264" s="11">
        <f ca="1">IFERROR(__xludf.DUMMYFUNCTION("""COMPUTED_VALUE"""),44156)</f>
        <v>44156</v>
      </c>
      <c r="AR264" s="11">
        <v>44355</v>
      </c>
      <c r="AS264" s="11">
        <f t="shared" si="3"/>
        <v>44355</v>
      </c>
      <c r="AT264" s="11">
        <f ca="1">IFERROR(__xludf.DUMMYFUNCTION("""COMPUTED_VALUE"""),44354)</f>
        <v>44354</v>
      </c>
    </row>
    <row r="265" spans="1:46" ht="13">
      <c r="A265" s="11">
        <v>44353</v>
      </c>
      <c r="B265">
        <f>IFERROR(VLOOKUP($A265,koronahun!$A:$AM,2,FALSE),"")</f>
        <v>806008</v>
      </c>
      <c r="C265">
        <f>IFERROR(VLOOKUP($A265,koronahun!$A:$AM,3,FALSE),"")</f>
        <v>137</v>
      </c>
      <c r="D265">
        <f>IFERROR(VLOOKUP($A265,koronahun!$A:$AM,4,FALSE),"")</f>
        <v>29854</v>
      </c>
      <c r="E265">
        <f>IFERROR(VLOOKUP($A265,koronahun!$A:$AM,5,FALSE),"")</f>
        <v>716163</v>
      </c>
      <c r="F265">
        <f>IFERROR(VLOOKUP($A265,koronahun!$A:$AM,6,FALSE),"")</f>
        <v>5910248</v>
      </c>
      <c r="G265" s="12">
        <f>IFERROR(VLOOKUP($A265,koronahun!$A:$AM,7,FALSE),"")</f>
        <v>603086.53061224485</v>
      </c>
      <c r="H265">
        <f>IFERROR(VLOOKUP($A265,koronahun!$A:$AM,8,FALSE),"")</f>
        <v>0</v>
      </c>
      <c r="I265" s="13">
        <f>IFERROR(VLOOKUP($A265,koronahun!$A:$AM,9,FALSE),"")</f>
        <v>1.7000239492424965E-4</v>
      </c>
      <c r="J265" s="13">
        <f>IFERROR(VLOOKUP($A265,koronahun!$A:$AM,10,FALSE),"")</f>
        <v>0.13637464959169227</v>
      </c>
      <c r="K265" s="13">
        <f>IFERROR(VLOOKUP($A265,koronahun!$A:$AM,11,FALSE),"")</f>
        <v>2.1685610701151123E-3</v>
      </c>
      <c r="L265">
        <f>IFERROR(VLOOKUP($A265,koronahun!$A:$AM,12,FALSE),"")</f>
        <v>59991</v>
      </c>
      <c r="M265" s="13">
        <f>IFERROR(VLOOKUP($A265,koronahun!$A:$AM,13,FALSE),"")</f>
        <v>3.7039334597175212E-2</v>
      </c>
      <c r="N265" s="13">
        <f>IFERROR(VLOOKUP($A265,koronahun!$A:$AM,14,FALSE),"")</f>
        <v>0.88853088306815808</v>
      </c>
      <c r="O265">
        <f>IFERROR(VLOOKUP($A265,koronahun!$A:$AM,15,FALSE),"")</f>
        <v>7093</v>
      </c>
      <c r="P265">
        <f>IFERROR(VLOOKUP($A265,koronahun!$A:$AM,16,FALSE),"")</f>
        <v>12789</v>
      </c>
      <c r="Q265" s="13">
        <f>IFERROR(VLOOKUP($A265,koronahun!$A:$AM,17,FALSE),"")</f>
        <v>1.0712330909375244E-2</v>
      </c>
      <c r="R265">
        <f>IFERROR(VLOOKUP($A265,koronahun!$A:$AM,18,FALSE),"")</f>
        <v>12</v>
      </c>
      <c r="S265">
        <f>IFERROR(VLOOKUP($A265,koronahun!$A:$AM,19,FALSE),"")</f>
        <v>1834</v>
      </c>
      <c r="T265">
        <f>IFERROR(VLOOKUP($A265,koronahun!$A:$AM,20,FALSE),"")</f>
        <v>602</v>
      </c>
      <c r="U265">
        <f>IFERROR(VLOOKUP($A265,koronahun!$A:$AM,21,FALSE),"")</f>
        <v>68</v>
      </c>
      <c r="V265" s="13">
        <f>IFERROR(VLOOKUP($A265,koronahun!$A:$AM,22,FALSE),"")</f>
        <v>7.4429782334666655E-2</v>
      </c>
      <c r="W265">
        <f>IFERROR(VLOOKUP($A265,koronahun!$A:$AM,23,FALSE),"")</f>
        <v>-20</v>
      </c>
      <c r="X265">
        <f>IFERROR(VLOOKUP($A265,koronahun!$A:$AM,24,FALSE),"")</f>
        <v>-2</v>
      </c>
      <c r="Y265" s="14">
        <f>IFERROR(VLOOKUP($A265,koronahun!$A:$AM,25,FALSE),"")</f>
        <v>1.0034838559117201E-2</v>
      </c>
      <c r="Z265" s="14">
        <f>IFERROR(VLOOKUP($A265,koronahun!$A:$AM,26,FALSE),"")</f>
        <v>0.11295681063122924</v>
      </c>
      <c r="AA265" s="14">
        <f>IFERROR(VLOOKUP($A265,koronahun!$A:$AM,27,FALSE),"")</f>
        <v>0.7088055797733217</v>
      </c>
      <c r="AB265" s="14">
        <f>IFERROR(VLOOKUP($A265,koronahun!$A:$AM,28,FALSE),"")</f>
        <v>0.71321093015153425</v>
      </c>
      <c r="AC265" s="14">
        <f>IFERROR(VLOOKUP($A265,koronahun!$A:$AM,29,FALSE),"")</f>
        <v>232.28571428571428</v>
      </c>
      <c r="AD265" s="14">
        <f>IFERROR(VLOOKUP($A265,koronahun!$A:$AM,30,FALSE),"")</f>
        <v>18</v>
      </c>
      <c r="AE265" s="14">
        <f>IFERROR(VLOOKUP($A265,koronahun!$A:$AM,31,FALSE),"")</f>
        <v>13350.285714285714</v>
      </c>
      <c r="AF265" s="13">
        <f>IFERROR(VLOOKUP($A265,koronahun!$A:$AM,32,FALSE),"")</f>
        <v>2.6368471714672319E-2</v>
      </c>
      <c r="AG265">
        <f>IFERROR(VLOOKUP($A265,koronahun!$A:$AM,33,FALSE),"")</f>
        <v>5260418</v>
      </c>
      <c r="AH265">
        <f>IFERROR(VLOOKUP($A265,koronahun!$A:$AM,34,FALSE),"")</f>
        <v>6018</v>
      </c>
      <c r="AI265">
        <f>IFERROR(VLOOKUP($A265,koronahun!$A:$AM,35,FALSE),"")</f>
        <v>17626.714285714286</v>
      </c>
      <c r="AJ265">
        <f>IFERROR(VLOOKUP($A265,koronahun!$A:$AM,36,FALSE),"")</f>
        <v>3989525</v>
      </c>
      <c r="AK265">
        <f>IFERROR(VLOOKUP($A265,koronahun!$A:$AM,37,FALSE),"")</f>
        <v>23332</v>
      </c>
      <c r="AL265">
        <f>IFERROR(VLOOKUP($A265,koronahun!$A:$AM,38,FALSE),"")</f>
        <v>58139.714285714283</v>
      </c>
      <c r="AM265" s="14">
        <f>IFERROR(VLOOKUP($A265,koronahun!$A:$AM,39,FALSE),"")</f>
        <v>2876.2857142857142</v>
      </c>
      <c r="AN265" s="11">
        <f ca="1">IFERROR(__xludf.DUMMYFUNCTION("""COMPUTED_VALUE"""),44157)</f>
        <v>44157</v>
      </c>
      <c r="AO265" s="12">
        <f ca="1">IFERROR(VLOOKUP(AN265,koronahun!A:B,2,FALSE),"")</f>
        <v>174618</v>
      </c>
      <c r="AP265" s="11">
        <f t="shared" ca="1" si="2"/>
        <v>44157</v>
      </c>
      <c r="AQ265" s="11">
        <f ca="1">IFERROR(__xludf.DUMMYFUNCTION("""COMPUTED_VALUE"""),44157)</f>
        <v>44157</v>
      </c>
      <c r="AR265" s="11">
        <v>44354</v>
      </c>
      <c r="AS265" s="11">
        <f t="shared" si="3"/>
        <v>44354</v>
      </c>
      <c r="AT265" s="11">
        <f ca="1">IFERROR(__xludf.DUMMYFUNCTION("""COMPUTED_VALUE"""),44353)</f>
        <v>44353</v>
      </c>
    </row>
    <row r="266" spans="1:46" ht="13">
      <c r="A266" s="11">
        <v>44352</v>
      </c>
      <c r="B266">
        <f>IFERROR(VLOOKUP($A266,koronahun!$A:$AM,2,FALSE),"")</f>
        <v>805871</v>
      </c>
      <c r="C266">
        <f>IFERROR(VLOOKUP($A266,koronahun!$A:$AM,3,FALSE),"")</f>
        <v>300</v>
      </c>
      <c r="D266">
        <f>IFERROR(VLOOKUP($A266,koronahun!$A:$AM,4,FALSE),"")</f>
        <v>29842</v>
      </c>
      <c r="E266">
        <f>IFERROR(VLOOKUP($A266,koronahun!$A:$AM,5,FALSE),"")</f>
        <v>714329</v>
      </c>
      <c r="F266">
        <f>IFERROR(VLOOKUP($A266,koronahun!$A:$AM,6,FALSE),"")</f>
        <v>5897459</v>
      </c>
      <c r="G266" s="12">
        <f>IFERROR(VLOOKUP($A266,koronahun!$A:$AM,7,FALSE),"")</f>
        <v>601781.53061224485</v>
      </c>
      <c r="H266">
        <f>IFERROR(VLOOKUP($A266,koronahun!$A:$AM,8,FALSE),"")</f>
        <v>0</v>
      </c>
      <c r="I266" s="13">
        <f>IFERROR(VLOOKUP($A266,koronahun!$A:$AM,9,FALSE),"")</f>
        <v>3.7240665316899441E-4</v>
      </c>
      <c r="J266" s="13">
        <f>IFERROR(VLOOKUP($A266,koronahun!$A:$AM,10,FALSE),"")</f>
        <v>0.13664715600396712</v>
      </c>
      <c r="K266" s="13">
        <f>IFERROR(VLOOKUP($A266,koronahun!$A:$AM,11,FALSE),"")</f>
        <v>2.1363196948386604E-3</v>
      </c>
      <c r="L266">
        <f>IFERROR(VLOOKUP($A266,koronahun!$A:$AM,12,FALSE),"")</f>
        <v>61700</v>
      </c>
      <c r="M266" s="13">
        <f>IFERROR(VLOOKUP($A266,koronahun!$A:$AM,13,FALSE),"")</f>
        <v>3.7030740652039845E-2</v>
      </c>
      <c r="N266" s="13">
        <f>IFERROR(VLOOKUP($A266,koronahun!$A:$AM,14,FALSE),"")</f>
        <v>0.88640613696236747</v>
      </c>
      <c r="O266">
        <f>IFERROR(VLOOKUP($A266,koronahun!$A:$AM,15,FALSE),"")</f>
        <v>7254</v>
      </c>
      <c r="P266">
        <f>IFERROR(VLOOKUP($A266,koronahun!$A:$AM,16,FALSE),"")</f>
        <v>12572</v>
      </c>
      <c r="Q266" s="13">
        <f>IFERROR(VLOOKUP($A266,koronahun!$A:$AM,17,FALSE),"")</f>
        <v>2.3862551702195353E-2</v>
      </c>
      <c r="R266">
        <f>IFERROR(VLOOKUP($A266,koronahun!$A:$AM,18,FALSE),"")</f>
        <v>24</v>
      </c>
      <c r="S266">
        <f>IFERROR(VLOOKUP($A266,koronahun!$A:$AM,19,FALSE),"")</f>
        <v>3224</v>
      </c>
      <c r="T266">
        <f>IFERROR(VLOOKUP($A266,koronahun!$A:$AM,20,FALSE),"")</f>
        <v>622</v>
      </c>
      <c r="U266">
        <f>IFERROR(VLOOKUP($A266,koronahun!$A:$AM,21,FALSE),"")</f>
        <v>70</v>
      </c>
      <c r="V266" s="13">
        <f>IFERROR(VLOOKUP($A266,koronahun!$A:$AM,22,FALSE),"")</f>
        <v>7.6563122385592736E-2</v>
      </c>
      <c r="W266">
        <f>IFERROR(VLOOKUP($A266,koronahun!$A:$AM,23,FALSE),"")</f>
        <v>-80</v>
      </c>
      <c r="X266">
        <f>IFERROR(VLOOKUP($A266,koronahun!$A:$AM,24,FALSE),"")</f>
        <v>-8</v>
      </c>
      <c r="Y266" s="14">
        <f>IFERROR(VLOOKUP($A266,koronahun!$A:$AM,25,FALSE),"")</f>
        <v>1.0081037277147488E-2</v>
      </c>
      <c r="Z266" s="14">
        <f>IFERROR(VLOOKUP($A266,koronahun!$A:$AM,26,FALSE),"")</f>
        <v>0.11254019292604502</v>
      </c>
      <c r="AA266" s="14">
        <f>IFERROR(VLOOKUP($A266,koronahun!$A:$AM,27,FALSE),"")</f>
        <v>0.77923728813559323</v>
      </c>
      <c r="AB266" s="14">
        <f>IFERROR(VLOOKUP($A266,koronahun!$A:$AM,28,FALSE),"")</f>
        <v>0.69510809947452468</v>
      </c>
      <c r="AC266" s="14">
        <f>IFERROR(VLOOKUP($A266,koronahun!$A:$AM,29,FALSE),"")</f>
        <v>262.71428571428572</v>
      </c>
      <c r="AD266" s="14">
        <f>IFERROR(VLOOKUP($A266,koronahun!$A:$AM,30,FALSE),"")</f>
        <v>19</v>
      </c>
      <c r="AE266" s="14">
        <f>IFERROR(VLOOKUP($A266,koronahun!$A:$AM,31,FALSE),"")</f>
        <v>13700.714285714286</v>
      </c>
      <c r="AF266" s="13">
        <f>IFERROR(VLOOKUP($A266,koronahun!$A:$AM,32,FALSE),"")</f>
        <v>2.811854812271122E-2</v>
      </c>
      <c r="AG266">
        <f>IFERROR(VLOOKUP($A266,koronahun!$A:$AM,33,FALSE),"")</f>
        <v>5254400</v>
      </c>
      <c r="AH266">
        <f>IFERROR(VLOOKUP($A266,koronahun!$A:$AM,34,FALSE),"")</f>
        <v>15497</v>
      </c>
      <c r="AI266">
        <f>IFERROR(VLOOKUP($A266,koronahun!$A:$AM,35,FALSE),"")</f>
        <v>19184.428571428572</v>
      </c>
      <c r="AJ266">
        <f>IFERROR(VLOOKUP($A266,koronahun!$A:$AM,36,FALSE),"")</f>
        <v>3966193</v>
      </c>
      <c r="AK266">
        <f>IFERROR(VLOOKUP($A266,koronahun!$A:$AM,37,FALSE),"")</f>
        <v>151999</v>
      </c>
      <c r="AL266">
        <f>IFERROR(VLOOKUP($A266,koronahun!$A:$AM,38,FALSE),"")</f>
        <v>60903.571428571428</v>
      </c>
      <c r="AM266" s="14">
        <f>IFERROR(VLOOKUP($A266,koronahun!$A:$AM,39,FALSE),"")</f>
        <v>3154.4285714285716</v>
      </c>
      <c r="AN266" s="11">
        <f ca="1">IFERROR(__xludf.DUMMYFUNCTION("""COMPUTED_VALUE"""),44158)</f>
        <v>44158</v>
      </c>
      <c r="AO266" s="12">
        <f ca="1">IFERROR(VLOOKUP(AN266,koronahun!A:B,2,FALSE),"")</f>
        <v>177952</v>
      </c>
      <c r="AP266" s="11">
        <f t="shared" ca="1" si="2"/>
        <v>44158</v>
      </c>
      <c r="AQ266" s="11">
        <f ca="1">IFERROR(__xludf.DUMMYFUNCTION("""COMPUTED_VALUE"""),44158)</f>
        <v>44158</v>
      </c>
      <c r="AR266" s="11">
        <v>44353</v>
      </c>
      <c r="AS266" s="11">
        <f t="shared" si="3"/>
        <v>44353</v>
      </c>
      <c r="AT266" s="11">
        <f ca="1">IFERROR(__xludf.DUMMYFUNCTION("""COMPUTED_VALUE"""),44352)</f>
        <v>44352</v>
      </c>
    </row>
    <row r="267" spans="1:46" ht="13">
      <c r="A267" s="11">
        <v>44351</v>
      </c>
      <c r="B267">
        <f>IFERROR(VLOOKUP($A267,koronahun!$A:$AM,2,FALSE),"")</f>
        <v>805571</v>
      </c>
      <c r="C267">
        <f>IFERROR(VLOOKUP($A267,koronahun!$A:$AM,3,FALSE),"")</f>
        <v>269</v>
      </c>
      <c r="D267">
        <f>IFERROR(VLOOKUP($A267,koronahun!$A:$AM,4,FALSE),"")</f>
        <v>29818</v>
      </c>
      <c r="E267">
        <f>IFERROR(VLOOKUP($A267,koronahun!$A:$AM,5,FALSE),"")</f>
        <v>711105</v>
      </c>
      <c r="F267">
        <f>IFERROR(VLOOKUP($A267,koronahun!$A:$AM,6,FALSE),"")</f>
        <v>5884887</v>
      </c>
      <c r="G267" s="12">
        <f>IFERROR(VLOOKUP($A267,koronahun!$A:$AM,7,FALSE),"")</f>
        <v>600498.67346938769</v>
      </c>
      <c r="H267">
        <f>IFERROR(VLOOKUP($A267,koronahun!$A:$AM,8,FALSE),"")</f>
        <v>0</v>
      </c>
      <c r="I267" s="13">
        <f>IFERROR(VLOOKUP($A267,koronahun!$A:$AM,9,FALSE),"")</f>
        <v>3.340361752485403E-4</v>
      </c>
      <c r="J267" s="13">
        <f>IFERROR(VLOOKUP($A267,koronahun!$A:$AM,10,FALSE),"")</f>
        <v>0.1368880999754116</v>
      </c>
      <c r="K267" s="13">
        <f>IFERROR(VLOOKUP($A267,koronahun!$A:$AM,11,FALSE),"")</f>
        <v>3.1831433357187447E-3</v>
      </c>
      <c r="L267">
        <f>IFERROR(VLOOKUP($A267,koronahun!$A:$AM,12,FALSE),"")</f>
        <v>64648</v>
      </c>
      <c r="M267" s="13">
        <f>IFERROR(VLOOKUP($A267,koronahun!$A:$AM,13,FALSE),"")</f>
        <v>3.7014738613976916E-2</v>
      </c>
      <c r="N267" s="13">
        <f>IFERROR(VLOOKUP($A267,koronahun!$A:$AM,14,FALSE),"")</f>
        <v>0.88273411033912597</v>
      </c>
      <c r="O267">
        <f>IFERROR(VLOOKUP($A267,koronahun!$A:$AM,15,FALSE),"")</f>
        <v>7393</v>
      </c>
      <c r="P267">
        <f>IFERROR(VLOOKUP($A267,koronahun!$A:$AM,16,FALSE),"")</f>
        <v>18673</v>
      </c>
      <c r="Q267" s="13">
        <f>IFERROR(VLOOKUP($A267,koronahun!$A:$AM,17,FALSE),"")</f>
        <v>1.4405826594548279E-2</v>
      </c>
      <c r="R267">
        <f>IFERROR(VLOOKUP($A267,koronahun!$A:$AM,18,FALSE),"")</f>
        <v>26</v>
      </c>
      <c r="S267">
        <f>IFERROR(VLOOKUP($A267,koronahun!$A:$AM,19,FALSE),"")</f>
        <v>2907</v>
      </c>
      <c r="T267">
        <f>IFERROR(VLOOKUP($A267,koronahun!$A:$AM,20,FALSE),"")</f>
        <v>702</v>
      </c>
      <c r="U267">
        <f>IFERROR(VLOOKUP($A267,koronahun!$A:$AM,21,FALSE),"")</f>
        <v>78</v>
      </c>
      <c r="V267" s="13">
        <f>IFERROR(VLOOKUP($A267,koronahun!$A:$AM,22,FALSE),"")</f>
        <v>8.0251151046897173E-2</v>
      </c>
      <c r="W267">
        <f>IFERROR(VLOOKUP($A267,koronahun!$A:$AM,23,FALSE),"")</f>
        <v>-37</v>
      </c>
      <c r="X267">
        <f>IFERROR(VLOOKUP($A267,koronahun!$A:$AM,24,FALSE),"")</f>
        <v>1</v>
      </c>
      <c r="Y267" s="14">
        <f>IFERROR(VLOOKUP($A267,koronahun!$A:$AM,25,FALSE),"")</f>
        <v>1.0858804603390669E-2</v>
      </c>
      <c r="Z267" s="14">
        <f>IFERROR(VLOOKUP($A267,koronahun!$A:$AM,26,FALSE),"")</f>
        <v>0.1111111111111111</v>
      </c>
      <c r="AA267" s="14">
        <f>IFERROR(VLOOKUP($A267,koronahun!$A:$AM,27,FALSE),"")</f>
        <v>0.78835562549173877</v>
      </c>
      <c r="AB267" s="14">
        <f>IFERROR(VLOOKUP($A267,koronahun!$A:$AM,28,FALSE),"")</f>
        <v>0.66324709097113022</v>
      </c>
      <c r="AC267" s="14">
        <f>IFERROR(VLOOKUP($A267,koronahun!$A:$AM,29,FALSE),"")</f>
        <v>286.28571428571428</v>
      </c>
      <c r="AD267" s="14">
        <f>IFERROR(VLOOKUP($A267,koronahun!$A:$AM,30,FALSE),"")</f>
        <v>19.428571428571427</v>
      </c>
      <c r="AE267" s="14">
        <f>IFERROR(VLOOKUP($A267,koronahun!$A:$AM,31,FALSE),"")</f>
        <v>14039.714285714286</v>
      </c>
      <c r="AF267" s="13">
        <f>IFERROR(VLOOKUP($A267,koronahun!$A:$AM,32,FALSE),"")</f>
        <v>2.9154481447862396E-2</v>
      </c>
      <c r="AG267">
        <f>IFERROR(VLOOKUP($A267,koronahun!$A:$AM,33,FALSE),"")</f>
        <v>5238903</v>
      </c>
      <c r="AH267">
        <f>IFERROR(VLOOKUP($A267,koronahun!$A:$AM,34,FALSE),"")</f>
        <v>11585</v>
      </c>
      <c r="AI267">
        <f>IFERROR(VLOOKUP($A267,koronahun!$A:$AM,35,FALSE),"")</f>
        <v>22037.285714285714</v>
      </c>
      <c r="AJ267">
        <f>IFERROR(VLOOKUP($A267,koronahun!$A:$AM,36,FALSE),"")</f>
        <v>3814194</v>
      </c>
      <c r="AK267">
        <f>IFERROR(VLOOKUP($A267,koronahun!$A:$AM,37,FALSE),"")</f>
        <v>81942</v>
      </c>
      <c r="AL267">
        <f>IFERROR(VLOOKUP($A267,koronahun!$A:$AM,38,FALSE),"")</f>
        <v>52662.428571428572</v>
      </c>
      <c r="AM267" s="14">
        <f>IFERROR(VLOOKUP($A267,koronahun!$A:$AM,39,FALSE),"")</f>
        <v>3134.1428571428573</v>
      </c>
      <c r="AN267" s="11">
        <f ca="1">IFERROR(__xludf.DUMMYFUNCTION("""COMPUTED_VALUE"""),44159)</f>
        <v>44159</v>
      </c>
      <c r="AO267" s="12">
        <f ca="1">IFERROR(VLOOKUP(AN267,koronahun!A:B,2,FALSE),"")</f>
        <v>181881</v>
      </c>
      <c r="AP267" s="11">
        <f t="shared" ca="1" si="2"/>
        <v>44159</v>
      </c>
      <c r="AQ267" s="11">
        <f ca="1">IFERROR(__xludf.DUMMYFUNCTION("""COMPUTED_VALUE"""),44159)</f>
        <v>44159</v>
      </c>
      <c r="AR267" s="11">
        <v>44352</v>
      </c>
      <c r="AS267" s="11">
        <f t="shared" si="3"/>
        <v>44352</v>
      </c>
      <c r="AT267" s="11">
        <f ca="1">IFERROR(__xludf.DUMMYFUNCTION("""COMPUTED_VALUE"""),44351)</f>
        <v>44351</v>
      </c>
    </row>
    <row r="268" spans="1:46" ht="13">
      <c r="A268" s="11">
        <v>44350</v>
      </c>
      <c r="B268">
        <f>IFERROR(VLOOKUP($A268,koronahun!$A:$AM,2,FALSE),"")</f>
        <v>805302</v>
      </c>
      <c r="C268">
        <f>IFERROR(VLOOKUP($A268,koronahun!$A:$AM,3,FALSE),"")</f>
        <v>315</v>
      </c>
      <c r="D268">
        <f>IFERROR(VLOOKUP($A268,koronahun!$A:$AM,4,FALSE),"")</f>
        <v>29792</v>
      </c>
      <c r="E268">
        <f>IFERROR(VLOOKUP($A268,koronahun!$A:$AM,5,FALSE),"")</f>
        <v>708198</v>
      </c>
      <c r="F268">
        <f>IFERROR(VLOOKUP($A268,koronahun!$A:$AM,6,FALSE),"")</f>
        <v>5866214</v>
      </c>
      <c r="G268" s="12">
        <f>IFERROR(VLOOKUP($A268,koronahun!$A:$AM,7,FALSE),"")</f>
        <v>598593.26530612237</v>
      </c>
      <c r="H268">
        <f>IFERROR(VLOOKUP($A268,koronahun!$A:$AM,8,FALSE),"")</f>
        <v>0</v>
      </c>
      <c r="I268" s="13">
        <f>IFERROR(VLOOKUP($A268,koronahun!$A:$AM,9,FALSE),"")</f>
        <v>3.9131066712878594E-4</v>
      </c>
      <c r="J268" s="13">
        <f>IFERROR(VLOOKUP($A268,koronahun!$A:$AM,10,FALSE),"")</f>
        <v>0.13727797860766758</v>
      </c>
      <c r="K268" s="13">
        <f>IFERROR(VLOOKUP($A268,koronahun!$A:$AM,11,FALSE),"")</f>
        <v>5.8607028954533156E-4</v>
      </c>
      <c r="L268">
        <f>IFERROR(VLOOKUP($A268,koronahun!$A:$AM,12,FALSE),"")</f>
        <v>67312</v>
      </c>
      <c r="M268" s="13">
        <f>IFERROR(VLOOKUP($A268,koronahun!$A:$AM,13,FALSE),"")</f>
        <v>3.6994816851317891E-2</v>
      </c>
      <c r="N268" s="13">
        <f>IFERROR(VLOOKUP($A268,koronahun!$A:$AM,14,FALSE),"")</f>
        <v>0.879419149586118</v>
      </c>
      <c r="O268">
        <f>IFERROR(VLOOKUP($A268,koronahun!$A:$AM,15,FALSE),"")</f>
        <v>7759</v>
      </c>
      <c r="P268">
        <f>IFERROR(VLOOKUP($A268,koronahun!$A:$AM,16,FALSE),"")</f>
        <v>3436</v>
      </c>
      <c r="Q268" s="13">
        <f>IFERROR(VLOOKUP($A268,koronahun!$A:$AM,17,FALSE),"")</f>
        <v>9.1676367869615832E-2</v>
      </c>
      <c r="R268">
        <f>IFERROR(VLOOKUP($A268,koronahun!$A:$AM,18,FALSE),"")</f>
        <v>18</v>
      </c>
      <c r="S268">
        <f>IFERROR(VLOOKUP($A268,koronahun!$A:$AM,19,FALSE),"")</f>
        <v>2820</v>
      </c>
      <c r="T268">
        <f>IFERROR(VLOOKUP($A268,koronahun!$A:$AM,20,FALSE),"")</f>
        <v>739</v>
      </c>
      <c r="U268">
        <f>IFERROR(VLOOKUP($A268,koronahun!$A:$AM,21,FALSE),"")</f>
        <v>77</v>
      </c>
      <c r="V268" s="13">
        <f>IFERROR(VLOOKUP($A268,koronahun!$A:$AM,22,FALSE),"")</f>
        <v>8.358603356256411E-2</v>
      </c>
      <c r="W268">
        <f>IFERROR(VLOOKUP($A268,koronahun!$A:$AM,23,FALSE),"")</f>
        <v>-98</v>
      </c>
      <c r="X268">
        <f>IFERROR(VLOOKUP($A268,koronahun!$A:$AM,24,FALSE),"")</f>
        <v>-13</v>
      </c>
      <c r="Y268" s="14">
        <f>IFERROR(VLOOKUP($A268,koronahun!$A:$AM,25,FALSE),"")</f>
        <v>1.0978725932968862E-2</v>
      </c>
      <c r="Z268" s="14">
        <f>IFERROR(VLOOKUP($A268,koronahun!$A:$AM,26,FALSE),"")</f>
        <v>0.10419485791610285</v>
      </c>
      <c r="AA268" s="14">
        <f>IFERROR(VLOOKUP($A268,koronahun!$A:$AM,27,FALSE),"")</f>
        <v>0.79352962559069429</v>
      </c>
      <c r="AB268" s="14">
        <f>IFERROR(VLOOKUP($A268,koronahun!$A:$AM,28,FALSE),"")</f>
        <v>0.62897283225162925</v>
      </c>
      <c r="AC268" s="14">
        <f>IFERROR(VLOOKUP($A268,koronahun!$A:$AM,29,FALSE),"")</f>
        <v>311.85714285714283</v>
      </c>
      <c r="AD268" s="14">
        <f>IFERROR(VLOOKUP($A268,koronahun!$A:$AM,30,FALSE),"")</f>
        <v>19.714285714285715</v>
      </c>
      <c r="AE268" s="14">
        <f>IFERROR(VLOOKUP($A268,koronahun!$A:$AM,31,FALSE),"")</f>
        <v>13593.714285714286</v>
      </c>
      <c r="AF268" s="13">
        <f>IFERROR(VLOOKUP($A268,koronahun!$A:$AM,32,FALSE),"")</f>
        <v>3.1211997185281025E-2</v>
      </c>
      <c r="AG268">
        <f>IFERROR(VLOOKUP($A268,koronahun!$A:$AM,33,FALSE),"")</f>
        <v>5227318</v>
      </c>
      <c r="AH268">
        <f>IFERROR(VLOOKUP($A268,koronahun!$A:$AM,34,FALSE),"")</f>
        <v>20367</v>
      </c>
      <c r="AI268">
        <f>IFERROR(VLOOKUP($A268,koronahun!$A:$AM,35,FALSE),"")</f>
        <v>24436.571428571428</v>
      </c>
      <c r="AJ268">
        <f>IFERROR(VLOOKUP($A268,koronahun!$A:$AM,36,FALSE),"")</f>
        <v>3732252</v>
      </c>
      <c r="AK268">
        <f>IFERROR(VLOOKUP($A268,koronahun!$A:$AM,37,FALSE),"")</f>
        <v>37650</v>
      </c>
      <c r="AL268">
        <f>IFERROR(VLOOKUP($A268,koronahun!$A:$AM,38,FALSE),"")</f>
        <v>57743.571428571428</v>
      </c>
      <c r="AM268" s="14">
        <f>IFERROR(VLOOKUP($A268,koronahun!$A:$AM,39,FALSE),"")</f>
        <v>3699.5714285714284</v>
      </c>
      <c r="AN268" s="11">
        <f ca="1">IFERROR(__xludf.DUMMYFUNCTION("""COMPUTED_VALUE"""),44160)</f>
        <v>44160</v>
      </c>
      <c r="AO268" s="12">
        <f ca="1">IFERROR(VLOOKUP(AN268,koronahun!A:B,2,FALSE),"")</f>
        <v>185687</v>
      </c>
      <c r="AP268" s="11">
        <f t="shared" ca="1" si="2"/>
        <v>44160</v>
      </c>
      <c r="AQ268" s="11">
        <f ca="1">IFERROR(__xludf.DUMMYFUNCTION("""COMPUTED_VALUE"""),44160)</f>
        <v>44160</v>
      </c>
      <c r="AR268" s="11">
        <v>44351</v>
      </c>
      <c r="AS268" s="11">
        <f t="shared" si="3"/>
        <v>44351</v>
      </c>
      <c r="AT268" s="11">
        <f ca="1">IFERROR(__xludf.DUMMYFUNCTION("""COMPUTED_VALUE"""),44350)</f>
        <v>44350</v>
      </c>
    </row>
    <row r="269" spans="1:46" ht="13">
      <c r="A269" s="11">
        <v>44349</v>
      </c>
      <c r="B269">
        <f>IFERROR(VLOOKUP($A269,koronahun!$A:$AM,2,FALSE),"")</f>
        <v>804987</v>
      </c>
      <c r="C269">
        <f>IFERROR(VLOOKUP($A269,koronahun!$A:$AM,3,FALSE),"")</f>
        <v>275</v>
      </c>
      <c r="D269">
        <f>IFERROR(VLOOKUP($A269,koronahun!$A:$AM,4,FALSE),"")</f>
        <v>29774</v>
      </c>
      <c r="E269">
        <f>IFERROR(VLOOKUP($A269,koronahun!$A:$AM,5,FALSE),"")</f>
        <v>705378</v>
      </c>
      <c r="F269">
        <f>IFERROR(VLOOKUP($A269,koronahun!$A:$AM,6,FALSE),"")</f>
        <v>5862778</v>
      </c>
      <c r="G269" s="12">
        <f>IFERROR(VLOOKUP($A269,koronahun!$A:$AM,7,FALSE),"")</f>
        <v>598242.6530612245</v>
      </c>
      <c r="H269">
        <f>IFERROR(VLOOKUP($A269,koronahun!$A:$AM,8,FALSE),"")</f>
        <v>0</v>
      </c>
      <c r="I269" s="13">
        <f>IFERROR(VLOOKUP($A269,koronahun!$A:$AM,9,FALSE),"")</f>
        <v>3.4173716808000873E-4</v>
      </c>
      <c r="J269" s="13">
        <f>IFERROR(VLOOKUP($A269,koronahun!$A:$AM,10,FALSE),"")</f>
        <v>0.13730470435687656</v>
      </c>
      <c r="K269" s="13">
        <f>IFERROR(VLOOKUP($A269,koronahun!$A:$AM,11,FALSE),"")</f>
        <v>4.3079126289264653E-3</v>
      </c>
      <c r="L269">
        <f>IFERROR(VLOOKUP($A269,koronahun!$A:$AM,12,FALSE),"")</f>
        <v>69835</v>
      </c>
      <c r="M269" s="13">
        <f>IFERROR(VLOOKUP($A269,koronahun!$A:$AM,13,FALSE),"")</f>
        <v>3.6986932708230072E-2</v>
      </c>
      <c r="N269" s="13">
        <f>IFERROR(VLOOKUP($A269,koronahun!$A:$AM,14,FALSE),"")</f>
        <v>0.87626011351736111</v>
      </c>
      <c r="O269">
        <f>IFERROR(VLOOKUP($A269,koronahun!$A:$AM,15,FALSE),"")</f>
        <v>8320</v>
      </c>
      <c r="P269">
        <f>IFERROR(VLOOKUP($A269,koronahun!$A:$AM,16,FALSE),"")</f>
        <v>25148</v>
      </c>
      <c r="Q269" s="13">
        <f>IFERROR(VLOOKUP($A269,koronahun!$A:$AM,17,FALSE),"")</f>
        <v>1.093526324160967E-2</v>
      </c>
      <c r="R269">
        <f>IFERROR(VLOOKUP($A269,koronahun!$A:$AM,18,FALSE),"")</f>
        <v>13</v>
      </c>
      <c r="S269">
        <f>IFERROR(VLOOKUP($A269,koronahun!$A:$AM,19,FALSE),"")</f>
        <v>2026</v>
      </c>
      <c r="T269">
        <f>IFERROR(VLOOKUP($A269,koronahun!$A:$AM,20,FALSE),"")</f>
        <v>837</v>
      </c>
      <c r="U269">
        <f>IFERROR(VLOOKUP($A269,koronahun!$A:$AM,21,FALSE),"")</f>
        <v>90</v>
      </c>
      <c r="V269" s="13">
        <f>IFERROR(VLOOKUP($A269,koronahun!$A:$AM,22,FALSE),"")</f>
        <v>8.6752953774408781E-2</v>
      </c>
      <c r="W269">
        <f>IFERROR(VLOOKUP($A269,koronahun!$A:$AM,23,FALSE),"")</f>
        <v>-110</v>
      </c>
      <c r="X269">
        <f>IFERROR(VLOOKUP($A269,koronahun!$A:$AM,24,FALSE),"")</f>
        <v>-10</v>
      </c>
      <c r="Y269" s="14">
        <f>IFERROR(VLOOKUP($A269,koronahun!$A:$AM,25,FALSE),"")</f>
        <v>1.1985394143337868E-2</v>
      </c>
      <c r="Z269" s="14">
        <f>IFERROR(VLOOKUP($A269,koronahun!$A:$AM,26,FALSE),"")</f>
        <v>0.10752688172043011</v>
      </c>
      <c r="AA269" s="14">
        <f>IFERROR(VLOOKUP($A269,koronahun!$A:$AM,27,FALSE),"")</f>
        <v>0.72216905901116424</v>
      </c>
      <c r="AB269" s="14">
        <f>IFERROR(VLOOKUP($A269,koronahun!$A:$AM,28,FALSE),"")</f>
        <v>0.59165634880811113</v>
      </c>
      <c r="AC269" s="14">
        <f>IFERROR(VLOOKUP($A269,koronahun!$A:$AM,29,FALSE),"")</f>
        <v>323.42857142857144</v>
      </c>
      <c r="AD269" s="14">
        <f>IFERROR(VLOOKUP($A269,koronahun!$A:$AM,30,FALSE),"")</f>
        <v>21.714285714285715</v>
      </c>
      <c r="AE269" s="14">
        <f>IFERROR(VLOOKUP($A269,koronahun!$A:$AM,31,FALSE),"")</f>
        <v>15168.428571428571</v>
      </c>
      <c r="AF269" s="13">
        <f>IFERROR(VLOOKUP($A269,koronahun!$A:$AM,32,FALSE),"")</f>
        <v>2.2027914083043412E-2</v>
      </c>
      <c r="AG269">
        <f>IFERROR(VLOOKUP($A269,koronahun!$A:$AM,33,FALSE),"")</f>
        <v>5206951</v>
      </c>
      <c r="AH269">
        <f>IFERROR(VLOOKUP($A269,koronahun!$A:$AM,34,FALSE),"")</f>
        <v>30321</v>
      </c>
      <c r="AI269">
        <f>IFERROR(VLOOKUP($A269,koronahun!$A:$AM,35,FALSE),"")</f>
        <v>23818.428571428572</v>
      </c>
      <c r="AJ269">
        <f>IFERROR(VLOOKUP($A269,koronahun!$A:$AM,36,FALSE),"")</f>
        <v>3694602</v>
      </c>
      <c r="AK269">
        <f>IFERROR(VLOOKUP($A269,koronahun!$A:$AM,37,FALSE),"")</f>
        <v>38955</v>
      </c>
      <c r="AL269">
        <f>IFERROR(VLOOKUP($A269,koronahun!$A:$AM,38,FALSE),"")</f>
        <v>71142.571428571435</v>
      </c>
      <c r="AM269" s="14">
        <f>IFERROR(VLOOKUP($A269,koronahun!$A:$AM,39,FALSE),"")</f>
        <v>4328</v>
      </c>
      <c r="AN269" s="11">
        <f ca="1">IFERROR(__xludf.DUMMYFUNCTION("""COMPUTED_VALUE"""),44161)</f>
        <v>44161</v>
      </c>
      <c r="AO269" s="12">
        <f ca="1">IFERROR(VLOOKUP(AN269,koronahun!A:B,2,FALSE),"")</f>
        <v>192047</v>
      </c>
      <c r="AP269" s="11">
        <f t="shared" ca="1" si="2"/>
        <v>44161</v>
      </c>
      <c r="AQ269" s="11">
        <f ca="1">IFERROR(__xludf.DUMMYFUNCTION("""COMPUTED_VALUE"""),44161)</f>
        <v>44161</v>
      </c>
      <c r="AR269" s="11">
        <v>44350</v>
      </c>
      <c r="AS269" s="11">
        <f t="shared" si="3"/>
        <v>44350</v>
      </c>
      <c r="AT269" s="11">
        <f ca="1">IFERROR(__xludf.DUMMYFUNCTION("""COMPUTED_VALUE"""),44349)</f>
        <v>44349</v>
      </c>
    </row>
    <row r="270" spans="1:46" ht="13">
      <c r="A270" s="11">
        <v>44348</v>
      </c>
      <c r="B270">
        <f>IFERROR(VLOOKUP($A270,koronahun!$A:$AM,2,FALSE),"")</f>
        <v>804712</v>
      </c>
      <c r="C270">
        <f>IFERROR(VLOOKUP($A270,koronahun!$A:$AM,3,FALSE),"")</f>
        <v>174</v>
      </c>
      <c r="D270">
        <f>IFERROR(VLOOKUP($A270,koronahun!$A:$AM,4,FALSE),"")</f>
        <v>29761</v>
      </c>
      <c r="E270">
        <f>IFERROR(VLOOKUP($A270,koronahun!$A:$AM,5,FALSE),"")</f>
        <v>703352</v>
      </c>
      <c r="F270">
        <f>IFERROR(VLOOKUP($A270,koronahun!$A:$AM,6,FALSE),"")</f>
        <v>5837630</v>
      </c>
      <c r="G270" s="12">
        <f>IFERROR(VLOOKUP($A270,koronahun!$A:$AM,7,FALSE),"")</f>
        <v>595676.53061224485</v>
      </c>
      <c r="H270">
        <f>IFERROR(VLOOKUP($A270,koronahun!$A:$AM,8,FALSE),"")</f>
        <v>0</v>
      </c>
      <c r="I270" s="13">
        <f>IFERROR(VLOOKUP($A270,koronahun!$A:$AM,9,FALSE),"")</f>
        <v>2.1627319032786518E-4</v>
      </c>
      <c r="J270" s="13">
        <f>IFERROR(VLOOKUP($A270,koronahun!$A:$AM,10,FALSE),"")</f>
        <v>0.13784909286816738</v>
      </c>
      <c r="K270" s="13">
        <f>IFERROR(VLOOKUP($A270,koronahun!$A:$AM,11,FALSE),"")</f>
        <v>2.1943920253369702E-3</v>
      </c>
      <c r="L270">
        <f>IFERROR(VLOOKUP($A270,koronahun!$A:$AM,12,FALSE),"")</f>
        <v>71599</v>
      </c>
      <c r="M270" s="13">
        <f>IFERROR(VLOOKUP($A270,koronahun!$A:$AM,13,FALSE),"")</f>
        <v>3.6983417669924148E-2</v>
      </c>
      <c r="N270" s="13">
        <f>IFERROR(VLOOKUP($A270,koronahun!$A:$AM,14,FALSE),"")</f>
        <v>0.8740418932487648</v>
      </c>
      <c r="O270">
        <f>IFERROR(VLOOKUP($A270,koronahun!$A:$AM,15,FALSE),"")</f>
        <v>8749</v>
      </c>
      <c r="P270">
        <f>IFERROR(VLOOKUP($A270,koronahun!$A:$AM,16,FALSE),"")</f>
        <v>12782</v>
      </c>
      <c r="Q270" s="13">
        <f>IFERROR(VLOOKUP($A270,koronahun!$A:$AM,17,FALSE),"")</f>
        <v>1.361289313096542E-2</v>
      </c>
      <c r="R270">
        <f>IFERROR(VLOOKUP($A270,koronahun!$A:$AM,18,FALSE),"")</f>
        <v>28</v>
      </c>
      <c r="S270">
        <f>IFERROR(VLOOKUP($A270,koronahun!$A:$AM,19,FALSE),"")</f>
        <v>3116</v>
      </c>
      <c r="T270">
        <f>IFERROR(VLOOKUP($A270,koronahun!$A:$AM,20,FALSE),"")</f>
        <v>947</v>
      </c>
      <c r="U270">
        <f>IFERROR(VLOOKUP($A270,koronahun!$A:$AM,21,FALSE),"")</f>
        <v>100</v>
      </c>
      <c r="V270" s="13">
        <f>IFERROR(VLOOKUP($A270,koronahun!$A:$AM,22,FALSE),"")</f>
        <v>8.8974689081311079E-2</v>
      </c>
      <c r="W270">
        <f>IFERROR(VLOOKUP($A270,koronahun!$A:$AM,23,FALSE),"")</f>
        <v>-34</v>
      </c>
      <c r="X270">
        <f>IFERROR(VLOOKUP($A270,koronahun!$A:$AM,24,FALSE),"")</f>
        <v>-10</v>
      </c>
      <c r="Y270" s="14">
        <f>IFERROR(VLOOKUP($A270,koronahun!$A:$AM,25,FALSE),"")</f>
        <v>1.322644171007975E-2</v>
      </c>
      <c r="Z270" s="14">
        <f>IFERROR(VLOOKUP($A270,koronahun!$A:$AM,26,FALSE),"")</f>
        <v>0.10559662090813093</v>
      </c>
      <c r="AA270" s="14">
        <f>IFERROR(VLOOKUP($A270,koronahun!$A:$AM,27,FALSE),"")</f>
        <v>0.61940928270042195</v>
      </c>
      <c r="AB270" s="14">
        <f>IFERROR(VLOOKUP($A270,koronahun!$A:$AM,28,FALSE),"")</f>
        <v>0.56565287291708044</v>
      </c>
      <c r="AC270" s="14">
        <f>IFERROR(VLOOKUP($A270,koronahun!$A:$AM,29,FALSE),"")</f>
        <v>314.57142857142856</v>
      </c>
      <c r="AD270" s="14">
        <f>IFERROR(VLOOKUP($A270,koronahun!$A:$AM,30,FALSE),"")</f>
        <v>25.714285714285715</v>
      </c>
      <c r="AE270" s="14">
        <f>IFERROR(VLOOKUP($A270,koronahun!$A:$AM,31,FALSE),"")</f>
        <v>12467.285714285714</v>
      </c>
      <c r="AF270" s="13">
        <f>IFERROR(VLOOKUP($A270,koronahun!$A:$AM,32,FALSE),"")</f>
        <v>2.5342107246329942E-2</v>
      </c>
      <c r="AG270">
        <f>IFERROR(VLOOKUP($A270,koronahun!$A:$AM,33,FALSE),"")</f>
        <v>5176630</v>
      </c>
      <c r="AH270">
        <f>IFERROR(VLOOKUP($A270,koronahun!$A:$AM,34,FALSE),"")</f>
        <v>29681</v>
      </c>
      <c r="AI270">
        <f>IFERROR(VLOOKUP($A270,koronahun!$A:$AM,35,FALSE),"")</f>
        <v>21443</v>
      </c>
      <c r="AJ270">
        <f>IFERROR(VLOOKUP($A270,koronahun!$A:$AM,36,FALSE),"")</f>
        <v>3655647</v>
      </c>
      <c r="AK270">
        <f>IFERROR(VLOOKUP($A270,koronahun!$A:$AM,37,FALSE),"")</f>
        <v>43957</v>
      </c>
      <c r="AL270">
        <f>IFERROR(VLOOKUP($A270,koronahun!$A:$AM,38,FALSE),"")</f>
        <v>83243.857142857145</v>
      </c>
      <c r="AM270" s="14">
        <f>IFERROR(VLOOKUP($A270,koronahun!$A:$AM,39,FALSE),"")</f>
        <v>4565.7142857142853</v>
      </c>
      <c r="AN270" s="11">
        <f ca="1">IFERROR(__xludf.DUMMYFUNCTION("""COMPUTED_VALUE"""),44162)</f>
        <v>44162</v>
      </c>
      <c r="AO270" s="12">
        <f ca="1">IFERROR(VLOOKUP(AN270,koronahun!A:B,2,FALSE),"")</f>
        <v>198440</v>
      </c>
      <c r="AP270" s="11">
        <f t="shared" ca="1" si="2"/>
        <v>44162</v>
      </c>
      <c r="AQ270" s="11">
        <f ca="1">IFERROR(__xludf.DUMMYFUNCTION("""COMPUTED_VALUE"""),44162)</f>
        <v>44162</v>
      </c>
      <c r="AR270" s="11">
        <v>44349</v>
      </c>
      <c r="AS270" s="11">
        <f t="shared" si="3"/>
        <v>44349</v>
      </c>
      <c r="AT270" s="11">
        <f ca="1">IFERROR(__xludf.DUMMYFUNCTION("""COMPUTED_VALUE"""),44348)</f>
        <v>44348</v>
      </c>
    </row>
    <row r="271" spans="1:46" ht="13">
      <c r="A271" s="11">
        <v>44347</v>
      </c>
      <c r="B271">
        <f>IFERROR(VLOOKUP($A271,koronahun!$A:$AM,2,FALSE),"")</f>
        <v>804538</v>
      </c>
      <c r="C271">
        <f>IFERROR(VLOOKUP($A271,koronahun!$A:$AM,3,FALSE),"")</f>
        <v>156</v>
      </c>
      <c r="D271">
        <f>IFERROR(VLOOKUP($A271,koronahun!$A:$AM,4,FALSE),"")</f>
        <v>29733</v>
      </c>
      <c r="E271">
        <f>IFERROR(VLOOKUP($A271,koronahun!$A:$AM,5,FALSE),"")</f>
        <v>700236</v>
      </c>
      <c r="F271">
        <f>IFERROR(VLOOKUP($A271,koronahun!$A:$AM,6,FALSE),"")</f>
        <v>5824848</v>
      </c>
      <c r="G271" s="12">
        <f>IFERROR(VLOOKUP($A271,koronahun!$A:$AM,7,FALSE),"")</f>
        <v>594372.24489795917</v>
      </c>
      <c r="H271">
        <f>IFERROR(VLOOKUP($A271,koronahun!$A:$AM,8,FALSE),"")</f>
        <v>0</v>
      </c>
      <c r="I271" s="13">
        <f>IFERROR(VLOOKUP($A271,koronahun!$A:$AM,9,FALSE),"")</f>
        <v>1.9393770621421166E-4</v>
      </c>
      <c r="J271" s="13">
        <f>IFERROR(VLOOKUP($A271,koronahun!$A:$AM,10,FALSE),"")</f>
        <v>0.13812171579412888</v>
      </c>
      <c r="K271" s="13">
        <f>IFERROR(VLOOKUP($A271,koronahun!$A:$AM,11,FALSE),"")</f>
        <v>1.384267215147308E-3</v>
      </c>
      <c r="L271">
        <f>IFERROR(VLOOKUP($A271,koronahun!$A:$AM,12,FALSE),"")</f>
        <v>74569</v>
      </c>
      <c r="M271" s="13">
        <f>IFERROR(VLOOKUP($A271,koronahun!$A:$AM,13,FALSE),"")</f>
        <v>3.6956613609301241E-2</v>
      </c>
      <c r="N271" s="13">
        <f>IFERROR(VLOOKUP($A271,koronahun!$A:$AM,14,FALSE),"")</f>
        <v>0.87035789484151149</v>
      </c>
      <c r="O271">
        <f>IFERROR(VLOOKUP($A271,koronahun!$A:$AM,15,FALSE),"")</f>
        <v>9221</v>
      </c>
      <c r="P271">
        <f>IFERROR(VLOOKUP($A271,koronahun!$A:$AM,16,FALSE),"")</f>
        <v>8052</v>
      </c>
      <c r="Q271" s="13">
        <f>IFERROR(VLOOKUP($A271,koronahun!$A:$AM,17,FALSE),"")</f>
        <v>1.9374068554396422E-2</v>
      </c>
      <c r="R271">
        <f>IFERROR(VLOOKUP($A271,koronahun!$A:$AM,18,FALSE),"")</f>
        <v>5</v>
      </c>
      <c r="S271">
        <f>IFERROR(VLOOKUP($A271,koronahun!$A:$AM,19,FALSE),"")</f>
        <v>4207</v>
      </c>
      <c r="T271">
        <f>IFERROR(VLOOKUP($A271,koronahun!$A:$AM,20,FALSE),"")</f>
        <v>981</v>
      </c>
      <c r="U271">
        <f>IFERROR(VLOOKUP($A271,koronahun!$A:$AM,21,FALSE),"")</f>
        <v>110</v>
      </c>
      <c r="V271" s="13">
        <f>IFERROR(VLOOKUP($A271,koronahun!$A:$AM,22,FALSE),"")</f>
        <v>9.2685491549187232E-2</v>
      </c>
      <c r="W271">
        <f>IFERROR(VLOOKUP($A271,koronahun!$A:$AM,23,FALSE),"")</f>
        <v>16</v>
      </c>
      <c r="X271">
        <f>IFERROR(VLOOKUP($A271,koronahun!$A:$AM,24,FALSE),"")</f>
        <v>-4</v>
      </c>
      <c r="Y271" s="14">
        <f>IFERROR(VLOOKUP($A271,koronahun!$A:$AM,25,FALSE),"")</f>
        <v>1.315560085290134E-2</v>
      </c>
      <c r="Z271" s="14">
        <f>IFERROR(VLOOKUP($A271,koronahun!$A:$AM,26,FALSE),"")</f>
        <v>0.11213047910295616</v>
      </c>
      <c r="AA271" s="14">
        <f>IFERROR(VLOOKUP($A271,koronahun!$A:$AM,27,FALSE),"")</f>
        <v>0.58097005035780547</v>
      </c>
      <c r="AB271" s="14">
        <f>IFERROR(VLOOKUP($A271,koronahun!$A:$AM,28,FALSE),"")</f>
        <v>0.56074995742550315</v>
      </c>
      <c r="AC271" s="14">
        <f>IFERROR(VLOOKUP($A271,koronahun!$A:$AM,29,FALSE),"")</f>
        <v>313.14285714285717</v>
      </c>
      <c r="AD271" s="14">
        <f>IFERROR(VLOOKUP($A271,koronahun!$A:$AM,30,FALSE),"")</f>
        <v>24.714285714285715</v>
      </c>
      <c r="AE271" s="14">
        <f>IFERROR(VLOOKUP($A271,koronahun!$A:$AM,31,FALSE),"")</f>
        <v>11551</v>
      </c>
      <c r="AF271" s="13">
        <f>IFERROR(VLOOKUP($A271,koronahun!$A:$AM,32,FALSE),"")</f>
        <v>2.7076518062509325E-2</v>
      </c>
      <c r="AG271">
        <f>IFERROR(VLOOKUP($A271,koronahun!$A:$AM,33,FALSE),"")</f>
        <v>5146949</v>
      </c>
      <c r="AH271">
        <f>IFERROR(VLOOKUP($A271,koronahun!$A:$AM,34,FALSE),"")</f>
        <v>9918</v>
      </c>
      <c r="AI271">
        <f>IFERROR(VLOOKUP($A271,koronahun!$A:$AM,35,FALSE),"")</f>
        <v>17686.285714285714</v>
      </c>
      <c r="AJ271">
        <f>IFERROR(VLOOKUP($A271,koronahun!$A:$AM,36,FALSE),"")</f>
        <v>3611690</v>
      </c>
      <c r="AK271">
        <f>IFERROR(VLOOKUP($A271,koronahun!$A:$AM,37,FALSE),"")</f>
        <v>29143</v>
      </c>
      <c r="AL271">
        <f>IFERROR(VLOOKUP($A271,koronahun!$A:$AM,38,FALSE),"")</f>
        <v>85601</v>
      </c>
      <c r="AM271" s="14">
        <f>IFERROR(VLOOKUP($A271,koronahun!$A:$AM,39,FALSE),"")</f>
        <v>4290.1428571428569</v>
      </c>
      <c r="AN271" s="11">
        <f ca="1">IFERROR(__xludf.DUMMYFUNCTION("""COMPUTED_VALUE"""),44163)</f>
        <v>44163</v>
      </c>
      <c r="AO271" s="12">
        <f ca="1">IFERROR(VLOOKUP(AN271,koronahun!A:B,2,FALSE),"")</f>
        <v>204708</v>
      </c>
      <c r="AP271" s="11">
        <f t="shared" ca="1" si="2"/>
        <v>44163</v>
      </c>
      <c r="AQ271" s="11">
        <f ca="1">IFERROR(__xludf.DUMMYFUNCTION("""COMPUTED_VALUE"""),44163)</f>
        <v>44163</v>
      </c>
      <c r="AR271" s="11">
        <v>44348</v>
      </c>
      <c r="AS271" s="11">
        <f t="shared" si="3"/>
        <v>44348</v>
      </c>
      <c r="AT271" s="11">
        <f ca="1">IFERROR(__xludf.DUMMYFUNCTION("""COMPUTED_VALUE"""),44347)</f>
        <v>44347</v>
      </c>
    </row>
    <row r="272" spans="1:46" ht="13">
      <c r="A272" s="11">
        <v>44346</v>
      </c>
      <c r="B272">
        <f>IFERROR(VLOOKUP($A272,koronahun!$A:$AM,2,FALSE),"")</f>
        <v>804382</v>
      </c>
      <c r="C272">
        <f>IFERROR(VLOOKUP($A272,koronahun!$A:$AM,3,FALSE),"")</f>
        <v>350</v>
      </c>
      <c r="D272">
        <f>IFERROR(VLOOKUP($A272,koronahun!$A:$AM,4,FALSE),"")</f>
        <v>29728</v>
      </c>
      <c r="E272">
        <f>IFERROR(VLOOKUP($A272,koronahun!$A:$AM,5,FALSE),"")</f>
        <v>696029</v>
      </c>
      <c r="F272">
        <f>IFERROR(VLOOKUP($A272,koronahun!$A:$AM,6,FALSE),"")</f>
        <v>5816796</v>
      </c>
      <c r="G272" s="12">
        <f>IFERROR(VLOOKUP($A272,koronahun!$A:$AM,7,FALSE),"")</f>
        <v>593550.61224489787</v>
      </c>
      <c r="H272">
        <f>IFERROR(VLOOKUP($A272,koronahun!$A:$AM,8,FALSE),"")</f>
        <v>0</v>
      </c>
      <c r="I272" s="13">
        <f>IFERROR(VLOOKUP($A272,koronahun!$A:$AM,9,FALSE),"")</f>
        <v>4.3530605747034944E-4</v>
      </c>
      <c r="J272" s="13">
        <f>IFERROR(VLOOKUP($A272,koronahun!$A:$AM,10,FALSE),"")</f>
        <v>0.13828609426907873</v>
      </c>
      <c r="K272" s="13">
        <f>IFERROR(VLOOKUP($A272,koronahun!$A:$AM,11,FALSE),"")</f>
        <v>2.6272271188029967E-3</v>
      </c>
      <c r="L272">
        <f>IFERROR(VLOOKUP($A272,koronahun!$A:$AM,12,FALSE),"")</f>
        <v>78625</v>
      </c>
      <c r="M272" s="13">
        <f>IFERROR(VLOOKUP($A272,koronahun!$A:$AM,13,FALSE),"")</f>
        <v>3.6957564938051822E-2</v>
      </c>
      <c r="N272" s="13">
        <f>IFERROR(VLOOKUP($A272,koronahun!$A:$AM,14,FALSE),"")</f>
        <v>0.8652965879395611</v>
      </c>
      <c r="O272">
        <f>IFERROR(VLOOKUP($A272,koronahun!$A:$AM,15,FALSE),"")</f>
        <v>9670</v>
      </c>
      <c r="P272">
        <f>IFERROR(VLOOKUP($A272,koronahun!$A:$AM,16,FALSE),"")</f>
        <v>15242</v>
      </c>
      <c r="Q272" s="13">
        <f>IFERROR(VLOOKUP($A272,koronahun!$A:$AM,17,FALSE),"")</f>
        <v>2.2962865765647551E-2</v>
      </c>
      <c r="R272">
        <f>IFERROR(VLOOKUP($A272,koronahun!$A:$AM,18,FALSE),"")</f>
        <v>19</v>
      </c>
      <c r="S272">
        <f>IFERROR(VLOOKUP($A272,koronahun!$A:$AM,19,FALSE),"")</f>
        <v>3781</v>
      </c>
      <c r="T272">
        <f>IFERROR(VLOOKUP($A272,koronahun!$A:$AM,20,FALSE),"")</f>
        <v>965</v>
      </c>
      <c r="U272">
        <f>IFERROR(VLOOKUP($A272,koronahun!$A:$AM,21,FALSE),"")</f>
        <v>114</v>
      </c>
      <c r="V272" s="13">
        <f>IFERROR(VLOOKUP($A272,koronahun!$A:$AM,22,FALSE),"")</f>
        <v>9.7745847122387125E-2</v>
      </c>
      <c r="W272">
        <f>IFERROR(VLOOKUP($A272,koronahun!$A:$AM,23,FALSE),"")</f>
        <v>-59</v>
      </c>
      <c r="X272">
        <f>IFERROR(VLOOKUP($A272,koronahun!$A:$AM,24,FALSE),"")</f>
        <v>0</v>
      </c>
      <c r="Y272" s="14">
        <f>IFERROR(VLOOKUP($A272,koronahun!$A:$AM,25,FALSE),"")</f>
        <v>1.2273449920508744E-2</v>
      </c>
      <c r="Z272" s="14">
        <f>IFERROR(VLOOKUP($A272,koronahun!$A:$AM,26,FALSE),"")</f>
        <v>0.11813471502590674</v>
      </c>
      <c r="AA272" s="14">
        <f>IFERROR(VLOOKUP($A272,koronahun!$A:$AM,27,FALSE),"")</f>
        <v>0.58208576503425524</v>
      </c>
      <c r="AB272" s="14">
        <f>IFERROR(VLOOKUP($A272,koronahun!$A:$AM,28,FALSE),"")</f>
        <v>0.56487238690751052</v>
      </c>
      <c r="AC272" s="14">
        <f>IFERROR(VLOOKUP($A272,koronahun!$A:$AM,29,FALSE),"")</f>
        <v>327.71428571428572</v>
      </c>
      <c r="AD272" s="14">
        <f>IFERROR(VLOOKUP($A272,koronahun!$A:$AM,30,FALSE),"")</f>
        <v>29.857142857142858</v>
      </c>
      <c r="AE272" s="14">
        <f>IFERROR(VLOOKUP($A272,koronahun!$A:$AM,31,FALSE),"")</f>
        <v>11764.142857142857</v>
      </c>
      <c r="AF272" s="13">
        <f>IFERROR(VLOOKUP($A272,koronahun!$A:$AM,32,FALSE),"")</f>
        <v>2.8170606939841993E-2</v>
      </c>
      <c r="AG272">
        <f>IFERROR(VLOOKUP($A272,koronahun!$A:$AM,33,FALSE),"")</f>
        <v>5137031</v>
      </c>
      <c r="AH272">
        <f>IFERROR(VLOOKUP($A272,koronahun!$A:$AM,34,FALSE),"")</f>
        <v>16922</v>
      </c>
      <c r="AI272">
        <f>IFERROR(VLOOKUP($A272,koronahun!$A:$AM,35,FALSE),"")</f>
        <v>18764.142857142859</v>
      </c>
      <c r="AJ272">
        <f>IFERROR(VLOOKUP($A272,koronahun!$A:$AM,36,FALSE),"")</f>
        <v>3582547</v>
      </c>
      <c r="AK272">
        <f>IFERROR(VLOOKUP($A272,koronahun!$A:$AM,37,FALSE),"")</f>
        <v>42679</v>
      </c>
      <c r="AL272">
        <f>IFERROR(VLOOKUP($A272,koronahun!$A:$AM,38,FALSE),"")</f>
        <v>83079.71428571429</v>
      </c>
      <c r="AM272" s="14">
        <f>IFERROR(VLOOKUP($A272,koronahun!$A:$AM,39,FALSE),"")</f>
        <v>3887</v>
      </c>
      <c r="AN272" s="11">
        <f ca="1">IFERROR(__xludf.DUMMYFUNCTION("""COMPUTED_VALUE"""),44164)</f>
        <v>44164</v>
      </c>
      <c r="AO272" s="12">
        <f ca="1">IFERROR(VLOOKUP(AN272,koronahun!A:B,2,FALSE),"")</f>
        <v>211527</v>
      </c>
      <c r="AP272" s="11">
        <f t="shared" ca="1" si="2"/>
        <v>44164</v>
      </c>
      <c r="AQ272" s="11">
        <f ca="1">IFERROR(__xludf.DUMMYFUNCTION("""COMPUTED_VALUE"""),44164)</f>
        <v>44164</v>
      </c>
      <c r="AR272" s="11">
        <v>44347</v>
      </c>
      <c r="AS272" s="11">
        <f t="shared" si="3"/>
        <v>44347</v>
      </c>
      <c r="AT272" s="11">
        <f ca="1">IFERROR(__xludf.DUMMYFUNCTION("""COMPUTED_VALUE"""),44346)</f>
        <v>44346</v>
      </c>
    </row>
    <row r="273" spans="1:46" ht="13">
      <c r="A273" s="11">
        <v>44345</v>
      </c>
      <c r="B273">
        <f>IFERROR(VLOOKUP($A273,koronahun!$A:$AM,2,FALSE),"")</f>
        <v>804032</v>
      </c>
      <c r="C273">
        <f>IFERROR(VLOOKUP($A273,koronahun!$A:$AM,3,FALSE),"")</f>
        <v>465</v>
      </c>
      <c r="D273">
        <f>IFERROR(VLOOKUP($A273,koronahun!$A:$AM,4,FALSE),"")</f>
        <v>29709</v>
      </c>
      <c r="E273">
        <f>IFERROR(VLOOKUP($A273,koronahun!$A:$AM,5,FALSE),"")</f>
        <v>692248</v>
      </c>
      <c r="F273">
        <f>IFERROR(VLOOKUP($A273,koronahun!$A:$AM,6,FALSE),"")</f>
        <v>5801554</v>
      </c>
      <c r="G273" s="12">
        <f>IFERROR(VLOOKUP($A273,koronahun!$A:$AM,7,FALSE),"")</f>
        <v>591995.30612244899</v>
      </c>
      <c r="H273">
        <f>IFERROR(VLOOKUP($A273,koronahun!$A:$AM,8,FALSE),"")</f>
        <v>0</v>
      </c>
      <c r="I273" s="13">
        <f>IFERROR(VLOOKUP($A273,koronahun!$A:$AM,9,FALSE),"")</f>
        <v>5.7866985578053853E-4</v>
      </c>
      <c r="J273" s="13">
        <f>IFERROR(VLOOKUP($A273,koronahun!$A:$AM,10,FALSE),"")</f>
        <v>0.13858907458243083</v>
      </c>
      <c r="K273" s="13">
        <f>IFERROR(VLOOKUP($A273,koronahun!$A:$AM,11,FALSE),"")</f>
        <v>2.5826870279294836E-3</v>
      </c>
      <c r="L273">
        <f>IFERROR(VLOOKUP($A273,koronahun!$A:$AM,12,FALSE),"")</f>
        <v>82075</v>
      </c>
      <c r="M273" s="13">
        <f>IFERROR(VLOOKUP($A273,koronahun!$A:$AM,13,FALSE),"")</f>
        <v>3.6950021889676034E-2</v>
      </c>
      <c r="N273" s="13">
        <f>IFERROR(VLOOKUP($A273,koronahun!$A:$AM,14,FALSE),"")</f>
        <v>0.86097070763352701</v>
      </c>
      <c r="O273">
        <f>IFERROR(VLOOKUP($A273,koronahun!$A:$AM,15,FALSE),"")</f>
        <v>10302</v>
      </c>
      <c r="P273">
        <f>IFERROR(VLOOKUP($A273,koronahun!$A:$AM,16,FALSE),"")</f>
        <v>14945</v>
      </c>
      <c r="Q273" s="13">
        <f>IFERROR(VLOOKUP($A273,koronahun!$A:$AM,17,FALSE),"")</f>
        <v>3.1114084978253596E-2</v>
      </c>
      <c r="R273">
        <f>IFERROR(VLOOKUP($A273,koronahun!$A:$AM,18,FALSE),"")</f>
        <v>27</v>
      </c>
      <c r="S273">
        <f>IFERROR(VLOOKUP($A273,koronahun!$A:$AM,19,FALSE),"")</f>
        <v>3082</v>
      </c>
      <c r="T273">
        <f>IFERROR(VLOOKUP($A273,koronahun!$A:$AM,20,FALSE),"")</f>
        <v>1024</v>
      </c>
      <c r="U273">
        <f>IFERROR(VLOOKUP($A273,koronahun!$A:$AM,21,FALSE),"")</f>
        <v>114</v>
      </c>
      <c r="V273" s="13">
        <f>IFERROR(VLOOKUP($A273,koronahun!$A:$AM,22,FALSE),"")</f>
        <v>0.10207927047679695</v>
      </c>
      <c r="W273">
        <f>IFERROR(VLOOKUP($A273,koronahun!$A:$AM,23,FALSE),"")</f>
        <v>-96</v>
      </c>
      <c r="X273">
        <f>IFERROR(VLOOKUP($A273,koronahun!$A:$AM,24,FALSE),"")</f>
        <v>-7</v>
      </c>
      <c r="Y273" s="14">
        <f>IFERROR(VLOOKUP($A273,koronahun!$A:$AM,25,FALSE),"")</f>
        <v>1.2476393542491623E-2</v>
      </c>
      <c r="Z273" s="14">
        <f>IFERROR(VLOOKUP($A273,koronahun!$A:$AM,26,FALSE),"")</f>
        <v>0.111328125</v>
      </c>
      <c r="AA273" s="14">
        <f>IFERROR(VLOOKUP($A273,koronahun!$A:$AM,27,FALSE),"")</f>
        <v>0.55621022861183123</v>
      </c>
      <c r="AB273" s="14">
        <f>IFERROR(VLOOKUP($A273,koronahun!$A:$AM,28,FALSE),"")</f>
        <v>0.56916679610090393</v>
      </c>
      <c r="AC273" s="14">
        <f>IFERROR(VLOOKUP($A273,koronahun!$A:$AM,29,FALSE),"")</f>
        <v>337.14285714285717</v>
      </c>
      <c r="AD273" s="14">
        <f>IFERROR(VLOOKUP($A273,koronahun!$A:$AM,30,FALSE),"")</f>
        <v>33.428571428571431</v>
      </c>
      <c r="AE273" s="14">
        <f>IFERROR(VLOOKUP($A273,koronahun!$A:$AM,31,FALSE),"")</f>
        <v>11593.714285714286</v>
      </c>
      <c r="AF273" s="13">
        <f>IFERROR(VLOOKUP($A273,koronahun!$A:$AM,32,FALSE),"")</f>
        <v>2.9120290179710795E-2</v>
      </c>
      <c r="AG273">
        <f>IFERROR(VLOOKUP($A273,koronahun!$A:$AM,33,FALSE),"")</f>
        <v>5120109</v>
      </c>
      <c r="AH273">
        <f>IFERROR(VLOOKUP($A273,koronahun!$A:$AM,34,FALSE),"")</f>
        <v>35467</v>
      </c>
      <c r="AI273">
        <f>IFERROR(VLOOKUP($A273,koronahun!$A:$AM,35,FALSE),"")</f>
        <v>21541.142857142859</v>
      </c>
      <c r="AJ273">
        <f>IFERROR(VLOOKUP($A273,koronahun!$A:$AM,36,FALSE),"")</f>
        <v>3539868</v>
      </c>
      <c r="AK273">
        <f>IFERROR(VLOOKUP($A273,koronahun!$A:$AM,37,FALSE),"")</f>
        <v>94311</v>
      </c>
      <c r="AL273">
        <f>IFERROR(VLOOKUP($A273,koronahun!$A:$AM,38,FALSE),"")</f>
        <v>81788.28571428571</v>
      </c>
      <c r="AM273" s="14">
        <f>IFERROR(VLOOKUP($A273,koronahun!$A:$AM,39,FALSE),"")</f>
        <v>3813.7142857142858</v>
      </c>
      <c r="AN273" s="11">
        <f ca="1">IFERROR(__xludf.DUMMYFUNCTION("""COMPUTED_VALUE"""),44165)</f>
        <v>44165</v>
      </c>
      <c r="AO273" s="12">
        <f ca="1">IFERROR(VLOOKUP(AN273,koronahun!A:B,2,FALSE),"")</f>
        <v>217122</v>
      </c>
      <c r="AP273" s="11">
        <f t="shared" ca="1" si="2"/>
        <v>44165</v>
      </c>
      <c r="AQ273" s="11">
        <f ca="1">IFERROR(__xludf.DUMMYFUNCTION("""COMPUTED_VALUE"""),44165)</f>
        <v>44165</v>
      </c>
      <c r="AR273" s="11">
        <v>44346</v>
      </c>
      <c r="AS273" s="11">
        <f t="shared" si="3"/>
        <v>44346</v>
      </c>
      <c r="AT273" s="11">
        <f ca="1">IFERROR(__xludf.DUMMYFUNCTION("""COMPUTED_VALUE"""),44345)</f>
        <v>44345</v>
      </c>
    </row>
    <row r="274" spans="1:46" ht="13">
      <c r="A274" s="11">
        <v>44344</v>
      </c>
      <c r="B274">
        <f>IFERROR(VLOOKUP($A274,koronahun!$A:$AM,2,FALSE),"")</f>
        <v>803567</v>
      </c>
      <c r="C274">
        <f>IFERROR(VLOOKUP($A274,koronahun!$A:$AM,3,FALSE),"")</f>
        <v>448</v>
      </c>
      <c r="D274">
        <f>IFERROR(VLOOKUP($A274,koronahun!$A:$AM,4,FALSE),"")</f>
        <v>29682</v>
      </c>
      <c r="E274">
        <f>IFERROR(VLOOKUP($A274,koronahun!$A:$AM,5,FALSE),"")</f>
        <v>689166</v>
      </c>
      <c r="F274">
        <f>IFERROR(VLOOKUP($A274,koronahun!$A:$AM,6,FALSE),"")</f>
        <v>5786609</v>
      </c>
      <c r="G274" s="12">
        <f>IFERROR(VLOOKUP($A274,koronahun!$A:$AM,7,FALSE),"")</f>
        <v>590470.30612244899</v>
      </c>
      <c r="H274">
        <f>IFERROR(VLOOKUP($A274,koronahun!$A:$AM,8,FALSE),"")</f>
        <v>0</v>
      </c>
      <c r="I274" s="13">
        <f>IFERROR(VLOOKUP($A274,koronahun!$A:$AM,9,FALSE),"")</f>
        <v>5.5782517908305E-4</v>
      </c>
      <c r="J274" s="13">
        <f>IFERROR(VLOOKUP($A274,koronahun!$A:$AM,10,FALSE),"")</f>
        <v>0.1388666488439084</v>
      </c>
      <c r="K274" s="13">
        <f>IFERROR(VLOOKUP($A274,koronahun!$A:$AM,11,FALSE),"")</f>
        <v>2.6946532161000636E-3</v>
      </c>
      <c r="L274">
        <f>IFERROR(VLOOKUP($A274,koronahun!$A:$AM,12,FALSE),"")</f>
        <v>84719</v>
      </c>
      <c r="M274" s="13">
        <f>IFERROR(VLOOKUP($A274,koronahun!$A:$AM,13,FALSE),"")</f>
        <v>3.6937803568339665E-2</v>
      </c>
      <c r="N274" s="13">
        <f>IFERROR(VLOOKUP($A274,koronahun!$A:$AM,14,FALSE),"")</f>
        <v>0.85763352651365721</v>
      </c>
      <c r="O274">
        <f>IFERROR(VLOOKUP($A274,koronahun!$A:$AM,15,FALSE),"")</f>
        <v>10790</v>
      </c>
      <c r="P274">
        <f>IFERROR(VLOOKUP($A274,koronahun!$A:$AM,16,FALSE),"")</f>
        <v>15551</v>
      </c>
      <c r="Q274" s="13">
        <f>IFERROR(VLOOKUP($A274,koronahun!$A:$AM,17,FALSE),"")</f>
        <v>2.8808436756478682E-2</v>
      </c>
      <c r="R274">
        <f>IFERROR(VLOOKUP($A274,koronahun!$A:$AM,18,FALSE),"")</f>
        <v>28</v>
      </c>
      <c r="S274">
        <f>IFERROR(VLOOKUP($A274,koronahun!$A:$AM,19,FALSE),"")</f>
        <v>6865</v>
      </c>
      <c r="T274">
        <f>IFERROR(VLOOKUP($A274,koronahun!$A:$AM,20,FALSE),"")</f>
        <v>1120</v>
      </c>
      <c r="U274">
        <f>IFERROR(VLOOKUP($A274,koronahun!$A:$AM,21,FALSE),"")</f>
        <v>121</v>
      </c>
      <c r="V274" s="13">
        <f>IFERROR(VLOOKUP($A274,koronahun!$A:$AM,22,FALSE),"")</f>
        <v>0.10542866991800311</v>
      </c>
      <c r="W274">
        <f>IFERROR(VLOOKUP($A274,koronahun!$A:$AM,23,FALSE),"")</f>
        <v>-95</v>
      </c>
      <c r="X274">
        <f>IFERROR(VLOOKUP($A274,koronahun!$A:$AM,24,FALSE),"")</f>
        <v>-15</v>
      </c>
      <c r="Y274" s="14">
        <f>IFERROR(VLOOKUP($A274,koronahun!$A:$AM,25,FALSE),"")</f>
        <v>1.3220174931243287E-2</v>
      </c>
      <c r="Z274" s="14">
        <f>IFERROR(VLOOKUP($A274,koronahun!$A:$AM,26,FALSE),"")</f>
        <v>0.10803571428571429</v>
      </c>
      <c r="AA274" s="14">
        <f>IFERROR(VLOOKUP($A274,koronahun!$A:$AM,27,FALSE),"")</f>
        <v>0.54843581445523193</v>
      </c>
      <c r="AB274" s="14">
        <f>IFERROR(VLOOKUP($A274,koronahun!$A:$AM,28,FALSE),"")</f>
        <v>0.57800285437953836</v>
      </c>
      <c r="AC274" s="14">
        <f>IFERROR(VLOOKUP($A274,koronahun!$A:$AM,29,FALSE),"")</f>
        <v>363.14285714285717</v>
      </c>
      <c r="AD274" s="14">
        <f>IFERROR(VLOOKUP($A274,koronahun!$A:$AM,30,FALSE),"")</f>
        <v>36.428571428571431</v>
      </c>
      <c r="AE274" s="14">
        <f>IFERROR(VLOOKUP($A274,koronahun!$A:$AM,31,FALSE),"")</f>
        <v>12694.428571428571</v>
      </c>
      <c r="AF274" s="13">
        <f>IFERROR(VLOOKUP($A274,koronahun!$A:$AM,32,FALSE),"")</f>
        <v>2.8756152527503642E-2</v>
      </c>
      <c r="AG274">
        <f>IFERROR(VLOOKUP($A274,koronahun!$A:$AM,33,FALSE),"")</f>
        <v>5084642</v>
      </c>
      <c r="AH274">
        <f>IFERROR(VLOOKUP($A274,koronahun!$A:$AM,34,FALSE),"")</f>
        <v>28380</v>
      </c>
      <c r="AI274">
        <f>IFERROR(VLOOKUP($A274,koronahun!$A:$AM,35,FALSE),"")</f>
        <v>26539.428571428572</v>
      </c>
      <c r="AJ274">
        <f>IFERROR(VLOOKUP($A274,koronahun!$A:$AM,36,FALSE),"")</f>
        <v>3445557</v>
      </c>
      <c r="AK274">
        <f>IFERROR(VLOOKUP($A274,koronahun!$A:$AM,37,FALSE),"")</f>
        <v>117510</v>
      </c>
      <c r="AL274">
        <f>IFERROR(VLOOKUP($A274,koronahun!$A:$AM,38,FALSE),"")</f>
        <v>79895</v>
      </c>
      <c r="AM274" s="14">
        <f>IFERROR(VLOOKUP($A274,koronahun!$A:$AM,39,FALSE),"")</f>
        <v>3943.1428571428573</v>
      </c>
      <c r="AN274" s="11">
        <f ca="1">IFERROR(__xludf.DUMMYFUNCTION("""COMPUTED_VALUE"""),44166)</f>
        <v>44166</v>
      </c>
      <c r="AO274" s="12">
        <f ca="1">IFERROR(VLOOKUP(AN274,koronahun!A:B,2,FALSE),"")</f>
        <v>221073</v>
      </c>
      <c r="AP274" s="11">
        <f t="shared" ca="1" si="2"/>
        <v>44166</v>
      </c>
      <c r="AQ274" s="11">
        <f ca="1">IFERROR(__xludf.DUMMYFUNCTION("""COMPUTED_VALUE"""),44166)</f>
        <v>44166</v>
      </c>
      <c r="AR274" s="11">
        <v>44345</v>
      </c>
      <c r="AS274" s="11">
        <f t="shared" si="3"/>
        <v>44345</v>
      </c>
      <c r="AT274" s="11">
        <f ca="1">IFERROR(__xludf.DUMMYFUNCTION("""COMPUTED_VALUE"""),44344)</f>
        <v>44344</v>
      </c>
    </row>
    <row r="275" spans="1:46" ht="13">
      <c r="A275" s="11">
        <v>44343</v>
      </c>
      <c r="B275">
        <f>IFERROR(VLOOKUP($A275,koronahun!$A:$AM,2,FALSE),"")</f>
        <v>803119</v>
      </c>
      <c r="C275">
        <f>IFERROR(VLOOKUP($A275,koronahun!$A:$AM,3,FALSE),"")</f>
        <v>396</v>
      </c>
      <c r="D275">
        <f>IFERROR(VLOOKUP($A275,koronahun!$A:$AM,4,FALSE),"")</f>
        <v>29654</v>
      </c>
      <c r="E275">
        <f>IFERROR(VLOOKUP($A275,koronahun!$A:$AM,5,FALSE),"")</f>
        <v>682301</v>
      </c>
      <c r="F275">
        <f>IFERROR(VLOOKUP($A275,koronahun!$A:$AM,6,FALSE),"")</f>
        <v>5771058</v>
      </c>
      <c r="G275" s="12">
        <f>IFERROR(VLOOKUP($A275,koronahun!$A:$AM,7,FALSE),"")</f>
        <v>588883.46938775503</v>
      </c>
      <c r="H275">
        <f>IFERROR(VLOOKUP($A275,koronahun!$A:$AM,8,FALSE),"")</f>
        <v>0</v>
      </c>
      <c r="I275" s="13">
        <f>IFERROR(VLOOKUP($A275,koronahun!$A:$AM,9,FALSE),"")</f>
        <v>4.9332085912575068E-4</v>
      </c>
      <c r="J275" s="13">
        <f>IFERROR(VLOOKUP($A275,koronahun!$A:$AM,10,FALSE),"")</f>
        <v>0.13916321755906802</v>
      </c>
      <c r="K275" s="13">
        <f>IFERROR(VLOOKUP($A275,koronahun!$A:$AM,11,FALSE),"")</f>
        <v>2.5117261077243699E-3</v>
      </c>
      <c r="L275">
        <f>IFERROR(VLOOKUP($A275,koronahun!$A:$AM,12,FALSE),"")</f>
        <v>91164</v>
      </c>
      <c r="M275" s="13">
        <f>IFERROR(VLOOKUP($A275,koronahun!$A:$AM,13,FALSE),"")</f>
        <v>3.6923544331537418E-2</v>
      </c>
      <c r="N275" s="13">
        <f>IFERROR(VLOOKUP($A275,koronahun!$A:$AM,14,FALSE),"")</f>
        <v>0.84956401230701806</v>
      </c>
      <c r="O275">
        <f>IFERROR(VLOOKUP($A275,koronahun!$A:$AM,15,FALSE),"")</f>
        <v>11432</v>
      </c>
      <c r="P275">
        <f>IFERROR(VLOOKUP($A275,koronahun!$A:$AM,16,FALSE),"")</f>
        <v>14459</v>
      </c>
      <c r="Q275" s="13">
        <f>IFERROR(VLOOKUP($A275,koronahun!$A:$AM,17,FALSE),"")</f>
        <v>2.7387786153952556E-2</v>
      </c>
      <c r="R275">
        <f>IFERROR(VLOOKUP($A275,koronahun!$A:$AM,18,FALSE),"")</f>
        <v>32</v>
      </c>
      <c r="S275">
        <f>IFERROR(VLOOKUP($A275,koronahun!$A:$AM,19,FALSE),"")</f>
        <v>7219</v>
      </c>
      <c r="T275">
        <f>IFERROR(VLOOKUP($A275,koronahun!$A:$AM,20,FALSE),"")</f>
        <v>1215</v>
      </c>
      <c r="U275">
        <f>IFERROR(VLOOKUP($A275,koronahun!$A:$AM,21,FALSE),"")</f>
        <v>136</v>
      </c>
      <c r="V275" s="13">
        <f>IFERROR(VLOOKUP($A275,koronahun!$A:$AM,22,FALSE),"")</f>
        <v>0.11351244336144457</v>
      </c>
      <c r="W275">
        <f>IFERROR(VLOOKUP($A275,koronahun!$A:$AM,23,FALSE),"")</f>
        <v>-158</v>
      </c>
      <c r="X275">
        <f>IFERROR(VLOOKUP($A275,koronahun!$A:$AM,24,FALSE),"")</f>
        <v>-12</v>
      </c>
      <c r="Y275" s="14">
        <f>IFERROR(VLOOKUP($A275,koronahun!$A:$AM,25,FALSE),"")</f>
        <v>1.3327629327366065E-2</v>
      </c>
      <c r="Z275" s="14">
        <f>IFERROR(VLOOKUP($A275,koronahun!$A:$AM,26,FALSE),"")</f>
        <v>0.11193415637860082</v>
      </c>
      <c r="AA275" s="14">
        <f>IFERROR(VLOOKUP($A275,koronahun!$A:$AM,27,FALSE),"")</f>
        <v>0.5323142414860681</v>
      </c>
      <c r="AB275" s="14">
        <f>IFERROR(VLOOKUP($A275,koronahun!$A:$AM,28,FALSE),"")</f>
        <v>0.59159362805933802</v>
      </c>
      <c r="AC275" s="14">
        <f>IFERROR(VLOOKUP($A275,koronahun!$A:$AM,29,FALSE),"")</f>
        <v>393</v>
      </c>
      <c r="AD275" s="14">
        <f>IFERROR(VLOOKUP($A275,koronahun!$A:$AM,30,FALSE),"")</f>
        <v>39.142857142857146</v>
      </c>
      <c r="AE275" s="14">
        <f>IFERROR(VLOOKUP($A275,koronahun!$A:$AM,31,FALSE),"")</f>
        <v>11991.571428571429</v>
      </c>
      <c r="AF275" s="13">
        <f>IFERROR(VLOOKUP($A275,koronahun!$A:$AM,32,FALSE),"")</f>
        <v>3.3469289429580787E-2</v>
      </c>
      <c r="AG275">
        <f>IFERROR(VLOOKUP($A275,koronahun!$A:$AM,33,FALSE),"")</f>
        <v>5056262</v>
      </c>
      <c r="AH275">
        <f>IFERROR(VLOOKUP($A275,koronahun!$A:$AM,34,FALSE),"")</f>
        <v>16040</v>
      </c>
      <c r="AI275">
        <f>IFERROR(VLOOKUP($A275,koronahun!$A:$AM,35,FALSE),"")</f>
        <v>32381</v>
      </c>
      <c r="AJ275">
        <f>IFERROR(VLOOKUP($A275,koronahun!$A:$AM,36,FALSE),"")</f>
        <v>3328047</v>
      </c>
      <c r="AK275">
        <f>IFERROR(VLOOKUP($A275,koronahun!$A:$AM,37,FALSE),"")</f>
        <v>131443</v>
      </c>
      <c r="AL275">
        <f>IFERROR(VLOOKUP($A275,koronahun!$A:$AM,38,FALSE),"")</f>
        <v>73320.28571428571</v>
      </c>
      <c r="AM275" s="14">
        <f>IFERROR(VLOOKUP($A275,koronahun!$A:$AM,39,FALSE),"")</f>
        <v>3763.1428571428573</v>
      </c>
      <c r="AN275" s="11">
        <f ca="1">IFERROR(__xludf.DUMMYFUNCTION("""COMPUTED_VALUE"""),44167)</f>
        <v>44167</v>
      </c>
      <c r="AO275" s="12">
        <f ca="1">IFERROR(VLOOKUP(AN275,koronahun!A:B,2,FALSE),"")</f>
        <v>225209</v>
      </c>
      <c r="AP275" s="11">
        <f t="shared" ca="1" si="2"/>
        <v>44167</v>
      </c>
      <c r="AQ275" s="11">
        <f ca="1">IFERROR(__xludf.DUMMYFUNCTION("""COMPUTED_VALUE"""),44167)</f>
        <v>44167</v>
      </c>
      <c r="AR275" s="11">
        <v>44344</v>
      </c>
      <c r="AS275" s="11">
        <f t="shared" si="3"/>
        <v>44344</v>
      </c>
      <c r="AT275" s="11">
        <f ca="1">IFERROR(__xludf.DUMMYFUNCTION("""COMPUTED_VALUE"""),44343)</f>
        <v>44343</v>
      </c>
    </row>
    <row r="276" spans="1:46" ht="13">
      <c r="A276" s="11">
        <v>44342</v>
      </c>
      <c r="B276">
        <f>IFERROR(VLOOKUP($A276,koronahun!$A:$AM,2,FALSE),"")</f>
        <v>802723</v>
      </c>
      <c r="C276">
        <f>IFERROR(VLOOKUP($A276,koronahun!$A:$AM,3,FALSE),"")</f>
        <v>213</v>
      </c>
      <c r="D276">
        <f>IFERROR(VLOOKUP($A276,koronahun!$A:$AM,4,FALSE),"")</f>
        <v>29622</v>
      </c>
      <c r="E276">
        <f>IFERROR(VLOOKUP($A276,koronahun!$A:$AM,5,FALSE),"")</f>
        <v>675082</v>
      </c>
      <c r="F276">
        <f>IFERROR(VLOOKUP($A276,koronahun!$A:$AM,6,FALSE),"")</f>
        <v>5756599</v>
      </c>
      <c r="G276" s="12">
        <f>IFERROR(VLOOKUP($A276,koronahun!$A:$AM,7,FALSE),"")</f>
        <v>587408.06122448971</v>
      </c>
      <c r="H276">
        <f>IFERROR(VLOOKUP($A276,koronahun!$A:$AM,8,FALSE),"")</f>
        <v>0</v>
      </c>
      <c r="I276" s="13">
        <f>IFERROR(VLOOKUP($A276,koronahun!$A:$AM,9,FALSE),"")</f>
        <v>2.654172533675593E-4</v>
      </c>
      <c r="J276" s="13">
        <f>IFERROR(VLOOKUP($A276,koronahun!$A:$AM,10,FALSE),"")</f>
        <v>0.13944396682833041</v>
      </c>
      <c r="K276" s="13">
        <f>IFERROR(VLOOKUP($A276,koronahun!$A:$AM,11,FALSE),"")</f>
        <v>1.0851496402224626E-3</v>
      </c>
      <c r="L276">
        <f>IFERROR(VLOOKUP($A276,koronahun!$A:$AM,12,FALSE),"")</f>
        <v>98019</v>
      </c>
      <c r="M276" s="13">
        <f>IFERROR(VLOOKUP($A276,koronahun!$A:$AM,13,FALSE),"")</f>
        <v>3.6901895174300474E-2</v>
      </c>
      <c r="N276" s="13">
        <f>IFERROR(VLOOKUP($A276,koronahun!$A:$AM,14,FALSE),"")</f>
        <v>0.84098998035436878</v>
      </c>
      <c r="O276">
        <f>IFERROR(VLOOKUP($A276,koronahun!$A:$AM,15,FALSE),"")</f>
        <v>11878</v>
      </c>
      <c r="P276">
        <f>IFERROR(VLOOKUP($A276,koronahun!$A:$AM,16,FALSE),"")</f>
        <v>6240</v>
      </c>
      <c r="Q276" s="13">
        <f>IFERROR(VLOOKUP($A276,koronahun!$A:$AM,17,FALSE),"")</f>
        <v>3.4134615384615381E-2</v>
      </c>
      <c r="R276">
        <f>IFERROR(VLOOKUP($A276,koronahun!$A:$AM,18,FALSE),"")</f>
        <v>41</v>
      </c>
      <c r="S276">
        <f>IFERROR(VLOOKUP($A276,koronahun!$A:$AM,19,FALSE),"")</f>
        <v>3690</v>
      </c>
      <c r="T276">
        <f>IFERROR(VLOOKUP($A276,koronahun!$A:$AM,20,FALSE),"")</f>
        <v>1373</v>
      </c>
      <c r="U276">
        <f>IFERROR(VLOOKUP($A276,koronahun!$A:$AM,21,FALSE),"")</f>
        <v>148</v>
      </c>
      <c r="V276" s="13">
        <f>IFERROR(VLOOKUP($A276,koronahun!$A:$AM,22,FALSE),"")</f>
        <v>0.12210812447133071</v>
      </c>
      <c r="W276">
        <f>IFERROR(VLOOKUP($A276,koronahun!$A:$AM,23,FALSE),"")</f>
        <v>-44</v>
      </c>
      <c r="X276">
        <f>IFERROR(VLOOKUP($A276,koronahun!$A:$AM,24,FALSE),"")</f>
        <v>-11</v>
      </c>
      <c r="Y276" s="14">
        <f>IFERROR(VLOOKUP($A276,koronahun!$A:$AM,25,FALSE),"")</f>
        <v>1.4007488344096554E-2</v>
      </c>
      <c r="Z276" s="14">
        <f>IFERROR(VLOOKUP($A276,koronahun!$A:$AM,26,FALSE),"")</f>
        <v>0.10779315367807721</v>
      </c>
      <c r="AA276" s="14">
        <f>IFERROR(VLOOKUP($A276,koronahun!$A:$AM,27,FALSE),"")</f>
        <v>0.54014472777394895</v>
      </c>
      <c r="AB276" s="14">
        <f>IFERROR(VLOOKUP($A276,koronahun!$A:$AM,28,FALSE),"")</f>
        <v>0.6132960837355258</v>
      </c>
      <c r="AC276" s="14">
        <f>IFERROR(VLOOKUP($A276,koronahun!$A:$AM,29,FALSE),"")</f>
        <v>447.85714285714283</v>
      </c>
      <c r="AD276" s="14">
        <f>IFERROR(VLOOKUP($A276,koronahun!$A:$AM,30,FALSE),"")</f>
        <v>41.857142857142854</v>
      </c>
      <c r="AE276" s="14">
        <f>IFERROR(VLOOKUP($A276,koronahun!$A:$AM,31,FALSE),"")</f>
        <v>12258</v>
      </c>
      <c r="AF276" s="13">
        <f>IFERROR(VLOOKUP($A276,koronahun!$A:$AM,32,FALSE),"")</f>
        <v>3.6382806589440757E-2</v>
      </c>
      <c r="AG276">
        <f>IFERROR(VLOOKUP($A276,koronahun!$A:$AM,33,FALSE),"")</f>
        <v>5040222</v>
      </c>
      <c r="AH276">
        <f>IFERROR(VLOOKUP($A276,koronahun!$A:$AM,34,FALSE),"")</f>
        <v>13693</v>
      </c>
      <c r="AI276">
        <f>IFERROR(VLOOKUP($A276,koronahun!$A:$AM,35,FALSE),"")</f>
        <v>35603.714285714283</v>
      </c>
      <c r="AJ276">
        <f>IFERROR(VLOOKUP($A276,koronahun!$A:$AM,36,FALSE),"")</f>
        <v>3196604</v>
      </c>
      <c r="AK276">
        <f>IFERROR(VLOOKUP($A276,koronahun!$A:$AM,37,FALSE),"")</f>
        <v>123664</v>
      </c>
      <c r="AL276">
        <f>IFERROR(VLOOKUP($A276,koronahun!$A:$AM,38,FALSE),"")</f>
        <v>60312.571428571428</v>
      </c>
      <c r="AM276" s="14">
        <f>IFERROR(VLOOKUP($A276,koronahun!$A:$AM,39,FALSE),"")</f>
        <v>3795.5714285714284</v>
      </c>
      <c r="AN276" s="11">
        <f ca="1">IFERROR(__xludf.DUMMYFUNCTION("""COMPUTED_VALUE"""),44168)</f>
        <v>44168</v>
      </c>
      <c r="AO276" s="12">
        <f ca="1">IFERROR(VLOOKUP(AN276,koronahun!A:B,2,FALSE),"")</f>
        <v>231884</v>
      </c>
      <c r="AP276" s="11">
        <f t="shared" ca="1" si="2"/>
        <v>44168</v>
      </c>
      <c r="AQ276" s="11">
        <f ca="1">IFERROR(__xludf.DUMMYFUNCTION("""COMPUTED_VALUE"""),44168)</f>
        <v>44168</v>
      </c>
      <c r="AR276" s="11">
        <v>44343</v>
      </c>
      <c r="AS276" s="11">
        <f t="shared" si="3"/>
        <v>44343</v>
      </c>
      <c r="AT276" s="11">
        <f ca="1">IFERROR(__xludf.DUMMYFUNCTION("""COMPUTED_VALUE"""),44342)</f>
        <v>44342</v>
      </c>
    </row>
    <row r="277" spans="1:46" ht="13">
      <c r="A277" s="11">
        <v>44341</v>
      </c>
      <c r="B277">
        <f>IFERROR(VLOOKUP($A277,koronahun!$A:$AM,2,FALSE),"")</f>
        <v>802510</v>
      </c>
      <c r="C277">
        <f>IFERROR(VLOOKUP($A277,koronahun!$A:$AM,3,FALSE),"")</f>
        <v>164</v>
      </c>
      <c r="D277">
        <f>IFERROR(VLOOKUP($A277,koronahun!$A:$AM,4,FALSE),"")</f>
        <v>29581</v>
      </c>
      <c r="E277">
        <f>IFERROR(VLOOKUP($A277,koronahun!$A:$AM,5,FALSE),"")</f>
        <v>671392</v>
      </c>
      <c r="F277">
        <f>IFERROR(VLOOKUP($A277,koronahun!$A:$AM,6,FALSE),"")</f>
        <v>5750359</v>
      </c>
      <c r="G277" s="12">
        <f>IFERROR(VLOOKUP($A277,koronahun!$A:$AM,7,FALSE),"")</f>
        <v>586771.32653061219</v>
      </c>
      <c r="H277">
        <f>IFERROR(VLOOKUP($A277,koronahun!$A:$AM,8,FALSE),"")</f>
        <v>0</v>
      </c>
      <c r="I277" s="13">
        <f>IFERROR(VLOOKUP($A277,koronahun!$A:$AM,9,FALSE),"")</f>
        <v>2.0440059525441643E-4</v>
      </c>
      <c r="J277" s="13">
        <f>IFERROR(VLOOKUP($A277,koronahun!$A:$AM,10,FALSE),"")</f>
        <v>0.13955824323316163</v>
      </c>
      <c r="K277" s="13">
        <f>IFERROR(VLOOKUP($A277,koronahun!$A:$AM,11,FALSE),"")</f>
        <v>1.1086368345632853E-3</v>
      </c>
      <c r="L277">
        <f>IFERROR(VLOOKUP($A277,koronahun!$A:$AM,12,FALSE),"")</f>
        <v>101537</v>
      </c>
      <c r="M277" s="13">
        <f>IFERROR(VLOOKUP($A277,koronahun!$A:$AM,13,FALSE),"")</f>
        <v>3.6860599867914422E-2</v>
      </c>
      <c r="N277" s="13">
        <f>IFERROR(VLOOKUP($A277,koronahun!$A:$AM,14,FALSE),"")</f>
        <v>0.83661512006080918</v>
      </c>
      <c r="O277">
        <f>IFERROR(VLOOKUP($A277,koronahun!$A:$AM,15,FALSE),"")</f>
        <v>12376</v>
      </c>
      <c r="P277">
        <f>IFERROR(VLOOKUP($A277,koronahun!$A:$AM,16,FALSE),"")</f>
        <v>6368</v>
      </c>
      <c r="Q277" s="13">
        <f>IFERROR(VLOOKUP($A277,koronahun!$A:$AM,17,FALSE),"")</f>
        <v>2.5753768844221106E-2</v>
      </c>
      <c r="R277">
        <f>IFERROR(VLOOKUP($A277,koronahun!$A:$AM,18,FALSE),"")</f>
        <v>21</v>
      </c>
      <c r="S277">
        <f>IFERROR(VLOOKUP($A277,koronahun!$A:$AM,19,FALSE),"")</f>
        <v>1187</v>
      </c>
      <c r="T277">
        <f>IFERROR(VLOOKUP($A277,koronahun!$A:$AM,20,FALSE),"")</f>
        <v>1417</v>
      </c>
      <c r="U277">
        <f>IFERROR(VLOOKUP($A277,koronahun!$A:$AM,21,FALSE),"")</f>
        <v>159</v>
      </c>
      <c r="V277" s="13">
        <f>IFERROR(VLOOKUP($A277,koronahun!$A:$AM,22,FALSE),"")</f>
        <v>0.12652428007127636</v>
      </c>
      <c r="W277">
        <f>IFERROR(VLOOKUP($A277,koronahun!$A:$AM,23,FALSE),"")</f>
        <v>-3</v>
      </c>
      <c r="X277">
        <f>IFERROR(VLOOKUP($A277,koronahun!$A:$AM,24,FALSE),"")</f>
        <v>-10</v>
      </c>
      <c r="Y277" s="14">
        <f>IFERROR(VLOOKUP($A277,koronahun!$A:$AM,25,FALSE),"")</f>
        <v>1.3955503904980451E-2</v>
      </c>
      <c r="Z277" s="14">
        <f>IFERROR(VLOOKUP($A277,koronahun!$A:$AM,26,FALSE),"")</f>
        <v>0.11220889202540579</v>
      </c>
      <c r="AA277" s="14">
        <f>IFERROR(VLOOKUP($A277,koronahun!$A:$AM,27,FALSE),"")</f>
        <v>0.58508887425938116</v>
      </c>
      <c r="AB277" s="14">
        <f>IFERROR(VLOOKUP($A277,koronahun!$A:$AM,28,FALSE),"")</f>
        <v>0.64220174105731609</v>
      </c>
      <c r="AC277" s="14">
        <f>IFERROR(VLOOKUP($A277,koronahun!$A:$AM,29,FALSE),"")</f>
        <v>507.85714285714283</v>
      </c>
      <c r="AD277" s="14">
        <f>IFERROR(VLOOKUP($A277,koronahun!$A:$AM,30,FALSE),"")</f>
        <v>43.428571428571431</v>
      </c>
      <c r="AE277" s="14">
        <f>IFERROR(VLOOKUP($A277,koronahun!$A:$AM,31,FALSE),"")</f>
        <v>13461.142857142857</v>
      </c>
      <c r="AF277" s="13">
        <f>IFERROR(VLOOKUP($A277,koronahun!$A:$AM,32,FALSE),"")</f>
        <v>3.7673979779911444E-2</v>
      </c>
      <c r="AG277">
        <f>IFERROR(VLOOKUP($A277,koronahun!$A:$AM,33,FALSE),"")</f>
        <v>5026529</v>
      </c>
      <c r="AH277">
        <f>IFERROR(VLOOKUP($A277,koronahun!$A:$AM,34,FALSE),"")</f>
        <v>3384</v>
      </c>
      <c r="AI277">
        <f>IFERROR(VLOOKUP($A277,koronahun!$A:$AM,35,FALSE),"")</f>
        <v>44505.285714285717</v>
      </c>
      <c r="AJ277">
        <f>IFERROR(VLOOKUP($A277,koronahun!$A:$AM,36,FALSE),"")</f>
        <v>3072940</v>
      </c>
      <c r="AK277">
        <f>IFERROR(VLOOKUP($A277,koronahun!$A:$AM,37,FALSE),"")</f>
        <v>60457</v>
      </c>
      <c r="AL277">
        <f>IFERROR(VLOOKUP($A277,koronahun!$A:$AM,38,FALSE),"")</f>
        <v>46243.571428571428</v>
      </c>
      <c r="AM277" s="14">
        <f>IFERROR(VLOOKUP($A277,koronahun!$A:$AM,39,FALSE),"")</f>
        <v>4346.8571428571431</v>
      </c>
      <c r="AN277" s="11">
        <f ca="1">IFERROR(__xludf.DUMMYFUNCTION("""COMPUTED_VALUE"""),44169)</f>
        <v>44169</v>
      </c>
      <c r="AO277" s="12">
        <f ca="1">IFERROR(VLOOKUP(AN277,koronahun!A:B,2,FALSE),"")</f>
        <v>238056</v>
      </c>
      <c r="AP277" s="11">
        <f t="shared" ca="1" si="2"/>
        <v>44169</v>
      </c>
      <c r="AQ277" s="11">
        <f ca="1">IFERROR(__xludf.DUMMYFUNCTION("""COMPUTED_VALUE"""),44169)</f>
        <v>44169</v>
      </c>
      <c r="AR277" s="11">
        <v>44342</v>
      </c>
      <c r="AS277" s="11">
        <f t="shared" si="3"/>
        <v>44342</v>
      </c>
      <c r="AT277" s="11">
        <f ca="1">IFERROR(__xludf.DUMMYFUNCTION("""COMPUTED_VALUE"""),44341)</f>
        <v>44341</v>
      </c>
    </row>
    <row r="278" spans="1:46" ht="13">
      <c r="A278" s="11">
        <v>44340</v>
      </c>
      <c r="B278">
        <f>IFERROR(VLOOKUP($A278,koronahun!$A:$AM,2,FALSE),"")</f>
        <v>802346</v>
      </c>
      <c r="C278">
        <f>IFERROR(VLOOKUP($A278,koronahun!$A:$AM,3,FALSE),"")</f>
        <v>258</v>
      </c>
      <c r="D278">
        <f>IFERROR(VLOOKUP($A278,koronahun!$A:$AM,4,FALSE),"")</f>
        <v>29560</v>
      </c>
      <c r="E278">
        <f>IFERROR(VLOOKUP($A278,koronahun!$A:$AM,5,FALSE),"")</f>
        <v>670205</v>
      </c>
      <c r="F278">
        <f>IFERROR(VLOOKUP($A278,koronahun!$A:$AM,6,FALSE),"")</f>
        <v>5743991</v>
      </c>
      <c r="G278" s="12">
        <f>IFERROR(VLOOKUP($A278,koronahun!$A:$AM,7,FALSE),"")</f>
        <v>586121.53061224485</v>
      </c>
      <c r="H278">
        <f>IFERROR(VLOOKUP($A278,koronahun!$A:$AM,8,FALSE),"")</f>
        <v>0</v>
      </c>
      <c r="I278" s="13">
        <f>IFERROR(VLOOKUP($A278,koronahun!$A:$AM,9,FALSE),"")</f>
        <v>3.2166046618326168E-4</v>
      </c>
      <c r="J278" s="13">
        <f>IFERROR(VLOOKUP($A278,koronahun!$A:$AM,10,FALSE),"")</f>
        <v>0.1396844110654073</v>
      </c>
      <c r="K278" s="13">
        <f>IFERROR(VLOOKUP($A278,koronahun!$A:$AM,11,FALSE),"")</f>
        <v>1.6643278767769587E-3</v>
      </c>
      <c r="L278">
        <f>IFERROR(VLOOKUP($A278,koronahun!$A:$AM,12,FALSE),"")</f>
        <v>102581</v>
      </c>
      <c r="M278" s="13">
        <f>IFERROR(VLOOKUP($A278,koronahun!$A:$AM,13,FALSE),"")</f>
        <v>3.6841960949515543E-2</v>
      </c>
      <c r="N278" s="13">
        <f>IFERROR(VLOOKUP($A278,koronahun!$A:$AM,14,FALSE),"")</f>
        <v>0.83530671306394</v>
      </c>
      <c r="O278">
        <f>IFERROR(VLOOKUP($A278,koronahun!$A:$AM,15,FALSE),"")</f>
        <v>13211</v>
      </c>
      <c r="P278">
        <f>IFERROR(VLOOKUP($A278,koronahun!$A:$AM,16,FALSE),"")</f>
        <v>9544</v>
      </c>
      <c r="Q278" s="13">
        <f>IFERROR(VLOOKUP($A278,koronahun!$A:$AM,17,FALSE),"")</f>
        <v>2.7032690695725062E-2</v>
      </c>
      <c r="R278">
        <f>IFERROR(VLOOKUP($A278,koronahun!$A:$AM,18,FALSE),"")</f>
        <v>41</v>
      </c>
      <c r="S278">
        <f>IFERROR(VLOOKUP($A278,koronahun!$A:$AM,19,FALSE),"")</f>
        <v>1385</v>
      </c>
      <c r="T278">
        <f>IFERROR(VLOOKUP($A278,koronahun!$A:$AM,20,FALSE),"")</f>
        <v>1420</v>
      </c>
      <c r="U278">
        <f>IFERROR(VLOOKUP($A278,koronahun!$A:$AM,21,FALSE),"")</f>
        <v>169</v>
      </c>
      <c r="V278" s="13">
        <f>IFERROR(VLOOKUP($A278,koronahun!$A:$AM,22,FALSE),"")</f>
        <v>0.12785132598654445</v>
      </c>
      <c r="W278">
        <f>IFERROR(VLOOKUP($A278,koronahun!$A:$AM,23,FALSE),"")</f>
        <v>21</v>
      </c>
      <c r="X278">
        <f>IFERROR(VLOOKUP($A278,koronahun!$A:$AM,24,FALSE),"")</f>
        <v>-16</v>
      </c>
      <c r="Y278" s="14">
        <f>IFERROR(VLOOKUP($A278,koronahun!$A:$AM,25,FALSE),"")</f>
        <v>1.3842719411976876E-2</v>
      </c>
      <c r="Z278" s="14">
        <f>IFERROR(VLOOKUP($A278,koronahun!$A:$AM,26,FALSE),"")</f>
        <v>0.11901408450704225</v>
      </c>
      <c r="AA278" s="14">
        <f>IFERROR(VLOOKUP($A278,koronahun!$A:$AM,27,FALSE),"")</f>
        <v>0.60982705673185711</v>
      </c>
      <c r="AB278" s="14">
        <f>IFERROR(VLOOKUP($A278,koronahun!$A:$AM,28,FALSE),"")</f>
        <v>0.66655096607607567</v>
      </c>
      <c r="AC278" s="14">
        <f>IFERROR(VLOOKUP($A278,koronahun!$A:$AM,29,FALSE),"")</f>
        <v>539</v>
      </c>
      <c r="AD278" s="14">
        <f>IFERROR(VLOOKUP($A278,koronahun!$A:$AM,30,FALSE),"")</f>
        <v>49.571428571428569</v>
      </c>
      <c r="AE278" s="14">
        <f>IFERROR(VLOOKUP($A278,koronahun!$A:$AM,31,FALSE),"")</f>
        <v>13566.285714285714</v>
      </c>
      <c r="AF278" s="13">
        <f>IFERROR(VLOOKUP($A278,koronahun!$A:$AM,32,FALSE),"")</f>
        <v>4.1676658876811656E-2</v>
      </c>
      <c r="AG278">
        <f>IFERROR(VLOOKUP($A278,koronahun!$A:$AM,33,FALSE),"")</f>
        <v>5023145</v>
      </c>
      <c r="AH278">
        <f>IFERROR(VLOOKUP($A278,koronahun!$A:$AM,34,FALSE),"")</f>
        <v>17463</v>
      </c>
      <c r="AI278">
        <f>IFERROR(VLOOKUP($A278,koronahun!$A:$AM,35,FALSE),"")</f>
        <v>54835.142857142855</v>
      </c>
      <c r="AJ278">
        <f>IFERROR(VLOOKUP($A278,koronahun!$A:$AM,36,FALSE),"")</f>
        <v>3012483</v>
      </c>
      <c r="AK278">
        <f>IFERROR(VLOOKUP($A278,koronahun!$A:$AM,37,FALSE),"")</f>
        <v>11494</v>
      </c>
      <c r="AL278">
        <f>IFERROR(VLOOKUP($A278,koronahun!$A:$AM,38,FALSE),"")</f>
        <v>40759.714285714283</v>
      </c>
      <c r="AM278" s="14">
        <f>IFERROR(VLOOKUP($A278,koronahun!$A:$AM,39,FALSE),"")</f>
        <v>5604.1428571428569</v>
      </c>
      <c r="AN278" s="11">
        <f ca="1">IFERROR(__xludf.DUMMYFUNCTION("""COMPUTED_VALUE"""),44170)</f>
        <v>44170</v>
      </c>
      <c r="AO278" s="12">
        <f ca="1">IFERROR(VLOOKUP(AN278,koronahun!A:B,2,FALSE),"")</f>
        <v>243581</v>
      </c>
      <c r="AP278" s="11">
        <f t="shared" ca="1" si="2"/>
        <v>44170</v>
      </c>
      <c r="AQ278" s="11">
        <f ca="1">IFERROR(__xludf.DUMMYFUNCTION("""COMPUTED_VALUE"""),44170)</f>
        <v>44170</v>
      </c>
      <c r="AR278" s="11">
        <v>44341</v>
      </c>
      <c r="AS278" s="11">
        <f t="shared" si="3"/>
        <v>44341</v>
      </c>
      <c r="AT278" s="11">
        <f ca="1">IFERROR(__xludf.DUMMYFUNCTION("""COMPUTED_VALUE"""),44340)</f>
        <v>44340</v>
      </c>
    </row>
    <row r="279" spans="1:46" ht="13">
      <c r="A279" s="11">
        <v>44339</v>
      </c>
      <c r="B279">
        <f>IFERROR(VLOOKUP($A279,koronahun!$A:$AM,2,FALSE),"")</f>
        <v>802088</v>
      </c>
      <c r="C279">
        <f>IFERROR(VLOOKUP($A279,koronahun!$A:$AM,3,FALSE),"")</f>
        <v>416</v>
      </c>
      <c r="D279">
        <f>IFERROR(VLOOKUP($A279,koronahun!$A:$AM,4,FALSE),"")</f>
        <v>29519</v>
      </c>
      <c r="E279">
        <f>IFERROR(VLOOKUP($A279,koronahun!$A:$AM,5,FALSE),"")</f>
        <v>668820</v>
      </c>
      <c r="F279">
        <f>IFERROR(VLOOKUP($A279,koronahun!$A:$AM,6,FALSE),"")</f>
        <v>5734447</v>
      </c>
      <c r="G279" s="12">
        <f>IFERROR(VLOOKUP($A279,koronahun!$A:$AM,7,FALSE),"")</f>
        <v>585147.6530612245</v>
      </c>
      <c r="H279">
        <f>IFERROR(VLOOKUP($A279,koronahun!$A:$AM,8,FALSE),"")</f>
        <v>0</v>
      </c>
      <c r="I279" s="13">
        <f>IFERROR(VLOOKUP($A279,koronahun!$A:$AM,9,FALSE),"")</f>
        <v>5.1891546667464999E-4</v>
      </c>
      <c r="J279" s="13">
        <f>IFERROR(VLOOKUP($A279,koronahun!$A:$AM,10,FALSE),"")</f>
        <v>0.13987190046398545</v>
      </c>
      <c r="K279" s="13">
        <f>IFERROR(VLOOKUP($A279,koronahun!$A:$AM,11,FALSE),"")</f>
        <v>2.4559479952269057E-3</v>
      </c>
      <c r="L279">
        <f>IFERROR(VLOOKUP($A279,koronahun!$A:$AM,12,FALSE),"")</f>
        <v>103749</v>
      </c>
      <c r="M279" s="13">
        <f>IFERROR(VLOOKUP($A279,koronahun!$A:$AM,13,FALSE),"")</f>
        <v>3.6802694966138381E-2</v>
      </c>
      <c r="N279" s="13">
        <f>IFERROR(VLOOKUP($A279,koronahun!$A:$AM,14,FALSE),"")</f>
        <v>0.83384865501042282</v>
      </c>
      <c r="O279">
        <f>IFERROR(VLOOKUP($A279,koronahun!$A:$AM,15,FALSE),"")</f>
        <v>14220</v>
      </c>
      <c r="P279">
        <f>IFERROR(VLOOKUP($A279,koronahun!$A:$AM,16,FALSE),"")</f>
        <v>14049</v>
      </c>
      <c r="Q279" s="13">
        <f>IFERROR(VLOOKUP($A279,koronahun!$A:$AM,17,FALSE),"")</f>
        <v>2.9610648444729163E-2</v>
      </c>
      <c r="R279">
        <f>IFERROR(VLOOKUP($A279,koronahun!$A:$AM,18,FALSE),"")</f>
        <v>44</v>
      </c>
      <c r="S279">
        <f>IFERROR(VLOOKUP($A279,koronahun!$A:$AM,19,FALSE),"")</f>
        <v>3268</v>
      </c>
      <c r="T279">
        <f>IFERROR(VLOOKUP($A279,koronahun!$A:$AM,20,FALSE),"")</f>
        <v>1399</v>
      </c>
      <c r="U279">
        <f>IFERROR(VLOOKUP($A279,koronahun!$A:$AM,21,FALSE),"")</f>
        <v>185</v>
      </c>
      <c r="V279" s="13">
        <f>IFERROR(VLOOKUP($A279,koronahun!$A:$AM,22,FALSE),"")</f>
        <v>0.12934865002343882</v>
      </c>
      <c r="W279">
        <f>IFERROR(VLOOKUP($A279,koronahun!$A:$AM,23,FALSE),"")</f>
        <v>-101</v>
      </c>
      <c r="X279">
        <f>IFERROR(VLOOKUP($A279,koronahun!$A:$AM,24,FALSE),"")</f>
        <v>2</v>
      </c>
      <c r="Y279" s="14">
        <f>IFERROR(VLOOKUP($A279,koronahun!$A:$AM,25,FALSE),"")</f>
        <v>1.3484467320166942E-2</v>
      </c>
      <c r="Z279" s="14">
        <f>IFERROR(VLOOKUP($A279,koronahun!$A:$AM,26,FALSE),"")</f>
        <v>0.13223731236597569</v>
      </c>
      <c r="AA279" s="14">
        <f>IFERROR(VLOOKUP($A279,koronahun!$A:$AM,27,FALSE),"")</f>
        <v>0.61214662938800868</v>
      </c>
      <c r="AB279" s="14">
        <f>IFERROR(VLOOKUP($A279,koronahun!$A:$AM,28,FALSE),"")</f>
        <v>0.6862433459732511</v>
      </c>
      <c r="AC279" s="14">
        <f>IFERROR(VLOOKUP($A279,koronahun!$A:$AM,29,FALSE),"")</f>
        <v>563</v>
      </c>
      <c r="AD279" s="14">
        <f>IFERROR(VLOOKUP($A279,koronahun!$A:$AM,30,FALSE),"")</f>
        <v>49.142857142857146</v>
      </c>
      <c r="AE279" s="14">
        <f>IFERROR(VLOOKUP($A279,koronahun!$A:$AM,31,FALSE),"")</f>
        <v>13683.571428571429</v>
      </c>
      <c r="AF279" s="13">
        <f>IFERROR(VLOOKUP($A279,koronahun!$A:$AM,32,FALSE),"")</f>
        <v>4.3686253817736602E-2</v>
      </c>
      <c r="AG279">
        <f>IFERROR(VLOOKUP($A279,koronahun!$A:$AM,33,FALSE),"")</f>
        <v>5005682</v>
      </c>
      <c r="AH279">
        <f>IFERROR(VLOOKUP($A279,koronahun!$A:$AM,34,FALSE),"")</f>
        <v>36361</v>
      </c>
      <c r="AI279">
        <f>IFERROR(VLOOKUP($A279,koronahun!$A:$AM,35,FALSE),"")</f>
        <v>57952.857142857145</v>
      </c>
      <c r="AJ279">
        <f>IFERROR(VLOOKUP($A279,koronahun!$A:$AM,36,FALSE),"")</f>
        <v>3000989</v>
      </c>
      <c r="AK279">
        <f>IFERROR(VLOOKUP($A279,koronahun!$A:$AM,37,FALSE),"")</f>
        <v>33639</v>
      </c>
      <c r="AL279">
        <f>IFERROR(VLOOKUP($A279,koronahun!$A:$AM,38,FALSE),"")</f>
        <v>42742.857142857145</v>
      </c>
      <c r="AM279" s="14">
        <f>IFERROR(VLOOKUP($A279,koronahun!$A:$AM,39,FALSE),"")</f>
        <v>6247.4285714285716</v>
      </c>
      <c r="AN279" s="11">
        <f ca="1">IFERROR(__xludf.DUMMYFUNCTION("""COMPUTED_VALUE"""),44171)</f>
        <v>44171</v>
      </c>
      <c r="AO279" s="12">
        <f ca="1">IFERROR(VLOOKUP(AN279,koronahun!A:B,2,FALSE),"")</f>
        <v>250278</v>
      </c>
      <c r="AP279" s="11">
        <f t="shared" ca="1" si="2"/>
        <v>44171</v>
      </c>
      <c r="AQ279" s="11">
        <f ca="1">IFERROR(__xludf.DUMMYFUNCTION("""COMPUTED_VALUE"""),44171)</f>
        <v>44171</v>
      </c>
      <c r="AR279" s="11">
        <v>44340</v>
      </c>
      <c r="AS279" s="11">
        <f t="shared" si="3"/>
        <v>44340</v>
      </c>
      <c r="AT279" s="11">
        <f ca="1">IFERROR(__xludf.DUMMYFUNCTION("""COMPUTED_VALUE"""),44339)</f>
        <v>44339</v>
      </c>
    </row>
    <row r="280" spans="1:46" ht="13">
      <c r="A280" s="11">
        <v>44338</v>
      </c>
      <c r="B280">
        <f>IFERROR(VLOOKUP($A280,koronahun!$A:$AM,2,FALSE),"")</f>
        <v>801672</v>
      </c>
      <c r="C280">
        <f>IFERROR(VLOOKUP($A280,koronahun!$A:$AM,3,FALSE),"")</f>
        <v>647</v>
      </c>
      <c r="D280">
        <f>IFERROR(VLOOKUP($A280,koronahun!$A:$AM,4,FALSE),"")</f>
        <v>29475</v>
      </c>
      <c r="E280">
        <f>IFERROR(VLOOKUP($A280,koronahun!$A:$AM,5,FALSE),"")</f>
        <v>665552</v>
      </c>
      <c r="F280">
        <f>IFERROR(VLOOKUP($A280,koronahun!$A:$AM,6,FALSE),"")</f>
        <v>5720398</v>
      </c>
      <c r="G280" s="12">
        <f>IFERROR(VLOOKUP($A280,koronahun!$A:$AM,7,FALSE),"")</f>
        <v>583714.08163265302</v>
      </c>
      <c r="H280">
        <f>IFERROR(VLOOKUP($A280,koronahun!$A:$AM,8,FALSE),"")</f>
        <v>0</v>
      </c>
      <c r="I280" s="13">
        <f>IFERROR(VLOOKUP($A280,koronahun!$A:$AM,9,FALSE),"")</f>
        <v>8.0771511500889485E-4</v>
      </c>
      <c r="J280" s="13">
        <f>IFERROR(VLOOKUP($A280,koronahun!$A:$AM,10,FALSE),"")</f>
        <v>0.14014269636483337</v>
      </c>
      <c r="K280" s="13">
        <f>IFERROR(VLOOKUP($A280,koronahun!$A:$AM,11,FALSE),"")</f>
        <v>3.9752547848729003E-3</v>
      </c>
      <c r="L280">
        <f>IFERROR(VLOOKUP($A280,koronahun!$A:$AM,12,FALSE),"")</f>
        <v>106645</v>
      </c>
      <c r="M280" s="13">
        <f>IFERROR(VLOOKUP($A280,koronahun!$A:$AM,13,FALSE),"")</f>
        <v>3.6766907164027182E-2</v>
      </c>
      <c r="N280" s="13">
        <f>IFERROR(VLOOKUP($A280,koronahun!$A:$AM,14,FALSE),"")</f>
        <v>0.83020487181790059</v>
      </c>
      <c r="O280">
        <f>IFERROR(VLOOKUP($A280,koronahun!$A:$AM,15,FALSE),"")</f>
        <v>15585</v>
      </c>
      <c r="P280">
        <f>IFERROR(VLOOKUP($A280,koronahun!$A:$AM,16,FALSE),"")</f>
        <v>22650</v>
      </c>
      <c r="Q280" s="13">
        <f>IFERROR(VLOOKUP($A280,koronahun!$A:$AM,17,FALSE),"")</f>
        <v>2.8565121412803533E-2</v>
      </c>
      <c r="R280">
        <f>IFERROR(VLOOKUP($A280,koronahun!$A:$AM,18,FALSE),"")</f>
        <v>48</v>
      </c>
      <c r="S280">
        <f>IFERROR(VLOOKUP($A280,koronahun!$A:$AM,19,FALSE),"")</f>
        <v>3988</v>
      </c>
      <c r="T280">
        <f>IFERROR(VLOOKUP($A280,koronahun!$A:$AM,20,FALSE),"")</f>
        <v>1500</v>
      </c>
      <c r="U280">
        <f>IFERROR(VLOOKUP($A280,koronahun!$A:$AM,21,FALSE),"")</f>
        <v>183</v>
      </c>
      <c r="V280" s="13">
        <f>IFERROR(VLOOKUP($A280,koronahun!$A:$AM,22,FALSE),"")</f>
        <v>0.13302822101807224</v>
      </c>
      <c r="W280">
        <f>IFERROR(VLOOKUP($A280,koronahun!$A:$AM,23,FALSE),"")</f>
        <v>-145</v>
      </c>
      <c r="X280">
        <f>IFERROR(VLOOKUP($A280,koronahun!$A:$AM,24,FALSE),"")</f>
        <v>-12</v>
      </c>
      <c r="Y280" s="14">
        <f>IFERROR(VLOOKUP($A280,koronahun!$A:$AM,25,FALSE),"")</f>
        <v>1.4065357025645835E-2</v>
      </c>
      <c r="Z280" s="14">
        <f>IFERROR(VLOOKUP($A280,koronahun!$A:$AM,26,FALSE),"")</f>
        <v>0.122</v>
      </c>
      <c r="AA280" s="14">
        <f>IFERROR(VLOOKUP($A280,koronahun!$A:$AM,27,FALSE),"")</f>
        <v>0.61806263656227245</v>
      </c>
      <c r="AB280" s="14">
        <f>IFERROR(VLOOKUP($A280,koronahun!$A:$AM,28,FALSE),"")</f>
        <v>0.7031053036959285</v>
      </c>
      <c r="AC280" s="14">
        <f>IFERROR(VLOOKUP($A280,koronahun!$A:$AM,29,FALSE),"")</f>
        <v>606.14285714285711</v>
      </c>
      <c r="AD280" s="14">
        <f>IFERROR(VLOOKUP($A280,koronahun!$A:$AM,30,FALSE),"")</f>
        <v>51.571428571428569</v>
      </c>
      <c r="AE280" s="14">
        <f>IFERROR(VLOOKUP($A280,koronahun!$A:$AM,31,FALSE),"")</f>
        <v>13937.428571428571</v>
      </c>
      <c r="AF280" s="13">
        <f>IFERROR(VLOOKUP($A280,koronahun!$A:$AM,32,FALSE),"")</f>
        <v>4.593735848919691E-2</v>
      </c>
      <c r="AG280">
        <f>IFERROR(VLOOKUP($A280,koronahun!$A:$AM,33,FALSE),"")</f>
        <v>4969321</v>
      </c>
      <c r="AH280">
        <f>IFERROR(VLOOKUP($A280,koronahun!$A:$AM,34,FALSE),"")</f>
        <v>70455</v>
      </c>
      <c r="AI280">
        <f>IFERROR(VLOOKUP($A280,koronahun!$A:$AM,35,FALSE),"")</f>
        <v>59234.571428571428</v>
      </c>
      <c r="AJ280">
        <f>IFERROR(VLOOKUP($A280,koronahun!$A:$AM,36,FALSE),"")</f>
        <v>2967350</v>
      </c>
      <c r="AK280">
        <f>IFERROR(VLOOKUP($A280,koronahun!$A:$AM,37,FALSE),"")</f>
        <v>81058</v>
      </c>
      <c r="AL280">
        <f>IFERROR(VLOOKUP($A280,koronahun!$A:$AM,38,FALSE),"")</f>
        <v>44382.714285714283</v>
      </c>
      <c r="AM280" s="14">
        <f>IFERROR(VLOOKUP($A280,koronahun!$A:$AM,39,FALSE),"")</f>
        <v>6706.2857142857147</v>
      </c>
      <c r="AN280" s="11">
        <f ca="1">IFERROR(__xludf.DUMMYFUNCTION("""COMPUTED_VALUE"""),44172)</f>
        <v>44172</v>
      </c>
      <c r="AO280" s="12">
        <f ca="1">IFERROR(VLOOKUP(AN280,koronahun!A:B,2,FALSE),"")</f>
        <v>254148</v>
      </c>
      <c r="AP280" s="11">
        <f t="shared" ca="1" si="2"/>
        <v>44172</v>
      </c>
      <c r="AQ280" s="11">
        <f ca="1">IFERROR(__xludf.DUMMYFUNCTION("""COMPUTED_VALUE"""),44172)</f>
        <v>44172</v>
      </c>
      <c r="AR280" s="11">
        <v>44339</v>
      </c>
      <c r="AS280" s="11">
        <f t="shared" si="3"/>
        <v>44339</v>
      </c>
      <c r="AT280" s="11">
        <f ca="1">IFERROR(__xludf.DUMMYFUNCTION("""COMPUTED_VALUE"""),44338)</f>
        <v>44338</v>
      </c>
    </row>
    <row r="281" spans="1:46" ht="13">
      <c r="A281" s="11">
        <v>44337</v>
      </c>
      <c r="B281">
        <f>IFERROR(VLOOKUP($A281,koronahun!$A:$AM,2,FALSE),"")</f>
        <v>801025</v>
      </c>
      <c r="C281">
        <f>IFERROR(VLOOKUP($A281,koronahun!$A:$AM,3,FALSE),"")</f>
        <v>657</v>
      </c>
      <c r="D281">
        <f>IFERROR(VLOOKUP($A281,koronahun!$A:$AM,4,FALSE),"")</f>
        <v>29427</v>
      </c>
      <c r="E281">
        <f>IFERROR(VLOOKUP($A281,koronahun!$A:$AM,5,FALSE),"")</f>
        <v>661564</v>
      </c>
      <c r="F281">
        <f>IFERROR(VLOOKUP($A281,koronahun!$A:$AM,6,FALSE),"")</f>
        <v>5697748</v>
      </c>
      <c r="G281" s="12">
        <f>IFERROR(VLOOKUP($A281,koronahun!$A:$AM,7,FALSE),"")</f>
        <v>581402.85714285704</v>
      </c>
      <c r="H281">
        <f>IFERROR(VLOOKUP($A281,koronahun!$A:$AM,8,FALSE),"")</f>
        <v>0</v>
      </c>
      <c r="I281" s="13">
        <f>IFERROR(VLOOKUP($A281,koronahun!$A:$AM,9,FALSE),"")</f>
        <v>8.2087239869659955E-4</v>
      </c>
      <c r="J281" s="13">
        <f>IFERROR(VLOOKUP($A281,koronahun!$A:$AM,10,FALSE),"")</f>
        <v>0.14058624565354594</v>
      </c>
      <c r="K281" s="13">
        <f>IFERROR(VLOOKUP($A281,koronahun!$A:$AM,11,FALSE),"")</f>
        <v>1.8693126939361368E-3</v>
      </c>
      <c r="L281">
        <f>IFERROR(VLOOKUP($A281,koronahun!$A:$AM,12,FALSE),"")</f>
        <v>110034</v>
      </c>
      <c r="M281" s="13">
        <f>IFERROR(VLOOKUP($A281,koronahun!$A:$AM,13,FALSE),"")</f>
        <v>3.6736681127305638E-2</v>
      </c>
      <c r="N281" s="13">
        <f>IFERROR(VLOOKUP($A281,koronahun!$A:$AM,14,FALSE),"")</f>
        <v>0.8258968196997597</v>
      </c>
      <c r="O281">
        <f>IFERROR(VLOOKUP($A281,koronahun!$A:$AM,15,FALSE),"")</f>
        <v>16209</v>
      </c>
      <c r="P281">
        <f>IFERROR(VLOOKUP($A281,koronahun!$A:$AM,16,FALSE),"")</f>
        <v>10631</v>
      </c>
      <c r="Q281" s="13">
        <f>IFERROR(VLOOKUP($A281,koronahun!$A:$AM,17,FALSE),"")</f>
        <v>6.180039507101872E-2</v>
      </c>
      <c r="R281">
        <f>IFERROR(VLOOKUP($A281,koronahun!$A:$AM,18,FALSE),"")</f>
        <v>47</v>
      </c>
      <c r="S281">
        <f>IFERROR(VLOOKUP($A281,koronahun!$A:$AM,19,FALSE),"")</f>
        <v>5605</v>
      </c>
      <c r="T281">
        <f>IFERROR(VLOOKUP($A281,koronahun!$A:$AM,20,FALSE),"")</f>
        <v>1645</v>
      </c>
      <c r="U281">
        <f>IFERROR(VLOOKUP($A281,koronahun!$A:$AM,21,FALSE),"")</f>
        <v>195</v>
      </c>
      <c r="V281" s="13">
        <f>IFERROR(VLOOKUP($A281,koronahun!$A:$AM,22,FALSE),"")</f>
        <v>0.13736649917293467</v>
      </c>
      <c r="W281">
        <f>IFERROR(VLOOKUP($A281,koronahun!$A:$AM,23,FALSE),"")</f>
        <v>-191</v>
      </c>
      <c r="X281">
        <f>IFERROR(VLOOKUP($A281,koronahun!$A:$AM,24,FALSE),"")</f>
        <v>-17</v>
      </c>
      <c r="Y281" s="14">
        <f>IFERROR(VLOOKUP($A281,koronahun!$A:$AM,25,FALSE),"")</f>
        <v>1.4949924568769653E-2</v>
      </c>
      <c r="Z281" s="14">
        <f>IFERROR(VLOOKUP($A281,koronahun!$A:$AM,26,FALSE),"")</f>
        <v>0.11854103343465046</v>
      </c>
      <c r="AA281" s="14">
        <f>IFERROR(VLOOKUP($A281,koronahun!$A:$AM,27,FALSE),"")</f>
        <v>0.64357123021382945</v>
      </c>
      <c r="AB281" s="14">
        <f>IFERROR(VLOOKUP($A281,koronahun!$A:$AM,28,FALSE),"")</f>
        <v>0.72066215624778351</v>
      </c>
      <c r="AC281" s="14">
        <f>IFERROR(VLOOKUP($A281,koronahun!$A:$AM,29,FALSE),"")</f>
        <v>662.14285714285711</v>
      </c>
      <c r="AD281" s="14">
        <f>IFERROR(VLOOKUP($A281,koronahun!$A:$AM,30,FALSE),"")</f>
        <v>55.142857142857146</v>
      </c>
      <c r="AE281" s="14">
        <f>IFERROR(VLOOKUP($A281,koronahun!$A:$AM,31,FALSE),"")</f>
        <v>12916</v>
      </c>
      <c r="AF281" s="13">
        <f>IFERROR(VLOOKUP($A281,koronahun!$A:$AM,32,FALSE),"")</f>
        <v>5.1432663725155855E-2</v>
      </c>
      <c r="AG281">
        <f>IFERROR(VLOOKUP($A281,koronahun!$A:$AM,33,FALSE),"")</f>
        <v>4898866</v>
      </c>
      <c r="AH281">
        <f>IFERROR(VLOOKUP($A281,koronahun!$A:$AM,34,FALSE),"")</f>
        <v>69271</v>
      </c>
      <c r="AI281">
        <f>IFERROR(VLOOKUP($A281,koronahun!$A:$AM,35,FALSE),"")</f>
        <v>59324</v>
      </c>
      <c r="AJ281">
        <f>IFERROR(VLOOKUP($A281,koronahun!$A:$AM,36,FALSE),"")</f>
        <v>2886292</v>
      </c>
      <c r="AK281">
        <f>IFERROR(VLOOKUP($A281,koronahun!$A:$AM,37,FALSE),"")</f>
        <v>71487</v>
      </c>
      <c r="AL281">
        <f>IFERROR(VLOOKUP($A281,koronahun!$A:$AM,38,FALSE),"")</f>
        <v>37062.142857142855</v>
      </c>
      <c r="AM281" s="14">
        <f>IFERROR(VLOOKUP($A281,koronahun!$A:$AM,39,FALSE),"")</f>
        <v>7524.7142857142853</v>
      </c>
      <c r="AN281" s="11">
        <f ca="1">IFERROR(__xludf.DUMMYFUNCTION("""COMPUTED_VALUE"""),44173)</f>
        <v>44173</v>
      </c>
      <c r="AO281" s="12">
        <f ca="1">IFERROR(VLOOKUP(AN281,koronahun!A:B,2,FALSE),"")</f>
        <v>256367</v>
      </c>
      <c r="AP281" s="11">
        <f t="shared" ca="1" si="2"/>
        <v>44173</v>
      </c>
      <c r="AQ281" s="11">
        <f ca="1">IFERROR(__xludf.DUMMYFUNCTION("""COMPUTED_VALUE"""),44173)</f>
        <v>44173</v>
      </c>
      <c r="AR281" s="11">
        <v>44338</v>
      </c>
      <c r="AS281" s="11">
        <f t="shared" si="3"/>
        <v>44338</v>
      </c>
      <c r="AT281" s="11">
        <f ca="1">IFERROR(__xludf.DUMMYFUNCTION("""COMPUTED_VALUE"""),44337)</f>
        <v>44337</v>
      </c>
    </row>
    <row r="282" spans="1:46" ht="13">
      <c r="A282" s="11">
        <v>44336</v>
      </c>
      <c r="B282">
        <f>IFERROR(VLOOKUP($A282,koronahun!$A:$AM,2,FALSE),"")</f>
        <v>800368</v>
      </c>
      <c r="C282">
        <f>IFERROR(VLOOKUP($A282,koronahun!$A:$AM,3,FALSE),"")</f>
        <v>780</v>
      </c>
      <c r="D282">
        <f>IFERROR(VLOOKUP($A282,koronahun!$A:$AM,4,FALSE),"")</f>
        <v>29380</v>
      </c>
      <c r="E282">
        <f>IFERROR(VLOOKUP($A282,koronahun!$A:$AM,5,FALSE),"")</f>
        <v>655959</v>
      </c>
      <c r="F282">
        <f>IFERROR(VLOOKUP($A282,koronahun!$A:$AM,6,FALSE),"")</f>
        <v>5687117</v>
      </c>
      <c r="G282" s="12">
        <f>IFERROR(VLOOKUP($A282,koronahun!$A:$AM,7,FALSE),"")</f>
        <v>580318.06122448971</v>
      </c>
      <c r="H282">
        <f>IFERROR(VLOOKUP($A282,koronahun!$A:$AM,8,FALSE),"")</f>
        <v>0</v>
      </c>
      <c r="I282" s="13">
        <f>IFERROR(VLOOKUP($A282,koronahun!$A:$AM,9,FALSE),"")</f>
        <v>9.7550238372761972E-4</v>
      </c>
      <c r="J282" s="13">
        <f>IFERROR(VLOOKUP($A282,koronahun!$A:$AM,10,FALSE),"")</f>
        <v>0.14073352104414241</v>
      </c>
      <c r="K282" s="13">
        <f>IFERROR(VLOOKUP($A282,koronahun!$A:$AM,11,FALSE),"")</f>
        <v>2.8786097464675573E-3</v>
      </c>
      <c r="L282">
        <f>IFERROR(VLOOKUP($A282,koronahun!$A:$AM,12,FALSE),"")</f>
        <v>115029</v>
      </c>
      <c r="M282" s="13">
        <f>IFERROR(VLOOKUP($A282,koronahun!$A:$AM,13,FALSE),"")</f>
        <v>3.6708114267436982E-2</v>
      </c>
      <c r="N282" s="13">
        <f>IFERROR(VLOOKUP($A282,koronahun!$A:$AM,14,FALSE),"")</f>
        <v>0.81957174699638169</v>
      </c>
      <c r="O282">
        <f>IFERROR(VLOOKUP($A282,koronahun!$A:$AM,15,FALSE),"")</f>
        <v>16210</v>
      </c>
      <c r="P282">
        <f>IFERROR(VLOOKUP($A282,koronahun!$A:$AM,16,FALSE),"")</f>
        <v>16324</v>
      </c>
      <c r="Q282" s="13">
        <f>IFERROR(VLOOKUP($A282,koronahun!$A:$AM,17,FALSE),"")</f>
        <v>4.7782406272972311E-2</v>
      </c>
      <c r="R282">
        <f>IFERROR(VLOOKUP($A282,koronahun!$A:$AM,18,FALSE),"")</f>
        <v>51</v>
      </c>
      <c r="S282">
        <f>IFERROR(VLOOKUP($A282,koronahun!$A:$AM,19,FALSE),"")</f>
        <v>7446</v>
      </c>
      <c r="T282">
        <f>IFERROR(VLOOKUP($A282,koronahun!$A:$AM,20,FALSE),"")</f>
        <v>1836</v>
      </c>
      <c r="U282">
        <f>IFERROR(VLOOKUP($A282,koronahun!$A:$AM,21,FALSE),"")</f>
        <v>212</v>
      </c>
      <c r="V282" s="13">
        <f>IFERROR(VLOOKUP($A282,koronahun!$A:$AM,22,FALSE),"")</f>
        <v>0.14372013873618136</v>
      </c>
      <c r="W282">
        <f>IFERROR(VLOOKUP($A282,koronahun!$A:$AM,23,FALSE),"")</f>
        <v>-72</v>
      </c>
      <c r="X282">
        <f>IFERROR(VLOOKUP($A282,koronahun!$A:$AM,24,FALSE),"")</f>
        <v>-12</v>
      </c>
      <c r="Y282" s="14">
        <f>IFERROR(VLOOKUP($A282,koronahun!$A:$AM,25,FALSE),"")</f>
        <v>1.5961192394961271E-2</v>
      </c>
      <c r="Z282" s="14">
        <f>IFERROR(VLOOKUP($A282,koronahun!$A:$AM,26,FALSE),"")</f>
        <v>0.11546840958605664</v>
      </c>
      <c r="AA282" s="14">
        <f>IFERROR(VLOOKUP($A282,koronahun!$A:$AM,27,FALSE),"")</f>
        <v>0.68423143121938301</v>
      </c>
      <c r="AB282" s="14">
        <f>IFERROR(VLOOKUP($A282,koronahun!$A:$AM,28,FALSE),"")</f>
        <v>0.73328206180376365</v>
      </c>
      <c r="AC282" s="14">
        <f>IFERROR(VLOOKUP($A282,koronahun!$A:$AM,29,FALSE),"")</f>
        <v>738.28571428571433</v>
      </c>
      <c r="AD282" s="14">
        <f>IFERROR(VLOOKUP($A282,koronahun!$A:$AM,30,FALSE),"")</f>
        <v>58.571428571428569</v>
      </c>
      <c r="AE282" s="14">
        <f>IFERROR(VLOOKUP($A282,koronahun!$A:$AM,31,FALSE),"")</f>
        <v>14097.428571428571</v>
      </c>
      <c r="AF282" s="13">
        <f>IFERROR(VLOOKUP($A282,koronahun!$A:$AM,32,FALSE),"")</f>
        <v>5.159826896722676E-2</v>
      </c>
      <c r="AG282">
        <f>IFERROR(VLOOKUP($A282,koronahun!$A:$AM,33,FALSE),"")</f>
        <v>4829595</v>
      </c>
      <c r="AH282">
        <f>IFERROR(VLOOKUP($A282,koronahun!$A:$AM,34,FALSE),"")</f>
        <v>38599</v>
      </c>
      <c r="AI282">
        <f>IFERROR(VLOOKUP($A282,koronahun!$A:$AM,35,FALSE),"")</f>
        <v>58404</v>
      </c>
      <c r="AJ282">
        <f>IFERROR(VLOOKUP($A282,koronahun!$A:$AM,36,FALSE),"")</f>
        <v>2814805</v>
      </c>
      <c r="AK282">
        <f>IFERROR(VLOOKUP($A282,koronahun!$A:$AM,37,FALSE),"")</f>
        <v>40389</v>
      </c>
      <c r="AL282">
        <f>IFERROR(VLOOKUP($A282,koronahun!$A:$AM,38,FALSE),"")</f>
        <v>32846.571428571428</v>
      </c>
      <c r="AM282" s="14">
        <f>IFERROR(VLOOKUP($A282,koronahun!$A:$AM,39,FALSE),"")</f>
        <v>7928.2857142857147</v>
      </c>
      <c r="AN282" s="11">
        <f ca="1">IFERROR(__xludf.DUMMYFUNCTION("""COMPUTED_VALUE"""),44174)</f>
        <v>44174</v>
      </c>
      <c r="AO282" s="12">
        <f ca="1">IFERROR(VLOOKUP(AN282,koronahun!A:B,2,FALSE),"")</f>
        <v>259588</v>
      </c>
      <c r="AP282" s="11">
        <f t="shared" ca="1" si="2"/>
        <v>44174</v>
      </c>
      <c r="AQ282" s="11">
        <f ca="1">IFERROR(__xludf.DUMMYFUNCTION("""COMPUTED_VALUE"""),44174)</f>
        <v>44174</v>
      </c>
      <c r="AR282" s="11">
        <v>44337</v>
      </c>
      <c r="AS282" s="11">
        <f t="shared" si="3"/>
        <v>44337</v>
      </c>
      <c r="AT282" s="11">
        <f ca="1">IFERROR(__xludf.DUMMYFUNCTION("""COMPUTED_VALUE"""),44336)</f>
        <v>44336</v>
      </c>
    </row>
    <row r="283" spans="1:46" ht="13">
      <c r="A283" s="11">
        <v>44335</v>
      </c>
      <c r="B283">
        <f>IFERROR(VLOOKUP($A283,koronahun!$A:$AM,2,FALSE),"")</f>
        <v>799588</v>
      </c>
      <c r="C283">
        <f>IFERROR(VLOOKUP($A283,koronahun!$A:$AM,3,FALSE),"")</f>
        <v>633</v>
      </c>
      <c r="D283">
        <f>IFERROR(VLOOKUP($A283,koronahun!$A:$AM,4,FALSE),"")</f>
        <v>29329</v>
      </c>
      <c r="E283">
        <f>IFERROR(VLOOKUP($A283,koronahun!$A:$AM,5,FALSE),"")</f>
        <v>648513</v>
      </c>
      <c r="F283">
        <f>IFERROR(VLOOKUP($A283,koronahun!$A:$AM,6,FALSE),"")</f>
        <v>5670793</v>
      </c>
      <c r="G283" s="12">
        <f>IFERROR(VLOOKUP($A283,koronahun!$A:$AM,7,FALSE),"")</f>
        <v>578652.3469387755</v>
      </c>
      <c r="H283">
        <f>IFERROR(VLOOKUP($A283,koronahun!$A:$AM,8,FALSE),"")</f>
        <v>0</v>
      </c>
      <c r="I283" s="13">
        <f>IFERROR(VLOOKUP($A283,koronahun!$A:$AM,9,FALSE),"")</f>
        <v>7.9228492217959709E-4</v>
      </c>
      <c r="J283" s="13">
        <f>IFERROR(VLOOKUP($A283,koronahun!$A:$AM,10,FALSE),"")</f>
        <v>0.14100109102906772</v>
      </c>
      <c r="K283" s="13">
        <f>IFERROR(VLOOKUP($A283,koronahun!$A:$AM,11,FALSE),"")</f>
        <v>2.5922313326901376E-3</v>
      </c>
      <c r="L283">
        <f>IFERROR(VLOOKUP($A283,koronahun!$A:$AM,12,FALSE),"")</f>
        <v>121746</v>
      </c>
      <c r="M283" s="13">
        <f>IFERROR(VLOOKUP($A283,koronahun!$A:$AM,13,FALSE),"")</f>
        <v>3.6680140272240203E-2</v>
      </c>
      <c r="N283" s="13">
        <f>IFERROR(VLOOKUP($A283,koronahun!$A:$AM,14,FALSE),"")</f>
        <v>0.81105894535685874</v>
      </c>
      <c r="O283">
        <f>IFERROR(VLOOKUP($A283,koronahun!$A:$AM,15,FALSE),"")</f>
        <v>16027</v>
      </c>
      <c r="P283">
        <f>IFERROR(VLOOKUP($A283,koronahun!$A:$AM,16,FALSE),"")</f>
        <v>14662</v>
      </c>
      <c r="Q283" s="13">
        <f>IFERROR(VLOOKUP($A283,koronahun!$A:$AM,17,FALSE),"")</f>
        <v>4.3172827717910242E-2</v>
      </c>
      <c r="R283">
        <f>IFERROR(VLOOKUP($A283,koronahun!$A:$AM,18,FALSE),"")</f>
        <v>52</v>
      </c>
      <c r="S283">
        <f>IFERROR(VLOOKUP($A283,koronahun!$A:$AM,19,FALSE),"")</f>
        <v>7549</v>
      </c>
      <c r="T283">
        <f>IFERROR(VLOOKUP($A283,koronahun!$A:$AM,20,FALSE),"")</f>
        <v>1908</v>
      </c>
      <c r="U283">
        <f>IFERROR(VLOOKUP($A283,koronahun!$A:$AM,21,FALSE),"")</f>
        <v>224</v>
      </c>
      <c r="V283" s="13">
        <f>IFERROR(VLOOKUP($A283,koronahun!$A:$AM,22,FALSE),"")</f>
        <v>0.152260914370901</v>
      </c>
      <c r="W283">
        <f>IFERROR(VLOOKUP($A283,koronahun!$A:$AM,23,FALSE),"")</f>
        <v>-289</v>
      </c>
      <c r="X283">
        <f>IFERROR(VLOOKUP($A283,koronahun!$A:$AM,24,FALSE),"")</f>
        <v>-27</v>
      </c>
      <c r="Y283" s="14">
        <f>IFERROR(VLOOKUP($A283,koronahun!$A:$AM,25,FALSE),"")</f>
        <v>1.5671972795820808E-2</v>
      </c>
      <c r="Z283" s="14">
        <f>IFERROR(VLOOKUP($A283,koronahun!$A:$AM,26,FALSE),"")</f>
        <v>0.11740041928721175</v>
      </c>
      <c r="AA283" s="14">
        <f>IFERROR(VLOOKUP($A283,koronahun!$A:$AM,27,FALSE),"")</f>
        <v>0.74248432902648076</v>
      </c>
      <c r="AB283" s="14">
        <f>IFERROR(VLOOKUP($A283,koronahun!$A:$AM,28,FALSE),"")</f>
        <v>0.73671625987305556</v>
      </c>
      <c r="AC283" s="14">
        <f>IFERROR(VLOOKUP($A283,koronahun!$A:$AM,29,FALSE),"")</f>
        <v>829.14285714285711</v>
      </c>
      <c r="AD283" s="14">
        <f>IFERROR(VLOOKUP($A283,koronahun!$A:$AM,30,FALSE),"")</f>
        <v>63</v>
      </c>
      <c r="AE283" s="14">
        <f>IFERROR(VLOOKUP($A283,koronahun!$A:$AM,31,FALSE),"")</f>
        <v>15739.428571428571</v>
      </c>
      <c r="AF283" s="13">
        <f>IFERROR(VLOOKUP($A283,koronahun!$A:$AM,32,FALSE),"")</f>
        <v>5.204396713952248E-2</v>
      </c>
      <c r="AG283">
        <f>IFERROR(VLOOKUP($A283,koronahun!$A:$AM,33,FALSE),"")</f>
        <v>4790996</v>
      </c>
      <c r="AH283">
        <f>IFERROR(VLOOKUP($A283,koronahun!$A:$AM,34,FALSE),"")</f>
        <v>76004</v>
      </c>
      <c r="AI283">
        <f>IFERROR(VLOOKUP($A283,koronahun!$A:$AM,35,FALSE),"")</f>
        <v>57028.857142857145</v>
      </c>
      <c r="AJ283">
        <f>IFERROR(VLOOKUP($A283,koronahun!$A:$AM,36,FALSE),"")</f>
        <v>2774416</v>
      </c>
      <c r="AK283">
        <f>IFERROR(VLOOKUP($A283,koronahun!$A:$AM,37,FALSE),"")</f>
        <v>25181</v>
      </c>
      <c r="AL283">
        <f>IFERROR(VLOOKUP($A283,koronahun!$A:$AM,38,FALSE),"")</f>
        <v>30767.857142857141</v>
      </c>
      <c r="AM283" s="14">
        <f>IFERROR(VLOOKUP($A283,koronahun!$A:$AM,39,FALSE),"")</f>
        <v>8010.4285714285716</v>
      </c>
      <c r="AN283" s="11">
        <f ca="1">IFERROR(__xludf.DUMMYFUNCTION("""COMPUTED_VALUE"""),44175)</f>
        <v>44175</v>
      </c>
      <c r="AO283" s="12">
        <f ca="1">IFERROR(VLOOKUP(AN283,koronahun!A:B,2,FALSE),"")</f>
        <v>265003</v>
      </c>
      <c r="AP283" s="11">
        <f t="shared" ca="1" si="2"/>
        <v>44175</v>
      </c>
      <c r="AQ283" s="11">
        <f ca="1">IFERROR(__xludf.DUMMYFUNCTION("""COMPUTED_VALUE"""),44175)</f>
        <v>44175</v>
      </c>
      <c r="AR283" s="11">
        <v>44336</v>
      </c>
      <c r="AS283" s="11">
        <f t="shared" si="3"/>
        <v>44336</v>
      </c>
      <c r="AT283" s="11">
        <f ca="1">IFERROR(__xludf.DUMMYFUNCTION("""COMPUTED_VALUE"""),44335)</f>
        <v>44335</v>
      </c>
    </row>
    <row r="284" spans="1:46" ht="13">
      <c r="A284" s="11">
        <v>44334</v>
      </c>
      <c r="B284">
        <f>IFERROR(VLOOKUP($A284,koronahun!$A:$AM,2,FALSE),"")</f>
        <v>798955</v>
      </c>
      <c r="C284">
        <f>IFERROR(VLOOKUP($A284,koronahun!$A:$AM,3,FALSE),"")</f>
        <v>382</v>
      </c>
      <c r="D284">
        <f>IFERROR(VLOOKUP($A284,koronahun!$A:$AM,4,FALSE),"")</f>
        <v>29277</v>
      </c>
      <c r="E284">
        <f>IFERROR(VLOOKUP($A284,koronahun!$A:$AM,5,FALSE),"")</f>
        <v>640964</v>
      </c>
      <c r="F284">
        <f>IFERROR(VLOOKUP($A284,koronahun!$A:$AM,6,FALSE),"")</f>
        <v>5656131</v>
      </c>
      <c r="G284" s="12">
        <f>IFERROR(VLOOKUP($A284,koronahun!$A:$AM,7,FALSE),"")</f>
        <v>577156.22448979586</v>
      </c>
      <c r="H284">
        <f>IFERROR(VLOOKUP($A284,koronahun!$A:$AM,8,FALSE),"")</f>
        <v>0</v>
      </c>
      <c r="I284" s="13">
        <f>IFERROR(VLOOKUP($A284,koronahun!$A:$AM,9,FALSE),"")</f>
        <v>4.7835326263222022E-4</v>
      </c>
      <c r="J284" s="13">
        <f>IFERROR(VLOOKUP($A284,koronahun!$A:$AM,10,FALSE),"")</f>
        <v>0.14125468451844556</v>
      </c>
      <c r="K284" s="13">
        <f>IFERROR(VLOOKUP($A284,koronahun!$A:$AM,11,FALSE),"")</f>
        <v>1.2575617004485905E-3</v>
      </c>
      <c r="L284">
        <f>IFERROR(VLOOKUP($A284,koronahun!$A:$AM,12,FALSE),"")</f>
        <v>128714</v>
      </c>
      <c r="M284" s="13">
        <f>IFERROR(VLOOKUP($A284,koronahun!$A:$AM,13,FALSE),"")</f>
        <v>3.6644116377017477E-2</v>
      </c>
      <c r="N284" s="13">
        <f>IFERROR(VLOOKUP($A284,koronahun!$A:$AM,14,FALSE),"")</f>
        <v>0.80225294290667182</v>
      </c>
      <c r="O284">
        <f>IFERROR(VLOOKUP($A284,koronahun!$A:$AM,15,FALSE),"")</f>
        <v>16088</v>
      </c>
      <c r="P284">
        <f>IFERROR(VLOOKUP($A284,koronahun!$A:$AM,16,FALSE),"")</f>
        <v>7104</v>
      </c>
      <c r="Q284" s="13">
        <f>IFERROR(VLOOKUP($A284,koronahun!$A:$AM,17,FALSE),"")</f>
        <v>5.3772522522522521E-2</v>
      </c>
      <c r="R284">
        <f>IFERROR(VLOOKUP($A284,koronahun!$A:$AM,18,FALSE),"")</f>
        <v>64</v>
      </c>
      <c r="S284">
        <f>IFERROR(VLOOKUP($A284,koronahun!$A:$AM,19,FALSE),"")</f>
        <v>9988</v>
      </c>
      <c r="T284">
        <f>IFERROR(VLOOKUP($A284,koronahun!$A:$AM,20,FALSE),"")</f>
        <v>2197</v>
      </c>
      <c r="U284">
        <f>IFERROR(VLOOKUP($A284,koronahun!$A:$AM,21,FALSE),"")</f>
        <v>251</v>
      </c>
      <c r="V284" s="13">
        <f>IFERROR(VLOOKUP($A284,koronahun!$A:$AM,22,FALSE),"")</f>
        <v>0.16110294071631068</v>
      </c>
      <c r="W284">
        <f>IFERROR(VLOOKUP($A284,koronahun!$A:$AM,23,FALSE),"")</f>
        <v>-62</v>
      </c>
      <c r="X284">
        <f>IFERROR(VLOOKUP($A284,koronahun!$A:$AM,24,FALSE),"")</f>
        <v>-7</v>
      </c>
      <c r="Y284" s="14">
        <f>IFERROR(VLOOKUP($A284,koronahun!$A:$AM,25,FALSE),"")</f>
        <v>1.7068850319312583E-2</v>
      </c>
      <c r="Z284" s="14">
        <f>IFERROR(VLOOKUP($A284,koronahun!$A:$AM,26,FALSE),"")</f>
        <v>0.11424670004551661</v>
      </c>
      <c r="AA284" s="14">
        <f>IFERROR(VLOOKUP($A284,koronahun!$A:$AM,27,FALSE),"")</f>
        <v>0.75553344939069889</v>
      </c>
      <c r="AB284" s="14">
        <f>IFERROR(VLOOKUP($A284,koronahun!$A:$AM,28,FALSE),"")</f>
        <v>0.72718184574815026</v>
      </c>
      <c r="AC284" s="14">
        <f>IFERROR(VLOOKUP($A284,koronahun!$A:$AM,29,FALSE),"")</f>
        <v>868</v>
      </c>
      <c r="AD284" s="14">
        <f>IFERROR(VLOOKUP($A284,koronahun!$A:$AM,30,FALSE),"")</f>
        <v>69.285714285714292</v>
      </c>
      <c r="AE284" s="14">
        <f>IFERROR(VLOOKUP($A284,koronahun!$A:$AM,31,FALSE),"")</f>
        <v>15832.285714285714</v>
      </c>
      <c r="AF284" s="13">
        <f>IFERROR(VLOOKUP($A284,koronahun!$A:$AM,32,FALSE),"")</f>
        <v>5.431984471437841E-2</v>
      </c>
      <c r="AG284">
        <f>IFERROR(VLOOKUP($A284,koronahun!$A:$AM,33,FALSE),"")</f>
        <v>4714992</v>
      </c>
      <c r="AH284">
        <f>IFERROR(VLOOKUP($A284,koronahun!$A:$AM,34,FALSE),"")</f>
        <v>75693</v>
      </c>
      <c r="AI284">
        <f>IFERROR(VLOOKUP($A284,koronahun!$A:$AM,35,FALSE),"")</f>
        <v>52700.428571428572</v>
      </c>
      <c r="AJ284">
        <f>IFERROR(VLOOKUP($A284,koronahun!$A:$AM,36,FALSE),"")</f>
        <v>2749235</v>
      </c>
      <c r="AK284">
        <f>IFERROR(VLOOKUP($A284,koronahun!$A:$AM,37,FALSE),"")</f>
        <v>22070</v>
      </c>
      <c r="AL284">
        <f>IFERROR(VLOOKUP($A284,koronahun!$A:$AM,38,FALSE),"")</f>
        <v>31298.285714285714</v>
      </c>
      <c r="AM284" s="14">
        <f>IFERROR(VLOOKUP($A284,koronahun!$A:$AM,39,FALSE),"")</f>
        <v>8166</v>
      </c>
      <c r="AN284" s="11">
        <f ca="1">IFERROR(__xludf.DUMMYFUNCTION("""COMPUTED_VALUE"""),44176)</f>
        <v>44176</v>
      </c>
      <c r="AO284" s="12">
        <f ca="1">IFERROR(VLOOKUP(AN284,koronahun!A:B,2,FALSE),"")</f>
        <v>271200</v>
      </c>
      <c r="AP284" s="11">
        <f t="shared" ca="1" si="2"/>
        <v>44176</v>
      </c>
      <c r="AQ284" s="11">
        <f ca="1">IFERROR(__xludf.DUMMYFUNCTION("""COMPUTED_VALUE"""),44176)</f>
        <v>44176</v>
      </c>
      <c r="AR284" s="11">
        <v>44335</v>
      </c>
      <c r="AS284" s="11">
        <f t="shared" si="3"/>
        <v>44335</v>
      </c>
      <c r="AT284" s="11">
        <f ca="1">IFERROR(__xludf.DUMMYFUNCTION("""COMPUTED_VALUE"""),44334)</f>
        <v>44334</v>
      </c>
    </row>
    <row r="285" spans="1:46" ht="13">
      <c r="A285" s="11">
        <v>44333</v>
      </c>
      <c r="B285">
        <f>IFERROR(VLOOKUP($A285,koronahun!$A:$AM,2,FALSE),"")</f>
        <v>798573</v>
      </c>
      <c r="C285">
        <f>IFERROR(VLOOKUP($A285,koronahun!$A:$AM,3,FALSE),"")</f>
        <v>426</v>
      </c>
      <c r="D285">
        <f>IFERROR(VLOOKUP($A285,koronahun!$A:$AM,4,FALSE),"")</f>
        <v>29213</v>
      </c>
      <c r="E285">
        <f>IFERROR(VLOOKUP($A285,koronahun!$A:$AM,5,FALSE),"")</f>
        <v>630976</v>
      </c>
      <c r="F285">
        <f>IFERROR(VLOOKUP($A285,koronahun!$A:$AM,6,FALSE),"")</f>
        <v>5649027</v>
      </c>
      <c r="G285" s="12">
        <f>IFERROR(VLOOKUP($A285,koronahun!$A:$AM,7,FALSE),"")</f>
        <v>576431.32653061219</v>
      </c>
      <c r="H285">
        <f>IFERROR(VLOOKUP($A285,koronahun!$A:$AM,8,FALSE),"")</f>
        <v>0</v>
      </c>
      <c r="I285" s="13">
        <f>IFERROR(VLOOKUP($A285,koronahun!$A:$AM,9,FALSE),"")</f>
        <v>5.3373626662757607E-4</v>
      </c>
      <c r="J285" s="13">
        <f>IFERROR(VLOOKUP($A285,koronahun!$A:$AM,10,FALSE),"")</f>
        <v>0.14136469873484406</v>
      </c>
      <c r="K285" s="13">
        <f>IFERROR(VLOOKUP($A285,koronahun!$A:$AM,11,FALSE),"")</f>
        <v>1.8382020415481546E-3</v>
      </c>
      <c r="L285">
        <f>IFERROR(VLOOKUP($A285,koronahun!$A:$AM,12,FALSE),"")</f>
        <v>138384</v>
      </c>
      <c r="M285" s="13">
        <f>IFERROR(VLOOKUP($A285,koronahun!$A:$AM,13,FALSE),"")</f>
        <v>3.6581502254646729E-2</v>
      </c>
      <c r="N285" s="13">
        <f>IFERROR(VLOOKUP($A285,koronahun!$A:$AM,14,FALSE),"")</f>
        <v>0.79012939330530829</v>
      </c>
      <c r="O285">
        <f>IFERROR(VLOOKUP($A285,koronahun!$A:$AM,15,FALSE),"")</f>
        <v>16297</v>
      </c>
      <c r="P285">
        <f>IFERROR(VLOOKUP($A285,koronahun!$A:$AM,16,FALSE),"")</f>
        <v>10365</v>
      </c>
      <c r="Q285" s="13">
        <f>IFERROR(VLOOKUP($A285,koronahun!$A:$AM,17,FALSE),"")</f>
        <v>4.1099855282199713E-2</v>
      </c>
      <c r="R285">
        <f>IFERROR(VLOOKUP($A285,koronahun!$A:$AM,18,FALSE),"")</f>
        <v>38</v>
      </c>
      <c r="S285">
        <f>IFERROR(VLOOKUP($A285,koronahun!$A:$AM,19,FALSE),"")</f>
        <v>5888</v>
      </c>
      <c r="T285">
        <f>IFERROR(VLOOKUP($A285,koronahun!$A:$AM,20,FALSE),"")</f>
        <v>2259</v>
      </c>
      <c r="U285">
        <f>IFERROR(VLOOKUP($A285,koronahun!$A:$AM,21,FALSE),"")</f>
        <v>258</v>
      </c>
      <c r="V285" s="13">
        <f>IFERROR(VLOOKUP($A285,koronahun!$A:$AM,22,FALSE),"")</f>
        <v>0.17328910444004492</v>
      </c>
      <c r="W285">
        <f>IFERROR(VLOOKUP($A285,koronahun!$A:$AM,23,FALSE),"")</f>
        <v>-11</v>
      </c>
      <c r="X285">
        <f>IFERROR(VLOOKUP($A285,koronahun!$A:$AM,24,FALSE),"")</f>
        <v>-3</v>
      </c>
      <c r="Y285" s="14">
        <f>IFERROR(VLOOKUP($A285,koronahun!$A:$AM,25,FALSE),"")</f>
        <v>1.6324141519250782E-2</v>
      </c>
      <c r="Z285" s="14">
        <f>IFERROR(VLOOKUP($A285,koronahun!$A:$AM,26,FALSE),"")</f>
        <v>0.11420982735723771</v>
      </c>
      <c r="AA285" s="14">
        <f>IFERROR(VLOOKUP($A285,koronahun!$A:$AM,27,FALSE),"")</f>
        <v>0.74767371601208454</v>
      </c>
      <c r="AB285" s="14">
        <f>IFERROR(VLOOKUP($A285,koronahun!$A:$AM,28,FALSE),"")</f>
        <v>0.71396054388607055</v>
      </c>
      <c r="AC285" s="14">
        <f>IFERROR(VLOOKUP($A285,koronahun!$A:$AM,29,FALSE),"")</f>
        <v>883.85714285714289</v>
      </c>
      <c r="AD285" s="14">
        <f>IFERROR(VLOOKUP($A285,koronahun!$A:$AM,30,FALSE),"")</f>
        <v>74.285714285714292</v>
      </c>
      <c r="AE285" s="14">
        <f>IFERROR(VLOOKUP($A285,koronahun!$A:$AM,31,FALSE),"")</f>
        <v>15747.857142857143</v>
      </c>
      <c r="AF285" s="13">
        <f>IFERROR(VLOOKUP($A285,koronahun!$A:$AM,32,FALSE),"")</f>
        <v>5.7451593542235023E-2</v>
      </c>
      <c r="AG285">
        <f>IFERROR(VLOOKUP($A285,koronahun!$A:$AM,33,FALSE),"")</f>
        <v>4639299</v>
      </c>
      <c r="AH285">
        <f>IFERROR(VLOOKUP($A285,koronahun!$A:$AM,34,FALSE),"")</f>
        <v>39287</v>
      </c>
      <c r="AI285">
        <f>IFERROR(VLOOKUP($A285,koronahun!$A:$AM,35,FALSE),"")</f>
        <v>47646.285714285717</v>
      </c>
      <c r="AJ285">
        <f>IFERROR(VLOOKUP($A285,koronahun!$A:$AM,36,FALSE),"")</f>
        <v>2727165</v>
      </c>
      <c r="AK285">
        <f>IFERROR(VLOOKUP($A285,koronahun!$A:$AM,37,FALSE),"")</f>
        <v>25376</v>
      </c>
      <c r="AL285">
        <f>IFERROR(VLOOKUP($A285,koronahun!$A:$AM,38,FALSE),"")</f>
        <v>31941.428571428572</v>
      </c>
      <c r="AM285" s="14">
        <f>IFERROR(VLOOKUP($A285,koronahun!$A:$AM,39,FALSE),"")</f>
        <v>7909.4285714285716</v>
      </c>
      <c r="AN285" s="11">
        <f ca="1">IFERROR(__xludf.DUMMYFUNCTION("""COMPUTED_VALUE"""),44177)</f>
        <v>44177</v>
      </c>
      <c r="AO285" s="12">
        <f ca="1">IFERROR(VLOOKUP(AN285,koronahun!A:B,2,FALSE),"")</f>
        <v>276247</v>
      </c>
      <c r="AP285" s="11">
        <f t="shared" ca="1" si="2"/>
        <v>44177</v>
      </c>
      <c r="AQ285" s="11">
        <f ca="1">IFERROR(__xludf.DUMMYFUNCTION("""COMPUTED_VALUE"""),44177)</f>
        <v>44177</v>
      </c>
      <c r="AR285" s="11">
        <v>44334</v>
      </c>
      <c r="AS285" s="11">
        <f t="shared" si="3"/>
        <v>44334</v>
      </c>
      <c r="AT285" s="11">
        <f ca="1">IFERROR(__xludf.DUMMYFUNCTION("""COMPUTED_VALUE"""),44333)</f>
        <v>44333</v>
      </c>
    </row>
    <row r="286" spans="1:46" ht="13">
      <c r="A286" s="11">
        <v>44332</v>
      </c>
      <c r="B286">
        <f>IFERROR(VLOOKUP($A286,koronahun!$A:$AM,2,FALSE),"")</f>
        <v>798147</v>
      </c>
      <c r="C286">
        <f>IFERROR(VLOOKUP($A286,koronahun!$A:$AM,3,FALSE),"")</f>
        <v>718</v>
      </c>
      <c r="D286">
        <f>IFERROR(VLOOKUP($A286,koronahun!$A:$AM,4,FALSE),"")</f>
        <v>29175</v>
      </c>
      <c r="E286">
        <f>IFERROR(VLOOKUP($A286,koronahun!$A:$AM,5,FALSE),"")</f>
        <v>625088</v>
      </c>
      <c r="F286">
        <f>IFERROR(VLOOKUP($A286,koronahun!$A:$AM,6,FALSE),"")</f>
        <v>5638662</v>
      </c>
      <c r="G286" s="12">
        <f>IFERROR(VLOOKUP($A286,koronahun!$A:$AM,7,FALSE),"")</f>
        <v>575373.67346938769</v>
      </c>
      <c r="H286">
        <f>IFERROR(VLOOKUP($A286,koronahun!$A:$AM,8,FALSE),"")</f>
        <v>0</v>
      </c>
      <c r="I286" s="13">
        <f>IFERROR(VLOOKUP($A286,koronahun!$A:$AM,9,FALSE),"")</f>
        <v>9.0039364006074527E-4</v>
      </c>
      <c r="J286" s="13">
        <f>IFERROR(VLOOKUP($A286,koronahun!$A:$AM,10,FALSE),"")</f>
        <v>0.14154900577477422</v>
      </c>
      <c r="K286" s="13">
        <f>IFERROR(VLOOKUP($A286,koronahun!$A:$AM,11,FALSE),"")</f>
        <v>2.8145939166641177E-3</v>
      </c>
      <c r="L286">
        <f>IFERROR(VLOOKUP($A286,koronahun!$A:$AM,12,FALSE),"")</f>
        <v>143884</v>
      </c>
      <c r="M286" s="13">
        <f>IFERROR(VLOOKUP($A286,koronahun!$A:$AM,13,FALSE),"")</f>
        <v>3.6553416851782941E-2</v>
      </c>
      <c r="N286" s="13">
        <f>IFERROR(VLOOKUP($A286,koronahun!$A:$AM,14,FALSE),"")</f>
        <v>0.78317402683966741</v>
      </c>
      <c r="O286">
        <f>IFERROR(VLOOKUP($A286,koronahun!$A:$AM,15,FALSE),"")</f>
        <v>17043</v>
      </c>
      <c r="P286">
        <f>IFERROR(VLOOKUP($A286,koronahun!$A:$AM,16,FALSE),"")</f>
        <v>15826</v>
      </c>
      <c r="Q286" s="13">
        <f>IFERROR(VLOOKUP($A286,koronahun!$A:$AM,17,FALSE),"")</f>
        <v>4.5368381144951349E-2</v>
      </c>
      <c r="R286">
        <f>IFERROR(VLOOKUP($A286,koronahun!$A:$AM,18,FALSE),"")</f>
        <v>61</v>
      </c>
      <c r="S286">
        <f>IFERROR(VLOOKUP($A286,koronahun!$A:$AM,19,FALSE),"")</f>
        <v>6480</v>
      </c>
      <c r="T286">
        <f>IFERROR(VLOOKUP($A286,koronahun!$A:$AM,20,FALSE),"")</f>
        <v>2270</v>
      </c>
      <c r="U286">
        <f>IFERROR(VLOOKUP($A286,koronahun!$A:$AM,21,FALSE),"")</f>
        <v>261</v>
      </c>
      <c r="V286" s="13">
        <f>IFERROR(VLOOKUP($A286,koronahun!$A:$AM,22,FALSE),"")</f>
        <v>0.18027255630854969</v>
      </c>
      <c r="W286">
        <f>IFERROR(VLOOKUP($A286,koronahun!$A:$AM,23,FALSE),"")</f>
        <v>-183</v>
      </c>
      <c r="X286">
        <f>IFERROR(VLOOKUP($A286,koronahun!$A:$AM,24,FALSE),"")</f>
        <v>-47</v>
      </c>
      <c r="Y286" s="14">
        <f>IFERROR(VLOOKUP($A286,koronahun!$A:$AM,25,FALSE),"")</f>
        <v>1.5776597814906451E-2</v>
      </c>
      <c r="Z286" s="14">
        <f>IFERROR(VLOOKUP($A286,koronahun!$A:$AM,26,FALSE),"")</f>
        <v>0.11497797356828193</v>
      </c>
      <c r="AA286" s="14">
        <f>IFERROR(VLOOKUP($A286,koronahun!$A:$AM,27,FALSE),"")</f>
        <v>0.7301803334467506</v>
      </c>
      <c r="AB286" s="14">
        <f>IFERROR(VLOOKUP($A286,koronahun!$A:$AM,28,FALSE),"")</f>
        <v>0.7005483583809865</v>
      </c>
      <c r="AC286" s="14">
        <f>IFERROR(VLOOKUP($A286,koronahun!$A:$AM,29,FALSE),"")</f>
        <v>919.71428571428567</v>
      </c>
      <c r="AD286" s="14">
        <f>IFERROR(VLOOKUP($A286,koronahun!$A:$AM,30,FALSE),"")</f>
        <v>81.857142857142861</v>
      </c>
      <c r="AE286" s="14">
        <f>IFERROR(VLOOKUP($A286,koronahun!$A:$AM,31,FALSE),"")</f>
        <v>15774.571428571429</v>
      </c>
      <c r="AF286" s="13">
        <f>IFERROR(VLOOKUP($A286,koronahun!$A:$AM,32,FALSE),"")</f>
        <v>6.0745678983887642E-2</v>
      </c>
      <c r="AG286">
        <f>IFERROR(VLOOKUP($A286,koronahun!$A:$AM,33,FALSE),"")</f>
        <v>4600012</v>
      </c>
      <c r="AH286">
        <f>IFERROR(VLOOKUP($A286,koronahun!$A:$AM,34,FALSE),"")</f>
        <v>45333</v>
      </c>
      <c r="AI286">
        <f>IFERROR(VLOOKUP($A286,koronahun!$A:$AM,35,FALSE),"")</f>
        <v>44481.571428571428</v>
      </c>
      <c r="AJ286">
        <f>IFERROR(VLOOKUP($A286,koronahun!$A:$AM,36,FALSE),"")</f>
        <v>2701789</v>
      </c>
      <c r="AK286">
        <f>IFERROR(VLOOKUP($A286,koronahun!$A:$AM,37,FALSE),"")</f>
        <v>45118</v>
      </c>
      <c r="AL286">
        <f>IFERROR(VLOOKUP($A286,koronahun!$A:$AM,38,FALSE),"")</f>
        <v>30524.428571428572</v>
      </c>
      <c r="AM286" s="14">
        <f>IFERROR(VLOOKUP($A286,koronahun!$A:$AM,39,FALSE),"")</f>
        <v>8108.4285714285716</v>
      </c>
      <c r="AN286" s="11">
        <f ca="1">IFERROR(__xludf.DUMMYFUNCTION("""COMPUTED_VALUE"""),44178)</f>
        <v>44178</v>
      </c>
      <c r="AO286" s="12">
        <f ca="1">IFERROR(VLOOKUP(AN286,koronahun!A:B,2,FALSE),"")</f>
        <v>280400</v>
      </c>
      <c r="AP286" s="11">
        <f t="shared" ca="1" si="2"/>
        <v>44178</v>
      </c>
      <c r="AQ286" s="11">
        <f ca="1">IFERROR(__xludf.DUMMYFUNCTION("""COMPUTED_VALUE"""),44178)</f>
        <v>44178</v>
      </c>
      <c r="AR286" s="11">
        <v>44333</v>
      </c>
      <c r="AS286" s="11">
        <f t="shared" si="3"/>
        <v>44333</v>
      </c>
      <c r="AT286" s="11">
        <f ca="1">IFERROR(__xludf.DUMMYFUNCTION("""COMPUTED_VALUE"""),44332)</f>
        <v>44332</v>
      </c>
    </row>
    <row r="287" spans="1:46" ht="13">
      <c r="A287" s="11">
        <v>44331</v>
      </c>
      <c r="B287">
        <f>IFERROR(VLOOKUP($A287,koronahun!$A:$AM,2,FALSE),"")</f>
        <v>797429</v>
      </c>
      <c r="C287">
        <f>IFERROR(VLOOKUP($A287,koronahun!$A:$AM,3,FALSE),"")</f>
        <v>1039</v>
      </c>
      <c r="D287">
        <f>IFERROR(VLOOKUP($A287,koronahun!$A:$AM,4,FALSE),"")</f>
        <v>29114</v>
      </c>
      <c r="E287">
        <f>IFERROR(VLOOKUP($A287,koronahun!$A:$AM,5,FALSE),"")</f>
        <v>618608</v>
      </c>
      <c r="F287">
        <f>IFERROR(VLOOKUP($A287,koronahun!$A:$AM,6,FALSE),"")</f>
        <v>5622836</v>
      </c>
      <c r="G287" s="12">
        <f>IFERROR(VLOOKUP($A287,koronahun!$A:$AM,7,FALSE),"")</f>
        <v>573758.77551020402</v>
      </c>
      <c r="H287">
        <f>IFERROR(VLOOKUP($A287,koronahun!$A:$AM,8,FALSE),"")</f>
        <v>0</v>
      </c>
      <c r="I287" s="13">
        <f>IFERROR(VLOOKUP($A287,koronahun!$A:$AM,9,FALSE),"")</f>
        <v>1.3046371752533307E-3</v>
      </c>
      <c r="J287" s="13">
        <f>IFERROR(VLOOKUP($A287,koronahun!$A:$AM,10,FALSE),"")</f>
        <v>0.14181971517575828</v>
      </c>
      <c r="K287" s="13">
        <f>IFERROR(VLOOKUP($A287,koronahun!$A:$AM,11,FALSE),"")</f>
        <v>2.7642359937053887E-3</v>
      </c>
      <c r="L287">
        <f>IFERROR(VLOOKUP($A287,koronahun!$A:$AM,12,FALSE),"")</f>
        <v>149707</v>
      </c>
      <c r="M287" s="13">
        <f>IFERROR(VLOOKUP($A287,koronahun!$A:$AM,13,FALSE),"")</f>
        <v>3.6509833477337793E-2</v>
      </c>
      <c r="N287" s="13">
        <f>IFERROR(VLOOKUP($A287,koronahun!$A:$AM,14,FALSE),"")</f>
        <v>0.77575307644943936</v>
      </c>
      <c r="O287">
        <f>IFERROR(VLOOKUP($A287,koronahun!$A:$AM,15,FALSE),"")</f>
        <v>18171</v>
      </c>
      <c r="P287">
        <f>IFERROR(VLOOKUP($A287,koronahun!$A:$AM,16,FALSE),"")</f>
        <v>15500</v>
      </c>
      <c r="Q287" s="13">
        <f>IFERROR(VLOOKUP($A287,koronahun!$A:$AM,17,FALSE),"")</f>
        <v>6.7032258064516126E-2</v>
      </c>
      <c r="R287">
        <f>IFERROR(VLOOKUP($A287,koronahun!$A:$AM,18,FALSE),"")</f>
        <v>73</v>
      </c>
      <c r="S287">
        <f>IFERROR(VLOOKUP($A287,koronahun!$A:$AM,19,FALSE),"")</f>
        <v>9717</v>
      </c>
      <c r="T287">
        <f>IFERROR(VLOOKUP($A287,koronahun!$A:$AM,20,FALSE),"")</f>
        <v>2453</v>
      </c>
      <c r="U287">
        <f>IFERROR(VLOOKUP($A287,koronahun!$A:$AM,21,FALSE),"")</f>
        <v>308</v>
      </c>
      <c r="V287" s="13">
        <f>IFERROR(VLOOKUP($A287,koronahun!$A:$AM,22,FALSE),"")</f>
        <v>0.18773709007322281</v>
      </c>
      <c r="W287">
        <f>IFERROR(VLOOKUP($A287,koronahun!$A:$AM,23,FALSE),"")</f>
        <v>-159</v>
      </c>
      <c r="X287">
        <f>IFERROR(VLOOKUP($A287,koronahun!$A:$AM,24,FALSE),"")</f>
        <v>-30</v>
      </c>
      <c r="Y287" s="14">
        <f>IFERROR(VLOOKUP($A287,koronahun!$A:$AM,25,FALSE),"")</f>
        <v>1.6385339362888843E-2</v>
      </c>
      <c r="Z287" s="14">
        <f>IFERROR(VLOOKUP($A287,koronahun!$A:$AM,26,FALSE),"")</f>
        <v>0.12556053811659193</v>
      </c>
      <c r="AA287" s="14">
        <f>IFERROR(VLOOKUP($A287,koronahun!$A:$AM,27,FALSE),"")</f>
        <v>0.74096060442525635</v>
      </c>
      <c r="AB287" s="14">
        <f>IFERROR(VLOOKUP($A287,koronahun!$A:$AM,28,FALSE),"")</f>
        <v>0.69041748846796913</v>
      </c>
      <c r="AC287" s="14">
        <f>IFERROR(VLOOKUP($A287,koronahun!$A:$AM,29,FALSE),"")</f>
        <v>980.71428571428567</v>
      </c>
      <c r="AD287" s="14">
        <f>IFERROR(VLOOKUP($A287,koronahun!$A:$AM,30,FALSE),"")</f>
        <v>87.142857142857139</v>
      </c>
      <c r="AE287" s="14">
        <f>IFERROR(VLOOKUP($A287,koronahun!$A:$AM,31,FALSE),"")</f>
        <v>15945.285714285714</v>
      </c>
      <c r="AF287" s="13">
        <f>IFERROR(VLOOKUP($A287,koronahun!$A:$AM,32,FALSE),"")</f>
        <v>6.3874459268173298E-2</v>
      </c>
      <c r="AG287">
        <f>IFERROR(VLOOKUP($A287,koronahun!$A:$AM,33,FALSE),"")</f>
        <v>4554679</v>
      </c>
      <c r="AH287">
        <f>IFERROR(VLOOKUP($A287,koronahun!$A:$AM,34,FALSE),"")</f>
        <v>71081</v>
      </c>
      <c r="AI287">
        <f>IFERROR(VLOOKUP($A287,koronahun!$A:$AM,35,FALSE),"")</f>
        <v>41836.714285714283</v>
      </c>
      <c r="AJ287">
        <f>IFERROR(VLOOKUP($A287,koronahun!$A:$AM,36,FALSE),"")</f>
        <v>2656671</v>
      </c>
      <c r="AK287">
        <f>IFERROR(VLOOKUP($A287,koronahun!$A:$AM,37,FALSE),"")</f>
        <v>29814</v>
      </c>
      <c r="AL287">
        <f>IFERROR(VLOOKUP($A287,koronahun!$A:$AM,38,FALSE),"")</f>
        <v>29152.571428571428</v>
      </c>
      <c r="AM287" s="14">
        <f>IFERROR(VLOOKUP($A287,koronahun!$A:$AM,39,FALSE),"")</f>
        <v>8212.7142857142862</v>
      </c>
      <c r="AN287" s="11">
        <f ca="1">IFERROR(__xludf.DUMMYFUNCTION("""COMPUTED_VALUE"""),44179)</f>
        <v>44179</v>
      </c>
      <c r="AO287" s="12">
        <f ca="1">IFERROR(VLOOKUP(AN287,koronahun!A:B,2,FALSE),"")</f>
        <v>283870</v>
      </c>
      <c r="AP287" s="11">
        <f t="shared" ca="1" si="2"/>
        <v>44179</v>
      </c>
      <c r="AQ287" s="11">
        <f ca="1">IFERROR(__xludf.DUMMYFUNCTION("""COMPUTED_VALUE"""),44179)</f>
        <v>44179</v>
      </c>
      <c r="AR287" s="11">
        <v>44332</v>
      </c>
      <c r="AS287" s="11">
        <f t="shared" si="3"/>
        <v>44332</v>
      </c>
      <c r="AT287" s="11">
        <f ca="1">IFERROR(__xludf.DUMMYFUNCTION("""COMPUTED_VALUE"""),44331)</f>
        <v>44331</v>
      </c>
    </row>
    <row r="288" spans="1:46" ht="13">
      <c r="A288" s="11">
        <v>44330</v>
      </c>
      <c r="B288">
        <f>IFERROR(VLOOKUP($A288,koronahun!$A:$AM,2,FALSE),"")</f>
        <v>796390</v>
      </c>
      <c r="C288">
        <f>IFERROR(VLOOKUP($A288,koronahun!$A:$AM,3,FALSE),"")</f>
        <v>1190</v>
      </c>
      <c r="D288">
        <f>IFERROR(VLOOKUP($A288,koronahun!$A:$AM,4,FALSE),"")</f>
        <v>29041</v>
      </c>
      <c r="E288">
        <f>IFERROR(VLOOKUP($A288,koronahun!$A:$AM,5,FALSE),"")</f>
        <v>608891</v>
      </c>
      <c r="F288">
        <f>IFERROR(VLOOKUP($A288,koronahun!$A:$AM,6,FALSE),"")</f>
        <v>5607336</v>
      </c>
      <c r="G288" s="12">
        <f>IFERROR(VLOOKUP($A288,koronahun!$A:$AM,7,FALSE),"")</f>
        <v>572177.14285714284</v>
      </c>
      <c r="H288">
        <f>IFERROR(VLOOKUP($A288,koronahun!$A:$AM,8,FALSE),"")</f>
        <v>0</v>
      </c>
      <c r="I288" s="13">
        <f>IFERROR(VLOOKUP($A288,koronahun!$A:$AM,9,FALSE),"")</f>
        <v>1.4964788732394366E-3</v>
      </c>
      <c r="J288" s="13">
        <f>IFERROR(VLOOKUP($A288,koronahun!$A:$AM,10,FALSE),"")</f>
        <v>0.14202644535658288</v>
      </c>
      <c r="K288" s="13">
        <f>IFERROR(VLOOKUP($A288,koronahun!$A:$AM,11,FALSE),"")</f>
        <v>3.3821633426889641E-3</v>
      </c>
      <c r="L288">
        <f>IFERROR(VLOOKUP($A288,koronahun!$A:$AM,12,FALSE),"")</f>
        <v>158458</v>
      </c>
      <c r="M288" s="13">
        <f>IFERROR(VLOOKUP($A288,koronahun!$A:$AM,13,FALSE),"")</f>
        <v>3.6465801931214605E-2</v>
      </c>
      <c r="N288" s="13">
        <f>IFERROR(VLOOKUP($A288,koronahun!$A:$AM,14,FALSE),"")</f>
        <v>0.76456384434761859</v>
      </c>
      <c r="O288">
        <f>IFERROR(VLOOKUP($A288,koronahun!$A:$AM,15,FALSE),"")</f>
        <v>18448</v>
      </c>
      <c r="P288">
        <f>IFERROR(VLOOKUP($A288,koronahun!$A:$AM,16,FALSE),"")</f>
        <v>18901</v>
      </c>
      <c r="Q288" s="13">
        <f>IFERROR(VLOOKUP($A288,koronahun!$A:$AM,17,FALSE),"")</f>
        <v>6.2959631765515056E-2</v>
      </c>
      <c r="R288">
        <f>IFERROR(VLOOKUP($A288,koronahun!$A:$AM,18,FALSE),"")</f>
        <v>71</v>
      </c>
      <c r="S288">
        <f>IFERROR(VLOOKUP($A288,koronahun!$A:$AM,19,FALSE),"")</f>
        <v>8430</v>
      </c>
      <c r="T288">
        <f>IFERROR(VLOOKUP($A288,koronahun!$A:$AM,20,FALSE),"")</f>
        <v>2612</v>
      </c>
      <c r="U288">
        <f>IFERROR(VLOOKUP($A288,koronahun!$A:$AM,21,FALSE),"")</f>
        <v>338</v>
      </c>
      <c r="V288" s="13">
        <f>IFERROR(VLOOKUP($A288,koronahun!$A:$AM,22,FALSE),"")</f>
        <v>0.19897035372116675</v>
      </c>
      <c r="W288">
        <f>IFERROR(VLOOKUP($A288,koronahun!$A:$AM,23,FALSE),"")</f>
        <v>-170</v>
      </c>
      <c r="X288">
        <f>IFERROR(VLOOKUP($A288,koronahun!$A:$AM,24,FALSE),"")</f>
        <v>-16</v>
      </c>
      <c r="Y288" s="14">
        <f>IFERROR(VLOOKUP($A288,koronahun!$A:$AM,25,FALSE),"")</f>
        <v>1.6483863231897412E-2</v>
      </c>
      <c r="Z288" s="14">
        <f>IFERROR(VLOOKUP($A288,koronahun!$A:$AM,26,FALSE),"")</f>
        <v>0.12940275650842267</v>
      </c>
      <c r="AA288" s="14">
        <f>IFERROR(VLOOKUP($A288,koronahun!$A:$AM,27,FALSE),"")</f>
        <v>0.73191056910569108</v>
      </c>
      <c r="AB288" s="14">
        <f>IFERROR(VLOOKUP($A288,koronahun!$A:$AM,28,FALSE),"")</f>
        <v>0.67837640863203952</v>
      </c>
      <c r="AC288" s="14">
        <f>IFERROR(VLOOKUP($A288,koronahun!$A:$AM,29,FALSE),"")</f>
        <v>1028.8571428571429</v>
      </c>
      <c r="AD288" s="14">
        <f>IFERROR(VLOOKUP($A288,koronahun!$A:$AM,30,FALSE),"")</f>
        <v>91.142857142857139</v>
      </c>
      <c r="AE288" s="14">
        <f>IFERROR(VLOOKUP($A288,koronahun!$A:$AM,31,FALSE),"")</f>
        <v>16162.571428571429</v>
      </c>
      <c r="AF288" s="13">
        <f>IFERROR(VLOOKUP($A288,koronahun!$A:$AM,32,FALSE),"")</f>
        <v>6.5847181497720592E-2</v>
      </c>
      <c r="AG288">
        <f>IFERROR(VLOOKUP($A288,koronahun!$A:$AM,33,FALSE),"")</f>
        <v>4483598</v>
      </c>
      <c r="AH288">
        <f>IFERROR(VLOOKUP($A288,koronahun!$A:$AM,34,FALSE),"")</f>
        <v>62831</v>
      </c>
      <c r="AI288">
        <f>IFERROR(VLOOKUP($A288,koronahun!$A:$AM,35,FALSE),"")</f>
        <v>39960.714285714283</v>
      </c>
      <c r="AJ288">
        <f>IFERROR(VLOOKUP($A288,koronahun!$A:$AM,36,FALSE),"")</f>
        <v>2626857</v>
      </c>
      <c r="AK288">
        <f>IFERROR(VLOOKUP($A288,koronahun!$A:$AM,37,FALSE),"")</f>
        <v>41978</v>
      </c>
      <c r="AL288">
        <f>IFERROR(VLOOKUP($A288,koronahun!$A:$AM,38,FALSE),"")</f>
        <v>31453.285714285714</v>
      </c>
      <c r="AM288" s="14">
        <f>IFERROR(VLOOKUP($A288,koronahun!$A:$AM,39,FALSE),"")</f>
        <v>7865</v>
      </c>
      <c r="AN288" s="11">
        <f ca="1">IFERROR(__xludf.DUMMYFUNCTION("""COMPUTED_VALUE"""),44180)</f>
        <v>44180</v>
      </c>
      <c r="AO288" s="12">
        <f ca="1">IFERROR(VLOOKUP(AN288,koronahun!A:B,2,FALSE),"")</f>
        <v>285763</v>
      </c>
      <c r="AP288" s="11">
        <f t="shared" ca="1" si="2"/>
        <v>44180</v>
      </c>
      <c r="AQ288" s="11">
        <f ca="1">IFERROR(__xludf.DUMMYFUNCTION("""COMPUTED_VALUE"""),44180)</f>
        <v>44180</v>
      </c>
      <c r="AR288" s="11">
        <v>44331</v>
      </c>
      <c r="AS288" s="11">
        <f t="shared" si="3"/>
        <v>44331</v>
      </c>
      <c r="AT288" s="11">
        <f ca="1">IFERROR(__xludf.DUMMYFUNCTION("""COMPUTED_VALUE"""),44330)</f>
        <v>44330</v>
      </c>
    </row>
    <row r="289" spans="1:46" ht="13">
      <c r="A289" s="11">
        <v>44329</v>
      </c>
      <c r="B289">
        <f>IFERROR(VLOOKUP($A289,koronahun!$A:$AM,2,FALSE),"")</f>
        <v>795200</v>
      </c>
      <c r="C289">
        <f>IFERROR(VLOOKUP($A289,koronahun!$A:$AM,3,FALSE),"")</f>
        <v>1416</v>
      </c>
      <c r="D289">
        <f>IFERROR(VLOOKUP($A289,koronahun!$A:$AM,4,FALSE),"")</f>
        <v>28970</v>
      </c>
      <c r="E289">
        <f>IFERROR(VLOOKUP($A289,koronahun!$A:$AM,5,FALSE),"")</f>
        <v>600461</v>
      </c>
      <c r="F289">
        <f>IFERROR(VLOOKUP($A289,koronahun!$A:$AM,6,FALSE),"")</f>
        <v>5588435</v>
      </c>
      <c r="G289" s="12">
        <f>IFERROR(VLOOKUP($A289,koronahun!$A:$AM,7,FALSE),"")</f>
        <v>570248.46938775503</v>
      </c>
      <c r="H289">
        <f>IFERROR(VLOOKUP($A289,koronahun!$A:$AM,8,FALSE),"")</f>
        <v>0</v>
      </c>
      <c r="I289" s="13">
        <f>IFERROR(VLOOKUP($A289,koronahun!$A:$AM,9,FALSE),"")</f>
        <v>1.7838605968374269E-3</v>
      </c>
      <c r="J289" s="13">
        <f>IFERROR(VLOOKUP($A289,koronahun!$A:$AM,10,FALSE),"")</f>
        <v>0.14229386223513379</v>
      </c>
      <c r="K289" s="13">
        <f>IFERROR(VLOOKUP($A289,koronahun!$A:$AM,11,FALSE),"")</f>
        <v>5.0026822563035717E-3</v>
      </c>
      <c r="L289">
        <f>IFERROR(VLOOKUP($A289,koronahun!$A:$AM,12,FALSE),"")</f>
        <v>165769</v>
      </c>
      <c r="M289" s="13">
        <f>IFERROR(VLOOKUP($A289,koronahun!$A:$AM,13,FALSE),"")</f>
        <v>3.643108651911469E-2</v>
      </c>
      <c r="N289" s="13">
        <f>IFERROR(VLOOKUP($A289,koronahun!$A:$AM,14,FALSE),"")</f>
        <v>0.7551068913480885</v>
      </c>
      <c r="O289">
        <f>IFERROR(VLOOKUP($A289,koronahun!$A:$AM,15,FALSE),"")</f>
        <v>18886</v>
      </c>
      <c r="P289">
        <f>IFERROR(VLOOKUP($A289,koronahun!$A:$AM,16,FALSE),"")</f>
        <v>27818</v>
      </c>
      <c r="Q289" s="13">
        <f>IFERROR(VLOOKUP($A289,koronahun!$A:$AM,17,FALSE),"")</f>
        <v>5.0902293479042349E-2</v>
      </c>
      <c r="R289">
        <f>IFERROR(VLOOKUP($A289,koronahun!$A:$AM,18,FALSE),"")</f>
        <v>82</v>
      </c>
      <c r="S289">
        <f>IFERROR(VLOOKUP($A289,koronahun!$A:$AM,19,FALSE),"")</f>
        <v>8021</v>
      </c>
      <c r="T289">
        <f>IFERROR(VLOOKUP($A289,koronahun!$A:$AM,20,FALSE),"")</f>
        <v>2782</v>
      </c>
      <c r="U289">
        <f>IFERROR(VLOOKUP($A289,koronahun!$A:$AM,21,FALSE),"")</f>
        <v>354</v>
      </c>
      <c r="V289" s="13">
        <f>IFERROR(VLOOKUP($A289,koronahun!$A:$AM,22,FALSE),"")</f>
        <v>0.20846202213279677</v>
      </c>
      <c r="W289">
        <f>IFERROR(VLOOKUP($A289,koronahun!$A:$AM,23,FALSE),"")</f>
        <v>-192</v>
      </c>
      <c r="X289">
        <f>IFERROR(VLOOKUP($A289,koronahun!$A:$AM,24,FALSE),"")</f>
        <v>-7</v>
      </c>
      <c r="Y289" s="14">
        <f>IFERROR(VLOOKUP($A289,koronahun!$A:$AM,25,FALSE),"")</f>
        <v>1.6782389952282997E-2</v>
      </c>
      <c r="Z289" s="14">
        <f>IFERROR(VLOOKUP($A289,koronahun!$A:$AM,26,FALSE),"")</f>
        <v>0.12724658519051044</v>
      </c>
      <c r="AA289" s="14">
        <f>IFERROR(VLOOKUP($A289,koronahun!$A:$AM,27,FALSE),"")</f>
        <v>0.70827081770442613</v>
      </c>
      <c r="AB289" s="14">
        <f>IFERROR(VLOOKUP($A289,koronahun!$A:$AM,28,FALSE),"")</f>
        <v>0.66782031613498649</v>
      </c>
      <c r="AC289" s="14">
        <f>IFERROR(VLOOKUP($A289,koronahun!$A:$AM,29,FALSE),"")</f>
        <v>1079</v>
      </c>
      <c r="AD289" s="14">
        <f>IFERROR(VLOOKUP($A289,koronahun!$A:$AM,30,FALSE),"")</f>
        <v>96.142857142857139</v>
      </c>
      <c r="AE289" s="14">
        <f>IFERROR(VLOOKUP($A289,koronahun!$A:$AM,31,FALSE),"")</f>
        <v>16126.285714285714</v>
      </c>
      <c r="AF289" s="13">
        <f>IFERROR(VLOOKUP($A289,koronahun!$A:$AM,32,FALSE),"")</f>
        <v>6.8658753994778263E-2</v>
      </c>
      <c r="AG289">
        <f>IFERROR(VLOOKUP($A289,koronahun!$A:$AM,33,FALSE),"")</f>
        <v>4420767</v>
      </c>
      <c r="AH289">
        <f>IFERROR(VLOOKUP($A289,koronahun!$A:$AM,34,FALSE),"")</f>
        <v>28973</v>
      </c>
      <c r="AI289">
        <f>IFERROR(VLOOKUP($A289,koronahun!$A:$AM,35,FALSE),"")</f>
        <v>38247</v>
      </c>
      <c r="AJ289">
        <f>IFERROR(VLOOKUP($A289,koronahun!$A:$AM,36,FALSE),"")</f>
        <v>2584879</v>
      </c>
      <c r="AK289">
        <f>IFERROR(VLOOKUP($A289,koronahun!$A:$AM,37,FALSE),"")</f>
        <v>25838</v>
      </c>
      <c r="AL289">
        <f>IFERROR(VLOOKUP($A289,koronahun!$A:$AM,38,FALSE),"")</f>
        <v>38493</v>
      </c>
      <c r="AM289" s="14">
        <f>IFERROR(VLOOKUP($A289,koronahun!$A:$AM,39,FALSE),"")</f>
        <v>7745</v>
      </c>
      <c r="AN289" s="11">
        <f ca="1">IFERROR(__xludf.DUMMYFUNCTION("""COMPUTED_VALUE"""),44181)</f>
        <v>44181</v>
      </c>
      <c r="AO289" s="12">
        <f ca="1">IFERROR(VLOOKUP(AN289,koronahun!A:B,2,FALSE),"")</f>
        <v>288567</v>
      </c>
      <c r="AP289" s="11">
        <f t="shared" ca="1" si="2"/>
        <v>44181</v>
      </c>
      <c r="AQ289" s="11">
        <f ca="1">IFERROR(__xludf.DUMMYFUNCTION("""COMPUTED_VALUE"""),44181)</f>
        <v>44181</v>
      </c>
      <c r="AR289" s="11">
        <v>44330</v>
      </c>
      <c r="AS289" s="11">
        <f t="shared" si="3"/>
        <v>44330</v>
      </c>
      <c r="AT289" s="11">
        <f ca="1">IFERROR(__xludf.DUMMYFUNCTION("""COMPUTED_VALUE"""),44329)</f>
        <v>44329</v>
      </c>
    </row>
    <row r="290" spans="1:46" ht="13">
      <c r="A290" s="11">
        <v>44328</v>
      </c>
      <c r="B290">
        <f>IFERROR(VLOOKUP($A290,koronahun!$A:$AM,2,FALSE),"")</f>
        <v>793784</v>
      </c>
      <c r="C290">
        <f>IFERROR(VLOOKUP($A290,koronahun!$A:$AM,3,FALSE),"")</f>
        <v>905</v>
      </c>
      <c r="D290">
        <f>IFERROR(VLOOKUP($A290,koronahun!$A:$AM,4,FALSE),"")</f>
        <v>28888</v>
      </c>
      <c r="E290">
        <f>IFERROR(VLOOKUP($A290,koronahun!$A:$AM,5,FALSE),"")</f>
        <v>592440</v>
      </c>
      <c r="F290">
        <f>IFERROR(VLOOKUP($A290,koronahun!$A:$AM,6,FALSE),"")</f>
        <v>5560617</v>
      </c>
      <c r="G290" s="12">
        <f>IFERROR(VLOOKUP($A290,koronahun!$A:$AM,7,FALSE),"")</f>
        <v>567409.89795918367</v>
      </c>
      <c r="H290">
        <f>IFERROR(VLOOKUP($A290,koronahun!$A:$AM,8,FALSE),"")</f>
        <v>0</v>
      </c>
      <c r="I290" s="13">
        <f>IFERROR(VLOOKUP($A290,koronahun!$A:$AM,9,FALSE),"")</f>
        <v>1.1414099755448182E-3</v>
      </c>
      <c r="J290" s="13">
        <f>IFERROR(VLOOKUP($A290,koronahun!$A:$AM,10,FALSE),"")</f>
        <v>0.14275106521452566</v>
      </c>
      <c r="K290" s="13">
        <f>IFERROR(VLOOKUP($A290,koronahun!$A:$AM,11,FALSE),"")</f>
        <v>2.7612547912152711E-3</v>
      </c>
      <c r="L290">
        <f>IFERROR(VLOOKUP($A290,koronahun!$A:$AM,12,FALSE),"")</f>
        <v>172456</v>
      </c>
      <c r="M290" s="13">
        <f>IFERROR(VLOOKUP($A290,koronahun!$A:$AM,13,FALSE),"")</f>
        <v>3.6392771837174848E-2</v>
      </c>
      <c r="N290" s="13">
        <f>IFERROR(VLOOKUP($A290,koronahun!$A:$AM,14,FALSE),"")</f>
        <v>0.74634913276155734</v>
      </c>
      <c r="O290">
        <f>IFERROR(VLOOKUP($A290,koronahun!$A:$AM,15,FALSE),"")</f>
        <v>18872</v>
      </c>
      <c r="P290">
        <f>IFERROR(VLOOKUP($A290,koronahun!$A:$AM,16,FALSE),"")</f>
        <v>15312</v>
      </c>
      <c r="Q290" s="13">
        <f>IFERROR(VLOOKUP($A290,koronahun!$A:$AM,17,FALSE),"")</f>
        <v>5.9103970741901775E-2</v>
      </c>
      <c r="R290">
        <f>IFERROR(VLOOKUP($A290,koronahun!$A:$AM,18,FALSE),"")</f>
        <v>96</v>
      </c>
      <c r="S290">
        <f>IFERROR(VLOOKUP($A290,koronahun!$A:$AM,19,FALSE),"")</f>
        <v>8638</v>
      </c>
      <c r="T290">
        <f>IFERROR(VLOOKUP($A290,koronahun!$A:$AM,20,FALSE),"")</f>
        <v>2974</v>
      </c>
      <c r="U290">
        <f>IFERROR(VLOOKUP($A290,koronahun!$A:$AM,21,FALSE),"")</f>
        <v>361</v>
      </c>
      <c r="V290" s="13">
        <f>IFERROR(VLOOKUP($A290,koronahun!$A:$AM,22,FALSE),"")</f>
        <v>0.21725809540126786</v>
      </c>
      <c r="W290">
        <f>IFERROR(VLOOKUP($A290,koronahun!$A:$AM,23,FALSE),"")</f>
        <v>-308</v>
      </c>
      <c r="X290">
        <f>IFERROR(VLOOKUP($A290,koronahun!$A:$AM,24,FALSE),"")</f>
        <v>-18</v>
      </c>
      <c r="Y290" s="14">
        <f>IFERROR(VLOOKUP($A290,koronahun!$A:$AM,25,FALSE),"")</f>
        <v>1.7244978429280512E-2</v>
      </c>
      <c r="Z290" s="14">
        <f>IFERROR(VLOOKUP($A290,koronahun!$A:$AM,26,FALSE),"")</f>
        <v>0.12138533960995293</v>
      </c>
      <c r="AA290" s="14">
        <f>IFERROR(VLOOKUP($A290,koronahun!$A:$AM,27,FALSE),"")</f>
        <v>0.67574343015214389</v>
      </c>
      <c r="AB290" s="14">
        <f>IFERROR(VLOOKUP($A290,koronahun!$A:$AM,28,FALSE),"")</f>
        <v>0.66175793729637788</v>
      </c>
      <c r="AC290" s="14">
        <f>IFERROR(VLOOKUP($A290,koronahun!$A:$AM,29,FALSE),"")</f>
        <v>1116.7142857142858</v>
      </c>
      <c r="AD290" s="14">
        <f>IFERROR(VLOOKUP($A290,koronahun!$A:$AM,30,FALSE),"")</f>
        <v>102.14285714285714</v>
      </c>
      <c r="AE290" s="14">
        <f>IFERROR(VLOOKUP($A290,koronahun!$A:$AM,31,FALSE),"")</f>
        <v>15136.571428571429</v>
      </c>
      <c r="AF290" s="13">
        <f>IFERROR(VLOOKUP($A290,koronahun!$A:$AM,32,FALSE),"")</f>
        <v>7.2875748381858924E-2</v>
      </c>
      <c r="AG290">
        <f>IFERROR(VLOOKUP($A290,koronahun!$A:$AM,33,FALSE),"")</f>
        <v>4391794</v>
      </c>
      <c r="AH290">
        <f>IFERROR(VLOOKUP($A290,koronahun!$A:$AM,34,FALSE),"")</f>
        <v>45705</v>
      </c>
      <c r="AI290">
        <f>IFERROR(VLOOKUP($A290,koronahun!$A:$AM,35,FALSE),"")</f>
        <v>38299.571428571428</v>
      </c>
      <c r="AJ290">
        <f>IFERROR(VLOOKUP($A290,koronahun!$A:$AM,36,FALSE),"")</f>
        <v>2559041</v>
      </c>
      <c r="AK290">
        <f>IFERROR(VLOOKUP($A290,koronahun!$A:$AM,37,FALSE),"")</f>
        <v>28894</v>
      </c>
      <c r="AL290">
        <f>IFERROR(VLOOKUP($A290,koronahun!$A:$AM,38,FALSE),"")</f>
        <v>44323.714285714283</v>
      </c>
      <c r="AM290" s="14">
        <f>IFERROR(VLOOKUP($A290,koronahun!$A:$AM,39,FALSE),"")</f>
        <v>7639.2857142857147</v>
      </c>
      <c r="AN290" s="11">
        <f ca="1">IFERROR(__xludf.DUMMYFUNCTION("""COMPUTED_VALUE"""),44182)</f>
        <v>44182</v>
      </c>
      <c r="AO290" s="12">
        <f ca="1">IFERROR(VLOOKUP(AN290,koronahun!A:B,2,FALSE),"")</f>
        <v>291549</v>
      </c>
      <c r="AP290" s="11">
        <f t="shared" ca="1" si="2"/>
        <v>44182</v>
      </c>
      <c r="AQ290" s="11">
        <f ca="1">IFERROR(__xludf.DUMMYFUNCTION("""COMPUTED_VALUE"""),44182)</f>
        <v>44182</v>
      </c>
      <c r="AR290" s="11">
        <v>44329</v>
      </c>
      <c r="AS290" s="11">
        <f t="shared" si="3"/>
        <v>44329</v>
      </c>
      <c r="AT290" s="11">
        <f ca="1">IFERROR(__xludf.DUMMYFUNCTION("""COMPUTED_VALUE"""),44328)</f>
        <v>44328</v>
      </c>
    </row>
    <row r="291" spans="1:46" ht="13">
      <c r="A291" s="11">
        <v>44327</v>
      </c>
      <c r="B291">
        <f>IFERROR(VLOOKUP($A291,koronahun!$A:$AM,2,FALSE),"")</f>
        <v>792879</v>
      </c>
      <c r="C291">
        <f>IFERROR(VLOOKUP($A291,koronahun!$A:$AM,3,FALSE),"")</f>
        <v>493</v>
      </c>
      <c r="D291">
        <f>IFERROR(VLOOKUP($A291,koronahun!$A:$AM,4,FALSE),"")</f>
        <v>28792</v>
      </c>
      <c r="E291">
        <f>IFERROR(VLOOKUP($A291,koronahun!$A:$AM,5,FALSE),"")</f>
        <v>583802</v>
      </c>
      <c r="F291">
        <f>IFERROR(VLOOKUP($A291,koronahun!$A:$AM,6,FALSE),"")</f>
        <v>5545305</v>
      </c>
      <c r="G291" s="12">
        <f>IFERROR(VLOOKUP($A291,koronahun!$A:$AM,7,FALSE),"")</f>
        <v>565847.44897959183</v>
      </c>
      <c r="H291">
        <f>IFERROR(VLOOKUP($A291,koronahun!$A:$AM,8,FALSE),"")</f>
        <v>0</v>
      </c>
      <c r="I291" s="13">
        <f>IFERROR(VLOOKUP($A291,koronahun!$A:$AM,9,FALSE),"")</f>
        <v>6.2217151741701649E-4</v>
      </c>
      <c r="J291" s="13">
        <f>IFERROR(VLOOKUP($A291,koronahun!$A:$AM,10,FALSE),"")</f>
        <v>0.14298203615490943</v>
      </c>
      <c r="K291" s="13">
        <f>IFERROR(VLOOKUP($A291,koronahun!$A:$AM,11,FALSE),"")</f>
        <v>1.1758881720057371E-3</v>
      </c>
      <c r="L291">
        <f>IFERROR(VLOOKUP($A291,koronahun!$A:$AM,12,FALSE),"")</f>
        <v>180285</v>
      </c>
      <c r="M291" s="13">
        <f>IFERROR(VLOOKUP($A291,koronahun!$A:$AM,13,FALSE),"")</f>
        <v>3.6313233166725314E-2</v>
      </c>
      <c r="N291" s="13">
        <f>IFERROR(VLOOKUP($A291,koronahun!$A:$AM,14,FALSE),"")</f>
        <v>0.73630654866631606</v>
      </c>
      <c r="O291">
        <f>IFERROR(VLOOKUP($A291,koronahun!$A:$AM,15,FALSE),"")</f>
        <v>20197</v>
      </c>
      <c r="P291">
        <f>IFERROR(VLOOKUP($A291,koronahun!$A:$AM,16,FALSE),"")</f>
        <v>6513</v>
      </c>
      <c r="Q291" s="13">
        <f>IFERROR(VLOOKUP($A291,koronahun!$A:$AM,17,FALSE),"")</f>
        <v>7.5694764317518815E-2</v>
      </c>
      <c r="R291">
        <f>IFERROR(VLOOKUP($A291,koronahun!$A:$AM,18,FALSE),"")</f>
        <v>99</v>
      </c>
      <c r="S291">
        <f>IFERROR(VLOOKUP($A291,koronahun!$A:$AM,19,FALSE),"")</f>
        <v>8192</v>
      </c>
      <c r="T291">
        <f>IFERROR(VLOOKUP($A291,koronahun!$A:$AM,20,FALSE),"")</f>
        <v>3282</v>
      </c>
      <c r="U291">
        <f>IFERROR(VLOOKUP($A291,koronahun!$A:$AM,21,FALSE),"")</f>
        <v>379</v>
      </c>
      <c r="V291" s="13">
        <f>IFERROR(VLOOKUP($A291,koronahun!$A:$AM,22,FALSE),"")</f>
        <v>0.22738021816695864</v>
      </c>
      <c r="W291">
        <f>IFERROR(VLOOKUP($A291,koronahun!$A:$AM,23,FALSE),"")</f>
        <v>-102</v>
      </c>
      <c r="X291">
        <f>IFERROR(VLOOKUP($A291,koronahun!$A:$AM,24,FALSE),"")</f>
        <v>-15</v>
      </c>
      <c r="Y291" s="14">
        <f>IFERROR(VLOOKUP($A291,koronahun!$A:$AM,25,FALSE),"")</f>
        <v>1.820450952658291E-2</v>
      </c>
      <c r="Z291" s="14">
        <f>IFERROR(VLOOKUP($A291,koronahun!$A:$AM,26,FALSE),"")</f>
        <v>0.11547836684948203</v>
      </c>
      <c r="AA291" s="14">
        <f>IFERROR(VLOOKUP($A291,koronahun!$A:$AM,27,FALSE),"")</f>
        <v>0.66298433635614185</v>
      </c>
      <c r="AB291" s="14">
        <f>IFERROR(VLOOKUP($A291,koronahun!$A:$AM,28,FALSE),"")</f>
        <v>0.66221074466801788</v>
      </c>
      <c r="AC291" s="14">
        <f>IFERROR(VLOOKUP($A291,koronahun!$A:$AM,29,FALSE),"")</f>
        <v>1148.8571428571429</v>
      </c>
      <c r="AD291" s="14">
        <f>IFERROR(VLOOKUP($A291,koronahun!$A:$AM,30,FALSE),"")</f>
        <v>106.71428571428571</v>
      </c>
      <c r="AE291" s="14">
        <f>IFERROR(VLOOKUP($A291,koronahun!$A:$AM,31,FALSE),"")</f>
        <v>15308.571428571429</v>
      </c>
      <c r="AF291" s="13">
        <f>IFERROR(VLOOKUP($A291,koronahun!$A:$AM,32,FALSE),"")</f>
        <v>7.4206395885809656E-2</v>
      </c>
      <c r="AG291">
        <f>IFERROR(VLOOKUP($A291,koronahun!$A:$AM,33,FALSE),"")</f>
        <v>4346089</v>
      </c>
      <c r="AH291">
        <f>IFERROR(VLOOKUP($A291,koronahun!$A:$AM,34,FALSE),"")</f>
        <v>40314</v>
      </c>
      <c r="AI291">
        <f>IFERROR(VLOOKUP($A291,koronahun!$A:$AM,35,FALSE),"")</f>
        <v>35227.714285714283</v>
      </c>
      <c r="AJ291">
        <f>IFERROR(VLOOKUP($A291,koronahun!$A:$AM,36,FALSE),"")</f>
        <v>2530147</v>
      </c>
      <c r="AK291">
        <f>IFERROR(VLOOKUP($A291,koronahun!$A:$AM,37,FALSE),"")</f>
        <v>26572</v>
      </c>
      <c r="AL291">
        <f>IFERROR(VLOOKUP($A291,koronahun!$A:$AM,38,FALSE),"")</f>
        <v>53215.714285714283</v>
      </c>
      <c r="AM291" s="14">
        <f>IFERROR(VLOOKUP($A291,koronahun!$A:$AM,39,FALSE),"")</f>
        <v>7258.8571428571431</v>
      </c>
      <c r="AN291" s="11">
        <f ca="1">IFERROR(__xludf.DUMMYFUNCTION("""COMPUTED_VALUE"""),44183)</f>
        <v>44183</v>
      </c>
      <c r="AO291" s="12">
        <f ca="1">IFERROR(VLOOKUP(AN291,koronahun!A:B,2,FALSE),"")</f>
        <v>295977</v>
      </c>
      <c r="AP291" s="11">
        <f t="shared" ca="1" si="2"/>
        <v>44183</v>
      </c>
      <c r="AQ291" s="11">
        <f ca="1">IFERROR(__xludf.DUMMYFUNCTION("""COMPUTED_VALUE"""),44183)</f>
        <v>44183</v>
      </c>
      <c r="AR291" s="11">
        <v>44328</v>
      </c>
      <c r="AS291" s="11">
        <f t="shared" si="3"/>
        <v>44328</v>
      </c>
      <c r="AT291" s="11">
        <f ca="1">IFERROR(__xludf.DUMMYFUNCTION("""COMPUTED_VALUE"""),44327)</f>
        <v>44327</v>
      </c>
    </row>
    <row r="292" spans="1:46" ht="13">
      <c r="A292" s="11">
        <v>44326</v>
      </c>
      <c r="B292">
        <f>IFERROR(VLOOKUP($A292,koronahun!$A:$AM,2,FALSE),"")</f>
        <v>792386</v>
      </c>
      <c r="C292">
        <f>IFERROR(VLOOKUP($A292,koronahun!$A:$AM,3,FALSE),"")</f>
        <v>677</v>
      </c>
      <c r="D292">
        <f>IFERROR(VLOOKUP($A292,koronahun!$A:$AM,4,FALSE),"")</f>
        <v>28693</v>
      </c>
      <c r="E292">
        <f>IFERROR(VLOOKUP($A292,koronahun!$A:$AM,5,FALSE),"")</f>
        <v>575610</v>
      </c>
      <c r="F292">
        <f>IFERROR(VLOOKUP($A292,koronahun!$A:$AM,6,FALSE),"")</f>
        <v>5538792</v>
      </c>
      <c r="G292" s="12">
        <f>IFERROR(VLOOKUP($A292,koronahun!$A:$AM,7,FALSE),"")</f>
        <v>565182.85714285716</v>
      </c>
      <c r="H292">
        <f>IFERROR(VLOOKUP($A292,koronahun!$A:$AM,8,FALSE),"")</f>
        <v>0</v>
      </c>
      <c r="I292" s="13">
        <f>IFERROR(VLOOKUP($A292,koronahun!$A:$AM,9,FALSE),"")</f>
        <v>8.5511216873876644E-4</v>
      </c>
      <c r="J292" s="13">
        <f>IFERROR(VLOOKUP($A292,koronahun!$A:$AM,10,FALSE),"")</f>
        <v>0.14306115846198955</v>
      </c>
      <c r="K292" s="13">
        <f>IFERROR(VLOOKUP($A292,koronahun!$A:$AM,11,FALSE),"")</f>
        <v>1.9087449170079446E-3</v>
      </c>
      <c r="L292">
        <f>IFERROR(VLOOKUP($A292,koronahun!$A:$AM,12,FALSE),"")</f>
        <v>188083</v>
      </c>
      <c r="M292" s="13">
        <f>IFERROR(VLOOKUP($A292,koronahun!$A:$AM,13,FALSE),"")</f>
        <v>3.6210887118146962E-2</v>
      </c>
      <c r="N292" s="13">
        <f>IFERROR(VLOOKUP($A292,koronahun!$A:$AM,14,FALSE),"")</f>
        <v>0.7264262619480909</v>
      </c>
      <c r="O292">
        <f>IFERROR(VLOOKUP($A292,koronahun!$A:$AM,15,FALSE),"")</f>
        <v>20967</v>
      </c>
      <c r="P292">
        <f>IFERROR(VLOOKUP($A292,koronahun!$A:$AM,16,FALSE),"")</f>
        <v>10552</v>
      </c>
      <c r="Q292" s="13">
        <f>IFERROR(VLOOKUP($A292,koronahun!$A:$AM,17,FALSE),"")</f>
        <v>6.4158453373768007E-2</v>
      </c>
      <c r="R292">
        <f>IFERROR(VLOOKUP($A292,koronahun!$A:$AM,18,FALSE),"")</f>
        <v>91</v>
      </c>
      <c r="S292">
        <f>IFERROR(VLOOKUP($A292,koronahun!$A:$AM,19,FALSE),"")</f>
        <v>7281</v>
      </c>
      <c r="T292">
        <f>IFERROR(VLOOKUP($A292,koronahun!$A:$AM,20,FALSE),"")</f>
        <v>3384</v>
      </c>
      <c r="U292">
        <f>IFERROR(VLOOKUP($A292,koronahun!$A:$AM,21,FALSE),"")</f>
        <v>394</v>
      </c>
      <c r="V292" s="13">
        <f>IFERROR(VLOOKUP($A292,koronahun!$A:$AM,22,FALSE),"")</f>
        <v>0.23736285093376208</v>
      </c>
      <c r="W292">
        <f>IFERROR(VLOOKUP($A292,koronahun!$A:$AM,23,FALSE),"")</f>
        <v>31</v>
      </c>
      <c r="X292">
        <f>IFERROR(VLOOKUP($A292,koronahun!$A:$AM,24,FALSE),"")</f>
        <v>-9</v>
      </c>
      <c r="Y292" s="14">
        <f>IFERROR(VLOOKUP($A292,koronahun!$A:$AM,25,FALSE),"")</f>
        <v>1.7992056698372526E-2</v>
      </c>
      <c r="Z292" s="14">
        <f>IFERROR(VLOOKUP($A292,koronahun!$A:$AM,26,FALSE),"")</f>
        <v>0.11643026004728133</v>
      </c>
      <c r="AA292" s="14">
        <f>IFERROR(VLOOKUP($A292,koronahun!$A:$AM,27,FALSE),"")</f>
        <v>0.65378841747649519</v>
      </c>
      <c r="AB292" s="14">
        <f>IFERROR(VLOOKUP($A292,koronahun!$A:$AM,28,FALSE),"")</f>
        <v>0.66444717725142177</v>
      </c>
      <c r="AC292" s="14">
        <f>IFERROR(VLOOKUP($A292,koronahun!$A:$AM,29,FALSE),"")</f>
        <v>1182.1428571428571</v>
      </c>
      <c r="AD292" s="14">
        <f>IFERROR(VLOOKUP($A292,koronahun!$A:$AM,30,FALSE),"")</f>
        <v>112.14285714285714</v>
      </c>
      <c r="AE292" s="14">
        <f>IFERROR(VLOOKUP($A292,koronahun!$A:$AM,31,FALSE),"")</f>
        <v>15579.285714285714</v>
      </c>
      <c r="AF292" s="13">
        <f>IFERROR(VLOOKUP($A292,koronahun!$A:$AM,32,FALSE),"")</f>
        <v>7.5728049100746125E-2</v>
      </c>
      <c r="AG292">
        <f>IFERROR(VLOOKUP($A292,koronahun!$A:$AM,33,FALSE),"")</f>
        <v>4305775</v>
      </c>
      <c r="AH292">
        <f>IFERROR(VLOOKUP($A292,koronahun!$A:$AM,34,FALSE),"")</f>
        <v>17134</v>
      </c>
      <c r="AI292">
        <f>IFERROR(VLOOKUP($A292,koronahun!$A:$AM,35,FALSE),"")</f>
        <v>33232.285714285717</v>
      </c>
      <c r="AJ292">
        <f>IFERROR(VLOOKUP($A292,koronahun!$A:$AM,36,FALSE),"")</f>
        <v>2503575</v>
      </c>
      <c r="AK292">
        <f>IFERROR(VLOOKUP($A292,koronahun!$A:$AM,37,FALSE),"")</f>
        <v>15457</v>
      </c>
      <c r="AL292">
        <f>IFERROR(VLOOKUP($A292,koronahun!$A:$AM,38,FALSE),"")</f>
        <v>60916.428571428572</v>
      </c>
      <c r="AM292" s="14">
        <f>IFERROR(VLOOKUP($A292,koronahun!$A:$AM,39,FALSE),"")</f>
        <v>6772.7142857142853</v>
      </c>
      <c r="AN292" s="11">
        <f ca="1">IFERROR(__xludf.DUMMYFUNCTION("""COMPUTED_VALUE"""),44184)</f>
        <v>44184</v>
      </c>
      <c r="AO292" s="12">
        <f ca="1">IFERROR(VLOOKUP(AN292,koronahun!A:B,2,FALSE),"")</f>
        <v>300022</v>
      </c>
      <c r="AP292" s="11">
        <f t="shared" ca="1" si="2"/>
        <v>44184</v>
      </c>
      <c r="AQ292" s="11">
        <f ca="1">IFERROR(__xludf.DUMMYFUNCTION("""COMPUTED_VALUE"""),44184)</f>
        <v>44184</v>
      </c>
      <c r="AR292" s="11">
        <v>44327</v>
      </c>
      <c r="AS292" s="11">
        <f t="shared" si="3"/>
        <v>44327</v>
      </c>
      <c r="AT292" s="11">
        <f ca="1">IFERROR(__xludf.DUMMYFUNCTION("""COMPUTED_VALUE"""),44326)</f>
        <v>44326</v>
      </c>
    </row>
    <row r="293" spans="1:46" ht="13">
      <c r="A293" s="11">
        <v>44325</v>
      </c>
      <c r="B293">
        <f>IFERROR(VLOOKUP($A293,koronahun!$A:$AM,2,FALSE),"")</f>
        <v>791709</v>
      </c>
      <c r="C293">
        <f>IFERROR(VLOOKUP($A293,koronahun!$A:$AM,3,FALSE),"")</f>
        <v>1145</v>
      </c>
      <c r="D293">
        <f>IFERROR(VLOOKUP($A293,koronahun!$A:$AM,4,FALSE),"")</f>
        <v>28602</v>
      </c>
      <c r="E293">
        <f>IFERROR(VLOOKUP($A293,koronahun!$A:$AM,5,FALSE),"")</f>
        <v>568329</v>
      </c>
      <c r="F293">
        <f>IFERROR(VLOOKUP($A293,koronahun!$A:$AM,6,FALSE),"")</f>
        <v>5528240</v>
      </c>
      <c r="G293" s="12">
        <f>IFERROR(VLOOKUP($A293,koronahun!$A:$AM,7,FALSE),"")</f>
        <v>564106.12244897953</v>
      </c>
      <c r="H293">
        <f>IFERROR(VLOOKUP($A293,koronahun!$A:$AM,8,FALSE),"")</f>
        <v>0</v>
      </c>
      <c r="I293" s="13">
        <f>IFERROR(VLOOKUP($A293,koronahun!$A:$AM,9,FALSE),"")</f>
        <v>1.4483330887821858E-3</v>
      </c>
      <c r="J293" s="13">
        <f>IFERROR(VLOOKUP($A293,koronahun!$A:$AM,10,FALSE),"")</f>
        <v>0.14321176359926485</v>
      </c>
      <c r="K293" s="13">
        <f>IFERROR(VLOOKUP($A293,koronahun!$A:$AM,11,FALSE),"")</f>
        <v>3.0884274422772894E-3</v>
      </c>
      <c r="L293">
        <f>IFERROR(VLOOKUP($A293,koronahun!$A:$AM,12,FALSE),"")</f>
        <v>194778</v>
      </c>
      <c r="M293" s="13">
        <f>IFERROR(VLOOKUP($A293,koronahun!$A:$AM,13,FALSE),"")</f>
        <v>3.6126910266272079E-2</v>
      </c>
      <c r="N293" s="13">
        <f>IFERROR(VLOOKUP($A293,koronahun!$A:$AM,14,FALSE),"")</f>
        <v>0.7178508770267864</v>
      </c>
      <c r="O293">
        <f>IFERROR(VLOOKUP($A293,koronahun!$A:$AM,15,FALSE),"")</f>
        <v>21301</v>
      </c>
      <c r="P293">
        <f>IFERROR(VLOOKUP($A293,koronahun!$A:$AM,16,FALSE),"")</f>
        <v>17021</v>
      </c>
      <c r="Q293" s="13">
        <f>IFERROR(VLOOKUP($A293,koronahun!$A:$AM,17,FALSE),"")</f>
        <v>6.7269843134950949E-2</v>
      </c>
      <c r="R293">
        <f>IFERROR(VLOOKUP($A293,koronahun!$A:$AM,18,FALSE),"")</f>
        <v>98</v>
      </c>
      <c r="S293">
        <f>IFERROR(VLOOKUP($A293,koronahun!$A:$AM,19,FALSE),"")</f>
        <v>7210</v>
      </c>
      <c r="T293">
        <f>IFERROR(VLOOKUP($A293,koronahun!$A:$AM,20,FALSE),"")</f>
        <v>3353</v>
      </c>
      <c r="U293">
        <f>IFERROR(VLOOKUP($A293,koronahun!$A:$AM,21,FALSE),"")</f>
        <v>403</v>
      </c>
      <c r="V293" s="13">
        <f>IFERROR(VLOOKUP($A293,koronahun!$A:$AM,22,FALSE),"")</f>
        <v>0.24602221270694158</v>
      </c>
      <c r="W293">
        <f>IFERROR(VLOOKUP($A293,koronahun!$A:$AM,23,FALSE),"")</f>
        <v>-280</v>
      </c>
      <c r="X293">
        <f>IFERROR(VLOOKUP($A293,koronahun!$A:$AM,24,FALSE),"")</f>
        <v>-17</v>
      </c>
      <c r="Y293" s="14">
        <f>IFERROR(VLOOKUP($A293,koronahun!$A:$AM,25,FALSE),"")</f>
        <v>1.7214469806651676E-2</v>
      </c>
      <c r="Z293" s="14">
        <f>IFERROR(VLOOKUP($A293,koronahun!$A:$AM,26,FALSE),"")</f>
        <v>0.12019087384431852</v>
      </c>
      <c r="AA293" s="14">
        <f>IFERROR(VLOOKUP($A293,koronahun!$A:$AM,27,FALSE),"")</f>
        <v>0.65926424405563033</v>
      </c>
      <c r="AB293" s="14">
        <f>IFERROR(VLOOKUP($A293,koronahun!$A:$AM,28,FALSE),"")</f>
        <v>0.67003836749069801</v>
      </c>
      <c r="AC293" s="14">
        <f>IFERROR(VLOOKUP($A293,koronahun!$A:$AM,29,FALSE),"")</f>
        <v>1259.5714285714287</v>
      </c>
      <c r="AD293" s="14">
        <f>IFERROR(VLOOKUP($A293,koronahun!$A:$AM,30,FALSE),"")</f>
        <v>114.28571428571429</v>
      </c>
      <c r="AE293" s="14">
        <f>IFERROR(VLOOKUP($A293,koronahun!$A:$AM,31,FALSE),"")</f>
        <v>16036.714285714286</v>
      </c>
      <c r="AF293" s="13">
        <f>IFERROR(VLOOKUP($A293,koronahun!$A:$AM,32,FALSE),"")</f>
        <v>7.9223807553322992E-2</v>
      </c>
      <c r="AG293">
        <f>IFERROR(VLOOKUP($A293,koronahun!$A:$AM,33,FALSE),"")</f>
        <v>4288641</v>
      </c>
      <c r="AH293">
        <f>IFERROR(VLOOKUP($A293,koronahun!$A:$AM,34,FALSE),"")</f>
        <v>26819</v>
      </c>
      <c r="AI293">
        <f>IFERROR(VLOOKUP($A293,koronahun!$A:$AM,35,FALSE),"")</f>
        <v>32062.428571428572</v>
      </c>
      <c r="AJ293">
        <f>IFERROR(VLOOKUP($A293,koronahun!$A:$AM,36,FALSE),"")</f>
        <v>2488118</v>
      </c>
      <c r="AK293">
        <f>IFERROR(VLOOKUP($A293,koronahun!$A:$AM,37,FALSE),"")</f>
        <v>35515</v>
      </c>
      <c r="AL293">
        <f>IFERROR(VLOOKUP($A293,koronahun!$A:$AM,38,FALSE),"")</f>
        <v>67395.428571428565</v>
      </c>
      <c r="AM293" s="14">
        <f>IFERROR(VLOOKUP($A293,koronahun!$A:$AM,39,FALSE),"")</f>
        <v>6402.7142857142853</v>
      </c>
      <c r="AN293" s="11">
        <f ca="1">IFERROR(__xludf.DUMMYFUNCTION("""COMPUTED_VALUE"""),44185)</f>
        <v>44185</v>
      </c>
      <c r="AO293" s="12">
        <f ca="1">IFERROR(VLOOKUP(AN293,koronahun!A:B,2,FALSE),"")</f>
        <v>302989</v>
      </c>
      <c r="AP293" s="11">
        <f t="shared" ca="1" si="2"/>
        <v>44185</v>
      </c>
      <c r="AQ293" s="11">
        <f ca="1">IFERROR(__xludf.DUMMYFUNCTION("""COMPUTED_VALUE"""),44185)</f>
        <v>44185</v>
      </c>
      <c r="AR293" s="11">
        <v>44326</v>
      </c>
      <c r="AS293" s="11">
        <f t="shared" si="3"/>
        <v>44326</v>
      </c>
      <c r="AT293" s="11">
        <f ca="1">IFERROR(__xludf.DUMMYFUNCTION("""COMPUTED_VALUE"""),44325)</f>
        <v>44325</v>
      </c>
    </row>
    <row r="294" spans="1:46" ht="13">
      <c r="A294" s="11">
        <v>44324</v>
      </c>
      <c r="B294">
        <f>IFERROR(VLOOKUP($A294,koronahun!$A:$AM,2,FALSE),"")</f>
        <v>790564</v>
      </c>
      <c r="C294">
        <f>IFERROR(VLOOKUP($A294,koronahun!$A:$AM,3,FALSE),"")</f>
        <v>1376</v>
      </c>
      <c r="D294">
        <f>IFERROR(VLOOKUP($A294,koronahun!$A:$AM,4,FALSE),"")</f>
        <v>28504</v>
      </c>
      <c r="E294">
        <f>IFERROR(VLOOKUP($A294,koronahun!$A:$AM,5,FALSE),"")</f>
        <v>561119</v>
      </c>
      <c r="F294">
        <f>IFERROR(VLOOKUP($A294,koronahun!$A:$AM,6,FALSE),"")</f>
        <v>5511219</v>
      </c>
      <c r="G294" s="12">
        <f>IFERROR(VLOOKUP($A294,koronahun!$A:$AM,7,FALSE),"")</f>
        <v>562369.28571428568</v>
      </c>
      <c r="H294">
        <f>IFERROR(VLOOKUP($A294,koronahun!$A:$AM,8,FALSE),"")</f>
        <v>0</v>
      </c>
      <c r="I294" s="13">
        <f>IFERROR(VLOOKUP($A294,koronahun!$A:$AM,9,FALSE),"")</f>
        <v>1.7435642711242441E-3</v>
      </c>
      <c r="J294" s="13">
        <f>IFERROR(VLOOKUP($A294,koronahun!$A:$AM,10,FALSE),"")</f>
        <v>0.14344630471044609</v>
      </c>
      <c r="K294" s="13">
        <f>IFERROR(VLOOKUP($A294,koronahun!$A:$AM,11,FALSE),"")</f>
        <v>3.0979953762132343E-3</v>
      </c>
      <c r="L294">
        <f>IFERROR(VLOOKUP($A294,koronahun!$A:$AM,12,FALSE),"")</f>
        <v>200941</v>
      </c>
      <c r="M294" s="13">
        <f>IFERROR(VLOOKUP($A294,koronahun!$A:$AM,13,FALSE),"")</f>
        <v>3.6055271932443164E-2</v>
      </c>
      <c r="N294" s="13">
        <f>IFERROR(VLOOKUP($A294,koronahun!$A:$AM,14,FALSE),"")</f>
        <v>0.70977049296451644</v>
      </c>
      <c r="O294">
        <f>IFERROR(VLOOKUP($A294,koronahun!$A:$AM,15,FALSE),"")</f>
        <v>21301</v>
      </c>
      <c r="P294">
        <f>IFERROR(VLOOKUP($A294,koronahun!$A:$AM,16,FALSE),"")</f>
        <v>17021</v>
      </c>
      <c r="Q294" s="13">
        <f>IFERROR(VLOOKUP($A294,koronahun!$A:$AM,17,FALSE),"")</f>
        <v>8.0841313671347156E-2</v>
      </c>
      <c r="R294">
        <f>IFERROR(VLOOKUP($A294,koronahun!$A:$AM,18,FALSE),"")</f>
        <v>101</v>
      </c>
      <c r="S294">
        <f>IFERROR(VLOOKUP($A294,koronahun!$A:$AM,19,FALSE),"")</f>
        <v>7283</v>
      </c>
      <c r="T294">
        <f>IFERROR(VLOOKUP($A294,koronahun!$A:$AM,20,FALSE),"")</f>
        <v>3633</v>
      </c>
      <c r="U294">
        <f>IFERROR(VLOOKUP($A294,koronahun!$A:$AM,21,FALSE),"")</f>
        <v>420</v>
      </c>
      <c r="V294" s="13">
        <f>IFERROR(VLOOKUP($A294,koronahun!$A:$AM,22,FALSE),"")</f>
        <v>0.25417423510304038</v>
      </c>
      <c r="W294">
        <f>IFERROR(VLOOKUP($A294,koronahun!$A:$AM,23,FALSE),"")</f>
        <v>-222</v>
      </c>
      <c r="X294">
        <f>IFERROR(VLOOKUP($A294,koronahun!$A:$AM,24,FALSE),"")</f>
        <v>-25</v>
      </c>
      <c r="Y294" s="14">
        <f>IFERROR(VLOOKUP($A294,koronahun!$A:$AM,25,FALSE),"")</f>
        <v>1.8079933910948986E-2</v>
      </c>
      <c r="Z294" s="14">
        <f>IFERROR(VLOOKUP($A294,koronahun!$A:$AM,26,FALSE),"")</f>
        <v>0.11560693641618497</v>
      </c>
      <c r="AA294" s="14">
        <f>IFERROR(VLOOKUP($A294,koronahun!$A:$AM,27,FALSE),"")</f>
        <v>0.65667304557374728</v>
      </c>
      <c r="AB294" s="14">
        <f>IFERROR(VLOOKUP($A294,koronahun!$A:$AM,28,FALSE),"")</f>
        <v>0.67636125559847926</v>
      </c>
      <c r="AC294" s="14">
        <f>IFERROR(VLOOKUP($A294,koronahun!$A:$AM,29,FALSE),"")</f>
        <v>1323.5714285714287</v>
      </c>
      <c r="AD294" s="14">
        <f>IFERROR(VLOOKUP($A294,koronahun!$A:$AM,30,FALSE),"")</f>
        <v>114.71428571428571</v>
      </c>
      <c r="AE294" s="14">
        <f>IFERROR(VLOOKUP($A294,koronahun!$A:$AM,31,FALSE),"")</f>
        <v>16652.428571428572</v>
      </c>
      <c r="AF294" s="13">
        <f>IFERROR(VLOOKUP($A294,koronahun!$A:$AM,32,FALSE),"")</f>
        <v>8.0282407552575319E-2</v>
      </c>
      <c r="AG294">
        <f>IFERROR(VLOOKUP($A294,koronahun!$A:$AM,33,FALSE),"")</f>
        <v>4261822</v>
      </c>
      <c r="AH294">
        <f>IFERROR(VLOOKUP($A294,koronahun!$A:$AM,34,FALSE),"")</f>
        <v>57949</v>
      </c>
      <c r="AI294">
        <f>IFERROR(VLOOKUP($A294,koronahun!$A:$AM,35,FALSE),"")</f>
        <v>34097.857142857145</v>
      </c>
      <c r="AJ294">
        <f>IFERROR(VLOOKUP($A294,koronahun!$A:$AM,36,FALSE),"")</f>
        <v>2452603</v>
      </c>
      <c r="AK294">
        <f>IFERROR(VLOOKUP($A294,koronahun!$A:$AM,37,FALSE),"")</f>
        <v>45919</v>
      </c>
      <c r="AL294">
        <f>IFERROR(VLOOKUP($A294,koronahun!$A:$AM,38,FALSE),"")</f>
        <v>71982.142857142855</v>
      </c>
      <c r="AM294" s="14">
        <f>IFERROR(VLOOKUP($A294,koronahun!$A:$AM,39,FALSE),"")</f>
        <v>6299</v>
      </c>
      <c r="AN294" s="11">
        <f ca="1">IFERROR(__xludf.DUMMYFUNCTION("""COMPUTED_VALUE"""),44186)</f>
        <v>44186</v>
      </c>
      <c r="AO294" s="12">
        <f ca="1">IFERROR(VLOOKUP(AN294,koronahun!A:B,2,FALSE),"")</f>
        <v>305130</v>
      </c>
      <c r="AP294" s="11">
        <f t="shared" ca="1" si="2"/>
        <v>44186</v>
      </c>
      <c r="AQ294" s="11">
        <f ca="1">IFERROR(__xludf.DUMMYFUNCTION("""COMPUTED_VALUE"""),44186)</f>
        <v>44186</v>
      </c>
      <c r="AR294" s="11">
        <v>44325</v>
      </c>
      <c r="AS294" s="11">
        <f t="shared" si="3"/>
        <v>44325</v>
      </c>
      <c r="AT294" s="11">
        <f ca="1">IFERROR(__xludf.DUMMYFUNCTION("""COMPUTED_VALUE"""),44324)</f>
        <v>44324</v>
      </c>
    </row>
    <row r="295" spans="1:46" ht="13">
      <c r="A295" s="11">
        <v>44323</v>
      </c>
      <c r="B295">
        <f>IFERROR(VLOOKUP($A295,koronahun!$A:$AM,2,FALSE),"")</f>
        <v>789188</v>
      </c>
      <c r="C295">
        <f>IFERROR(VLOOKUP($A295,koronahun!$A:$AM,3,FALSE),"")</f>
        <v>1541</v>
      </c>
      <c r="D295">
        <f>IFERROR(VLOOKUP($A295,koronahun!$A:$AM,4,FALSE),"")</f>
        <v>28403</v>
      </c>
      <c r="E295">
        <f>IFERROR(VLOOKUP($A295,koronahun!$A:$AM,5,FALSE),"")</f>
        <v>553836</v>
      </c>
      <c r="F295">
        <f>IFERROR(VLOOKUP($A295,koronahun!$A:$AM,6,FALSE),"")</f>
        <v>5494198</v>
      </c>
      <c r="G295" s="12">
        <f>IFERROR(VLOOKUP($A295,koronahun!$A:$AM,7,FALSE),"")</f>
        <v>560632.44897959183</v>
      </c>
      <c r="H295">
        <f>IFERROR(VLOOKUP($A295,koronahun!$A:$AM,8,FALSE),"")</f>
        <v>0</v>
      </c>
      <c r="I295" s="13">
        <f>IFERROR(VLOOKUP($A295,koronahun!$A:$AM,9,FALSE),"")</f>
        <v>1.9564601909230913E-3</v>
      </c>
      <c r="J295" s="13">
        <f>IFERROR(VLOOKUP($A295,koronahun!$A:$AM,10,FALSE),"")</f>
        <v>0.14364025468321309</v>
      </c>
      <c r="K295" s="13">
        <f>IFERROR(VLOOKUP($A295,koronahun!$A:$AM,11,FALSE),"")</f>
        <v>3.4055020216230292E-3</v>
      </c>
      <c r="L295">
        <f>IFERROR(VLOOKUP($A295,koronahun!$A:$AM,12,FALSE),"")</f>
        <v>206949</v>
      </c>
      <c r="M295" s="13">
        <f>IFERROR(VLOOKUP($A295,koronahun!$A:$AM,13,FALSE),"")</f>
        <v>3.5990156971469407E-2</v>
      </c>
      <c r="N295" s="13">
        <f>IFERROR(VLOOKUP($A295,koronahun!$A:$AM,14,FALSE),"")</f>
        <v>0.70177955062672015</v>
      </c>
      <c r="O295">
        <f>IFERROR(VLOOKUP($A295,koronahun!$A:$AM,15,FALSE),"")</f>
        <v>24690</v>
      </c>
      <c r="P295">
        <f>IFERROR(VLOOKUP($A295,koronahun!$A:$AM,16,FALSE),"")</f>
        <v>18647</v>
      </c>
      <c r="Q295" s="13">
        <f>IFERROR(VLOOKUP($A295,koronahun!$A:$AM,17,FALSE),"")</f>
        <v>8.2640639244918754E-2</v>
      </c>
      <c r="R295">
        <f>IFERROR(VLOOKUP($A295,koronahun!$A:$AM,18,FALSE),"")</f>
        <v>106</v>
      </c>
      <c r="S295">
        <f>IFERROR(VLOOKUP($A295,koronahun!$A:$AM,19,FALSE),"")</f>
        <v>7590</v>
      </c>
      <c r="T295">
        <f>IFERROR(VLOOKUP($A295,koronahun!$A:$AM,20,FALSE),"")</f>
        <v>3855</v>
      </c>
      <c r="U295">
        <f>IFERROR(VLOOKUP($A295,koronahun!$A:$AM,21,FALSE),"")</f>
        <v>445</v>
      </c>
      <c r="V295" s="13">
        <f>IFERROR(VLOOKUP($A295,koronahun!$A:$AM,22,FALSE),"")</f>
        <v>0.26223029240181045</v>
      </c>
      <c r="W295">
        <f>IFERROR(VLOOKUP($A295,koronahun!$A:$AM,23,FALSE),"")</f>
        <v>-249</v>
      </c>
      <c r="X295">
        <f>IFERROR(VLOOKUP($A295,koronahun!$A:$AM,24,FALSE),"")</f>
        <v>-40</v>
      </c>
      <c r="Y295" s="14">
        <f>IFERROR(VLOOKUP($A295,koronahun!$A:$AM,25,FALSE),"")</f>
        <v>1.8627777858312919E-2</v>
      </c>
      <c r="Z295" s="14">
        <f>IFERROR(VLOOKUP($A295,koronahun!$A:$AM,26,FALSE),"")</f>
        <v>0.11543450064850844</v>
      </c>
      <c r="AA295" s="14">
        <f>IFERROR(VLOOKUP($A295,koronahun!$A:$AM,27,FALSE),"")</f>
        <v>0.65801792162632067</v>
      </c>
      <c r="AB295" s="14">
        <f>IFERROR(VLOOKUP($A295,koronahun!$A:$AM,28,FALSE),"")</f>
        <v>0.68141149486276953</v>
      </c>
      <c r="AC295" s="14">
        <f>IFERROR(VLOOKUP($A295,koronahun!$A:$AM,29,FALSE),"")</f>
        <v>1405.7142857142858</v>
      </c>
      <c r="AD295" s="14">
        <f>IFERROR(VLOOKUP($A295,koronahun!$A:$AM,30,FALSE),"")</f>
        <v>123.28571428571429</v>
      </c>
      <c r="AE295" s="14">
        <f>IFERROR(VLOOKUP($A295,koronahun!$A:$AM,31,FALSE),"")</f>
        <v>17236.857142857141</v>
      </c>
      <c r="AF295" s="13">
        <f>IFERROR(VLOOKUP($A295,koronahun!$A:$AM,32,FALSE),"")</f>
        <v>8.1935348234723038E-2</v>
      </c>
      <c r="AG295">
        <f>IFERROR(VLOOKUP($A295,koronahun!$A:$AM,33,FALSE),"")</f>
        <v>4203873</v>
      </c>
      <c r="AH295">
        <f>IFERROR(VLOOKUP($A295,koronahun!$A:$AM,34,FALSE),"")</f>
        <v>50835</v>
      </c>
      <c r="AI295">
        <f>IFERROR(VLOOKUP($A295,koronahun!$A:$AM,35,FALSE),"")</f>
        <v>41474.714285714283</v>
      </c>
      <c r="AJ295">
        <f>IFERROR(VLOOKUP($A295,koronahun!$A:$AM,36,FALSE),"")</f>
        <v>2406684</v>
      </c>
      <c r="AK295">
        <f>IFERROR(VLOOKUP($A295,koronahun!$A:$AM,37,FALSE),"")</f>
        <v>91256</v>
      </c>
      <c r="AL295">
        <f>IFERROR(VLOOKUP($A295,koronahun!$A:$AM,38,FALSE),"")</f>
        <v>75112.428571428565</v>
      </c>
      <c r="AM295" s="14">
        <f>IFERROR(VLOOKUP($A295,koronahun!$A:$AM,39,FALSE),"")</f>
        <v>6208.1428571428569</v>
      </c>
      <c r="AN295" s="11">
        <f ca="1">IFERROR(__xludf.DUMMYFUNCTION("""COMPUTED_VALUE"""),44187)</f>
        <v>44187</v>
      </c>
      <c r="AO295" s="12">
        <f ca="1">IFERROR(VLOOKUP(AN295,koronahun!A:B,2,FALSE),"")</f>
        <v>306368</v>
      </c>
      <c r="AP295" s="11">
        <f t="shared" ca="1" si="2"/>
        <v>44187</v>
      </c>
      <c r="AQ295" s="11">
        <f ca="1">IFERROR(__xludf.DUMMYFUNCTION("""COMPUTED_VALUE"""),44187)</f>
        <v>44187</v>
      </c>
      <c r="AR295" s="11">
        <v>44324</v>
      </c>
      <c r="AS295" s="11">
        <f t="shared" si="3"/>
        <v>44324</v>
      </c>
      <c r="AT295" s="11">
        <f ca="1">IFERROR(__xludf.DUMMYFUNCTION("""COMPUTED_VALUE"""),44323)</f>
        <v>44323</v>
      </c>
    </row>
    <row r="296" spans="1:46" ht="13">
      <c r="A296" s="11">
        <v>44322</v>
      </c>
      <c r="B296">
        <f>IFERROR(VLOOKUP($A296,koronahun!$A:$AM,2,FALSE),"")</f>
        <v>787647</v>
      </c>
      <c r="C296">
        <f>IFERROR(VLOOKUP($A296,koronahun!$A:$AM,3,FALSE),"")</f>
        <v>1680</v>
      </c>
      <c r="D296">
        <f>IFERROR(VLOOKUP($A296,koronahun!$A:$AM,4,FALSE),"")</f>
        <v>28297</v>
      </c>
      <c r="E296">
        <f>IFERROR(VLOOKUP($A296,koronahun!$A:$AM,5,FALSE),"")</f>
        <v>546246</v>
      </c>
      <c r="F296">
        <f>IFERROR(VLOOKUP($A296,koronahun!$A:$AM,6,FALSE),"")</f>
        <v>5475551</v>
      </c>
      <c r="G296" s="12">
        <f>IFERROR(VLOOKUP($A296,koronahun!$A:$AM,7,FALSE),"")</f>
        <v>558729.69387755101</v>
      </c>
      <c r="H296">
        <f>IFERROR(VLOOKUP($A296,koronahun!$A:$AM,8,FALSE),"")</f>
        <v>0</v>
      </c>
      <c r="I296" s="13">
        <f>IFERROR(VLOOKUP($A296,koronahun!$A:$AM,9,FALSE),"")</f>
        <v>2.1374943222807062E-3</v>
      </c>
      <c r="J296" s="13">
        <f>IFERROR(VLOOKUP($A296,koronahun!$A:$AM,10,FALSE),"")</f>
        <v>0.14384798899690643</v>
      </c>
      <c r="K296" s="13">
        <f>IFERROR(VLOOKUP($A296,koronahun!$A:$AM,11,FALSE),"")</f>
        <v>3.8297522064157609E-3</v>
      </c>
      <c r="L296">
        <f>IFERROR(VLOOKUP($A296,koronahun!$A:$AM,12,FALSE),"")</f>
        <v>213104</v>
      </c>
      <c r="M296" s="13">
        <f>IFERROR(VLOOKUP($A296,koronahun!$A:$AM,13,FALSE),"")</f>
        <v>3.5925992227482613E-2</v>
      </c>
      <c r="N296" s="13">
        <f>IFERROR(VLOOKUP($A296,koronahun!$A:$AM,14,FALSE),"")</f>
        <v>0.69351625791756966</v>
      </c>
      <c r="O296">
        <f>IFERROR(VLOOKUP($A296,koronahun!$A:$AM,15,FALSE),"")</f>
        <v>24902</v>
      </c>
      <c r="P296">
        <f>IFERROR(VLOOKUP($A296,koronahun!$A:$AM,16,FALSE),"")</f>
        <v>20890</v>
      </c>
      <c r="Q296" s="13">
        <f>IFERROR(VLOOKUP($A296,koronahun!$A:$AM,17,FALSE),"")</f>
        <v>8.0421254188606989E-2</v>
      </c>
      <c r="R296">
        <f>IFERROR(VLOOKUP($A296,koronahun!$A:$AM,18,FALSE),"")</f>
        <v>124</v>
      </c>
      <c r="S296">
        <f>IFERROR(VLOOKUP($A296,koronahun!$A:$AM,19,FALSE),"")</f>
        <v>7281</v>
      </c>
      <c r="T296">
        <f>IFERROR(VLOOKUP($A296,koronahun!$A:$AM,20,FALSE),"")</f>
        <v>4104</v>
      </c>
      <c r="U296">
        <f>IFERROR(VLOOKUP($A296,koronahun!$A:$AM,21,FALSE),"")</f>
        <v>485</v>
      </c>
      <c r="V296" s="13">
        <f>IFERROR(VLOOKUP($A296,koronahun!$A:$AM,22,FALSE),"")</f>
        <v>0.27055774985494774</v>
      </c>
      <c r="W296">
        <f>IFERROR(VLOOKUP($A296,koronahun!$A:$AM,23,FALSE),"")</f>
        <v>-270</v>
      </c>
      <c r="X296">
        <f>IFERROR(VLOOKUP($A296,koronahun!$A:$AM,24,FALSE),"")</f>
        <v>-26</v>
      </c>
      <c r="Y296" s="14">
        <f>IFERROR(VLOOKUP($A296,koronahun!$A:$AM,25,FALSE),"")</f>
        <v>1.9258202567760341E-2</v>
      </c>
      <c r="Z296" s="14">
        <f>IFERROR(VLOOKUP($A296,koronahun!$A:$AM,26,FALSE),"")</f>
        <v>0.11817738791423002</v>
      </c>
      <c r="AA296" s="14">
        <f>IFERROR(VLOOKUP($A296,koronahun!$A:$AM,27,FALSE),"")</f>
        <v>0.66583416583416588</v>
      </c>
      <c r="AB296" s="14">
        <f>IFERROR(VLOOKUP($A296,koronahun!$A:$AM,28,FALSE),"")</f>
        <v>0.68365536255824999</v>
      </c>
      <c r="AC296" s="14">
        <f>IFERROR(VLOOKUP($A296,koronahun!$A:$AM,29,FALSE),"")</f>
        <v>1523.4285714285713</v>
      </c>
      <c r="AD296" s="14">
        <f>IFERROR(VLOOKUP($A296,koronahun!$A:$AM,30,FALSE),"")</f>
        <v>134.14285714285714</v>
      </c>
      <c r="AE296" s="14">
        <f>IFERROR(VLOOKUP($A296,koronahun!$A:$AM,31,FALSE),"")</f>
        <v>17965.571428571428</v>
      </c>
      <c r="AF296" s="13">
        <f>IFERROR(VLOOKUP($A296,koronahun!$A:$AM,32,FALSE),"")</f>
        <v>8.4356304581192337E-2</v>
      </c>
      <c r="AG296">
        <f>IFERROR(VLOOKUP($A296,koronahun!$A:$AM,33,FALSE),"")</f>
        <v>4153038</v>
      </c>
      <c r="AH296">
        <f>IFERROR(VLOOKUP($A296,koronahun!$A:$AM,34,FALSE),"")</f>
        <v>29341</v>
      </c>
      <c r="AI296">
        <f>IFERROR(VLOOKUP($A296,koronahun!$A:$AM,35,FALSE),"")</f>
        <v>40402.285714285717</v>
      </c>
      <c r="AJ296">
        <f>IFERROR(VLOOKUP($A296,koronahun!$A:$AM,36,FALSE),"")</f>
        <v>2315428</v>
      </c>
      <c r="AK296">
        <f>IFERROR(VLOOKUP($A296,koronahun!$A:$AM,37,FALSE),"")</f>
        <v>66653</v>
      </c>
      <c r="AL296">
        <f>IFERROR(VLOOKUP($A296,koronahun!$A:$AM,38,FALSE),"")</f>
        <v>70396.142857142855</v>
      </c>
      <c r="AM296" s="14">
        <f>IFERROR(VLOOKUP($A296,koronahun!$A:$AM,39,FALSE),"")</f>
        <v>6078.4285714285716</v>
      </c>
      <c r="AN296" s="11">
        <f ca="1">IFERROR(__xludf.DUMMYFUNCTION("""COMPUTED_VALUE"""),44188)</f>
        <v>44188</v>
      </c>
      <c r="AO296" s="12">
        <f ca="1">IFERROR(VLOOKUP(AN296,koronahun!A:B,2,FALSE),"")</f>
        <v>308262</v>
      </c>
      <c r="AP296" s="11">
        <f t="shared" ca="1" si="2"/>
        <v>44188</v>
      </c>
      <c r="AQ296" s="11">
        <f ca="1">IFERROR(__xludf.DUMMYFUNCTION("""COMPUTED_VALUE"""),44188)</f>
        <v>44188</v>
      </c>
      <c r="AR296" s="11">
        <v>44323</v>
      </c>
      <c r="AS296" s="11">
        <f t="shared" si="3"/>
        <v>44323</v>
      </c>
      <c r="AT296" s="11">
        <f ca="1">IFERROR(__xludf.DUMMYFUNCTION("""COMPUTED_VALUE"""),44322)</f>
        <v>44322</v>
      </c>
    </row>
    <row r="297" spans="1:46" ht="13">
      <c r="A297" s="11">
        <v>44321</v>
      </c>
      <c r="B297">
        <f>IFERROR(VLOOKUP($A297,koronahun!$A:$AM,2,FALSE),"")</f>
        <v>785967</v>
      </c>
      <c r="C297">
        <f>IFERROR(VLOOKUP($A297,koronahun!$A:$AM,3,FALSE),"")</f>
        <v>1130</v>
      </c>
      <c r="D297">
        <f>IFERROR(VLOOKUP($A297,koronahun!$A:$AM,4,FALSE),"")</f>
        <v>28173</v>
      </c>
      <c r="E297">
        <f>IFERROR(VLOOKUP($A297,koronahun!$A:$AM,5,FALSE),"")</f>
        <v>538965</v>
      </c>
      <c r="F297">
        <f>IFERROR(VLOOKUP($A297,koronahun!$A:$AM,6,FALSE),"")</f>
        <v>5454661</v>
      </c>
      <c r="G297" s="12">
        <f>IFERROR(VLOOKUP($A297,koronahun!$A:$AM,7,FALSE),"")</f>
        <v>556598.06122448971</v>
      </c>
      <c r="H297">
        <f>IFERROR(VLOOKUP($A297,koronahun!$A:$AM,8,FALSE),"")</f>
        <v>0</v>
      </c>
      <c r="I297" s="13">
        <f>IFERROR(VLOOKUP($A297,koronahun!$A:$AM,9,FALSE),"")</f>
        <v>1.439789408501383E-3</v>
      </c>
      <c r="J297" s="13">
        <f>IFERROR(VLOOKUP($A297,koronahun!$A:$AM,10,FALSE),"")</f>
        <v>0.14409089767448427</v>
      </c>
      <c r="K297" s="13">
        <f>IFERROR(VLOOKUP($A297,koronahun!$A:$AM,11,FALSE),"")</f>
        <v>3.0370650286081009E-3</v>
      </c>
      <c r="L297">
        <f>IFERROR(VLOOKUP($A297,koronahun!$A:$AM,12,FALSE),"")</f>
        <v>218829</v>
      </c>
      <c r="M297" s="13">
        <f>IFERROR(VLOOKUP($A297,koronahun!$A:$AM,13,FALSE),"")</f>
        <v>3.5845016393818062E-2</v>
      </c>
      <c r="N297" s="13">
        <f>IFERROR(VLOOKUP($A297,koronahun!$A:$AM,14,FALSE),"")</f>
        <v>0.68573489726667913</v>
      </c>
      <c r="O297">
        <f>IFERROR(VLOOKUP($A297,koronahun!$A:$AM,15,FALSE),"")</f>
        <v>24796</v>
      </c>
      <c r="P297">
        <f>IFERROR(VLOOKUP($A297,koronahun!$A:$AM,16,FALSE),"")</f>
        <v>16516</v>
      </c>
      <c r="Q297" s="13">
        <f>IFERROR(VLOOKUP($A297,koronahun!$A:$AM,17,FALSE),"")</f>
        <v>6.8418503269556799E-2</v>
      </c>
      <c r="R297">
        <f>IFERROR(VLOOKUP($A297,koronahun!$A:$AM,18,FALSE),"")</f>
        <v>128</v>
      </c>
      <c r="S297">
        <f>IFERROR(VLOOKUP($A297,koronahun!$A:$AM,19,FALSE),"")</f>
        <v>5975</v>
      </c>
      <c r="T297">
        <f>IFERROR(VLOOKUP($A297,koronahun!$A:$AM,20,FALSE),"")</f>
        <v>4374</v>
      </c>
      <c r="U297">
        <f>IFERROR(VLOOKUP($A297,koronahun!$A:$AM,21,FALSE),"")</f>
        <v>511</v>
      </c>
      <c r="V297" s="13">
        <f>IFERROR(VLOOKUP($A297,koronahun!$A:$AM,22,FALSE),"")</f>
        <v>0.27842008633950283</v>
      </c>
      <c r="W297">
        <f>IFERROR(VLOOKUP($A297,koronahun!$A:$AM,23,FALSE),"")</f>
        <v>-365</v>
      </c>
      <c r="X297">
        <f>IFERROR(VLOOKUP($A297,koronahun!$A:$AM,24,FALSE),"")</f>
        <v>-38</v>
      </c>
      <c r="Y297" s="14">
        <f>IFERROR(VLOOKUP($A297,koronahun!$A:$AM,25,FALSE),"")</f>
        <v>1.9988209972170049E-2</v>
      </c>
      <c r="Z297" s="14">
        <f>IFERROR(VLOOKUP($A297,koronahun!$A:$AM,26,FALSE),"")</f>
        <v>0.11682670324645633</v>
      </c>
      <c r="AA297" s="14">
        <f>IFERROR(VLOOKUP($A297,koronahun!$A:$AM,27,FALSE),"")</f>
        <v>0.67891308175362408</v>
      </c>
      <c r="AB297" s="14">
        <f>IFERROR(VLOOKUP($A297,koronahun!$A:$AM,28,FALSE),"")</f>
        <v>0.68392914994005127</v>
      </c>
      <c r="AC297" s="14">
        <f>IFERROR(VLOOKUP($A297,koronahun!$A:$AM,29,FALSE),"")</f>
        <v>1652.5714285714287</v>
      </c>
      <c r="AD297" s="14">
        <f>IFERROR(VLOOKUP($A297,koronahun!$A:$AM,30,FALSE),"")</f>
        <v>143</v>
      </c>
      <c r="AE297" s="14">
        <f>IFERROR(VLOOKUP($A297,koronahun!$A:$AM,31,FALSE),"")</f>
        <v>18178.285714285714</v>
      </c>
      <c r="AF297" s="13">
        <f>IFERROR(VLOOKUP($A297,koronahun!$A:$AM,32,FALSE),"")</f>
        <v>8.9362609934509313E-2</v>
      </c>
      <c r="AG297">
        <f>IFERROR(VLOOKUP($A297,koronahun!$A:$AM,33,FALSE),"")</f>
        <v>4123697</v>
      </c>
      <c r="AH297">
        <f>IFERROR(VLOOKUP($A297,koronahun!$A:$AM,34,FALSE),"")</f>
        <v>24202</v>
      </c>
      <c r="AI297">
        <f>IFERROR(VLOOKUP($A297,koronahun!$A:$AM,35,FALSE),"")</f>
        <v>49925.142857142855</v>
      </c>
      <c r="AJ297">
        <f>IFERROR(VLOOKUP($A297,koronahun!$A:$AM,36,FALSE),"")</f>
        <v>2248775</v>
      </c>
      <c r="AK297">
        <f>IFERROR(VLOOKUP($A297,koronahun!$A:$AM,37,FALSE),"")</f>
        <v>91138</v>
      </c>
      <c r="AL297">
        <f>IFERROR(VLOOKUP($A297,koronahun!$A:$AM,38,FALSE),"")</f>
        <v>67839.28571428571</v>
      </c>
      <c r="AM297" s="14">
        <f>IFERROR(VLOOKUP($A297,koronahun!$A:$AM,39,FALSE),"")</f>
        <v>5983</v>
      </c>
      <c r="AN297" s="11">
        <f ca="1">IFERROR(__xludf.DUMMYFUNCTION("""COMPUTED_VALUE"""),44189)</f>
        <v>44189</v>
      </c>
      <c r="AO297" s="12">
        <f ca="1">IFERROR(VLOOKUP(AN297,koronahun!A:B,2,FALSE),"")</f>
        <v>311554</v>
      </c>
      <c r="AP297" s="11">
        <f t="shared" ca="1" si="2"/>
        <v>44189</v>
      </c>
      <c r="AQ297" s="11">
        <f ca="1">IFERROR(__xludf.DUMMYFUNCTION("""COMPUTED_VALUE"""),44189)</f>
        <v>44189</v>
      </c>
      <c r="AR297" s="11">
        <v>44322</v>
      </c>
      <c r="AS297" s="11">
        <f t="shared" si="3"/>
        <v>44322</v>
      </c>
      <c r="AT297" s="11">
        <f ca="1">IFERROR(__xludf.DUMMYFUNCTION("""COMPUTED_VALUE"""),44321)</f>
        <v>44321</v>
      </c>
    </row>
    <row r="298" spans="1:46" ht="13">
      <c r="A298" s="11">
        <v>44320</v>
      </c>
      <c r="B298">
        <f>IFERROR(VLOOKUP($A298,koronahun!$A:$AM,2,FALSE),"")</f>
        <v>784837</v>
      </c>
      <c r="C298">
        <f>IFERROR(VLOOKUP($A298,koronahun!$A:$AM,3,FALSE),"")</f>
        <v>726</v>
      </c>
      <c r="D298">
        <f>IFERROR(VLOOKUP($A298,koronahun!$A:$AM,4,FALSE),"")</f>
        <v>28045</v>
      </c>
      <c r="E298">
        <f>IFERROR(VLOOKUP($A298,koronahun!$A:$AM,5,FALSE),"")</f>
        <v>532990</v>
      </c>
      <c r="F298">
        <f>IFERROR(VLOOKUP($A298,koronahun!$A:$AM,6,FALSE),"")</f>
        <v>5438145</v>
      </c>
      <c r="G298" s="12">
        <f>IFERROR(VLOOKUP($A298,koronahun!$A:$AM,7,FALSE),"")</f>
        <v>554912.75510204083</v>
      </c>
      <c r="H298">
        <f>IFERROR(VLOOKUP($A298,koronahun!$A:$AM,8,FALSE),"")</f>
        <v>0</v>
      </c>
      <c r="I298" s="13">
        <f>IFERROR(VLOOKUP($A298,koronahun!$A:$AM,9,FALSE),"")</f>
        <v>9.2588931924179104E-4</v>
      </c>
      <c r="J298" s="13">
        <f>IFERROR(VLOOKUP($A298,koronahun!$A:$AM,10,FALSE),"")</f>
        <v>0.14432071965716251</v>
      </c>
      <c r="K298" s="13">
        <f>IFERROR(VLOOKUP($A298,koronahun!$A:$AM,11,FALSE),"")</f>
        <v>1.5485096239467953E-3</v>
      </c>
      <c r="L298">
        <f>IFERROR(VLOOKUP($A298,koronahun!$A:$AM,12,FALSE),"")</f>
        <v>223802</v>
      </c>
      <c r="M298" s="13">
        <f>IFERROR(VLOOKUP($A298,koronahun!$A:$AM,13,FALSE),"")</f>
        <v>3.5733534479133883E-2</v>
      </c>
      <c r="N298" s="13">
        <f>IFERROR(VLOOKUP($A298,koronahun!$A:$AM,14,FALSE),"")</f>
        <v>0.67910916534261256</v>
      </c>
      <c r="O298">
        <f>IFERROR(VLOOKUP($A298,koronahun!$A:$AM,15,FALSE),"")</f>
        <v>28080</v>
      </c>
      <c r="P298">
        <f>IFERROR(VLOOKUP($A298,koronahun!$A:$AM,16,FALSE),"")</f>
        <v>8408</v>
      </c>
      <c r="Q298" s="13">
        <f>IFERROR(VLOOKUP($A298,koronahun!$A:$AM,17,FALSE),"")</f>
        <v>8.634633682207421E-2</v>
      </c>
      <c r="R298">
        <f>IFERROR(VLOOKUP($A298,koronahun!$A:$AM,18,FALSE),"")</f>
        <v>137</v>
      </c>
      <c r="S298">
        <f>IFERROR(VLOOKUP($A298,koronahun!$A:$AM,19,FALSE),"")</f>
        <v>4789</v>
      </c>
      <c r="T298">
        <f>IFERROR(VLOOKUP($A298,koronahun!$A:$AM,20,FALSE),"")</f>
        <v>4739</v>
      </c>
      <c r="U298">
        <f>IFERROR(VLOOKUP($A298,koronahun!$A:$AM,21,FALSE),"")</f>
        <v>549</v>
      </c>
      <c r="V298" s="13">
        <f>IFERROR(VLOOKUP($A298,koronahun!$A:$AM,22,FALSE),"")</f>
        <v>0.28515730017825358</v>
      </c>
      <c r="W298">
        <f>IFERROR(VLOOKUP($A298,koronahun!$A:$AM,23,FALSE),"")</f>
        <v>-133</v>
      </c>
      <c r="X298">
        <f>IFERROR(VLOOKUP($A298,koronahun!$A:$AM,24,FALSE),"")</f>
        <v>-23</v>
      </c>
      <c r="Y298" s="14">
        <f>IFERROR(VLOOKUP($A298,koronahun!$A:$AM,25,FALSE),"")</f>
        <v>2.1174967158470434E-2</v>
      </c>
      <c r="Z298" s="14">
        <f>IFERROR(VLOOKUP($A298,koronahun!$A:$AM,26,FALSE),"")</f>
        <v>0.11584722515298586</v>
      </c>
      <c r="AA298" s="14">
        <f>IFERROR(VLOOKUP($A298,koronahun!$A:$AM,27,FALSE),"")</f>
        <v>0.67863936443996864</v>
      </c>
      <c r="AB298" s="14">
        <f>IFERROR(VLOOKUP($A298,koronahun!$A:$AM,28,FALSE),"")</f>
        <v>0.68171060935303918</v>
      </c>
      <c r="AC298" s="14">
        <f>IFERROR(VLOOKUP($A298,koronahun!$A:$AM,29,FALSE),"")</f>
        <v>1732.8571428571429</v>
      </c>
      <c r="AD298" s="14">
        <f>IFERROR(VLOOKUP($A298,koronahun!$A:$AM,30,FALSE),"")</f>
        <v>151.57142857142858</v>
      </c>
      <c r="AE298" s="14">
        <f>IFERROR(VLOOKUP($A298,koronahun!$A:$AM,31,FALSE),"")</f>
        <v>18503</v>
      </c>
      <c r="AF298" s="13">
        <f>IFERROR(VLOOKUP($A298,koronahun!$A:$AM,32,FALSE),"")</f>
        <v>9.2453208096566888E-2</v>
      </c>
      <c r="AG298">
        <f>IFERROR(VLOOKUP($A298,koronahun!$A:$AM,33,FALSE),"")</f>
        <v>4099495</v>
      </c>
      <c r="AH298">
        <f>IFERROR(VLOOKUP($A298,koronahun!$A:$AM,34,FALSE),"")</f>
        <v>26346</v>
      </c>
      <c r="AI298">
        <f>IFERROR(VLOOKUP($A298,koronahun!$A:$AM,35,FALSE),"")</f>
        <v>59966.428571428572</v>
      </c>
      <c r="AJ298">
        <f>IFERROR(VLOOKUP($A298,koronahun!$A:$AM,36,FALSE),"")</f>
        <v>2157637</v>
      </c>
      <c r="AK298">
        <f>IFERROR(VLOOKUP($A298,koronahun!$A:$AM,37,FALSE),"")</f>
        <v>80477</v>
      </c>
      <c r="AL298">
        <f>IFERROR(VLOOKUP($A298,koronahun!$A:$AM,38,FALSE),"")</f>
        <v>63702</v>
      </c>
      <c r="AM298" s="14">
        <f>IFERROR(VLOOKUP($A298,koronahun!$A:$AM,39,FALSE),"")</f>
        <v>5910</v>
      </c>
      <c r="AN298" s="11">
        <f ca="1">IFERROR(__xludf.DUMMYFUNCTION("""COMPUTED_VALUE"""),44190)</f>
        <v>44190</v>
      </c>
      <c r="AO298" s="12">
        <f ca="1">IFERROR(VLOOKUP(AN298,koronahun!A:B,2,FALSE),"")</f>
        <v>314164</v>
      </c>
      <c r="AP298" s="11">
        <f t="shared" ca="1" si="2"/>
        <v>44190</v>
      </c>
      <c r="AQ298" s="11">
        <f ca="1">IFERROR(__xludf.DUMMYFUNCTION("""COMPUTED_VALUE"""),44190)</f>
        <v>44190</v>
      </c>
      <c r="AR298" s="11">
        <v>44321</v>
      </c>
      <c r="AS298" s="11">
        <f t="shared" si="3"/>
        <v>44321</v>
      </c>
      <c r="AT298" s="11">
        <f ca="1">IFERROR(__xludf.DUMMYFUNCTION("""COMPUTED_VALUE"""),44320)</f>
        <v>44320</v>
      </c>
    </row>
    <row r="299" spans="1:46" ht="13">
      <c r="A299" s="11">
        <v>44319</v>
      </c>
      <c r="B299">
        <f>IFERROR(VLOOKUP($A299,koronahun!$A:$AM,2,FALSE),"")</f>
        <v>784111</v>
      </c>
      <c r="C299">
        <f>IFERROR(VLOOKUP($A299,koronahun!$A:$AM,3,FALSE),"")</f>
        <v>1219</v>
      </c>
      <c r="D299">
        <f>IFERROR(VLOOKUP($A299,koronahun!$A:$AM,4,FALSE),"")</f>
        <v>27908</v>
      </c>
      <c r="E299">
        <f>IFERROR(VLOOKUP($A299,koronahun!$A:$AM,5,FALSE),"")</f>
        <v>528201</v>
      </c>
      <c r="F299">
        <f>IFERROR(VLOOKUP($A299,koronahun!$A:$AM,6,FALSE),"")</f>
        <v>5429737</v>
      </c>
      <c r="G299" s="12">
        <f>IFERROR(VLOOKUP($A299,koronahun!$A:$AM,7,FALSE),"")</f>
        <v>554054.79591836734</v>
      </c>
      <c r="H299">
        <f>IFERROR(VLOOKUP($A299,koronahun!$A:$AM,8,FALSE),"")</f>
        <v>0</v>
      </c>
      <c r="I299" s="13">
        <f>IFERROR(VLOOKUP($A299,koronahun!$A:$AM,9,FALSE),"")</f>
        <v>1.5570474599306162E-3</v>
      </c>
      <c r="J299" s="13">
        <f>IFERROR(VLOOKUP($A299,koronahun!$A:$AM,10,FALSE),"")</f>
        <v>0.14441049354692501</v>
      </c>
      <c r="K299" s="13">
        <f>IFERROR(VLOOKUP($A299,koronahun!$A:$AM,11,FALSE),"")</f>
        <v>2.5395205265599983E-3</v>
      </c>
      <c r="L299">
        <f>IFERROR(VLOOKUP($A299,koronahun!$A:$AM,12,FALSE),"")</f>
        <v>228002</v>
      </c>
      <c r="M299" s="13">
        <f>IFERROR(VLOOKUP($A299,koronahun!$A:$AM,13,FALSE),"")</f>
        <v>3.5591899616253309E-2</v>
      </c>
      <c r="N299" s="13">
        <f>IFERROR(VLOOKUP($A299,koronahun!$A:$AM,14,FALSE),"")</f>
        <v>0.67363039161547278</v>
      </c>
      <c r="O299">
        <f>IFERROR(VLOOKUP($A299,koronahun!$A:$AM,15,FALSE),"")</f>
        <v>27386</v>
      </c>
      <c r="P299">
        <f>IFERROR(VLOOKUP($A299,koronahun!$A:$AM,16,FALSE),"")</f>
        <v>13754</v>
      </c>
      <c r="Q299" s="13">
        <f>IFERROR(VLOOKUP($A299,koronahun!$A:$AM,17,FALSE),"")</f>
        <v>8.8628762541806017E-2</v>
      </c>
      <c r="R299">
        <f>IFERROR(VLOOKUP($A299,koronahun!$A:$AM,18,FALSE),"")</f>
        <v>106</v>
      </c>
      <c r="S299">
        <f>IFERROR(VLOOKUP($A299,koronahun!$A:$AM,19,FALSE),"")</f>
        <v>4691</v>
      </c>
      <c r="T299">
        <f>IFERROR(VLOOKUP($A299,koronahun!$A:$AM,20,FALSE),"")</f>
        <v>4872</v>
      </c>
      <c r="U299">
        <f>IFERROR(VLOOKUP($A299,koronahun!$A:$AM,21,FALSE),"")</f>
        <v>572</v>
      </c>
      <c r="V299" s="13">
        <f>IFERROR(VLOOKUP($A299,koronahun!$A:$AM,22,FALSE),"")</f>
        <v>0.29077770876827386</v>
      </c>
      <c r="W299">
        <f>IFERROR(VLOOKUP($A299,koronahun!$A:$AM,23,FALSE),"")</f>
        <v>-159</v>
      </c>
      <c r="X299">
        <f>IFERROR(VLOOKUP($A299,koronahun!$A:$AM,24,FALSE),"")</f>
        <v>-15</v>
      </c>
      <c r="Y299" s="14">
        <f>IFERROR(VLOOKUP($A299,koronahun!$A:$AM,25,FALSE),"")</f>
        <v>2.1368233611985858E-2</v>
      </c>
      <c r="Z299" s="14">
        <f>IFERROR(VLOOKUP($A299,koronahun!$A:$AM,26,FALSE),"")</f>
        <v>0.1174055829228243</v>
      </c>
      <c r="AA299" s="14">
        <f>IFERROR(VLOOKUP($A299,koronahun!$A:$AM,27,FALSE),"")</f>
        <v>0.69292674915142893</v>
      </c>
      <c r="AB299" s="14">
        <f>IFERROR(VLOOKUP($A299,koronahun!$A:$AM,28,FALSE),"")</f>
        <v>0.68019956364413914</v>
      </c>
      <c r="AC299" s="14">
        <f>IFERROR(VLOOKUP($A299,koronahun!$A:$AM,29,FALSE),"")</f>
        <v>1808.1428571428571</v>
      </c>
      <c r="AD299" s="14">
        <f>IFERROR(VLOOKUP($A299,koronahun!$A:$AM,30,FALSE),"")</f>
        <v>158.14285714285714</v>
      </c>
      <c r="AE299" s="14">
        <f>IFERROR(VLOOKUP($A299,koronahun!$A:$AM,31,FALSE),"")</f>
        <v>18928.857142857141</v>
      </c>
      <c r="AF299" s="13">
        <f>IFERROR(VLOOKUP($A299,koronahun!$A:$AM,32,FALSE),"")</f>
        <v>9.5834936956913266E-2</v>
      </c>
      <c r="AG299">
        <f>IFERROR(VLOOKUP($A299,koronahun!$A:$AM,33,FALSE),"")</f>
        <v>4073149</v>
      </c>
      <c r="AH299">
        <f>IFERROR(VLOOKUP($A299,koronahun!$A:$AM,34,FALSE),"")</f>
        <v>8945</v>
      </c>
      <c r="AI299">
        <f>IFERROR(VLOOKUP($A299,koronahun!$A:$AM,35,FALSE),"")</f>
        <v>67035.428571428565</v>
      </c>
      <c r="AJ299">
        <f>IFERROR(VLOOKUP($A299,koronahun!$A:$AM,36,FALSE),"")</f>
        <v>2077160</v>
      </c>
      <c r="AK299">
        <f>IFERROR(VLOOKUP($A299,koronahun!$A:$AM,37,FALSE),"")</f>
        <v>60810</v>
      </c>
      <c r="AL299">
        <f>IFERROR(VLOOKUP($A299,koronahun!$A:$AM,38,FALSE),"")</f>
        <v>58870.428571428572</v>
      </c>
      <c r="AM299" s="14">
        <f>IFERROR(VLOOKUP($A299,koronahun!$A:$AM,39,FALSE),"")</f>
        <v>5966.5714285714284</v>
      </c>
      <c r="AN299" s="11">
        <f ca="1">IFERROR(__xludf.DUMMYFUNCTION("""COMPUTED_VALUE"""),44191)</f>
        <v>44191</v>
      </c>
      <c r="AO299" s="12">
        <f ca="1">IFERROR(VLOOKUP(AN299,koronahun!A:B,2,FALSE),"")</f>
        <v>315362</v>
      </c>
      <c r="AP299" s="11">
        <f t="shared" ca="1" si="2"/>
        <v>44191</v>
      </c>
      <c r="AQ299" s="11">
        <f ca="1">IFERROR(__xludf.DUMMYFUNCTION("""COMPUTED_VALUE"""),44191)</f>
        <v>44191</v>
      </c>
      <c r="AR299" s="11">
        <v>44320</v>
      </c>
      <c r="AS299" s="11">
        <f t="shared" si="3"/>
        <v>44320</v>
      </c>
      <c r="AT299" s="11">
        <f ca="1">IFERROR(__xludf.DUMMYFUNCTION("""COMPUTED_VALUE"""),44319)</f>
        <v>44319</v>
      </c>
    </row>
    <row r="300" spans="1:46" ht="13">
      <c r="A300" s="11">
        <v>44318</v>
      </c>
      <c r="B300">
        <f>IFERROR(VLOOKUP($A300,koronahun!$A:$AM,2,FALSE),"")</f>
        <v>782892</v>
      </c>
      <c r="C300">
        <f>IFERROR(VLOOKUP($A300,koronahun!$A:$AM,3,FALSE),"")</f>
        <v>1593</v>
      </c>
      <c r="D300">
        <f>IFERROR(VLOOKUP($A300,koronahun!$A:$AM,4,FALSE),"")</f>
        <v>27802</v>
      </c>
      <c r="E300">
        <f>IFERROR(VLOOKUP($A300,koronahun!$A:$AM,5,FALSE),"")</f>
        <v>523510</v>
      </c>
      <c r="F300">
        <f>IFERROR(VLOOKUP($A300,koronahun!$A:$AM,6,FALSE),"")</f>
        <v>5415983</v>
      </c>
      <c r="G300" s="12">
        <f>IFERROR(VLOOKUP($A300,koronahun!$A:$AM,7,FALSE),"")</f>
        <v>552651.32653061219</v>
      </c>
      <c r="H300">
        <f>IFERROR(VLOOKUP($A300,koronahun!$A:$AM,8,FALSE),"")</f>
        <v>0</v>
      </c>
      <c r="I300" s="13">
        <f>IFERROR(VLOOKUP($A300,koronahun!$A:$AM,9,FALSE),"")</f>
        <v>2.0389121194318693E-3</v>
      </c>
      <c r="J300" s="13">
        <f>IFERROR(VLOOKUP($A300,koronahun!$A:$AM,10,FALSE),"")</f>
        <v>0.14455215239781957</v>
      </c>
      <c r="K300" s="13">
        <f>IFERROR(VLOOKUP($A300,koronahun!$A:$AM,11,FALSE),"")</f>
        <v>3.9541012098648813E-3</v>
      </c>
      <c r="L300">
        <f>IFERROR(VLOOKUP($A300,koronahun!$A:$AM,12,FALSE),"")</f>
        <v>231580</v>
      </c>
      <c r="M300" s="13">
        <f>IFERROR(VLOOKUP($A300,koronahun!$A:$AM,13,FALSE),"")</f>
        <v>3.551192246184659E-2</v>
      </c>
      <c r="N300" s="13">
        <f>IFERROR(VLOOKUP($A300,koronahun!$A:$AM,14,FALSE),"")</f>
        <v>0.66868737961302449</v>
      </c>
      <c r="O300">
        <f>IFERROR(VLOOKUP($A300,koronahun!$A:$AM,15,FALSE),"")</f>
        <v>28989</v>
      </c>
      <c r="P300">
        <f>IFERROR(VLOOKUP($A300,koronahun!$A:$AM,16,FALSE),"")</f>
        <v>21331</v>
      </c>
      <c r="Q300" s="13">
        <f>IFERROR(VLOOKUP($A300,koronahun!$A:$AM,17,FALSE),"")</f>
        <v>7.4680043129717308E-2</v>
      </c>
      <c r="R300">
        <f>IFERROR(VLOOKUP($A300,koronahun!$A:$AM,18,FALSE),"")</f>
        <v>101</v>
      </c>
      <c r="S300">
        <f>IFERROR(VLOOKUP($A300,koronahun!$A:$AM,19,FALSE),"")</f>
        <v>6484</v>
      </c>
      <c r="T300">
        <f>IFERROR(VLOOKUP($A300,koronahun!$A:$AM,20,FALSE),"")</f>
        <v>5031</v>
      </c>
      <c r="U300">
        <f>IFERROR(VLOOKUP($A300,koronahun!$A:$AM,21,FALSE),"")</f>
        <v>587</v>
      </c>
      <c r="V300" s="13">
        <f>IFERROR(VLOOKUP($A300,koronahun!$A:$AM,22,FALSE),"")</f>
        <v>0.29580069792512886</v>
      </c>
      <c r="W300">
        <f>IFERROR(VLOOKUP($A300,koronahun!$A:$AM,23,FALSE),"")</f>
        <v>-160</v>
      </c>
      <c r="X300">
        <f>IFERROR(VLOOKUP($A300,koronahun!$A:$AM,24,FALSE),"")</f>
        <v>-34</v>
      </c>
      <c r="Y300" s="14">
        <f>IFERROR(VLOOKUP($A300,koronahun!$A:$AM,25,FALSE),"")</f>
        <v>2.1724673978754643E-2</v>
      </c>
      <c r="Z300" s="14">
        <f>IFERROR(VLOOKUP($A300,koronahun!$A:$AM,26,FALSE),"")</f>
        <v>0.11667660504869808</v>
      </c>
      <c r="AA300" s="14">
        <f>IFERROR(VLOOKUP($A300,koronahun!$A:$AM,27,FALSE),"")</f>
        <v>0.70352446081009989</v>
      </c>
      <c r="AB300" s="14">
        <f>IFERROR(VLOOKUP($A300,koronahun!$A:$AM,28,FALSE),"")</f>
        <v>0.67458064283722918</v>
      </c>
      <c r="AC300" s="14">
        <f>IFERROR(VLOOKUP($A300,koronahun!$A:$AM,29,FALSE),"")</f>
        <v>1910.5714285714287</v>
      </c>
      <c r="AD300" s="14">
        <f>IFERROR(VLOOKUP($A300,koronahun!$A:$AM,30,FALSE),"")</f>
        <v>168.14285714285714</v>
      </c>
      <c r="AE300" s="14">
        <f>IFERROR(VLOOKUP($A300,koronahun!$A:$AM,31,FALSE),"")</f>
        <v>19340.428571428572</v>
      </c>
      <c r="AF300" s="13">
        <f>IFERROR(VLOOKUP($A300,koronahun!$A:$AM,32,FALSE),"")</f>
        <v>9.9799560041777882E-2</v>
      </c>
      <c r="AG300">
        <f>IFERROR(VLOOKUP($A300,koronahun!$A:$AM,33,FALSE),"")</f>
        <v>4064204</v>
      </c>
      <c r="AH300">
        <f>IFERROR(VLOOKUP($A300,koronahun!$A:$AM,34,FALSE),"")</f>
        <v>41067</v>
      </c>
      <c r="AI300">
        <f>IFERROR(VLOOKUP($A300,koronahun!$A:$AM,35,FALSE),"")</f>
        <v>66867.857142857145</v>
      </c>
      <c r="AJ300">
        <f>IFERROR(VLOOKUP($A300,koronahun!$A:$AM,36,FALSE),"")</f>
        <v>2016350</v>
      </c>
      <c r="AK300">
        <f>IFERROR(VLOOKUP($A300,koronahun!$A:$AM,37,FALSE),"")</f>
        <v>67622</v>
      </c>
      <c r="AL300">
        <f>IFERROR(VLOOKUP($A300,koronahun!$A:$AM,38,FALSE),"")</f>
        <v>56418.571428571428</v>
      </c>
      <c r="AM300" s="14">
        <f>IFERROR(VLOOKUP($A300,koronahun!$A:$AM,39,FALSE),"")</f>
        <v>5900.4285714285716</v>
      </c>
      <c r="AN300" s="11">
        <f ca="1">IFERROR(__xludf.DUMMYFUNCTION("""COMPUTED_VALUE"""),44192)</f>
        <v>44192</v>
      </c>
      <c r="AO300" s="12">
        <f ca="1">IFERROR(VLOOKUP(AN300,koronahun!A:B,2,FALSE),"")</f>
        <v>316060</v>
      </c>
      <c r="AP300" s="11">
        <f t="shared" ca="1" si="2"/>
        <v>44192</v>
      </c>
      <c r="AQ300" s="11">
        <f ca="1">IFERROR(__xludf.DUMMYFUNCTION("""COMPUTED_VALUE"""),44192)</f>
        <v>44192</v>
      </c>
      <c r="AR300" s="11">
        <v>44319</v>
      </c>
      <c r="AS300" s="11">
        <f t="shared" si="3"/>
        <v>44319</v>
      </c>
      <c r="AT300" s="11">
        <f ca="1">IFERROR(__xludf.DUMMYFUNCTION("""COMPUTED_VALUE"""),44318)</f>
        <v>44318</v>
      </c>
    </row>
    <row r="301" spans="1:46" ht="13">
      <c r="A301" s="11">
        <v>44317</v>
      </c>
      <c r="B301">
        <f>IFERROR(VLOOKUP($A301,koronahun!$A:$AM,2,FALSE),"")</f>
        <v>781299</v>
      </c>
      <c r="C301">
        <f>IFERROR(VLOOKUP($A301,koronahun!$A:$AM,3,FALSE),"")</f>
        <v>1951</v>
      </c>
      <c r="D301">
        <f>IFERROR(VLOOKUP($A301,koronahun!$A:$AM,4,FALSE),"")</f>
        <v>27701</v>
      </c>
      <c r="E301">
        <f>IFERROR(VLOOKUP($A301,koronahun!$A:$AM,5,FALSE),"")</f>
        <v>517026</v>
      </c>
      <c r="F301">
        <f>IFERROR(VLOOKUP($A301,koronahun!$A:$AM,6,FALSE),"")</f>
        <v>5394652</v>
      </c>
      <c r="G301" s="12">
        <f>IFERROR(VLOOKUP($A301,koronahun!$A:$AM,7,FALSE),"")</f>
        <v>550474.69387755101</v>
      </c>
      <c r="H301">
        <f>IFERROR(VLOOKUP($A301,koronahun!$A:$AM,8,FALSE),"")</f>
        <v>0</v>
      </c>
      <c r="I301" s="13">
        <f>IFERROR(VLOOKUP($A301,koronahun!$A:$AM,9,FALSE),"")</f>
        <v>2.5033746157044094E-3</v>
      </c>
      <c r="J301" s="13">
        <f>IFERROR(VLOOKUP($A301,koronahun!$A:$AM,10,FALSE),"")</f>
        <v>0.14482843378961238</v>
      </c>
      <c r="K301" s="13">
        <f>IFERROR(VLOOKUP($A301,koronahun!$A:$AM,11,FALSE),"")</f>
        <v>3.9288811472511604E-3</v>
      </c>
      <c r="L301">
        <f>IFERROR(VLOOKUP($A301,koronahun!$A:$AM,12,FALSE),"")</f>
        <v>236572</v>
      </c>
      <c r="M301" s="13">
        <f>IFERROR(VLOOKUP($A301,koronahun!$A:$AM,13,FALSE),"")</f>
        <v>3.5455056258871444E-2</v>
      </c>
      <c r="N301" s="13">
        <f>IFERROR(VLOOKUP($A301,koronahun!$A:$AM,14,FALSE),"")</f>
        <v>0.66175177492867643</v>
      </c>
      <c r="O301">
        <f>IFERROR(VLOOKUP($A301,koronahun!$A:$AM,15,FALSE),"")</f>
        <v>31885</v>
      </c>
      <c r="P301">
        <f>IFERROR(VLOOKUP($A301,koronahun!$A:$AM,16,FALSE),"")</f>
        <v>21112</v>
      </c>
      <c r="Q301" s="13">
        <f>IFERROR(VLOOKUP($A301,koronahun!$A:$AM,17,FALSE),"")</f>
        <v>9.2411898446381202E-2</v>
      </c>
      <c r="R301">
        <f>IFERROR(VLOOKUP($A301,koronahun!$A:$AM,18,FALSE),"")</f>
        <v>161</v>
      </c>
      <c r="S301">
        <f>IFERROR(VLOOKUP($A301,koronahun!$A:$AM,19,FALSE),"")</f>
        <v>6647</v>
      </c>
      <c r="T301">
        <f>IFERROR(VLOOKUP($A301,koronahun!$A:$AM,20,FALSE),"")</f>
        <v>5191</v>
      </c>
      <c r="U301">
        <f>IFERROR(VLOOKUP($A301,koronahun!$A:$AM,21,FALSE),"")</f>
        <v>621</v>
      </c>
      <c r="V301" s="13">
        <f>IFERROR(VLOOKUP($A301,koronahun!$A:$AM,22,FALSE),"")</f>
        <v>0.30279316881245211</v>
      </c>
      <c r="W301">
        <f>IFERROR(VLOOKUP($A301,koronahun!$A:$AM,23,FALSE),"")</f>
        <v>-746</v>
      </c>
      <c r="X301">
        <f>IFERROR(VLOOKUP($A301,koronahun!$A:$AM,24,FALSE),"")</f>
        <v>-56</v>
      </c>
      <c r="Y301" s="14">
        <f>IFERROR(VLOOKUP($A301,koronahun!$A:$AM,25,FALSE),"")</f>
        <v>2.1942579848840946E-2</v>
      </c>
      <c r="Z301" s="14">
        <f>IFERROR(VLOOKUP($A301,koronahun!$A:$AM,26,FALSE),"")</f>
        <v>0.11963012906954344</v>
      </c>
      <c r="AA301" s="14">
        <f>IFERROR(VLOOKUP($A301,koronahun!$A:$AM,27,FALSE),"")</f>
        <v>0.69202472042377872</v>
      </c>
      <c r="AB301" s="14">
        <f>IFERROR(VLOOKUP($A301,koronahun!$A:$AM,28,FALSE),"")</f>
        <v>0.66357471914875377</v>
      </c>
      <c r="AC301" s="14">
        <f>IFERROR(VLOOKUP($A301,koronahun!$A:$AM,29,FALSE),"")</f>
        <v>2015.5714285714287</v>
      </c>
      <c r="AD301" s="14">
        <f>IFERROR(VLOOKUP($A301,koronahun!$A:$AM,30,FALSE),"")</f>
        <v>183</v>
      </c>
      <c r="AE301" s="14">
        <f>IFERROR(VLOOKUP($A301,koronahun!$A:$AM,31,FALSE),"")</f>
        <v>19610.714285714286</v>
      </c>
      <c r="AF301" s="13">
        <f>IFERROR(VLOOKUP($A301,koronahun!$A:$AM,32,FALSE),"")</f>
        <v>0.10345176049821314</v>
      </c>
      <c r="AG301">
        <f>IFERROR(VLOOKUP($A301,koronahun!$A:$AM,33,FALSE),"")</f>
        <v>4023137</v>
      </c>
      <c r="AH301">
        <f>IFERROR(VLOOKUP($A301,koronahun!$A:$AM,34,FALSE),"")</f>
        <v>109587</v>
      </c>
      <c r="AI301">
        <f>IFERROR(VLOOKUP($A301,koronahun!$A:$AM,35,FALSE),"")</f>
        <v>63776</v>
      </c>
      <c r="AJ301">
        <f>IFERROR(VLOOKUP($A301,koronahun!$A:$AM,36,FALSE),"")</f>
        <v>1948728</v>
      </c>
      <c r="AK301">
        <f>IFERROR(VLOOKUP($A301,koronahun!$A:$AM,37,FALSE),"")</f>
        <v>67831</v>
      </c>
      <c r="AL301">
        <f>IFERROR(VLOOKUP($A301,koronahun!$A:$AM,38,FALSE),"")</f>
        <v>56577.571428571428</v>
      </c>
      <c r="AM301" s="14">
        <f>IFERROR(VLOOKUP($A301,koronahun!$A:$AM,39,FALSE),"")</f>
        <v>5529</v>
      </c>
      <c r="AN301" s="11">
        <f ca="1">IFERROR(__xludf.DUMMYFUNCTION("""COMPUTED_VALUE"""),44193)</f>
        <v>44193</v>
      </c>
      <c r="AO301" s="12">
        <f ca="1">IFERROR(VLOOKUP(AN301,koronahun!A:B,2,FALSE),"")</f>
        <v>316669</v>
      </c>
      <c r="AP301" s="11">
        <f t="shared" ca="1" si="2"/>
        <v>44193</v>
      </c>
      <c r="AQ301" s="11">
        <f ca="1">IFERROR(__xludf.DUMMYFUNCTION("""COMPUTED_VALUE"""),44193)</f>
        <v>44193</v>
      </c>
      <c r="AR301" s="11">
        <v>44318</v>
      </c>
      <c r="AS301" s="11">
        <f t="shared" si="3"/>
        <v>44318</v>
      </c>
      <c r="AT301" s="11">
        <f ca="1">IFERROR(__xludf.DUMMYFUNCTION("""COMPUTED_VALUE"""),44317)</f>
        <v>44317</v>
      </c>
    </row>
    <row r="302" spans="1:46" ht="13">
      <c r="A302" s="11">
        <v>44316</v>
      </c>
      <c r="B302">
        <f>IFERROR(VLOOKUP($A302,koronahun!$A:$AM,2,FALSE),"")</f>
        <v>779348</v>
      </c>
      <c r="C302">
        <f>IFERROR(VLOOKUP($A302,koronahun!$A:$AM,3,FALSE),"")</f>
        <v>2365</v>
      </c>
      <c r="D302">
        <f>IFERROR(VLOOKUP($A302,koronahun!$A:$AM,4,FALSE),"")</f>
        <v>27540</v>
      </c>
      <c r="E302">
        <f>IFERROR(VLOOKUP($A302,koronahun!$A:$AM,5,FALSE),"")</f>
        <v>510379</v>
      </c>
      <c r="F302">
        <f>IFERROR(VLOOKUP($A302,koronahun!$A:$AM,6,FALSE),"")</f>
        <v>5373540</v>
      </c>
      <c r="G302" s="12">
        <f>IFERROR(VLOOKUP($A302,koronahun!$A:$AM,7,FALSE),"")</f>
        <v>548320.40816326521</v>
      </c>
      <c r="H302">
        <f>IFERROR(VLOOKUP($A302,koronahun!$A:$AM,8,FALSE),"")</f>
        <v>0</v>
      </c>
      <c r="I302" s="13">
        <f>IFERROR(VLOOKUP($A302,koronahun!$A:$AM,9,FALSE),"")</f>
        <v>3.0438246396639309E-3</v>
      </c>
      <c r="J302" s="13">
        <f>IFERROR(VLOOKUP($A302,koronahun!$A:$AM,10,FALSE),"")</f>
        <v>0.14503437212712664</v>
      </c>
      <c r="K302" s="13">
        <f>IFERROR(VLOOKUP($A302,koronahun!$A:$AM,11,FALSE),"")</f>
        <v>4.4390510883413788E-3</v>
      </c>
      <c r="L302">
        <f>IFERROR(VLOOKUP($A302,koronahun!$A:$AM,12,FALSE),"")</f>
        <v>241429</v>
      </c>
      <c r="M302" s="13">
        <f>IFERROR(VLOOKUP($A302,koronahun!$A:$AM,13,FALSE),"")</f>
        <v>3.5337230608149375E-2</v>
      </c>
      <c r="N302" s="13">
        <f>IFERROR(VLOOKUP($A302,koronahun!$A:$AM,14,FALSE),"")</f>
        <v>0.65487946334628433</v>
      </c>
      <c r="O302">
        <f>IFERROR(VLOOKUP($A302,koronahun!$A:$AM,15,FALSE),"")</f>
        <v>32838</v>
      </c>
      <c r="P302">
        <f>IFERROR(VLOOKUP($A302,koronahun!$A:$AM,16,FALSE),"")</f>
        <v>23748</v>
      </c>
      <c r="Q302" s="13">
        <f>IFERROR(VLOOKUP($A302,koronahun!$A:$AM,17,FALSE),"")</f>
        <v>9.9587333670203809E-2</v>
      </c>
      <c r="R302">
        <f>IFERROR(VLOOKUP($A302,koronahun!$A:$AM,18,FALSE),"")</f>
        <v>182</v>
      </c>
      <c r="S302">
        <f>IFERROR(VLOOKUP($A302,koronahun!$A:$AM,19,FALSE),"")</f>
        <v>6682</v>
      </c>
      <c r="T302">
        <f>IFERROR(VLOOKUP($A302,koronahun!$A:$AM,20,FALSE),"")</f>
        <v>5937</v>
      </c>
      <c r="U302">
        <f>IFERROR(VLOOKUP($A302,koronahun!$A:$AM,21,FALSE),"")</f>
        <v>677</v>
      </c>
      <c r="V302" s="13">
        <f>IFERROR(VLOOKUP($A302,koronahun!$A:$AM,22,FALSE),"")</f>
        <v>0.30978330604556631</v>
      </c>
      <c r="W302">
        <f>IFERROR(VLOOKUP($A302,koronahun!$A:$AM,23,FALSE),"")</f>
        <v>383</v>
      </c>
      <c r="X302">
        <f>IFERROR(VLOOKUP($A302,koronahun!$A:$AM,24,FALSE),"")</f>
        <v>15</v>
      </c>
      <c r="Y302" s="14">
        <f>IFERROR(VLOOKUP($A302,koronahun!$A:$AM,25,FALSE),"")</f>
        <v>2.4591080607549217E-2</v>
      </c>
      <c r="Z302" s="14">
        <f>IFERROR(VLOOKUP($A302,koronahun!$A:$AM,26,FALSE),"")</f>
        <v>0.11403065521307057</v>
      </c>
      <c r="AA302" s="14">
        <f>IFERROR(VLOOKUP($A302,koronahun!$A:$AM,27,FALSE),"")</f>
        <v>0.67372499549468368</v>
      </c>
      <c r="AB302" s="14">
        <f>IFERROR(VLOOKUP($A302,koronahun!$A:$AM,28,FALSE),"")</f>
        <v>0.65315065828921348</v>
      </c>
      <c r="AC302" s="14">
        <f>IFERROR(VLOOKUP($A302,koronahun!$A:$AM,29,FALSE),"")</f>
        <v>2136.2857142857142</v>
      </c>
      <c r="AD302" s="14">
        <f>IFERROR(VLOOKUP($A302,koronahun!$A:$AM,30,FALSE),"")</f>
        <v>190.28571428571428</v>
      </c>
      <c r="AE302" s="14">
        <f>IFERROR(VLOOKUP($A302,koronahun!$A:$AM,31,FALSE),"")</f>
        <v>20001.428571428572</v>
      </c>
      <c r="AF302" s="13">
        <f>IFERROR(VLOOKUP($A302,koronahun!$A:$AM,32,FALSE),"")</f>
        <v>0.10699969679298006</v>
      </c>
      <c r="AG302">
        <f>IFERROR(VLOOKUP($A302,koronahun!$A:$AM,33,FALSE),"")</f>
        <v>3913550</v>
      </c>
      <c r="AH302">
        <f>IFERROR(VLOOKUP($A302,koronahun!$A:$AM,34,FALSE),"")</f>
        <v>43328</v>
      </c>
      <c r="AI302">
        <f>IFERROR(VLOOKUP($A302,koronahun!$A:$AM,35,FALSE),"")</f>
        <v>57814.857142857145</v>
      </c>
      <c r="AJ302">
        <f>IFERROR(VLOOKUP($A302,koronahun!$A:$AM,36,FALSE),"")</f>
        <v>1880897</v>
      </c>
      <c r="AK302">
        <f>IFERROR(VLOOKUP($A302,koronahun!$A:$AM,37,FALSE),"")</f>
        <v>58242</v>
      </c>
      <c r="AL302">
        <f>IFERROR(VLOOKUP($A302,koronahun!$A:$AM,38,FALSE),"")</f>
        <v>55774.142857142855</v>
      </c>
      <c r="AM302" s="14">
        <f>IFERROR(VLOOKUP($A302,koronahun!$A:$AM,39,FALSE),"")</f>
        <v>5176</v>
      </c>
      <c r="AN302" s="11">
        <f ca="1">IFERROR(__xludf.DUMMYFUNCTION("""COMPUTED_VALUE"""),44194)</f>
        <v>44194</v>
      </c>
      <c r="AO302" s="12">
        <f ca="1">IFERROR(VLOOKUP(AN302,koronahun!A:B,2,FALSE),"")</f>
        <v>317571</v>
      </c>
      <c r="AP302" s="11">
        <f t="shared" ca="1" si="2"/>
        <v>44194</v>
      </c>
      <c r="AQ302" s="11">
        <f ca="1">IFERROR(__xludf.DUMMYFUNCTION("""COMPUTED_VALUE"""),44194)</f>
        <v>44194</v>
      </c>
      <c r="AR302" s="11">
        <v>44317</v>
      </c>
      <c r="AS302" s="11">
        <f t="shared" si="3"/>
        <v>44317</v>
      </c>
      <c r="AT302" s="11">
        <f ca="1">IFERROR(__xludf.DUMMYFUNCTION("""COMPUTED_VALUE"""),44316)</f>
        <v>44316</v>
      </c>
    </row>
    <row r="303" spans="1:46" ht="13">
      <c r="A303" s="11">
        <v>44315</v>
      </c>
      <c r="B303">
        <f>IFERROR(VLOOKUP($A303,koronahun!$A:$AM,2,FALSE),"")</f>
        <v>776983</v>
      </c>
      <c r="C303">
        <f>IFERROR(VLOOKUP($A303,koronahun!$A:$AM,3,FALSE),"")</f>
        <v>2584</v>
      </c>
      <c r="D303">
        <f>IFERROR(VLOOKUP($A303,koronahun!$A:$AM,4,FALSE),"")</f>
        <v>27358</v>
      </c>
      <c r="E303">
        <f>IFERROR(VLOOKUP($A303,koronahun!$A:$AM,5,FALSE),"")</f>
        <v>503697</v>
      </c>
      <c r="F303">
        <f>IFERROR(VLOOKUP($A303,koronahun!$A:$AM,6,FALSE),"")</f>
        <v>5349792</v>
      </c>
      <c r="G303" s="12">
        <f>IFERROR(VLOOKUP($A303,koronahun!$A:$AM,7,FALSE),"")</f>
        <v>545897.14285714284</v>
      </c>
      <c r="H303">
        <f>IFERROR(VLOOKUP($A303,koronahun!$A:$AM,8,FALSE),"")</f>
        <v>0</v>
      </c>
      <c r="I303" s="13">
        <f>IFERROR(VLOOKUP($A303,koronahun!$A:$AM,9,FALSE),"")</f>
        <v>3.3367811683641122E-3</v>
      </c>
      <c r="J303" s="13">
        <f>IFERROR(VLOOKUP($A303,koronahun!$A:$AM,10,FALSE),"")</f>
        <v>0.14523611385265073</v>
      </c>
      <c r="K303" s="13">
        <f>IFERROR(VLOOKUP($A303,koronahun!$A:$AM,11,FALSE),"")</f>
        <v>4.2007255679257453E-3</v>
      </c>
      <c r="L303">
        <f>IFERROR(VLOOKUP($A303,koronahun!$A:$AM,12,FALSE),"")</f>
        <v>245928</v>
      </c>
      <c r="M303" s="13">
        <f>IFERROR(VLOOKUP($A303,koronahun!$A:$AM,13,FALSE),"")</f>
        <v>3.5210551582209648E-2</v>
      </c>
      <c r="N303" s="13">
        <f>IFERROR(VLOOKUP($A303,koronahun!$A:$AM,14,FALSE),"")</f>
        <v>0.64827287083501184</v>
      </c>
      <c r="O303">
        <f>IFERROR(VLOOKUP($A303,koronahun!$A:$AM,15,FALSE),"")</f>
        <v>31133</v>
      </c>
      <c r="P303">
        <f>IFERROR(VLOOKUP($A303,koronahun!$A:$AM,16,FALSE),"")</f>
        <v>22379</v>
      </c>
      <c r="Q303" s="13">
        <f>IFERROR(VLOOKUP($A303,koronahun!$A:$AM,17,FALSE),"")</f>
        <v>0.11546539166182582</v>
      </c>
      <c r="R303">
        <f>IFERROR(VLOOKUP($A303,koronahun!$A:$AM,18,FALSE),"")</f>
        <v>186</v>
      </c>
      <c r="S303">
        <f>IFERROR(VLOOKUP($A303,koronahun!$A:$AM,19,FALSE),"")</f>
        <v>6613</v>
      </c>
      <c r="T303">
        <f>IFERROR(VLOOKUP($A303,koronahun!$A:$AM,20,FALSE),"")</f>
        <v>5554</v>
      </c>
      <c r="U303">
        <f>IFERROR(VLOOKUP($A303,koronahun!$A:$AM,21,FALSE),"")</f>
        <v>662</v>
      </c>
      <c r="V303" s="13">
        <f>IFERROR(VLOOKUP($A303,koronahun!$A:$AM,22,FALSE),"")</f>
        <v>0.31651657758277851</v>
      </c>
      <c r="W303">
        <f>IFERROR(VLOOKUP($A303,koronahun!$A:$AM,23,FALSE),"")</f>
        <v>-353</v>
      </c>
      <c r="X303">
        <f>IFERROR(VLOOKUP($A303,koronahun!$A:$AM,24,FALSE),"")</f>
        <v>-40</v>
      </c>
      <c r="Y303" s="14">
        <f>IFERROR(VLOOKUP($A303,koronahun!$A:$AM,25,FALSE),"")</f>
        <v>2.2583845678409941E-2</v>
      </c>
      <c r="Z303" s="14">
        <f>IFERROR(VLOOKUP($A303,koronahun!$A:$AM,26,FALSE),"")</f>
        <v>0.11919337414476053</v>
      </c>
      <c r="AA303" s="14">
        <f>IFERROR(VLOOKUP($A303,koronahun!$A:$AM,27,FALSE),"")</f>
        <v>0.66775067750677508</v>
      </c>
      <c r="AB303" s="14">
        <f>IFERROR(VLOOKUP($A303,koronahun!$A:$AM,28,FALSE),"")</f>
        <v>0.64405639326322761</v>
      </c>
      <c r="AC303" s="14">
        <f>IFERROR(VLOOKUP($A303,koronahun!$A:$AM,29,FALSE),"")</f>
        <v>2288</v>
      </c>
      <c r="AD303" s="14">
        <f>IFERROR(VLOOKUP($A303,koronahun!$A:$AM,30,FALSE),"")</f>
        <v>193.85714285714286</v>
      </c>
      <c r="AE303" s="14">
        <f>IFERROR(VLOOKUP($A303,koronahun!$A:$AM,31,FALSE),"")</f>
        <v>20552.714285714286</v>
      </c>
      <c r="AF303" s="13">
        <f>IFERROR(VLOOKUP($A303,koronahun!$A:$AM,32,FALSE),"")</f>
        <v>0.11050653242662725</v>
      </c>
      <c r="AG303">
        <f>IFERROR(VLOOKUP($A303,koronahun!$A:$AM,33,FALSE),"")</f>
        <v>3870222</v>
      </c>
      <c r="AH303">
        <f>IFERROR(VLOOKUP($A303,koronahun!$A:$AM,34,FALSE),"")</f>
        <v>96001</v>
      </c>
      <c r="AI303">
        <f>IFERROR(VLOOKUP($A303,koronahun!$A:$AM,35,FALSE),"")</f>
        <v>64396</v>
      </c>
      <c r="AJ303">
        <f>IFERROR(VLOOKUP($A303,koronahun!$A:$AM,36,FALSE),"")</f>
        <v>1822655</v>
      </c>
      <c r="AK303">
        <f>IFERROR(VLOOKUP($A303,koronahun!$A:$AM,37,FALSE),"")</f>
        <v>48755</v>
      </c>
      <c r="AL303">
        <f>IFERROR(VLOOKUP($A303,koronahun!$A:$AM,38,FALSE),"")</f>
        <v>52765</v>
      </c>
      <c r="AM303" s="14">
        <f>IFERROR(VLOOKUP($A303,koronahun!$A:$AM,39,FALSE),"")</f>
        <v>4872.1428571428569</v>
      </c>
      <c r="AN303" s="11">
        <f ca="1">IFERROR(__xludf.DUMMYFUNCTION("""COMPUTED_VALUE"""),44195)</f>
        <v>44195</v>
      </c>
      <c r="AO303" s="12">
        <f ca="1">IFERROR(VLOOKUP(AN303,koronahun!A:B,2,FALSE),"")</f>
        <v>319543</v>
      </c>
      <c r="AP303" s="11">
        <f t="shared" ca="1" si="2"/>
        <v>44195</v>
      </c>
      <c r="AQ303" s="11">
        <f ca="1">IFERROR(__xludf.DUMMYFUNCTION("""COMPUTED_VALUE"""),44195)</f>
        <v>44195</v>
      </c>
      <c r="AR303" s="11">
        <v>44316</v>
      </c>
      <c r="AS303" s="11">
        <f t="shared" si="3"/>
        <v>44316</v>
      </c>
      <c r="AT303" s="11">
        <f ca="1">IFERROR(__xludf.DUMMYFUNCTION("""COMPUTED_VALUE"""),44315)</f>
        <v>44315</v>
      </c>
    </row>
    <row r="304" spans="1:46" ht="13">
      <c r="A304" s="11">
        <v>44314</v>
      </c>
      <c r="B304">
        <f>IFERROR(VLOOKUP($A304,koronahun!$A:$AM,2,FALSE),"")</f>
        <v>774399</v>
      </c>
      <c r="C304">
        <f>IFERROR(VLOOKUP($A304,koronahun!$A:$AM,3,FALSE),"")</f>
        <v>1692</v>
      </c>
      <c r="D304">
        <f>IFERROR(VLOOKUP($A304,koronahun!$A:$AM,4,FALSE),"")</f>
        <v>27172</v>
      </c>
      <c r="E304">
        <f>IFERROR(VLOOKUP($A304,koronahun!$A:$AM,5,FALSE),"")</f>
        <v>497084</v>
      </c>
      <c r="F304">
        <f>IFERROR(VLOOKUP($A304,koronahun!$A:$AM,6,FALSE),"")</f>
        <v>5327413</v>
      </c>
      <c r="G304" s="12">
        <f>IFERROR(VLOOKUP($A304,koronahun!$A:$AM,7,FALSE),"")</f>
        <v>543613.57142857136</v>
      </c>
      <c r="H304">
        <f>IFERROR(VLOOKUP($A304,koronahun!$A:$AM,8,FALSE),"")</f>
        <v>0</v>
      </c>
      <c r="I304" s="13">
        <f>IFERROR(VLOOKUP($A304,koronahun!$A:$AM,9,FALSE),"")</f>
        <v>2.1897045063652846E-3</v>
      </c>
      <c r="J304" s="13">
        <f>IFERROR(VLOOKUP($A304,koronahun!$A:$AM,10,FALSE),"")</f>
        <v>0.14536117248653332</v>
      </c>
      <c r="K304" s="13">
        <f>IFERROR(VLOOKUP($A304,koronahun!$A:$AM,11,FALSE),"")</f>
        <v>3.5393352401676972E-3</v>
      </c>
      <c r="L304">
        <f>IFERROR(VLOOKUP($A304,koronahun!$A:$AM,12,FALSE),"")</f>
        <v>250143</v>
      </c>
      <c r="M304" s="13">
        <f>IFERROR(VLOOKUP($A304,koronahun!$A:$AM,13,FALSE),"")</f>
        <v>3.5087855227085782E-2</v>
      </c>
      <c r="N304" s="13">
        <f>IFERROR(VLOOKUP($A304,koronahun!$A:$AM,14,FALSE),"")</f>
        <v>0.64189649005228566</v>
      </c>
      <c r="O304">
        <f>IFERROR(VLOOKUP($A304,koronahun!$A:$AM,15,FALSE),"")</f>
        <v>33429</v>
      </c>
      <c r="P304">
        <f>IFERROR(VLOOKUP($A304,koronahun!$A:$AM,16,FALSE),"")</f>
        <v>18789</v>
      </c>
      <c r="Q304" s="13">
        <f>IFERROR(VLOOKUP($A304,koronahun!$A:$AM,17,FALSE),"")</f>
        <v>9.0052690403959759E-2</v>
      </c>
      <c r="R304">
        <f>IFERROR(VLOOKUP($A304,koronahun!$A:$AM,18,FALSE),"")</f>
        <v>188</v>
      </c>
      <c r="S304">
        <f>IFERROR(VLOOKUP($A304,koronahun!$A:$AM,19,FALSE),"")</f>
        <v>5464</v>
      </c>
      <c r="T304">
        <f>IFERROR(VLOOKUP($A304,koronahun!$A:$AM,20,FALSE),"")</f>
        <v>5907</v>
      </c>
      <c r="U304">
        <f>IFERROR(VLOOKUP($A304,koronahun!$A:$AM,21,FALSE),"")</f>
        <v>702</v>
      </c>
      <c r="V304" s="13">
        <f>IFERROR(VLOOKUP($A304,koronahun!$A:$AM,22,FALSE),"")</f>
        <v>0.32301565472062849</v>
      </c>
      <c r="W304">
        <f>IFERROR(VLOOKUP($A304,koronahun!$A:$AM,23,FALSE),"")</f>
        <v>-453</v>
      </c>
      <c r="X304">
        <f>IFERROR(VLOOKUP($A304,koronahun!$A:$AM,24,FALSE),"")</f>
        <v>-51</v>
      </c>
      <c r="Y304" s="14">
        <f>IFERROR(VLOOKUP($A304,koronahun!$A:$AM,25,FALSE),"")</f>
        <v>2.3614492510284118E-2</v>
      </c>
      <c r="Z304" s="14">
        <f>IFERROR(VLOOKUP($A304,koronahun!$A:$AM,26,FALSE),"")</f>
        <v>0.11884205180294566</v>
      </c>
      <c r="AA304" s="14">
        <f>IFERROR(VLOOKUP($A304,koronahun!$A:$AM,27,FALSE),"")</f>
        <v>0.66338329764453963</v>
      </c>
      <c r="AB304" s="14">
        <f>IFERROR(VLOOKUP($A304,koronahun!$A:$AM,28,FALSE),"")</f>
        <v>0.63768008101062301</v>
      </c>
      <c r="AC304" s="14">
        <f>IFERROR(VLOOKUP($A304,koronahun!$A:$AM,29,FALSE),"")</f>
        <v>2434.1428571428573</v>
      </c>
      <c r="AD304" s="14">
        <f>IFERROR(VLOOKUP($A304,koronahun!$A:$AM,30,FALSE),"")</f>
        <v>197.85714285714286</v>
      </c>
      <c r="AE304" s="14">
        <f>IFERROR(VLOOKUP($A304,koronahun!$A:$AM,31,FALSE),"")</f>
        <v>21128</v>
      </c>
      <c r="AF304" s="13">
        <f>IFERROR(VLOOKUP($A304,koronahun!$A:$AM,32,FALSE),"")</f>
        <v>0.11352543975168231</v>
      </c>
      <c r="AG304">
        <f>IFERROR(VLOOKUP($A304,koronahun!$A:$AM,33,FALSE),"")</f>
        <v>3774221</v>
      </c>
      <c r="AH304">
        <f>IFERROR(VLOOKUP($A304,koronahun!$A:$AM,34,FALSE),"")</f>
        <v>94491</v>
      </c>
      <c r="AI304">
        <f>IFERROR(VLOOKUP($A304,koronahun!$A:$AM,35,FALSE),"")</f>
        <v>58660.714285714283</v>
      </c>
      <c r="AJ304">
        <f>IFERROR(VLOOKUP($A304,koronahun!$A:$AM,36,FALSE),"")</f>
        <v>1773900</v>
      </c>
      <c r="AK304">
        <f>IFERROR(VLOOKUP($A304,koronahun!$A:$AM,37,FALSE),"")</f>
        <v>62177</v>
      </c>
      <c r="AL304">
        <f>IFERROR(VLOOKUP($A304,koronahun!$A:$AM,38,FALSE),"")</f>
        <v>49825.142857142855</v>
      </c>
      <c r="AM304" s="14">
        <f>IFERROR(VLOOKUP($A304,koronahun!$A:$AM,39,FALSE),"")</f>
        <v>4619.1428571428569</v>
      </c>
      <c r="AN304" s="11">
        <f ca="1">IFERROR(__xludf.DUMMYFUNCTION("""COMPUTED_VALUE"""),44196)</f>
        <v>44196</v>
      </c>
      <c r="AO304" s="12">
        <f ca="1">IFERROR(VLOOKUP(AN304,koronahun!A:B,2,FALSE),"")</f>
        <v>322514</v>
      </c>
      <c r="AP304" s="11">
        <f t="shared" ca="1" si="2"/>
        <v>44196</v>
      </c>
      <c r="AQ304" s="11">
        <f ca="1">IFERROR(__xludf.DUMMYFUNCTION("""COMPUTED_VALUE"""),44196)</f>
        <v>44196</v>
      </c>
      <c r="AR304" s="11">
        <v>44315</v>
      </c>
      <c r="AS304" s="11">
        <f t="shared" si="3"/>
        <v>44315</v>
      </c>
      <c r="AT304" s="11">
        <f ca="1">IFERROR(__xludf.DUMMYFUNCTION("""COMPUTED_VALUE"""),44314)</f>
        <v>44314</v>
      </c>
    </row>
    <row r="305" spans="1:46" ht="13">
      <c r="A305" s="11">
        <v>44313</v>
      </c>
      <c r="B305">
        <f>IFERROR(VLOOKUP($A305,koronahun!$A:$AM,2,FALSE),"")</f>
        <v>772707</v>
      </c>
      <c r="C305">
        <f>IFERROR(VLOOKUP($A305,koronahun!$A:$AM,3,FALSE),"")</f>
        <v>1253</v>
      </c>
      <c r="D305">
        <f>IFERROR(VLOOKUP($A305,koronahun!$A:$AM,4,FALSE),"")</f>
        <v>26984</v>
      </c>
      <c r="E305">
        <f>IFERROR(VLOOKUP($A305,koronahun!$A:$AM,5,FALSE),"")</f>
        <v>491620</v>
      </c>
      <c r="F305">
        <f>IFERROR(VLOOKUP($A305,koronahun!$A:$AM,6,FALSE),"")</f>
        <v>5308624</v>
      </c>
      <c r="G305" s="12">
        <f>IFERROR(VLOOKUP($A305,koronahun!$A:$AM,7,FALSE),"")</f>
        <v>541696.32653061219</v>
      </c>
      <c r="H305">
        <f>IFERROR(VLOOKUP($A305,koronahun!$A:$AM,8,FALSE),"")</f>
        <v>0</v>
      </c>
      <c r="I305" s="13">
        <f>IFERROR(VLOOKUP($A305,koronahun!$A:$AM,9,FALSE),"")</f>
        <v>1.6242057206262461E-3</v>
      </c>
      <c r="J305" s="13">
        <f>IFERROR(VLOOKUP($A305,koronahun!$A:$AM,10,FALSE),"")</f>
        <v>0.14555692774624837</v>
      </c>
      <c r="K305" s="13">
        <f>IFERROR(VLOOKUP($A305,koronahun!$A:$AM,11,FALSE),"")</f>
        <v>2.1499895700304028E-3</v>
      </c>
      <c r="L305">
        <f>IFERROR(VLOOKUP($A305,koronahun!$A:$AM,12,FALSE),"")</f>
        <v>254103</v>
      </c>
      <c r="M305" s="13">
        <f>IFERROR(VLOOKUP($A305,koronahun!$A:$AM,13,FALSE),"")</f>
        <v>3.4921386761087969E-2</v>
      </c>
      <c r="N305" s="13">
        <f>IFERROR(VLOOKUP($A305,koronahun!$A:$AM,14,FALSE),"")</f>
        <v>0.63623080934946885</v>
      </c>
      <c r="O305">
        <f>IFERROR(VLOOKUP($A305,koronahun!$A:$AM,15,FALSE),"")</f>
        <v>34785</v>
      </c>
      <c r="P305">
        <f>IFERROR(VLOOKUP($A305,koronahun!$A:$AM,16,FALSE),"")</f>
        <v>11389</v>
      </c>
      <c r="Q305" s="13">
        <f>IFERROR(VLOOKUP($A305,koronahun!$A:$AM,17,FALSE),"")</f>
        <v>0.11001843884449908</v>
      </c>
      <c r="R305">
        <f>IFERROR(VLOOKUP($A305,koronahun!$A:$AM,18,FALSE),"")</f>
        <v>183</v>
      </c>
      <c r="S305">
        <f>IFERROR(VLOOKUP($A305,koronahun!$A:$AM,19,FALSE),"")</f>
        <v>5185</v>
      </c>
      <c r="T305">
        <f>IFERROR(VLOOKUP($A305,koronahun!$A:$AM,20,FALSE),"")</f>
        <v>6360</v>
      </c>
      <c r="U305">
        <f>IFERROR(VLOOKUP($A305,koronahun!$A:$AM,21,FALSE),"")</f>
        <v>753</v>
      </c>
      <c r="V305" s="13">
        <f>IFERROR(VLOOKUP($A305,koronahun!$A:$AM,22,FALSE),"")</f>
        <v>0.32884780388944324</v>
      </c>
      <c r="W305">
        <f>IFERROR(VLOOKUP($A305,koronahun!$A:$AM,23,FALSE),"")</f>
        <v>-83</v>
      </c>
      <c r="X305">
        <f>IFERROR(VLOOKUP($A305,koronahun!$A:$AM,24,FALSE),"")</f>
        <v>-29</v>
      </c>
      <c r="Y305" s="14">
        <f>IFERROR(VLOOKUP($A305,koronahun!$A:$AM,25,FALSE),"")</f>
        <v>2.5029220434233362E-2</v>
      </c>
      <c r="Z305" s="14">
        <f>IFERROR(VLOOKUP($A305,koronahun!$A:$AM,26,FALSE),"")</f>
        <v>0.11839622641509434</v>
      </c>
      <c r="AA305" s="14">
        <f>IFERROR(VLOOKUP($A305,koronahun!$A:$AM,27,FALSE),"")</f>
        <v>0.6680620444776677</v>
      </c>
      <c r="AB305" s="14">
        <f>IFERROR(VLOOKUP($A305,koronahun!$A:$AM,28,FALSE),"")</f>
        <v>0.6394737299893748</v>
      </c>
      <c r="AC305" s="14">
        <f>IFERROR(VLOOKUP($A305,koronahun!$A:$AM,29,FALSE),"")</f>
        <v>2553.4285714285716</v>
      </c>
      <c r="AD305" s="14">
        <f>IFERROR(VLOOKUP($A305,koronahun!$A:$AM,30,FALSE),"")</f>
        <v>200.57142857142858</v>
      </c>
      <c r="AE305" s="14">
        <f>IFERROR(VLOOKUP($A305,koronahun!$A:$AM,31,FALSE),"")</f>
        <v>21648.857142857141</v>
      </c>
      <c r="AF305" s="13">
        <f>IFERROR(VLOOKUP($A305,koronahun!$A:$AM,32,FALSE),"")</f>
        <v>0.11675169904543356</v>
      </c>
      <c r="AG305">
        <f>IFERROR(VLOOKUP($A305,koronahun!$A:$AM,33,FALSE),"")</f>
        <v>3679730</v>
      </c>
      <c r="AH305">
        <f>IFERROR(VLOOKUP($A305,koronahun!$A:$AM,34,FALSE),"")</f>
        <v>75829</v>
      </c>
      <c r="AI305">
        <f>IFERROR(VLOOKUP($A305,koronahun!$A:$AM,35,FALSE),"")</f>
        <v>51811.142857142855</v>
      </c>
      <c r="AJ305">
        <f>IFERROR(VLOOKUP($A305,koronahun!$A:$AM,36,FALSE),"")</f>
        <v>1711723</v>
      </c>
      <c r="AK305">
        <f>IFERROR(VLOOKUP($A305,koronahun!$A:$AM,37,FALSE),"")</f>
        <v>46656</v>
      </c>
      <c r="AL305">
        <f>IFERROR(VLOOKUP($A305,koronahun!$A:$AM,38,FALSE),"")</f>
        <v>44431.428571428572</v>
      </c>
      <c r="AM305" s="14">
        <f>IFERROR(VLOOKUP($A305,koronahun!$A:$AM,39,FALSE),"")</f>
        <v>4348.4285714285716</v>
      </c>
      <c r="AN305" s="11">
        <f ca="1">IFERROR(__xludf.DUMMYFUNCTION("""COMPUTED_VALUE"""),44197)</f>
        <v>44197</v>
      </c>
      <c r="AO305" s="12">
        <f ca="1">IFERROR(VLOOKUP(AN305,koronahun!A:B,2,FALSE),"")</f>
        <v>325278</v>
      </c>
      <c r="AP305" s="11">
        <f t="shared" ca="1" si="2"/>
        <v>44197</v>
      </c>
      <c r="AQ305" s="11">
        <f ca="1">IFERROR(__xludf.DUMMYFUNCTION("""COMPUTED_VALUE"""),44197)</f>
        <v>44197</v>
      </c>
      <c r="AR305" s="11">
        <v>44314</v>
      </c>
      <c r="AS305" s="11">
        <f t="shared" si="3"/>
        <v>44314</v>
      </c>
      <c r="AT305" s="11">
        <f ca="1">IFERROR(__xludf.DUMMYFUNCTION("""COMPUTED_VALUE"""),44313)</f>
        <v>44313</v>
      </c>
    </row>
    <row r="306" spans="1:46" ht="13">
      <c r="A306" s="11">
        <v>44312</v>
      </c>
      <c r="B306">
        <f>IFERROR(VLOOKUP($A306,koronahun!$A:$AM,2,FALSE),"")</f>
        <v>771454</v>
      </c>
      <c r="C306">
        <f>IFERROR(VLOOKUP($A306,koronahun!$A:$AM,3,FALSE),"")</f>
        <v>1936</v>
      </c>
      <c r="D306">
        <f>IFERROR(VLOOKUP($A306,koronahun!$A:$AM,4,FALSE),"")</f>
        <v>26801</v>
      </c>
      <c r="E306">
        <f>IFERROR(VLOOKUP($A306,koronahun!$A:$AM,5,FALSE),"")</f>
        <v>486435</v>
      </c>
      <c r="F306">
        <f>IFERROR(VLOOKUP($A306,koronahun!$A:$AM,6,FALSE),"")</f>
        <v>5297235</v>
      </c>
      <c r="G306" s="12">
        <f>IFERROR(VLOOKUP($A306,koronahun!$A:$AM,7,FALSE),"")</f>
        <v>540534.18367346935</v>
      </c>
      <c r="H306">
        <f>IFERROR(VLOOKUP($A306,koronahun!$A:$AM,8,FALSE),"")</f>
        <v>0</v>
      </c>
      <c r="I306" s="13">
        <f>IFERROR(VLOOKUP($A306,koronahun!$A:$AM,9,FALSE),"")</f>
        <v>2.5158605776603015E-3</v>
      </c>
      <c r="J306" s="13">
        <f>IFERROR(VLOOKUP($A306,koronahun!$A:$AM,10,FALSE),"")</f>
        <v>0.14563333512672177</v>
      </c>
      <c r="K306" s="13">
        <f>IFERROR(VLOOKUP($A306,koronahun!$A:$AM,11,FALSE),"")</f>
        <v>3.1502102033859787E-3</v>
      </c>
      <c r="L306">
        <f>IFERROR(VLOOKUP($A306,koronahun!$A:$AM,12,FALSE),"")</f>
        <v>258218</v>
      </c>
      <c r="M306" s="13">
        <f>IFERROR(VLOOKUP($A306,koronahun!$A:$AM,13,FALSE),"")</f>
        <v>3.4740891874304881E-2</v>
      </c>
      <c r="N306" s="13">
        <f>IFERROR(VLOOKUP($A306,koronahun!$A:$AM,14,FALSE),"")</f>
        <v>0.63054310431989469</v>
      </c>
      <c r="O306">
        <f>IFERROR(VLOOKUP($A306,koronahun!$A:$AM,15,FALSE),"")</f>
        <v>35472</v>
      </c>
      <c r="P306">
        <f>IFERROR(VLOOKUP($A306,koronahun!$A:$AM,16,FALSE),"")</f>
        <v>16635</v>
      </c>
      <c r="Q306" s="13">
        <f>IFERROR(VLOOKUP($A306,koronahun!$A:$AM,17,FALSE),"")</f>
        <v>0.11638112413585813</v>
      </c>
      <c r="R306">
        <f>IFERROR(VLOOKUP($A306,koronahun!$A:$AM,18,FALSE),"")</f>
        <v>176</v>
      </c>
      <c r="S306">
        <f>IFERROR(VLOOKUP($A306,koronahun!$A:$AM,19,FALSE),"")</f>
        <v>4228</v>
      </c>
      <c r="T306">
        <f>IFERROR(VLOOKUP($A306,koronahun!$A:$AM,20,FALSE),"")</f>
        <v>6443</v>
      </c>
      <c r="U306">
        <f>IFERROR(VLOOKUP($A306,koronahun!$A:$AM,21,FALSE),"")</f>
        <v>782</v>
      </c>
      <c r="V306" s="13">
        <f>IFERROR(VLOOKUP($A306,koronahun!$A:$AM,22,FALSE),"")</f>
        <v>0.33471600380580047</v>
      </c>
      <c r="W306">
        <f>IFERROR(VLOOKUP($A306,koronahun!$A:$AM,23,FALSE),"")</f>
        <v>159</v>
      </c>
      <c r="X306">
        <f>IFERROR(VLOOKUP($A306,koronahun!$A:$AM,24,FALSE),"")</f>
        <v>-8</v>
      </c>
      <c r="Y306" s="14">
        <f>IFERROR(VLOOKUP($A306,koronahun!$A:$AM,25,FALSE),"")</f>
        <v>2.4951784925915311E-2</v>
      </c>
      <c r="Z306" s="14">
        <f>IFERROR(VLOOKUP($A306,koronahun!$A:$AM,26,FALSE),"")</f>
        <v>0.12137203166226913</v>
      </c>
      <c r="AA306" s="14">
        <f>IFERROR(VLOOKUP($A306,koronahun!$A:$AM,27,FALSE),"")</f>
        <v>0.65359430350305936</v>
      </c>
      <c r="AB306" s="14">
        <f>IFERROR(VLOOKUP($A306,koronahun!$A:$AM,28,FALSE),"")</f>
        <v>0.64922806215200413</v>
      </c>
      <c r="AC306" s="14">
        <f>IFERROR(VLOOKUP($A306,koronahun!$A:$AM,29,FALSE),"")</f>
        <v>2609.4285714285716</v>
      </c>
      <c r="AD306" s="14">
        <f>IFERROR(VLOOKUP($A306,koronahun!$A:$AM,30,FALSE),"")</f>
        <v>202.85714285714286</v>
      </c>
      <c r="AE306" s="14">
        <f>IFERROR(VLOOKUP($A306,koronahun!$A:$AM,31,FALSE),"")</f>
        <v>21872.142857142859</v>
      </c>
      <c r="AF306" s="13">
        <f>IFERROR(VLOOKUP($A306,koronahun!$A:$AM,32,FALSE),"")</f>
        <v>0.11917869520803445</v>
      </c>
      <c r="AG306">
        <f>IFERROR(VLOOKUP($A306,koronahun!$A:$AM,33,FALSE),"")</f>
        <v>3603901</v>
      </c>
      <c r="AH306">
        <f>IFERROR(VLOOKUP($A306,koronahun!$A:$AM,34,FALSE),"")</f>
        <v>7772</v>
      </c>
      <c r="AI306">
        <f>IFERROR(VLOOKUP($A306,koronahun!$A:$AM,35,FALSE),"")</f>
        <v>48210.857142857145</v>
      </c>
      <c r="AJ306">
        <f>IFERROR(VLOOKUP($A306,koronahun!$A:$AM,36,FALSE),"")</f>
        <v>1665067</v>
      </c>
      <c r="AK306">
        <f>IFERROR(VLOOKUP($A306,koronahun!$A:$AM,37,FALSE),"")</f>
        <v>43647</v>
      </c>
      <c r="AL306">
        <f>IFERROR(VLOOKUP($A306,koronahun!$A:$AM,38,FALSE),"")</f>
        <v>39098</v>
      </c>
      <c r="AM306" s="14">
        <f>IFERROR(VLOOKUP($A306,koronahun!$A:$AM,39,FALSE),"")</f>
        <v>4031.8571428571427</v>
      </c>
      <c r="AN306" s="11">
        <f ca="1">IFERROR(__xludf.DUMMYFUNCTION("""COMPUTED_VALUE"""),44198)</f>
        <v>44198</v>
      </c>
      <c r="AO306" s="12">
        <f ca="1">IFERROR(VLOOKUP(AN306,koronahun!A:B,2,FALSE),"")</f>
        <v>326688</v>
      </c>
      <c r="AP306" s="11">
        <f t="shared" ca="1" si="2"/>
        <v>44198</v>
      </c>
      <c r="AQ306" s="11">
        <f ca="1">IFERROR(__xludf.DUMMYFUNCTION("""COMPUTED_VALUE"""),44198)</f>
        <v>44198</v>
      </c>
      <c r="AR306" s="11">
        <v>44313</v>
      </c>
      <c r="AS306" s="11">
        <f t="shared" si="3"/>
        <v>44313</v>
      </c>
      <c r="AT306" s="11">
        <f ca="1">IFERROR(__xludf.DUMMYFUNCTION("""COMPUTED_VALUE"""),44312)</f>
        <v>44312</v>
      </c>
    </row>
    <row r="307" spans="1:46" ht="13">
      <c r="A307" s="11">
        <v>44311</v>
      </c>
      <c r="B307">
        <f>IFERROR(VLOOKUP($A307,koronahun!$A:$AM,2,FALSE),"")</f>
        <v>769518</v>
      </c>
      <c r="C307">
        <f>IFERROR(VLOOKUP($A307,koronahun!$A:$AM,3,FALSE),"")</f>
        <v>2328</v>
      </c>
      <c r="D307">
        <f>IFERROR(VLOOKUP($A307,koronahun!$A:$AM,4,FALSE),"")</f>
        <v>26625</v>
      </c>
      <c r="E307">
        <f>IFERROR(VLOOKUP($A307,koronahun!$A:$AM,5,FALSE),"")</f>
        <v>482207</v>
      </c>
      <c r="F307">
        <f>IFERROR(VLOOKUP($A307,koronahun!$A:$AM,6,FALSE),"")</f>
        <v>5280600</v>
      </c>
      <c r="G307" s="12">
        <f>IFERROR(VLOOKUP($A307,koronahun!$A:$AM,7,FALSE),"")</f>
        <v>538836.73469387752</v>
      </c>
      <c r="H307">
        <f>IFERROR(VLOOKUP($A307,koronahun!$A:$AM,8,FALSE),"")</f>
        <v>0</v>
      </c>
      <c r="I307" s="13">
        <f>IFERROR(VLOOKUP($A307,koronahun!$A:$AM,9,FALSE),"")</f>
        <v>3.0344503969029837E-3</v>
      </c>
      <c r="J307" s="13">
        <f>IFERROR(VLOOKUP($A307,koronahun!$A:$AM,10,FALSE),"")</f>
        <v>0.14572548574025679</v>
      </c>
      <c r="K307" s="13">
        <f>IFERROR(VLOOKUP($A307,koronahun!$A:$AM,11,FALSE),"")</f>
        <v>4.4172217438467887E-3</v>
      </c>
      <c r="L307">
        <f>IFERROR(VLOOKUP($A307,koronahun!$A:$AM,12,FALSE),"")</f>
        <v>260686</v>
      </c>
      <c r="M307" s="13">
        <f>IFERROR(VLOOKUP($A307,koronahun!$A:$AM,13,FALSE),"")</f>
        <v>3.4599580516635087E-2</v>
      </c>
      <c r="N307" s="13">
        <f>IFERROR(VLOOKUP($A307,koronahun!$A:$AM,14,FALSE),"")</f>
        <v>0.62663511444826503</v>
      </c>
      <c r="O307">
        <f>IFERROR(VLOOKUP($A307,koronahun!$A:$AM,15,FALSE),"")</f>
        <v>37497</v>
      </c>
      <c r="P307">
        <f>IFERROR(VLOOKUP($A307,koronahun!$A:$AM,16,FALSE),"")</f>
        <v>23223</v>
      </c>
      <c r="Q307" s="13">
        <f>IFERROR(VLOOKUP($A307,koronahun!$A:$AM,17,FALSE),"")</f>
        <v>0.10024544632476425</v>
      </c>
      <c r="R307">
        <f>IFERROR(VLOOKUP($A307,koronahun!$A:$AM,18,FALSE),"")</f>
        <v>205</v>
      </c>
      <c r="S307">
        <f>IFERROR(VLOOKUP($A307,koronahun!$A:$AM,19,FALSE),"")</f>
        <v>3884</v>
      </c>
      <c r="T307">
        <f>IFERROR(VLOOKUP($A307,koronahun!$A:$AM,20,FALSE),"")</f>
        <v>6284</v>
      </c>
      <c r="U307">
        <f>IFERROR(VLOOKUP($A307,koronahun!$A:$AM,21,FALSE),"")</f>
        <v>790</v>
      </c>
      <c r="V307" s="13">
        <f>IFERROR(VLOOKUP($A307,koronahun!$A:$AM,22,FALSE),"")</f>
        <v>0.33876530503509988</v>
      </c>
      <c r="W307">
        <f>IFERROR(VLOOKUP($A307,koronahun!$A:$AM,23,FALSE),"")</f>
        <v>-453</v>
      </c>
      <c r="X307">
        <f>IFERROR(VLOOKUP($A307,koronahun!$A:$AM,24,FALSE),"")</f>
        <v>-23</v>
      </c>
      <c r="Y307" s="14">
        <f>IFERROR(VLOOKUP($A307,koronahun!$A:$AM,25,FALSE),"")</f>
        <v>2.4105628994268966E-2</v>
      </c>
      <c r="Z307" s="14">
        <f>IFERROR(VLOOKUP($A307,koronahun!$A:$AM,26,FALSE),"")</f>
        <v>0.12571610439210693</v>
      </c>
      <c r="AA307" s="14">
        <f>IFERROR(VLOOKUP($A307,koronahun!$A:$AM,27,FALSE),"")</f>
        <v>0.62648299499077242</v>
      </c>
      <c r="AB307" s="14">
        <f>IFERROR(VLOOKUP($A307,koronahun!$A:$AM,28,FALSE),"")</f>
        <v>0.66867615911640599</v>
      </c>
      <c r="AC307" s="14">
        <f>IFERROR(VLOOKUP($A307,koronahun!$A:$AM,29,FALSE),"")</f>
        <v>2715.7142857142858</v>
      </c>
      <c r="AD307" s="14">
        <f>IFERROR(VLOOKUP($A307,koronahun!$A:$AM,30,FALSE),"")</f>
        <v>205.85714285714286</v>
      </c>
      <c r="AE307" s="14">
        <f>IFERROR(VLOOKUP($A307,koronahun!$A:$AM,31,FALSE),"")</f>
        <v>22267</v>
      </c>
      <c r="AF307" s="13">
        <f>IFERROR(VLOOKUP($A307,koronahun!$A:$AM,32,FALSE),"")</f>
        <v>0.12228874191801574</v>
      </c>
      <c r="AG307">
        <f>IFERROR(VLOOKUP($A307,koronahun!$A:$AM,33,FALSE),"")</f>
        <v>3596129</v>
      </c>
      <c r="AH307">
        <f>IFERROR(VLOOKUP($A307,koronahun!$A:$AM,34,FALSE),"")</f>
        <v>19424</v>
      </c>
      <c r="AI307">
        <f>IFERROR(VLOOKUP($A307,koronahun!$A:$AM,35,FALSE),"")</f>
        <v>49078.571428571428</v>
      </c>
      <c r="AJ307">
        <f>IFERROR(VLOOKUP($A307,koronahun!$A:$AM,36,FALSE),"")</f>
        <v>1621420</v>
      </c>
      <c r="AK307">
        <f>IFERROR(VLOOKUP($A307,koronahun!$A:$AM,37,FALSE),"")</f>
        <v>68735</v>
      </c>
      <c r="AL307">
        <f>IFERROR(VLOOKUP($A307,koronahun!$A:$AM,38,FALSE),"")</f>
        <v>33646</v>
      </c>
      <c r="AM307" s="14">
        <f>IFERROR(VLOOKUP($A307,koronahun!$A:$AM,39,FALSE),"")</f>
        <v>3882.5714285714284</v>
      </c>
      <c r="AN307" s="11">
        <f ca="1">IFERROR(__xludf.DUMMYFUNCTION("""COMPUTED_VALUE"""),44199)</f>
        <v>44199</v>
      </c>
      <c r="AO307" s="12">
        <f ca="1">IFERROR(VLOOKUP(AN307,koronahun!A:B,2,FALSE),"")</f>
        <v>327995</v>
      </c>
      <c r="AP307" s="11">
        <f t="shared" ca="1" si="2"/>
        <v>44199</v>
      </c>
      <c r="AQ307" s="11">
        <f ca="1">IFERROR(__xludf.DUMMYFUNCTION("""COMPUTED_VALUE"""),44199)</f>
        <v>44199</v>
      </c>
      <c r="AR307" s="11">
        <v>44312</v>
      </c>
      <c r="AS307" s="11">
        <f t="shared" si="3"/>
        <v>44312</v>
      </c>
      <c r="AT307" s="11">
        <f ca="1">IFERROR(__xludf.DUMMYFUNCTION("""COMPUTED_VALUE"""),44311)</f>
        <v>44311</v>
      </c>
    </row>
    <row r="308" spans="1:46" ht="13">
      <c r="A308" s="11">
        <v>44310</v>
      </c>
      <c r="B308">
        <f>IFERROR(VLOOKUP($A308,koronahun!$A:$AM,2,FALSE),"")</f>
        <v>767190</v>
      </c>
      <c r="C308">
        <f>IFERROR(VLOOKUP($A308,koronahun!$A:$AM,3,FALSE),"")</f>
        <v>2796</v>
      </c>
      <c r="D308">
        <f>IFERROR(VLOOKUP($A308,koronahun!$A:$AM,4,FALSE),"")</f>
        <v>26420</v>
      </c>
      <c r="E308">
        <f>IFERROR(VLOOKUP($A308,koronahun!$A:$AM,5,FALSE),"")</f>
        <v>478323</v>
      </c>
      <c r="F308">
        <f>IFERROR(VLOOKUP($A308,koronahun!$A:$AM,6,FALSE),"")</f>
        <v>5257377</v>
      </c>
      <c r="G308" s="12">
        <f>IFERROR(VLOOKUP($A308,koronahun!$A:$AM,7,FALSE),"")</f>
        <v>536467.04081632651</v>
      </c>
      <c r="H308">
        <f>IFERROR(VLOOKUP($A308,koronahun!$A:$AM,8,FALSE),"")</f>
        <v>0</v>
      </c>
      <c r="I308" s="13">
        <f>IFERROR(VLOOKUP($A308,koronahun!$A:$AM,9,FALSE),"")</f>
        <v>3.6577995117701083E-3</v>
      </c>
      <c r="J308" s="13">
        <f>IFERROR(VLOOKUP($A308,koronahun!$A:$AM,10,FALSE),"")</f>
        <v>0.14592638115927392</v>
      </c>
      <c r="K308" s="13">
        <f>IFERROR(VLOOKUP($A308,koronahun!$A:$AM,11,FALSE),"")</f>
        <v>4.5565803578082095E-3</v>
      </c>
      <c r="L308">
        <f>IFERROR(VLOOKUP($A308,koronahun!$A:$AM,12,FALSE),"")</f>
        <v>262447</v>
      </c>
      <c r="M308" s="13">
        <f>IFERROR(VLOOKUP($A308,koronahun!$A:$AM,13,FALSE),"")</f>
        <v>3.4437362322240907E-2</v>
      </c>
      <c r="N308" s="13">
        <f>IFERROR(VLOOKUP($A308,koronahun!$A:$AM,14,FALSE),"")</f>
        <v>0.62347397645954716</v>
      </c>
      <c r="O308">
        <f>IFERROR(VLOOKUP($A308,koronahun!$A:$AM,15,FALSE),"")</f>
        <v>40947</v>
      </c>
      <c r="P308">
        <f>IFERROR(VLOOKUP($A308,koronahun!$A:$AM,16,FALSE),"")</f>
        <v>23847</v>
      </c>
      <c r="Q308" s="13">
        <f>IFERROR(VLOOKUP($A308,koronahun!$A:$AM,17,FALSE),"")</f>
        <v>0.11724745250974965</v>
      </c>
      <c r="R308">
        <f>IFERROR(VLOOKUP($A308,koronahun!$A:$AM,18,FALSE),"")</f>
        <v>212</v>
      </c>
      <c r="S308">
        <f>IFERROR(VLOOKUP($A308,koronahun!$A:$AM,19,FALSE),"")</f>
        <v>4176</v>
      </c>
      <c r="T308">
        <f>IFERROR(VLOOKUP($A308,koronahun!$A:$AM,20,FALSE),"")</f>
        <v>6737</v>
      </c>
      <c r="U308">
        <f>IFERROR(VLOOKUP($A308,koronahun!$A:$AM,21,FALSE),"")</f>
        <v>813</v>
      </c>
      <c r="V308" s="13">
        <f>IFERROR(VLOOKUP($A308,koronahun!$A:$AM,22,FALSE),"")</f>
        <v>0.34208866121821191</v>
      </c>
      <c r="W308">
        <f>IFERROR(VLOOKUP($A308,koronahun!$A:$AM,23,FALSE),"")</f>
        <v>-440</v>
      </c>
      <c r="X308">
        <f>IFERROR(VLOOKUP($A308,koronahun!$A:$AM,24,FALSE),"")</f>
        <v>-31</v>
      </c>
      <c r="Y308" s="14">
        <f>IFERROR(VLOOKUP($A308,koronahun!$A:$AM,25,FALSE),"")</f>
        <v>2.5669944788852605E-2</v>
      </c>
      <c r="Z308" s="14">
        <f>IFERROR(VLOOKUP($A308,koronahun!$A:$AM,26,FALSE),"")</f>
        <v>0.12067685913611399</v>
      </c>
      <c r="AA308" s="14">
        <f>IFERROR(VLOOKUP($A308,koronahun!$A:$AM,27,FALSE),"")</f>
        <v>0.61905629440699583</v>
      </c>
      <c r="AB308" s="14">
        <f>IFERROR(VLOOKUP($A308,koronahun!$A:$AM,28,FALSE),"")</f>
        <v>0.70598441384901822</v>
      </c>
      <c r="AC308" s="14">
        <f>IFERROR(VLOOKUP($A308,koronahun!$A:$AM,29,FALSE),"")</f>
        <v>2912.5714285714284</v>
      </c>
      <c r="AD308" s="14">
        <f>IFERROR(VLOOKUP($A308,koronahun!$A:$AM,30,FALSE),"")</f>
        <v>205.85714285714286</v>
      </c>
      <c r="AE308" s="14">
        <f>IFERROR(VLOOKUP($A308,koronahun!$A:$AM,31,FALSE),"")</f>
        <v>22993.714285714286</v>
      </c>
      <c r="AF308" s="13">
        <f>IFERROR(VLOOKUP($A308,koronahun!$A:$AM,32,FALSE),"")</f>
        <v>0.12666907907573852</v>
      </c>
      <c r="AG308">
        <f>IFERROR(VLOOKUP($A308,koronahun!$A:$AM,33,FALSE),"")</f>
        <v>3576705</v>
      </c>
      <c r="AH308">
        <f>IFERROR(VLOOKUP($A308,koronahun!$A:$AM,34,FALSE),"")</f>
        <v>67859</v>
      </c>
      <c r="AI308">
        <f>IFERROR(VLOOKUP($A308,koronahun!$A:$AM,35,FALSE),"")</f>
        <v>51838.285714285717</v>
      </c>
      <c r="AJ308">
        <f>IFERROR(VLOOKUP($A308,koronahun!$A:$AM,36,FALSE),"")</f>
        <v>1552685</v>
      </c>
      <c r="AK308">
        <f>IFERROR(VLOOKUP($A308,koronahun!$A:$AM,37,FALSE),"")</f>
        <v>62207</v>
      </c>
      <c r="AL308">
        <f>IFERROR(VLOOKUP($A308,koronahun!$A:$AM,38,FALSE),"")</f>
        <v>25854.714285714286</v>
      </c>
      <c r="AM308" s="14">
        <f>IFERROR(VLOOKUP($A308,koronahun!$A:$AM,39,FALSE),"")</f>
        <v>3933.1428571428573</v>
      </c>
      <c r="AN308" s="11">
        <f ca="1">IFERROR(__xludf.DUMMYFUNCTION("""COMPUTED_VALUE"""),44200)</f>
        <v>44200</v>
      </c>
      <c r="AO308" s="12">
        <f ca="1">IFERROR(VLOOKUP(AN308,koronahun!A:B,2,FALSE),"")</f>
        <v>328851</v>
      </c>
      <c r="AP308" s="11">
        <f t="shared" ca="1" si="2"/>
        <v>44200</v>
      </c>
      <c r="AQ308" s="11">
        <f ca="1">IFERROR(__xludf.DUMMYFUNCTION("""COMPUTED_VALUE"""),44200)</f>
        <v>44200</v>
      </c>
      <c r="AR308" s="11">
        <v>44311</v>
      </c>
      <c r="AS308" s="11">
        <f t="shared" si="3"/>
        <v>44311</v>
      </c>
      <c r="AT308" s="11">
        <f ca="1">IFERROR(__xludf.DUMMYFUNCTION("""COMPUTED_VALUE"""),44310)</f>
        <v>44310</v>
      </c>
    </row>
    <row r="309" spans="1:46" ht="13">
      <c r="A309" s="11">
        <v>44309</v>
      </c>
      <c r="B309">
        <f>IFERROR(VLOOKUP($A309,koronahun!$A:$AM,2,FALSE),"")</f>
        <v>764394</v>
      </c>
      <c r="C309">
        <f>IFERROR(VLOOKUP($A309,koronahun!$A:$AM,3,FALSE),"")</f>
        <v>3427</v>
      </c>
      <c r="D309">
        <f>IFERROR(VLOOKUP($A309,koronahun!$A:$AM,4,FALSE),"")</f>
        <v>26208</v>
      </c>
      <c r="E309">
        <f>IFERROR(VLOOKUP($A309,koronahun!$A:$AM,5,FALSE),"")</f>
        <v>474147</v>
      </c>
      <c r="F309">
        <f>IFERROR(VLOOKUP($A309,koronahun!$A:$AM,6,FALSE),"")</f>
        <v>5233530</v>
      </c>
      <c r="G309" s="12">
        <f>IFERROR(VLOOKUP($A309,koronahun!$A:$AM,7,FALSE),"")</f>
        <v>534033.67346938769</v>
      </c>
      <c r="H309">
        <f>IFERROR(VLOOKUP($A309,koronahun!$A:$AM,8,FALSE),"")</f>
        <v>0</v>
      </c>
      <c r="I309" s="13">
        <f>IFERROR(VLOOKUP($A309,koronahun!$A:$AM,9,FALSE),"")</f>
        <v>4.5034804400190809E-3</v>
      </c>
      <c r="J309" s="13">
        <f>IFERROR(VLOOKUP($A309,koronahun!$A:$AM,10,FALSE),"")</f>
        <v>0.14605705900224131</v>
      </c>
      <c r="K309" s="13">
        <f>IFERROR(VLOOKUP($A309,koronahun!$A:$AM,11,FALSE),"")</f>
        <v>5.3029981426924678E-3</v>
      </c>
      <c r="L309">
        <f>IFERROR(VLOOKUP($A309,koronahun!$A:$AM,12,FALSE),"")</f>
        <v>264039</v>
      </c>
      <c r="M309" s="13">
        <f>IFERROR(VLOOKUP($A309,koronahun!$A:$AM,13,FALSE),"")</f>
        <v>3.4285983406463161E-2</v>
      </c>
      <c r="N309" s="13">
        <f>IFERROR(VLOOKUP($A309,koronahun!$A:$AM,14,FALSE),"")</f>
        <v>0.62029136806411356</v>
      </c>
      <c r="O309">
        <f>IFERROR(VLOOKUP($A309,koronahun!$A:$AM,15,FALSE),"")</f>
        <v>42182</v>
      </c>
      <c r="P309">
        <f>IFERROR(VLOOKUP($A309,koronahun!$A:$AM,16,FALSE),"")</f>
        <v>27607</v>
      </c>
      <c r="Q309" s="13">
        <f>IFERROR(VLOOKUP($A309,koronahun!$A:$AM,17,FALSE),"")</f>
        <v>0.12413518310573406</v>
      </c>
      <c r="R309">
        <f>IFERROR(VLOOKUP($A309,koronahun!$A:$AM,18,FALSE),"")</f>
        <v>207</v>
      </c>
      <c r="S309">
        <f>IFERROR(VLOOKUP($A309,koronahun!$A:$AM,19,FALSE),"")</f>
        <v>4555</v>
      </c>
      <c r="T309">
        <f>IFERROR(VLOOKUP($A309,koronahun!$A:$AM,20,FALSE),"")</f>
        <v>7177</v>
      </c>
      <c r="U309">
        <f>IFERROR(VLOOKUP($A309,koronahun!$A:$AM,21,FALSE),"")</f>
        <v>844</v>
      </c>
      <c r="V309" s="13">
        <f>IFERROR(VLOOKUP($A309,koronahun!$A:$AM,22,FALSE),"")</f>
        <v>0.34542264852942328</v>
      </c>
      <c r="W309">
        <f>IFERROR(VLOOKUP($A309,koronahun!$A:$AM,23,FALSE),"")</f>
        <v>-330</v>
      </c>
      <c r="X309">
        <f>IFERROR(VLOOKUP($A309,koronahun!$A:$AM,24,FALSE),"")</f>
        <v>-32</v>
      </c>
      <c r="Y309" s="14">
        <f>IFERROR(VLOOKUP($A309,koronahun!$A:$AM,25,FALSE),"")</f>
        <v>2.7181590598358576E-2</v>
      </c>
      <c r="Z309" s="14">
        <f>IFERROR(VLOOKUP($A309,koronahun!$A:$AM,26,FALSE),"")</f>
        <v>0.1175978821234499</v>
      </c>
      <c r="AA309" s="14">
        <f>IFERROR(VLOOKUP($A309,koronahun!$A:$AM,27,FALSE),"")</f>
        <v>0.61006514031278347</v>
      </c>
      <c r="AB309" s="14">
        <f>IFERROR(VLOOKUP($A309,koronahun!$A:$AM,28,FALSE),"")</f>
        <v>0.75409858088348103</v>
      </c>
      <c r="AC309" s="14">
        <f>IFERROR(VLOOKUP($A309,koronahun!$A:$AM,29,FALSE),"")</f>
        <v>3170.8571428571427</v>
      </c>
      <c r="AD309" s="14">
        <f>IFERROR(VLOOKUP($A309,koronahun!$A:$AM,30,FALSE),"")</f>
        <v>206.57142857142858</v>
      </c>
      <c r="AE309" s="14">
        <f>IFERROR(VLOOKUP($A309,koronahun!$A:$AM,31,FALSE),"")</f>
        <v>23967.285714285714</v>
      </c>
      <c r="AF309" s="13">
        <f>IFERROR(VLOOKUP($A309,koronahun!$A:$AM,32,FALSE),"")</f>
        <v>0.13136991217369157</v>
      </c>
      <c r="AG309">
        <f>IFERROR(VLOOKUP($A309,koronahun!$A:$AM,33,FALSE),"")</f>
        <v>3508846</v>
      </c>
      <c r="AH309">
        <f>IFERROR(VLOOKUP($A309,koronahun!$A:$AM,34,FALSE),"")</f>
        <v>89396</v>
      </c>
      <c r="AI309">
        <f>IFERROR(VLOOKUP($A309,koronahun!$A:$AM,35,FALSE),"")</f>
        <v>51893.428571428572</v>
      </c>
      <c r="AJ309">
        <f>IFERROR(VLOOKUP($A309,koronahun!$A:$AM,36,FALSE),"")</f>
        <v>1490478</v>
      </c>
      <c r="AK309">
        <f>IFERROR(VLOOKUP($A309,koronahun!$A:$AM,37,FALSE),"")</f>
        <v>37178</v>
      </c>
      <c r="AL309">
        <f>IFERROR(VLOOKUP($A309,koronahun!$A:$AM,38,FALSE),"")</f>
        <v>20166.285714285714</v>
      </c>
      <c r="AM309" s="14">
        <f>IFERROR(VLOOKUP($A309,koronahun!$A:$AM,39,FALSE),"")</f>
        <v>4032.4285714285716</v>
      </c>
      <c r="AN309" s="11">
        <f ca="1">IFERROR(__xludf.DUMMYFUNCTION("""COMPUTED_VALUE"""),44201)</f>
        <v>44201</v>
      </c>
      <c r="AO309" s="12">
        <f ca="1">IFERROR(VLOOKUP(AN309,koronahun!A:B,2,FALSE),"")</f>
        <v>329721</v>
      </c>
      <c r="AP309" s="11">
        <f t="shared" ca="1" si="2"/>
        <v>44201</v>
      </c>
      <c r="AQ309" s="11">
        <f ca="1">IFERROR(__xludf.DUMMYFUNCTION("""COMPUTED_VALUE"""),44201)</f>
        <v>44201</v>
      </c>
      <c r="AR309" s="11">
        <v>44310</v>
      </c>
      <c r="AS309" s="11">
        <f t="shared" si="3"/>
        <v>44310</v>
      </c>
      <c r="AT309" s="11">
        <f ca="1">IFERROR(__xludf.DUMMYFUNCTION("""COMPUTED_VALUE"""),44309)</f>
        <v>44309</v>
      </c>
    </row>
    <row r="310" spans="1:46" ht="13">
      <c r="A310" s="11">
        <v>44308</v>
      </c>
      <c r="B310">
        <f>IFERROR(VLOOKUP($A310,koronahun!$A:$AM,2,FALSE),"")</f>
        <v>760967</v>
      </c>
      <c r="C310">
        <f>IFERROR(VLOOKUP($A310,koronahun!$A:$AM,3,FALSE),"")</f>
        <v>3607</v>
      </c>
      <c r="D310">
        <f>IFERROR(VLOOKUP($A310,koronahun!$A:$AM,4,FALSE),"")</f>
        <v>26001</v>
      </c>
      <c r="E310">
        <f>IFERROR(VLOOKUP($A310,koronahun!$A:$AM,5,FALSE),"")</f>
        <v>469592</v>
      </c>
      <c r="F310">
        <f>IFERROR(VLOOKUP($A310,koronahun!$A:$AM,6,FALSE),"")</f>
        <v>5205923</v>
      </c>
      <c r="G310" s="12">
        <f>IFERROR(VLOOKUP($A310,koronahun!$A:$AM,7,FALSE),"")</f>
        <v>531216.63265306118</v>
      </c>
      <c r="H310">
        <f>IFERROR(VLOOKUP($A310,koronahun!$A:$AM,8,FALSE),"")</f>
        <v>0</v>
      </c>
      <c r="I310" s="13">
        <f>IFERROR(VLOOKUP($A310,koronahun!$A:$AM,9,FALSE),"")</f>
        <v>4.7625963874511458E-3</v>
      </c>
      <c r="J310" s="13">
        <f>IFERROR(VLOOKUP($A310,koronahun!$A:$AM,10,FALSE),"")</f>
        <v>0.14617331066940484</v>
      </c>
      <c r="K310" s="13">
        <f>IFERROR(VLOOKUP($A310,koronahun!$A:$AM,11,FALSE),"")</f>
        <v>5.0981587665413592E-3</v>
      </c>
      <c r="L310">
        <f>IFERROR(VLOOKUP($A310,koronahun!$A:$AM,12,FALSE),"")</f>
        <v>265374</v>
      </c>
      <c r="M310" s="13">
        <f>IFERROR(VLOOKUP($A310,koronahun!$A:$AM,13,FALSE),"")</f>
        <v>3.4168367353643453E-2</v>
      </c>
      <c r="N310" s="13">
        <f>IFERROR(VLOOKUP($A310,koronahun!$A:$AM,14,FALSE),"")</f>
        <v>0.6170990332038051</v>
      </c>
      <c r="O310">
        <f>IFERROR(VLOOKUP($A310,koronahun!$A:$AM,15,FALSE),"")</f>
        <v>41857</v>
      </c>
      <c r="P310">
        <f>IFERROR(VLOOKUP($A310,koronahun!$A:$AM,16,FALSE),"")</f>
        <v>26406</v>
      </c>
      <c r="Q310" s="13">
        <f>IFERROR(VLOOKUP($A310,koronahun!$A:$AM,17,FALSE),"")</f>
        <v>0.13659774293721125</v>
      </c>
      <c r="R310">
        <f>IFERROR(VLOOKUP($A310,koronahun!$A:$AM,18,FALSE),"")</f>
        <v>214</v>
      </c>
      <c r="S310">
        <f>IFERROR(VLOOKUP($A310,koronahun!$A:$AM,19,FALSE),"")</f>
        <v>4842</v>
      </c>
      <c r="T310">
        <f>IFERROR(VLOOKUP($A310,koronahun!$A:$AM,20,FALSE),"")</f>
        <v>7507</v>
      </c>
      <c r="U310">
        <f>IFERROR(VLOOKUP($A310,koronahun!$A:$AM,21,FALSE),"")</f>
        <v>876</v>
      </c>
      <c r="V310" s="13">
        <f>IFERROR(VLOOKUP($A310,koronahun!$A:$AM,22,FALSE),"")</f>
        <v>0.34873259944255136</v>
      </c>
      <c r="W310">
        <f>IFERROR(VLOOKUP($A310,koronahun!$A:$AM,23,FALSE),"")</f>
        <v>-590</v>
      </c>
      <c r="X310">
        <f>IFERROR(VLOOKUP($A310,koronahun!$A:$AM,24,FALSE),"")</f>
        <v>-49</v>
      </c>
      <c r="Y310" s="14">
        <f>IFERROR(VLOOKUP($A310,koronahun!$A:$AM,25,FALSE),"")</f>
        <v>2.8288377911928071E-2</v>
      </c>
      <c r="Z310" s="14">
        <f>IFERROR(VLOOKUP($A310,koronahun!$A:$AM,26,FALSE),"")</f>
        <v>0.11669108831757027</v>
      </c>
      <c r="AA310" s="14">
        <f>IFERROR(VLOOKUP($A310,koronahun!$A:$AM,27,FALSE),"")</f>
        <v>0.62311649173854311</v>
      </c>
      <c r="AB310" s="14">
        <f>IFERROR(VLOOKUP($A310,koronahun!$A:$AM,28,FALSE),"")</f>
        <v>0.81528316927511146</v>
      </c>
      <c r="AC310" s="14">
        <f>IFERROR(VLOOKUP($A310,koronahun!$A:$AM,29,FALSE),"")</f>
        <v>3426.4285714285716</v>
      </c>
      <c r="AD310" s="14">
        <f>IFERROR(VLOOKUP($A310,koronahun!$A:$AM,30,FALSE),"")</f>
        <v>211.42857142857142</v>
      </c>
      <c r="AE310" s="14">
        <f>IFERROR(VLOOKUP($A310,koronahun!$A:$AM,31,FALSE),"")</f>
        <v>24598.142857142859</v>
      </c>
      <c r="AF310" s="13">
        <f>IFERROR(VLOOKUP($A310,koronahun!$A:$AM,32,FALSE),"")</f>
        <v>0.136905304286526</v>
      </c>
      <c r="AG310">
        <f>IFERROR(VLOOKUP($A310,koronahun!$A:$AM,33,FALSE),"")</f>
        <v>3419450</v>
      </c>
      <c r="AH310">
        <f>IFERROR(VLOOKUP($A310,koronahun!$A:$AM,34,FALSE),"")</f>
        <v>55854</v>
      </c>
      <c r="AI310">
        <f>IFERROR(VLOOKUP($A310,koronahun!$A:$AM,35,FALSE),"")</f>
        <v>46922.285714285717</v>
      </c>
      <c r="AJ310">
        <f>IFERROR(VLOOKUP($A310,koronahun!$A:$AM,36,FALSE),"")</f>
        <v>1453300</v>
      </c>
      <c r="AK310">
        <f>IFERROR(VLOOKUP($A310,koronahun!$A:$AM,37,FALSE),"")</f>
        <v>28176</v>
      </c>
      <c r="AL310">
        <f>IFERROR(VLOOKUP($A310,koronahun!$A:$AM,38,FALSE),"")</f>
        <v>18244.714285714286</v>
      </c>
      <c r="AM310" s="14">
        <f>IFERROR(VLOOKUP($A310,koronahun!$A:$AM,39,FALSE),"")</f>
        <v>4156.2857142857147</v>
      </c>
      <c r="AN310" s="11">
        <f ca="1">IFERROR(__xludf.DUMMYFUNCTION("""COMPUTED_VALUE"""),44202)</f>
        <v>44202</v>
      </c>
      <c r="AO310" s="12">
        <f ca="1">IFERROR(VLOOKUP(AN310,koronahun!A:B,2,FALSE),"")</f>
        <v>331768</v>
      </c>
      <c r="AP310" s="11">
        <f t="shared" ca="1" si="2"/>
        <v>44202</v>
      </c>
      <c r="AQ310" s="11">
        <f ca="1">IFERROR(__xludf.DUMMYFUNCTION("""COMPUTED_VALUE"""),44202)</f>
        <v>44202</v>
      </c>
      <c r="AR310" s="11">
        <v>44309</v>
      </c>
      <c r="AS310" s="11">
        <f t="shared" si="3"/>
        <v>44309</v>
      </c>
      <c r="AT310" s="11">
        <f ca="1">IFERROR(__xludf.DUMMYFUNCTION("""COMPUTED_VALUE"""),44308)</f>
        <v>44308</v>
      </c>
    </row>
    <row r="311" spans="1:46" ht="13">
      <c r="A311" s="11">
        <v>44307</v>
      </c>
      <c r="B311">
        <f>IFERROR(VLOOKUP($A311,koronahun!$A:$AM,2,FALSE),"")</f>
        <v>757360</v>
      </c>
      <c r="C311">
        <f>IFERROR(VLOOKUP($A311,koronahun!$A:$AM,3,FALSE),"")</f>
        <v>2527</v>
      </c>
      <c r="D311">
        <f>IFERROR(VLOOKUP($A311,koronahun!$A:$AM,4,FALSE),"")</f>
        <v>25787</v>
      </c>
      <c r="E311">
        <f>IFERROR(VLOOKUP($A311,koronahun!$A:$AM,5,FALSE),"")</f>
        <v>464750</v>
      </c>
      <c r="F311">
        <f>IFERROR(VLOOKUP($A311,koronahun!$A:$AM,6,FALSE),"")</f>
        <v>5179517</v>
      </c>
      <c r="G311" s="12">
        <f>IFERROR(VLOOKUP($A311,koronahun!$A:$AM,7,FALSE),"")</f>
        <v>528522.14285714284</v>
      </c>
      <c r="H311">
        <f>IFERROR(VLOOKUP($A311,koronahun!$A:$AM,8,FALSE),"")</f>
        <v>0</v>
      </c>
      <c r="I311" s="13">
        <f>IFERROR(VLOOKUP($A311,koronahun!$A:$AM,9,FALSE),"")</f>
        <v>3.3477603655378079E-3</v>
      </c>
      <c r="J311" s="13">
        <f>IFERROR(VLOOKUP($A311,koronahun!$A:$AM,10,FALSE),"")</f>
        <v>0.14622212843398333</v>
      </c>
      <c r="K311" s="13">
        <f>IFERROR(VLOOKUP($A311,koronahun!$A:$AM,11,FALSE),"")</f>
        <v>4.3503283445948697E-3</v>
      </c>
      <c r="L311">
        <f>IFERROR(VLOOKUP($A311,koronahun!$A:$AM,12,FALSE),"")</f>
        <v>266823</v>
      </c>
      <c r="M311" s="13">
        <f>IFERROR(VLOOKUP($A311,koronahun!$A:$AM,13,FALSE),"")</f>
        <v>3.4048537023344247E-2</v>
      </c>
      <c r="N311" s="13">
        <f>IFERROR(VLOOKUP($A311,koronahun!$A:$AM,14,FALSE),"")</f>
        <v>0.61364476602936513</v>
      </c>
      <c r="O311">
        <f>IFERROR(VLOOKUP($A311,koronahun!$A:$AM,15,FALSE),"")</f>
        <v>42068</v>
      </c>
      <c r="P311">
        <f>IFERROR(VLOOKUP($A311,koronahun!$A:$AM,16,FALSE),"")</f>
        <v>22435</v>
      </c>
      <c r="Q311" s="13">
        <f>IFERROR(VLOOKUP($A311,koronahun!$A:$AM,17,FALSE),"")</f>
        <v>0.1126365054602184</v>
      </c>
      <c r="R311">
        <f>IFERROR(VLOOKUP($A311,koronahun!$A:$AM,18,FALSE),"")</f>
        <v>207</v>
      </c>
      <c r="S311">
        <f>IFERROR(VLOOKUP($A311,koronahun!$A:$AM,19,FALSE),"")</f>
        <v>3569</v>
      </c>
      <c r="T311">
        <f>IFERROR(VLOOKUP($A311,koronahun!$A:$AM,20,FALSE),"")</f>
        <v>8097</v>
      </c>
      <c r="U311">
        <f>IFERROR(VLOOKUP($A311,koronahun!$A:$AM,21,FALSE),"")</f>
        <v>925</v>
      </c>
      <c r="V311" s="13">
        <f>IFERROR(VLOOKUP($A311,koronahun!$A:$AM,22,FALSE),"")</f>
        <v>0.35230669694729061</v>
      </c>
      <c r="W311">
        <f>IFERROR(VLOOKUP($A311,koronahun!$A:$AM,23,FALSE),"")</f>
        <v>-505</v>
      </c>
      <c r="X311">
        <f>IFERROR(VLOOKUP($A311,koronahun!$A:$AM,24,FALSE),"")</f>
        <v>-55</v>
      </c>
      <c r="Y311" s="14">
        <f>IFERROR(VLOOKUP($A311,koronahun!$A:$AM,25,FALSE),"")</f>
        <v>3.0345959681136934E-2</v>
      </c>
      <c r="Z311" s="14">
        <f>IFERROR(VLOOKUP($A311,koronahun!$A:$AM,26,FALSE),"")</f>
        <v>0.11423984191675929</v>
      </c>
      <c r="AA311" s="14">
        <f>IFERROR(VLOOKUP($A311,koronahun!$A:$AM,27,FALSE),"")</f>
        <v>0.67593884049580255</v>
      </c>
      <c r="AB311" s="14">
        <f>IFERROR(VLOOKUP($A311,koronahun!$A:$AM,28,FALSE),"")</f>
        <v>0.87581797427491925</v>
      </c>
      <c r="AC311" s="14">
        <f>IFERROR(VLOOKUP($A311,koronahun!$A:$AM,29,FALSE),"")</f>
        <v>3669.2857142857142</v>
      </c>
      <c r="AD311" s="14">
        <f>IFERROR(VLOOKUP($A311,koronahun!$A:$AM,30,FALSE),"")</f>
        <v>217.42857142857142</v>
      </c>
      <c r="AE311" s="14">
        <f>IFERROR(VLOOKUP($A311,koronahun!$A:$AM,31,FALSE),"")</f>
        <v>23960.428571428572</v>
      </c>
      <c r="AF311" s="13">
        <f>IFERROR(VLOOKUP($A311,koronahun!$A:$AM,32,FALSE),"")</f>
        <v>0.15194347195239646</v>
      </c>
      <c r="AG311">
        <f>IFERROR(VLOOKUP($A311,koronahun!$A:$AM,33,FALSE),"")</f>
        <v>3363596</v>
      </c>
      <c r="AH311">
        <f>IFERROR(VLOOKUP($A311,koronahun!$A:$AM,34,FALSE),"")</f>
        <v>46544</v>
      </c>
      <c r="AI311">
        <f>IFERROR(VLOOKUP($A311,koronahun!$A:$AM,35,FALSE),"")</f>
        <v>46653.285714285717</v>
      </c>
      <c r="AJ311">
        <f>IFERROR(VLOOKUP($A311,koronahun!$A:$AM,36,FALSE),"")</f>
        <v>1425124</v>
      </c>
      <c r="AK311">
        <f>IFERROR(VLOOKUP($A311,koronahun!$A:$AM,37,FALSE),"")</f>
        <v>24421</v>
      </c>
      <c r="AL311">
        <f>IFERROR(VLOOKUP($A311,koronahun!$A:$AM,38,FALSE),"")</f>
        <v>19202.142857142859</v>
      </c>
      <c r="AM311" s="14">
        <f>IFERROR(VLOOKUP($A311,koronahun!$A:$AM,39,FALSE),"")</f>
        <v>4200.8571428571431</v>
      </c>
      <c r="AN311" s="11">
        <f ca="1">IFERROR(__xludf.DUMMYFUNCTION("""COMPUTED_VALUE"""),44203)</f>
        <v>44203</v>
      </c>
      <c r="AO311" s="12">
        <f ca="1">IFERROR(VLOOKUP(AN311,koronahun!A:B,2,FALSE),"")</f>
        <v>334836</v>
      </c>
      <c r="AP311" s="11">
        <f t="shared" ca="1" si="2"/>
        <v>44203</v>
      </c>
      <c r="AQ311" s="11">
        <f ca="1">IFERROR(__xludf.DUMMYFUNCTION("""COMPUTED_VALUE"""),44203)</f>
        <v>44203</v>
      </c>
      <c r="AR311" s="11">
        <v>44308</v>
      </c>
      <c r="AS311" s="11">
        <f t="shared" si="3"/>
        <v>44308</v>
      </c>
      <c r="AT311" s="11">
        <f ca="1">IFERROR(__xludf.DUMMYFUNCTION("""COMPUTED_VALUE"""),44307)</f>
        <v>44307</v>
      </c>
    </row>
    <row r="312" spans="1:46" ht="13">
      <c r="A312" s="11">
        <v>44306</v>
      </c>
      <c r="B312">
        <f>IFERROR(VLOOKUP($A312,koronahun!$A:$AM,2,FALSE),"")</f>
        <v>754833</v>
      </c>
      <c r="C312">
        <f>IFERROR(VLOOKUP($A312,koronahun!$A:$AM,3,FALSE),"")</f>
        <v>1645</v>
      </c>
      <c r="D312">
        <f>IFERROR(VLOOKUP($A312,koronahun!$A:$AM,4,FALSE),"")</f>
        <v>25580</v>
      </c>
      <c r="E312">
        <f>IFERROR(VLOOKUP($A312,koronahun!$A:$AM,5,FALSE),"")</f>
        <v>461181</v>
      </c>
      <c r="F312">
        <f>IFERROR(VLOOKUP($A312,koronahun!$A:$AM,6,FALSE),"")</f>
        <v>5157082</v>
      </c>
      <c r="G312" s="12">
        <f>IFERROR(VLOOKUP($A312,koronahun!$A:$AM,7,FALSE),"")</f>
        <v>526232.85714285716</v>
      </c>
      <c r="H312">
        <f>IFERROR(VLOOKUP($A312,koronahun!$A:$AM,8,FALSE),"")</f>
        <v>0</v>
      </c>
      <c r="I312" s="13">
        <f>IFERROR(VLOOKUP($A312,koronahun!$A:$AM,9,FALSE),"")</f>
        <v>2.1840496662187928E-3</v>
      </c>
      <c r="J312" s="13">
        <f>IFERROR(VLOOKUP($A312,koronahun!$A:$AM,10,FALSE),"")</f>
        <v>0.14636823692157697</v>
      </c>
      <c r="K312" s="13">
        <f>IFERROR(VLOOKUP($A312,koronahun!$A:$AM,11,FALSE),"")</f>
        <v>2.5178212836767344E-3</v>
      </c>
      <c r="L312">
        <f>IFERROR(VLOOKUP($A312,koronahun!$A:$AM,12,FALSE),"")</f>
        <v>268072</v>
      </c>
      <c r="M312" s="13">
        <f>IFERROR(VLOOKUP($A312,koronahun!$A:$AM,13,FALSE),"")</f>
        <v>3.3888290522539423E-2</v>
      </c>
      <c r="N312" s="13">
        <f>IFERROR(VLOOKUP($A312,koronahun!$A:$AM,14,FALSE),"")</f>
        <v>0.61097090349785976</v>
      </c>
      <c r="O312">
        <f>IFERROR(VLOOKUP($A312,koronahun!$A:$AM,15,FALSE),"")</f>
        <v>45132</v>
      </c>
      <c r="P312">
        <f>IFERROR(VLOOKUP($A312,koronahun!$A:$AM,16,FALSE),"")</f>
        <v>12952</v>
      </c>
      <c r="Q312" s="13">
        <f>IFERROR(VLOOKUP($A312,koronahun!$A:$AM,17,FALSE),"")</f>
        <v>0.12700741198270538</v>
      </c>
      <c r="R312">
        <f>IFERROR(VLOOKUP($A312,koronahun!$A:$AM,18,FALSE),"")</f>
        <v>199</v>
      </c>
      <c r="S312">
        <f>IFERROR(VLOOKUP($A312,koronahun!$A:$AM,19,FALSE),"")</f>
        <v>2969</v>
      </c>
      <c r="T312">
        <f>IFERROR(VLOOKUP($A312,koronahun!$A:$AM,20,FALSE),"")</f>
        <v>8602</v>
      </c>
      <c r="U312">
        <f>IFERROR(VLOOKUP($A312,koronahun!$A:$AM,21,FALSE),"")</f>
        <v>980</v>
      </c>
      <c r="V312" s="13">
        <f>IFERROR(VLOOKUP($A312,koronahun!$A:$AM,22,FALSE),"")</f>
        <v>0.35514080597960079</v>
      </c>
      <c r="W312">
        <f>IFERROR(VLOOKUP($A312,koronahun!$A:$AM,23,FALSE),"")</f>
        <v>-48</v>
      </c>
      <c r="X312">
        <f>IFERROR(VLOOKUP($A312,koronahun!$A:$AM,24,FALSE),"")</f>
        <v>-72</v>
      </c>
      <c r="Y312" s="14">
        <f>IFERROR(VLOOKUP($A312,koronahun!$A:$AM,25,FALSE),"")</f>
        <v>3.208839416276224E-2</v>
      </c>
      <c r="Z312" s="14">
        <f>IFERROR(VLOOKUP($A312,koronahun!$A:$AM,26,FALSE),"")</f>
        <v>0.11392699372239014</v>
      </c>
      <c r="AA312" s="14">
        <f>IFERROR(VLOOKUP($A312,koronahun!$A:$AM,27,FALSE),"")</f>
        <v>0.73634236961607269</v>
      </c>
      <c r="AB312" s="14">
        <f>IFERROR(VLOOKUP($A312,koronahun!$A:$AM,28,FALSE),"")</f>
        <v>0.91087588679143849</v>
      </c>
      <c r="AC312" s="14">
        <f>IFERROR(VLOOKUP($A312,koronahun!$A:$AM,29,FALSE),"")</f>
        <v>3822.1428571428573</v>
      </c>
      <c r="AD312" s="14">
        <f>IFERROR(VLOOKUP($A312,koronahun!$A:$AM,30,FALSE),"")</f>
        <v>228.57142857142858</v>
      </c>
      <c r="AE312" s="14">
        <f>IFERROR(VLOOKUP($A312,koronahun!$A:$AM,31,FALSE),"")</f>
        <v>25781.285714285714</v>
      </c>
      <c r="AF312" s="13">
        <f>IFERROR(VLOOKUP($A312,koronahun!$A:$AM,32,FALSE),"")</f>
        <v>0.15045864086014318</v>
      </c>
      <c r="AG312">
        <f>IFERROR(VLOOKUP($A312,koronahun!$A:$AM,33,FALSE),"")</f>
        <v>3317052</v>
      </c>
      <c r="AH312">
        <f>IFERROR(VLOOKUP($A312,koronahun!$A:$AM,34,FALSE),"")</f>
        <v>50627</v>
      </c>
      <c r="AI312">
        <f>IFERROR(VLOOKUP($A312,koronahun!$A:$AM,35,FALSE),"")</f>
        <v>49629.285714285717</v>
      </c>
      <c r="AJ312">
        <f>IFERROR(VLOOKUP($A312,koronahun!$A:$AM,36,FALSE),"")</f>
        <v>1400703</v>
      </c>
      <c r="AK312">
        <f>IFERROR(VLOOKUP($A312,koronahun!$A:$AM,37,FALSE),"")</f>
        <v>9322</v>
      </c>
      <c r="AL312">
        <f>IFERROR(VLOOKUP($A312,koronahun!$A:$AM,38,FALSE),"")</f>
        <v>21445.857142857141</v>
      </c>
      <c r="AM312" s="14">
        <f>IFERROR(VLOOKUP($A312,koronahun!$A:$AM,39,FALSE),"")</f>
        <v>4293.8571428571431</v>
      </c>
      <c r="AN312" s="11">
        <f ca="1">IFERROR(__xludf.DUMMYFUNCTION("""COMPUTED_VALUE"""),44204)</f>
        <v>44204</v>
      </c>
      <c r="AO312" s="12">
        <f ca="1">IFERROR(VLOOKUP(AN312,koronahun!A:B,2,FALSE),"")</f>
        <v>337743</v>
      </c>
      <c r="AP312" s="11">
        <f t="shared" ca="1" si="2"/>
        <v>44204</v>
      </c>
      <c r="AQ312" s="11">
        <f ca="1">IFERROR(__xludf.DUMMYFUNCTION("""COMPUTED_VALUE"""),44204)</f>
        <v>44204</v>
      </c>
      <c r="AR312" s="11">
        <v>44307</v>
      </c>
      <c r="AS312" s="11">
        <f t="shared" si="3"/>
        <v>44307</v>
      </c>
      <c r="AT312" s="11">
        <f ca="1">IFERROR(__xludf.DUMMYFUNCTION("""COMPUTED_VALUE"""),44306)</f>
        <v>44306</v>
      </c>
    </row>
    <row r="313" spans="1:46" ht="13">
      <c r="A313" s="11">
        <v>44305</v>
      </c>
      <c r="B313">
        <f>IFERROR(VLOOKUP($A313,koronahun!$A:$AM,2,FALSE),"")</f>
        <v>753188</v>
      </c>
      <c r="C313">
        <f>IFERROR(VLOOKUP($A313,koronahun!$A:$AM,3,FALSE),"")</f>
        <v>2680</v>
      </c>
      <c r="D313">
        <f>IFERROR(VLOOKUP($A313,koronahun!$A:$AM,4,FALSE),"")</f>
        <v>25381</v>
      </c>
      <c r="E313">
        <f>IFERROR(VLOOKUP($A313,koronahun!$A:$AM,5,FALSE),"")</f>
        <v>458212</v>
      </c>
      <c r="F313">
        <f>IFERROR(VLOOKUP($A313,koronahun!$A:$AM,6,FALSE),"")</f>
        <v>5144130</v>
      </c>
      <c r="G313" s="12">
        <f>IFERROR(VLOOKUP($A313,koronahun!$A:$AM,7,FALSE),"")</f>
        <v>524911.22448979586</v>
      </c>
      <c r="H313">
        <f>IFERROR(VLOOKUP($A313,koronahun!$A:$AM,8,FALSE),"")</f>
        <v>0</v>
      </c>
      <c r="I313" s="13">
        <f>IFERROR(VLOOKUP($A313,koronahun!$A:$AM,9,FALSE),"")</f>
        <v>3.5709146338213584E-3</v>
      </c>
      <c r="J313" s="13">
        <f>IFERROR(VLOOKUP($A313,koronahun!$A:$AM,10,FALSE),"")</f>
        <v>0.14641698401867759</v>
      </c>
      <c r="K313" s="13">
        <f>IFERROR(VLOOKUP($A313,koronahun!$A:$AM,11,FALSE),"")</f>
        <v>3.7853694174386911E-3</v>
      </c>
      <c r="L313">
        <f>IFERROR(VLOOKUP($A313,koronahun!$A:$AM,12,FALSE),"")</f>
        <v>269595</v>
      </c>
      <c r="M313" s="13">
        <f>IFERROR(VLOOKUP($A313,koronahun!$A:$AM,13,FALSE),"")</f>
        <v>3.369809396857093E-2</v>
      </c>
      <c r="N313" s="13">
        <f>IFERROR(VLOOKUP($A313,koronahun!$A:$AM,14,FALSE),"")</f>
        <v>0.60836338337838625</v>
      </c>
      <c r="O313">
        <f>IFERROR(VLOOKUP($A313,koronahun!$A:$AM,15,FALSE),"")</f>
        <v>45132</v>
      </c>
      <c r="P313">
        <f>IFERROR(VLOOKUP($A313,koronahun!$A:$AM,16,FALSE),"")</f>
        <v>19399</v>
      </c>
      <c r="Q313" s="13">
        <f>IFERROR(VLOOKUP($A313,koronahun!$A:$AM,17,FALSE),"")</f>
        <v>0.1381514511057271</v>
      </c>
      <c r="R313">
        <f>IFERROR(VLOOKUP($A313,koronahun!$A:$AM,18,FALSE),"")</f>
        <v>197</v>
      </c>
      <c r="S313">
        <f>IFERROR(VLOOKUP($A313,koronahun!$A:$AM,19,FALSE),"")</f>
        <v>3183</v>
      </c>
      <c r="T313">
        <f>IFERROR(VLOOKUP($A313,koronahun!$A:$AM,20,FALSE),"")</f>
        <v>8650</v>
      </c>
      <c r="U313">
        <f>IFERROR(VLOOKUP($A313,koronahun!$A:$AM,21,FALSE),"")</f>
        <v>1052</v>
      </c>
      <c r="V313" s="13">
        <f>IFERROR(VLOOKUP($A313,koronahun!$A:$AM,22,FALSE),"")</f>
        <v>0.35793852265304282</v>
      </c>
      <c r="W313">
        <f>IFERROR(VLOOKUP($A313,koronahun!$A:$AM,23,FALSE),"")</f>
        <v>205</v>
      </c>
      <c r="X313">
        <f>IFERROR(VLOOKUP($A313,koronahun!$A:$AM,24,FALSE),"")</f>
        <v>1</v>
      </c>
      <c r="Y313" s="14">
        <f>IFERROR(VLOOKUP($A313,koronahun!$A:$AM,25,FALSE),"")</f>
        <v>3.208516478421336E-2</v>
      </c>
      <c r="Z313" s="14">
        <f>IFERROR(VLOOKUP($A313,koronahun!$A:$AM,26,FALSE),"")</f>
        <v>0.12161849710982658</v>
      </c>
      <c r="AA313" s="14">
        <f>IFERROR(VLOOKUP($A313,koronahun!$A:$AM,27,FALSE),"")</f>
        <v>0.78973098225387139</v>
      </c>
      <c r="AB313" s="14">
        <f>IFERROR(VLOOKUP($A313,koronahun!$A:$AM,28,FALSE),"")</f>
        <v>0.91850120915603184</v>
      </c>
      <c r="AC313" s="14">
        <f>IFERROR(VLOOKUP($A313,koronahun!$A:$AM,29,FALSE),"")</f>
        <v>3992.4285714285716</v>
      </c>
      <c r="AD313" s="14">
        <f>IFERROR(VLOOKUP($A313,koronahun!$A:$AM,30,FALSE),"")</f>
        <v>239</v>
      </c>
      <c r="AE313" s="14">
        <f>IFERROR(VLOOKUP($A313,koronahun!$A:$AM,31,FALSE),"")</f>
        <v>26140.571428571428</v>
      </c>
      <c r="AF313" s="13">
        <f>IFERROR(VLOOKUP($A313,koronahun!$A:$AM,32,FALSE),"")</f>
        <v>0.15851797787132363</v>
      </c>
      <c r="AG313">
        <f>IFERROR(VLOOKUP($A313,koronahun!$A:$AM,33,FALSE),"")</f>
        <v>3266425</v>
      </c>
      <c r="AH313">
        <f>IFERROR(VLOOKUP($A313,koronahun!$A:$AM,34,FALSE),"")</f>
        <v>13846</v>
      </c>
      <c r="AI313">
        <f>IFERROR(VLOOKUP($A313,koronahun!$A:$AM,35,FALSE),"")</f>
        <v>52291.714285714283</v>
      </c>
      <c r="AJ313">
        <f>IFERROR(VLOOKUP($A313,koronahun!$A:$AM,36,FALSE),"")</f>
        <v>1391381</v>
      </c>
      <c r="AK313">
        <f>IFERROR(VLOOKUP($A313,koronahun!$A:$AM,37,FALSE),"")</f>
        <v>5483</v>
      </c>
      <c r="AL313">
        <f>IFERROR(VLOOKUP($A313,koronahun!$A:$AM,38,FALSE),"")</f>
        <v>24874.714285714286</v>
      </c>
      <c r="AM313" s="14">
        <f>IFERROR(VLOOKUP($A313,koronahun!$A:$AM,39,FALSE),"")</f>
        <v>4162.5714285714284</v>
      </c>
      <c r="AN313" s="11">
        <f ca="1">IFERROR(__xludf.DUMMYFUNCTION("""COMPUTED_VALUE"""),44205)</f>
        <v>44205</v>
      </c>
      <c r="AO313" s="12">
        <f ca="1">IFERROR(VLOOKUP(AN313,koronahun!A:B,2,FALSE),"")</f>
        <v>340459</v>
      </c>
      <c r="AP313" s="11">
        <f t="shared" ca="1" si="2"/>
        <v>44205</v>
      </c>
      <c r="AQ313" s="11">
        <f ca="1">IFERROR(__xludf.DUMMYFUNCTION("""COMPUTED_VALUE"""),44205)</f>
        <v>44205</v>
      </c>
      <c r="AR313" s="11">
        <v>44306</v>
      </c>
      <c r="AS313" s="11">
        <f t="shared" si="3"/>
        <v>44306</v>
      </c>
      <c r="AT313" s="11">
        <f ca="1">IFERROR(__xludf.DUMMYFUNCTION("""COMPUTED_VALUE"""),44305)</f>
        <v>44305</v>
      </c>
    </row>
    <row r="314" spans="1:46" ht="13">
      <c r="A314" s="11">
        <v>44304</v>
      </c>
      <c r="B314">
        <f>IFERROR(VLOOKUP($A314,koronahun!$A:$AM,2,FALSE),"")</f>
        <v>750508</v>
      </c>
      <c r="C314">
        <f>IFERROR(VLOOKUP($A314,koronahun!$A:$AM,3,FALSE),"")</f>
        <v>3706</v>
      </c>
      <c r="D314">
        <f>IFERROR(VLOOKUP($A314,koronahun!$A:$AM,4,FALSE),"")</f>
        <v>25184</v>
      </c>
      <c r="E314">
        <f>IFERROR(VLOOKUP($A314,koronahun!$A:$AM,5,FALSE),"")</f>
        <v>455029</v>
      </c>
      <c r="F314">
        <f>IFERROR(VLOOKUP($A314,koronahun!$A:$AM,6,FALSE),"")</f>
        <v>5124731</v>
      </c>
      <c r="G314" s="12">
        <f>IFERROR(VLOOKUP($A314,koronahun!$A:$AM,7,FALSE),"")</f>
        <v>522931.73469387752</v>
      </c>
      <c r="H314">
        <f>IFERROR(VLOOKUP($A314,koronahun!$A:$AM,8,FALSE),"")</f>
        <v>0</v>
      </c>
      <c r="I314" s="13">
        <f>IFERROR(VLOOKUP($A314,koronahun!$A:$AM,9,FALSE),"")</f>
        <v>4.9624934052131626E-3</v>
      </c>
      <c r="J314" s="13">
        <f>IFERROR(VLOOKUP($A314,koronahun!$A:$AM,10,FALSE),"")</f>
        <v>0.14644827211418512</v>
      </c>
      <c r="K314" s="13">
        <f>IFERROR(VLOOKUP($A314,koronahun!$A:$AM,11,FALSE),"")</f>
        <v>5.5548786099107591E-3</v>
      </c>
      <c r="L314">
        <f>IFERROR(VLOOKUP($A314,koronahun!$A:$AM,12,FALSE),"")</f>
        <v>270295</v>
      </c>
      <c r="M314" s="13">
        <f>IFERROR(VLOOKUP($A314,koronahun!$A:$AM,13,FALSE),"")</f>
        <v>3.3555938111252646E-2</v>
      </c>
      <c r="N314" s="13">
        <f>IFERROR(VLOOKUP($A314,koronahun!$A:$AM,14,FALSE),"")</f>
        <v>0.60629466974369361</v>
      </c>
      <c r="O314">
        <f>IFERROR(VLOOKUP($A314,koronahun!$A:$AM,15,FALSE),"")</f>
        <v>47751</v>
      </c>
      <c r="P314">
        <f>IFERROR(VLOOKUP($A314,koronahun!$A:$AM,16,FALSE),"")</f>
        <v>28310</v>
      </c>
      <c r="Q314" s="13">
        <f>IFERROR(VLOOKUP($A314,koronahun!$A:$AM,17,FALSE),"")</f>
        <v>0.13090780642882374</v>
      </c>
      <c r="R314">
        <f>IFERROR(VLOOKUP($A314,koronahun!$A:$AM,18,FALSE),"")</f>
        <v>205</v>
      </c>
      <c r="S314">
        <f>IFERROR(VLOOKUP($A314,koronahun!$A:$AM,19,FALSE),"")</f>
        <v>4238</v>
      </c>
      <c r="T314">
        <f>IFERROR(VLOOKUP($A314,koronahun!$A:$AM,20,FALSE),"")</f>
        <v>8445</v>
      </c>
      <c r="U314">
        <f>IFERROR(VLOOKUP($A314,koronahun!$A:$AM,21,FALSE),"")</f>
        <v>1051</v>
      </c>
      <c r="V314" s="13">
        <f>IFERROR(VLOOKUP($A314,koronahun!$A:$AM,22,FALSE),"")</f>
        <v>0.36014939214505376</v>
      </c>
      <c r="W314">
        <f>IFERROR(VLOOKUP($A314,koronahun!$A:$AM,23,FALSE),"")</f>
        <v>-502</v>
      </c>
      <c r="X314">
        <f>IFERROR(VLOOKUP($A314,koronahun!$A:$AM,24,FALSE),"")</f>
        <v>-42</v>
      </c>
      <c r="Y314" s="14">
        <f>IFERROR(VLOOKUP($A314,koronahun!$A:$AM,25,FALSE),"")</f>
        <v>3.1243641206829573E-2</v>
      </c>
      <c r="Z314" s="14">
        <f>IFERROR(VLOOKUP($A314,koronahun!$A:$AM,26,FALSE),"")</f>
        <v>0.12445233866193013</v>
      </c>
      <c r="AA314" s="14">
        <f>IFERROR(VLOOKUP($A314,koronahun!$A:$AM,27,FALSE),"")</f>
        <v>0.88764077811905806</v>
      </c>
      <c r="AB314" s="14">
        <f>IFERROR(VLOOKUP($A314,koronahun!$A:$AM,28,FALSE),"")</f>
        <v>0.90942828680047083</v>
      </c>
      <c r="AC314" s="14">
        <f>IFERROR(VLOOKUP($A314,koronahun!$A:$AM,29,FALSE),"")</f>
        <v>4334.8571428571431</v>
      </c>
      <c r="AD314" s="14">
        <f>IFERROR(VLOOKUP($A314,koronahun!$A:$AM,30,FALSE),"")</f>
        <v>252.42857142857142</v>
      </c>
      <c r="AE314" s="14">
        <f>IFERROR(VLOOKUP($A314,koronahun!$A:$AM,31,FALSE),"")</f>
        <v>27135</v>
      </c>
      <c r="AF314" s="13">
        <f>IFERROR(VLOOKUP($A314,koronahun!$A:$AM,32,FALSE),"")</f>
        <v>0.16629668884494728</v>
      </c>
      <c r="AG314">
        <f>IFERROR(VLOOKUP($A314,koronahun!$A:$AM,33,FALSE),"")</f>
        <v>3252579</v>
      </c>
      <c r="AH314">
        <f>IFERROR(VLOOKUP($A314,koronahun!$A:$AM,34,FALSE),"")</f>
        <v>38742</v>
      </c>
      <c r="AI314">
        <f>IFERROR(VLOOKUP($A314,koronahun!$A:$AM,35,FALSE),"")</f>
        <v>59526.428571428572</v>
      </c>
      <c r="AJ314">
        <f>IFERROR(VLOOKUP($A314,koronahun!$A:$AM,36,FALSE),"")</f>
        <v>1385898</v>
      </c>
      <c r="AK314">
        <f>IFERROR(VLOOKUP($A314,koronahun!$A:$AM,37,FALSE),"")</f>
        <v>14196</v>
      </c>
      <c r="AL314">
        <f>IFERROR(VLOOKUP($A314,koronahun!$A:$AM,38,FALSE),"")</f>
        <v>26887.571428571428</v>
      </c>
      <c r="AM314" s="14">
        <f>IFERROR(VLOOKUP($A314,koronahun!$A:$AM,39,FALSE),"")</f>
        <v>4090.7142857142858</v>
      </c>
      <c r="AN314" s="11">
        <f ca="1">IFERROR(__xludf.DUMMYFUNCTION("""COMPUTED_VALUE"""),44206)</f>
        <v>44206</v>
      </c>
      <c r="AO314" s="12">
        <f ca="1">IFERROR(VLOOKUP(AN314,koronahun!A:B,2,FALSE),"")</f>
        <v>342237</v>
      </c>
      <c r="AP314" s="11">
        <f t="shared" ca="1" si="2"/>
        <v>44206</v>
      </c>
      <c r="AQ314" s="11">
        <f ca="1">IFERROR(__xludf.DUMMYFUNCTION("""COMPUTED_VALUE"""),44206)</f>
        <v>44206</v>
      </c>
      <c r="AR314" s="11">
        <v>44305</v>
      </c>
      <c r="AS314" s="11">
        <f t="shared" si="3"/>
        <v>44305</v>
      </c>
      <c r="AT314" s="11">
        <f ca="1">IFERROR(__xludf.DUMMYFUNCTION("""COMPUTED_VALUE"""),44304)</f>
        <v>44304</v>
      </c>
    </row>
    <row r="315" spans="1:46" ht="13">
      <c r="A315" s="11">
        <v>44303</v>
      </c>
      <c r="B315">
        <f>IFERROR(VLOOKUP($A315,koronahun!$A:$AM,2,FALSE),"")</f>
        <v>746802</v>
      </c>
      <c r="C315">
        <f>IFERROR(VLOOKUP($A315,koronahun!$A:$AM,3,FALSE),"")</f>
        <v>4604</v>
      </c>
      <c r="D315">
        <f>IFERROR(VLOOKUP($A315,koronahun!$A:$AM,4,FALSE),"")</f>
        <v>24979</v>
      </c>
      <c r="E315">
        <f>IFERROR(VLOOKUP($A315,koronahun!$A:$AM,5,FALSE),"")</f>
        <v>450791</v>
      </c>
      <c r="F315">
        <f>IFERROR(VLOOKUP($A315,koronahun!$A:$AM,6,FALSE),"")</f>
        <v>5096421</v>
      </c>
      <c r="G315" s="12">
        <f>IFERROR(VLOOKUP($A315,koronahun!$A:$AM,7,FALSE),"")</f>
        <v>520042.95918367343</v>
      </c>
      <c r="H315">
        <f>IFERROR(VLOOKUP($A315,koronahun!$A:$AM,8,FALSE),"")</f>
        <v>0</v>
      </c>
      <c r="I315" s="13">
        <f>IFERROR(VLOOKUP($A315,koronahun!$A:$AM,9,FALSE),"")</f>
        <v>6.2031964516207263E-3</v>
      </c>
      <c r="J315" s="13">
        <f>IFERROR(VLOOKUP($A315,koronahun!$A:$AM,10,FALSE),"")</f>
        <v>0.14653459751460879</v>
      </c>
      <c r="K315" s="13">
        <f>IFERROR(VLOOKUP($A315,koronahun!$A:$AM,11,FALSE),"")</f>
        <v>6.0527948526568282E-3</v>
      </c>
      <c r="L315">
        <f>IFERROR(VLOOKUP($A315,koronahun!$A:$AM,12,FALSE),"")</f>
        <v>271032</v>
      </c>
      <c r="M315" s="13">
        <f>IFERROR(VLOOKUP($A315,koronahun!$A:$AM,13,FALSE),"")</f>
        <v>3.344795541522385E-2</v>
      </c>
      <c r="N315" s="13">
        <f>IFERROR(VLOOKUP($A315,koronahun!$A:$AM,14,FALSE),"")</f>
        <v>0.60362853875592193</v>
      </c>
      <c r="O315">
        <f>IFERROR(VLOOKUP($A315,koronahun!$A:$AM,15,FALSE),"")</f>
        <v>51049</v>
      </c>
      <c r="P315">
        <f>IFERROR(VLOOKUP($A315,koronahun!$A:$AM,16,FALSE),"")</f>
        <v>30662</v>
      </c>
      <c r="Q315" s="13">
        <f>IFERROR(VLOOKUP($A315,koronahun!$A:$AM,17,FALSE),"")</f>
        <v>0.15015328419542104</v>
      </c>
      <c r="R315">
        <f>IFERROR(VLOOKUP($A315,koronahun!$A:$AM,18,FALSE),"")</f>
        <v>217</v>
      </c>
      <c r="S315">
        <f>IFERROR(VLOOKUP($A315,koronahun!$A:$AM,19,FALSE),"")</f>
        <v>4871</v>
      </c>
      <c r="T315">
        <f>IFERROR(VLOOKUP($A315,koronahun!$A:$AM,20,FALSE),"")</f>
        <v>8947</v>
      </c>
      <c r="U315">
        <f>IFERROR(VLOOKUP($A315,koronahun!$A:$AM,21,FALSE),"")</f>
        <v>1093</v>
      </c>
      <c r="V315" s="13">
        <f>IFERROR(VLOOKUP($A315,koronahun!$A:$AM,22,FALSE),"")</f>
        <v>0.36292350582885424</v>
      </c>
      <c r="W315">
        <f>IFERROR(VLOOKUP($A315,koronahun!$A:$AM,23,FALSE),"")</f>
        <v>-512</v>
      </c>
      <c r="X315">
        <f>IFERROR(VLOOKUP($A315,koronahun!$A:$AM,24,FALSE),"")</f>
        <v>-24</v>
      </c>
      <c r="Y315" s="14">
        <f>IFERROR(VLOOKUP($A315,koronahun!$A:$AM,25,FALSE),"")</f>
        <v>3.3010862186014935E-2</v>
      </c>
      <c r="Z315" s="14">
        <f>IFERROR(VLOOKUP($A315,koronahun!$A:$AM,26,FALSE),"")</f>
        <v>0.12216385380574495</v>
      </c>
      <c r="AA315" s="14">
        <f>IFERROR(VLOOKUP($A315,koronahun!$A:$AM,27,FALSE),"")</f>
        <v>0.95585546364823681</v>
      </c>
      <c r="AB315" s="14">
        <f>IFERROR(VLOOKUP($A315,koronahun!$A:$AM,28,FALSE),"")</f>
        <v>0.87632466459698433</v>
      </c>
      <c r="AC315" s="14">
        <f>IFERROR(VLOOKUP($A315,koronahun!$A:$AM,29,FALSE),"")</f>
        <v>4704.8571428571431</v>
      </c>
      <c r="AD315" s="14">
        <f>IFERROR(VLOOKUP($A315,koronahun!$A:$AM,30,FALSE),"")</f>
        <v>252.57142857142858</v>
      </c>
      <c r="AE315" s="14">
        <f>IFERROR(VLOOKUP($A315,koronahun!$A:$AM,31,FALSE),"")</f>
        <v>28357</v>
      </c>
      <c r="AF315" s="13">
        <f>IFERROR(VLOOKUP($A315,koronahun!$A:$AM,32,FALSE),"")</f>
        <v>0.17199413514876608</v>
      </c>
      <c r="AG315">
        <f>IFERROR(VLOOKUP($A315,koronahun!$A:$AM,33,FALSE),"")</f>
        <v>3213837</v>
      </c>
      <c r="AH315">
        <f>IFERROR(VLOOKUP($A315,koronahun!$A:$AM,34,FALSE),"")</f>
        <v>68245</v>
      </c>
      <c r="AI315">
        <f>IFERROR(VLOOKUP($A315,koronahun!$A:$AM,35,FALSE),"")</f>
        <v>64699.857142857145</v>
      </c>
      <c r="AJ315">
        <f>IFERROR(VLOOKUP($A315,koronahun!$A:$AM,36,FALSE),"")</f>
        <v>1371702</v>
      </c>
      <c r="AK315">
        <f>IFERROR(VLOOKUP($A315,koronahun!$A:$AM,37,FALSE),"")</f>
        <v>22388</v>
      </c>
      <c r="AL315">
        <f>IFERROR(VLOOKUP($A315,koronahun!$A:$AM,38,FALSE),"")</f>
        <v>28603.857142857141</v>
      </c>
      <c r="AM315" s="14">
        <f>IFERROR(VLOOKUP($A315,koronahun!$A:$AM,39,FALSE),"")</f>
        <v>3917.8571428571427</v>
      </c>
      <c r="AN315" s="11">
        <f ca="1">IFERROR(__xludf.DUMMYFUNCTION("""COMPUTED_VALUE"""),44207)</f>
        <v>44207</v>
      </c>
      <c r="AO315" s="12">
        <f ca="1">IFERROR(VLOOKUP(AN315,koronahun!A:B,2,FALSE),"")</f>
        <v>343656</v>
      </c>
      <c r="AP315" s="11">
        <f t="shared" ca="1" si="2"/>
        <v>44207</v>
      </c>
      <c r="AQ315" s="11">
        <f ca="1">IFERROR(__xludf.DUMMYFUNCTION("""COMPUTED_VALUE"""),44207)</f>
        <v>44207</v>
      </c>
      <c r="AR315" s="11">
        <v>44304</v>
      </c>
      <c r="AS315" s="11">
        <f t="shared" si="3"/>
        <v>44304</v>
      </c>
      <c r="AT315" s="11">
        <f ca="1">IFERROR(__xludf.DUMMYFUNCTION("""COMPUTED_VALUE"""),44303)</f>
        <v>44303</v>
      </c>
    </row>
    <row r="316" spans="1:46" ht="13">
      <c r="A316" s="11">
        <v>44302</v>
      </c>
      <c r="B316">
        <f>IFERROR(VLOOKUP($A316,koronahun!$A:$AM,2,FALSE),"")</f>
        <v>742198</v>
      </c>
      <c r="C316">
        <f>IFERROR(VLOOKUP($A316,koronahun!$A:$AM,3,FALSE),"")</f>
        <v>5216</v>
      </c>
      <c r="D316">
        <f>IFERROR(VLOOKUP($A316,koronahun!$A:$AM,4,FALSE),"")</f>
        <v>24762</v>
      </c>
      <c r="E316">
        <f>IFERROR(VLOOKUP($A316,koronahun!$A:$AM,5,FALSE),"")</f>
        <v>445920</v>
      </c>
      <c r="F316">
        <f>IFERROR(VLOOKUP($A316,koronahun!$A:$AM,6,FALSE),"")</f>
        <v>5065759</v>
      </c>
      <c r="G316" s="12">
        <f>IFERROR(VLOOKUP($A316,koronahun!$A:$AM,7,FALSE),"")</f>
        <v>516914.18367346935</v>
      </c>
      <c r="H316">
        <f>IFERROR(VLOOKUP($A316,koronahun!$A:$AM,8,FALSE),"")</f>
        <v>0</v>
      </c>
      <c r="I316" s="13">
        <f>IFERROR(VLOOKUP($A316,koronahun!$A:$AM,9,FALSE),"")</f>
        <v>7.0775134263794774E-3</v>
      </c>
      <c r="J316" s="13">
        <f>IFERROR(VLOOKUP($A316,koronahun!$A:$AM,10,FALSE),"")</f>
        <v>0.14651269434649378</v>
      </c>
      <c r="K316" s="13">
        <f>IFERROR(VLOOKUP($A316,koronahun!$A:$AM,11,FALSE),"")</f>
        <v>6.3616764963438689E-3</v>
      </c>
      <c r="L316">
        <f>IFERROR(VLOOKUP($A316,koronahun!$A:$AM,12,FALSE),"")</f>
        <v>271516</v>
      </c>
      <c r="M316" s="13">
        <f>IFERROR(VLOOKUP($A316,koronahun!$A:$AM,13,FALSE),"")</f>
        <v>3.3363064842535282E-2</v>
      </c>
      <c r="N316" s="13">
        <f>IFERROR(VLOOKUP($A316,koronahun!$A:$AM,14,FALSE),"")</f>
        <v>0.60081002643499448</v>
      </c>
      <c r="O316">
        <f>IFERROR(VLOOKUP($A316,koronahun!$A:$AM,15,FALSE),"")</f>
        <v>50446</v>
      </c>
      <c r="P316">
        <f>IFERROR(VLOOKUP($A316,koronahun!$A:$AM,16,FALSE),"")</f>
        <v>32023</v>
      </c>
      <c r="Q316" s="13">
        <f>IFERROR(VLOOKUP($A316,koronahun!$A:$AM,17,FALSE),"")</f>
        <v>0.16288292789557507</v>
      </c>
      <c r="R316">
        <f>IFERROR(VLOOKUP($A316,koronahun!$A:$AM,18,FALSE),"")</f>
        <v>241</v>
      </c>
      <c r="S316">
        <f>IFERROR(VLOOKUP($A316,koronahun!$A:$AM,19,FALSE),"")</f>
        <v>5422</v>
      </c>
      <c r="T316">
        <f>IFERROR(VLOOKUP($A316,koronahun!$A:$AM,20,FALSE),"")</f>
        <v>9459</v>
      </c>
      <c r="U316">
        <f>IFERROR(VLOOKUP($A316,koronahun!$A:$AM,21,FALSE),"")</f>
        <v>1117</v>
      </c>
      <c r="V316" s="13">
        <f>IFERROR(VLOOKUP($A316,koronahun!$A:$AM,22,FALSE),"")</f>
        <v>0.36582690872247026</v>
      </c>
      <c r="W316">
        <f>IFERROR(VLOOKUP($A316,koronahun!$A:$AM,23,FALSE),"")</f>
        <v>-389</v>
      </c>
      <c r="X316">
        <f>IFERROR(VLOOKUP($A316,koronahun!$A:$AM,24,FALSE),"")</f>
        <v>-39</v>
      </c>
      <c r="Y316" s="14">
        <f>IFERROR(VLOOKUP($A316,koronahun!$A:$AM,25,FALSE),"")</f>
        <v>3.4837725953534966E-2</v>
      </c>
      <c r="Z316" s="14">
        <f>IFERROR(VLOOKUP($A316,koronahun!$A:$AM,26,FALSE),"")</f>
        <v>0.11808859287451105</v>
      </c>
      <c r="AA316" s="14">
        <f>IFERROR(VLOOKUP($A316,koronahun!$A:$AM,27,FALSE),"")</f>
        <v>1.0383572590541967</v>
      </c>
      <c r="AB316" s="14">
        <f>IFERROR(VLOOKUP($A316,koronahun!$A:$AM,28,FALSE),"")</f>
        <v>0.82986691876378338</v>
      </c>
      <c r="AC316" s="14">
        <f>IFERROR(VLOOKUP($A316,koronahun!$A:$AM,29,FALSE),"")</f>
        <v>5197.5714285714284</v>
      </c>
      <c r="AD316" s="14">
        <f>IFERROR(VLOOKUP($A316,koronahun!$A:$AM,30,FALSE),"")</f>
        <v>256.57142857142856</v>
      </c>
      <c r="AE316" s="14">
        <f>IFERROR(VLOOKUP($A316,koronahun!$A:$AM,31,FALSE),"")</f>
        <v>29207</v>
      </c>
      <c r="AF316" s="13">
        <f>IFERROR(VLOOKUP($A316,koronahun!$A:$AM,32,FALSE),"")</f>
        <v>0.18196583825562115</v>
      </c>
      <c r="AG316">
        <f>IFERROR(VLOOKUP($A316,koronahun!$A:$AM,33,FALSE),"")</f>
        <v>3145592</v>
      </c>
      <c r="AH316">
        <f>IFERROR(VLOOKUP($A316,koronahun!$A:$AM,34,FALSE),"")</f>
        <v>54598</v>
      </c>
      <c r="AI316">
        <f>IFERROR(VLOOKUP($A316,koronahun!$A:$AM,35,FALSE),"")</f>
        <v>65212.857142857145</v>
      </c>
      <c r="AJ316">
        <f>IFERROR(VLOOKUP($A316,koronahun!$A:$AM,36,FALSE),"")</f>
        <v>1349314</v>
      </c>
      <c r="AK316">
        <f>IFERROR(VLOOKUP($A316,koronahun!$A:$AM,37,FALSE),"")</f>
        <v>23727</v>
      </c>
      <c r="AL316">
        <f>IFERROR(VLOOKUP($A316,koronahun!$A:$AM,38,FALSE),"")</f>
        <v>31882.142857142859</v>
      </c>
      <c r="AM316" s="14">
        <f>IFERROR(VLOOKUP($A316,koronahun!$A:$AM,39,FALSE),"")</f>
        <v>3663.5714285714284</v>
      </c>
      <c r="AN316" s="11">
        <f ca="1">IFERROR(__xludf.DUMMYFUNCTION("""COMPUTED_VALUE"""),44208)</f>
        <v>44208</v>
      </c>
      <c r="AO316" s="12">
        <f ca="1">IFERROR(VLOOKUP(AN316,koronahun!A:B,2,FALSE),"")</f>
        <v>344352</v>
      </c>
      <c r="AP316" s="11">
        <f t="shared" ca="1" si="2"/>
        <v>44208</v>
      </c>
      <c r="AQ316" s="11">
        <f ca="1">IFERROR(__xludf.DUMMYFUNCTION("""COMPUTED_VALUE"""),44208)</f>
        <v>44208</v>
      </c>
      <c r="AR316" s="11">
        <v>44303</v>
      </c>
      <c r="AS316" s="11">
        <f t="shared" si="3"/>
        <v>44303</v>
      </c>
      <c r="AT316" s="11">
        <f ca="1">IFERROR(__xludf.DUMMYFUNCTION("""COMPUTED_VALUE"""),44302)</f>
        <v>44302</v>
      </c>
    </row>
    <row r="317" spans="1:46" ht="13">
      <c r="A317" s="11">
        <v>44301</v>
      </c>
      <c r="B317">
        <f>IFERROR(VLOOKUP($A317,koronahun!$A:$AM,2,FALSE),"")</f>
        <v>736982</v>
      </c>
      <c r="C317">
        <f>IFERROR(VLOOKUP($A317,koronahun!$A:$AM,3,FALSE),"")</f>
        <v>5307</v>
      </c>
      <c r="D317">
        <f>IFERROR(VLOOKUP($A317,koronahun!$A:$AM,4,FALSE),"")</f>
        <v>24521</v>
      </c>
      <c r="E317">
        <f>IFERROR(VLOOKUP($A317,koronahun!$A:$AM,5,FALSE),"")</f>
        <v>440498</v>
      </c>
      <c r="F317">
        <f>IFERROR(VLOOKUP($A317,koronahun!$A:$AM,6,FALSE),"")</f>
        <v>5033736</v>
      </c>
      <c r="G317" s="12">
        <f>IFERROR(VLOOKUP($A317,koronahun!$A:$AM,7,FALSE),"")</f>
        <v>513646.53061224485</v>
      </c>
      <c r="H317">
        <f>IFERROR(VLOOKUP($A317,koronahun!$A:$AM,8,FALSE),"")</f>
        <v>0</v>
      </c>
      <c r="I317" s="13">
        <f>IFERROR(VLOOKUP($A317,koronahun!$A:$AM,9,FALSE),"")</f>
        <v>7.2532203505654832E-3</v>
      </c>
      <c r="J317" s="13">
        <f>IFERROR(VLOOKUP($A317,koronahun!$A:$AM,10,FALSE),"")</f>
        <v>0.14640855221648494</v>
      </c>
      <c r="K317" s="13">
        <f>IFERROR(VLOOKUP($A317,koronahun!$A:$AM,11,FALSE),"")</f>
        <v>4.3780730014042878E-3</v>
      </c>
      <c r="L317">
        <f>IFERROR(VLOOKUP($A317,koronahun!$A:$AM,12,FALSE),"")</f>
        <v>271963</v>
      </c>
      <c r="M317" s="13">
        <f>IFERROR(VLOOKUP($A317,koronahun!$A:$AM,13,FALSE),"")</f>
        <v>3.327218303839171E-2</v>
      </c>
      <c r="N317" s="13">
        <f>IFERROR(VLOOKUP($A317,koronahun!$A:$AM,14,FALSE),"")</f>
        <v>0.59770523567739786</v>
      </c>
      <c r="O317">
        <f>IFERROR(VLOOKUP($A317,koronahun!$A:$AM,15,FALSE),"")</f>
        <v>47671</v>
      </c>
      <c r="P317">
        <f>IFERROR(VLOOKUP($A317,koronahun!$A:$AM,16,FALSE),"")</f>
        <v>21942</v>
      </c>
      <c r="Q317" s="13">
        <f>IFERROR(VLOOKUP($A317,koronahun!$A:$AM,17,FALSE),"")</f>
        <v>0.24186491659830461</v>
      </c>
      <c r="R317">
        <f>IFERROR(VLOOKUP($A317,koronahun!$A:$AM,18,FALSE),"")</f>
        <v>256</v>
      </c>
      <c r="S317">
        <f>IFERROR(VLOOKUP($A317,koronahun!$A:$AM,19,FALSE),"")</f>
        <v>5154</v>
      </c>
      <c r="T317">
        <f>IFERROR(VLOOKUP($A317,koronahun!$A:$AM,20,FALSE),"")</f>
        <v>9848</v>
      </c>
      <c r="U317">
        <f>IFERROR(VLOOKUP($A317,koronahun!$A:$AM,21,FALSE),"")</f>
        <v>1156</v>
      </c>
      <c r="V317" s="13">
        <f>IFERROR(VLOOKUP($A317,koronahun!$A:$AM,22,FALSE),"")</f>
        <v>0.36902258128421045</v>
      </c>
      <c r="W317">
        <f>IFERROR(VLOOKUP($A317,koronahun!$A:$AM,23,FALSE),"")</f>
        <v>-516</v>
      </c>
      <c r="X317">
        <f>IFERROR(VLOOKUP($A317,koronahun!$A:$AM,24,FALSE),"")</f>
        <v>-48</v>
      </c>
      <c r="Y317" s="14">
        <f>IFERROR(VLOOKUP($A317,koronahun!$A:$AM,25,FALSE),"")</f>
        <v>3.6210808087864893E-2</v>
      </c>
      <c r="Z317" s="14">
        <f>IFERROR(VLOOKUP($A317,koronahun!$A:$AM,26,FALSE),"")</f>
        <v>0.1173842404549147</v>
      </c>
      <c r="AA317" s="14">
        <f>IFERROR(VLOOKUP($A317,koronahun!$A:$AM,27,FALSE),"")</f>
        <v>1.0468601267371971</v>
      </c>
      <c r="AB317" s="14">
        <f>IFERROR(VLOOKUP($A317,koronahun!$A:$AM,28,FALSE),"")</f>
        <v>0.77065436497355699</v>
      </c>
      <c r="AC317" s="14">
        <f>IFERROR(VLOOKUP($A317,koronahun!$A:$AM,29,FALSE),"")</f>
        <v>5498.8571428571431</v>
      </c>
      <c r="AD317" s="14">
        <f>IFERROR(VLOOKUP($A317,koronahun!$A:$AM,30,FALSE),"")</f>
        <v>262.85714285714283</v>
      </c>
      <c r="AE317" s="14">
        <f>IFERROR(VLOOKUP($A317,koronahun!$A:$AM,31,FALSE),"")</f>
        <v>29732.714285714286</v>
      </c>
      <c r="AF317" s="13">
        <f>IFERROR(VLOOKUP($A317,koronahun!$A:$AM,32,FALSE),"")</f>
        <v>0.18800611028295894</v>
      </c>
      <c r="AG317">
        <f>IFERROR(VLOOKUP($A317,koronahun!$A:$AM,33,FALSE),"")</f>
        <v>3090994</v>
      </c>
      <c r="AH317">
        <f>IFERROR(VLOOKUP($A317,koronahun!$A:$AM,34,FALSE),"")</f>
        <v>53971</v>
      </c>
      <c r="AI317">
        <f>IFERROR(VLOOKUP($A317,koronahun!$A:$AM,35,FALSE),"")</f>
        <v>68987.142857142855</v>
      </c>
      <c r="AJ317">
        <f>IFERROR(VLOOKUP($A317,koronahun!$A:$AM,36,FALSE),"")</f>
        <v>1325587</v>
      </c>
      <c r="AK317">
        <f>IFERROR(VLOOKUP($A317,koronahun!$A:$AM,37,FALSE),"")</f>
        <v>34878</v>
      </c>
      <c r="AL317">
        <f>IFERROR(VLOOKUP($A317,koronahun!$A:$AM,38,FALSE),"")</f>
        <v>35377.142857142855</v>
      </c>
      <c r="AM317" s="14">
        <f>IFERROR(VLOOKUP($A317,koronahun!$A:$AM,39,FALSE),"")</f>
        <v>2961.8571428571427</v>
      </c>
      <c r="AN317" s="11">
        <f ca="1">IFERROR(__xludf.DUMMYFUNCTION("""COMPUTED_VALUE"""),44209)</f>
        <v>44209</v>
      </c>
      <c r="AO317" s="12">
        <f ca="1">IFERROR(VLOOKUP(AN317,koronahun!A:B,2,FALSE),"")</f>
        <v>345710</v>
      </c>
      <c r="AP317" s="11">
        <f t="shared" ca="1" si="2"/>
        <v>44209</v>
      </c>
      <c r="AQ317" s="11">
        <f ca="1">IFERROR(__xludf.DUMMYFUNCTION("""COMPUTED_VALUE"""),44209)</f>
        <v>44209</v>
      </c>
      <c r="AR317" s="11">
        <v>44302</v>
      </c>
      <c r="AS317" s="11">
        <f t="shared" si="3"/>
        <v>44302</v>
      </c>
      <c r="AT317" s="11">
        <f ca="1">IFERROR(__xludf.DUMMYFUNCTION("""COMPUTED_VALUE"""),44301)</f>
        <v>44301</v>
      </c>
    </row>
    <row r="318" spans="1:46" ht="13">
      <c r="A318" s="11">
        <v>44300</v>
      </c>
      <c r="B318">
        <f>IFERROR(VLOOKUP($A318,koronahun!$A:$AM,2,FALSE),"")</f>
        <v>731675</v>
      </c>
      <c r="C318">
        <f>IFERROR(VLOOKUP($A318,koronahun!$A:$AM,3,FALSE),"")</f>
        <v>3597</v>
      </c>
      <c r="D318">
        <f>IFERROR(VLOOKUP($A318,koronahun!$A:$AM,4,FALSE),"")</f>
        <v>24265</v>
      </c>
      <c r="E318">
        <f>IFERROR(VLOOKUP($A318,koronahun!$A:$AM,5,FALSE),"")</f>
        <v>435344</v>
      </c>
      <c r="F318">
        <f>IFERROR(VLOOKUP($A318,koronahun!$A:$AM,6,FALSE),"")</f>
        <v>5011794</v>
      </c>
      <c r="G318" s="12">
        <f>IFERROR(VLOOKUP($A318,koronahun!$A:$AM,7,FALSE),"")</f>
        <v>511407.55102040811</v>
      </c>
      <c r="H318">
        <f>IFERROR(VLOOKUP($A318,koronahun!$A:$AM,8,FALSE),"")</f>
        <v>0</v>
      </c>
      <c r="I318" s="13">
        <f>IFERROR(VLOOKUP($A318,koronahun!$A:$AM,9,FALSE),"")</f>
        <v>4.9404047368551175E-3</v>
      </c>
      <c r="J318" s="13">
        <f>IFERROR(VLOOKUP($A318,koronahun!$A:$AM,10,FALSE),"")</f>
        <v>0.14599063728477268</v>
      </c>
      <c r="K318" s="13">
        <f>IFERROR(VLOOKUP($A318,koronahun!$A:$AM,11,FALSE),"")</f>
        <v>7.0692657837770389E-3</v>
      </c>
      <c r="L318">
        <f>IFERROR(VLOOKUP($A318,koronahun!$A:$AM,12,FALSE),"")</f>
        <v>272066</v>
      </c>
      <c r="M318" s="13">
        <f>IFERROR(VLOOKUP($A318,koronahun!$A:$AM,13,FALSE),"")</f>
        <v>3.3163631393719889E-2</v>
      </c>
      <c r="N318" s="13">
        <f>IFERROR(VLOOKUP($A318,koronahun!$A:$AM,14,FALSE),"")</f>
        <v>0.5949964123415451</v>
      </c>
      <c r="O318">
        <f>IFERROR(VLOOKUP($A318,koronahun!$A:$AM,15,FALSE),"")</f>
        <v>43992</v>
      </c>
      <c r="P318">
        <f>IFERROR(VLOOKUP($A318,koronahun!$A:$AM,16,FALSE),"")</f>
        <v>35181</v>
      </c>
      <c r="Q318" s="13">
        <f>IFERROR(VLOOKUP($A318,koronahun!$A:$AM,17,FALSE),"")</f>
        <v>0.1022426878144453</v>
      </c>
      <c r="R318">
        <f>IFERROR(VLOOKUP($A318,koronahun!$A:$AM,18,FALSE),"")</f>
        <v>285</v>
      </c>
      <c r="S318">
        <f>IFERROR(VLOOKUP($A318,koronahun!$A:$AM,19,FALSE),"")</f>
        <v>4220</v>
      </c>
      <c r="T318">
        <f>IFERROR(VLOOKUP($A318,koronahun!$A:$AM,20,FALSE),"")</f>
        <v>10364</v>
      </c>
      <c r="U318">
        <f>IFERROR(VLOOKUP($A318,koronahun!$A:$AM,21,FALSE),"")</f>
        <v>1204</v>
      </c>
      <c r="V318" s="13">
        <f>IFERROR(VLOOKUP($A318,koronahun!$A:$AM,22,FALSE),"")</f>
        <v>0.37183995626473504</v>
      </c>
      <c r="W318">
        <f>IFERROR(VLOOKUP($A318,koronahun!$A:$AM,23,FALSE),"")</f>
        <v>-454</v>
      </c>
      <c r="X318">
        <f>IFERROR(VLOOKUP($A318,koronahun!$A:$AM,24,FALSE),"")</f>
        <v>-5</v>
      </c>
      <c r="Y318" s="14">
        <f>IFERROR(VLOOKUP($A318,koronahun!$A:$AM,25,FALSE),"")</f>
        <v>3.8093697852726913E-2</v>
      </c>
      <c r="Z318" s="14">
        <f>IFERROR(VLOOKUP($A318,koronahun!$A:$AM,26,FALSE),"")</f>
        <v>0.11617136240833655</v>
      </c>
      <c r="AA318" s="14">
        <f>IFERROR(VLOOKUP($A318,koronahun!$A:$AM,27,FALSE),"")</f>
        <v>0.92134422811143712</v>
      </c>
      <c r="AB318" s="14">
        <f>IFERROR(VLOOKUP($A318,koronahun!$A:$AM,28,FALSE),"")</f>
        <v>0.71108671734629358</v>
      </c>
      <c r="AC318" s="14">
        <f>IFERROR(VLOOKUP($A318,koronahun!$A:$AM,29,FALSE),"")</f>
        <v>5428.4285714285716</v>
      </c>
      <c r="AD318" s="14">
        <f>IFERROR(VLOOKUP($A318,koronahun!$A:$AM,30,FALSE),"")</f>
        <v>265.14285714285717</v>
      </c>
      <c r="AE318" s="14">
        <f>IFERROR(VLOOKUP($A318,koronahun!$A:$AM,31,FALSE),"")</f>
        <v>30887.142857142859</v>
      </c>
      <c r="AF318" s="13">
        <f>IFERROR(VLOOKUP($A318,koronahun!$A:$AM,32,FALSE),"")</f>
        <v>0.1763602274073022</v>
      </c>
      <c r="AG318">
        <f>IFERROR(VLOOKUP($A318,koronahun!$A:$AM,33,FALSE),"")</f>
        <v>3037023</v>
      </c>
      <c r="AH318">
        <f>IFERROR(VLOOKUP($A318,koronahun!$A:$AM,34,FALSE),"")</f>
        <v>67376</v>
      </c>
      <c r="AI318">
        <f>IFERROR(VLOOKUP($A318,koronahun!$A:$AM,35,FALSE),"")</f>
        <v>71467.428571428565</v>
      </c>
      <c r="AJ318">
        <f>IFERROR(VLOOKUP($A318,koronahun!$A:$AM,36,FALSE),"")</f>
        <v>1290709</v>
      </c>
      <c r="AK318">
        <f>IFERROR(VLOOKUP($A318,koronahun!$A:$AM,37,FALSE),"")</f>
        <v>40127</v>
      </c>
      <c r="AL318">
        <f>IFERROR(VLOOKUP($A318,koronahun!$A:$AM,38,FALSE),"")</f>
        <v>40681.857142857145</v>
      </c>
      <c r="AM318" s="14">
        <f>IFERROR(VLOOKUP($A318,koronahun!$A:$AM,39,FALSE),"")</f>
        <v>2313.1428571428573</v>
      </c>
      <c r="AN318" s="11">
        <f ca="1">IFERROR(__xludf.DUMMYFUNCTION("""COMPUTED_VALUE"""),44210)</f>
        <v>44210</v>
      </c>
      <c r="AO318" s="12">
        <f ca="1">IFERROR(VLOOKUP(AN318,koronahun!A:B,2,FALSE),"")</f>
        <v>347636</v>
      </c>
      <c r="AP318" s="11">
        <f t="shared" ca="1" si="2"/>
        <v>44210</v>
      </c>
      <c r="AQ318" s="11">
        <f ca="1">IFERROR(__xludf.DUMMYFUNCTION("""COMPUTED_VALUE"""),44210)</f>
        <v>44210</v>
      </c>
      <c r="AR318" s="11">
        <v>44301</v>
      </c>
      <c r="AS318" s="11">
        <f t="shared" si="3"/>
        <v>44301</v>
      </c>
      <c r="AT318" s="11">
        <f ca="1">IFERROR(__xludf.DUMMYFUNCTION("""COMPUTED_VALUE"""),44300)</f>
        <v>44300</v>
      </c>
    </row>
    <row r="319" spans="1:46" ht="13">
      <c r="A319" s="11">
        <v>44299</v>
      </c>
      <c r="B319">
        <f>IFERROR(VLOOKUP($A319,koronahun!$A:$AM,2,FALSE),"")</f>
        <v>728078</v>
      </c>
      <c r="C319">
        <f>IFERROR(VLOOKUP($A319,koronahun!$A:$AM,3,FALSE),"")</f>
        <v>2837</v>
      </c>
      <c r="D319">
        <f>IFERROR(VLOOKUP($A319,koronahun!$A:$AM,4,FALSE),"")</f>
        <v>23980</v>
      </c>
      <c r="E319">
        <f>IFERROR(VLOOKUP($A319,koronahun!$A:$AM,5,FALSE),"")</f>
        <v>431124</v>
      </c>
      <c r="F319">
        <f>IFERROR(VLOOKUP($A319,koronahun!$A:$AM,6,FALSE),"")</f>
        <v>4976613</v>
      </c>
      <c r="G319" s="12">
        <f>IFERROR(VLOOKUP($A319,koronahun!$A:$AM,7,FALSE),"")</f>
        <v>507817.65306122444</v>
      </c>
      <c r="H319">
        <f>IFERROR(VLOOKUP($A319,koronahun!$A:$AM,8,FALSE),"")</f>
        <v>0</v>
      </c>
      <c r="I319" s="13">
        <f>IFERROR(VLOOKUP($A319,koronahun!$A:$AM,9,FALSE),"")</f>
        <v>3.9118031109658721E-3</v>
      </c>
      <c r="J319" s="13">
        <f>IFERROR(VLOOKUP($A319,koronahun!$A:$AM,10,FALSE),"")</f>
        <v>0.14629990316707367</v>
      </c>
      <c r="K319" s="13">
        <f>IFERROR(VLOOKUP($A319,koronahun!$A:$AM,11,FALSE),"")</f>
        <v>3.1176264516303291E-3</v>
      </c>
      <c r="L319">
        <f>IFERROR(VLOOKUP($A319,koronahun!$A:$AM,12,FALSE),"")</f>
        <v>272974</v>
      </c>
      <c r="M319" s="13">
        <f>IFERROR(VLOOKUP($A319,koronahun!$A:$AM,13,FALSE),"")</f>
        <v>3.2936031579034117E-2</v>
      </c>
      <c r="N319" s="13">
        <f>IFERROR(VLOOKUP($A319,koronahun!$A:$AM,14,FALSE),"")</f>
        <v>0.59213985314760231</v>
      </c>
      <c r="O319">
        <f>IFERROR(VLOOKUP($A319,koronahun!$A:$AM,15,FALSE),"")</f>
        <v>43532</v>
      </c>
      <c r="P319">
        <f>IFERROR(VLOOKUP($A319,koronahun!$A:$AM,16,FALSE),"")</f>
        <v>15467</v>
      </c>
      <c r="Q319" s="13">
        <f>IFERROR(VLOOKUP($A319,koronahun!$A:$AM,17,FALSE),"")</f>
        <v>0.18342277106096852</v>
      </c>
      <c r="R319">
        <f>IFERROR(VLOOKUP($A319,koronahun!$A:$AM,18,FALSE),"")</f>
        <v>272</v>
      </c>
      <c r="S319">
        <f>IFERROR(VLOOKUP($A319,koronahun!$A:$AM,19,FALSE),"")</f>
        <v>2050</v>
      </c>
      <c r="T319">
        <f>IFERROR(VLOOKUP($A319,koronahun!$A:$AM,20,FALSE),"")</f>
        <v>10818</v>
      </c>
      <c r="U319">
        <f>IFERROR(VLOOKUP($A319,koronahun!$A:$AM,21,FALSE),"")</f>
        <v>1209</v>
      </c>
      <c r="V319" s="13">
        <f>IFERROR(VLOOKUP($A319,koronahun!$A:$AM,22,FALSE),"")</f>
        <v>0.37492411527336356</v>
      </c>
      <c r="W319">
        <f>IFERROR(VLOOKUP($A319,koronahun!$A:$AM,23,FALSE),"")</f>
        <v>78</v>
      </c>
      <c r="X319">
        <f>IFERROR(VLOOKUP($A319,koronahun!$A:$AM,24,FALSE),"")</f>
        <v>-40</v>
      </c>
      <c r="Y319" s="14">
        <f>IFERROR(VLOOKUP($A319,koronahun!$A:$AM,25,FALSE),"")</f>
        <v>3.9630147926176119E-2</v>
      </c>
      <c r="Z319" s="14">
        <f>IFERROR(VLOOKUP($A319,koronahun!$A:$AM,26,FALSE),"")</f>
        <v>0.11175818080976151</v>
      </c>
      <c r="AA319" s="14">
        <f>IFERROR(VLOOKUP($A319,koronahun!$A:$AM,27,FALSE),"")</f>
        <v>0.78971962616822433</v>
      </c>
      <c r="AB319" s="14">
        <f>IFERROR(VLOOKUP($A319,koronahun!$A:$AM,28,FALSE),"")</f>
        <v>0.6797991539253222</v>
      </c>
      <c r="AC319" s="14">
        <f>IFERROR(VLOOKUP($A319,koronahun!$A:$AM,29,FALSE),"")</f>
        <v>5190.7142857142853</v>
      </c>
      <c r="AD319" s="14">
        <f>IFERROR(VLOOKUP($A319,koronahun!$A:$AM,30,FALSE),"")</f>
        <v>268.85714285714283</v>
      </c>
      <c r="AE319" s="14">
        <f>IFERROR(VLOOKUP($A319,koronahun!$A:$AM,31,FALSE),"")</f>
        <v>27604.285714285714</v>
      </c>
      <c r="AF319" s="13">
        <f>IFERROR(VLOOKUP($A319,koronahun!$A:$AM,32,FALSE),"")</f>
        <v>0.18438693442166817</v>
      </c>
      <c r="AG319">
        <f>IFERROR(VLOOKUP($A319,koronahun!$A:$AM,33,FALSE),"")</f>
        <v>2969647</v>
      </c>
      <c r="AH319">
        <f>IFERROR(VLOOKUP($A319,koronahun!$A:$AM,34,FALSE),"")</f>
        <v>69264</v>
      </c>
      <c r="AI319">
        <f>IFERROR(VLOOKUP($A319,koronahun!$A:$AM,35,FALSE),"")</f>
        <v>76762</v>
      </c>
      <c r="AJ319">
        <f>IFERROR(VLOOKUP($A319,koronahun!$A:$AM,36,FALSE),"")</f>
        <v>1250582</v>
      </c>
      <c r="AK319">
        <f>IFERROR(VLOOKUP($A319,koronahun!$A:$AM,37,FALSE),"")</f>
        <v>33324</v>
      </c>
      <c r="AL319">
        <f>IFERROR(VLOOKUP($A319,koronahun!$A:$AM,38,FALSE),"")</f>
        <v>46813.714285714283</v>
      </c>
      <c r="AM319" s="14">
        <f>IFERROR(VLOOKUP($A319,koronahun!$A:$AM,39,FALSE),"")</f>
        <v>1793.7142857142858</v>
      </c>
      <c r="AN319" s="11">
        <f ca="1">IFERROR(__xludf.DUMMYFUNCTION("""COMPUTED_VALUE"""),44211)</f>
        <v>44211</v>
      </c>
      <c r="AO319" s="12">
        <f ca="1">IFERROR(VLOOKUP(AN319,koronahun!A:B,2,FALSE),"")</f>
        <v>349149</v>
      </c>
      <c r="AP319" s="11">
        <f t="shared" ca="1" si="2"/>
        <v>44211</v>
      </c>
      <c r="AQ319" s="11">
        <f ca="1">IFERROR(__xludf.DUMMYFUNCTION("""COMPUTED_VALUE"""),44211)</f>
        <v>44211</v>
      </c>
      <c r="AR319" s="11">
        <v>44300</v>
      </c>
      <c r="AS319" s="11">
        <f t="shared" si="3"/>
        <v>44300</v>
      </c>
      <c r="AT319" s="11">
        <f ca="1">IFERROR(__xludf.DUMMYFUNCTION("""COMPUTED_VALUE"""),44299)</f>
        <v>44299</v>
      </c>
    </row>
    <row r="320" spans="1:46" ht="13">
      <c r="A320" s="11">
        <v>44298</v>
      </c>
      <c r="B320">
        <f>IFERROR(VLOOKUP($A320,koronahun!$A:$AM,2,FALSE),"")</f>
        <v>725241</v>
      </c>
      <c r="C320">
        <f>IFERROR(VLOOKUP($A320,koronahun!$A:$AM,3,FALSE),"")</f>
        <v>5077</v>
      </c>
      <c r="D320">
        <f>IFERROR(VLOOKUP($A320,koronahun!$A:$AM,4,FALSE),"")</f>
        <v>23708</v>
      </c>
      <c r="E320">
        <f>IFERROR(VLOOKUP($A320,koronahun!$A:$AM,5,FALSE),"")</f>
        <v>429074</v>
      </c>
      <c r="F320">
        <f>IFERROR(VLOOKUP($A320,koronahun!$A:$AM,6,FALSE),"")</f>
        <v>4961146</v>
      </c>
      <c r="G320" s="12">
        <f>IFERROR(VLOOKUP($A320,koronahun!$A:$AM,7,FALSE),"")</f>
        <v>506239.38775510201</v>
      </c>
      <c r="H320">
        <f>IFERROR(VLOOKUP($A320,koronahun!$A:$AM,8,FALSE),"")</f>
        <v>0</v>
      </c>
      <c r="I320" s="13">
        <f>IFERROR(VLOOKUP($A320,koronahun!$A:$AM,9,FALSE),"")</f>
        <v>7.0497831049594261E-3</v>
      </c>
      <c r="J320" s="13">
        <f>IFERROR(VLOOKUP($A320,koronahun!$A:$AM,10,FALSE),"")</f>
        <v>0.14618416793216729</v>
      </c>
      <c r="K320" s="13">
        <f>IFERROR(VLOOKUP($A320,koronahun!$A:$AM,11,FALSE),"")</f>
        <v>5.3416703378829393E-3</v>
      </c>
      <c r="L320">
        <f>IFERROR(VLOOKUP($A320,koronahun!$A:$AM,12,FALSE),"")</f>
        <v>272459</v>
      </c>
      <c r="M320" s="13">
        <f>IFERROR(VLOOKUP($A320,koronahun!$A:$AM,13,FALSE),"")</f>
        <v>3.2689823107077506E-2</v>
      </c>
      <c r="N320" s="13">
        <f>IFERROR(VLOOKUP($A320,koronahun!$A:$AM,14,FALSE),"")</f>
        <v>0.59162954107669041</v>
      </c>
      <c r="O320">
        <f>IFERROR(VLOOKUP($A320,koronahun!$A:$AM,15,FALSE),"")</f>
        <v>43002</v>
      </c>
      <c r="P320">
        <f>IFERROR(VLOOKUP($A320,koronahun!$A:$AM,16,FALSE),"")</f>
        <v>26360</v>
      </c>
      <c r="Q320" s="13">
        <f>IFERROR(VLOOKUP($A320,koronahun!$A:$AM,17,FALSE),"")</f>
        <v>0.19260242792109256</v>
      </c>
      <c r="R320">
        <f>IFERROR(VLOOKUP($A320,koronahun!$A:$AM,18,FALSE),"")</f>
        <v>291</v>
      </c>
      <c r="S320">
        <f>IFERROR(VLOOKUP($A320,koronahun!$A:$AM,19,FALSE),"")</f>
        <v>2680</v>
      </c>
      <c r="T320">
        <f>IFERROR(VLOOKUP($A320,koronahun!$A:$AM,20,FALSE),"")</f>
        <v>10740</v>
      </c>
      <c r="U320">
        <f>IFERROR(VLOOKUP($A320,koronahun!$A:$AM,21,FALSE),"")</f>
        <v>1249</v>
      </c>
      <c r="V320" s="13">
        <f>IFERROR(VLOOKUP($A320,koronahun!$A:$AM,22,FALSE),"")</f>
        <v>0.37568063581623212</v>
      </c>
      <c r="W320">
        <f>IFERROR(VLOOKUP($A320,koronahun!$A:$AM,23,FALSE),"")</f>
        <v>256</v>
      </c>
      <c r="X320">
        <f>IFERROR(VLOOKUP($A320,koronahun!$A:$AM,24,FALSE),"")</f>
        <v>-41</v>
      </c>
      <c r="Y320" s="14">
        <f>IFERROR(VLOOKUP($A320,koronahun!$A:$AM,25,FALSE),"")</f>
        <v>3.9418774934944341E-2</v>
      </c>
      <c r="Z320" s="14">
        <f>IFERROR(VLOOKUP($A320,koronahun!$A:$AM,26,FALSE),"")</f>
        <v>0.11629422718808194</v>
      </c>
      <c r="AA320" s="14">
        <f>IFERROR(VLOOKUP($A320,koronahun!$A:$AM,27,FALSE),"")</f>
        <v>0.72622052576494489</v>
      </c>
      <c r="AB320" s="14">
        <f>IFERROR(VLOOKUP($A320,koronahun!$A:$AM,28,FALSE),"")</f>
        <v>0.6772464017123957</v>
      </c>
      <c r="AC320" s="14">
        <f>IFERROR(VLOOKUP($A320,koronahun!$A:$AM,29,FALSE),"")</f>
        <v>5055.4285714285716</v>
      </c>
      <c r="AD320" s="14">
        <f>IFERROR(VLOOKUP($A320,koronahun!$A:$AM,30,FALSE),"")</f>
        <v>254.28571428571428</v>
      </c>
      <c r="AE320" s="14">
        <f>IFERROR(VLOOKUP($A320,koronahun!$A:$AM,31,FALSE),"")</f>
        <v>26993.857142857141</v>
      </c>
      <c r="AF320" s="13">
        <f>IFERROR(VLOOKUP($A320,koronahun!$A:$AM,32,FALSE),"")</f>
        <v>0.18230374573312985</v>
      </c>
      <c r="AG320">
        <f>IFERROR(VLOOKUP($A320,koronahun!$A:$AM,33,FALSE),"")</f>
        <v>2900383</v>
      </c>
      <c r="AH320">
        <f>IFERROR(VLOOKUP($A320,koronahun!$A:$AM,34,FALSE),"")</f>
        <v>64489</v>
      </c>
      <c r="AI320">
        <f>IFERROR(VLOOKUP($A320,koronahun!$A:$AM,35,FALSE),"")</f>
        <v>76792</v>
      </c>
      <c r="AJ320">
        <f>IFERROR(VLOOKUP($A320,koronahun!$A:$AM,36,FALSE),"")</f>
        <v>1217258</v>
      </c>
      <c r="AK320">
        <f>IFERROR(VLOOKUP($A320,koronahun!$A:$AM,37,FALSE),"")</f>
        <v>19573</v>
      </c>
      <c r="AL320">
        <f>IFERROR(VLOOKUP($A320,koronahun!$A:$AM,38,FALSE),"")</f>
        <v>43463.714285714283</v>
      </c>
      <c r="AM320" s="14">
        <f>IFERROR(VLOOKUP($A320,koronahun!$A:$AM,39,FALSE),"")</f>
        <v>1570</v>
      </c>
      <c r="AN320" s="11">
        <f ca="1">IFERROR(__xludf.DUMMYFUNCTION("""COMPUTED_VALUE"""),44212)</f>
        <v>44212</v>
      </c>
      <c r="AO320" s="12">
        <f ca="1">IFERROR(VLOOKUP(AN320,koronahun!A:B,2,FALSE),"")</f>
        <v>350587</v>
      </c>
      <c r="AP320" s="11">
        <f t="shared" ca="1" si="2"/>
        <v>44212</v>
      </c>
      <c r="AQ320" s="11">
        <f ca="1">IFERROR(__xludf.DUMMYFUNCTION("""COMPUTED_VALUE"""),44212)</f>
        <v>44212</v>
      </c>
      <c r="AR320" s="11">
        <v>44299</v>
      </c>
      <c r="AS320" s="11">
        <f t="shared" si="3"/>
        <v>44299</v>
      </c>
      <c r="AT320" s="11">
        <f ca="1">IFERROR(__xludf.DUMMYFUNCTION("""COMPUTED_VALUE"""),44298)</f>
        <v>44298</v>
      </c>
    </row>
    <row r="321" spans="1:46" ht="13">
      <c r="A321" s="11">
        <v>44297</v>
      </c>
      <c r="B321">
        <f>IFERROR(VLOOKUP($A321,koronahun!$A:$AM,2,FALSE),"")</f>
        <v>720164</v>
      </c>
      <c r="C321">
        <f>IFERROR(VLOOKUP($A321,koronahun!$A:$AM,3,FALSE),"")</f>
        <v>6296</v>
      </c>
      <c r="D321">
        <f>IFERROR(VLOOKUP($A321,koronahun!$A:$AM,4,FALSE),"")</f>
        <v>23417</v>
      </c>
      <c r="E321">
        <f>IFERROR(VLOOKUP($A321,koronahun!$A:$AM,5,FALSE),"")</f>
        <v>426394</v>
      </c>
      <c r="F321">
        <f>IFERROR(VLOOKUP($A321,koronahun!$A:$AM,6,FALSE),"")</f>
        <v>4934786</v>
      </c>
      <c r="G321" s="12">
        <f>IFERROR(VLOOKUP($A321,koronahun!$A:$AM,7,FALSE),"")</f>
        <v>503549.59183673467</v>
      </c>
      <c r="H321">
        <f>IFERROR(VLOOKUP($A321,koronahun!$A:$AM,8,FALSE),"")</f>
        <v>0</v>
      </c>
      <c r="I321" s="13">
        <f>IFERROR(VLOOKUP($A321,koronahun!$A:$AM,9,FALSE),"")</f>
        <v>8.8195576773297032E-3</v>
      </c>
      <c r="J321" s="13">
        <f>IFERROR(VLOOKUP($A321,koronahun!$A:$AM,10,FALSE),"")</f>
        <v>0.14593621688964831</v>
      </c>
      <c r="K321" s="13">
        <f>IFERROR(VLOOKUP($A321,koronahun!$A:$AM,11,FALSE),"")</f>
        <v>7.5264571383537749E-3</v>
      </c>
      <c r="L321">
        <f>IFERROR(VLOOKUP($A321,koronahun!$A:$AM,12,FALSE),"")</f>
        <v>270353</v>
      </c>
      <c r="M321" s="13">
        <f>IFERROR(VLOOKUP($A321,koronahun!$A:$AM,13,FALSE),"")</f>
        <v>3.2516204642275927E-2</v>
      </c>
      <c r="N321" s="13">
        <f>IFERROR(VLOOKUP($A321,koronahun!$A:$AM,14,FALSE),"")</f>
        <v>0.5920790264439767</v>
      </c>
      <c r="O321">
        <f>IFERROR(VLOOKUP($A321,koronahun!$A:$AM,15,FALSE),"")</f>
        <v>44370</v>
      </c>
      <c r="P321">
        <f>IFERROR(VLOOKUP($A321,koronahun!$A:$AM,16,FALSE),"")</f>
        <v>36864</v>
      </c>
      <c r="Q321" s="13">
        <f>IFERROR(VLOOKUP($A321,koronahun!$A:$AM,17,FALSE),"")</f>
        <v>0.17078993055555555</v>
      </c>
      <c r="R321">
        <f>IFERROR(VLOOKUP($A321,koronahun!$A:$AM,18,FALSE),"")</f>
        <v>206</v>
      </c>
      <c r="S321">
        <f>IFERROR(VLOOKUP($A321,koronahun!$A:$AM,19,FALSE),"")</f>
        <v>3028</v>
      </c>
      <c r="T321">
        <f>IFERROR(VLOOKUP($A321,koronahun!$A:$AM,20,FALSE),"")</f>
        <v>10484</v>
      </c>
      <c r="U321">
        <f>IFERROR(VLOOKUP($A321,koronahun!$A:$AM,21,FALSE),"")</f>
        <v>1290</v>
      </c>
      <c r="V321" s="13">
        <f>IFERROR(VLOOKUP($A321,koronahun!$A:$AM,22,FALSE),"")</f>
        <v>0.37540476891374741</v>
      </c>
      <c r="W321">
        <f>IFERROR(VLOOKUP($A321,koronahun!$A:$AM,23,FALSE),"")</f>
        <v>-437</v>
      </c>
      <c r="X321">
        <f>IFERROR(VLOOKUP($A321,koronahun!$A:$AM,24,FALSE),"")</f>
        <v>-54</v>
      </c>
      <c r="Y321" s="14">
        <f>IFERROR(VLOOKUP($A321,koronahun!$A:$AM,25,FALSE),"")</f>
        <v>3.8778929769597528E-2</v>
      </c>
      <c r="Z321" s="14">
        <f>IFERROR(VLOOKUP($A321,koronahun!$A:$AM,26,FALSE),"")</f>
        <v>0.12304463945059138</v>
      </c>
      <c r="AA321" s="14">
        <f>IFERROR(VLOOKUP($A321,koronahun!$A:$AM,27,FALSE),"")</f>
        <v>0.65591542269465442</v>
      </c>
      <c r="AB321" s="14">
        <f>IFERROR(VLOOKUP($A321,koronahun!$A:$AM,28,FALSE),"")</f>
        <v>0.68859742978848115</v>
      </c>
      <c r="AC321" s="14">
        <f>IFERROR(VLOOKUP($A321,koronahun!$A:$AM,29,FALSE),"")</f>
        <v>4883.5714285714284</v>
      </c>
      <c r="AD321" s="14">
        <f>IFERROR(VLOOKUP($A321,koronahun!$A:$AM,30,FALSE),"")</f>
        <v>243.14285714285714</v>
      </c>
      <c r="AE321" s="14">
        <f>IFERROR(VLOOKUP($A321,koronahun!$A:$AM,31,FALSE),"")</f>
        <v>25929.285714285714</v>
      </c>
      <c r="AF321" s="13">
        <f>IFERROR(VLOOKUP($A321,koronahun!$A:$AM,32,FALSE),"")</f>
        <v>0.18405865894347156</v>
      </c>
      <c r="AG321">
        <f>IFERROR(VLOOKUP($A321,koronahun!$A:$AM,33,FALSE),"")</f>
        <v>2835894</v>
      </c>
      <c r="AH321">
        <f>IFERROR(VLOOKUP($A321,koronahun!$A:$AM,34,FALSE),"")</f>
        <v>74956</v>
      </c>
      <c r="AI321">
        <f>IFERROR(VLOOKUP($A321,koronahun!$A:$AM,35,FALSE),"")</f>
        <v>74770.428571428565</v>
      </c>
      <c r="AJ321">
        <f>IFERROR(VLOOKUP($A321,koronahun!$A:$AM,36,FALSE),"")</f>
        <v>1197685</v>
      </c>
      <c r="AK321">
        <f>IFERROR(VLOOKUP($A321,koronahun!$A:$AM,37,FALSE),"")</f>
        <v>26210</v>
      </c>
      <c r="AL321">
        <f>IFERROR(VLOOKUP($A321,koronahun!$A:$AM,38,FALSE),"")</f>
        <v>41795.428571428572</v>
      </c>
      <c r="AM321" s="14">
        <f>IFERROR(VLOOKUP($A321,koronahun!$A:$AM,39,FALSE),"")</f>
        <v>1346</v>
      </c>
      <c r="AN321" s="11">
        <f ca="1">IFERROR(__xludf.DUMMYFUNCTION("""COMPUTED_VALUE"""),44213)</f>
        <v>44213</v>
      </c>
      <c r="AO321" s="12">
        <f ca="1">IFERROR(VLOOKUP(AN321,koronahun!A:B,2,FALSE),"")</f>
        <v>351828</v>
      </c>
      <c r="AP321" s="11">
        <f t="shared" ca="1" si="2"/>
        <v>44213</v>
      </c>
      <c r="AQ321" s="11">
        <f ca="1">IFERROR(__xludf.DUMMYFUNCTION("""COMPUTED_VALUE"""),44213)</f>
        <v>44213</v>
      </c>
      <c r="AR321" s="11">
        <v>44298</v>
      </c>
      <c r="AS321" s="11">
        <f t="shared" si="3"/>
        <v>44298</v>
      </c>
      <c r="AT321" s="11">
        <f ca="1">IFERROR(__xludf.DUMMYFUNCTION("""COMPUTED_VALUE"""),44297)</f>
        <v>44297</v>
      </c>
    </row>
    <row r="322" spans="1:46" ht="13">
      <c r="A322" s="11">
        <v>44296</v>
      </c>
      <c r="B322">
        <f>IFERROR(VLOOKUP($A322,koronahun!$A:$AM,2,FALSE),"")</f>
        <v>713868</v>
      </c>
      <c r="C322">
        <f>IFERROR(VLOOKUP($A322,koronahun!$A:$AM,3,FALSE),"")</f>
        <v>8053</v>
      </c>
      <c r="D322">
        <f>IFERROR(VLOOKUP($A322,koronahun!$A:$AM,4,FALSE),"")</f>
        <v>23211</v>
      </c>
      <c r="E322">
        <f>IFERROR(VLOOKUP($A322,koronahun!$A:$AM,5,FALSE),"")</f>
        <v>423366</v>
      </c>
      <c r="F322">
        <f>IFERROR(VLOOKUP($A322,koronahun!$A:$AM,6,FALSE),"")</f>
        <v>4897922</v>
      </c>
      <c r="G322" s="12">
        <f>IFERROR(VLOOKUP($A322,koronahun!$A:$AM,7,FALSE),"")</f>
        <v>499787.95918367343</v>
      </c>
      <c r="H322">
        <f>IFERROR(VLOOKUP($A322,koronahun!$A:$AM,8,FALSE),"")</f>
        <v>0</v>
      </c>
      <c r="I322" s="13">
        <f>IFERROR(VLOOKUP($A322,koronahun!$A:$AM,9,FALSE),"")</f>
        <v>1.1409505323632963E-2</v>
      </c>
      <c r="J322" s="13">
        <f>IFERROR(VLOOKUP($A322,koronahun!$A:$AM,10,FALSE),"")</f>
        <v>0.14574915647901293</v>
      </c>
      <c r="K322" s="13">
        <f>IFERROR(VLOOKUP($A322,koronahun!$A:$AM,11,FALSE),"")</f>
        <v>7.531303290676793E-3</v>
      </c>
      <c r="L322">
        <f>IFERROR(VLOOKUP($A322,koronahun!$A:$AM,12,FALSE),"")</f>
        <v>267291</v>
      </c>
      <c r="M322" s="13">
        <f>IFERROR(VLOOKUP($A322,koronahun!$A:$AM,13,FALSE),"")</f>
        <v>3.2514414429558408E-2</v>
      </c>
      <c r="N322" s="13">
        <f>IFERROR(VLOOKUP($A322,koronahun!$A:$AM,14,FALSE),"")</f>
        <v>0.59305922103245978</v>
      </c>
      <c r="O322">
        <f>IFERROR(VLOOKUP($A322,koronahun!$A:$AM,15,FALSE),"")</f>
        <v>47041</v>
      </c>
      <c r="P322">
        <f>IFERROR(VLOOKUP($A322,koronahun!$A:$AM,16,FALSE),"")</f>
        <v>36612</v>
      </c>
      <c r="Q322" s="13">
        <f>IFERROR(VLOOKUP($A322,koronahun!$A:$AM,17,FALSE),"")</f>
        <v>0.21995520594340653</v>
      </c>
      <c r="R322">
        <f>IFERROR(VLOOKUP($A322,koronahun!$A:$AM,18,FALSE),"")</f>
        <v>245</v>
      </c>
      <c r="S322">
        <f>IFERROR(VLOOKUP($A322,koronahun!$A:$AM,19,FALSE),"")</f>
        <v>3091</v>
      </c>
      <c r="T322">
        <f>IFERROR(VLOOKUP($A322,koronahun!$A:$AM,20,FALSE),"")</f>
        <v>10921</v>
      </c>
      <c r="U322">
        <f>IFERROR(VLOOKUP($A322,koronahun!$A:$AM,21,FALSE),"")</f>
        <v>1344</v>
      </c>
      <c r="V322" s="13">
        <f>IFERROR(VLOOKUP($A322,koronahun!$A:$AM,22,FALSE),"")</f>
        <v>0.37442636453798184</v>
      </c>
      <c r="W322">
        <f>IFERROR(VLOOKUP($A322,koronahun!$A:$AM,23,FALSE),"")</f>
        <v>-442</v>
      </c>
      <c r="X322">
        <f>IFERROR(VLOOKUP($A322,koronahun!$A:$AM,24,FALSE),"")</f>
        <v>-20</v>
      </c>
      <c r="Y322" s="14">
        <f>IFERROR(VLOOKUP($A322,koronahun!$A:$AM,25,FALSE),"")</f>
        <v>4.0858090994459223E-2</v>
      </c>
      <c r="Z322" s="14">
        <f>IFERROR(VLOOKUP($A322,koronahun!$A:$AM,26,FALSE),"")</f>
        <v>0.12306565332844978</v>
      </c>
      <c r="AA322" s="14">
        <f>IFERROR(VLOOKUP($A322,koronahun!$A:$AM,27,FALSE),"")</f>
        <v>0.63065124281582896</v>
      </c>
      <c r="AB322" s="14">
        <f>IFERROR(VLOOKUP($A322,koronahun!$A:$AM,28,FALSE),"")</f>
        <v>0.71447169119632847</v>
      </c>
      <c r="AC322" s="14">
        <f>IFERROR(VLOOKUP($A322,koronahun!$A:$AM,29,FALSE),"")</f>
        <v>4922.1428571428569</v>
      </c>
      <c r="AD322" s="14">
        <f>IFERROR(VLOOKUP($A322,koronahun!$A:$AM,30,FALSE),"")</f>
        <v>243.85714285714286</v>
      </c>
      <c r="AE322" s="14">
        <f>IFERROR(VLOOKUP($A322,koronahun!$A:$AM,31,FALSE),"")</f>
        <v>24533.571428571428</v>
      </c>
      <c r="AF322" s="13">
        <f>IFERROR(VLOOKUP($A322,koronahun!$A:$AM,32,FALSE),"")</f>
        <v>0.19428030855238745</v>
      </c>
      <c r="AG322">
        <f>IFERROR(VLOOKUP($A322,koronahun!$A:$AM,33,FALSE),"")</f>
        <v>2760938</v>
      </c>
      <c r="AH322">
        <f>IFERROR(VLOOKUP($A322,koronahun!$A:$AM,34,FALSE),"")</f>
        <v>71836</v>
      </c>
      <c r="AI322">
        <f>IFERROR(VLOOKUP($A322,koronahun!$A:$AM,35,FALSE),"")</f>
        <v>75029.571428571435</v>
      </c>
      <c r="AJ322">
        <f>IFERROR(VLOOKUP($A322,koronahun!$A:$AM,36,FALSE),"")</f>
        <v>1171475</v>
      </c>
      <c r="AK322">
        <f>IFERROR(VLOOKUP($A322,koronahun!$A:$AM,37,FALSE),"")</f>
        <v>45336</v>
      </c>
      <c r="AL322">
        <f>IFERROR(VLOOKUP($A322,koronahun!$A:$AM,38,FALSE),"")</f>
        <v>40067.571428571428</v>
      </c>
      <c r="AM322" s="14">
        <f>IFERROR(VLOOKUP($A322,koronahun!$A:$AM,39,FALSE),"")</f>
        <v>1109.2857142857142</v>
      </c>
      <c r="AN322" s="11">
        <f ca="1">IFERROR(__xludf.DUMMYFUNCTION("""COMPUTED_VALUE"""),44214)</f>
        <v>44214</v>
      </c>
      <c r="AO322" s="12">
        <f ca="1">IFERROR(VLOOKUP(AN322,koronahun!A:B,2,FALSE),"")</f>
        <v>352703</v>
      </c>
      <c r="AP322" s="11">
        <f t="shared" ca="1" si="2"/>
        <v>44214</v>
      </c>
      <c r="AQ322" s="11">
        <f ca="1">IFERROR(__xludf.DUMMYFUNCTION("""COMPUTED_VALUE"""),44214)</f>
        <v>44214</v>
      </c>
      <c r="AR322" s="11">
        <v>44297</v>
      </c>
      <c r="AS322" s="11">
        <f t="shared" si="3"/>
        <v>44297</v>
      </c>
      <c r="AT322" s="11">
        <f ca="1">IFERROR(__xludf.DUMMYFUNCTION("""COMPUTED_VALUE"""),44296)</f>
        <v>44296</v>
      </c>
    </row>
    <row r="323" spans="1:46" ht="13">
      <c r="A323" s="11">
        <v>44295</v>
      </c>
      <c r="B323">
        <f>IFERROR(VLOOKUP($A323,koronahun!$A:$AM,2,FALSE),"")</f>
        <v>705815</v>
      </c>
      <c r="C323">
        <f>IFERROR(VLOOKUP($A323,koronahun!$A:$AM,3,FALSE),"")</f>
        <v>7325</v>
      </c>
      <c r="D323">
        <f>IFERROR(VLOOKUP($A323,koronahun!$A:$AM,4,FALSE),"")</f>
        <v>22966</v>
      </c>
      <c r="E323">
        <f>IFERROR(VLOOKUP($A323,koronahun!$A:$AM,5,FALSE),"")</f>
        <v>420275</v>
      </c>
      <c r="F323">
        <f>IFERROR(VLOOKUP($A323,koronahun!$A:$AM,6,FALSE),"")</f>
        <v>4861310</v>
      </c>
      <c r="G323" s="12">
        <f>IFERROR(VLOOKUP($A323,koronahun!$A:$AM,7,FALSE),"")</f>
        <v>496052.04081632651</v>
      </c>
      <c r="H323">
        <f>IFERROR(VLOOKUP($A323,koronahun!$A:$AM,8,FALSE),"")</f>
        <v>0</v>
      </c>
      <c r="I323" s="13">
        <f>IFERROR(VLOOKUP($A323,koronahun!$A:$AM,9,FALSE),"")</f>
        <v>1.0486907471832094E-2</v>
      </c>
      <c r="J323" s="13">
        <f>IFERROR(VLOOKUP($A323,koronahun!$A:$AM,10,FALSE),"")</f>
        <v>0.14519028821449362</v>
      </c>
      <c r="K323" s="13">
        <f>IFERROR(VLOOKUP($A323,koronahun!$A:$AM,11,FALSE),"")</f>
        <v>7.3986547184633975E-3</v>
      </c>
      <c r="L323">
        <f>IFERROR(VLOOKUP($A323,koronahun!$A:$AM,12,FALSE),"")</f>
        <v>262574</v>
      </c>
      <c r="M323" s="13">
        <f>IFERROR(VLOOKUP($A323,koronahun!$A:$AM,13,FALSE),"")</f>
        <v>3.2538271360058942E-2</v>
      </c>
      <c r="N323" s="13">
        <f>IFERROR(VLOOKUP($A323,koronahun!$A:$AM,14,FALSE),"")</f>
        <v>0.59544639884388972</v>
      </c>
      <c r="O323">
        <f>IFERROR(VLOOKUP($A323,koronahun!$A:$AM,15,FALSE),"")</f>
        <v>46775</v>
      </c>
      <c r="P323">
        <f>IFERROR(VLOOKUP($A323,koronahun!$A:$AM,16,FALSE),"")</f>
        <v>35703</v>
      </c>
      <c r="Q323" s="13">
        <f>IFERROR(VLOOKUP($A323,koronahun!$A:$AM,17,FALSE),"")</f>
        <v>0.20516483208693947</v>
      </c>
      <c r="R323">
        <f>IFERROR(VLOOKUP($A323,koronahun!$A:$AM,18,FALSE),"")</f>
        <v>285</v>
      </c>
      <c r="S323">
        <f>IFERROR(VLOOKUP($A323,koronahun!$A:$AM,19,FALSE),"")</f>
        <v>510</v>
      </c>
      <c r="T323">
        <f>IFERROR(VLOOKUP($A323,koronahun!$A:$AM,20,FALSE),"")</f>
        <v>11363</v>
      </c>
      <c r="U323">
        <f>IFERROR(VLOOKUP($A323,koronahun!$A:$AM,21,FALSE),"")</f>
        <v>1364</v>
      </c>
      <c r="V323" s="13">
        <f>IFERROR(VLOOKUP($A323,koronahun!$A:$AM,22,FALSE),"")</f>
        <v>0.3720153297960514</v>
      </c>
      <c r="W323">
        <f>IFERROR(VLOOKUP($A323,koronahun!$A:$AM,23,FALSE),"")</f>
        <v>-300</v>
      </c>
      <c r="X323">
        <f>IFERROR(VLOOKUP($A323,koronahun!$A:$AM,24,FALSE),"")</f>
        <v>27</v>
      </c>
      <c r="Y323" s="14">
        <f>IFERROR(VLOOKUP($A323,koronahun!$A:$AM,25,FALSE),"")</f>
        <v>4.3275419500788351E-2</v>
      </c>
      <c r="Z323" s="14">
        <f>IFERROR(VLOOKUP($A323,koronahun!$A:$AM,26,FALSE),"")</f>
        <v>0.12003872216844143</v>
      </c>
      <c r="AA323" s="14">
        <f>IFERROR(VLOOKUP($A323,koronahun!$A:$AM,27,FALSE),"")</f>
        <v>0.62386938252261237</v>
      </c>
      <c r="AB323" s="14">
        <f>IFERROR(VLOOKUP($A323,koronahun!$A:$AM,28,FALSE),"")</f>
        <v>0.74669650290468481</v>
      </c>
      <c r="AC323" s="14">
        <f>IFERROR(VLOOKUP($A323,koronahun!$A:$AM,29,FALSE),"")</f>
        <v>5005.5714285714284</v>
      </c>
      <c r="AD323" s="14">
        <f>IFERROR(VLOOKUP($A323,koronahun!$A:$AM,30,FALSE),"")</f>
        <v>243.42857142857142</v>
      </c>
      <c r="AE323" s="14">
        <f>IFERROR(VLOOKUP($A323,koronahun!$A:$AM,31,FALSE),"")</f>
        <v>24531.571428571428</v>
      </c>
      <c r="AF323" s="13">
        <f>IFERROR(VLOOKUP($A323,koronahun!$A:$AM,32,FALSE),"")</f>
        <v>0.19657192235206117</v>
      </c>
      <c r="AG323">
        <f>IFERROR(VLOOKUP($A323,koronahun!$A:$AM,33,FALSE),"")</f>
        <v>2689102</v>
      </c>
      <c r="AH323">
        <f>IFERROR(VLOOKUP($A323,koronahun!$A:$AM,34,FALSE),"")</f>
        <v>81018</v>
      </c>
      <c r="AI323">
        <f>IFERROR(VLOOKUP($A323,koronahun!$A:$AM,35,FALSE),"")</f>
        <v>76060.28571428571</v>
      </c>
      <c r="AJ323">
        <f>IFERROR(VLOOKUP($A323,koronahun!$A:$AM,36,FALSE),"")</f>
        <v>1126139</v>
      </c>
      <c r="AK323">
        <f>IFERROR(VLOOKUP($A323,koronahun!$A:$AM,37,FALSE),"")</f>
        <v>48192</v>
      </c>
      <c r="AL323">
        <f>IFERROR(VLOOKUP($A323,koronahun!$A:$AM,38,FALSE),"")</f>
        <v>37563.428571428572</v>
      </c>
      <c r="AM323" s="14">
        <f>IFERROR(VLOOKUP($A323,koronahun!$A:$AM,39,FALSE),"")</f>
        <v>986.42857142857144</v>
      </c>
      <c r="AN323" s="11">
        <f ca="1">IFERROR(__xludf.DUMMYFUNCTION("""COMPUTED_VALUE"""),44215)</f>
        <v>44215</v>
      </c>
      <c r="AO323" s="12">
        <f ca="1">IFERROR(VLOOKUP(AN323,koronahun!A:B,2,FALSE),"")</f>
        <v>353276</v>
      </c>
      <c r="AP323" s="11">
        <f t="shared" ca="1" si="2"/>
        <v>44215</v>
      </c>
      <c r="AQ323" s="11">
        <f ca="1">IFERROR(__xludf.DUMMYFUNCTION("""COMPUTED_VALUE"""),44215)</f>
        <v>44215</v>
      </c>
      <c r="AR323" s="11">
        <v>44296</v>
      </c>
      <c r="AS323" s="11">
        <f t="shared" si="3"/>
        <v>44296</v>
      </c>
      <c r="AT323" s="11">
        <f ca="1">IFERROR(__xludf.DUMMYFUNCTION("""COMPUTED_VALUE"""),44295)</f>
        <v>44295</v>
      </c>
    </row>
    <row r="324" spans="1:46" ht="13">
      <c r="A324" s="11">
        <v>44294</v>
      </c>
      <c r="B324">
        <f>IFERROR(VLOOKUP($A324,koronahun!$A:$AM,2,FALSE),"")</f>
        <v>698490</v>
      </c>
      <c r="C324">
        <f>IFERROR(VLOOKUP($A324,koronahun!$A:$AM,3,FALSE),"")</f>
        <v>4814</v>
      </c>
      <c r="D324">
        <f>IFERROR(VLOOKUP($A324,koronahun!$A:$AM,4,FALSE),"")</f>
        <v>22681</v>
      </c>
      <c r="E324">
        <f>IFERROR(VLOOKUP($A324,koronahun!$A:$AM,5,FALSE),"")</f>
        <v>419765</v>
      </c>
      <c r="F324">
        <f>IFERROR(VLOOKUP($A324,koronahun!$A:$AM,6,FALSE),"")</f>
        <v>4825607</v>
      </c>
      <c r="G324" s="12">
        <f>IFERROR(VLOOKUP($A324,koronahun!$A:$AM,7,FALSE),"")</f>
        <v>492408.87755102036</v>
      </c>
      <c r="H324">
        <f>IFERROR(VLOOKUP($A324,koronahun!$A:$AM,8,FALSE),"")</f>
        <v>0</v>
      </c>
      <c r="I324" s="13">
        <f>IFERROR(VLOOKUP($A324,koronahun!$A:$AM,9,FALSE),"")</f>
        <v>6.9398393486296197E-3</v>
      </c>
      <c r="J324" s="13">
        <f>IFERROR(VLOOKUP($A324,koronahun!$A:$AM,10,FALSE),"")</f>
        <v>0.14474655727248406</v>
      </c>
      <c r="K324" s="13">
        <f>IFERROR(VLOOKUP($A324,koronahun!$A:$AM,11,FALSE),"")</f>
        <v>6.2605513739306829E-3</v>
      </c>
      <c r="L324">
        <f>IFERROR(VLOOKUP($A324,koronahun!$A:$AM,12,FALSE),"")</f>
        <v>256044</v>
      </c>
      <c r="M324" s="13">
        <f>IFERROR(VLOOKUP($A324,koronahun!$A:$AM,13,FALSE),"")</f>
        <v>3.247147418001689E-2</v>
      </c>
      <c r="N324" s="13">
        <f>IFERROR(VLOOKUP($A324,koronahun!$A:$AM,14,FALSE),"")</f>
        <v>0.60096064367421154</v>
      </c>
      <c r="O324">
        <f>IFERROR(VLOOKUP($A324,koronahun!$A:$AM,15,FALSE),"")</f>
        <v>46612</v>
      </c>
      <c r="P324">
        <f>IFERROR(VLOOKUP($A324,koronahun!$A:$AM,16,FALSE),"")</f>
        <v>30023</v>
      </c>
      <c r="Q324" s="13">
        <f>IFERROR(VLOOKUP($A324,koronahun!$A:$AM,17,FALSE),"")</f>
        <v>0.16034373646870734</v>
      </c>
      <c r="R324">
        <f>IFERROR(VLOOKUP($A324,koronahun!$A:$AM,18,FALSE),"")</f>
        <v>272</v>
      </c>
      <c r="S324">
        <f>IFERROR(VLOOKUP($A324,koronahun!$A:$AM,19,FALSE),"")</f>
        <v>613</v>
      </c>
      <c r="T324">
        <f>IFERROR(VLOOKUP($A324,koronahun!$A:$AM,20,FALSE),"")</f>
        <v>11663</v>
      </c>
      <c r="U324">
        <f>IFERROR(VLOOKUP($A324,koronahun!$A:$AM,21,FALSE),"")</f>
        <v>1337</v>
      </c>
      <c r="V324" s="13">
        <f>IFERROR(VLOOKUP($A324,koronahun!$A:$AM,22,FALSE),"")</f>
        <v>0.36656788214577157</v>
      </c>
      <c r="W324">
        <f>IFERROR(VLOOKUP($A324,koronahun!$A:$AM,23,FALSE),"")</f>
        <v>-539</v>
      </c>
      <c r="X324">
        <f>IFERROR(VLOOKUP($A324,koronahun!$A:$AM,24,FALSE),"")</f>
        <v>-70</v>
      </c>
      <c r="Y324" s="14">
        <f>IFERROR(VLOOKUP($A324,koronahun!$A:$AM,25,FALSE),"")</f>
        <v>4.5550764712315069E-2</v>
      </c>
      <c r="Z324" s="14">
        <f>IFERROR(VLOOKUP($A324,koronahun!$A:$AM,26,FALSE),"")</f>
        <v>0.11463602846608935</v>
      </c>
      <c r="AA324" s="14">
        <f>IFERROR(VLOOKUP($A324,koronahun!$A:$AM,27,FALSE),"")</f>
        <v>0.62988659334635277</v>
      </c>
      <c r="AB324" s="14">
        <f>IFERROR(VLOOKUP($A324,koronahun!$A:$AM,28,FALSE),"")</f>
        <v>0.78144226003422701</v>
      </c>
      <c r="AC324" s="14">
        <f>IFERROR(VLOOKUP($A324,koronahun!$A:$AM,29,FALSE),"")</f>
        <v>5252.7142857142853</v>
      </c>
      <c r="AD324" s="14">
        <f>IFERROR(VLOOKUP($A324,koronahun!$A:$AM,30,FALSE),"")</f>
        <v>240.85714285714286</v>
      </c>
      <c r="AE324" s="14">
        <f>IFERROR(VLOOKUP($A324,koronahun!$A:$AM,31,FALSE),"")</f>
        <v>25144.428571428572</v>
      </c>
      <c r="AF324" s="13">
        <f>IFERROR(VLOOKUP($A324,koronahun!$A:$AM,32,FALSE),"")</f>
        <v>0.19960760670520522</v>
      </c>
      <c r="AG324">
        <f>IFERROR(VLOOKUP($A324,koronahun!$A:$AM,33,FALSE),"")</f>
        <v>2608084</v>
      </c>
      <c r="AH324">
        <f>IFERROR(VLOOKUP($A324,koronahun!$A:$AM,34,FALSE),"")</f>
        <v>71333</v>
      </c>
      <c r="AI324">
        <f>IFERROR(VLOOKUP($A324,koronahun!$A:$AM,35,FALSE),"")</f>
        <v>77448</v>
      </c>
      <c r="AJ324">
        <f>IFERROR(VLOOKUP($A324,koronahun!$A:$AM,36,FALSE),"")</f>
        <v>1077947</v>
      </c>
      <c r="AK324">
        <f>IFERROR(VLOOKUP($A324,koronahun!$A:$AM,37,FALSE),"")</f>
        <v>72011</v>
      </c>
      <c r="AL324">
        <f>IFERROR(VLOOKUP($A324,koronahun!$A:$AM,38,FALSE),"")</f>
        <v>41534.285714285717</v>
      </c>
      <c r="AM324" s="14">
        <f>IFERROR(VLOOKUP($A324,koronahun!$A:$AM,39,FALSE),"")</f>
        <v>1314.2857142857142</v>
      </c>
      <c r="AN324" s="11">
        <f ca="1">IFERROR(__xludf.DUMMYFUNCTION("""COMPUTED_VALUE"""),44216)</f>
        <v>44216</v>
      </c>
      <c r="AO324" s="12">
        <f ca="1">IFERROR(VLOOKUP(AN324,koronahun!A:B,2,FALSE),"")</f>
        <v>354252</v>
      </c>
      <c r="AP324" s="11">
        <f t="shared" ca="1" si="2"/>
        <v>44216</v>
      </c>
      <c r="AQ324" s="11">
        <f ca="1">IFERROR(__xludf.DUMMYFUNCTION("""COMPUTED_VALUE"""),44216)</f>
        <v>44216</v>
      </c>
      <c r="AR324" s="11">
        <v>44295</v>
      </c>
      <c r="AS324" s="11">
        <f t="shared" si="3"/>
        <v>44295</v>
      </c>
      <c r="AT324" s="11">
        <f ca="1">IFERROR(__xludf.DUMMYFUNCTION("""COMPUTED_VALUE"""),44294)</f>
        <v>44294</v>
      </c>
    </row>
    <row r="325" spans="1:46" ht="13">
      <c r="A325" s="11">
        <v>44293</v>
      </c>
      <c r="B325">
        <f>IFERROR(VLOOKUP($A325,koronahun!$A:$AM,2,FALSE),"")</f>
        <v>693676</v>
      </c>
      <c r="C325">
        <f>IFERROR(VLOOKUP($A325,koronahun!$A:$AM,3,FALSE),"")</f>
        <v>1933</v>
      </c>
      <c r="D325">
        <f>IFERROR(VLOOKUP($A325,koronahun!$A:$AM,4,FALSE),"")</f>
        <v>22409</v>
      </c>
      <c r="E325">
        <f>IFERROR(VLOOKUP($A325,koronahun!$A:$AM,5,FALSE),"")</f>
        <v>419152</v>
      </c>
      <c r="F325">
        <f>IFERROR(VLOOKUP($A325,koronahun!$A:$AM,6,FALSE),"")</f>
        <v>4795584</v>
      </c>
      <c r="G325" s="12">
        <f>IFERROR(VLOOKUP($A325,koronahun!$A:$AM,7,FALSE),"")</f>
        <v>489345.30612244894</v>
      </c>
      <c r="H325">
        <f>IFERROR(VLOOKUP($A325,koronahun!$A:$AM,8,FALSE),"")</f>
        <v>0</v>
      </c>
      <c r="I325" s="13">
        <f>IFERROR(VLOOKUP($A325,koronahun!$A:$AM,9,FALSE),"")</f>
        <v>2.7943904022158517E-3</v>
      </c>
      <c r="J325" s="13">
        <f>IFERROR(VLOOKUP($A325,koronahun!$A:$AM,10,FALSE),"")</f>
        <v>0.14464891033083771</v>
      </c>
      <c r="K325" s="13">
        <f>IFERROR(VLOOKUP($A325,koronahun!$A:$AM,11,FALSE),"")</f>
        <v>2.550705222642636E-3</v>
      </c>
      <c r="L325">
        <f>IFERROR(VLOOKUP($A325,koronahun!$A:$AM,12,FALSE),"")</f>
        <v>252115</v>
      </c>
      <c r="M325" s="13">
        <f>IFERROR(VLOOKUP($A325,koronahun!$A:$AM,13,FALSE),"")</f>
        <v>3.2304707096684905E-2</v>
      </c>
      <c r="N325" s="13">
        <f>IFERROR(VLOOKUP($A325,koronahun!$A:$AM,14,FALSE),"")</f>
        <v>0.60424751613145045</v>
      </c>
      <c r="O325">
        <f>IFERROR(VLOOKUP($A325,koronahun!$A:$AM,15,FALSE),"")</f>
        <v>47578</v>
      </c>
      <c r="P325">
        <f>IFERROR(VLOOKUP($A325,koronahun!$A:$AM,16,FALSE),"")</f>
        <v>12201</v>
      </c>
      <c r="Q325" s="13">
        <f>IFERROR(VLOOKUP($A325,koronahun!$A:$AM,17,FALSE),"")</f>
        <v>0.15842963691500697</v>
      </c>
      <c r="R325">
        <f>IFERROR(VLOOKUP($A325,koronahun!$A:$AM,18,FALSE),"")</f>
        <v>311</v>
      </c>
      <c r="S325">
        <f>IFERROR(VLOOKUP($A325,koronahun!$A:$AM,19,FALSE),"")</f>
        <v>584</v>
      </c>
      <c r="T325">
        <f>IFERROR(VLOOKUP($A325,koronahun!$A:$AM,20,FALSE),"")</f>
        <v>12202</v>
      </c>
      <c r="U325">
        <f>IFERROR(VLOOKUP($A325,koronahun!$A:$AM,21,FALSE),"")</f>
        <v>1407</v>
      </c>
      <c r="V325" s="13">
        <f>IFERROR(VLOOKUP($A325,koronahun!$A:$AM,22,FALSE),"")</f>
        <v>0.36344777677186468</v>
      </c>
      <c r="W325">
        <f>IFERROR(VLOOKUP($A325,koronahun!$A:$AM,23,FALSE),"")</f>
        <v>195</v>
      </c>
      <c r="X325">
        <f>IFERROR(VLOOKUP($A325,koronahun!$A:$AM,24,FALSE),"")</f>
        <v>-33</v>
      </c>
      <c r="Y325" s="14">
        <f>IFERROR(VLOOKUP($A325,koronahun!$A:$AM,25,FALSE),"")</f>
        <v>4.8398548281538188E-2</v>
      </c>
      <c r="Z325" s="14">
        <f>IFERROR(VLOOKUP($A325,koronahun!$A:$AM,26,FALSE),"")</f>
        <v>0.11530896574332077</v>
      </c>
      <c r="AA325" s="14">
        <f>IFERROR(VLOOKUP($A325,koronahun!$A:$AM,27,FALSE),"")</f>
        <v>0.70233128416463741</v>
      </c>
      <c r="AB325" s="14">
        <f>IFERROR(VLOOKUP($A325,koronahun!$A:$AM,28,FALSE),"")</f>
        <v>0.82121623491449203</v>
      </c>
      <c r="AC325" s="14">
        <f>IFERROR(VLOOKUP($A325,koronahun!$A:$AM,29,FALSE),"")</f>
        <v>5891.8571428571431</v>
      </c>
      <c r="AD325" s="14">
        <f>IFERROR(VLOOKUP($A325,koronahun!$A:$AM,30,FALSE),"")</f>
        <v>238.85714285714286</v>
      </c>
      <c r="AE325" s="14">
        <f>IFERROR(VLOOKUP($A325,koronahun!$A:$AM,31,FALSE),"")</f>
        <v>26633.142857142859</v>
      </c>
      <c r="AF325" s="13">
        <f>IFERROR(VLOOKUP($A325,koronahun!$A:$AM,32,FALSE),"")</f>
        <v>0.20950862653601041</v>
      </c>
      <c r="AG325">
        <f>IFERROR(VLOOKUP($A325,koronahun!$A:$AM,33,FALSE),"")</f>
        <v>2536751</v>
      </c>
      <c r="AH325">
        <f>IFERROR(VLOOKUP($A325,koronahun!$A:$AM,34,FALSE),"")</f>
        <v>104438</v>
      </c>
      <c r="AI325">
        <f>IFERROR(VLOOKUP($A325,koronahun!$A:$AM,35,FALSE),"")</f>
        <v>75103.142857142855</v>
      </c>
      <c r="AJ325">
        <f>IFERROR(VLOOKUP($A325,koronahun!$A:$AM,36,FALSE),"")</f>
        <v>1005936</v>
      </c>
      <c r="AK325">
        <f>IFERROR(VLOOKUP($A325,koronahun!$A:$AM,37,FALSE),"")</f>
        <v>83050</v>
      </c>
      <c r="AL325">
        <f>IFERROR(VLOOKUP($A325,koronahun!$A:$AM,38,FALSE),"")</f>
        <v>36107</v>
      </c>
      <c r="AM325" s="14">
        <f>IFERROR(VLOOKUP($A325,koronahun!$A:$AM,39,FALSE),"")</f>
        <v>1745.2857142857142</v>
      </c>
      <c r="AN325" s="11">
        <f ca="1">IFERROR(__xludf.DUMMYFUNCTION("""COMPUTED_VALUE"""),44217)</f>
        <v>44217</v>
      </c>
      <c r="AO325" s="12">
        <f ca="1">IFERROR(VLOOKUP(AN325,koronahun!A:B,2,FALSE),"")</f>
        <v>355662</v>
      </c>
      <c r="AP325" s="11">
        <f t="shared" ca="1" si="2"/>
        <v>44217</v>
      </c>
      <c r="AQ325" s="11">
        <f ca="1">IFERROR(__xludf.DUMMYFUNCTION("""COMPUTED_VALUE"""),44217)</f>
        <v>44217</v>
      </c>
      <c r="AR325" s="11">
        <v>44294</v>
      </c>
      <c r="AS325" s="11">
        <f t="shared" si="3"/>
        <v>44294</v>
      </c>
      <c r="AT325" s="11">
        <f ca="1">IFERROR(__xludf.DUMMYFUNCTION("""COMPUTED_VALUE"""),44293)</f>
        <v>44293</v>
      </c>
    </row>
    <row r="326" spans="1:46" ht="13">
      <c r="A326" s="11">
        <v>44292</v>
      </c>
      <c r="B326">
        <f>IFERROR(VLOOKUP($A326,koronahun!$A:$AM,2,FALSE),"")</f>
        <v>691743</v>
      </c>
      <c r="C326">
        <f>IFERROR(VLOOKUP($A326,koronahun!$A:$AM,3,FALSE),"")</f>
        <v>1890</v>
      </c>
      <c r="D326">
        <f>IFERROR(VLOOKUP($A326,koronahun!$A:$AM,4,FALSE),"")</f>
        <v>22098</v>
      </c>
      <c r="E326">
        <f>IFERROR(VLOOKUP($A326,koronahun!$A:$AM,5,FALSE),"")</f>
        <v>418568</v>
      </c>
      <c r="F326">
        <f>IFERROR(VLOOKUP($A326,koronahun!$A:$AM,6,FALSE),"")</f>
        <v>4783383</v>
      </c>
      <c r="G326" s="12">
        <f>IFERROR(VLOOKUP($A326,koronahun!$A:$AM,7,FALSE),"")</f>
        <v>488100.30612244894</v>
      </c>
      <c r="H326">
        <f>IFERROR(VLOOKUP($A326,koronahun!$A:$AM,8,FALSE),"")</f>
        <v>0</v>
      </c>
      <c r="I326" s="13">
        <f>IFERROR(VLOOKUP($A326,koronahun!$A:$AM,9,FALSE),"")</f>
        <v>2.7397141130066842E-3</v>
      </c>
      <c r="J326" s="13">
        <f>IFERROR(VLOOKUP($A326,koronahun!$A:$AM,10,FALSE),"")</f>
        <v>0.14461375975956764</v>
      </c>
      <c r="K326" s="13">
        <f>IFERROR(VLOOKUP($A326,koronahun!$A:$AM,11,FALSE),"")</f>
        <v>2.345674071165245E-3</v>
      </c>
      <c r="L326">
        <f>IFERROR(VLOOKUP($A326,koronahun!$A:$AM,12,FALSE),"")</f>
        <v>251077</v>
      </c>
      <c r="M326" s="13">
        <f>IFERROR(VLOOKUP($A326,koronahun!$A:$AM,13,FALSE),"")</f>
        <v>3.1945390123210501E-2</v>
      </c>
      <c r="N326" s="13">
        <f>IFERROR(VLOOKUP($A326,koronahun!$A:$AM,14,FALSE),"")</f>
        <v>0.60509177541370129</v>
      </c>
      <c r="O326">
        <f>IFERROR(VLOOKUP($A326,koronahun!$A:$AM,15,FALSE),"")</f>
        <v>44172</v>
      </c>
      <c r="P326">
        <f>IFERROR(VLOOKUP($A326,koronahun!$A:$AM,16,FALSE),"")</f>
        <v>11194</v>
      </c>
      <c r="Q326" s="13">
        <f>IFERROR(VLOOKUP($A326,koronahun!$A:$AM,17,FALSE),"")</f>
        <v>0.16884045024120065</v>
      </c>
      <c r="R326">
        <f>IFERROR(VLOOKUP($A326,koronahun!$A:$AM,18,FALSE),"")</f>
        <v>170</v>
      </c>
      <c r="S326">
        <f>IFERROR(VLOOKUP($A326,koronahun!$A:$AM,19,FALSE),"")</f>
        <v>484</v>
      </c>
      <c r="T326">
        <f>IFERROR(VLOOKUP($A326,koronahun!$A:$AM,20,FALSE),"")</f>
        <v>12007</v>
      </c>
      <c r="U326">
        <f>IFERROR(VLOOKUP($A326,koronahun!$A:$AM,21,FALSE),"")</f>
        <v>1440</v>
      </c>
      <c r="V326" s="13">
        <f>IFERROR(VLOOKUP($A326,koronahun!$A:$AM,22,FALSE),"")</f>
        <v>0.36296283446308819</v>
      </c>
      <c r="W326">
        <f>IFERROR(VLOOKUP($A326,koronahun!$A:$AM,23,FALSE),"")</f>
        <v>201</v>
      </c>
      <c r="X326">
        <f>IFERROR(VLOOKUP($A326,koronahun!$A:$AM,24,FALSE),"")</f>
        <v>-11</v>
      </c>
      <c r="Y326" s="14">
        <f>IFERROR(VLOOKUP($A326,koronahun!$A:$AM,25,FALSE),"")</f>
        <v>4.7821982897676807E-2</v>
      </c>
      <c r="Z326" s="14">
        <f>IFERROR(VLOOKUP($A326,koronahun!$A:$AM,26,FALSE),"")</f>
        <v>0.11993004080952778</v>
      </c>
      <c r="AA326" s="14">
        <f>IFERROR(VLOOKUP($A326,koronahun!$A:$AM,27,FALSE),"")</f>
        <v>0.7718503606777386</v>
      </c>
      <c r="AB326" s="14">
        <f>IFERROR(VLOOKUP($A326,koronahun!$A:$AM,28,FALSE),"")</f>
        <v>0.85811083287218393</v>
      </c>
      <c r="AC326" s="14">
        <f>IFERROR(VLOOKUP($A326,koronahun!$A:$AM,29,FALSE),"")</f>
        <v>6572.8571428571431</v>
      </c>
      <c r="AD326" s="14">
        <f>IFERROR(VLOOKUP($A326,koronahun!$A:$AM,30,FALSE),"")</f>
        <v>237.57142857142858</v>
      </c>
      <c r="AE326" s="14">
        <f>IFERROR(VLOOKUP($A326,koronahun!$A:$AM,31,FALSE),"")</f>
        <v>29569.285714285714</v>
      </c>
      <c r="AF326" s="13">
        <f>IFERROR(VLOOKUP($A326,koronahun!$A:$AM,32,FALSE),"")</f>
        <v>0.21609798823877238</v>
      </c>
      <c r="AG326">
        <f>IFERROR(VLOOKUP($A326,koronahun!$A:$AM,33,FALSE),"")</f>
        <v>2432313</v>
      </c>
      <c r="AH326">
        <f>IFERROR(VLOOKUP($A326,koronahun!$A:$AM,34,FALSE),"")</f>
        <v>69474</v>
      </c>
      <c r="AI326">
        <f>IFERROR(VLOOKUP($A326,koronahun!$A:$AM,35,FALSE),"")</f>
        <v>61616.428571428572</v>
      </c>
      <c r="AJ326">
        <f>IFERROR(VLOOKUP($A326,koronahun!$A:$AM,36,FALSE),"")</f>
        <v>922886</v>
      </c>
      <c r="AK326">
        <f>IFERROR(VLOOKUP($A326,koronahun!$A:$AM,37,FALSE),"")</f>
        <v>9874</v>
      </c>
      <c r="AL326">
        <f>IFERROR(VLOOKUP($A326,koronahun!$A:$AM,38,FALSE),"")</f>
        <v>28799.571428571428</v>
      </c>
      <c r="AM326" s="14">
        <f>IFERROR(VLOOKUP($A326,koronahun!$A:$AM,39,FALSE),"")</f>
        <v>2229.1428571428573</v>
      </c>
      <c r="AN326" s="11">
        <f ca="1">IFERROR(__xludf.DUMMYFUNCTION("""COMPUTED_VALUE"""),44218)</f>
        <v>44218</v>
      </c>
      <c r="AO326" s="12">
        <f ca="1">IFERROR(VLOOKUP(AN326,koronahun!A:B,2,FALSE),"")</f>
        <v>356973</v>
      </c>
      <c r="AP326" s="11">
        <f t="shared" ca="1" si="2"/>
        <v>44218</v>
      </c>
      <c r="AQ326" s="11">
        <f ca="1">IFERROR(__xludf.DUMMYFUNCTION("""COMPUTED_VALUE"""),44218)</f>
        <v>44218</v>
      </c>
      <c r="AR326" s="11">
        <v>44293</v>
      </c>
      <c r="AS326" s="11">
        <f t="shared" si="3"/>
        <v>44293</v>
      </c>
      <c r="AT326" s="11">
        <f ca="1">IFERROR(__xludf.DUMMYFUNCTION("""COMPUTED_VALUE"""),44292)</f>
        <v>44292</v>
      </c>
    </row>
    <row r="327" spans="1:46" ht="13">
      <c r="A327" s="11">
        <v>44291</v>
      </c>
      <c r="B327">
        <f>IFERROR(VLOOKUP($A327,koronahun!$A:$AM,2,FALSE),"")</f>
        <v>689853</v>
      </c>
      <c r="C327">
        <f>IFERROR(VLOOKUP($A327,koronahun!$A:$AM,3,FALSE),"")</f>
        <v>3874</v>
      </c>
      <c r="D327">
        <f>IFERROR(VLOOKUP($A327,koronahun!$A:$AM,4,FALSE),"")</f>
        <v>21928</v>
      </c>
      <c r="E327">
        <f>IFERROR(VLOOKUP($A327,koronahun!$A:$AM,5,FALSE),"")</f>
        <v>418084</v>
      </c>
      <c r="F327">
        <f>IFERROR(VLOOKUP($A327,koronahun!$A:$AM,6,FALSE),"")</f>
        <v>4772189</v>
      </c>
      <c r="G327" s="12">
        <f>IFERROR(VLOOKUP($A327,koronahun!$A:$AM,7,FALSE),"")</f>
        <v>486958.06122448976</v>
      </c>
      <c r="H327">
        <f>IFERROR(VLOOKUP($A327,koronahun!$A:$AM,8,FALSE),"")</f>
        <v>0</v>
      </c>
      <c r="I327" s="13">
        <f>IFERROR(VLOOKUP($A327,koronahun!$A:$AM,9,FALSE),"")</f>
        <v>5.6474032003895162E-3</v>
      </c>
      <c r="J327" s="13">
        <f>IFERROR(VLOOKUP($A327,koronahun!$A:$AM,10,FALSE),"")</f>
        <v>0.14455693183987475</v>
      </c>
      <c r="K327" s="13">
        <f>IFERROR(VLOOKUP($A327,koronahun!$A:$AM,11,FALSE),"")</f>
        <v>3.9778839079785099E-3</v>
      </c>
      <c r="L327">
        <f>IFERROR(VLOOKUP($A327,koronahun!$A:$AM,12,FALSE),"")</f>
        <v>249841</v>
      </c>
      <c r="M327" s="13">
        <f>IFERROR(VLOOKUP($A327,koronahun!$A:$AM,13,FALSE),"")</f>
        <v>3.1786482047624638E-2</v>
      </c>
      <c r="N327" s="13">
        <f>IFERROR(VLOOKUP($A327,koronahun!$A:$AM,14,FALSE),"")</f>
        <v>0.60604795514406695</v>
      </c>
      <c r="O327">
        <f>IFERROR(VLOOKUP($A327,koronahun!$A:$AM,15,FALSE),"")</f>
        <v>50052</v>
      </c>
      <c r="P327">
        <f>IFERROR(VLOOKUP($A327,koronahun!$A:$AM,16,FALSE),"")</f>
        <v>18908</v>
      </c>
      <c r="Q327" s="13">
        <f>IFERROR(VLOOKUP($A327,koronahun!$A:$AM,17,FALSE),"")</f>
        <v>0.20488682039348424</v>
      </c>
      <c r="R327">
        <f>IFERROR(VLOOKUP($A327,koronahun!$A:$AM,18,FALSE),"")</f>
        <v>213</v>
      </c>
      <c r="S327">
        <f>IFERROR(VLOOKUP($A327,koronahun!$A:$AM,19,FALSE),"")</f>
        <v>1112</v>
      </c>
      <c r="T327">
        <f>IFERROR(VLOOKUP($A327,koronahun!$A:$AM,20,FALSE),"")</f>
        <v>11806</v>
      </c>
      <c r="U327">
        <f>IFERROR(VLOOKUP($A327,koronahun!$A:$AM,21,FALSE),"")</f>
        <v>1451</v>
      </c>
      <c r="V327" s="13">
        <f>IFERROR(VLOOKUP($A327,koronahun!$A:$AM,22,FALSE),"")</f>
        <v>0.36216556280830842</v>
      </c>
      <c r="W327">
        <f>IFERROR(VLOOKUP($A327,koronahun!$A:$AM,23,FALSE),"")</f>
        <v>235</v>
      </c>
      <c r="X327">
        <f>IFERROR(VLOOKUP($A327,koronahun!$A:$AM,24,FALSE),"")</f>
        <v>11</v>
      </c>
      <c r="Y327" s="14">
        <f>IFERROR(VLOOKUP($A327,koronahun!$A:$AM,25,FALSE),"")</f>
        <v>4.7254053578075654E-2</v>
      </c>
      <c r="Z327" s="14">
        <f>IFERROR(VLOOKUP($A327,koronahun!$A:$AM,26,FALSE),"")</f>
        <v>0.12290360833474505</v>
      </c>
      <c r="AA327" s="14">
        <f>IFERROR(VLOOKUP($A327,koronahun!$A:$AM,27,FALSE),"")</f>
        <v>0.80567772229754309</v>
      </c>
      <c r="AB327" s="14">
        <f>IFERROR(VLOOKUP($A327,koronahun!$A:$AM,28,FALSE),"")</f>
        <v>0.89724237089284065</v>
      </c>
      <c r="AC327" s="14">
        <f>IFERROR(VLOOKUP($A327,koronahun!$A:$AM,29,FALSE),"")</f>
        <v>6961.2857142857147</v>
      </c>
      <c r="AD327" s="14">
        <f>IFERROR(VLOOKUP($A327,koronahun!$A:$AM,30,FALSE),"")</f>
        <v>252.42857142857142</v>
      </c>
      <c r="AE327" s="14">
        <f>IFERROR(VLOOKUP($A327,koronahun!$A:$AM,31,FALSE),"")</f>
        <v>30606.571428571428</v>
      </c>
      <c r="AF327" s="13">
        <f>IFERROR(VLOOKUP($A327,koronahun!$A:$AM,32,FALSE),"")</f>
        <v>0.22765544065816043</v>
      </c>
      <c r="AG327">
        <f>IFERROR(VLOOKUP($A327,koronahun!$A:$AM,33,FALSE),"")</f>
        <v>2362839</v>
      </c>
      <c r="AH327">
        <f>IFERROR(VLOOKUP($A327,koronahun!$A:$AM,34,FALSE),"")</f>
        <v>50338</v>
      </c>
      <c r="AI327">
        <f>IFERROR(VLOOKUP($A327,koronahun!$A:$AM,35,FALSE),"")</f>
        <v>63213.142857142855</v>
      </c>
      <c r="AJ327">
        <f>IFERROR(VLOOKUP($A327,koronahun!$A:$AM,36,FALSE),"")</f>
        <v>913012</v>
      </c>
      <c r="AK327">
        <f>IFERROR(VLOOKUP($A327,koronahun!$A:$AM,37,FALSE),"")</f>
        <v>7895</v>
      </c>
      <c r="AL327">
        <f>IFERROR(VLOOKUP($A327,koronahun!$A:$AM,38,FALSE),"")</f>
        <v>31945.714285714286</v>
      </c>
      <c r="AM327" s="14">
        <f>IFERROR(VLOOKUP($A327,koronahun!$A:$AM,39,FALSE),"")</f>
        <v>2589</v>
      </c>
      <c r="AN327" s="11">
        <f ca="1">IFERROR(__xludf.DUMMYFUNCTION("""COMPUTED_VALUE"""),44219)</f>
        <v>44219</v>
      </c>
      <c r="AO327" s="12">
        <f ca="1">IFERROR(VLOOKUP(AN327,koronahun!A:B,2,FALSE),"")</f>
        <v>358317</v>
      </c>
      <c r="AP327" s="11">
        <f t="shared" ca="1" si="2"/>
        <v>44219</v>
      </c>
      <c r="AQ327" s="11">
        <f ca="1">IFERROR(__xludf.DUMMYFUNCTION("""COMPUTED_VALUE"""),44219)</f>
        <v>44219</v>
      </c>
      <c r="AR327" s="11">
        <v>44292</v>
      </c>
      <c r="AS327" s="11">
        <f t="shared" si="3"/>
        <v>44292</v>
      </c>
      <c r="AT327" s="11">
        <f ca="1">IFERROR(__xludf.DUMMYFUNCTION("""COMPUTED_VALUE"""),44291)</f>
        <v>44291</v>
      </c>
    </row>
    <row r="328" spans="1:46" ht="13">
      <c r="A328" s="11">
        <v>44290</v>
      </c>
      <c r="B328">
        <f>IFERROR(VLOOKUP($A328,koronahun!$A:$AM,2,FALSE),"")</f>
        <v>685979</v>
      </c>
      <c r="C328">
        <f>IFERROR(VLOOKUP($A328,koronahun!$A:$AM,3,FALSE),"")</f>
        <v>6566</v>
      </c>
      <c r="D328">
        <f>IFERROR(VLOOKUP($A328,koronahun!$A:$AM,4,FALSE),"")</f>
        <v>21715</v>
      </c>
      <c r="E328">
        <f>IFERROR(VLOOKUP($A328,koronahun!$A:$AM,5,FALSE),"")</f>
        <v>416972</v>
      </c>
      <c r="F328">
        <f>IFERROR(VLOOKUP($A328,koronahun!$A:$AM,6,FALSE),"")</f>
        <v>4753281</v>
      </c>
      <c r="G328" s="12">
        <f>IFERROR(VLOOKUP($A328,koronahun!$A:$AM,7,FALSE),"")</f>
        <v>485028.67346938769</v>
      </c>
      <c r="H328">
        <f>IFERROR(VLOOKUP($A328,koronahun!$A:$AM,8,FALSE),"")</f>
        <v>0</v>
      </c>
      <c r="I328" s="13">
        <f>IFERROR(VLOOKUP($A328,koronahun!$A:$AM,9,FALSE),"")</f>
        <v>9.6642248529245096E-3</v>
      </c>
      <c r="J328" s="13">
        <f>IFERROR(VLOOKUP($A328,koronahun!$A:$AM,10,FALSE),"")</f>
        <v>0.1443169465470272</v>
      </c>
      <c r="K328" s="13">
        <f>IFERROR(VLOOKUP($A328,koronahun!$A:$AM,11,FALSE),"")</f>
        <v>5.7327397328967309E-3</v>
      </c>
      <c r="L328">
        <f>IFERROR(VLOOKUP($A328,koronahun!$A:$AM,12,FALSE),"")</f>
        <v>247292</v>
      </c>
      <c r="M328" s="13">
        <f>IFERROR(VLOOKUP($A328,koronahun!$A:$AM,13,FALSE),"")</f>
        <v>3.1655487995988218E-2</v>
      </c>
      <c r="N328" s="13">
        <f>IFERROR(VLOOKUP($A328,koronahun!$A:$AM,14,FALSE),"")</f>
        <v>0.60784951142819243</v>
      </c>
      <c r="O328">
        <f>IFERROR(VLOOKUP($A328,koronahun!$A:$AM,15,FALSE),"")</f>
        <v>52528</v>
      </c>
      <c r="P328">
        <f>IFERROR(VLOOKUP($A328,koronahun!$A:$AM,16,FALSE),"")</f>
        <v>27094</v>
      </c>
      <c r="Q328" s="13">
        <f>IFERROR(VLOOKUP($A328,koronahun!$A:$AM,17,FALSE),"")</f>
        <v>0.24234147781796708</v>
      </c>
      <c r="R328">
        <f>IFERROR(VLOOKUP($A328,koronahun!$A:$AM,18,FALSE),"")</f>
        <v>211</v>
      </c>
      <c r="S328">
        <f>IFERROR(VLOOKUP($A328,koronahun!$A:$AM,19,FALSE),"")</f>
        <v>1371</v>
      </c>
      <c r="T328">
        <f>IFERROR(VLOOKUP($A328,koronahun!$A:$AM,20,FALSE),"")</f>
        <v>11571</v>
      </c>
      <c r="U328">
        <f>IFERROR(VLOOKUP($A328,koronahun!$A:$AM,21,FALSE),"")</f>
        <v>1440</v>
      </c>
      <c r="V328" s="13">
        <f>IFERROR(VLOOKUP($A328,koronahun!$A:$AM,22,FALSE),"")</f>
        <v>0.3604950005758194</v>
      </c>
      <c r="W328">
        <f>IFERROR(VLOOKUP($A328,koronahun!$A:$AM,23,FALSE),"")</f>
        <v>188</v>
      </c>
      <c r="X328">
        <f>IFERROR(VLOOKUP($A328,koronahun!$A:$AM,24,FALSE),"")</f>
        <v>3</v>
      </c>
      <c r="Y328" s="14">
        <f>IFERROR(VLOOKUP($A328,koronahun!$A:$AM,25,FALSE),"")</f>
        <v>4.6790838361127733E-2</v>
      </c>
      <c r="Z328" s="14">
        <f>IFERROR(VLOOKUP($A328,koronahun!$A:$AM,26,FALSE),"")</f>
        <v>0.1244490536686544</v>
      </c>
      <c r="AA328" s="14">
        <f>IFERROR(VLOOKUP($A328,koronahun!$A:$AM,27,FALSE),"")</f>
        <v>0.83703525254958644</v>
      </c>
      <c r="AB328" s="14">
        <f>IFERROR(VLOOKUP($A328,koronahun!$A:$AM,28,FALSE),"")</f>
        <v>0.93521726291908303</v>
      </c>
      <c r="AC328" s="14">
        <f>IFERROR(VLOOKUP($A328,koronahun!$A:$AM,29,FALSE),"")</f>
        <v>7445.4285714285716</v>
      </c>
      <c r="AD328" s="14">
        <f>IFERROR(VLOOKUP($A328,koronahun!$A:$AM,30,FALSE),"")</f>
        <v>249</v>
      </c>
      <c r="AE328" s="14">
        <f>IFERROR(VLOOKUP($A328,koronahun!$A:$AM,31,FALSE),"")</f>
        <v>33973.857142857145</v>
      </c>
      <c r="AF328" s="13">
        <f>IFERROR(VLOOKUP($A328,koronahun!$A:$AM,32,FALSE),"")</f>
        <v>0.22281140934354512</v>
      </c>
      <c r="AG328">
        <f>IFERROR(VLOOKUP($A328,koronahun!$A:$AM,33,FALSE),"")</f>
        <v>2312501</v>
      </c>
      <c r="AH328">
        <f>IFERROR(VLOOKUP($A328,koronahun!$A:$AM,34,FALSE),"")</f>
        <v>76770</v>
      </c>
      <c r="AI328">
        <f>IFERROR(VLOOKUP($A328,koronahun!$A:$AM,35,FALSE),"")</f>
        <v>58429</v>
      </c>
      <c r="AJ328">
        <f>IFERROR(VLOOKUP($A328,koronahun!$A:$AM,36,FALSE),"")</f>
        <v>905117</v>
      </c>
      <c r="AK328">
        <f>IFERROR(VLOOKUP($A328,koronahun!$A:$AM,37,FALSE),"")</f>
        <v>14115</v>
      </c>
      <c r="AL328">
        <f>IFERROR(VLOOKUP($A328,koronahun!$A:$AM,38,FALSE),"")</f>
        <v>31306.571428571428</v>
      </c>
      <c r="AM328" s="14">
        <f>IFERROR(VLOOKUP($A328,koronahun!$A:$AM,39,FALSE),"")</f>
        <v>3026</v>
      </c>
      <c r="AN328" s="11">
        <f ca="1">IFERROR(__xludf.DUMMYFUNCTION("""COMPUTED_VALUE"""),44220)</f>
        <v>44220</v>
      </c>
      <c r="AO328" s="12">
        <f ca="1">IFERROR(VLOOKUP(AN328,koronahun!A:B,2,FALSE),"")</f>
        <v>359574</v>
      </c>
      <c r="AP328" s="11">
        <f t="shared" ca="1" si="2"/>
        <v>44220</v>
      </c>
      <c r="AQ328" s="11">
        <f ca="1">IFERROR(__xludf.DUMMYFUNCTION("""COMPUTED_VALUE"""),44220)</f>
        <v>44220</v>
      </c>
      <c r="AR328" s="11">
        <v>44291</v>
      </c>
      <c r="AS328" s="11">
        <f t="shared" si="3"/>
        <v>44291</v>
      </c>
      <c r="AT328" s="11">
        <f ca="1">IFERROR(__xludf.DUMMYFUNCTION("""COMPUTED_VALUE"""),44290)</f>
        <v>44290</v>
      </c>
    </row>
    <row r="329" spans="1:46" ht="13">
      <c r="A329" s="11">
        <v>44289</v>
      </c>
      <c r="B329">
        <f>IFERROR(VLOOKUP($A329,koronahun!$A:$AM,2,FALSE),"")</f>
        <v>679413</v>
      </c>
      <c r="C329">
        <f>IFERROR(VLOOKUP($A329,koronahun!$A:$AM,3,FALSE),"")</f>
        <v>8637</v>
      </c>
      <c r="D329">
        <f>IFERROR(VLOOKUP($A329,koronahun!$A:$AM,4,FALSE),"")</f>
        <v>21504</v>
      </c>
      <c r="E329">
        <f>IFERROR(VLOOKUP($A329,koronahun!$A:$AM,5,FALSE),"")</f>
        <v>415601</v>
      </c>
      <c r="F329">
        <f>IFERROR(VLOOKUP($A329,koronahun!$A:$AM,6,FALSE),"")</f>
        <v>4726187</v>
      </c>
      <c r="G329" s="12">
        <f>IFERROR(VLOOKUP($A329,koronahun!$A:$AM,7,FALSE),"")</f>
        <v>482263.97959183669</v>
      </c>
      <c r="H329">
        <f>IFERROR(VLOOKUP($A329,koronahun!$A:$AM,8,FALSE),"")</f>
        <v>0</v>
      </c>
      <c r="I329" s="13">
        <f>IFERROR(VLOOKUP($A329,koronahun!$A:$AM,9,FALSE),"")</f>
        <v>1.2876131525278185E-2</v>
      </c>
      <c r="J329" s="13">
        <f>IFERROR(VLOOKUP($A329,koronahun!$A:$AM,10,FALSE),"")</f>
        <v>0.14375499742181169</v>
      </c>
      <c r="K329" s="13">
        <f>IFERROR(VLOOKUP($A329,koronahun!$A:$AM,11,FALSE),"")</f>
        <v>7.8040954121992353E-3</v>
      </c>
      <c r="L329">
        <f>IFERROR(VLOOKUP($A329,koronahun!$A:$AM,12,FALSE),"")</f>
        <v>242308</v>
      </c>
      <c r="M329" s="13">
        <f>IFERROR(VLOOKUP($A329,koronahun!$A:$AM,13,FALSE),"")</f>
        <v>3.1650851543906282E-2</v>
      </c>
      <c r="N329" s="13">
        <f>IFERROR(VLOOKUP($A329,koronahun!$A:$AM,14,FALSE),"")</f>
        <v>0.6117059873743953</v>
      </c>
      <c r="O329">
        <f>IFERROR(VLOOKUP($A329,koronahun!$A:$AM,15,FALSE),"")</f>
        <v>55056</v>
      </c>
      <c r="P329">
        <f>IFERROR(VLOOKUP($A329,koronahun!$A:$AM,16,FALSE),"")</f>
        <v>36598</v>
      </c>
      <c r="Q329" s="13">
        <f>IFERROR(VLOOKUP($A329,koronahun!$A:$AM,17,FALSE),"")</f>
        <v>0.23599650254112248</v>
      </c>
      <c r="R329">
        <f>IFERROR(VLOOKUP($A329,koronahun!$A:$AM,18,FALSE),"")</f>
        <v>242</v>
      </c>
      <c r="S329">
        <f>IFERROR(VLOOKUP($A329,koronahun!$A:$AM,19,FALSE),"")</f>
        <v>2231</v>
      </c>
      <c r="T329">
        <f>IFERROR(VLOOKUP($A329,koronahun!$A:$AM,20,FALSE),"")</f>
        <v>11383</v>
      </c>
      <c r="U329">
        <f>IFERROR(VLOOKUP($A329,koronahun!$A:$AM,21,FALSE),"")</f>
        <v>1437</v>
      </c>
      <c r="V329" s="13">
        <f>IFERROR(VLOOKUP($A329,koronahun!$A:$AM,22,FALSE),"")</f>
        <v>0.35664316108169847</v>
      </c>
      <c r="W329">
        <f>IFERROR(VLOOKUP($A329,koronahun!$A:$AM,23,FALSE),"")</f>
        <v>-364</v>
      </c>
      <c r="X329">
        <f>IFERROR(VLOOKUP($A329,koronahun!$A:$AM,24,FALSE),"")</f>
        <v>-30</v>
      </c>
      <c r="Y329" s="14">
        <f>IFERROR(VLOOKUP($A329,koronahun!$A:$AM,25,FALSE),"")</f>
        <v>4.6977400663618205E-2</v>
      </c>
      <c r="Z329" s="14">
        <f>IFERROR(VLOOKUP($A329,koronahun!$A:$AM,26,FALSE),"")</f>
        <v>0.12624088553105509</v>
      </c>
      <c r="AA329" s="14">
        <f>IFERROR(VLOOKUP($A329,koronahun!$A:$AM,27,FALSE),"")</f>
        <v>0.85622492477432299</v>
      </c>
      <c r="AB329" s="14">
        <f>IFERROR(VLOOKUP($A329,koronahun!$A:$AM,28,FALSE),"")</f>
        <v>0.97705697799548752</v>
      </c>
      <c r="AC329" s="14">
        <f>IFERROR(VLOOKUP($A329,koronahun!$A:$AM,29,FALSE),"")</f>
        <v>7804.8571428571431</v>
      </c>
      <c r="AD329" s="14">
        <f>IFERROR(VLOOKUP($A329,koronahun!$A:$AM,30,FALSE),"")</f>
        <v>250.28571428571428</v>
      </c>
      <c r="AE329" s="14">
        <f>IFERROR(VLOOKUP($A329,koronahun!$A:$AM,31,FALSE),"")</f>
        <v>34289.142857142855</v>
      </c>
      <c r="AF329" s="13">
        <f>IFERROR(VLOOKUP($A329,koronahun!$A:$AM,32,FALSE),"")</f>
        <v>0.23247052560216006</v>
      </c>
      <c r="AG329">
        <f>IFERROR(VLOOKUP($A329,koronahun!$A:$AM,33,FALSE),"")</f>
        <v>2235731</v>
      </c>
      <c r="AH329">
        <f>IFERROR(VLOOKUP($A329,koronahun!$A:$AM,34,FALSE),"")</f>
        <v>79051</v>
      </c>
      <c r="AI329">
        <f>IFERROR(VLOOKUP($A329,koronahun!$A:$AM,35,FALSE),"")</f>
        <v>52157.142857142855</v>
      </c>
      <c r="AJ329">
        <f>IFERROR(VLOOKUP($A329,koronahun!$A:$AM,36,FALSE),"")</f>
        <v>891002</v>
      </c>
      <c r="AK329">
        <f>IFERROR(VLOOKUP($A329,koronahun!$A:$AM,37,FALSE),"")</f>
        <v>27807</v>
      </c>
      <c r="AL329">
        <f>IFERROR(VLOOKUP($A329,koronahun!$A:$AM,38,FALSE),"")</f>
        <v>31957</v>
      </c>
      <c r="AM329" s="14">
        <f>IFERROR(VLOOKUP($A329,koronahun!$A:$AM,39,FALSE),"")</f>
        <v>3086</v>
      </c>
      <c r="AN329" s="11">
        <f ca="1">IFERROR(__xludf.DUMMYFUNCTION("""COMPUTED_VALUE"""),44221)</f>
        <v>44221</v>
      </c>
      <c r="AO329" s="12">
        <f ca="1">IFERROR(VLOOKUP(AN329,koronahun!A:B,2,FALSE),"")</f>
        <v>360418</v>
      </c>
      <c r="AP329" s="11">
        <f t="shared" ca="1" si="2"/>
        <v>44221</v>
      </c>
      <c r="AQ329" s="11">
        <f ca="1">IFERROR(__xludf.DUMMYFUNCTION("""COMPUTED_VALUE"""),44221)</f>
        <v>44221</v>
      </c>
      <c r="AR329" s="11">
        <v>44290</v>
      </c>
      <c r="AS329" s="11">
        <f t="shared" si="3"/>
        <v>44290</v>
      </c>
      <c r="AT329" s="11">
        <f ca="1">IFERROR(__xludf.DUMMYFUNCTION("""COMPUTED_VALUE"""),44289)</f>
        <v>44289</v>
      </c>
    </row>
    <row r="330" spans="1:46" ht="13">
      <c r="A330" s="11">
        <v>44288</v>
      </c>
      <c r="B330">
        <f>IFERROR(VLOOKUP($A330,koronahun!$A:$AM,2,FALSE),"")</f>
        <v>670776</v>
      </c>
      <c r="C330">
        <f>IFERROR(VLOOKUP($A330,koronahun!$A:$AM,3,FALSE),"")</f>
        <v>9055</v>
      </c>
      <c r="D330">
        <f>IFERROR(VLOOKUP($A330,koronahun!$A:$AM,4,FALSE),"")</f>
        <v>21262</v>
      </c>
      <c r="E330">
        <f>IFERROR(VLOOKUP($A330,koronahun!$A:$AM,5,FALSE),"")</f>
        <v>413370</v>
      </c>
      <c r="F330">
        <f>IFERROR(VLOOKUP($A330,koronahun!$A:$AM,6,FALSE),"")</f>
        <v>4689589</v>
      </c>
      <c r="G330" s="12">
        <f>IFERROR(VLOOKUP($A330,koronahun!$A:$AM,7,FALSE),"")</f>
        <v>478529.48979591834</v>
      </c>
      <c r="H330">
        <f>IFERROR(VLOOKUP($A330,koronahun!$A:$AM,8,FALSE),"")</f>
        <v>0</v>
      </c>
      <c r="I330" s="13">
        <f>IFERROR(VLOOKUP($A330,koronahun!$A:$AM,9,FALSE),"")</f>
        <v>1.3684014864270592E-2</v>
      </c>
      <c r="J330" s="13">
        <f>IFERROR(VLOOKUP($A330,koronahun!$A:$AM,10,FALSE),"")</f>
        <v>0.14303513591489575</v>
      </c>
      <c r="K330" s="13">
        <f>IFERROR(VLOOKUP($A330,koronahun!$A:$AM,11,FALSE),"")</f>
        <v>8.6013924650657821E-3</v>
      </c>
      <c r="L330">
        <f>IFERROR(VLOOKUP($A330,koronahun!$A:$AM,12,FALSE),"")</f>
        <v>236144</v>
      </c>
      <c r="M330" s="13">
        <f>IFERROR(VLOOKUP($A330,koronahun!$A:$AM,13,FALSE),"")</f>
        <v>3.1697615895619403E-2</v>
      </c>
      <c r="N330" s="13">
        <f>IFERROR(VLOOKUP($A330,koronahun!$A:$AM,14,FALSE),"")</f>
        <v>0.61625639557765932</v>
      </c>
      <c r="O330">
        <f>IFERROR(VLOOKUP($A330,koronahun!$A:$AM,15,FALSE),"")</f>
        <v>57800</v>
      </c>
      <c r="P330">
        <f>IFERROR(VLOOKUP($A330,koronahun!$A:$AM,16,FALSE),"")</f>
        <v>39993</v>
      </c>
      <c r="Q330" s="13">
        <f>IFERROR(VLOOKUP($A330,koronahun!$A:$AM,17,FALSE),"")</f>
        <v>0.22641462255894781</v>
      </c>
      <c r="R330">
        <f>IFERROR(VLOOKUP($A330,koronahun!$A:$AM,18,FALSE),"")</f>
        <v>267</v>
      </c>
      <c r="S330">
        <f>IFERROR(VLOOKUP($A330,koronahun!$A:$AM,19,FALSE),"")</f>
        <v>2805</v>
      </c>
      <c r="T330">
        <f>IFERROR(VLOOKUP($A330,koronahun!$A:$AM,20,FALSE),"")</f>
        <v>11747</v>
      </c>
      <c r="U330">
        <f>IFERROR(VLOOKUP($A330,koronahun!$A:$AM,21,FALSE),"")</f>
        <v>1467</v>
      </c>
      <c r="V330" s="13">
        <f>IFERROR(VLOOKUP($A330,koronahun!$A:$AM,22,FALSE),"")</f>
        <v>0.35204598852672131</v>
      </c>
      <c r="W330">
        <f>IFERROR(VLOOKUP($A330,koronahun!$A:$AM,23,FALSE),"")</f>
        <v>-315</v>
      </c>
      <c r="X330">
        <f>IFERROR(VLOOKUP($A330,koronahun!$A:$AM,24,FALSE),"")</f>
        <v>-45</v>
      </c>
      <c r="Y330" s="14">
        <f>IFERROR(VLOOKUP($A330,koronahun!$A:$AM,25,FALSE),"")</f>
        <v>4.9745070804255033E-2</v>
      </c>
      <c r="Z330" s="14">
        <f>IFERROR(VLOOKUP($A330,koronahun!$A:$AM,26,FALSE),"")</f>
        <v>0.12488294883800119</v>
      </c>
      <c r="AA330" s="14">
        <f>IFERROR(VLOOKUP($A330,koronahun!$A:$AM,27,FALSE),"")</f>
        <v>0.86708968242940732</v>
      </c>
      <c r="AB330" s="14">
        <f>IFERROR(VLOOKUP($A330,koronahun!$A:$AM,28,FALSE),"")</f>
        <v>1.0256192412915028</v>
      </c>
      <c r="AC330" s="14">
        <f>IFERROR(VLOOKUP($A330,koronahun!$A:$AM,29,FALSE),"")</f>
        <v>8023.4285714285716</v>
      </c>
      <c r="AD330" s="14">
        <f>IFERROR(VLOOKUP($A330,koronahun!$A:$AM,30,FALSE),"")</f>
        <v>251.85714285714286</v>
      </c>
      <c r="AE330" s="14">
        <f>IFERROR(VLOOKUP($A330,koronahun!$A:$AM,31,FALSE),"")</f>
        <v>35139.857142857145</v>
      </c>
      <c r="AF330" s="13">
        <f>IFERROR(VLOOKUP($A330,koronahun!$A:$AM,32,FALSE),"")</f>
        <v>0.23288896454844091</v>
      </c>
      <c r="AG330">
        <f>IFERROR(VLOOKUP($A330,koronahun!$A:$AM,33,FALSE),"")</f>
        <v>2156680</v>
      </c>
      <c r="AH330">
        <f>IFERROR(VLOOKUP($A330,koronahun!$A:$AM,34,FALSE),"")</f>
        <v>90732</v>
      </c>
      <c r="AI330">
        <f>IFERROR(VLOOKUP($A330,koronahun!$A:$AM,35,FALSE),"")</f>
        <v>50449.571428571428</v>
      </c>
      <c r="AJ330">
        <f>IFERROR(VLOOKUP($A330,koronahun!$A:$AM,36,FALSE),"")</f>
        <v>863195</v>
      </c>
      <c r="AK330">
        <f>IFERROR(VLOOKUP($A330,koronahun!$A:$AM,37,FALSE),"")</f>
        <v>75988</v>
      </c>
      <c r="AL330">
        <f>IFERROR(VLOOKUP($A330,koronahun!$A:$AM,38,FALSE),"")</f>
        <v>38361.857142857145</v>
      </c>
      <c r="AM330" s="14">
        <f>IFERROR(VLOOKUP($A330,koronahun!$A:$AM,39,FALSE),"")</f>
        <v>3008</v>
      </c>
      <c r="AN330" s="11">
        <f ca="1">IFERROR(__xludf.DUMMYFUNCTION("""COMPUTED_VALUE"""),44222)</f>
        <v>44222</v>
      </c>
      <c r="AO330" s="12">
        <f ca="1">IFERROR(VLOOKUP(AN330,koronahun!A:B,2,FALSE),"")</f>
        <v>360877</v>
      </c>
      <c r="AP330" s="11">
        <f t="shared" ca="1" si="2"/>
        <v>44222</v>
      </c>
      <c r="AQ330" s="11">
        <f ca="1">IFERROR(__xludf.DUMMYFUNCTION("""COMPUTED_VALUE"""),44222)</f>
        <v>44222</v>
      </c>
      <c r="AR330" s="11">
        <v>44289</v>
      </c>
      <c r="AS330" s="11">
        <f t="shared" si="3"/>
        <v>44289</v>
      </c>
      <c r="AT330" s="11">
        <f ca="1">IFERROR(__xludf.DUMMYFUNCTION("""COMPUTED_VALUE"""),44288)</f>
        <v>44288</v>
      </c>
    </row>
    <row r="331" spans="1:46" ht="13">
      <c r="A331" s="11">
        <v>44287</v>
      </c>
      <c r="B331">
        <f>IFERROR(VLOOKUP($A331,koronahun!$A:$AM,2,FALSE),"")</f>
        <v>661721</v>
      </c>
      <c r="C331">
        <f>IFERROR(VLOOKUP($A331,koronahun!$A:$AM,3,FALSE),"")</f>
        <v>9288</v>
      </c>
      <c r="D331">
        <f>IFERROR(VLOOKUP($A331,koronahun!$A:$AM,4,FALSE),"")</f>
        <v>20995</v>
      </c>
      <c r="E331">
        <f>IFERROR(VLOOKUP($A331,koronahun!$A:$AM,5,FALSE),"")</f>
        <v>410565</v>
      </c>
      <c r="F331">
        <f>IFERROR(VLOOKUP($A331,koronahun!$A:$AM,6,FALSE),"")</f>
        <v>4649596</v>
      </c>
      <c r="G331" s="12">
        <f>IFERROR(VLOOKUP($A331,koronahun!$A:$AM,7,FALSE),"")</f>
        <v>474448.57142857142</v>
      </c>
      <c r="H331">
        <f>IFERROR(VLOOKUP($A331,koronahun!$A:$AM,8,FALSE),"")</f>
        <v>0</v>
      </c>
      <c r="I331" s="13">
        <f>IFERROR(VLOOKUP($A331,koronahun!$A:$AM,9,FALSE),"")</f>
        <v>1.4235944533768218E-2</v>
      </c>
      <c r="J331" s="13">
        <f>IFERROR(VLOOKUP($A331,koronahun!$A:$AM,10,FALSE),"")</f>
        <v>0.14231795622673454</v>
      </c>
      <c r="K331" s="13">
        <f>IFERROR(VLOOKUP($A331,koronahun!$A:$AM,11,FALSE),"")</f>
        <v>8.7747160432114189E-3</v>
      </c>
      <c r="L331">
        <f>IFERROR(VLOOKUP($A331,koronahun!$A:$AM,12,FALSE),"")</f>
        <v>230161</v>
      </c>
      <c r="M331" s="13">
        <f>IFERROR(VLOOKUP($A331,koronahun!$A:$AM,13,FALSE),"")</f>
        <v>3.1727873227538492E-2</v>
      </c>
      <c r="N331" s="13">
        <f>IFERROR(VLOOKUP($A331,koronahun!$A:$AM,14,FALSE),"")</f>
        <v>0.62045031062940426</v>
      </c>
      <c r="O331">
        <f>IFERROR(VLOOKUP($A331,koronahun!$A:$AM,15,FALSE),"")</f>
        <v>55915</v>
      </c>
      <c r="P331">
        <f>IFERROR(VLOOKUP($A331,koronahun!$A:$AM,16,FALSE),"")</f>
        <v>40444</v>
      </c>
      <c r="Q331" s="13">
        <f>IFERROR(VLOOKUP($A331,koronahun!$A:$AM,17,FALSE),"")</f>
        <v>0.22965087528434378</v>
      </c>
      <c r="R331">
        <f>IFERROR(VLOOKUP($A331,koronahun!$A:$AM,18,FALSE),"")</f>
        <v>258</v>
      </c>
      <c r="S331">
        <f>IFERROR(VLOOKUP($A331,koronahun!$A:$AM,19,FALSE),"")</f>
        <v>3630</v>
      </c>
      <c r="T331">
        <f>IFERROR(VLOOKUP($A331,koronahun!$A:$AM,20,FALSE),"")</f>
        <v>12062</v>
      </c>
      <c r="U331">
        <f>IFERROR(VLOOKUP($A331,koronahun!$A:$AM,21,FALSE),"")</f>
        <v>1512</v>
      </c>
      <c r="V331" s="13">
        <f>IFERROR(VLOOKUP($A331,koronahun!$A:$AM,22,FALSE),"")</f>
        <v>0.34782181614305729</v>
      </c>
      <c r="W331">
        <f>IFERROR(VLOOKUP($A331,koronahun!$A:$AM,23,FALSE),"")</f>
        <v>-284</v>
      </c>
      <c r="X331">
        <f>IFERROR(VLOOKUP($A331,koronahun!$A:$AM,24,FALSE),"")</f>
        <v>20</v>
      </c>
      <c r="Y331" s="14">
        <f>IFERROR(VLOOKUP($A331,koronahun!$A:$AM,25,FALSE),"")</f>
        <v>5.2406793505415772E-2</v>
      </c>
      <c r="Z331" s="14">
        <f>IFERROR(VLOOKUP($A331,koronahun!$A:$AM,26,FALSE),"")</f>
        <v>0.12535234621124192</v>
      </c>
      <c r="AA331" s="14">
        <f>IFERROR(VLOOKUP($A331,koronahun!$A:$AM,27,FALSE),"")</f>
        <v>0.9083044175082079</v>
      </c>
      <c r="AB331" s="14">
        <f>IFERROR(VLOOKUP($A331,koronahun!$A:$AM,28,FALSE),"")</f>
        <v>1.0808821214559605</v>
      </c>
      <c r="AC331" s="14">
        <f>IFERROR(VLOOKUP($A331,koronahun!$A:$AM,29,FALSE),"")</f>
        <v>8339.1428571428569</v>
      </c>
      <c r="AD331" s="14">
        <f>IFERROR(VLOOKUP($A331,koronahun!$A:$AM,30,FALSE),"")</f>
        <v>253</v>
      </c>
      <c r="AE331" s="14">
        <f>IFERROR(VLOOKUP($A331,koronahun!$A:$AM,31,FALSE),"")</f>
        <v>35182.714285714283</v>
      </c>
      <c r="AF331" s="13">
        <f>IFERROR(VLOOKUP($A331,koronahun!$A:$AM,32,FALSE),"")</f>
        <v>0.24048360386272205</v>
      </c>
      <c r="AG331">
        <f>IFERROR(VLOOKUP($A331,koronahun!$A:$AM,33,FALSE),"")</f>
        <v>2065948</v>
      </c>
      <c r="AH331">
        <f>IFERROR(VLOOKUP($A331,koronahun!$A:$AM,34,FALSE),"")</f>
        <v>54919</v>
      </c>
      <c r="AI331">
        <f>IFERROR(VLOOKUP($A331,koronahun!$A:$AM,35,FALSE),"")</f>
        <v>45489.857142857145</v>
      </c>
      <c r="AJ331">
        <f>IFERROR(VLOOKUP($A331,koronahun!$A:$AM,36,FALSE),"")</f>
        <v>787207</v>
      </c>
      <c r="AK331">
        <f>IFERROR(VLOOKUP($A331,koronahun!$A:$AM,37,FALSE),"")</f>
        <v>34020</v>
      </c>
      <c r="AL331">
        <f>IFERROR(VLOOKUP($A331,koronahun!$A:$AM,38,FALSE),"")</f>
        <v>37514.714285714283</v>
      </c>
      <c r="AM331" s="14">
        <f>IFERROR(VLOOKUP($A331,koronahun!$A:$AM,39,FALSE),"")</f>
        <v>3285</v>
      </c>
      <c r="AN331" s="11">
        <f ca="1">IFERROR(__xludf.DUMMYFUNCTION("""COMPUTED_VALUE"""),44223)</f>
        <v>44223</v>
      </c>
      <c r="AO331" s="12">
        <f ca="1">IFERROR(VLOOKUP(AN331,koronahun!A:B,2,FALSE),"")</f>
        <v>361881</v>
      </c>
      <c r="AP331" s="11">
        <f t="shared" ca="1" si="2"/>
        <v>44223</v>
      </c>
      <c r="AQ331" s="11">
        <f ca="1">IFERROR(__xludf.DUMMYFUNCTION("""COMPUTED_VALUE"""),44223)</f>
        <v>44223</v>
      </c>
      <c r="AR331" s="11">
        <v>44288</v>
      </c>
      <c r="AS331" s="11">
        <f t="shared" si="3"/>
        <v>44288</v>
      </c>
      <c r="AT331" s="11">
        <f ca="1">IFERROR(__xludf.DUMMYFUNCTION("""COMPUTED_VALUE"""),44287)</f>
        <v>44287</v>
      </c>
    </row>
    <row r="332" spans="1:46" ht="13">
      <c r="A332" s="11">
        <v>44286</v>
      </c>
      <c r="B332">
        <f>IFERROR(VLOOKUP($A332,koronahun!$A:$AM,2,FALSE),"")</f>
        <v>652433</v>
      </c>
      <c r="C332">
        <f>IFERROR(VLOOKUP($A332,koronahun!$A:$AM,3,FALSE),"")</f>
        <v>6700</v>
      </c>
      <c r="D332">
        <f>IFERROR(VLOOKUP($A332,koronahun!$A:$AM,4,FALSE),"")</f>
        <v>20737</v>
      </c>
      <c r="E332">
        <f>IFERROR(VLOOKUP($A332,koronahun!$A:$AM,5,FALSE),"")</f>
        <v>406935</v>
      </c>
      <c r="F332">
        <f>IFERROR(VLOOKUP($A332,koronahun!$A:$AM,6,FALSE),"")</f>
        <v>4609152</v>
      </c>
      <c r="G332" s="12">
        <f>IFERROR(VLOOKUP($A332,koronahun!$A:$AM,7,FALSE),"")</f>
        <v>470321.63265306118</v>
      </c>
      <c r="H332">
        <f>IFERROR(VLOOKUP($A332,koronahun!$A:$AM,8,FALSE),"")</f>
        <v>0</v>
      </c>
      <c r="I332" s="13">
        <f>IFERROR(VLOOKUP($A332,koronahun!$A:$AM,9,FALSE),"")</f>
        <v>1.0375805479973922E-2</v>
      </c>
      <c r="J332" s="13">
        <f>IFERROR(VLOOKUP($A332,koronahun!$A:$AM,10,FALSE),"")</f>
        <v>0.14155163466077925</v>
      </c>
      <c r="K332" s="13">
        <f>IFERROR(VLOOKUP($A332,koronahun!$A:$AM,11,FALSE),"")</f>
        <v>7.1571572227765159E-3</v>
      </c>
      <c r="L332">
        <f>IFERROR(VLOOKUP($A332,koronahun!$A:$AM,12,FALSE),"")</f>
        <v>224761</v>
      </c>
      <c r="M332" s="13">
        <f>IFERROR(VLOOKUP($A332,koronahun!$A:$AM,13,FALSE),"")</f>
        <v>3.1784106567264381E-2</v>
      </c>
      <c r="N332" s="13">
        <f>IFERROR(VLOOKUP($A332,koronahun!$A:$AM,14,FALSE),"")</f>
        <v>0.62371921714566858</v>
      </c>
      <c r="O332">
        <f>IFERROR(VLOOKUP($A332,koronahun!$A:$AM,15,FALSE),"")</f>
        <v>55287</v>
      </c>
      <c r="P332">
        <f>IFERROR(VLOOKUP($A332,koronahun!$A:$AM,16,FALSE),"")</f>
        <v>32754</v>
      </c>
      <c r="Q332" s="13">
        <f>IFERROR(VLOOKUP($A332,koronahun!$A:$AM,17,FALSE),"")</f>
        <v>0.20455516883434086</v>
      </c>
      <c r="R332">
        <f>IFERROR(VLOOKUP($A332,koronahun!$A:$AM,18,FALSE),"")</f>
        <v>302</v>
      </c>
      <c r="S332">
        <f>IFERROR(VLOOKUP($A332,koronahun!$A:$AM,19,FALSE),"")</f>
        <v>3971</v>
      </c>
      <c r="T332">
        <f>IFERROR(VLOOKUP($A332,koronahun!$A:$AM,20,FALSE),"")</f>
        <v>12346</v>
      </c>
      <c r="U332">
        <f>IFERROR(VLOOKUP($A332,koronahun!$A:$AM,21,FALSE),"")</f>
        <v>1492</v>
      </c>
      <c r="V332" s="13">
        <f>IFERROR(VLOOKUP($A332,koronahun!$A:$AM,22,FALSE),"")</f>
        <v>0.34449667628706704</v>
      </c>
      <c r="W332">
        <f>IFERROR(VLOOKUP($A332,koronahun!$A:$AM,23,FALSE),"")</f>
        <v>-207</v>
      </c>
      <c r="X332">
        <f>IFERROR(VLOOKUP($A332,koronahun!$A:$AM,24,FALSE),"")</f>
        <v>-37</v>
      </c>
      <c r="Y332" s="14">
        <f>IFERROR(VLOOKUP($A332,koronahun!$A:$AM,25,FALSE),"")</f>
        <v>5.4929458402480855E-2</v>
      </c>
      <c r="Z332" s="14">
        <f>IFERROR(VLOOKUP($A332,koronahun!$A:$AM,26,FALSE),"")</f>
        <v>0.12084885792969383</v>
      </c>
      <c r="AA332" s="14">
        <f>IFERROR(VLOOKUP($A332,koronahun!$A:$AM,27,FALSE),"")</f>
        <v>0.96059346986848126</v>
      </c>
      <c r="AB332" s="14">
        <f>IFERROR(VLOOKUP($A332,koronahun!$A:$AM,28,FALSE),"")</f>
        <v>1.1350828311360586</v>
      </c>
      <c r="AC332" s="14">
        <f>IFERROR(VLOOKUP($A332,koronahun!$A:$AM,29,FALSE),"")</f>
        <v>8389</v>
      </c>
      <c r="AD332" s="14">
        <f>IFERROR(VLOOKUP($A332,koronahun!$A:$AM,30,FALSE),"")</f>
        <v>255</v>
      </c>
      <c r="AE332" s="14">
        <f>IFERROR(VLOOKUP($A332,koronahun!$A:$AM,31,FALSE),"")</f>
        <v>34464.571428571428</v>
      </c>
      <c r="AF332" s="13">
        <f>IFERROR(VLOOKUP($A332,koronahun!$A:$AM,32,FALSE),"")</f>
        <v>0.24654790288802628</v>
      </c>
      <c r="AG332">
        <f>IFERROR(VLOOKUP($A332,koronahun!$A:$AM,33,FALSE),"")</f>
        <v>2011029</v>
      </c>
      <c r="AH332">
        <f>IFERROR(VLOOKUP($A332,koronahun!$A:$AM,34,FALSE),"")</f>
        <v>10031</v>
      </c>
      <c r="AI332">
        <f>IFERROR(VLOOKUP($A332,koronahun!$A:$AM,35,FALSE),"")</f>
        <v>44988.428571428572</v>
      </c>
      <c r="AJ332">
        <f>IFERROR(VLOOKUP($A332,koronahun!$A:$AM,36,FALSE),"")</f>
        <v>753187</v>
      </c>
      <c r="AK332">
        <f>IFERROR(VLOOKUP($A332,koronahun!$A:$AM,37,FALSE),"")</f>
        <v>31898</v>
      </c>
      <c r="AL332">
        <f>IFERROR(VLOOKUP($A332,koronahun!$A:$AM,38,FALSE),"")</f>
        <v>36952.428571428572</v>
      </c>
      <c r="AM332" s="14">
        <f>IFERROR(VLOOKUP($A332,koronahun!$A:$AM,39,FALSE),"")</f>
        <v>3589.7142857142858</v>
      </c>
      <c r="AN332" s="11">
        <f ca="1">IFERROR(__xludf.DUMMYFUNCTION("""COMPUTED_VALUE"""),44224)</f>
        <v>44224</v>
      </c>
      <c r="AO332" s="12">
        <f ca="1">IFERROR(VLOOKUP(AN332,koronahun!A:B,2,FALSE),"")</f>
        <v>363450</v>
      </c>
      <c r="AP332" s="11">
        <f t="shared" ca="1" si="2"/>
        <v>44224</v>
      </c>
      <c r="AQ332" s="11">
        <f ca="1">IFERROR(__xludf.DUMMYFUNCTION("""COMPUTED_VALUE"""),44224)</f>
        <v>44224</v>
      </c>
      <c r="AR332" s="11">
        <v>44287</v>
      </c>
      <c r="AS332" s="11">
        <f t="shared" si="3"/>
        <v>44287</v>
      </c>
      <c r="AT332" s="11">
        <f ca="1">IFERROR(__xludf.DUMMYFUNCTION("""COMPUTED_VALUE"""),44286)</f>
        <v>44286</v>
      </c>
    </row>
    <row r="333" spans="1:46" ht="13">
      <c r="A333" s="11">
        <v>44285</v>
      </c>
      <c r="B333">
        <f>IFERROR(VLOOKUP($A333,koronahun!$A:$AM,2,FALSE),"")</f>
        <v>645733</v>
      </c>
      <c r="C333">
        <f>IFERROR(VLOOKUP($A333,koronahun!$A:$AM,3,FALSE),"")</f>
        <v>4609</v>
      </c>
      <c r="D333">
        <f>IFERROR(VLOOKUP($A333,koronahun!$A:$AM,4,FALSE),"")</f>
        <v>20435</v>
      </c>
      <c r="E333">
        <f>IFERROR(VLOOKUP($A333,koronahun!$A:$AM,5,FALSE),"")</f>
        <v>402964</v>
      </c>
      <c r="F333">
        <f>IFERROR(VLOOKUP($A333,koronahun!$A:$AM,6,FALSE),"")</f>
        <v>4576398</v>
      </c>
      <c r="G333" s="12">
        <f>IFERROR(VLOOKUP($A333,koronahun!$A:$AM,7,FALSE),"")</f>
        <v>466979.38775510201</v>
      </c>
      <c r="H333">
        <f>IFERROR(VLOOKUP($A333,koronahun!$A:$AM,8,FALSE),"")</f>
        <v>0</v>
      </c>
      <c r="I333" s="13">
        <f>IFERROR(VLOOKUP($A333,koronahun!$A:$AM,9,FALSE),"")</f>
        <v>7.1889369295175349E-3</v>
      </c>
      <c r="J333" s="13">
        <f>IFERROR(VLOOKUP($A333,koronahun!$A:$AM,10,FALSE),"")</f>
        <v>0.1411007084611085</v>
      </c>
      <c r="K333" s="13">
        <f>IFERROR(VLOOKUP($A333,koronahun!$A:$AM,11,FALSE),"")</f>
        <v>4.0489756014939196E-3</v>
      </c>
      <c r="L333">
        <f>IFERROR(VLOOKUP($A333,koronahun!$A:$AM,12,FALSE),"")</f>
        <v>222234</v>
      </c>
      <c r="M333" s="13">
        <f>IFERROR(VLOOKUP($A333,koronahun!$A:$AM,13,FALSE),"")</f>
        <v>3.1646206713920461E-2</v>
      </c>
      <c r="N333" s="13">
        <f>IFERROR(VLOOKUP($A333,koronahun!$A:$AM,14,FALSE),"")</f>
        <v>0.62404120588540468</v>
      </c>
      <c r="O333">
        <f>IFERROR(VLOOKUP($A333,koronahun!$A:$AM,15,FALSE),"")</f>
        <v>55280</v>
      </c>
      <c r="P333">
        <f>IFERROR(VLOOKUP($A333,koronahun!$A:$AM,16,FALSE),"")</f>
        <v>18455</v>
      </c>
      <c r="Q333" s="13">
        <f>IFERROR(VLOOKUP($A333,koronahun!$A:$AM,17,FALSE),"")</f>
        <v>0.24974261717691681</v>
      </c>
      <c r="R333">
        <f>IFERROR(VLOOKUP($A333,koronahun!$A:$AM,18,FALSE),"")</f>
        <v>274</v>
      </c>
      <c r="S333">
        <f>IFERROR(VLOOKUP($A333,koronahun!$A:$AM,19,FALSE),"")</f>
        <v>3003</v>
      </c>
      <c r="T333">
        <f>IFERROR(VLOOKUP($A333,koronahun!$A:$AM,20,FALSE),"")</f>
        <v>12553</v>
      </c>
      <c r="U333">
        <f>IFERROR(VLOOKUP($A333,koronahun!$A:$AM,21,FALSE),"")</f>
        <v>1529</v>
      </c>
      <c r="V333" s="13">
        <f>IFERROR(VLOOKUP($A333,koronahun!$A:$AM,22,FALSE),"")</f>
        <v>0.34415772463231709</v>
      </c>
      <c r="W333">
        <f>IFERROR(VLOOKUP($A333,koronahun!$A:$AM,23,FALSE),"")</f>
        <v>262</v>
      </c>
      <c r="X333">
        <f>IFERROR(VLOOKUP($A333,koronahun!$A:$AM,24,FALSE),"")</f>
        <v>32</v>
      </c>
      <c r="Y333" s="14">
        <f>IFERROR(VLOOKUP($A333,koronahun!$A:$AM,25,FALSE),"")</f>
        <v>5.6485506268167784E-2</v>
      </c>
      <c r="Z333" s="14">
        <f>IFERROR(VLOOKUP($A333,koronahun!$A:$AM,26,FALSE),"")</f>
        <v>0.12180355293555326</v>
      </c>
      <c r="AA333" s="14">
        <f>IFERROR(VLOOKUP($A333,koronahun!$A:$AM,27,FALSE),"")</f>
        <v>1.0457711268223364</v>
      </c>
      <c r="AB333" s="14">
        <f>IFERROR(VLOOKUP($A333,koronahun!$A:$AM,28,FALSE),"")</f>
        <v>1.1667159926364534</v>
      </c>
      <c r="AC333" s="14">
        <f>IFERROR(VLOOKUP($A333,koronahun!$A:$AM,29,FALSE),"")</f>
        <v>8515.7142857142862</v>
      </c>
      <c r="AD333" s="14">
        <f>IFERROR(VLOOKUP($A333,koronahun!$A:$AM,30,FALSE),"")</f>
        <v>247.42857142857142</v>
      </c>
      <c r="AE333" s="14">
        <f>IFERROR(VLOOKUP($A333,koronahun!$A:$AM,31,FALSE),"")</f>
        <v>34544.857142857145</v>
      </c>
      <c r="AF333" s="13">
        <f>IFERROR(VLOOKUP($A333,koronahun!$A:$AM,32,FALSE),"")</f>
        <v>0.24985836716565824</v>
      </c>
      <c r="AG333">
        <f>IFERROR(VLOOKUP($A333,koronahun!$A:$AM,33,FALSE),"")</f>
        <v>2000998</v>
      </c>
      <c r="AH333">
        <f>IFERROR(VLOOKUP($A333,koronahun!$A:$AM,34,FALSE),"")</f>
        <v>80651</v>
      </c>
      <c r="AI333">
        <f>IFERROR(VLOOKUP($A333,koronahun!$A:$AM,35,FALSE),"")</f>
        <v>52080.285714285717</v>
      </c>
      <c r="AJ333">
        <f>IFERROR(VLOOKUP($A333,koronahun!$A:$AM,36,FALSE),"")</f>
        <v>721289</v>
      </c>
      <c r="AK333">
        <f>IFERROR(VLOOKUP($A333,koronahun!$A:$AM,37,FALSE),"")</f>
        <v>31897</v>
      </c>
      <c r="AL333">
        <f>IFERROR(VLOOKUP($A333,koronahun!$A:$AM,38,FALSE),"")</f>
        <v>34209.857142857145</v>
      </c>
      <c r="AM333" s="14">
        <f>IFERROR(VLOOKUP($A333,koronahun!$A:$AM,39,FALSE),"")</f>
        <v>3541.1428571428573</v>
      </c>
      <c r="AN333" s="11">
        <f ca="1">IFERROR(__xludf.DUMMYFUNCTION("""COMPUTED_VALUE"""),44225)</f>
        <v>44225</v>
      </c>
      <c r="AO333" s="12">
        <f ca="1">IFERROR(VLOOKUP(AN333,koronahun!A:B,2,FALSE),"")</f>
        <v>364909</v>
      </c>
      <c r="AP333" s="11">
        <f t="shared" ca="1" si="2"/>
        <v>44225</v>
      </c>
      <c r="AQ333" s="11">
        <f ca="1">IFERROR(__xludf.DUMMYFUNCTION("""COMPUTED_VALUE"""),44225)</f>
        <v>44225</v>
      </c>
      <c r="AR333" s="11">
        <v>44286</v>
      </c>
      <c r="AS333" s="11">
        <f t="shared" si="3"/>
        <v>44286</v>
      </c>
      <c r="AT333" s="11">
        <f ca="1">IFERROR(__xludf.DUMMYFUNCTION("""COMPUTED_VALUE"""),44285)</f>
        <v>44285</v>
      </c>
    </row>
    <row r="334" spans="1:46" ht="13">
      <c r="A334" s="11">
        <v>44284</v>
      </c>
      <c r="B334">
        <f>IFERROR(VLOOKUP($A334,koronahun!$A:$AM,2,FALSE),"")</f>
        <v>641124</v>
      </c>
      <c r="C334">
        <f>IFERROR(VLOOKUP($A334,koronahun!$A:$AM,3,FALSE),"")</f>
        <v>7263</v>
      </c>
      <c r="D334">
        <f>IFERROR(VLOOKUP($A334,koronahun!$A:$AM,4,FALSE),"")</f>
        <v>20161</v>
      </c>
      <c r="E334">
        <f>IFERROR(VLOOKUP($A334,koronahun!$A:$AM,5,FALSE),"")</f>
        <v>399961</v>
      </c>
      <c r="F334">
        <f>IFERROR(VLOOKUP($A334,koronahun!$A:$AM,6,FALSE),"")</f>
        <v>4557943</v>
      </c>
      <c r="G334" s="12">
        <f>IFERROR(VLOOKUP($A334,koronahun!$A:$AM,7,FALSE),"")</f>
        <v>465096.22448979586</v>
      </c>
      <c r="H334">
        <f>IFERROR(VLOOKUP($A334,koronahun!$A:$AM,8,FALSE),"")</f>
        <v>0</v>
      </c>
      <c r="I334" s="13">
        <f>IFERROR(VLOOKUP($A334,koronahun!$A:$AM,9,FALSE),"")</f>
        <v>1.1458348123642249E-2</v>
      </c>
      <c r="J334" s="13">
        <f>IFERROR(VLOOKUP($A334,koronahun!$A:$AM,10,FALSE),"")</f>
        <v>0.14066082002341845</v>
      </c>
      <c r="K334" s="13">
        <f>IFERROR(VLOOKUP($A334,koronahun!$A:$AM,11,FALSE),"")</f>
        <v>9.4074495998639346E-3</v>
      </c>
      <c r="L334">
        <f>IFERROR(VLOOKUP($A334,koronahun!$A:$AM,12,FALSE),"")</f>
        <v>221002</v>
      </c>
      <c r="M334" s="13">
        <f>IFERROR(VLOOKUP($A334,koronahun!$A:$AM,13,FALSE),"")</f>
        <v>3.1446334874376876E-2</v>
      </c>
      <c r="N334" s="13">
        <f>IFERROR(VLOOKUP($A334,koronahun!$A:$AM,14,FALSE),"")</f>
        <v>0.62384343746295567</v>
      </c>
      <c r="O334">
        <f>IFERROR(VLOOKUP($A334,koronahun!$A:$AM,15,FALSE),"")</f>
        <v>55511</v>
      </c>
      <c r="P334">
        <f>IFERROR(VLOOKUP($A334,koronahun!$A:$AM,16,FALSE),"")</f>
        <v>42479</v>
      </c>
      <c r="Q334" s="13">
        <f>IFERROR(VLOOKUP($A334,koronahun!$A:$AM,17,FALSE),"")</f>
        <v>0.1709786011911768</v>
      </c>
      <c r="R334">
        <f>IFERROR(VLOOKUP($A334,koronahun!$A:$AM,18,FALSE),"")</f>
        <v>189</v>
      </c>
      <c r="S334">
        <f>IFERROR(VLOOKUP($A334,koronahun!$A:$AM,19,FALSE),"")</f>
        <v>4171</v>
      </c>
      <c r="T334">
        <f>IFERROR(VLOOKUP($A334,koronahun!$A:$AM,20,FALSE),"")</f>
        <v>12291</v>
      </c>
      <c r="U334">
        <f>IFERROR(VLOOKUP($A334,koronahun!$A:$AM,21,FALSE),"")</f>
        <v>1497</v>
      </c>
      <c r="V334" s="13">
        <f>IFERROR(VLOOKUP($A334,koronahun!$A:$AM,22,FALSE),"")</f>
        <v>0.34471022766266746</v>
      </c>
      <c r="W334">
        <f>IFERROR(VLOOKUP($A334,koronahun!$A:$AM,23,FALSE),"")</f>
        <v>486</v>
      </c>
      <c r="X334">
        <f>IFERROR(VLOOKUP($A334,koronahun!$A:$AM,24,FALSE),"")</f>
        <v>-30</v>
      </c>
      <c r="Y334" s="14">
        <f>IFERROR(VLOOKUP($A334,koronahun!$A:$AM,25,FALSE),"")</f>
        <v>5.561488131329128E-2</v>
      </c>
      <c r="Z334" s="14">
        <f>IFERROR(VLOOKUP($A334,koronahun!$A:$AM,26,FALSE),"")</f>
        <v>0.12179643641689041</v>
      </c>
      <c r="AA334" s="14">
        <f>IFERROR(VLOOKUP($A334,koronahun!$A:$AM,27,FALSE),"")</f>
        <v>1.0715019664812386</v>
      </c>
      <c r="AB334" s="14">
        <f>IFERROR(VLOOKUP($A334,koronahun!$A:$AM,28,FALSE),"")</f>
        <v>1.168354152431299</v>
      </c>
      <c r="AC334" s="14">
        <f>IFERROR(VLOOKUP($A334,koronahun!$A:$AM,29,FALSE),"")</f>
        <v>8640.2857142857138</v>
      </c>
      <c r="AD334" s="14">
        <f>IFERROR(VLOOKUP($A334,koronahun!$A:$AM,30,FALSE),"")</f>
        <v>244.28571428571428</v>
      </c>
      <c r="AE334" s="14">
        <f>IFERROR(VLOOKUP($A334,koronahun!$A:$AM,31,FALSE),"")</f>
        <v>34662.571428571428</v>
      </c>
      <c r="AF334" s="13">
        <f>IFERROR(VLOOKUP($A334,koronahun!$A:$AM,32,FALSE),"")</f>
        <v>0.25479499016363688</v>
      </c>
      <c r="AG334">
        <f>IFERROR(VLOOKUP($A334,koronahun!$A:$AM,33,FALSE),"")</f>
        <v>1920347</v>
      </c>
      <c r="AH334">
        <f>IFERROR(VLOOKUP($A334,koronahun!$A:$AM,34,FALSE),"")</f>
        <v>16849</v>
      </c>
      <c r="AI334">
        <f>IFERROR(VLOOKUP($A334,koronahun!$A:$AM,35,FALSE),"")</f>
        <v>47247.857142857145</v>
      </c>
      <c r="AJ334">
        <f>IFERROR(VLOOKUP($A334,koronahun!$A:$AM,36,FALSE),"")</f>
        <v>689392</v>
      </c>
      <c r="AK334">
        <f>IFERROR(VLOOKUP($A334,koronahun!$A:$AM,37,FALSE),"")</f>
        <v>3421</v>
      </c>
      <c r="AL334">
        <f>IFERROR(VLOOKUP($A334,koronahun!$A:$AM,38,FALSE),"")</f>
        <v>30000.428571428572</v>
      </c>
      <c r="AM334" s="14">
        <f>IFERROR(VLOOKUP($A334,koronahun!$A:$AM,39,FALSE),"")</f>
        <v>3756.4285714285716</v>
      </c>
      <c r="AN334" s="11">
        <f ca="1">IFERROR(__xludf.DUMMYFUNCTION("""COMPUTED_VALUE"""),44226)</f>
        <v>44226</v>
      </c>
      <c r="AO334" s="12">
        <f ca="1">IFERROR(VLOOKUP(AN334,koronahun!A:B,2,FALSE),"")</f>
        <v>366279</v>
      </c>
      <c r="AP334" s="11">
        <f t="shared" ca="1" si="2"/>
        <v>44226</v>
      </c>
      <c r="AQ334" s="11">
        <f ca="1">IFERROR(__xludf.DUMMYFUNCTION("""COMPUTED_VALUE"""),44226)</f>
        <v>44226</v>
      </c>
      <c r="AR334" s="11">
        <v>44285</v>
      </c>
      <c r="AS334" s="11">
        <f t="shared" si="3"/>
        <v>44285</v>
      </c>
      <c r="AT334" s="11">
        <f ca="1">IFERROR(__xludf.DUMMYFUNCTION("""COMPUTED_VALUE"""),44284)</f>
        <v>44284</v>
      </c>
    </row>
    <row r="335" spans="1:46" ht="13">
      <c r="A335" s="11">
        <v>44283</v>
      </c>
      <c r="B335">
        <f>IFERROR(VLOOKUP($A335,koronahun!$A:$AM,2,FALSE),"")</f>
        <v>633861</v>
      </c>
      <c r="C335">
        <f>IFERROR(VLOOKUP($A335,koronahun!$A:$AM,3,FALSE),"")</f>
        <v>9082</v>
      </c>
      <c r="D335">
        <f>IFERROR(VLOOKUP($A335,koronahun!$A:$AM,4,FALSE),"")</f>
        <v>19972</v>
      </c>
      <c r="E335">
        <f>IFERROR(VLOOKUP($A335,koronahun!$A:$AM,5,FALSE),"")</f>
        <v>395790</v>
      </c>
      <c r="F335">
        <f>IFERROR(VLOOKUP($A335,koronahun!$A:$AM,6,FALSE),"")</f>
        <v>4515464</v>
      </c>
      <c r="G335" s="12">
        <f>IFERROR(VLOOKUP($A335,koronahun!$A:$AM,7,FALSE),"")</f>
        <v>460761.63265306118</v>
      </c>
      <c r="H335">
        <f>IFERROR(VLOOKUP($A335,koronahun!$A:$AM,8,FALSE),"")</f>
        <v>0</v>
      </c>
      <c r="I335" s="13">
        <f>IFERROR(VLOOKUP($A335,koronahun!$A:$AM,9,FALSE),"")</f>
        <v>1.4536340049841624E-2</v>
      </c>
      <c r="J335" s="13">
        <f>IFERROR(VLOOKUP($A335,koronahun!$A:$AM,10,FALSE),"")</f>
        <v>0.14037560702510307</v>
      </c>
      <c r="K335" s="13">
        <f>IFERROR(VLOOKUP($A335,koronahun!$A:$AM,11,FALSE),"")</f>
        <v>6.5314167140159644E-3</v>
      </c>
      <c r="L335">
        <f>IFERROR(VLOOKUP($A335,koronahun!$A:$AM,12,FALSE),"")</f>
        <v>218099</v>
      </c>
      <c r="M335" s="13">
        <f>IFERROR(VLOOKUP($A335,koronahun!$A:$AM,13,FALSE),"")</f>
        <v>3.1508485298827348E-2</v>
      </c>
      <c r="N335" s="13">
        <f>IFERROR(VLOOKUP($A335,koronahun!$A:$AM,14,FALSE),"")</f>
        <v>0.6244113457051309</v>
      </c>
      <c r="O335">
        <f>IFERROR(VLOOKUP($A335,koronahun!$A:$AM,15,FALSE),"")</f>
        <v>59018</v>
      </c>
      <c r="P335">
        <f>IFERROR(VLOOKUP($A335,koronahun!$A:$AM,16,FALSE),"")</f>
        <v>29301</v>
      </c>
      <c r="Q335" s="13">
        <f>IFERROR(VLOOKUP($A335,koronahun!$A:$AM,17,FALSE),"")</f>
        <v>0.30995529162827207</v>
      </c>
      <c r="R335">
        <f>IFERROR(VLOOKUP($A335,koronahun!$A:$AM,18,FALSE),"")</f>
        <v>220</v>
      </c>
      <c r="S335">
        <f>IFERROR(VLOOKUP($A335,koronahun!$A:$AM,19,FALSE),"")</f>
        <v>1791</v>
      </c>
      <c r="T335">
        <f>IFERROR(VLOOKUP($A335,koronahun!$A:$AM,20,FALSE),"")</f>
        <v>11805</v>
      </c>
      <c r="U335">
        <f>IFERROR(VLOOKUP($A335,koronahun!$A:$AM,21,FALSE),"")</f>
        <v>1527</v>
      </c>
      <c r="V335" s="13">
        <f>IFERROR(VLOOKUP($A335,koronahun!$A:$AM,22,FALSE),"")</f>
        <v>0.34408016899604171</v>
      </c>
      <c r="W335">
        <f>IFERROR(VLOOKUP($A335,koronahun!$A:$AM,23,FALSE),"")</f>
        <v>26</v>
      </c>
      <c r="X335">
        <f>IFERROR(VLOOKUP($A335,koronahun!$A:$AM,24,FALSE),"")</f>
        <v>15</v>
      </c>
      <c r="Y335" s="14">
        <f>IFERROR(VLOOKUP($A335,koronahun!$A:$AM,25,FALSE),"")</f>
        <v>5.4126795629507701E-2</v>
      </c>
      <c r="Z335" s="14">
        <f>IFERROR(VLOOKUP($A335,koronahun!$A:$AM,26,FALSE),"")</f>
        <v>0.12935196950444727</v>
      </c>
      <c r="AA335" s="14">
        <f>IFERROR(VLOOKUP($A335,koronahun!$A:$AM,27,FALSE),"")</f>
        <v>1.1299132580844191</v>
      </c>
      <c r="AB335" s="14">
        <f>IFERROR(VLOOKUP($A335,koronahun!$A:$AM,28,FALSE),"")</f>
        <v>1.1606191097637162</v>
      </c>
      <c r="AC335" s="14">
        <f>IFERROR(VLOOKUP($A335,koronahun!$A:$AM,29,FALSE),"")</f>
        <v>8895</v>
      </c>
      <c r="AD335" s="14">
        <f>IFERROR(VLOOKUP($A335,koronahun!$A:$AM,30,FALSE),"")</f>
        <v>244.28571428571428</v>
      </c>
      <c r="AE335" s="14">
        <f>IFERROR(VLOOKUP($A335,koronahun!$A:$AM,31,FALSE),"")</f>
        <v>33103.285714285717</v>
      </c>
      <c r="AF335" s="13">
        <f>IFERROR(VLOOKUP($A335,koronahun!$A:$AM,32,FALSE),"")</f>
        <v>0.27131123575989352</v>
      </c>
      <c r="AG335">
        <f>IFERROR(VLOOKUP($A335,koronahun!$A:$AM,33,FALSE),"")</f>
        <v>1903498</v>
      </c>
      <c r="AH335">
        <f>IFERROR(VLOOKUP($A335,koronahun!$A:$AM,34,FALSE),"")</f>
        <v>32867</v>
      </c>
      <c r="AI335">
        <f>IFERROR(VLOOKUP($A335,koronahun!$A:$AM,35,FALSE),"")</f>
        <v>48608</v>
      </c>
      <c r="AJ335">
        <f>IFERROR(VLOOKUP($A335,koronahun!$A:$AM,36,FALSE),"")</f>
        <v>685971</v>
      </c>
      <c r="AK335">
        <f>IFERROR(VLOOKUP($A335,koronahun!$A:$AM,37,FALSE),"")</f>
        <v>18668</v>
      </c>
      <c r="AL335">
        <f>IFERROR(VLOOKUP($A335,koronahun!$A:$AM,38,FALSE),"")</f>
        <v>30154.285714285714</v>
      </c>
      <c r="AM335" s="14">
        <f>IFERROR(VLOOKUP($A335,koronahun!$A:$AM,39,FALSE),"")</f>
        <v>3684.5714285714284</v>
      </c>
      <c r="AN335" s="11">
        <f ca="1">IFERROR(__xludf.DUMMYFUNCTION("""COMPUTED_VALUE"""),44227)</f>
        <v>44227</v>
      </c>
      <c r="AO335" s="12">
        <f ca="1">IFERROR(VLOOKUP(AN335,koronahun!A:B,2,FALSE),"")</f>
        <v>367586</v>
      </c>
      <c r="AP335" s="11">
        <f t="shared" ca="1" si="2"/>
        <v>44227</v>
      </c>
      <c r="AQ335" s="11">
        <f ca="1">IFERROR(__xludf.DUMMYFUNCTION("""COMPUTED_VALUE"""),44227)</f>
        <v>44227</v>
      </c>
      <c r="AR335" s="11">
        <v>44284</v>
      </c>
      <c r="AS335" s="11">
        <f t="shared" si="3"/>
        <v>44284</v>
      </c>
      <c r="AT335" s="11">
        <f ca="1">IFERROR(__xludf.DUMMYFUNCTION("""COMPUTED_VALUE"""),44283)</f>
        <v>44283</v>
      </c>
    </row>
    <row r="336" spans="1:46" ht="13">
      <c r="A336" s="11">
        <v>44282</v>
      </c>
      <c r="B336">
        <f>IFERROR(VLOOKUP($A336,koronahun!$A:$AM,2,FALSE),"")</f>
        <v>624779</v>
      </c>
      <c r="C336">
        <f>IFERROR(VLOOKUP($A336,koronahun!$A:$AM,3,FALSE),"")</f>
        <v>10167</v>
      </c>
      <c r="D336">
        <f>IFERROR(VLOOKUP($A336,koronahun!$A:$AM,4,FALSE),"")</f>
        <v>19752</v>
      </c>
      <c r="E336">
        <f>IFERROR(VLOOKUP($A336,koronahun!$A:$AM,5,FALSE),"")</f>
        <v>393999</v>
      </c>
      <c r="F336">
        <f>IFERROR(VLOOKUP($A336,koronahun!$A:$AM,6,FALSE),"")</f>
        <v>4486163</v>
      </c>
      <c r="G336" s="12">
        <f>IFERROR(VLOOKUP($A336,koronahun!$A:$AM,7,FALSE),"")</f>
        <v>457771.73469387752</v>
      </c>
      <c r="H336">
        <f>IFERROR(VLOOKUP($A336,koronahun!$A:$AM,8,FALSE),"")</f>
        <v>0</v>
      </c>
      <c r="I336" s="13">
        <f>IFERROR(VLOOKUP($A336,koronahun!$A:$AM,9,FALSE),"")</f>
        <v>1.6542143661366845E-2</v>
      </c>
      <c r="J336" s="13">
        <f>IFERROR(VLOOKUP($A336,koronahun!$A:$AM,10,FALSE),"")</f>
        <v>0.13926801143872838</v>
      </c>
      <c r="K336" s="13">
        <f>IFERROR(VLOOKUP($A336,koronahun!$A:$AM,11,FALSE),"")</f>
        <v>9.5762229358562073E-3</v>
      </c>
      <c r="L336">
        <f>IFERROR(VLOOKUP($A336,koronahun!$A:$AM,12,FALSE),"")</f>
        <v>211028</v>
      </c>
      <c r="M336" s="13">
        <f>IFERROR(VLOOKUP($A336,koronahun!$A:$AM,13,FALSE),"")</f>
        <v>3.1614378844359366E-2</v>
      </c>
      <c r="N336" s="13">
        <f>IFERROR(VLOOKUP($A336,koronahun!$A:$AM,14,FALSE),"")</f>
        <v>0.63062138772269871</v>
      </c>
      <c r="O336">
        <f>IFERROR(VLOOKUP($A336,koronahun!$A:$AM,15,FALSE),"")</f>
        <v>61430</v>
      </c>
      <c r="P336">
        <f>IFERROR(VLOOKUP($A336,koronahun!$A:$AM,16,FALSE),"")</f>
        <v>42553</v>
      </c>
      <c r="Q336" s="13">
        <f>IFERROR(VLOOKUP($A336,koronahun!$A:$AM,17,FALSE),"")</f>
        <v>0.23892557516508825</v>
      </c>
      <c r="R336">
        <f>IFERROR(VLOOKUP($A336,koronahun!$A:$AM,18,FALSE),"")</f>
        <v>253</v>
      </c>
      <c r="S336">
        <f>IFERROR(VLOOKUP($A336,koronahun!$A:$AM,19,FALSE),"")</f>
        <v>1685</v>
      </c>
      <c r="T336">
        <f>IFERROR(VLOOKUP($A336,koronahun!$A:$AM,20,FALSE),"")</f>
        <v>11779</v>
      </c>
      <c r="U336">
        <f>IFERROR(VLOOKUP($A336,koronahun!$A:$AM,21,FALSE),"")</f>
        <v>1512</v>
      </c>
      <c r="V336" s="13">
        <f>IFERROR(VLOOKUP($A336,koronahun!$A:$AM,22,FALSE),"")</f>
        <v>0.33776423343294187</v>
      </c>
      <c r="W336">
        <f>IFERROR(VLOOKUP($A336,koronahun!$A:$AM,23,FALSE),"")</f>
        <v>-44</v>
      </c>
      <c r="X336">
        <f>IFERROR(VLOOKUP($A336,koronahun!$A:$AM,24,FALSE),"")</f>
        <v>32</v>
      </c>
      <c r="Y336" s="14">
        <f>IFERROR(VLOOKUP($A336,koronahun!$A:$AM,25,FALSE),"")</f>
        <v>5.5817237522982732E-2</v>
      </c>
      <c r="Z336" s="14">
        <f>IFERROR(VLOOKUP($A336,koronahun!$A:$AM,26,FALSE),"")</f>
        <v>0.12836403769420154</v>
      </c>
      <c r="AA336" s="14">
        <f>IFERROR(VLOOKUP($A336,koronahun!$A:$AM,27,FALSE),"")</f>
        <v>1.1961607678464308</v>
      </c>
      <c r="AB336" s="14">
        <f>IFERROR(VLOOKUP($A336,koronahun!$A:$AM,28,FALSE),"")</f>
        <v>1.1551731658919009</v>
      </c>
      <c r="AC336" s="14">
        <f>IFERROR(VLOOKUP($A336,koronahun!$A:$AM,29,FALSE),"")</f>
        <v>9115.4285714285706</v>
      </c>
      <c r="AD336" s="14">
        <f>IFERROR(VLOOKUP($A336,koronahun!$A:$AM,30,FALSE),"")</f>
        <v>240.57142857142858</v>
      </c>
      <c r="AE336" s="14">
        <f>IFERROR(VLOOKUP($A336,koronahun!$A:$AM,31,FALSE),"")</f>
        <v>34771.571428571428</v>
      </c>
      <c r="AF336" s="13">
        <f>IFERROR(VLOOKUP($A336,koronahun!$A:$AM,32,FALSE),"")</f>
        <v>0.26407178595237896</v>
      </c>
      <c r="AG336">
        <f>IFERROR(VLOOKUP($A336,koronahun!$A:$AM,33,FALSE),"")</f>
        <v>1870631</v>
      </c>
      <c r="AH336">
        <f>IFERROR(VLOOKUP($A336,koronahun!$A:$AM,34,FALSE),"")</f>
        <v>67098</v>
      </c>
      <c r="AI336">
        <f>IFERROR(VLOOKUP($A336,koronahun!$A:$AM,35,FALSE),"")</f>
        <v>50040.142857142855</v>
      </c>
      <c r="AJ336">
        <f>IFERROR(VLOOKUP($A336,koronahun!$A:$AM,36,FALSE),"")</f>
        <v>667303</v>
      </c>
      <c r="AK336">
        <f>IFERROR(VLOOKUP($A336,koronahun!$A:$AM,37,FALSE),"")</f>
        <v>72641</v>
      </c>
      <c r="AL336">
        <f>IFERROR(VLOOKUP($A336,koronahun!$A:$AM,38,FALSE),"")</f>
        <v>28808.571428571428</v>
      </c>
      <c r="AM336" s="14">
        <f>IFERROR(VLOOKUP($A336,koronahun!$A:$AM,39,FALSE),"")</f>
        <v>3889.2857142857142</v>
      </c>
      <c r="AN336" s="11">
        <f ca="1">IFERROR(__xludf.DUMMYFUNCTION("""COMPUTED_VALUE"""),44228)</f>
        <v>44228</v>
      </c>
      <c r="AO336" s="12">
        <f ca="1">IFERROR(VLOOKUP(AN336,koronahun!A:B,2,FALSE),"")</f>
        <v>368710</v>
      </c>
      <c r="AP336" s="11">
        <f t="shared" ca="1" si="2"/>
        <v>44228</v>
      </c>
      <c r="AQ336" s="11">
        <f ca="1">IFERROR(__xludf.DUMMYFUNCTION("""COMPUTED_VALUE"""),44228)</f>
        <v>44228</v>
      </c>
      <c r="AR336" s="11">
        <v>44283</v>
      </c>
      <c r="AS336" s="11">
        <f t="shared" si="3"/>
        <v>44283</v>
      </c>
      <c r="AT336" s="11">
        <f ca="1">IFERROR(__xludf.DUMMYFUNCTION("""COMPUTED_VALUE"""),44282)</f>
        <v>44282</v>
      </c>
    </row>
    <row r="337" spans="1:46" ht="13">
      <c r="A337" s="11">
        <v>44281</v>
      </c>
      <c r="B337">
        <f>IFERROR(VLOOKUP($A337,koronahun!$A:$AM,2,FALSE),"")</f>
        <v>614612</v>
      </c>
      <c r="C337">
        <f>IFERROR(VLOOKUP($A337,koronahun!$A:$AM,3,FALSE),"")</f>
        <v>11265</v>
      </c>
      <c r="D337">
        <f>IFERROR(VLOOKUP($A337,koronahun!$A:$AM,4,FALSE),"")</f>
        <v>19499</v>
      </c>
      <c r="E337">
        <f>IFERROR(VLOOKUP($A337,koronahun!$A:$AM,5,FALSE),"")</f>
        <v>392314</v>
      </c>
      <c r="F337">
        <f>IFERROR(VLOOKUP($A337,koronahun!$A:$AM,6,FALSE),"")</f>
        <v>4443610</v>
      </c>
      <c r="G337" s="12">
        <f>IFERROR(VLOOKUP($A337,koronahun!$A:$AM,7,FALSE),"")</f>
        <v>453429.59183673467</v>
      </c>
      <c r="H337">
        <f>IFERROR(VLOOKUP($A337,koronahun!$A:$AM,8,FALSE),"")</f>
        <v>0</v>
      </c>
      <c r="I337" s="13">
        <f>IFERROR(VLOOKUP($A337,koronahun!$A:$AM,9,FALSE),"")</f>
        <v>1.8670847787425809E-2</v>
      </c>
      <c r="J337" s="13">
        <f>IFERROR(VLOOKUP($A337,koronahun!$A:$AM,10,FALSE),"")</f>
        <v>0.13831366839124046</v>
      </c>
      <c r="K337" s="13">
        <f>IFERROR(VLOOKUP($A337,koronahun!$A:$AM,11,FALSE),"")</f>
        <v>9.1506016941319459E-3</v>
      </c>
      <c r="L337">
        <f>IFERROR(VLOOKUP($A337,koronahun!$A:$AM,12,FALSE),"")</f>
        <v>202799</v>
      </c>
      <c r="M337" s="13">
        <f>IFERROR(VLOOKUP($A337,koronahun!$A:$AM,13,FALSE),"")</f>
        <v>3.1725706624667269E-2</v>
      </c>
      <c r="N337" s="13">
        <f>IFERROR(VLOOKUP($A337,koronahun!$A:$AM,14,FALSE),"")</f>
        <v>0.63831165027692272</v>
      </c>
      <c r="O337">
        <f>IFERROR(VLOOKUP($A337,koronahun!$A:$AM,15,FALSE),"")</f>
        <v>58667</v>
      </c>
      <c r="P337">
        <f>IFERROR(VLOOKUP($A337,koronahun!$A:$AM,16,FALSE),"")</f>
        <v>40293</v>
      </c>
      <c r="Q337" s="13">
        <f>IFERROR(VLOOKUP($A337,koronahun!$A:$AM,17,FALSE),"")</f>
        <v>0.27957709775891593</v>
      </c>
      <c r="R337">
        <f>IFERROR(VLOOKUP($A337,koronahun!$A:$AM,18,FALSE),"")</f>
        <v>275</v>
      </c>
      <c r="S337">
        <f>IFERROR(VLOOKUP($A337,koronahun!$A:$AM,19,FALSE),"")</f>
        <v>4744</v>
      </c>
      <c r="T337">
        <f>IFERROR(VLOOKUP($A337,koronahun!$A:$AM,20,FALSE),"")</f>
        <v>11823</v>
      </c>
      <c r="U337">
        <f>IFERROR(VLOOKUP($A337,koronahun!$A:$AM,21,FALSE),"")</f>
        <v>1480</v>
      </c>
      <c r="V337" s="13">
        <f>IFERROR(VLOOKUP($A337,koronahun!$A:$AM,22,FALSE),"")</f>
        <v>0.32996264309841006</v>
      </c>
      <c r="W337">
        <f>IFERROR(VLOOKUP($A337,koronahun!$A:$AM,23,FALSE),"")</f>
        <v>63</v>
      </c>
      <c r="X337">
        <f>IFERROR(VLOOKUP($A337,koronahun!$A:$AM,24,FALSE),"")</f>
        <v>13</v>
      </c>
      <c r="Y337" s="14">
        <f>IFERROR(VLOOKUP($A337,koronahun!$A:$AM,25,FALSE),"")</f>
        <v>5.829910403897455E-2</v>
      </c>
      <c r="Z337" s="14">
        <f>IFERROR(VLOOKUP($A337,koronahun!$A:$AM,26,FALSE),"")</f>
        <v>0.12517973441596889</v>
      </c>
      <c r="AA337" s="14">
        <f>IFERROR(VLOOKUP($A337,koronahun!$A:$AM,27,FALSE),"")</f>
        <v>1.2539298435806101</v>
      </c>
      <c r="AB337" s="14">
        <f>IFERROR(VLOOKUP($A337,koronahun!$A:$AM,28,FALSE),"")</f>
        <v>1.1436825571213378</v>
      </c>
      <c r="AC337" s="14">
        <f>IFERROR(VLOOKUP($A337,koronahun!$A:$AM,29,FALSE),"")</f>
        <v>9253.2857142857138</v>
      </c>
      <c r="AD337" s="14">
        <f>IFERROR(VLOOKUP($A337,koronahun!$A:$AM,30,FALSE),"")</f>
        <v>236.85714285714286</v>
      </c>
      <c r="AE337" s="14">
        <f>IFERROR(VLOOKUP($A337,koronahun!$A:$AM,31,FALSE),"")</f>
        <v>34474.857142857145</v>
      </c>
      <c r="AF337" s="13">
        <f>IFERROR(VLOOKUP($A337,koronahun!$A:$AM,32,FALSE),"")</f>
        <v>0.26922915758572036</v>
      </c>
      <c r="AG337">
        <f>IFERROR(VLOOKUP($A337,koronahun!$A:$AM,33,FALSE),"")</f>
        <v>1803533</v>
      </c>
      <c r="AH337">
        <f>IFERROR(VLOOKUP($A337,koronahun!$A:$AM,34,FALSE),"")</f>
        <v>56014</v>
      </c>
      <c r="AI337">
        <f>IFERROR(VLOOKUP($A337,koronahun!$A:$AM,35,FALSE),"")</f>
        <v>46568.428571428572</v>
      </c>
      <c r="AJ337">
        <f>IFERROR(VLOOKUP($A337,koronahun!$A:$AM,36,FALSE),"")</f>
        <v>594662</v>
      </c>
      <c r="AK337">
        <f>IFERROR(VLOOKUP($A337,koronahun!$A:$AM,37,FALSE),"")</f>
        <v>70058</v>
      </c>
      <c r="AL337">
        <f>IFERROR(VLOOKUP($A337,koronahun!$A:$AM,38,FALSE),"")</f>
        <v>21458.714285714286</v>
      </c>
      <c r="AM337" s="14">
        <f>IFERROR(VLOOKUP($A337,koronahun!$A:$AM,39,FALSE),"")</f>
        <v>3929.4285714285716</v>
      </c>
      <c r="AN337" s="11">
        <f ca="1">IFERROR(__xludf.DUMMYFUNCTION("""COMPUTED_VALUE"""),44229)</f>
        <v>44229</v>
      </c>
      <c r="AO337" s="12">
        <f ca="1">IFERROR(VLOOKUP(AN337,koronahun!A:B,2,FALSE),"")</f>
        <v>369288</v>
      </c>
      <c r="AP337" s="11">
        <f t="shared" ca="1" si="2"/>
        <v>44229</v>
      </c>
      <c r="AQ337" s="11">
        <f ca="1">IFERROR(__xludf.DUMMYFUNCTION("""COMPUTED_VALUE"""),44229)</f>
        <v>44229</v>
      </c>
      <c r="AR337" s="11">
        <v>44282</v>
      </c>
      <c r="AS337" s="11">
        <f t="shared" si="3"/>
        <v>44282</v>
      </c>
      <c r="AT337" s="11">
        <f ca="1">IFERROR(__xludf.DUMMYFUNCTION("""COMPUTED_VALUE"""),44281)</f>
        <v>44281</v>
      </c>
    </row>
    <row r="338" spans="1:46" ht="13">
      <c r="A338" s="11">
        <v>44280</v>
      </c>
      <c r="B338">
        <f>IFERROR(VLOOKUP($A338,koronahun!$A:$AM,2,FALSE),"")</f>
        <v>603347</v>
      </c>
      <c r="C338">
        <f>IFERROR(VLOOKUP($A338,koronahun!$A:$AM,3,FALSE),"")</f>
        <v>9637</v>
      </c>
      <c r="D338">
        <f>IFERROR(VLOOKUP($A338,koronahun!$A:$AM,4,FALSE),"")</f>
        <v>19224</v>
      </c>
      <c r="E338">
        <f>IFERROR(VLOOKUP($A338,koronahun!$A:$AM,5,FALSE),"")</f>
        <v>387570</v>
      </c>
      <c r="F338">
        <f>IFERROR(VLOOKUP($A338,koronahun!$A:$AM,6,FALSE),"")</f>
        <v>4403317</v>
      </c>
      <c r="G338" s="12">
        <f>IFERROR(VLOOKUP($A338,koronahun!$A:$AM,7,FALSE),"")</f>
        <v>449318.06122448976</v>
      </c>
      <c r="H338">
        <f>IFERROR(VLOOKUP($A338,koronahun!$A:$AM,8,FALSE),"")</f>
        <v>0</v>
      </c>
      <c r="I338" s="13">
        <f>IFERROR(VLOOKUP($A338,koronahun!$A:$AM,9,FALSE),"")</f>
        <v>1.6231830354887067E-2</v>
      </c>
      <c r="J338" s="13">
        <f>IFERROR(VLOOKUP($A338,koronahun!$A:$AM,10,FALSE),"")</f>
        <v>0.13702102301514971</v>
      </c>
      <c r="K338" s="13">
        <f>IFERROR(VLOOKUP($A338,koronahun!$A:$AM,11,FALSE),"")</f>
        <v>8.1084731793310289E-3</v>
      </c>
      <c r="L338">
        <f>IFERROR(VLOOKUP($A338,koronahun!$A:$AM,12,FALSE),"")</f>
        <v>196553</v>
      </c>
      <c r="M338" s="13">
        <f>IFERROR(VLOOKUP($A338,koronahun!$A:$AM,13,FALSE),"")</f>
        <v>3.1862261683575123E-2</v>
      </c>
      <c r="N338" s="13">
        <f>IFERROR(VLOOKUP($A338,koronahun!$A:$AM,14,FALSE),"")</f>
        <v>0.64236666462251413</v>
      </c>
      <c r="O338">
        <f>IFERROR(VLOOKUP($A338,koronahun!$A:$AM,15,FALSE),"")</f>
        <v>54422</v>
      </c>
      <c r="P338">
        <f>IFERROR(VLOOKUP($A338,koronahun!$A:$AM,16,FALSE),"")</f>
        <v>35417</v>
      </c>
      <c r="Q338" s="13">
        <f>IFERROR(VLOOKUP($A338,koronahun!$A:$AM,17,FALSE),"")</f>
        <v>0.2721009684614733</v>
      </c>
      <c r="R338">
        <f>IFERROR(VLOOKUP($A338,koronahun!$A:$AM,18,FALSE),"")</f>
        <v>272</v>
      </c>
      <c r="S338">
        <f>IFERROR(VLOOKUP($A338,koronahun!$A:$AM,19,FALSE),"")</f>
        <v>5763</v>
      </c>
      <c r="T338">
        <f>IFERROR(VLOOKUP($A338,koronahun!$A:$AM,20,FALSE),"")</f>
        <v>11760</v>
      </c>
      <c r="U338">
        <f>IFERROR(VLOOKUP($A338,koronahun!$A:$AM,21,FALSE),"")</f>
        <v>1467</v>
      </c>
      <c r="V338" s="13">
        <f>IFERROR(VLOOKUP($A338,koronahun!$A:$AM,22,FALSE),"")</f>
        <v>0.32577107369391078</v>
      </c>
      <c r="W338">
        <f>IFERROR(VLOOKUP($A338,koronahun!$A:$AM,23,FALSE),"")</f>
        <v>-45</v>
      </c>
      <c r="X338">
        <f>IFERROR(VLOOKUP($A338,koronahun!$A:$AM,24,FALSE),"")</f>
        <v>44</v>
      </c>
      <c r="Y338" s="14">
        <f>IFERROR(VLOOKUP($A338,koronahun!$A:$AM,25,FALSE),"")</f>
        <v>5.9831190569464725E-2</v>
      </c>
      <c r="Z338" s="14">
        <f>IFERROR(VLOOKUP($A338,koronahun!$A:$AM,26,FALSE),"")</f>
        <v>0.12474489795918367</v>
      </c>
      <c r="AA338" s="14">
        <f>IFERROR(VLOOKUP($A338,koronahun!$A:$AM,27,FALSE),"")</f>
        <v>1.2877093852688948</v>
      </c>
      <c r="AB338" s="14">
        <f>IFERROR(VLOOKUP($A338,koronahun!$A:$AM,28,FALSE),"")</f>
        <v>1.1262516368527382</v>
      </c>
      <c r="AC338" s="14">
        <f>IFERROR(VLOOKUP($A338,koronahun!$A:$AM,29,FALSE),"")</f>
        <v>9181</v>
      </c>
      <c r="AD338" s="14">
        <f>IFERROR(VLOOKUP($A338,koronahun!$A:$AM,30,FALSE),"")</f>
        <v>228</v>
      </c>
      <c r="AE338" s="14">
        <f>IFERROR(VLOOKUP($A338,koronahun!$A:$AM,31,FALSE),"")</f>
        <v>34375.571428571428</v>
      </c>
      <c r="AF338" s="13">
        <f>IFERROR(VLOOKUP($A338,koronahun!$A:$AM,32,FALSE),"")</f>
        <v>0.26810466386288606</v>
      </c>
      <c r="AG338">
        <f>IFERROR(VLOOKUP($A338,koronahun!$A:$AM,33,FALSE),"")</f>
        <v>1747519</v>
      </c>
      <c r="AH338">
        <f>IFERROR(VLOOKUP($A338,koronahun!$A:$AM,34,FALSE),"")</f>
        <v>51409</v>
      </c>
      <c r="AI338">
        <f>IFERROR(VLOOKUP($A338,koronahun!$A:$AM,35,FALSE),"")</f>
        <v>43687.571428571428</v>
      </c>
      <c r="AJ338">
        <f>IFERROR(VLOOKUP($A338,koronahun!$A:$AM,36,FALSE),"")</f>
        <v>524604</v>
      </c>
      <c r="AK338">
        <f>IFERROR(VLOOKUP($A338,koronahun!$A:$AM,37,FALSE),"")</f>
        <v>30084</v>
      </c>
      <c r="AL338">
        <f>IFERROR(VLOOKUP($A338,koronahun!$A:$AM,38,FALSE),"")</f>
        <v>14669.857142857143</v>
      </c>
      <c r="AM338" s="14">
        <f>IFERROR(VLOOKUP($A338,koronahun!$A:$AM,39,FALSE),"")</f>
        <v>3810.7142857142858</v>
      </c>
      <c r="AN338" s="11">
        <f ca="1">IFERROR(__xludf.DUMMYFUNCTION("""COMPUTED_VALUE"""),44230)</f>
        <v>44230</v>
      </c>
      <c r="AO338" s="12">
        <f ca="1">IFERROR(VLOOKUP(AN338,koronahun!A:B,2,FALSE),"")</f>
        <v>370336</v>
      </c>
      <c r="AP338" s="11">
        <f t="shared" ca="1" si="2"/>
        <v>44230</v>
      </c>
      <c r="AQ338" s="11">
        <f ca="1">IFERROR(__xludf.DUMMYFUNCTION("""COMPUTED_VALUE"""),44230)</f>
        <v>44230</v>
      </c>
      <c r="AR338" s="11">
        <v>44281</v>
      </c>
      <c r="AS338" s="11">
        <f t="shared" si="3"/>
        <v>44281</v>
      </c>
      <c r="AT338" s="11">
        <f ca="1">IFERROR(__xludf.DUMMYFUNCTION("""COMPUTED_VALUE"""),44280)</f>
        <v>44280</v>
      </c>
    </row>
    <row r="339" spans="1:46" ht="13">
      <c r="A339" s="11">
        <v>44279</v>
      </c>
      <c r="B339">
        <f>IFERROR(VLOOKUP($A339,koronahun!$A:$AM,2,FALSE),"")</f>
        <v>593710</v>
      </c>
      <c r="C339">
        <f>IFERROR(VLOOKUP($A339,koronahun!$A:$AM,3,FALSE),"")</f>
        <v>7587</v>
      </c>
      <c r="D339">
        <f>IFERROR(VLOOKUP($A339,koronahun!$A:$AM,4,FALSE),"")</f>
        <v>18952</v>
      </c>
      <c r="E339">
        <f>IFERROR(VLOOKUP($A339,koronahun!$A:$AM,5,FALSE),"")</f>
        <v>381807</v>
      </c>
      <c r="F339">
        <f>IFERROR(VLOOKUP($A339,koronahun!$A:$AM,6,FALSE),"")</f>
        <v>4367900</v>
      </c>
      <c r="G339" s="12">
        <f>IFERROR(VLOOKUP($A339,koronahun!$A:$AM,7,FALSE),"")</f>
        <v>445704.08163265302</v>
      </c>
      <c r="H339">
        <f>IFERROR(VLOOKUP($A339,koronahun!$A:$AM,8,FALSE),"")</f>
        <v>0</v>
      </c>
      <c r="I339" s="13">
        <f>IFERROR(VLOOKUP($A339,koronahun!$A:$AM,9,FALSE),"")</f>
        <v>1.2944381981256494E-2</v>
      </c>
      <c r="J339" s="13">
        <f>IFERROR(VLOOKUP($A339,koronahun!$A:$AM,10,FALSE),"")</f>
        <v>0.1359257309004327</v>
      </c>
      <c r="K339" s="13">
        <f>IFERROR(VLOOKUP($A339,koronahun!$A:$AM,11,FALSE),"")</f>
        <v>7.6860893686683659E-3</v>
      </c>
      <c r="L339">
        <f>IFERROR(VLOOKUP($A339,koronahun!$A:$AM,12,FALSE),"")</f>
        <v>192951</v>
      </c>
      <c r="M339" s="13">
        <f>IFERROR(VLOOKUP($A339,koronahun!$A:$AM,13,FALSE),"")</f>
        <v>3.1921308382880528E-2</v>
      </c>
      <c r="N339" s="13">
        <f>IFERROR(VLOOKUP($A339,koronahun!$A:$AM,14,FALSE),"")</f>
        <v>0.64308669215610315</v>
      </c>
      <c r="O339">
        <f>IFERROR(VLOOKUP($A339,koronahun!$A:$AM,15,FALSE),"")</f>
        <v>51230</v>
      </c>
      <c r="P339">
        <f>IFERROR(VLOOKUP($A339,koronahun!$A:$AM,16,FALSE),"")</f>
        <v>33316</v>
      </c>
      <c r="Q339" s="13">
        <f>IFERROR(VLOOKUP($A339,koronahun!$A:$AM,17,FALSE),"")</f>
        <v>0.22772841877776442</v>
      </c>
      <c r="R339">
        <f>IFERROR(VLOOKUP($A339,koronahun!$A:$AM,18,FALSE),"")</f>
        <v>249</v>
      </c>
      <c r="S339">
        <f>IFERROR(VLOOKUP($A339,koronahun!$A:$AM,19,FALSE),"")</f>
        <v>3631</v>
      </c>
      <c r="T339">
        <f>IFERROR(VLOOKUP($A339,koronahun!$A:$AM,20,FALSE),"")</f>
        <v>11805</v>
      </c>
      <c r="U339">
        <f>IFERROR(VLOOKUP($A339,koronahun!$A:$AM,21,FALSE),"")</f>
        <v>1423</v>
      </c>
      <c r="V339" s="13">
        <f>IFERROR(VLOOKUP($A339,koronahun!$A:$AM,22,FALSE),"")</f>
        <v>0.32499199946101631</v>
      </c>
      <c r="W339">
        <f>IFERROR(VLOOKUP($A339,koronahun!$A:$AM,23,FALSE),"")</f>
        <v>-68</v>
      </c>
      <c r="X339">
        <f>IFERROR(VLOOKUP($A339,koronahun!$A:$AM,24,FALSE),"")</f>
        <v>34</v>
      </c>
      <c r="Y339" s="14">
        <f>IFERROR(VLOOKUP($A339,koronahun!$A:$AM,25,FALSE),"")</f>
        <v>6.1181336194163286E-2</v>
      </c>
      <c r="Z339" s="14">
        <f>IFERROR(VLOOKUP($A339,koronahun!$A:$AM,26,FALSE),"")</f>
        <v>0.12054214315967811</v>
      </c>
      <c r="AA339" s="14">
        <f>IFERROR(VLOOKUP($A339,koronahun!$A:$AM,27,FALSE),"")</f>
        <v>1.1820256003712442</v>
      </c>
      <c r="AB339" s="14">
        <f>IFERROR(VLOOKUP($A339,koronahun!$A:$AM,28,FALSE),"")</f>
        <v>1.1081236013452891</v>
      </c>
      <c r="AC339" s="14">
        <f>IFERROR(VLOOKUP($A339,koronahun!$A:$AM,29,FALSE),"")</f>
        <v>8733.1428571428569</v>
      </c>
      <c r="AD339" s="14">
        <f>IFERROR(VLOOKUP($A339,koronahun!$A:$AM,30,FALSE),"")</f>
        <v>218.71428571428572</v>
      </c>
      <c r="AE339" s="14">
        <f>IFERROR(VLOOKUP($A339,koronahun!$A:$AM,31,FALSE),"")</f>
        <v>33101.428571428572</v>
      </c>
      <c r="AF339" s="13">
        <f>IFERROR(VLOOKUP($A339,koronahun!$A:$AM,32,FALSE),"")</f>
        <v>0.26428695545205116</v>
      </c>
      <c r="AG339">
        <f>IFERROR(VLOOKUP($A339,koronahun!$A:$AM,33,FALSE),"")</f>
        <v>1696110</v>
      </c>
      <c r="AH339">
        <f>IFERROR(VLOOKUP($A339,koronahun!$A:$AM,34,FALSE),"")</f>
        <v>59674</v>
      </c>
      <c r="AI339">
        <f>IFERROR(VLOOKUP($A339,koronahun!$A:$AM,35,FALSE),"")</f>
        <v>42681.142857142855</v>
      </c>
      <c r="AJ339">
        <f>IFERROR(VLOOKUP($A339,koronahun!$A:$AM,36,FALSE),"")</f>
        <v>494520</v>
      </c>
      <c r="AK339">
        <f>IFERROR(VLOOKUP($A339,koronahun!$A:$AM,37,FALSE),"")</f>
        <v>12700</v>
      </c>
      <c r="AL339">
        <f>IFERROR(VLOOKUP($A339,koronahun!$A:$AM,38,FALSE),"")</f>
        <v>12539.142857142857</v>
      </c>
      <c r="AM339" s="14">
        <f>IFERROR(VLOOKUP($A339,koronahun!$A:$AM,39,FALSE),"")</f>
        <v>3249.4285714285716</v>
      </c>
      <c r="AN339" s="11">
        <f ca="1">IFERROR(__xludf.DUMMYFUNCTION("""COMPUTED_VALUE"""),44231)</f>
        <v>44231</v>
      </c>
      <c r="AO339" s="12">
        <f ca="1">IFERROR(VLOOKUP(AN339,koronahun!A:B,2,FALSE),"")</f>
        <v>371988</v>
      </c>
      <c r="AP339" s="11">
        <f t="shared" ca="1" si="2"/>
        <v>44231</v>
      </c>
      <c r="AQ339" s="11">
        <f ca="1">IFERROR(__xludf.DUMMYFUNCTION("""COMPUTED_VALUE"""),44231)</f>
        <v>44231</v>
      </c>
      <c r="AR339" s="11">
        <v>44280</v>
      </c>
      <c r="AS339" s="11">
        <f t="shared" si="3"/>
        <v>44280</v>
      </c>
      <c r="AT339" s="11">
        <f ca="1">IFERROR(__xludf.DUMMYFUNCTION("""COMPUTED_VALUE"""),44279)</f>
        <v>44279</v>
      </c>
    </row>
    <row r="340" spans="1:46" ht="13">
      <c r="A340" s="11">
        <v>44278</v>
      </c>
      <c r="B340">
        <f>IFERROR(VLOOKUP($A340,koronahun!$A:$AM,2,FALSE),"")</f>
        <v>586123</v>
      </c>
      <c r="C340">
        <f>IFERROR(VLOOKUP($A340,koronahun!$A:$AM,3,FALSE),"")</f>
        <v>5481</v>
      </c>
      <c r="D340">
        <f>IFERROR(VLOOKUP($A340,koronahun!$A:$AM,4,FALSE),"")</f>
        <v>18703</v>
      </c>
      <c r="E340">
        <f>IFERROR(VLOOKUP($A340,koronahun!$A:$AM,5,FALSE),"")</f>
        <v>378176</v>
      </c>
      <c r="F340">
        <f>IFERROR(VLOOKUP($A340,koronahun!$A:$AM,6,FALSE),"")</f>
        <v>4334584</v>
      </c>
      <c r="G340" s="12">
        <f>IFERROR(VLOOKUP($A340,koronahun!$A:$AM,7,FALSE),"")</f>
        <v>442304.48979591834</v>
      </c>
      <c r="H340">
        <f>IFERROR(VLOOKUP($A340,koronahun!$A:$AM,8,FALSE),"")</f>
        <v>0</v>
      </c>
      <c r="I340" s="13">
        <f>IFERROR(VLOOKUP($A340,koronahun!$A:$AM,9,FALSE),"")</f>
        <v>9.4395513931131401E-3</v>
      </c>
      <c r="J340" s="13">
        <f>IFERROR(VLOOKUP($A340,koronahun!$A:$AM,10,FALSE),"")</f>
        <v>0.13522012723712357</v>
      </c>
      <c r="K340" s="13">
        <f>IFERROR(VLOOKUP($A340,koronahun!$A:$AM,11,FALSE),"")</f>
        <v>4.4675868797222906E-3</v>
      </c>
      <c r="L340">
        <f>IFERROR(VLOOKUP($A340,koronahun!$A:$AM,12,FALSE),"")</f>
        <v>189244</v>
      </c>
      <c r="M340" s="13">
        <f>IFERROR(VLOOKUP($A340,koronahun!$A:$AM,13,FALSE),"")</f>
        <v>3.1909684486020849E-2</v>
      </c>
      <c r="N340" s="13">
        <f>IFERROR(VLOOKUP($A340,koronahun!$A:$AM,14,FALSE),"")</f>
        <v>0.64521610651689154</v>
      </c>
      <c r="O340">
        <f>IFERROR(VLOOKUP($A340,koronahun!$A:$AM,15,FALSE),"")</f>
        <v>50096</v>
      </c>
      <c r="P340">
        <f>IFERROR(VLOOKUP($A340,koronahun!$A:$AM,16,FALSE),"")</f>
        <v>19279</v>
      </c>
      <c r="Q340" s="13">
        <f>IFERROR(VLOOKUP($A340,koronahun!$A:$AM,17,FALSE),"")</f>
        <v>0.28429897816276778</v>
      </c>
      <c r="R340">
        <f>IFERROR(VLOOKUP($A340,koronahun!$A:$AM,18,FALSE),"")</f>
        <v>252</v>
      </c>
      <c r="S340">
        <f>IFERROR(VLOOKUP($A340,koronahun!$A:$AM,19,FALSE),"")</f>
        <v>4510</v>
      </c>
      <c r="T340">
        <f>IFERROR(VLOOKUP($A340,koronahun!$A:$AM,20,FALSE),"")</f>
        <v>11873</v>
      </c>
      <c r="U340">
        <f>IFERROR(VLOOKUP($A340,koronahun!$A:$AM,21,FALSE),"")</f>
        <v>1389</v>
      </c>
      <c r="V340" s="13">
        <f>IFERROR(VLOOKUP($A340,koronahun!$A:$AM,22,FALSE),"")</f>
        <v>0.32287420899708763</v>
      </c>
      <c r="W340">
        <f>IFERROR(VLOOKUP($A340,koronahun!$A:$AM,23,FALSE),"")</f>
        <v>597</v>
      </c>
      <c r="X340">
        <f>IFERROR(VLOOKUP($A340,koronahun!$A:$AM,24,FALSE),"")</f>
        <v>49</v>
      </c>
      <c r="Y340" s="14">
        <f>IFERROR(VLOOKUP($A340,koronahun!$A:$AM,25,FALSE),"")</f>
        <v>6.2739109298049073E-2</v>
      </c>
      <c r="Z340" s="14">
        <f>IFERROR(VLOOKUP($A340,koronahun!$A:$AM,26,FALSE),"")</f>
        <v>0.11698812431567422</v>
      </c>
      <c r="AA340" s="14">
        <f>IFERROR(VLOOKUP($A340,koronahun!$A:$AM,27,FALSE),"")</f>
        <v>1.0572382453862561</v>
      </c>
      <c r="AB340" s="14">
        <f>IFERROR(VLOOKUP($A340,koronahun!$A:$AM,28,FALSE),"")</f>
        <v>1.1196408704886829</v>
      </c>
      <c r="AC340" s="14">
        <f>IFERROR(VLOOKUP($A340,koronahun!$A:$AM,29,FALSE),"")</f>
        <v>8143</v>
      </c>
      <c r="AD340" s="14">
        <f>IFERROR(VLOOKUP($A340,koronahun!$A:$AM,30,FALSE),"")</f>
        <v>211</v>
      </c>
      <c r="AE340" s="14">
        <f>IFERROR(VLOOKUP($A340,koronahun!$A:$AM,31,FALSE),"")</f>
        <v>30291.857142857141</v>
      </c>
      <c r="AF340" s="13">
        <f>IFERROR(VLOOKUP($A340,koronahun!$A:$AM,32,FALSE),"")</f>
        <v>0.26792651891669322</v>
      </c>
      <c r="AG340">
        <f>IFERROR(VLOOKUP($A340,koronahun!$A:$AM,33,FALSE),"")</f>
        <v>1636436</v>
      </c>
      <c r="AH340">
        <f>IFERROR(VLOOKUP($A340,koronahun!$A:$AM,34,FALSE),"")</f>
        <v>46824</v>
      </c>
      <c r="AI340">
        <f>IFERROR(VLOOKUP($A340,koronahun!$A:$AM,35,FALSE),"")</f>
        <v>41337.571428571428</v>
      </c>
      <c r="AJ340">
        <f>IFERROR(VLOOKUP($A340,koronahun!$A:$AM,36,FALSE),"")</f>
        <v>481820</v>
      </c>
      <c r="AK340">
        <f>IFERROR(VLOOKUP($A340,koronahun!$A:$AM,37,FALSE),"")</f>
        <v>2431</v>
      </c>
      <c r="AL340">
        <f>IFERROR(VLOOKUP($A340,koronahun!$A:$AM,38,FALSE),"")</f>
        <v>11759.285714285714</v>
      </c>
      <c r="AM340" s="14">
        <f>IFERROR(VLOOKUP($A340,koronahun!$A:$AM,39,FALSE),"")</f>
        <v>3071</v>
      </c>
      <c r="AN340" s="11">
        <f ca="1">IFERROR(__xludf.DUMMYFUNCTION("""COMPUTED_VALUE"""),44232)</f>
        <v>44232</v>
      </c>
      <c r="AO340" s="12">
        <f ca="1">IFERROR(VLOOKUP(AN340,koronahun!A:B,2,FALSE),"")</f>
        <v>373564</v>
      </c>
      <c r="AP340" s="11">
        <f t="shared" ca="1" si="2"/>
        <v>44232</v>
      </c>
      <c r="AQ340" s="11">
        <f ca="1">IFERROR(__xludf.DUMMYFUNCTION("""COMPUTED_VALUE"""),44232)</f>
        <v>44232</v>
      </c>
      <c r="AR340" s="11">
        <v>44279</v>
      </c>
      <c r="AS340" s="11">
        <f t="shared" si="3"/>
        <v>44279</v>
      </c>
      <c r="AT340" s="11">
        <f ca="1">IFERROR(__xludf.DUMMYFUNCTION("""COMPUTED_VALUE"""),44278)</f>
        <v>44278</v>
      </c>
    </row>
    <row r="341" spans="1:46" ht="13">
      <c r="A341" s="11">
        <v>44277</v>
      </c>
      <c r="B341">
        <f>IFERROR(VLOOKUP($A341,koronahun!$A:$AM,2,FALSE),"")</f>
        <v>580642</v>
      </c>
      <c r="C341">
        <f>IFERROR(VLOOKUP($A341,koronahun!$A:$AM,3,FALSE),"")</f>
        <v>9046</v>
      </c>
      <c r="D341">
        <f>IFERROR(VLOOKUP($A341,koronahun!$A:$AM,4,FALSE),"")</f>
        <v>18451</v>
      </c>
      <c r="E341">
        <f>IFERROR(VLOOKUP($A341,koronahun!$A:$AM,5,FALSE),"")</f>
        <v>373666</v>
      </c>
      <c r="F341">
        <f>IFERROR(VLOOKUP($A341,koronahun!$A:$AM,6,FALSE),"")</f>
        <v>4315305</v>
      </c>
      <c r="G341" s="12">
        <f>IFERROR(VLOOKUP($A341,koronahun!$A:$AM,7,FALSE),"")</f>
        <v>440337.24489795917</v>
      </c>
      <c r="H341">
        <f>IFERROR(VLOOKUP($A341,koronahun!$A:$AM,8,FALSE),"")</f>
        <v>0</v>
      </c>
      <c r="I341" s="13">
        <f>IFERROR(VLOOKUP($A341,koronahun!$A:$AM,9,FALSE),"")</f>
        <v>1.5825863022134515E-2</v>
      </c>
      <c r="J341" s="13">
        <f>IFERROR(VLOOKUP($A341,koronahun!$A:$AM,10,FALSE),"")</f>
        <v>0.13455410451868408</v>
      </c>
      <c r="K341" s="13">
        <f>IFERROR(VLOOKUP($A341,koronahun!$A:$AM,11,FALSE),"")</f>
        <v>7.3683259562144394E-3</v>
      </c>
      <c r="L341">
        <f>IFERROR(VLOOKUP($A341,koronahun!$A:$AM,12,FALSE),"")</f>
        <v>188525</v>
      </c>
      <c r="M341" s="13">
        <f>IFERROR(VLOOKUP($A341,koronahun!$A:$AM,13,FALSE),"")</f>
        <v>3.1776895229762916E-2</v>
      </c>
      <c r="N341" s="13">
        <f>IFERROR(VLOOKUP($A341,koronahun!$A:$AM,14,FALSE),"")</f>
        <v>0.64353939260335968</v>
      </c>
      <c r="O341">
        <f>IFERROR(VLOOKUP($A341,koronahun!$A:$AM,15,FALSE),"")</f>
        <v>43961</v>
      </c>
      <c r="P341">
        <f>IFERROR(VLOOKUP($A341,koronahun!$A:$AM,16,FALSE),"")</f>
        <v>31564</v>
      </c>
      <c r="Q341" s="13">
        <f>IFERROR(VLOOKUP($A341,koronahun!$A:$AM,17,FALSE),"")</f>
        <v>0.28659232036497273</v>
      </c>
      <c r="R341">
        <f>IFERROR(VLOOKUP($A341,koronahun!$A:$AM,18,FALSE),"")</f>
        <v>189</v>
      </c>
      <c r="S341">
        <f>IFERROR(VLOOKUP($A341,koronahun!$A:$AM,19,FALSE),"")</f>
        <v>3668</v>
      </c>
      <c r="T341">
        <f>IFERROR(VLOOKUP($A341,koronahun!$A:$AM,20,FALSE),"")</f>
        <v>11276</v>
      </c>
      <c r="U341">
        <f>IFERROR(VLOOKUP($A341,koronahun!$A:$AM,21,FALSE),"")</f>
        <v>1340</v>
      </c>
      <c r="V341" s="13">
        <f>IFERROR(VLOOKUP($A341,koronahun!$A:$AM,22,FALSE),"")</f>
        <v>0.32468371216687736</v>
      </c>
      <c r="W341">
        <f>IFERROR(VLOOKUP($A341,koronahun!$A:$AM,23,FALSE),"")</f>
        <v>624</v>
      </c>
      <c r="X341">
        <f>IFERROR(VLOOKUP($A341,koronahun!$A:$AM,24,FALSE),"")</f>
        <v>67</v>
      </c>
      <c r="Y341" s="14">
        <f>IFERROR(VLOOKUP($A341,koronahun!$A:$AM,25,FALSE),"")</f>
        <v>5.9811696061530299E-2</v>
      </c>
      <c r="Z341" s="14">
        <f>IFERROR(VLOOKUP($A341,koronahun!$A:$AM,26,FALSE),"")</f>
        <v>0.11883646683221</v>
      </c>
      <c r="AA341" s="14">
        <f>IFERROR(VLOOKUP($A341,koronahun!$A:$AM,27,FALSE),"")</f>
        <v>1.0173566678081574</v>
      </c>
      <c r="AB341" s="14">
        <f>IFERROR(VLOOKUP($A341,koronahun!$A:$AM,28,FALSE),"")</f>
        <v>1.1635089776760981</v>
      </c>
      <c r="AC341" s="14">
        <f>IFERROR(VLOOKUP($A341,koronahun!$A:$AM,29,FALSE),"")</f>
        <v>8063.7142857142853</v>
      </c>
      <c r="AD341" s="14">
        <f>IFERROR(VLOOKUP($A341,koronahun!$A:$AM,30,FALSE),"")</f>
        <v>195.42857142857142</v>
      </c>
      <c r="AE341" s="14">
        <f>IFERROR(VLOOKUP($A341,koronahun!$A:$AM,31,FALSE),"")</f>
        <v>30127.142857142859</v>
      </c>
      <c r="AF341" s="13">
        <f>IFERROR(VLOOKUP($A341,koronahun!$A:$AM,32,FALSE),"")</f>
        <v>0.26613585295794151</v>
      </c>
      <c r="AG341">
        <f>IFERROR(VLOOKUP($A341,koronahun!$A:$AM,33,FALSE),"")</f>
        <v>1589612</v>
      </c>
      <c r="AH341">
        <f>IFERROR(VLOOKUP($A341,koronahun!$A:$AM,34,FALSE),"")</f>
        <v>26370</v>
      </c>
      <c r="AI341">
        <f>IFERROR(VLOOKUP($A341,koronahun!$A:$AM,35,FALSE),"")</f>
        <v>36431</v>
      </c>
      <c r="AJ341">
        <f>IFERROR(VLOOKUP($A341,koronahun!$A:$AM,36,FALSE),"")</f>
        <v>479389</v>
      </c>
      <c r="AK341">
        <f>IFERROR(VLOOKUP($A341,koronahun!$A:$AM,37,FALSE),"")</f>
        <v>4498</v>
      </c>
      <c r="AL341">
        <f>IFERROR(VLOOKUP($A341,koronahun!$A:$AM,38,FALSE),"")</f>
        <v>11489.571428571429</v>
      </c>
      <c r="AM341" s="14">
        <f>IFERROR(VLOOKUP($A341,koronahun!$A:$AM,39,FALSE),"")</f>
        <v>2692.7142857142858</v>
      </c>
      <c r="AN341" s="11">
        <f ca="1">IFERROR(__xludf.DUMMYFUNCTION("""COMPUTED_VALUE"""),44233)</f>
        <v>44233</v>
      </c>
      <c r="AO341" s="12">
        <f ca="1">IFERROR(VLOOKUP(AN341,koronahun!A:B,2,FALSE),"")</f>
        <v>375125</v>
      </c>
      <c r="AP341" s="11">
        <f t="shared" ca="1" si="2"/>
        <v>44233</v>
      </c>
      <c r="AQ341" s="11">
        <f ca="1">IFERROR(__xludf.DUMMYFUNCTION("""COMPUTED_VALUE"""),44233)</f>
        <v>44233</v>
      </c>
      <c r="AR341" s="11">
        <v>44278</v>
      </c>
      <c r="AS341" s="11">
        <f t="shared" si="3"/>
        <v>44278</v>
      </c>
      <c r="AT341" s="11">
        <f ca="1">IFERROR(__xludf.DUMMYFUNCTION("""COMPUTED_VALUE"""),44277)</f>
        <v>44277</v>
      </c>
    </row>
    <row r="342" spans="1:46" ht="13">
      <c r="A342" s="11">
        <v>44276</v>
      </c>
      <c r="B342">
        <f>IFERROR(VLOOKUP($A342,koronahun!$A:$AM,2,FALSE),"")</f>
        <v>571596</v>
      </c>
      <c r="C342">
        <f>IFERROR(VLOOKUP($A342,koronahun!$A:$AM,3,FALSE),"")</f>
        <v>10625</v>
      </c>
      <c r="D342">
        <f>IFERROR(VLOOKUP($A342,koronahun!$A:$AM,4,FALSE),"")</f>
        <v>18262</v>
      </c>
      <c r="E342">
        <f>IFERROR(VLOOKUP($A342,koronahun!$A:$AM,5,FALSE),"")</f>
        <v>369998</v>
      </c>
      <c r="F342">
        <f>IFERROR(VLOOKUP($A342,koronahun!$A:$AM,6,FALSE),"")</f>
        <v>4283741</v>
      </c>
      <c r="G342" s="12">
        <f>IFERROR(VLOOKUP($A342,koronahun!$A:$AM,7,FALSE),"")</f>
        <v>437116.42857142852</v>
      </c>
      <c r="H342">
        <f>IFERROR(VLOOKUP($A342,koronahun!$A:$AM,8,FALSE),"")</f>
        <v>0</v>
      </c>
      <c r="I342" s="13">
        <f>IFERROR(VLOOKUP($A342,koronahun!$A:$AM,9,FALSE),"")</f>
        <v>1.8940373031761E-2</v>
      </c>
      <c r="J342" s="13">
        <f>IFERROR(VLOOKUP($A342,koronahun!$A:$AM,10,FALSE),"")</f>
        <v>0.13343383738652734</v>
      </c>
      <c r="K342" s="13">
        <f>IFERROR(VLOOKUP($A342,koronahun!$A:$AM,11,FALSE),"")</f>
        <v>9.6585667543925401E-3</v>
      </c>
      <c r="L342">
        <f>IFERROR(VLOOKUP($A342,koronahun!$A:$AM,12,FALSE),"")</f>
        <v>183336</v>
      </c>
      <c r="M342" s="13">
        <f>IFERROR(VLOOKUP($A342,koronahun!$A:$AM,13,FALSE),"")</f>
        <v>3.1949138902301624E-2</v>
      </c>
      <c r="N342" s="13">
        <f>IFERROR(VLOOKUP($A342,koronahun!$A:$AM,14,FALSE),"")</f>
        <v>0.64730683909614484</v>
      </c>
      <c r="O342">
        <f>IFERROR(VLOOKUP($A342,koronahun!$A:$AM,15,FALSE),"")</f>
        <v>50512</v>
      </c>
      <c r="P342">
        <f>IFERROR(VLOOKUP($A342,koronahun!$A:$AM,16,FALSE),"")</f>
        <v>40979</v>
      </c>
      <c r="Q342" s="13">
        <f>IFERROR(VLOOKUP($A342,koronahun!$A:$AM,17,FALSE),"")</f>
        <v>0.25927914297567045</v>
      </c>
      <c r="R342">
        <f>IFERROR(VLOOKUP($A342,koronahun!$A:$AM,18,FALSE),"")</f>
        <v>194</v>
      </c>
      <c r="S342">
        <f>IFERROR(VLOOKUP($A342,koronahun!$A:$AM,19,FALSE),"")</f>
        <v>3224</v>
      </c>
      <c r="T342">
        <f>IFERROR(VLOOKUP($A342,koronahun!$A:$AM,20,FALSE),"")</f>
        <v>10652</v>
      </c>
      <c r="U342">
        <f>IFERROR(VLOOKUP($A342,koronahun!$A:$AM,21,FALSE),"")</f>
        <v>1273</v>
      </c>
      <c r="V342" s="13">
        <f>IFERROR(VLOOKUP($A342,koronahun!$A:$AM,22,FALSE),"")</f>
        <v>0.32074402200155355</v>
      </c>
      <c r="W342">
        <f>IFERROR(VLOOKUP($A342,koronahun!$A:$AM,23,FALSE),"")</f>
        <v>69</v>
      </c>
      <c r="X342">
        <f>IFERROR(VLOOKUP($A342,koronahun!$A:$AM,24,FALSE),"")</f>
        <v>36</v>
      </c>
      <c r="Y342" s="14">
        <f>IFERROR(VLOOKUP($A342,koronahun!$A:$AM,25,FALSE),"")</f>
        <v>5.8100973076755248E-2</v>
      </c>
      <c r="Z342" s="14">
        <f>IFERROR(VLOOKUP($A342,koronahun!$A:$AM,26,FALSE),"")</f>
        <v>0.11950807360120165</v>
      </c>
      <c r="AA342" s="14">
        <f>IFERROR(VLOOKUP($A342,koronahun!$A:$AM,27,FALSE),"")</f>
        <v>1.0917916509817129</v>
      </c>
      <c r="AB342" s="14">
        <f>IFERROR(VLOOKUP($A342,koronahun!$A:$AM,28,FALSE),"")</f>
        <v>1.239647186702594</v>
      </c>
      <c r="AC342" s="14">
        <f>IFERROR(VLOOKUP($A342,koronahun!$A:$AM,29,FALSE),"")</f>
        <v>7872.2857142857147</v>
      </c>
      <c r="AD342" s="14">
        <f>IFERROR(VLOOKUP($A342,koronahun!$A:$AM,30,FALSE),"")</f>
        <v>187.14285714285714</v>
      </c>
      <c r="AE342" s="14">
        <f>IFERROR(VLOOKUP($A342,koronahun!$A:$AM,31,FALSE),"")</f>
        <v>29542.571428571428</v>
      </c>
      <c r="AF342" s="13">
        <f>IFERROR(VLOOKUP($A342,koronahun!$A:$AM,32,FALSE),"")</f>
        <v>0.26526606228761473</v>
      </c>
      <c r="AG342">
        <f>IFERROR(VLOOKUP($A342,koronahun!$A:$AM,33,FALSE),"")</f>
        <v>1563242</v>
      </c>
      <c r="AH342">
        <f>IFERROR(VLOOKUP($A342,koronahun!$A:$AM,34,FALSE),"")</f>
        <v>42892</v>
      </c>
      <c r="AI342">
        <f>IFERROR(VLOOKUP($A342,koronahun!$A:$AM,35,FALSE),"")</f>
        <v>34853.714285714283</v>
      </c>
      <c r="AJ342">
        <f>IFERROR(VLOOKUP($A342,koronahun!$A:$AM,36,FALSE),"")</f>
        <v>474891</v>
      </c>
      <c r="AK342">
        <f>IFERROR(VLOOKUP($A342,koronahun!$A:$AM,37,FALSE),"")</f>
        <v>9248</v>
      </c>
      <c r="AL342">
        <f>IFERROR(VLOOKUP($A342,koronahun!$A:$AM,38,FALSE),"")</f>
        <v>11741.142857142857</v>
      </c>
      <c r="AM342" s="14">
        <f>IFERROR(VLOOKUP($A342,koronahun!$A:$AM,39,FALSE),"")</f>
        <v>2586.7142857142858</v>
      </c>
      <c r="AN342" s="11">
        <f ca="1">IFERROR(__xludf.DUMMYFUNCTION("""COMPUTED_VALUE"""),44234)</f>
        <v>44234</v>
      </c>
      <c r="AO342" s="12">
        <f ca="1">IFERROR(VLOOKUP(AN342,koronahun!A:B,2,FALSE),"")</f>
        <v>376495</v>
      </c>
      <c r="AP342" s="11">
        <f t="shared" ca="1" si="2"/>
        <v>44234</v>
      </c>
      <c r="AQ342" s="11">
        <f ca="1">IFERROR(__xludf.DUMMYFUNCTION("""COMPUTED_VALUE"""),44234)</f>
        <v>44234</v>
      </c>
      <c r="AR342" s="11">
        <v>44277</v>
      </c>
      <c r="AS342" s="11">
        <f t="shared" si="3"/>
        <v>44277</v>
      </c>
      <c r="AT342" s="11">
        <f ca="1">IFERROR(__xludf.DUMMYFUNCTION("""COMPUTED_VALUE"""),44276)</f>
        <v>44276</v>
      </c>
    </row>
    <row r="343" spans="1:46" ht="13">
      <c r="A343" s="11">
        <v>44275</v>
      </c>
      <c r="B343">
        <f>IFERROR(VLOOKUP($A343,koronahun!$A:$AM,2,FALSE),"")</f>
        <v>560971</v>
      </c>
      <c r="C343">
        <f>IFERROR(VLOOKUP($A343,koronahun!$A:$AM,3,FALSE),"")</f>
        <v>11132</v>
      </c>
      <c r="D343">
        <f>IFERROR(VLOOKUP($A343,koronahun!$A:$AM,4,FALSE),"")</f>
        <v>18068</v>
      </c>
      <c r="E343">
        <f>IFERROR(VLOOKUP($A343,koronahun!$A:$AM,5,FALSE),"")</f>
        <v>366774</v>
      </c>
      <c r="F343">
        <f>IFERROR(VLOOKUP($A343,koronahun!$A:$AM,6,FALSE),"")</f>
        <v>4242762</v>
      </c>
      <c r="G343" s="12">
        <f>IFERROR(VLOOKUP($A343,koronahun!$A:$AM,7,FALSE),"")</f>
        <v>432934.89795918367</v>
      </c>
      <c r="H343">
        <f>IFERROR(VLOOKUP($A343,koronahun!$A:$AM,8,FALSE),"")</f>
        <v>0</v>
      </c>
      <c r="I343" s="13">
        <f>IFERROR(VLOOKUP($A343,koronahun!$A:$AM,9,FALSE),"")</f>
        <v>2.0245926534858384E-2</v>
      </c>
      <c r="J343" s="13">
        <f>IFERROR(VLOOKUP($A343,koronahun!$A:$AM,10,FALSE),"")</f>
        <v>0.13221835210176766</v>
      </c>
      <c r="K343" s="13">
        <f>IFERROR(VLOOKUP($A343,koronahun!$A:$AM,11,FALSE),"")</f>
        <v>9.6319003513801772E-3</v>
      </c>
      <c r="L343">
        <f>IFERROR(VLOOKUP($A343,koronahun!$A:$AM,12,FALSE),"")</f>
        <v>176129</v>
      </c>
      <c r="M343" s="13">
        <f>IFERROR(VLOOKUP($A343,koronahun!$A:$AM,13,FALSE),"")</f>
        <v>3.220843858238661E-2</v>
      </c>
      <c r="N343" s="13">
        <f>IFERROR(VLOOKUP($A343,koronahun!$A:$AM,14,FALSE),"")</f>
        <v>0.65381989443304556</v>
      </c>
      <c r="O343">
        <f>IFERROR(VLOOKUP($A343,koronahun!$A:$AM,15,FALSE),"")</f>
        <v>52885</v>
      </c>
      <c r="P343">
        <f>IFERROR(VLOOKUP($A343,koronahun!$A:$AM,16,FALSE),"")</f>
        <v>40476</v>
      </c>
      <c r="Q343" s="13">
        <f>IFERROR(VLOOKUP($A343,koronahun!$A:$AM,17,FALSE),"")</f>
        <v>0.27502717659847808</v>
      </c>
      <c r="R343">
        <f>IFERROR(VLOOKUP($A343,koronahun!$A:$AM,18,FALSE),"")</f>
        <v>227</v>
      </c>
      <c r="S343">
        <f>IFERROR(VLOOKUP($A343,koronahun!$A:$AM,19,FALSE),"")</f>
        <v>1966</v>
      </c>
      <c r="T343">
        <f>IFERROR(VLOOKUP($A343,koronahun!$A:$AM,20,FALSE),"")</f>
        <v>10583</v>
      </c>
      <c r="U343">
        <f>IFERROR(VLOOKUP($A343,koronahun!$A:$AM,21,FALSE),"")</f>
        <v>1237</v>
      </c>
      <c r="V343" s="13">
        <f>IFERROR(VLOOKUP($A343,koronahun!$A:$AM,22,FALSE),"")</f>
        <v>0.31397166698456785</v>
      </c>
      <c r="W343">
        <f>IFERROR(VLOOKUP($A343,koronahun!$A:$AM,23,FALSE),"")</f>
        <v>319</v>
      </c>
      <c r="X343">
        <f>IFERROR(VLOOKUP($A343,koronahun!$A:$AM,24,FALSE),"")</f>
        <v>63</v>
      </c>
      <c r="Y343" s="14">
        <f>IFERROR(VLOOKUP($A343,koronahun!$A:$AM,25,FALSE),"")</f>
        <v>6.0086641041509348E-2</v>
      </c>
      <c r="Z343" s="14">
        <f>IFERROR(VLOOKUP($A343,koronahun!$A:$AM,26,FALSE),"")</f>
        <v>0.11688557119909289</v>
      </c>
      <c r="AA343" s="14">
        <f>IFERROR(VLOOKUP($A343,koronahun!$A:$AM,27,FALSE),"")</f>
        <v>1.1157265064524899</v>
      </c>
      <c r="AB343" s="14">
        <f>IFERROR(VLOOKUP($A343,koronahun!$A:$AM,28,FALSE),"")</f>
        <v>1.2763764155823778</v>
      </c>
      <c r="AC343" s="14">
        <f>IFERROR(VLOOKUP($A343,koronahun!$A:$AM,29,FALSE),"")</f>
        <v>7620.5714285714284</v>
      </c>
      <c r="AD343" s="14">
        <f>IFERROR(VLOOKUP($A343,koronahun!$A:$AM,30,FALSE),"")</f>
        <v>182.57142857142858</v>
      </c>
      <c r="AE343" s="14">
        <f>IFERROR(VLOOKUP($A343,koronahun!$A:$AM,31,FALSE),"")</f>
        <v>29732.428571428572</v>
      </c>
      <c r="AF343" s="13">
        <f>IFERROR(VLOOKUP($A343,koronahun!$A:$AM,32,FALSE),"")</f>
        <v>0.25815298005725412</v>
      </c>
      <c r="AG343">
        <f>IFERROR(VLOOKUP($A343,koronahun!$A:$AM,33,FALSE),"")</f>
        <v>1520350</v>
      </c>
      <c r="AH343">
        <f>IFERROR(VLOOKUP($A343,koronahun!$A:$AM,34,FALSE),"")</f>
        <v>42796</v>
      </c>
      <c r="AI343">
        <f>IFERROR(VLOOKUP($A343,koronahun!$A:$AM,35,FALSE),"")</f>
        <v>32419.428571428572</v>
      </c>
      <c r="AJ343">
        <f>IFERROR(VLOOKUP($A343,koronahun!$A:$AM,36,FALSE),"")</f>
        <v>465643</v>
      </c>
      <c r="AK343">
        <f>IFERROR(VLOOKUP($A343,koronahun!$A:$AM,37,FALSE),"")</f>
        <v>21192</v>
      </c>
      <c r="AL343">
        <f>IFERROR(VLOOKUP($A343,koronahun!$A:$AM,38,FALSE),"")</f>
        <v>12614.285714285714</v>
      </c>
      <c r="AM343" s="14">
        <f>IFERROR(VLOOKUP($A343,koronahun!$A:$AM,39,FALSE),"")</f>
        <v>2463.4285714285716</v>
      </c>
      <c r="AN343" s="11">
        <f ca="1">IFERROR(__xludf.DUMMYFUNCTION("""COMPUTED_VALUE"""),44235)</f>
        <v>44235</v>
      </c>
      <c r="AO343" s="12">
        <f ca="1">IFERROR(VLOOKUP(AN343,koronahun!A:B,2,FALSE),"")</f>
        <v>377655</v>
      </c>
      <c r="AP343" s="11">
        <f t="shared" ca="1" si="2"/>
        <v>44235</v>
      </c>
      <c r="AQ343" s="11">
        <f ca="1">IFERROR(__xludf.DUMMYFUNCTION("""COMPUTED_VALUE"""),44235)</f>
        <v>44235</v>
      </c>
      <c r="AR343" s="11">
        <v>44276</v>
      </c>
      <c r="AS343" s="11">
        <f t="shared" si="3"/>
        <v>44276</v>
      </c>
      <c r="AT343" s="11">
        <f ca="1">IFERROR(__xludf.DUMMYFUNCTION("""COMPUTED_VALUE"""),44275)</f>
        <v>44275</v>
      </c>
    </row>
    <row r="344" spans="1:46" ht="13">
      <c r="A344" s="11">
        <v>44274</v>
      </c>
      <c r="B344">
        <f>IFERROR(VLOOKUP($A344,koronahun!$A:$AM,2,FALSE),"")</f>
        <v>549839</v>
      </c>
      <c r="C344">
        <f>IFERROR(VLOOKUP($A344,koronahun!$A:$AM,3,FALSE),"")</f>
        <v>10759</v>
      </c>
      <c r="D344">
        <f>IFERROR(VLOOKUP($A344,koronahun!$A:$AM,4,FALSE),"")</f>
        <v>17841</v>
      </c>
      <c r="E344">
        <f>IFERROR(VLOOKUP($A344,koronahun!$A:$AM,5,FALSE),"")</f>
        <v>364808</v>
      </c>
      <c r="F344">
        <f>IFERROR(VLOOKUP($A344,koronahun!$A:$AM,6,FALSE),"")</f>
        <v>4202286</v>
      </c>
      <c r="G344" s="12">
        <f>IFERROR(VLOOKUP($A344,koronahun!$A:$AM,7,FALSE),"")</f>
        <v>428804.69387755101</v>
      </c>
      <c r="H344">
        <f>IFERROR(VLOOKUP($A344,koronahun!$A:$AM,8,FALSE),"")</f>
        <v>0</v>
      </c>
      <c r="I344" s="13">
        <f>IFERROR(VLOOKUP($A344,koronahun!$A:$AM,9,FALSE),"")</f>
        <v>1.9958076723306375E-2</v>
      </c>
      <c r="J344" s="13">
        <f>IFERROR(VLOOKUP($A344,koronahun!$A:$AM,10,FALSE),"")</f>
        <v>0.13084283173491762</v>
      </c>
      <c r="K344" s="13">
        <f>IFERROR(VLOOKUP($A344,koronahun!$A:$AM,11,FALSE),"")</f>
        <v>9.5126033947295595E-3</v>
      </c>
      <c r="L344">
        <f>IFERROR(VLOOKUP($A344,koronahun!$A:$AM,12,FALSE),"")</f>
        <v>167190</v>
      </c>
      <c r="M344" s="13">
        <f>IFERROR(VLOOKUP($A344,koronahun!$A:$AM,13,FALSE),"")</f>
        <v>3.2447680139095263E-2</v>
      </c>
      <c r="N344" s="13">
        <f>IFERROR(VLOOKUP($A344,koronahun!$A:$AM,14,FALSE),"")</f>
        <v>0.66348149185488847</v>
      </c>
      <c r="O344">
        <f>IFERROR(VLOOKUP($A344,koronahun!$A:$AM,15,FALSE),"")</f>
        <v>50701</v>
      </c>
      <c r="P344">
        <f>IFERROR(VLOOKUP($A344,koronahun!$A:$AM,16,FALSE),"")</f>
        <v>39598</v>
      </c>
      <c r="Q344" s="13">
        <f>IFERROR(VLOOKUP($A344,koronahun!$A:$AM,17,FALSE),"")</f>
        <v>0.27170564169907568</v>
      </c>
      <c r="R344">
        <f>IFERROR(VLOOKUP($A344,koronahun!$A:$AM,18,FALSE),"")</f>
        <v>213</v>
      </c>
      <c r="S344">
        <f>IFERROR(VLOOKUP($A344,koronahun!$A:$AM,19,FALSE),"")</f>
        <v>3913</v>
      </c>
      <c r="T344">
        <f>IFERROR(VLOOKUP($A344,koronahun!$A:$AM,20,FALSE),"")</f>
        <v>10264</v>
      </c>
      <c r="U344">
        <f>IFERROR(VLOOKUP($A344,koronahun!$A:$AM,21,FALSE),"")</f>
        <v>1174</v>
      </c>
      <c r="V344" s="13">
        <f>IFERROR(VLOOKUP($A344,koronahun!$A:$AM,22,FALSE),"")</f>
        <v>0.30407082800601631</v>
      </c>
      <c r="W344">
        <f>IFERROR(VLOOKUP($A344,koronahun!$A:$AM,23,FALSE),"")</f>
        <v>-122</v>
      </c>
      <c r="X344">
        <f>IFERROR(VLOOKUP($A344,koronahun!$A:$AM,24,FALSE),"")</f>
        <v>4</v>
      </c>
      <c r="Y344" s="14">
        <f>IFERROR(VLOOKUP($A344,koronahun!$A:$AM,25,FALSE),"")</f>
        <v>6.1391231532986423E-2</v>
      </c>
      <c r="Z344" s="14">
        <f>IFERROR(VLOOKUP($A344,koronahun!$A:$AM,26,FALSE),"")</f>
        <v>0.11438035853468434</v>
      </c>
      <c r="AA344" s="14">
        <f>IFERROR(VLOOKUP($A344,koronahun!$A:$AM,27,FALSE),"")</f>
        <v>1.131913401700412</v>
      </c>
      <c r="AB344" s="14">
        <f>IFERROR(VLOOKUP($A344,koronahun!$A:$AM,28,FALSE),"")</f>
        <v>1.308382499964154</v>
      </c>
      <c r="AC344" s="14">
        <f>IFERROR(VLOOKUP($A344,koronahun!$A:$AM,29,FALSE),"")</f>
        <v>7379.4285714285716</v>
      </c>
      <c r="AD344" s="14">
        <f>IFERROR(VLOOKUP($A344,koronahun!$A:$AM,30,FALSE),"")</f>
        <v>173.42857142857142</v>
      </c>
      <c r="AE344" s="14">
        <f>IFERROR(VLOOKUP($A344,koronahun!$A:$AM,31,FALSE),"")</f>
        <v>29928</v>
      </c>
      <c r="AF344" s="13">
        <f>IFERROR(VLOOKUP($A344,koronahun!$A:$AM,32,FALSE),"")</f>
        <v>0.25110481862897865</v>
      </c>
      <c r="AG344">
        <f>IFERROR(VLOOKUP($A344,koronahun!$A:$AM,33,FALSE),"")</f>
        <v>1477554</v>
      </c>
      <c r="AH344">
        <f>IFERROR(VLOOKUP($A344,koronahun!$A:$AM,34,FALSE),"")</f>
        <v>35848</v>
      </c>
      <c r="AI344">
        <f>IFERROR(VLOOKUP($A344,koronahun!$A:$AM,35,FALSE),"")</f>
        <v>35389.571428571428</v>
      </c>
      <c r="AJ344">
        <f>IFERROR(VLOOKUP($A344,koronahun!$A:$AM,36,FALSE),"")</f>
        <v>444451</v>
      </c>
      <c r="AK344">
        <f>IFERROR(VLOOKUP($A344,koronahun!$A:$AM,37,FALSE),"")</f>
        <v>22536</v>
      </c>
      <c r="AL344">
        <f>IFERROR(VLOOKUP($A344,koronahun!$A:$AM,38,FALSE),"")</f>
        <v>13251</v>
      </c>
      <c r="AM344" s="14">
        <f>IFERROR(VLOOKUP($A344,koronahun!$A:$AM,39,FALSE),"")</f>
        <v>2557.7142857142858</v>
      </c>
      <c r="AN344" s="11">
        <f ca="1">IFERROR(__xludf.DUMMYFUNCTION("""COMPUTED_VALUE"""),44236)</f>
        <v>44236</v>
      </c>
      <c r="AO344" s="12">
        <f ca="1">IFERROR(VLOOKUP(AN344,koronahun!A:B,2,FALSE),"")</f>
        <v>378734</v>
      </c>
      <c r="AP344" s="11">
        <f t="shared" ca="1" si="2"/>
        <v>44236</v>
      </c>
      <c r="AQ344" s="11">
        <f ca="1">IFERROR(__xludf.DUMMYFUNCTION("""COMPUTED_VALUE"""),44236)</f>
        <v>44236</v>
      </c>
      <c r="AR344" s="11">
        <v>44275</v>
      </c>
      <c r="AS344" s="11">
        <f t="shared" si="3"/>
        <v>44275</v>
      </c>
      <c r="AT344" s="11">
        <f ca="1">IFERROR(__xludf.DUMMYFUNCTION("""COMPUTED_VALUE"""),44274)</f>
        <v>44274</v>
      </c>
    </row>
    <row r="345" spans="1:46" ht="13">
      <c r="A345" s="11">
        <v>44273</v>
      </c>
      <c r="B345">
        <f>IFERROR(VLOOKUP($A345,koronahun!$A:$AM,2,FALSE),"")</f>
        <v>539080</v>
      </c>
      <c r="C345">
        <f>IFERROR(VLOOKUP($A345,koronahun!$A:$AM,3,FALSE),"")</f>
        <v>6502</v>
      </c>
      <c r="D345">
        <f>IFERROR(VLOOKUP($A345,koronahun!$A:$AM,4,FALSE),"")</f>
        <v>17628</v>
      </c>
      <c r="E345">
        <f>IFERROR(VLOOKUP($A345,koronahun!$A:$AM,5,FALSE),"")</f>
        <v>360895</v>
      </c>
      <c r="F345">
        <f>IFERROR(VLOOKUP($A345,koronahun!$A:$AM,6,FALSE),"")</f>
        <v>4162688</v>
      </c>
      <c r="G345" s="12">
        <f>IFERROR(VLOOKUP($A345,koronahun!$A:$AM,7,FALSE),"")</f>
        <v>424764.08163265302</v>
      </c>
      <c r="H345">
        <f>IFERROR(VLOOKUP($A345,koronahun!$A:$AM,8,FALSE),"")</f>
        <v>0</v>
      </c>
      <c r="I345" s="13">
        <f>IFERROR(VLOOKUP($A345,koronahun!$A:$AM,9,FALSE),"")</f>
        <v>1.2208540345263981E-2</v>
      </c>
      <c r="J345" s="13">
        <f>IFERROR(VLOOKUP($A345,koronahun!$A:$AM,10,FALSE),"")</f>
        <v>0.12950285969066141</v>
      </c>
      <c r="K345" s="13">
        <f>IFERROR(VLOOKUP($A345,koronahun!$A:$AM,11,FALSE),"")</f>
        <v>6.406378817220679E-3</v>
      </c>
      <c r="L345">
        <f>IFERROR(VLOOKUP($A345,koronahun!$A:$AM,12,FALSE),"")</f>
        <v>160557</v>
      </c>
      <c r="M345" s="13">
        <f>IFERROR(VLOOKUP($A345,koronahun!$A:$AM,13,FALSE),"")</f>
        <v>3.270015582102842E-2</v>
      </c>
      <c r="N345" s="13">
        <f>IFERROR(VLOOKUP($A345,koronahun!$A:$AM,14,FALSE),"")</f>
        <v>0.66946464346664691</v>
      </c>
      <c r="O345">
        <f>IFERROR(VLOOKUP($A345,koronahun!$A:$AM,15,FALSE),"")</f>
        <v>47116</v>
      </c>
      <c r="P345">
        <f>IFERROR(VLOOKUP($A345,koronahun!$A:$AM,16,FALSE),"")</f>
        <v>26498</v>
      </c>
      <c r="Q345" s="13">
        <f>IFERROR(VLOOKUP($A345,koronahun!$A:$AM,17,FALSE),"")</f>
        <v>0.24537700958562911</v>
      </c>
      <c r="R345">
        <f>IFERROR(VLOOKUP($A345,koronahun!$A:$AM,18,FALSE),"")</f>
        <v>207</v>
      </c>
      <c r="S345">
        <f>IFERROR(VLOOKUP($A345,koronahun!$A:$AM,19,FALSE),"")</f>
        <v>1834</v>
      </c>
      <c r="T345">
        <f>IFERROR(VLOOKUP($A345,koronahun!$A:$AM,20,FALSE),"")</f>
        <v>10386</v>
      </c>
      <c r="U345">
        <f>IFERROR(VLOOKUP($A345,koronahun!$A:$AM,21,FALSE),"")</f>
        <v>1170</v>
      </c>
      <c r="V345" s="13">
        <f>IFERROR(VLOOKUP($A345,koronahun!$A:$AM,22,FALSE),"")</f>
        <v>0.29783520071232472</v>
      </c>
      <c r="W345">
        <f>IFERROR(VLOOKUP($A345,koronahun!$A:$AM,23,FALSE),"")</f>
        <v>102</v>
      </c>
      <c r="X345">
        <f>IFERROR(VLOOKUP($A345,koronahun!$A:$AM,24,FALSE),"")</f>
        <v>3</v>
      </c>
      <c r="Y345" s="14">
        <f>IFERROR(VLOOKUP($A345,koronahun!$A:$AM,25,FALSE),"")</f>
        <v>6.468730731142211E-2</v>
      </c>
      <c r="Z345" s="14">
        <f>IFERROR(VLOOKUP($A345,koronahun!$A:$AM,26,FALSE),"")</f>
        <v>0.11265164644714037</v>
      </c>
      <c r="AA345" s="14">
        <f>IFERROR(VLOOKUP($A345,koronahun!$A:$AM,27,FALSE),"")</f>
        <v>1.1608131367167511</v>
      </c>
      <c r="AB345" s="14">
        <f>IFERROR(VLOOKUP($A345,koronahun!$A:$AM,28,FALSE),"")</f>
        <v>1.3420778152100949</v>
      </c>
      <c r="AC345" s="14">
        <f>IFERROR(VLOOKUP($A345,koronahun!$A:$AM,29,FALSE),"")</f>
        <v>7129.7142857142853</v>
      </c>
      <c r="AD345" s="14">
        <f>IFERROR(VLOOKUP($A345,koronahun!$A:$AM,30,FALSE),"")</f>
        <v>161.57142857142858</v>
      </c>
      <c r="AE345" s="14">
        <f>IFERROR(VLOOKUP($A345,koronahun!$A:$AM,31,FALSE),"")</f>
        <v>29527.714285714286</v>
      </c>
      <c r="AF345" s="13">
        <f>IFERROR(VLOOKUP($A345,koronahun!$A:$AM,32,FALSE),"")</f>
        <v>0.24727411967117582</v>
      </c>
      <c r="AG345">
        <f>IFERROR(VLOOKUP($A345,koronahun!$A:$AM,33,FALSE),"")</f>
        <v>1441706</v>
      </c>
      <c r="AH345">
        <f>IFERROR(VLOOKUP($A345,koronahun!$A:$AM,34,FALSE),"")</f>
        <v>44364</v>
      </c>
      <c r="AI345">
        <f>IFERROR(VLOOKUP($A345,koronahun!$A:$AM,35,FALSE),"")</f>
        <v>41735.571428571428</v>
      </c>
      <c r="AJ345">
        <f>IFERROR(VLOOKUP($A345,koronahun!$A:$AM,36,FALSE),"")</f>
        <v>421915</v>
      </c>
      <c r="AK345">
        <f>IFERROR(VLOOKUP($A345,koronahun!$A:$AM,37,FALSE),"")</f>
        <v>15169</v>
      </c>
      <c r="AL345">
        <f>IFERROR(VLOOKUP($A345,koronahun!$A:$AM,38,FALSE),"")</f>
        <v>13498.142857142857</v>
      </c>
      <c r="AM345" s="14">
        <f>IFERROR(VLOOKUP($A345,koronahun!$A:$AM,39,FALSE),"")</f>
        <v>2375.4285714285716</v>
      </c>
      <c r="AN345" s="11">
        <f ca="1">IFERROR(__xludf.DUMMYFUNCTION("""COMPUTED_VALUE"""),44237)</f>
        <v>44237</v>
      </c>
      <c r="AO345" s="12">
        <f ca="1">IFERROR(VLOOKUP(AN345,koronahun!A:B,2,FALSE),"")</f>
        <v>380013</v>
      </c>
      <c r="AP345" s="11">
        <f t="shared" ca="1" si="2"/>
        <v>44237</v>
      </c>
      <c r="AQ345" s="11">
        <f ca="1">IFERROR(__xludf.DUMMYFUNCTION("""COMPUTED_VALUE"""),44237)</f>
        <v>44237</v>
      </c>
      <c r="AR345" s="11">
        <v>44274</v>
      </c>
      <c r="AS345" s="11">
        <f t="shared" si="3"/>
        <v>44274</v>
      </c>
      <c r="AT345" s="11">
        <f ca="1">IFERROR(__xludf.DUMMYFUNCTION("""COMPUTED_VALUE"""),44273)</f>
        <v>44273</v>
      </c>
    </row>
    <row r="346" spans="1:46" ht="13">
      <c r="A346" s="11">
        <v>44272</v>
      </c>
      <c r="B346">
        <f>IFERROR(VLOOKUP($A346,koronahun!$A:$AM,2,FALSE),"")</f>
        <v>532578</v>
      </c>
      <c r="C346">
        <f>IFERROR(VLOOKUP($A346,koronahun!$A:$AM,3,FALSE),"")</f>
        <v>3456</v>
      </c>
      <c r="D346">
        <f>IFERROR(VLOOKUP($A346,koronahun!$A:$AM,4,FALSE),"")</f>
        <v>17421</v>
      </c>
      <c r="E346">
        <f>IFERROR(VLOOKUP($A346,koronahun!$A:$AM,5,FALSE),"")</f>
        <v>359061</v>
      </c>
      <c r="F346">
        <f>IFERROR(VLOOKUP($A346,koronahun!$A:$AM,6,FALSE),"")</f>
        <v>4136190</v>
      </c>
      <c r="G346" s="12">
        <f>IFERROR(VLOOKUP($A346,koronahun!$A:$AM,7,FALSE),"")</f>
        <v>422060.2040816326</v>
      </c>
      <c r="H346">
        <f>IFERROR(VLOOKUP($A346,koronahun!$A:$AM,8,FALSE),"")</f>
        <v>0</v>
      </c>
      <c r="I346" s="13">
        <f>IFERROR(VLOOKUP($A346,koronahun!$A:$AM,9,FALSE),"")</f>
        <v>6.5315749486885826E-3</v>
      </c>
      <c r="J346" s="13">
        <f>IFERROR(VLOOKUP($A346,koronahun!$A:$AM,10,FALSE),"")</f>
        <v>0.12876052599131085</v>
      </c>
      <c r="K346" s="13">
        <f>IFERROR(VLOOKUP($A346,koronahun!$A:$AM,11,FALSE),"")</f>
        <v>3.3108221361534064E-3</v>
      </c>
      <c r="L346">
        <f>IFERROR(VLOOKUP($A346,koronahun!$A:$AM,12,FALSE),"")</f>
        <v>156096</v>
      </c>
      <c r="M346" s="13">
        <f>IFERROR(VLOOKUP($A346,koronahun!$A:$AM,13,FALSE),"")</f>
        <v>3.2710701531043343E-2</v>
      </c>
      <c r="N346" s="13">
        <f>IFERROR(VLOOKUP($A346,koronahun!$A:$AM,14,FALSE),"")</f>
        <v>0.67419420253934637</v>
      </c>
      <c r="O346">
        <f>IFERROR(VLOOKUP($A346,koronahun!$A:$AM,15,FALSE),"")</f>
        <v>44648</v>
      </c>
      <c r="P346">
        <f>IFERROR(VLOOKUP($A346,koronahun!$A:$AM,16,FALSE),"")</f>
        <v>13649</v>
      </c>
      <c r="Q346" s="13">
        <f>IFERROR(VLOOKUP($A346,koronahun!$A:$AM,17,FALSE),"")</f>
        <v>0.25320536303025865</v>
      </c>
      <c r="R346">
        <f>IFERROR(VLOOKUP($A346,koronahun!$A:$AM,18,FALSE),"")</f>
        <v>195</v>
      </c>
      <c r="S346">
        <f>IFERROR(VLOOKUP($A346,koronahun!$A:$AM,19,FALSE),"")</f>
        <v>2382</v>
      </c>
      <c r="T346">
        <f>IFERROR(VLOOKUP($A346,koronahun!$A:$AM,20,FALSE),"")</f>
        <v>10284</v>
      </c>
      <c r="U346">
        <f>IFERROR(VLOOKUP($A346,koronahun!$A:$AM,21,FALSE),"")</f>
        <v>1167</v>
      </c>
      <c r="V346" s="13">
        <f>IFERROR(VLOOKUP($A346,koronahun!$A:$AM,22,FALSE),"")</f>
        <v>0.29309509592961031</v>
      </c>
      <c r="W346">
        <f>IFERROR(VLOOKUP($A346,koronahun!$A:$AM,23,FALSE),"")</f>
        <v>440</v>
      </c>
      <c r="X346">
        <f>IFERROR(VLOOKUP($A346,koronahun!$A:$AM,24,FALSE),"")</f>
        <v>100</v>
      </c>
      <c r="Y346" s="14">
        <f>IFERROR(VLOOKUP($A346,koronahun!$A:$AM,25,FALSE),"")</f>
        <v>6.5882533825338249E-2</v>
      </c>
      <c r="Z346" s="14">
        <f>IFERROR(VLOOKUP($A346,koronahun!$A:$AM,26,FALSE),"")</f>
        <v>0.11347724620770128</v>
      </c>
      <c r="AA346" s="14">
        <f>IFERROR(VLOOKUP($A346,koronahun!$A:$AM,27,FALSE),"")</f>
        <v>1.262646484375</v>
      </c>
      <c r="AB346" s="14">
        <f>IFERROR(VLOOKUP($A346,koronahun!$A:$AM,28,FALSE),"")</f>
        <v>1.3702215965164943</v>
      </c>
      <c r="AC346" s="14">
        <f>IFERROR(VLOOKUP($A346,koronahun!$A:$AM,29,FALSE),"")</f>
        <v>7388.2857142857147</v>
      </c>
      <c r="AD346" s="14">
        <f>IFERROR(VLOOKUP($A346,koronahun!$A:$AM,30,FALSE),"")</f>
        <v>156.57142857142858</v>
      </c>
      <c r="AE346" s="14">
        <f>IFERROR(VLOOKUP($A346,koronahun!$A:$AM,31,FALSE),"")</f>
        <v>30522.857142857141</v>
      </c>
      <c r="AF346" s="13">
        <f>IFERROR(VLOOKUP($A346,koronahun!$A:$AM,32,FALSE),"")</f>
        <v>0.2477040219594622</v>
      </c>
      <c r="AG346">
        <f>IFERROR(VLOOKUP($A346,koronahun!$A:$AM,33,FALSE),"")</f>
        <v>1397342</v>
      </c>
      <c r="AH346">
        <f>IFERROR(VLOOKUP($A346,koronahun!$A:$AM,34,FALSE),"")</f>
        <v>50269</v>
      </c>
      <c r="AI346">
        <f>IFERROR(VLOOKUP($A346,koronahun!$A:$AM,35,FALSE),"")</f>
        <v>41364.428571428572</v>
      </c>
      <c r="AJ346">
        <f>IFERROR(VLOOKUP($A346,koronahun!$A:$AM,36,FALSE),"")</f>
        <v>406746</v>
      </c>
      <c r="AK346">
        <f>IFERROR(VLOOKUP($A346,koronahun!$A:$AM,37,FALSE),"")</f>
        <v>7241</v>
      </c>
      <c r="AL346">
        <f>IFERROR(VLOOKUP($A346,koronahun!$A:$AM,38,FALSE),"")</f>
        <v>12691.428571428571</v>
      </c>
      <c r="AM346" s="14">
        <f>IFERROR(VLOOKUP($A346,koronahun!$A:$AM,39,FALSE),"")</f>
        <v>2602.4285714285716</v>
      </c>
      <c r="AN346" s="11">
        <f ca="1">IFERROR(__xludf.DUMMYFUNCTION("""COMPUTED_VALUE"""),44238)</f>
        <v>44238</v>
      </c>
      <c r="AO346" s="12">
        <f ca="1">IFERROR(VLOOKUP(AN346,koronahun!A:B,2,FALSE),"")</f>
        <v>381875</v>
      </c>
      <c r="AP346" s="11">
        <f t="shared" ca="1" si="2"/>
        <v>44238</v>
      </c>
      <c r="AQ346" s="11">
        <f ca="1">IFERROR(__xludf.DUMMYFUNCTION("""COMPUTED_VALUE"""),44238)</f>
        <v>44238</v>
      </c>
      <c r="AR346" s="11">
        <v>44273</v>
      </c>
      <c r="AS346" s="11">
        <f t="shared" si="3"/>
        <v>44273</v>
      </c>
      <c r="AT346" s="11">
        <f ca="1">IFERROR(__xludf.DUMMYFUNCTION("""COMPUTED_VALUE"""),44272)</f>
        <v>44272</v>
      </c>
    </row>
    <row r="347" spans="1:46" ht="13">
      <c r="A347" s="11">
        <v>44271</v>
      </c>
      <c r="B347">
        <f>IFERROR(VLOOKUP($A347,koronahun!$A:$AM,2,FALSE),"")</f>
        <v>529122</v>
      </c>
      <c r="C347">
        <f>IFERROR(VLOOKUP($A347,koronahun!$A:$AM,3,FALSE),"")</f>
        <v>4926</v>
      </c>
      <c r="D347">
        <f>IFERROR(VLOOKUP($A347,koronahun!$A:$AM,4,FALSE),"")</f>
        <v>17226</v>
      </c>
      <c r="E347">
        <f>IFERROR(VLOOKUP($A347,koronahun!$A:$AM,5,FALSE),"")</f>
        <v>356679</v>
      </c>
      <c r="F347">
        <f>IFERROR(VLOOKUP($A347,koronahun!$A:$AM,6,FALSE),"")</f>
        <v>4122541</v>
      </c>
      <c r="G347" s="12">
        <f>IFERROR(VLOOKUP($A347,koronahun!$A:$AM,7,FALSE),"")</f>
        <v>420667.44897959183</v>
      </c>
      <c r="H347">
        <f>IFERROR(VLOOKUP($A347,koronahun!$A:$AM,8,FALSE),"")</f>
        <v>0</v>
      </c>
      <c r="I347" s="13">
        <f>IFERROR(VLOOKUP($A347,koronahun!$A:$AM,9,FALSE),"")</f>
        <v>9.3972483574846048E-3</v>
      </c>
      <c r="J347" s="13">
        <f>IFERROR(VLOOKUP($A347,koronahun!$A:$AM,10,FALSE),"")</f>
        <v>0.12834851127011229</v>
      </c>
      <c r="K347" s="13">
        <f>IFERROR(VLOOKUP($A347,koronahun!$A:$AM,11,FALSE),"")</f>
        <v>4.4162200947028994E-3</v>
      </c>
      <c r="L347">
        <f>IFERROR(VLOOKUP($A347,koronahun!$A:$AM,12,FALSE),"")</f>
        <v>155217</v>
      </c>
      <c r="M347" s="13">
        <f>IFERROR(VLOOKUP($A347,koronahun!$A:$AM,13,FALSE),"")</f>
        <v>3.255581888486965E-2</v>
      </c>
      <c r="N347" s="13">
        <f>IFERROR(VLOOKUP($A347,koronahun!$A:$AM,14,FALSE),"")</f>
        <v>0.67409595518613852</v>
      </c>
      <c r="O347">
        <f>IFERROR(VLOOKUP($A347,koronahun!$A:$AM,15,FALSE),"")</f>
        <v>43553</v>
      </c>
      <c r="P347">
        <f>IFERROR(VLOOKUP($A347,koronahun!$A:$AM,16,FALSE),"")</f>
        <v>18126</v>
      </c>
      <c r="Q347" s="13">
        <f>IFERROR(VLOOKUP($A347,koronahun!$A:$AM,17,FALSE),"")</f>
        <v>0.27176431645150612</v>
      </c>
      <c r="R347">
        <f>IFERROR(VLOOKUP($A347,koronahun!$A:$AM,18,FALSE),"")</f>
        <v>143</v>
      </c>
      <c r="S347">
        <f>IFERROR(VLOOKUP($A347,koronahun!$A:$AM,19,FALSE),"")</f>
        <v>1862</v>
      </c>
      <c r="T347">
        <f>IFERROR(VLOOKUP($A347,koronahun!$A:$AM,20,FALSE),"")</f>
        <v>9844</v>
      </c>
      <c r="U347">
        <f>IFERROR(VLOOKUP($A347,koronahun!$A:$AM,21,FALSE),"")</f>
        <v>1067</v>
      </c>
      <c r="V347" s="13">
        <f>IFERROR(VLOOKUP($A347,koronahun!$A:$AM,22,FALSE),"")</f>
        <v>0.29334822592899179</v>
      </c>
      <c r="W347">
        <f>IFERROR(VLOOKUP($A347,koronahun!$A:$AM,23,FALSE),"")</f>
        <v>544</v>
      </c>
      <c r="X347">
        <f>IFERROR(VLOOKUP($A347,koronahun!$A:$AM,24,FALSE),"")</f>
        <v>59</v>
      </c>
      <c r="Y347" s="14">
        <f>IFERROR(VLOOKUP($A347,koronahun!$A:$AM,25,FALSE),"")</f>
        <v>6.342088817590856E-2</v>
      </c>
      <c r="Z347" s="14">
        <f>IFERROR(VLOOKUP($A347,koronahun!$A:$AM,26,FALSE),"")</f>
        <v>0.10839089800893946</v>
      </c>
      <c r="AA347" s="14">
        <f>IFERROR(VLOOKUP($A347,koronahun!$A:$AM,27,FALSE),"")</f>
        <v>1.3643149956981628</v>
      </c>
      <c r="AB347" s="14">
        <f>IFERROR(VLOOKUP($A347,koronahun!$A:$AM,28,FALSE),"")</f>
        <v>1.3863914622711444</v>
      </c>
      <c r="AC347" s="14">
        <f>IFERROR(VLOOKUP($A347,koronahun!$A:$AM,29,FALSE),"")</f>
        <v>7702.1428571428569</v>
      </c>
      <c r="AD347" s="14">
        <f>IFERROR(VLOOKUP($A347,koronahun!$A:$AM,30,FALSE),"")</f>
        <v>154.28571428571428</v>
      </c>
      <c r="AE347" s="14">
        <f>IFERROR(VLOOKUP($A347,koronahun!$A:$AM,31,FALSE),"")</f>
        <v>32966.142857142855</v>
      </c>
      <c r="AF347" s="13">
        <f>IFERROR(VLOOKUP($A347,koronahun!$A:$AM,32,FALSE),"")</f>
        <v>0.23779260470480507</v>
      </c>
      <c r="AG347">
        <f>IFERROR(VLOOKUP($A347,koronahun!$A:$AM,33,FALSE),"")</f>
        <v>1347073</v>
      </c>
      <c r="AH347">
        <f>IFERROR(VLOOKUP($A347,koronahun!$A:$AM,34,FALSE),"")</f>
        <v>12478</v>
      </c>
      <c r="AI347">
        <f>IFERROR(VLOOKUP($A347,koronahun!$A:$AM,35,FALSE),"")</f>
        <v>42861.142857142855</v>
      </c>
      <c r="AJ347">
        <f>IFERROR(VLOOKUP($A347,koronahun!$A:$AM,36,FALSE),"")</f>
        <v>399505</v>
      </c>
      <c r="AK347">
        <f>IFERROR(VLOOKUP($A347,koronahun!$A:$AM,37,FALSE),"")</f>
        <v>543</v>
      </c>
      <c r="AL347">
        <f>IFERROR(VLOOKUP($A347,koronahun!$A:$AM,38,FALSE),"")</f>
        <v>12145.714285714286</v>
      </c>
      <c r="AM347" s="14">
        <f>IFERROR(VLOOKUP($A347,koronahun!$A:$AM,39,FALSE),"")</f>
        <v>2533.2857142857142</v>
      </c>
      <c r="AN347" s="11">
        <f ca="1">IFERROR(__xludf.DUMMYFUNCTION("""COMPUTED_VALUE"""),44239)</f>
        <v>44239</v>
      </c>
      <c r="AO347" s="12">
        <f ca="1">IFERROR(VLOOKUP(AN347,koronahun!A:B,2,FALSE),"")</f>
        <v>383735</v>
      </c>
      <c r="AP347" s="11">
        <f t="shared" ca="1" si="2"/>
        <v>44239</v>
      </c>
      <c r="AQ347" s="11">
        <f ca="1">IFERROR(__xludf.DUMMYFUNCTION("""COMPUTED_VALUE"""),44239)</f>
        <v>44239</v>
      </c>
      <c r="AR347" s="11">
        <v>44272</v>
      </c>
      <c r="AS347" s="11">
        <f t="shared" si="3"/>
        <v>44272</v>
      </c>
      <c r="AT347" s="11">
        <f ca="1">IFERROR(__xludf.DUMMYFUNCTION("""COMPUTED_VALUE"""),44271)</f>
        <v>44271</v>
      </c>
    </row>
    <row r="348" spans="1:46" ht="13">
      <c r="A348" s="11">
        <v>44270</v>
      </c>
      <c r="B348">
        <f>IFERROR(VLOOKUP($A348,koronahun!$A:$AM,2,FALSE),"")</f>
        <v>524196</v>
      </c>
      <c r="C348">
        <f>IFERROR(VLOOKUP($A348,koronahun!$A:$AM,3,FALSE),"")</f>
        <v>7706</v>
      </c>
      <c r="D348">
        <f>IFERROR(VLOOKUP($A348,koronahun!$A:$AM,4,FALSE),"")</f>
        <v>17083</v>
      </c>
      <c r="E348">
        <f>IFERROR(VLOOKUP($A348,koronahun!$A:$AM,5,FALSE),"")</f>
        <v>354817</v>
      </c>
      <c r="F348">
        <f>IFERROR(VLOOKUP($A348,koronahun!$A:$AM,6,FALSE),"")</f>
        <v>4104415</v>
      </c>
      <c r="G348" s="12">
        <f>IFERROR(VLOOKUP($A348,koronahun!$A:$AM,7,FALSE),"")</f>
        <v>418817.8571428571</v>
      </c>
      <c r="H348">
        <f>IFERROR(VLOOKUP($A348,koronahun!$A:$AM,8,FALSE),"")</f>
        <v>0</v>
      </c>
      <c r="I348" s="13">
        <f>IFERROR(VLOOKUP($A348,koronahun!$A:$AM,9,FALSE),"")</f>
        <v>1.4919940366706035E-2</v>
      </c>
      <c r="J348" s="13">
        <f>IFERROR(VLOOKUP($A348,koronahun!$A:$AM,10,FALSE),"")</f>
        <v>0.12771515550937224</v>
      </c>
      <c r="K348" s="13">
        <f>IFERROR(VLOOKUP($A348,koronahun!$A:$AM,11,FALSE),"")</f>
        <v>6.7383821652645132E-3</v>
      </c>
      <c r="L348">
        <f>IFERROR(VLOOKUP($A348,koronahun!$A:$AM,12,FALSE),"")</f>
        <v>152296</v>
      </c>
      <c r="M348" s="13">
        <f>IFERROR(VLOOKUP($A348,koronahun!$A:$AM,13,FALSE),"")</f>
        <v>3.258895527627071E-2</v>
      </c>
      <c r="N348" s="13">
        <f>IFERROR(VLOOKUP($A348,koronahun!$A:$AM,14,FALSE),"")</f>
        <v>0.67687849582980408</v>
      </c>
      <c r="O348">
        <f>IFERROR(VLOOKUP($A348,koronahun!$A:$AM,15,FALSE),"")</f>
        <v>45605</v>
      </c>
      <c r="P348">
        <f>IFERROR(VLOOKUP($A348,koronahun!$A:$AM,16,FALSE),"")</f>
        <v>27472</v>
      </c>
      <c r="Q348" s="13">
        <f>IFERROR(VLOOKUP($A348,koronahun!$A:$AM,17,FALSE),"")</f>
        <v>0.28050378567268491</v>
      </c>
      <c r="R348">
        <f>IFERROR(VLOOKUP($A348,koronahun!$A:$AM,18,FALSE),"")</f>
        <v>131</v>
      </c>
      <c r="S348">
        <f>IFERROR(VLOOKUP($A348,koronahun!$A:$AM,19,FALSE),"")</f>
        <v>2926</v>
      </c>
      <c r="T348">
        <f>IFERROR(VLOOKUP($A348,koronahun!$A:$AM,20,FALSE),"")</f>
        <v>9300</v>
      </c>
      <c r="U348">
        <f>IFERROR(VLOOKUP($A348,koronahun!$A:$AM,21,FALSE),"")</f>
        <v>1008</v>
      </c>
      <c r="V348" s="13">
        <f>IFERROR(VLOOKUP($A348,koronahun!$A:$AM,22,FALSE),"")</f>
        <v>0.29053254889392516</v>
      </c>
      <c r="W348">
        <f>IFERROR(VLOOKUP($A348,koronahun!$A:$AM,23,FALSE),"")</f>
        <v>536</v>
      </c>
      <c r="X348">
        <f>IFERROR(VLOOKUP($A348,koronahun!$A:$AM,24,FALSE),"")</f>
        <v>3</v>
      </c>
      <c r="Y348" s="14">
        <f>IFERROR(VLOOKUP($A348,koronahun!$A:$AM,25,FALSE),"")</f>
        <v>6.1065293901350001E-2</v>
      </c>
      <c r="Z348" s="14">
        <f>IFERROR(VLOOKUP($A348,koronahun!$A:$AM,26,FALSE),"")</f>
        <v>0.10838709677419354</v>
      </c>
      <c r="AA348" s="14">
        <f>IFERROR(VLOOKUP($A348,koronahun!$A:$AM,27,FALSE),"")</f>
        <v>1.5503241309936291</v>
      </c>
      <c r="AB348" s="14">
        <f>IFERROR(VLOOKUP($A348,koronahun!$A:$AM,28,FALSE),"")</f>
        <v>1.390167080768602</v>
      </c>
      <c r="AC348" s="14">
        <f>IFERROR(VLOOKUP($A348,koronahun!$A:$AM,29,FALSE),"")</f>
        <v>7926.1428571428569</v>
      </c>
      <c r="AD348" s="14">
        <f>IFERROR(VLOOKUP($A348,koronahun!$A:$AM,30,FALSE),"")</f>
        <v>156.42857142857142</v>
      </c>
      <c r="AE348" s="14">
        <f>IFERROR(VLOOKUP($A348,koronahun!$A:$AM,31,FALSE),"")</f>
        <v>32843.142857142855</v>
      </c>
      <c r="AF348" s="13">
        <f>IFERROR(VLOOKUP($A348,koronahun!$A:$AM,32,FALSE),"")</f>
        <v>0.25270294417329825</v>
      </c>
      <c r="AG348">
        <f>IFERROR(VLOOKUP($A348,koronahun!$A:$AM,33,FALSE),"")</f>
        <v>1334595</v>
      </c>
      <c r="AH348">
        <f>IFERROR(VLOOKUP($A348,koronahun!$A:$AM,34,FALSE),"")</f>
        <v>15329</v>
      </c>
      <c r="AI348">
        <f>IFERROR(VLOOKUP($A348,koronahun!$A:$AM,35,FALSE),"")</f>
        <v>47411.571428571428</v>
      </c>
      <c r="AJ348">
        <f>IFERROR(VLOOKUP($A348,koronahun!$A:$AM,36,FALSE),"")</f>
        <v>398962</v>
      </c>
      <c r="AK348">
        <f>IFERROR(VLOOKUP($A348,koronahun!$A:$AM,37,FALSE),"")</f>
        <v>6259</v>
      </c>
      <c r="AL348">
        <f>IFERROR(VLOOKUP($A348,koronahun!$A:$AM,38,FALSE),"")</f>
        <v>13004.714285714286</v>
      </c>
      <c r="AM348" s="14">
        <f>IFERROR(VLOOKUP($A348,koronahun!$A:$AM,39,FALSE),"")</f>
        <v>2581.8571428571427</v>
      </c>
      <c r="AN348" s="11">
        <f ca="1">IFERROR(__xludf.DUMMYFUNCTION("""COMPUTED_VALUE"""),44240)</f>
        <v>44240</v>
      </c>
      <c r="AO348" s="12">
        <f ca="1">IFERROR(VLOOKUP(AN348,koronahun!A:B,2,FALSE),"")</f>
        <v>385755</v>
      </c>
      <c r="AP348" s="11">
        <f t="shared" ca="1" si="2"/>
        <v>44240</v>
      </c>
      <c r="AQ348" s="11">
        <f ca="1">IFERROR(__xludf.DUMMYFUNCTION("""COMPUTED_VALUE"""),44240)</f>
        <v>44240</v>
      </c>
      <c r="AR348" s="11">
        <v>44271</v>
      </c>
      <c r="AS348" s="11">
        <f t="shared" si="3"/>
        <v>44271</v>
      </c>
      <c r="AT348" s="11">
        <f ca="1">IFERROR(__xludf.DUMMYFUNCTION("""COMPUTED_VALUE"""),44270)</f>
        <v>44270</v>
      </c>
    </row>
    <row r="349" spans="1:46" ht="13">
      <c r="A349" s="11">
        <v>44269</v>
      </c>
      <c r="B349">
        <f>IFERROR(VLOOKUP($A349,koronahun!$A:$AM,2,FALSE),"")</f>
        <v>516490</v>
      </c>
      <c r="C349">
        <f>IFERROR(VLOOKUP($A349,koronahun!$A:$AM,3,FALSE),"")</f>
        <v>8863</v>
      </c>
      <c r="D349">
        <f>IFERROR(VLOOKUP($A349,koronahun!$A:$AM,4,FALSE),"")</f>
        <v>16952</v>
      </c>
      <c r="E349">
        <f>IFERROR(VLOOKUP($A349,koronahun!$A:$AM,5,FALSE),"")</f>
        <v>351891</v>
      </c>
      <c r="F349">
        <f>IFERROR(VLOOKUP($A349,koronahun!$A:$AM,6,FALSE),"")</f>
        <v>4076943</v>
      </c>
      <c r="G349" s="12">
        <f>IFERROR(VLOOKUP($A349,koronahun!$A:$AM,7,FALSE),"")</f>
        <v>416014.59183673467</v>
      </c>
      <c r="H349">
        <f>IFERROR(VLOOKUP($A349,koronahun!$A:$AM,8,FALSE),"")</f>
        <v>0</v>
      </c>
      <c r="I349" s="13">
        <f>IFERROR(VLOOKUP($A349,koronahun!$A:$AM,9,FALSE),"")</f>
        <v>1.745967019090789E-2</v>
      </c>
      <c r="J349" s="13">
        <f>IFERROR(VLOOKUP($A349,koronahun!$A:$AM,10,FALSE),"")</f>
        <v>0.12668560732882456</v>
      </c>
      <c r="K349" s="13">
        <f>IFERROR(VLOOKUP($A349,koronahun!$A:$AM,11,FALSE),"")</f>
        <v>1.0486202593295304E-2</v>
      </c>
      <c r="L349">
        <f>IFERROR(VLOOKUP($A349,koronahun!$A:$AM,12,FALSE),"")</f>
        <v>147647</v>
      </c>
      <c r="M349" s="13">
        <f>IFERROR(VLOOKUP($A349,koronahun!$A:$AM,13,FALSE),"")</f>
        <v>3.2821545431663733E-2</v>
      </c>
      <c r="N349" s="13">
        <f>IFERROR(VLOOKUP($A349,koronahun!$A:$AM,14,FALSE),"")</f>
        <v>0.68131231969641237</v>
      </c>
      <c r="O349">
        <f>IFERROR(VLOOKUP($A349,koronahun!$A:$AM,15,FALSE),"")</f>
        <v>48329</v>
      </c>
      <c r="P349">
        <f>IFERROR(VLOOKUP($A349,koronahun!$A:$AM,16,FALSE),"")</f>
        <v>42308</v>
      </c>
      <c r="Q349" s="13">
        <f>IFERROR(VLOOKUP($A349,koronahun!$A:$AM,17,FALSE),"")</f>
        <v>0.20948756736314644</v>
      </c>
      <c r="R349">
        <f>IFERROR(VLOOKUP($A349,koronahun!$A:$AM,18,FALSE),"")</f>
        <v>162</v>
      </c>
      <c r="S349">
        <f>IFERROR(VLOOKUP($A349,koronahun!$A:$AM,19,FALSE),"")</f>
        <v>2361</v>
      </c>
      <c r="T349">
        <f>IFERROR(VLOOKUP($A349,koronahun!$A:$AM,20,FALSE),"")</f>
        <v>8764</v>
      </c>
      <c r="U349">
        <f>IFERROR(VLOOKUP($A349,koronahun!$A:$AM,21,FALSE),"")</f>
        <v>1005</v>
      </c>
      <c r="V349" s="13">
        <f>IFERROR(VLOOKUP($A349,koronahun!$A:$AM,22,FALSE),"")</f>
        <v>0.28586613487192397</v>
      </c>
      <c r="W349">
        <f>IFERROR(VLOOKUP($A349,koronahun!$A:$AM,23,FALSE),"")</f>
        <v>-133</v>
      </c>
      <c r="X349">
        <f>IFERROR(VLOOKUP($A349,koronahun!$A:$AM,24,FALSE),"")</f>
        <v>16</v>
      </c>
      <c r="Y349" s="14">
        <f>IFERROR(VLOOKUP($A349,koronahun!$A:$AM,25,FALSE),"")</f>
        <v>5.9357792572825724E-2</v>
      </c>
      <c r="Z349" s="14">
        <f>IFERROR(VLOOKUP($A349,koronahun!$A:$AM,26,FALSE),"")</f>
        <v>0.11467366499315382</v>
      </c>
      <c r="AA349" s="14">
        <f>IFERROR(VLOOKUP($A349,koronahun!$A:$AM,27,FALSE),"")</f>
        <v>1.3488962531402</v>
      </c>
      <c r="AB349" s="14">
        <f>IFERROR(VLOOKUP($A349,koronahun!$A:$AM,28,FALSE),"")</f>
        <v>1.3561100511886777</v>
      </c>
      <c r="AC349" s="14">
        <f>IFERROR(VLOOKUP($A349,koronahun!$A:$AM,29,FALSE),"")</f>
        <v>7210.4285714285716</v>
      </c>
      <c r="AD349" s="14">
        <f>IFERROR(VLOOKUP($A349,koronahun!$A:$AM,30,FALSE),"")</f>
        <v>154.14285714285714</v>
      </c>
      <c r="AE349" s="14">
        <f>IFERROR(VLOOKUP($A349,koronahun!$A:$AM,31,FALSE),"")</f>
        <v>32331.428571428572</v>
      </c>
      <c r="AF349" s="13">
        <f>IFERROR(VLOOKUP($A349,koronahun!$A:$AM,32,FALSE),"")</f>
        <v>0.22875248409005697</v>
      </c>
      <c r="AG349">
        <f>IFERROR(VLOOKUP($A349,koronahun!$A:$AM,33,FALSE),"")</f>
        <v>1319266</v>
      </c>
      <c r="AH349">
        <f>IFERROR(VLOOKUP($A349,koronahun!$A:$AM,34,FALSE),"")</f>
        <v>25852</v>
      </c>
      <c r="AI349">
        <f>IFERROR(VLOOKUP($A349,koronahun!$A:$AM,35,FALSE),"")</f>
        <v>48266.428571428572</v>
      </c>
      <c r="AJ349">
        <f>IFERROR(VLOOKUP($A349,koronahun!$A:$AM,36,FALSE),"")</f>
        <v>392703</v>
      </c>
      <c r="AK349">
        <f>IFERROR(VLOOKUP($A349,koronahun!$A:$AM,37,FALSE),"")</f>
        <v>15360</v>
      </c>
      <c r="AL349">
        <f>IFERROR(VLOOKUP($A349,koronahun!$A:$AM,38,FALSE),"")</f>
        <v>12161.428571428571</v>
      </c>
      <c r="AM349" s="14">
        <f>IFERROR(VLOOKUP($A349,koronahun!$A:$AM,39,FALSE),"")</f>
        <v>2339.8571428571427</v>
      </c>
      <c r="AN349" s="11">
        <f ca="1">IFERROR(__xludf.DUMMYFUNCTION("""COMPUTED_VALUE"""),44241)</f>
        <v>44241</v>
      </c>
      <c r="AO349" s="12">
        <f ca="1">IFERROR(VLOOKUP(AN349,koronahun!A:B,2,FALSE),"")</f>
        <v>387462</v>
      </c>
      <c r="AP349" s="11">
        <f t="shared" ca="1" si="2"/>
        <v>44241</v>
      </c>
      <c r="AQ349" s="11">
        <f ca="1">IFERROR(__xludf.DUMMYFUNCTION("""COMPUTED_VALUE"""),44241)</f>
        <v>44241</v>
      </c>
      <c r="AR349" s="11">
        <v>44270</v>
      </c>
      <c r="AS349" s="11">
        <f t="shared" si="3"/>
        <v>44270</v>
      </c>
      <c r="AT349" s="11">
        <f ca="1">IFERROR(__xludf.DUMMYFUNCTION("""COMPUTED_VALUE"""),44269)</f>
        <v>44269</v>
      </c>
    </row>
    <row r="350" spans="1:46" ht="13">
      <c r="A350" s="11">
        <v>44268</v>
      </c>
      <c r="B350">
        <f>IFERROR(VLOOKUP($A350,koronahun!$A:$AM,2,FALSE),"")</f>
        <v>507627</v>
      </c>
      <c r="C350">
        <f>IFERROR(VLOOKUP($A350,koronahun!$A:$AM,3,FALSE),"")</f>
        <v>9444</v>
      </c>
      <c r="D350">
        <f>IFERROR(VLOOKUP($A350,koronahun!$A:$AM,4,FALSE),"")</f>
        <v>16790</v>
      </c>
      <c r="E350">
        <f>IFERROR(VLOOKUP($A350,koronahun!$A:$AM,5,FALSE),"")</f>
        <v>349530</v>
      </c>
      <c r="F350">
        <f>IFERROR(VLOOKUP($A350,koronahun!$A:$AM,6,FALSE),"")</f>
        <v>4034635</v>
      </c>
      <c r="G350" s="12">
        <f>IFERROR(VLOOKUP($A350,koronahun!$A:$AM,7,FALSE),"")</f>
        <v>411697.44897959183</v>
      </c>
      <c r="H350">
        <f>IFERROR(VLOOKUP($A350,koronahun!$A:$AM,8,FALSE),"")</f>
        <v>0</v>
      </c>
      <c r="I350" s="13">
        <f>IFERROR(VLOOKUP($A350,koronahun!$A:$AM,9,FALSE),"")</f>
        <v>1.8956889335846466E-2</v>
      </c>
      <c r="J350" s="13">
        <f>IFERROR(VLOOKUP($A350,koronahun!$A:$AM,10,FALSE),"")</f>
        <v>0.12581732920078273</v>
      </c>
      <c r="K350" s="13">
        <f>IFERROR(VLOOKUP($A350,koronahun!$A:$AM,11,FALSE),"")</f>
        <v>1.0480140453166833E-2</v>
      </c>
      <c r="L350">
        <f>IFERROR(VLOOKUP($A350,koronahun!$A:$AM,12,FALSE),"")</f>
        <v>141307</v>
      </c>
      <c r="M350" s="13">
        <f>IFERROR(VLOOKUP($A350,koronahun!$A:$AM,13,FALSE),"")</f>
        <v>3.3075466828990575E-2</v>
      </c>
      <c r="N350" s="13">
        <f>IFERROR(VLOOKUP($A350,koronahun!$A:$AM,14,FALSE),"")</f>
        <v>0.68855675525533511</v>
      </c>
      <c r="O350">
        <f>IFERROR(VLOOKUP($A350,koronahun!$A:$AM,15,FALSE),"")</f>
        <v>46249</v>
      </c>
      <c r="P350">
        <f>IFERROR(VLOOKUP($A350,koronahun!$A:$AM,16,FALSE),"")</f>
        <v>41845</v>
      </c>
      <c r="Q350" s="13">
        <f>IFERROR(VLOOKUP($A350,koronahun!$A:$AM,17,FALSE),"")</f>
        <v>0.22569004660054964</v>
      </c>
      <c r="R350">
        <f>IFERROR(VLOOKUP($A350,koronahun!$A:$AM,18,FALSE),"")</f>
        <v>163</v>
      </c>
      <c r="S350">
        <f>IFERROR(VLOOKUP($A350,koronahun!$A:$AM,19,FALSE),"")</f>
        <v>2626</v>
      </c>
      <c r="T350">
        <f>IFERROR(VLOOKUP($A350,koronahun!$A:$AM,20,FALSE),"")</f>
        <v>8897</v>
      </c>
      <c r="U350">
        <f>IFERROR(VLOOKUP($A350,koronahun!$A:$AM,21,FALSE),"")</f>
        <v>989</v>
      </c>
      <c r="V350" s="13">
        <f>IFERROR(VLOOKUP($A350,koronahun!$A:$AM,22,FALSE),"")</f>
        <v>0.2783677779156743</v>
      </c>
      <c r="W350">
        <f>IFERROR(VLOOKUP($A350,koronahun!$A:$AM,23,FALSE),"")</f>
        <v>179</v>
      </c>
      <c r="X350">
        <f>IFERROR(VLOOKUP($A350,koronahun!$A:$AM,24,FALSE),"")</f>
        <v>40</v>
      </c>
      <c r="Y350" s="14">
        <f>IFERROR(VLOOKUP($A350,koronahun!$A:$AM,25,FALSE),"")</f>
        <v>6.296220286326934E-2</v>
      </c>
      <c r="Z350" s="14">
        <f>IFERROR(VLOOKUP($A350,koronahun!$A:$AM,26,FALSE),"")</f>
        <v>0.11116106552770597</v>
      </c>
      <c r="AA350" s="14">
        <f>IFERROR(VLOOKUP($A350,koronahun!$A:$AM,27,FALSE),"")</f>
        <v>1.339769097124923</v>
      </c>
      <c r="AB350" s="14">
        <f>IFERROR(VLOOKUP($A350,koronahun!$A:$AM,28,FALSE),"")</f>
        <v>1.3724123291595784</v>
      </c>
      <c r="AC350" s="14">
        <f>IFERROR(VLOOKUP($A350,koronahun!$A:$AM,29,FALSE),"")</f>
        <v>6830.1428571428569</v>
      </c>
      <c r="AD350" s="14">
        <f>IFERROR(VLOOKUP($A350,koronahun!$A:$AM,30,FALSE),"")</f>
        <v>146.42857142857142</v>
      </c>
      <c r="AE350" s="14">
        <f>IFERROR(VLOOKUP($A350,koronahun!$A:$AM,31,FALSE),"")</f>
        <v>31111.857142857141</v>
      </c>
      <c r="AF350" s="13">
        <f>IFERROR(VLOOKUP($A350,koronahun!$A:$AM,32,FALSE),"")</f>
        <v>0.22505698610395383</v>
      </c>
      <c r="AG350">
        <f>IFERROR(VLOOKUP($A350,koronahun!$A:$AM,33,FALSE),"")</f>
        <v>1293414</v>
      </c>
      <c r="AH350">
        <f>IFERROR(VLOOKUP($A350,koronahun!$A:$AM,34,FALSE),"")</f>
        <v>63587</v>
      </c>
      <c r="AI350">
        <f>IFERROR(VLOOKUP($A350,koronahun!$A:$AM,35,FALSE),"")</f>
        <v>49131</v>
      </c>
      <c r="AJ350">
        <f>IFERROR(VLOOKUP($A350,koronahun!$A:$AM,36,FALSE),"")</f>
        <v>377343</v>
      </c>
      <c r="AK350">
        <f>IFERROR(VLOOKUP($A350,koronahun!$A:$AM,37,FALSE),"")</f>
        <v>25649</v>
      </c>
      <c r="AL350">
        <f>IFERROR(VLOOKUP($A350,koronahun!$A:$AM,38,FALSE),"")</f>
        <v>10351.857142857143</v>
      </c>
      <c r="AM350" s="14">
        <f>IFERROR(VLOOKUP($A350,koronahun!$A:$AM,39,FALSE),"")</f>
        <v>2355</v>
      </c>
      <c r="AN350" s="11">
        <f ca="1">IFERROR(__xludf.DUMMYFUNCTION("""COMPUTED_VALUE"""),44242)</f>
        <v>44242</v>
      </c>
      <c r="AO350" s="12">
        <f ca="1">IFERROR(VLOOKUP(AN350,koronahun!A:B,2,FALSE),"")</f>
        <v>388799</v>
      </c>
      <c r="AP350" s="11">
        <f t="shared" ca="1" si="2"/>
        <v>44242</v>
      </c>
      <c r="AQ350" s="11">
        <f ca="1">IFERROR(__xludf.DUMMYFUNCTION("""COMPUTED_VALUE"""),44242)</f>
        <v>44242</v>
      </c>
      <c r="AR350" s="11">
        <v>44269</v>
      </c>
      <c r="AS350" s="11">
        <f t="shared" si="3"/>
        <v>44269</v>
      </c>
      <c r="AT350" s="11">
        <f ca="1">IFERROR(__xludf.DUMMYFUNCTION("""COMPUTED_VALUE"""),44268)</f>
        <v>44268</v>
      </c>
    </row>
    <row r="351" spans="1:46" ht="13">
      <c r="A351" s="11">
        <v>44267</v>
      </c>
      <c r="B351">
        <f>IFERROR(VLOOKUP($A351,koronahun!$A:$AM,2,FALSE),"")</f>
        <v>498183</v>
      </c>
      <c r="C351">
        <f>IFERROR(VLOOKUP($A351,koronahun!$A:$AM,3,FALSE),"")</f>
        <v>9011</v>
      </c>
      <c r="D351">
        <f>IFERROR(VLOOKUP($A351,koronahun!$A:$AM,4,FALSE),"")</f>
        <v>16627</v>
      </c>
      <c r="E351">
        <f>IFERROR(VLOOKUP($A351,koronahun!$A:$AM,5,FALSE),"")</f>
        <v>346904</v>
      </c>
      <c r="F351">
        <f>IFERROR(VLOOKUP($A351,koronahun!$A:$AM,6,FALSE),"")</f>
        <v>3992790</v>
      </c>
      <c r="G351" s="12">
        <f>IFERROR(VLOOKUP($A351,koronahun!$A:$AM,7,FALSE),"")</f>
        <v>407427.55102040811</v>
      </c>
      <c r="H351">
        <f>IFERROR(VLOOKUP($A351,koronahun!$A:$AM,8,FALSE),"")</f>
        <v>0</v>
      </c>
      <c r="I351" s="13">
        <f>IFERROR(VLOOKUP($A351,koronahun!$A:$AM,9,FALSE),"")</f>
        <v>1.8420923519743566E-2</v>
      </c>
      <c r="J351" s="13">
        <f>IFERROR(VLOOKUP($A351,koronahun!$A:$AM,10,FALSE),"")</f>
        <v>0.12477064909499373</v>
      </c>
      <c r="K351" s="13">
        <f>IFERROR(VLOOKUP($A351,koronahun!$A:$AM,11,FALSE),"")</f>
        <v>9.3013285662212827E-3</v>
      </c>
      <c r="L351">
        <f>IFERROR(VLOOKUP($A351,koronahun!$A:$AM,12,FALSE),"")</f>
        <v>134652</v>
      </c>
      <c r="M351" s="13">
        <f>IFERROR(VLOOKUP($A351,koronahun!$A:$AM,13,FALSE),"")</f>
        <v>3.3375285788555614E-2</v>
      </c>
      <c r="N351" s="13">
        <f>IFERROR(VLOOKUP($A351,koronahun!$A:$AM,14,FALSE),"")</f>
        <v>0.69633849408751403</v>
      </c>
      <c r="O351">
        <f>IFERROR(VLOOKUP($A351,koronahun!$A:$AM,15,FALSE),"")</f>
        <v>48677</v>
      </c>
      <c r="P351">
        <f>IFERROR(VLOOKUP($A351,koronahun!$A:$AM,16,FALSE),"")</f>
        <v>36796</v>
      </c>
      <c r="Q351" s="13">
        <f>IFERROR(VLOOKUP($A351,koronahun!$A:$AM,17,FALSE),"")</f>
        <v>0.24489074899445593</v>
      </c>
      <c r="R351">
        <f>IFERROR(VLOOKUP($A351,koronahun!$A:$AM,18,FALSE),"")</f>
        <v>130</v>
      </c>
      <c r="S351">
        <f>IFERROR(VLOOKUP($A351,koronahun!$A:$AM,19,FALSE),"")</f>
        <v>2637</v>
      </c>
      <c r="T351">
        <f>IFERROR(VLOOKUP($A351,koronahun!$A:$AM,20,FALSE),"")</f>
        <v>8718</v>
      </c>
      <c r="U351">
        <f>IFERROR(VLOOKUP($A351,koronahun!$A:$AM,21,FALSE),"")</f>
        <v>949</v>
      </c>
      <c r="V351" s="13">
        <f>IFERROR(VLOOKUP($A351,koronahun!$A:$AM,22,FALSE),"")</f>
        <v>0.27028622012393039</v>
      </c>
      <c r="W351">
        <f>IFERROR(VLOOKUP($A351,koronahun!$A:$AM,23,FALSE),"")</f>
        <v>389</v>
      </c>
      <c r="X351">
        <f>IFERROR(VLOOKUP($A351,koronahun!$A:$AM,24,FALSE),"")</f>
        <v>38</v>
      </c>
      <c r="Y351" s="14">
        <f>IFERROR(VLOOKUP($A351,koronahun!$A:$AM,25,FALSE),"")</f>
        <v>6.4744675162641471E-2</v>
      </c>
      <c r="Z351" s="14">
        <f>IFERROR(VLOOKUP($A351,koronahun!$A:$AM,26,FALSE),"")</f>
        <v>0.10885524202798808</v>
      </c>
      <c r="AA351" s="14">
        <f>IFERROR(VLOOKUP($A351,koronahun!$A:$AM,27,FALSE),"")</f>
        <v>1.367780608421999</v>
      </c>
      <c r="AB351" s="14">
        <f>IFERROR(VLOOKUP($A351,koronahun!$A:$AM,28,FALSE),"")</f>
        <v>1.3932653803521251</v>
      </c>
      <c r="AC351" s="14">
        <f>IFERROR(VLOOKUP($A351,koronahun!$A:$AM,29,FALSE),"")</f>
        <v>6519.4285714285716</v>
      </c>
      <c r="AD351" s="14">
        <f>IFERROR(VLOOKUP($A351,koronahun!$A:$AM,30,FALSE),"")</f>
        <v>144</v>
      </c>
      <c r="AE351" s="14">
        <f>IFERROR(VLOOKUP($A351,koronahun!$A:$AM,31,FALSE),"")</f>
        <v>30229.857142857141</v>
      </c>
      <c r="AF351" s="13">
        <f>IFERROR(VLOOKUP($A351,koronahun!$A:$AM,32,FALSE),"")</f>
        <v>0.22192683375014824</v>
      </c>
      <c r="AG351">
        <f>IFERROR(VLOOKUP($A351,koronahun!$A:$AM,33,FALSE),"")</f>
        <v>1229827</v>
      </c>
      <c r="AH351">
        <f>IFERROR(VLOOKUP($A351,koronahun!$A:$AM,34,FALSE),"")</f>
        <v>80270</v>
      </c>
      <c r="AI351">
        <f>IFERROR(VLOOKUP($A351,koronahun!$A:$AM,35,FALSE),"")</f>
        <v>52410.571428571428</v>
      </c>
      <c r="AJ351">
        <f>IFERROR(VLOOKUP($A351,koronahun!$A:$AM,36,FALSE),"")</f>
        <v>351694</v>
      </c>
      <c r="AK351">
        <f>IFERROR(VLOOKUP($A351,koronahun!$A:$AM,37,FALSE),"")</f>
        <v>24266</v>
      </c>
      <c r="AL351">
        <f>IFERROR(VLOOKUP($A351,koronahun!$A:$AM,38,FALSE),"")</f>
        <v>10281</v>
      </c>
      <c r="AM351" s="14">
        <f>IFERROR(VLOOKUP($A351,koronahun!$A:$AM,39,FALSE),"")</f>
        <v>2192.4285714285716</v>
      </c>
      <c r="AN351" s="11">
        <f ca="1">IFERROR(__xludf.DUMMYFUNCTION("""COMPUTED_VALUE"""),44243)</f>
        <v>44243</v>
      </c>
      <c r="AO351" s="12">
        <f ca="1">IFERROR(VLOOKUP(AN351,koronahun!A:B,2,FALSE),"")</f>
        <v>389622</v>
      </c>
      <c r="AP351" s="11">
        <f t="shared" ca="1" si="2"/>
        <v>44243</v>
      </c>
      <c r="AQ351" s="11">
        <f ca="1">IFERROR(__xludf.DUMMYFUNCTION("""COMPUTED_VALUE"""),44243)</f>
        <v>44243</v>
      </c>
      <c r="AR351" s="11">
        <v>44268</v>
      </c>
      <c r="AS351" s="11">
        <f t="shared" si="3"/>
        <v>44268</v>
      </c>
      <c r="AT351" s="11">
        <f ca="1">IFERROR(__xludf.DUMMYFUNCTION("""COMPUTED_VALUE"""),44267)</f>
        <v>44267</v>
      </c>
    </row>
    <row r="352" spans="1:46" ht="13">
      <c r="A352" s="11">
        <v>44266</v>
      </c>
      <c r="B352">
        <f>IFERROR(VLOOKUP($A352,koronahun!$A:$AM,2,FALSE),"")</f>
        <v>489172</v>
      </c>
      <c r="C352">
        <f>IFERROR(VLOOKUP($A352,koronahun!$A:$AM,3,FALSE),"")</f>
        <v>8312</v>
      </c>
      <c r="D352">
        <f>IFERROR(VLOOKUP($A352,koronahun!$A:$AM,4,FALSE),"")</f>
        <v>16497</v>
      </c>
      <c r="E352">
        <f>IFERROR(VLOOKUP($A352,koronahun!$A:$AM,5,FALSE),"")</f>
        <v>344267</v>
      </c>
      <c r="F352">
        <f>IFERROR(VLOOKUP($A352,koronahun!$A:$AM,6,FALSE),"")</f>
        <v>3955994</v>
      </c>
      <c r="G352" s="12">
        <f>IFERROR(VLOOKUP($A352,koronahun!$A:$AM,7,FALSE),"")</f>
        <v>403672.8571428571</v>
      </c>
      <c r="H352">
        <f>IFERROR(VLOOKUP($A352,koronahun!$A:$AM,8,FALSE),"")</f>
        <v>0</v>
      </c>
      <c r="I352" s="13">
        <f>IFERROR(VLOOKUP($A352,koronahun!$A:$AM,9,FALSE),"")</f>
        <v>1.7285696460508256E-2</v>
      </c>
      <c r="J352" s="13">
        <f>IFERROR(VLOOKUP($A352,koronahun!$A:$AM,10,FALSE),"")</f>
        <v>0.1236533725784215</v>
      </c>
      <c r="K352" s="13">
        <f>IFERROR(VLOOKUP($A352,koronahun!$A:$AM,11,FALSE),"")</f>
        <v>8.5312285693162314E-3</v>
      </c>
      <c r="L352">
        <f>IFERROR(VLOOKUP($A352,koronahun!$A:$AM,12,FALSE),"")</f>
        <v>128408</v>
      </c>
      <c r="M352" s="13">
        <f>IFERROR(VLOOKUP($A352,koronahun!$A:$AM,13,FALSE),"")</f>
        <v>3.372433418102426E-2</v>
      </c>
      <c r="N352" s="13">
        <f>IFERROR(VLOOKUP($A352,koronahun!$A:$AM,14,FALSE),"")</f>
        <v>0.70377495032422133</v>
      </c>
      <c r="O352">
        <f>IFERROR(VLOOKUP($A352,koronahun!$A:$AM,15,FALSE),"")</f>
        <v>46302</v>
      </c>
      <c r="P352">
        <f>IFERROR(VLOOKUP($A352,koronahun!$A:$AM,16,FALSE),"")</f>
        <v>33464</v>
      </c>
      <c r="Q352" s="13">
        <f>IFERROR(VLOOKUP($A352,koronahun!$A:$AM,17,FALSE),"")</f>
        <v>0.24838632560363375</v>
      </c>
      <c r="R352">
        <f>IFERROR(VLOOKUP($A352,koronahun!$A:$AM,18,FALSE),"")</f>
        <v>172</v>
      </c>
      <c r="S352">
        <f>IFERROR(VLOOKUP($A352,koronahun!$A:$AM,19,FALSE),"")</f>
        <v>3423</v>
      </c>
      <c r="T352">
        <f>IFERROR(VLOOKUP($A352,koronahun!$A:$AM,20,FALSE),"")</f>
        <v>8329</v>
      </c>
      <c r="U352">
        <f>IFERROR(VLOOKUP($A352,koronahun!$A:$AM,21,FALSE),"")</f>
        <v>911</v>
      </c>
      <c r="V352" s="13">
        <f>IFERROR(VLOOKUP($A352,koronahun!$A:$AM,22,FALSE),"")</f>
        <v>0.2625007154947544</v>
      </c>
      <c r="W352">
        <f>IFERROR(VLOOKUP($A352,koronahun!$A:$AM,23,FALSE),"")</f>
        <v>-19</v>
      </c>
      <c r="X352">
        <f>IFERROR(VLOOKUP($A352,koronahun!$A:$AM,24,FALSE),"")</f>
        <v>67</v>
      </c>
      <c r="Y352" s="14">
        <f>IFERROR(VLOOKUP($A352,koronahun!$A:$AM,25,FALSE),"")</f>
        <v>6.48635599028098E-2</v>
      </c>
      <c r="Z352" s="14">
        <f>IFERROR(VLOOKUP($A352,koronahun!$A:$AM,26,FALSE),"")</f>
        <v>0.10937687597550727</v>
      </c>
      <c r="AA352" s="14">
        <f>IFERROR(VLOOKUP($A352,koronahun!$A:$AM,27,FALSE),"")</f>
        <v>1.3578196058615462</v>
      </c>
      <c r="AB352" s="14">
        <f>IFERROR(VLOOKUP($A352,koronahun!$A:$AM,28,FALSE),"")</f>
        <v>1.4138759712713167</v>
      </c>
      <c r="AC352" s="14">
        <f>IFERROR(VLOOKUP($A352,koronahun!$A:$AM,29,FALSE),"")</f>
        <v>6142</v>
      </c>
      <c r="AD352" s="14">
        <f>IFERROR(VLOOKUP($A352,koronahun!$A:$AM,30,FALSE),"")</f>
        <v>145.85714285714286</v>
      </c>
      <c r="AE352" s="14">
        <f>IFERROR(VLOOKUP($A352,koronahun!$A:$AM,31,FALSE),"")</f>
        <v>29441</v>
      </c>
      <c r="AF352" s="13">
        <f>IFERROR(VLOOKUP($A352,koronahun!$A:$AM,32,FALSE),"")</f>
        <v>0.21603552611874005</v>
      </c>
      <c r="AG352">
        <f>IFERROR(VLOOKUP($A352,koronahun!$A:$AM,33,FALSE),"")</f>
        <v>1149557</v>
      </c>
      <c r="AH352">
        <f>IFERROR(VLOOKUP($A352,koronahun!$A:$AM,34,FALSE),"")</f>
        <v>41766</v>
      </c>
      <c r="AI352">
        <f>IFERROR(VLOOKUP($A352,koronahun!$A:$AM,35,FALSE),"")</f>
        <v>52016.714285714283</v>
      </c>
      <c r="AJ352">
        <f>IFERROR(VLOOKUP($A352,koronahun!$A:$AM,36,FALSE),"")</f>
        <v>327428</v>
      </c>
      <c r="AK352">
        <f>IFERROR(VLOOKUP($A352,koronahun!$A:$AM,37,FALSE),"")</f>
        <v>9522</v>
      </c>
      <c r="AL352">
        <f>IFERROR(VLOOKUP($A352,koronahun!$A:$AM,38,FALSE),"")</f>
        <v>8610.7142857142862</v>
      </c>
      <c r="AM352" s="14">
        <f>IFERROR(VLOOKUP($A352,koronahun!$A:$AM,39,FALSE),"")</f>
        <v>2304.4285714285716</v>
      </c>
      <c r="AN352" s="11">
        <f ca="1">IFERROR(__xludf.DUMMYFUNCTION("""COMPUTED_VALUE"""),44244)</f>
        <v>44244</v>
      </c>
      <c r="AO352" s="12">
        <f ca="1">IFERROR(VLOOKUP(AN352,koronahun!A:B,2,FALSE),"")</f>
        <v>391170</v>
      </c>
      <c r="AP352" s="11">
        <f t="shared" ca="1" si="2"/>
        <v>44244</v>
      </c>
      <c r="AQ352" s="11">
        <f ca="1">IFERROR(__xludf.DUMMYFUNCTION("""COMPUTED_VALUE"""),44244)</f>
        <v>44244</v>
      </c>
      <c r="AR352" s="11">
        <v>44267</v>
      </c>
      <c r="AS352" s="11">
        <f t="shared" si="3"/>
        <v>44267</v>
      </c>
      <c r="AT352" s="11">
        <f ca="1">IFERROR(__xludf.DUMMYFUNCTION("""COMPUTED_VALUE"""),44266)</f>
        <v>44266</v>
      </c>
    </row>
    <row r="353" spans="1:46" ht="13">
      <c r="A353" s="11">
        <v>44265</v>
      </c>
      <c r="B353">
        <f>IFERROR(VLOOKUP($A353,koronahun!$A:$AM,2,FALSE),"")</f>
        <v>480860</v>
      </c>
      <c r="C353">
        <f>IFERROR(VLOOKUP($A353,koronahun!$A:$AM,3,FALSE),"")</f>
        <v>5653</v>
      </c>
      <c r="D353">
        <f>IFERROR(VLOOKUP($A353,koronahun!$A:$AM,4,FALSE),"")</f>
        <v>16325</v>
      </c>
      <c r="E353">
        <f>IFERROR(VLOOKUP($A353,koronahun!$A:$AM,5,FALSE),"")</f>
        <v>340844</v>
      </c>
      <c r="F353">
        <f>IFERROR(VLOOKUP($A353,koronahun!$A:$AM,6,FALSE),"")</f>
        <v>3922530</v>
      </c>
      <c r="G353" s="12">
        <f>IFERROR(VLOOKUP($A353,koronahun!$A:$AM,7,FALSE),"")</f>
        <v>400258.1632653061</v>
      </c>
      <c r="H353">
        <f>IFERROR(VLOOKUP($A353,koronahun!$A:$AM,8,FALSE),"")</f>
        <v>0</v>
      </c>
      <c r="I353" s="13">
        <f>IFERROR(VLOOKUP($A353,koronahun!$A:$AM,9,FALSE),"")</f>
        <v>1.1895868537290065E-2</v>
      </c>
      <c r="J353" s="13">
        <f>IFERROR(VLOOKUP($A353,koronahun!$A:$AM,10,FALSE),"")</f>
        <v>0.12258924724603763</v>
      </c>
      <c r="K353" s="13">
        <f>IFERROR(VLOOKUP($A353,koronahun!$A:$AM,11,FALSE),"")</f>
        <v>7.9017867925662774E-3</v>
      </c>
      <c r="L353">
        <f>IFERROR(VLOOKUP($A353,koronahun!$A:$AM,12,FALSE),"")</f>
        <v>123691</v>
      </c>
      <c r="M353" s="13">
        <f>IFERROR(VLOOKUP($A353,koronahun!$A:$AM,13,FALSE),"")</f>
        <v>3.3949590317348087E-2</v>
      </c>
      <c r="N353" s="13">
        <f>IFERROR(VLOOKUP($A353,koronahun!$A:$AM,14,FALSE),"")</f>
        <v>0.70882169446408516</v>
      </c>
      <c r="O353">
        <f>IFERROR(VLOOKUP($A353,koronahun!$A:$AM,15,FALSE),"")</f>
        <v>42362</v>
      </c>
      <c r="P353">
        <f>IFERROR(VLOOKUP($A353,koronahun!$A:$AM,16,FALSE),"")</f>
        <v>30752</v>
      </c>
      <c r="Q353" s="13">
        <f>IFERROR(VLOOKUP($A353,koronahun!$A:$AM,17,FALSE),"")</f>
        <v>0.18382544224765868</v>
      </c>
      <c r="R353">
        <f>IFERROR(VLOOKUP($A353,koronahun!$A:$AM,18,FALSE),"")</f>
        <v>179</v>
      </c>
      <c r="S353">
        <f>IFERROR(VLOOKUP($A353,koronahun!$A:$AM,19,FALSE),"")</f>
        <v>1898</v>
      </c>
      <c r="T353">
        <f>IFERROR(VLOOKUP($A353,koronahun!$A:$AM,20,FALSE),"")</f>
        <v>8348</v>
      </c>
      <c r="U353">
        <f>IFERROR(VLOOKUP($A353,koronahun!$A:$AM,21,FALSE),"")</f>
        <v>844</v>
      </c>
      <c r="V353" s="13">
        <f>IFERROR(VLOOKUP($A353,koronahun!$A:$AM,22,FALSE),"")</f>
        <v>0.25722871521856672</v>
      </c>
      <c r="W353">
        <f>IFERROR(VLOOKUP($A353,koronahun!$A:$AM,23,FALSE),"")</f>
        <v>78</v>
      </c>
      <c r="X353">
        <f>IFERROR(VLOOKUP($A353,koronahun!$A:$AM,24,FALSE),"")</f>
        <v>11</v>
      </c>
      <c r="Y353" s="14">
        <f>IFERROR(VLOOKUP($A353,koronahun!$A:$AM,25,FALSE),"")</f>
        <v>6.7490763272994803E-2</v>
      </c>
      <c r="Z353" s="14">
        <f>IFERROR(VLOOKUP($A353,koronahun!$A:$AM,26,FALSE),"")</f>
        <v>0.10110206037374221</v>
      </c>
      <c r="AA353" s="14">
        <f>IFERROR(VLOOKUP($A353,koronahun!$A:$AM,27,FALSE),"")</f>
        <v>1.3758355446575528</v>
      </c>
      <c r="AB353" s="14">
        <f>IFERROR(VLOOKUP($A353,koronahun!$A:$AM,28,FALSE),"")</f>
        <v>1.4406537096253751</v>
      </c>
      <c r="AC353" s="14">
        <f>IFERROR(VLOOKUP($A353,koronahun!$A:$AM,29,FALSE),"")</f>
        <v>5851.4285714285716</v>
      </c>
      <c r="AD353" s="14">
        <f>IFERROR(VLOOKUP($A353,koronahun!$A:$AM,30,FALSE),"")</f>
        <v>143</v>
      </c>
      <c r="AE353" s="14">
        <f>IFERROR(VLOOKUP($A353,koronahun!$A:$AM,31,FALSE),"")</f>
        <v>29059.571428571428</v>
      </c>
      <c r="AF353" s="13">
        <f>IFERROR(VLOOKUP($A353,koronahun!$A:$AM,32,FALSE),"")</f>
        <v>0.20967617730942514</v>
      </c>
      <c r="AG353">
        <f>IFERROR(VLOOKUP($A353,koronahun!$A:$AM,33,FALSE),"")</f>
        <v>1107791</v>
      </c>
      <c r="AH353">
        <f>IFERROR(VLOOKUP($A353,koronahun!$A:$AM,34,FALSE),"")</f>
        <v>60746</v>
      </c>
      <c r="AI353">
        <f>IFERROR(VLOOKUP($A353,koronahun!$A:$AM,35,FALSE),"")</f>
        <v>49964.857142857145</v>
      </c>
      <c r="AJ353">
        <f>IFERROR(VLOOKUP($A353,koronahun!$A:$AM,36,FALSE),"")</f>
        <v>317906</v>
      </c>
      <c r="AK353">
        <f>IFERROR(VLOOKUP($A353,koronahun!$A:$AM,37,FALSE),"")</f>
        <v>3421</v>
      </c>
      <c r="AL353">
        <f>IFERROR(VLOOKUP($A353,koronahun!$A:$AM,38,FALSE),"")</f>
        <v>9219.7142857142862</v>
      </c>
      <c r="AM353" s="14">
        <f>IFERROR(VLOOKUP($A353,koronahun!$A:$AM,39,FALSE),"")</f>
        <v>2089.8571428571427</v>
      </c>
      <c r="AN353" s="11">
        <f ca="1">IFERROR(__xludf.DUMMYFUNCTION("""COMPUTED_VALUE"""),44245)</f>
        <v>44245</v>
      </c>
      <c r="AO353" s="12">
        <f ca="1">IFERROR(VLOOKUP(AN353,koronahun!A:B,2,FALSE),"")</f>
        <v>394023</v>
      </c>
      <c r="AP353" s="11">
        <f t="shared" ca="1" si="2"/>
        <v>44245</v>
      </c>
      <c r="AQ353" s="11">
        <f ca="1">IFERROR(__xludf.DUMMYFUNCTION("""COMPUTED_VALUE"""),44245)</f>
        <v>44245</v>
      </c>
      <c r="AR353" s="11">
        <v>44266</v>
      </c>
      <c r="AS353" s="11">
        <f t="shared" si="3"/>
        <v>44266</v>
      </c>
      <c r="AT353" s="11">
        <f ca="1">IFERROR(__xludf.DUMMYFUNCTION("""COMPUTED_VALUE"""),44265)</f>
        <v>44265</v>
      </c>
    </row>
    <row r="354" spans="1:46" ht="13">
      <c r="A354" s="11">
        <v>44264</v>
      </c>
      <c r="B354">
        <f>IFERROR(VLOOKUP($A354,koronahun!$A:$AM,2,FALSE),"")</f>
        <v>475207</v>
      </c>
      <c r="C354">
        <f>IFERROR(VLOOKUP($A354,koronahun!$A:$AM,3,FALSE),"")</f>
        <v>6494</v>
      </c>
      <c r="D354">
        <f>IFERROR(VLOOKUP($A354,koronahun!$A:$AM,4,FALSE),"")</f>
        <v>16146</v>
      </c>
      <c r="E354">
        <f>IFERROR(VLOOKUP($A354,koronahun!$A:$AM,5,FALSE),"")</f>
        <v>338946</v>
      </c>
      <c r="F354">
        <f>IFERROR(VLOOKUP($A354,koronahun!$A:$AM,6,FALSE),"")</f>
        <v>3891778</v>
      </c>
      <c r="G354" s="12">
        <f>IFERROR(VLOOKUP($A354,koronahun!$A:$AM,7,FALSE),"")</f>
        <v>397120.2040816326</v>
      </c>
      <c r="H354">
        <f>IFERROR(VLOOKUP($A354,koronahun!$A:$AM,8,FALSE),"")</f>
        <v>0</v>
      </c>
      <c r="I354" s="13">
        <f>IFERROR(VLOOKUP($A354,koronahun!$A:$AM,9,FALSE),"")</f>
        <v>1.3854960284865152E-2</v>
      </c>
      <c r="J354" s="13">
        <f>IFERROR(VLOOKUP($A354,koronahun!$A:$AM,10,FALSE),"")</f>
        <v>0.12210537188914682</v>
      </c>
      <c r="K354" s="13">
        <f>IFERROR(VLOOKUP($A354,koronahun!$A:$AM,11,FALSE),"")</f>
        <v>4.4560438950650054E-3</v>
      </c>
      <c r="L354">
        <f>IFERROR(VLOOKUP($A354,koronahun!$A:$AM,12,FALSE),"")</f>
        <v>120115</v>
      </c>
      <c r="M354" s="13">
        <f>IFERROR(VLOOKUP($A354,koronahun!$A:$AM,13,FALSE),"")</f>
        <v>3.3976772227681834E-2</v>
      </c>
      <c r="N354" s="13">
        <f>IFERROR(VLOOKUP($A354,koronahun!$A:$AM,14,FALSE),"")</f>
        <v>0.71325969524859689</v>
      </c>
      <c r="O354">
        <f>IFERROR(VLOOKUP($A354,koronahun!$A:$AM,15,FALSE),"")</f>
        <v>40869</v>
      </c>
      <c r="P354">
        <f>IFERROR(VLOOKUP($A354,koronahun!$A:$AM,16,FALSE),"")</f>
        <v>17265</v>
      </c>
      <c r="Q354" s="13">
        <f>IFERROR(VLOOKUP($A354,koronahun!$A:$AM,17,FALSE),"")</f>
        <v>0.37613669273095857</v>
      </c>
      <c r="R354">
        <f>IFERROR(VLOOKUP($A354,koronahun!$A:$AM,18,FALSE),"")</f>
        <v>158</v>
      </c>
      <c r="S354">
        <f>IFERROR(VLOOKUP($A354,koronahun!$A:$AM,19,FALSE),"")</f>
        <v>2202</v>
      </c>
      <c r="T354">
        <f>IFERROR(VLOOKUP($A354,koronahun!$A:$AM,20,FALSE),"")</f>
        <v>8270</v>
      </c>
      <c r="U354">
        <f>IFERROR(VLOOKUP($A354,koronahun!$A:$AM,21,FALSE),"")</f>
        <v>833</v>
      </c>
      <c r="V354" s="13">
        <f>IFERROR(VLOOKUP($A354,koronahun!$A:$AM,22,FALSE),"")</f>
        <v>0.25276353252372125</v>
      </c>
      <c r="W354">
        <f>IFERROR(VLOOKUP($A354,koronahun!$A:$AM,23,FALSE),"")</f>
        <v>346</v>
      </c>
      <c r="X354">
        <f>IFERROR(VLOOKUP($A354,koronahun!$A:$AM,24,FALSE),"")</f>
        <v>27</v>
      </c>
      <c r="Y354" s="14">
        <f>IFERROR(VLOOKUP($A354,koronahun!$A:$AM,25,FALSE),"")</f>
        <v>6.8850684760437916E-2</v>
      </c>
      <c r="Z354" s="14">
        <f>IFERROR(VLOOKUP($A354,koronahun!$A:$AM,26,FALSE),"")</f>
        <v>0.1007255139056832</v>
      </c>
      <c r="AA354" s="14">
        <f>IFERROR(VLOOKUP($A354,koronahun!$A:$AM,27,FALSE),"")</f>
        <v>1.3907443251803624</v>
      </c>
      <c r="AB354" s="14">
        <f>IFERROR(VLOOKUP($A354,koronahun!$A:$AM,28,FALSE),"")</f>
        <v>1.4684319522153058</v>
      </c>
      <c r="AC354" s="14">
        <f>IFERROR(VLOOKUP($A354,koronahun!$A:$AM,29,FALSE),"")</f>
        <v>5645.4285714285716</v>
      </c>
      <c r="AD354" s="14">
        <f>IFERROR(VLOOKUP($A354,koronahun!$A:$AM,30,FALSE),"")</f>
        <v>136.85714285714286</v>
      </c>
      <c r="AE354" s="14">
        <f>IFERROR(VLOOKUP($A354,koronahun!$A:$AM,31,FALSE),"")</f>
        <v>28341.142857142859</v>
      </c>
      <c r="AF354" s="13">
        <f>IFERROR(VLOOKUP($A354,koronahun!$A:$AM,32,FALSE),"")</f>
        <v>0.2068019188584751</v>
      </c>
      <c r="AG354">
        <f>IFERROR(VLOOKUP($A354,koronahun!$A:$AM,33,FALSE),"")</f>
        <v>1047045</v>
      </c>
      <c r="AH354">
        <f>IFERROR(VLOOKUP($A354,koronahun!$A:$AM,34,FALSE),"")</f>
        <v>44331</v>
      </c>
      <c r="AI354">
        <f>IFERROR(VLOOKUP($A354,koronahun!$A:$AM,35,FALSE),"")</f>
        <v>46481.142857142855</v>
      </c>
      <c r="AJ354">
        <f>IFERROR(VLOOKUP($A354,koronahun!$A:$AM,36,FALSE),"")</f>
        <v>314485</v>
      </c>
      <c r="AK354">
        <f>IFERROR(VLOOKUP($A354,koronahun!$A:$AM,37,FALSE),"")</f>
        <v>6556</v>
      </c>
      <c r="AL354">
        <f>IFERROR(VLOOKUP($A354,koronahun!$A:$AM,38,FALSE),"")</f>
        <v>8805.4285714285706</v>
      </c>
      <c r="AM354" s="14">
        <f>IFERROR(VLOOKUP($A354,koronahun!$A:$AM,39,FALSE),"")</f>
        <v>2106.2857142857142</v>
      </c>
      <c r="AN354" s="11">
        <f ca="1">IFERROR(__xludf.DUMMYFUNCTION("""COMPUTED_VALUE"""),44246)</f>
        <v>44246</v>
      </c>
      <c r="AO354" s="12">
        <f ca="1">IFERROR(VLOOKUP(AN354,koronahun!A:B,2,FALSE),"")</f>
        <v>397116</v>
      </c>
      <c r="AP354" s="11">
        <f t="shared" ca="1" si="2"/>
        <v>44246</v>
      </c>
      <c r="AQ354" s="11">
        <f ca="1">IFERROR(__xludf.DUMMYFUNCTION("""COMPUTED_VALUE"""),44246)</f>
        <v>44246</v>
      </c>
      <c r="AR354" s="11">
        <v>44265</v>
      </c>
      <c r="AS354" s="11">
        <f t="shared" si="3"/>
        <v>44265</v>
      </c>
      <c r="AT354" s="11">
        <f ca="1">IFERROR(__xludf.DUMMYFUNCTION("""COMPUTED_VALUE"""),44264)</f>
        <v>44264</v>
      </c>
    </row>
    <row r="355" spans="1:46" ht="13">
      <c r="A355" s="11">
        <v>44263</v>
      </c>
      <c r="B355">
        <f>IFERROR(VLOOKUP($A355,koronahun!$A:$AM,2,FALSE),"")</f>
        <v>468713</v>
      </c>
      <c r="C355">
        <f>IFERROR(VLOOKUP($A355,koronahun!$A:$AM,3,FALSE),"")</f>
        <v>2696</v>
      </c>
      <c r="D355">
        <f>IFERROR(VLOOKUP($A355,koronahun!$A:$AM,4,FALSE),"")</f>
        <v>15988</v>
      </c>
      <c r="E355">
        <f>IFERROR(VLOOKUP($A355,koronahun!$A:$AM,5,FALSE),"")</f>
        <v>336744</v>
      </c>
      <c r="F355">
        <f>IFERROR(VLOOKUP($A355,koronahun!$A:$AM,6,FALSE),"")</f>
        <v>3874513</v>
      </c>
      <c r="G355" s="12">
        <f>IFERROR(VLOOKUP($A355,koronahun!$A:$AM,7,FALSE),"")</f>
        <v>395358.46938775509</v>
      </c>
      <c r="H355">
        <f>IFERROR(VLOOKUP($A355,koronahun!$A:$AM,8,FALSE),"")</f>
        <v>0</v>
      </c>
      <c r="I355" s="13">
        <f>IFERROR(VLOOKUP($A355,koronahun!$A:$AM,9,FALSE),"")</f>
        <v>5.7851966773744302E-3</v>
      </c>
      <c r="J355" s="13">
        <f>IFERROR(VLOOKUP($A355,koronahun!$A:$AM,10,FALSE),"")</f>
        <v>0.12097339717275436</v>
      </c>
      <c r="K355" s="13">
        <f>IFERROR(VLOOKUP($A355,koronahun!$A:$AM,11,FALSE),"")</f>
        <v>6.2041908543111072E-3</v>
      </c>
      <c r="L355">
        <f>IFERROR(VLOOKUP($A355,koronahun!$A:$AM,12,FALSE),"")</f>
        <v>115981</v>
      </c>
      <c r="M355" s="13">
        <f>IFERROR(VLOOKUP($A355,koronahun!$A:$AM,13,FALSE),"")</f>
        <v>3.4110425782941801E-2</v>
      </c>
      <c r="N355" s="13">
        <f>IFERROR(VLOOKUP($A355,koronahun!$A:$AM,14,FALSE),"")</f>
        <v>0.71844390917256407</v>
      </c>
      <c r="O355">
        <f>IFERROR(VLOOKUP($A355,koronahun!$A:$AM,15,FALSE),"")</f>
        <v>37343</v>
      </c>
      <c r="P355">
        <f>IFERROR(VLOOKUP($A355,koronahun!$A:$AM,16,FALSE),"")</f>
        <v>23890</v>
      </c>
      <c r="Q355" s="13">
        <f>IFERROR(VLOOKUP($A355,koronahun!$A:$AM,17,FALSE),"")</f>
        <v>0.11285056508999582</v>
      </c>
      <c r="R355">
        <f>IFERROR(VLOOKUP($A355,koronahun!$A:$AM,18,FALSE),"")</f>
        <v>115</v>
      </c>
      <c r="S355">
        <f>IFERROR(VLOOKUP($A355,koronahun!$A:$AM,19,FALSE),"")</f>
        <v>1232</v>
      </c>
      <c r="T355">
        <f>IFERROR(VLOOKUP($A355,koronahun!$A:$AM,20,FALSE),"")</f>
        <v>7924</v>
      </c>
      <c r="U355">
        <f>IFERROR(VLOOKUP($A355,koronahun!$A:$AM,21,FALSE),"")</f>
        <v>806</v>
      </c>
      <c r="V355" s="13">
        <f>IFERROR(VLOOKUP($A355,koronahun!$A:$AM,22,FALSE),"")</f>
        <v>0.24744566504449417</v>
      </c>
      <c r="W355">
        <f>IFERROR(VLOOKUP($A355,koronahun!$A:$AM,23,FALSE),"")</f>
        <v>479</v>
      </c>
      <c r="X355">
        <f>IFERROR(VLOOKUP($A355,koronahun!$A:$AM,24,FALSE),"")</f>
        <v>28</v>
      </c>
      <c r="Y355" s="14">
        <f>IFERROR(VLOOKUP($A355,koronahun!$A:$AM,25,FALSE),"")</f>
        <v>6.8321535423905635E-2</v>
      </c>
      <c r="Z355" s="14">
        <f>IFERROR(VLOOKUP($A355,koronahun!$A:$AM,26,FALSE),"")</f>
        <v>0.10171630489651691</v>
      </c>
      <c r="AA355" s="14">
        <f>IFERROR(VLOOKUP($A355,koronahun!$A:$AM,27,FALSE),"")</f>
        <v>1.3119249239341617</v>
      </c>
      <c r="AB355" s="14">
        <f>IFERROR(VLOOKUP($A355,koronahun!$A:$AM,28,FALSE),"")</f>
        <v>1.4997159926471164</v>
      </c>
      <c r="AC355" s="14">
        <f>IFERROR(VLOOKUP($A355,koronahun!$A:$AM,29,FALSE),"")</f>
        <v>5112.5714285714284</v>
      </c>
      <c r="AD355" s="14">
        <f>IFERROR(VLOOKUP($A355,koronahun!$A:$AM,30,FALSE),"")</f>
        <v>132.85714285714286</v>
      </c>
      <c r="AE355" s="14">
        <f>IFERROR(VLOOKUP($A355,koronahun!$A:$AM,31,FALSE),"")</f>
        <v>27705.857142857141</v>
      </c>
      <c r="AF355" s="13">
        <f>IFERROR(VLOOKUP($A355,koronahun!$A:$AM,32,FALSE),"")</f>
        <v>0.18387300051345326</v>
      </c>
      <c r="AG355">
        <f>IFERROR(VLOOKUP($A355,koronahun!$A:$AM,33,FALSE),"")</f>
        <v>1002714</v>
      </c>
      <c r="AH355">
        <f>IFERROR(VLOOKUP($A355,koronahun!$A:$AM,34,FALSE),"")</f>
        <v>21313</v>
      </c>
      <c r="AI355">
        <f>IFERROR(VLOOKUP($A355,koronahun!$A:$AM,35,FALSE),"")</f>
        <v>45352.428571428572</v>
      </c>
      <c r="AJ355">
        <f>IFERROR(VLOOKUP($A355,koronahun!$A:$AM,36,FALSE),"")</f>
        <v>307929</v>
      </c>
      <c r="AK355">
        <f>IFERROR(VLOOKUP($A355,koronahun!$A:$AM,37,FALSE),"")</f>
        <v>356</v>
      </c>
      <c r="AL355">
        <f>IFERROR(VLOOKUP($A355,koronahun!$A:$AM,38,FALSE),"")</f>
        <v>8034</v>
      </c>
      <c r="AM355" s="14">
        <f>IFERROR(VLOOKUP($A355,koronahun!$A:$AM,39,FALSE),"")</f>
        <v>1969.7142857142858</v>
      </c>
      <c r="AN355" s="11">
        <f ca="1">IFERROR(__xludf.DUMMYFUNCTION("""COMPUTED_VALUE"""),44247)</f>
        <v>44247</v>
      </c>
      <c r="AO355" s="12">
        <f ca="1">IFERROR(VLOOKUP(AN355,koronahun!A:B,2,FALSE),"")</f>
        <v>400111</v>
      </c>
      <c r="AP355" s="11">
        <f t="shared" ca="1" si="2"/>
        <v>44247</v>
      </c>
      <c r="AQ355" s="11">
        <f ca="1">IFERROR(__xludf.DUMMYFUNCTION("""COMPUTED_VALUE"""),44247)</f>
        <v>44247</v>
      </c>
      <c r="AR355" s="11">
        <v>44264</v>
      </c>
      <c r="AS355" s="11">
        <f t="shared" si="3"/>
        <v>44264</v>
      </c>
      <c r="AT355" s="11">
        <f ca="1">IFERROR(__xludf.DUMMYFUNCTION("""COMPUTED_VALUE"""),44263)</f>
        <v>44263</v>
      </c>
    </row>
    <row r="356" spans="1:46" ht="13">
      <c r="A356" s="11">
        <v>44262</v>
      </c>
      <c r="B356">
        <f>IFERROR(VLOOKUP($A356,koronahun!$A:$AM,2,FALSE),"")</f>
        <v>466017</v>
      </c>
      <c r="C356">
        <f>IFERROR(VLOOKUP($A356,koronahun!$A:$AM,3,FALSE),"")</f>
        <v>6201</v>
      </c>
      <c r="D356">
        <f>IFERROR(VLOOKUP($A356,koronahun!$A:$AM,4,FALSE),"")</f>
        <v>15873</v>
      </c>
      <c r="E356">
        <f>IFERROR(VLOOKUP($A356,koronahun!$A:$AM,5,FALSE),"")</f>
        <v>335512</v>
      </c>
      <c r="F356">
        <f>IFERROR(VLOOKUP($A356,koronahun!$A:$AM,6,FALSE),"")</f>
        <v>3850623</v>
      </c>
      <c r="G356" s="12">
        <f>IFERROR(VLOOKUP($A356,koronahun!$A:$AM,7,FALSE),"")</f>
        <v>392920.71428571426</v>
      </c>
      <c r="H356">
        <f>IFERROR(VLOOKUP($A356,koronahun!$A:$AM,8,FALSE),"")</f>
        <v>0</v>
      </c>
      <c r="I356" s="13">
        <f>IFERROR(VLOOKUP($A356,koronahun!$A:$AM,9,FALSE),"")</f>
        <v>1.3485829114254397E-2</v>
      </c>
      <c r="J356" s="13">
        <f>IFERROR(VLOOKUP($A356,koronahun!$A:$AM,10,FALSE),"")</f>
        <v>0.12102379277327331</v>
      </c>
      <c r="K356" s="13">
        <f>IFERROR(VLOOKUP($A356,koronahun!$A:$AM,11,FALSE),"")</f>
        <v>8.8478673000682243E-3</v>
      </c>
      <c r="L356">
        <f>IFERROR(VLOOKUP($A356,koronahun!$A:$AM,12,FALSE),"")</f>
        <v>114632</v>
      </c>
      <c r="M356" s="13">
        <f>IFERROR(VLOOKUP($A356,koronahun!$A:$AM,13,FALSE),"")</f>
        <v>3.4060989191381431E-2</v>
      </c>
      <c r="N356" s="13">
        <f>IFERROR(VLOOKUP($A356,koronahun!$A:$AM,14,FALSE),"")</f>
        <v>0.71995656810803044</v>
      </c>
      <c r="O356">
        <f>IFERROR(VLOOKUP($A356,koronahun!$A:$AM,15,FALSE),"")</f>
        <v>44217</v>
      </c>
      <c r="P356">
        <f>IFERROR(VLOOKUP($A356,koronahun!$A:$AM,16,FALSE),"")</f>
        <v>33771</v>
      </c>
      <c r="Q356" s="13">
        <f>IFERROR(VLOOKUP($A356,koronahun!$A:$AM,17,FALSE),"")</f>
        <v>0.18361908146042463</v>
      </c>
      <c r="R356">
        <f>IFERROR(VLOOKUP($A356,koronahun!$A:$AM,18,FALSE),"")</f>
        <v>108</v>
      </c>
      <c r="S356">
        <f>IFERROR(VLOOKUP($A356,koronahun!$A:$AM,19,FALSE),"")</f>
        <v>2467</v>
      </c>
      <c r="T356">
        <f>IFERROR(VLOOKUP($A356,koronahun!$A:$AM,20,FALSE),"")</f>
        <v>7445</v>
      </c>
      <c r="U356">
        <f>IFERROR(VLOOKUP($A356,koronahun!$A:$AM,21,FALSE),"")</f>
        <v>778</v>
      </c>
      <c r="V356" s="13">
        <f>IFERROR(VLOOKUP($A356,koronahun!$A:$AM,22,FALSE),"")</f>
        <v>0.24598244270058817</v>
      </c>
      <c r="W356">
        <f>IFERROR(VLOOKUP($A356,koronahun!$A:$AM,23,FALSE),"")</f>
        <v>202</v>
      </c>
      <c r="X356">
        <f>IFERROR(VLOOKUP($A356,koronahun!$A:$AM,24,FALSE),"")</f>
        <v>27</v>
      </c>
      <c r="Y356" s="14">
        <f>IFERROR(VLOOKUP($A356,koronahun!$A:$AM,25,FALSE),"")</f>
        <v>6.4946960709051579E-2</v>
      </c>
      <c r="Z356" s="14">
        <f>IFERROR(VLOOKUP($A356,koronahun!$A:$AM,26,FALSE),"")</f>
        <v>0.10449966420416387</v>
      </c>
      <c r="AA356" s="14">
        <f>IFERROR(VLOOKUP($A356,koronahun!$A:$AM,27,FALSE),"")</f>
        <v>1.463012198936503</v>
      </c>
      <c r="AB356" s="14">
        <f>IFERROR(VLOOKUP($A356,koronahun!$A:$AM,28,FALSE),"")</f>
        <v>1.5436152948245379</v>
      </c>
      <c r="AC356" s="14">
        <f>IFERROR(VLOOKUP($A356,koronahun!$A:$AM,29,FALSE),"")</f>
        <v>5345.4285714285716</v>
      </c>
      <c r="AD356" s="14">
        <f>IFERROR(VLOOKUP($A356,koronahun!$A:$AM,30,FALSE),"")</f>
        <v>128.42857142857142</v>
      </c>
      <c r="AE356" s="14">
        <f>IFERROR(VLOOKUP($A356,koronahun!$A:$AM,31,FALSE),"")</f>
        <v>27183</v>
      </c>
      <c r="AF356" s="13">
        <f>IFERROR(VLOOKUP($A356,koronahun!$A:$AM,32,FALSE),"")</f>
        <v>0.19830018127914345</v>
      </c>
      <c r="AG356">
        <f>IFERROR(VLOOKUP($A356,koronahun!$A:$AM,33,FALSE),"")</f>
        <v>981401</v>
      </c>
      <c r="AH356">
        <f>IFERROR(VLOOKUP($A356,koronahun!$A:$AM,34,FALSE),"")</f>
        <v>31904</v>
      </c>
      <c r="AI356">
        <f>IFERROR(VLOOKUP($A356,koronahun!$A:$AM,35,FALSE),"")</f>
        <v>43388.428571428572</v>
      </c>
      <c r="AJ356">
        <f>IFERROR(VLOOKUP($A356,koronahun!$A:$AM,36,FALSE),"")</f>
        <v>307573</v>
      </c>
      <c r="AK356">
        <f>IFERROR(VLOOKUP($A356,koronahun!$A:$AM,37,FALSE),"")</f>
        <v>2693</v>
      </c>
      <c r="AL356">
        <f>IFERROR(VLOOKUP($A356,koronahun!$A:$AM,38,FALSE),"")</f>
        <v>8296.2857142857138</v>
      </c>
      <c r="AM356" s="14">
        <f>IFERROR(VLOOKUP($A356,koronahun!$A:$AM,39,FALSE),"")</f>
        <v>2054.8571428571427</v>
      </c>
      <c r="AN356" s="11">
        <f ca="1">IFERROR(__xludf.DUMMYFUNCTION("""COMPUTED_VALUE"""),44248)</f>
        <v>44248</v>
      </c>
      <c r="AO356" s="12">
        <f ca="1">IFERROR(VLOOKUP(AN356,koronahun!A:B,2,FALSE),"")</f>
        <v>403023</v>
      </c>
      <c r="AP356" s="11">
        <f t="shared" ca="1" si="2"/>
        <v>44248</v>
      </c>
      <c r="AQ356" s="11">
        <f ca="1">IFERROR(__xludf.DUMMYFUNCTION("""COMPUTED_VALUE"""),44248)</f>
        <v>44248</v>
      </c>
      <c r="AR356" s="11">
        <v>44263</v>
      </c>
      <c r="AS356" s="11">
        <f t="shared" si="3"/>
        <v>44263</v>
      </c>
      <c r="AT356" s="11">
        <f ca="1">IFERROR(__xludf.DUMMYFUNCTION("""COMPUTED_VALUE"""),44262)</f>
        <v>44262</v>
      </c>
    </row>
    <row r="357" spans="1:46" ht="13">
      <c r="A357" s="11">
        <v>44261</v>
      </c>
      <c r="B357">
        <f>IFERROR(VLOOKUP($A357,koronahun!$A:$AM,2,FALSE),"")</f>
        <v>459816</v>
      </c>
      <c r="C357">
        <f>IFERROR(VLOOKUP($A357,koronahun!$A:$AM,3,FALSE),"")</f>
        <v>7269</v>
      </c>
      <c r="D357">
        <f>IFERROR(VLOOKUP($A357,koronahun!$A:$AM,4,FALSE),"")</f>
        <v>15765</v>
      </c>
      <c r="E357">
        <f>IFERROR(VLOOKUP($A357,koronahun!$A:$AM,5,FALSE),"")</f>
        <v>333045</v>
      </c>
      <c r="F357">
        <f>IFERROR(VLOOKUP($A357,koronahun!$A:$AM,6,FALSE),"")</f>
        <v>3816852</v>
      </c>
      <c r="G357" s="12">
        <f>IFERROR(VLOOKUP($A357,koronahun!$A:$AM,7,FALSE),"")</f>
        <v>389474.69387755101</v>
      </c>
      <c r="H357">
        <f>IFERROR(VLOOKUP($A357,koronahun!$A:$AM,8,FALSE),"")</f>
        <v>0</v>
      </c>
      <c r="I357" s="13">
        <f>IFERROR(VLOOKUP($A357,koronahun!$A:$AM,9,FALSE),"")</f>
        <v>1.6062420035929968E-2</v>
      </c>
      <c r="J357" s="13">
        <f>IFERROR(VLOOKUP($A357,koronahun!$A:$AM,10,FALSE),"")</f>
        <v>0.12046995796535993</v>
      </c>
      <c r="K357" s="13">
        <f>IFERROR(VLOOKUP($A357,koronahun!$A:$AM,11,FALSE),"")</f>
        <v>9.4338250403775969E-3</v>
      </c>
      <c r="L357">
        <f>IFERROR(VLOOKUP($A357,koronahun!$A:$AM,12,FALSE),"")</f>
        <v>111006</v>
      </c>
      <c r="M357" s="13">
        <f>IFERROR(VLOOKUP($A357,koronahun!$A:$AM,13,FALSE),"")</f>
        <v>3.4285453311759487E-2</v>
      </c>
      <c r="N357" s="13">
        <f>IFERROR(VLOOKUP($A357,koronahun!$A:$AM,14,FALSE),"")</f>
        <v>0.72430058980113787</v>
      </c>
      <c r="O357">
        <f>IFERROR(VLOOKUP($A357,koronahun!$A:$AM,15,FALSE),"")</f>
        <v>46620</v>
      </c>
      <c r="P357">
        <f>IFERROR(VLOOKUP($A357,koronahun!$A:$AM,16,FALSE),"")</f>
        <v>35671</v>
      </c>
      <c r="Q357" s="13">
        <f>IFERROR(VLOOKUP($A357,koronahun!$A:$AM,17,FALSE),"")</f>
        <v>0.20377898012391019</v>
      </c>
      <c r="R357">
        <f>IFERROR(VLOOKUP($A357,koronahun!$A:$AM,18,FALSE),"")</f>
        <v>146</v>
      </c>
      <c r="S357">
        <f>IFERROR(VLOOKUP($A357,koronahun!$A:$AM,19,FALSE),"")</f>
        <v>1488</v>
      </c>
      <c r="T357">
        <f>IFERROR(VLOOKUP($A357,koronahun!$A:$AM,20,FALSE),"")</f>
        <v>7243</v>
      </c>
      <c r="U357">
        <f>IFERROR(VLOOKUP($A357,koronahun!$A:$AM,21,FALSE),"")</f>
        <v>751</v>
      </c>
      <c r="V357" s="13">
        <f>IFERROR(VLOOKUP($A357,koronahun!$A:$AM,22,FALSE),"")</f>
        <v>0.24141395688710265</v>
      </c>
      <c r="W357">
        <f>IFERROR(VLOOKUP($A357,koronahun!$A:$AM,23,FALSE),"")</f>
        <v>376</v>
      </c>
      <c r="X357">
        <f>IFERROR(VLOOKUP($A357,koronahun!$A:$AM,24,FALSE),"")</f>
        <v>74</v>
      </c>
      <c r="Y357" s="14">
        <f>IFERROR(VLOOKUP($A357,koronahun!$A:$AM,25,FALSE),"")</f>
        <v>6.5248725294128243E-2</v>
      </c>
      <c r="Z357" s="14">
        <f>IFERROR(VLOOKUP($A357,koronahun!$A:$AM,26,FALSE),"")</f>
        <v>0.10368631782410603</v>
      </c>
      <c r="AA357" s="14">
        <f>IFERROR(VLOOKUP($A357,koronahun!$A:$AM,27,FALSE),"")</f>
        <v>1.4857404554727507</v>
      </c>
      <c r="AB357" s="14">
        <f>IFERROR(VLOOKUP($A357,koronahun!$A:$AM,28,FALSE),"")</f>
        <v>1.569413004963889</v>
      </c>
      <c r="AC357" s="14">
        <f>IFERROR(VLOOKUP($A357,koronahun!$A:$AM,29,FALSE),"")</f>
        <v>5098</v>
      </c>
      <c r="AD357" s="14">
        <f>IFERROR(VLOOKUP($A357,koronahun!$A:$AM,30,FALSE),"")</f>
        <v>123.28571428571429</v>
      </c>
      <c r="AE357" s="14">
        <f>IFERROR(VLOOKUP($A357,koronahun!$A:$AM,31,FALSE),"")</f>
        <v>26305.714285714286</v>
      </c>
      <c r="AF357" s="13">
        <f>IFERROR(VLOOKUP($A357,koronahun!$A:$AM,32,FALSE),"")</f>
        <v>0.19517523830436692</v>
      </c>
      <c r="AG357">
        <f>IFERROR(VLOOKUP($A357,koronahun!$A:$AM,33,FALSE),"")</f>
        <v>949497</v>
      </c>
      <c r="AH357">
        <f>IFERROR(VLOOKUP($A357,koronahun!$A:$AM,34,FALSE),"")</f>
        <v>86544</v>
      </c>
      <c r="AI357">
        <f>IFERROR(VLOOKUP($A357,koronahun!$A:$AM,35,FALSE),"")</f>
        <v>55128</v>
      </c>
      <c r="AJ357">
        <f>IFERROR(VLOOKUP($A357,koronahun!$A:$AM,36,FALSE),"")</f>
        <v>304880</v>
      </c>
      <c r="AK357">
        <f>IFERROR(VLOOKUP($A357,koronahun!$A:$AM,37,FALSE),"")</f>
        <v>25153</v>
      </c>
      <c r="AL357">
        <f>IFERROR(VLOOKUP($A357,koronahun!$A:$AM,38,FALSE),"")</f>
        <v>8639</v>
      </c>
      <c r="AM357" s="14">
        <f>IFERROR(VLOOKUP($A357,koronahun!$A:$AM,39,FALSE),"")</f>
        <v>1907.7142857142858</v>
      </c>
      <c r="AN357" s="11">
        <f ca="1">IFERROR(__xludf.DUMMYFUNCTION("""COMPUTED_VALUE"""),44249)</f>
        <v>44249</v>
      </c>
      <c r="AO357" s="12">
        <f ca="1">IFERROR(VLOOKUP(AN357,koronahun!A:B,2,FALSE),"")</f>
        <v>405646</v>
      </c>
      <c r="AP357" s="11">
        <f t="shared" ca="1" si="2"/>
        <v>44249</v>
      </c>
      <c r="AQ357" s="11">
        <f ca="1">IFERROR(__xludf.DUMMYFUNCTION("""COMPUTED_VALUE"""),44249)</f>
        <v>44249</v>
      </c>
      <c r="AR357" s="11">
        <v>44262</v>
      </c>
      <c r="AS357" s="11">
        <f t="shared" si="3"/>
        <v>44262</v>
      </c>
      <c r="AT357" s="11">
        <f ca="1">IFERROR(__xludf.DUMMYFUNCTION("""COMPUTED_VALUE"""),44261)</f>
        <v>44261</v>
      </c>
    </row>
    <row r="358" spans="1:46" ht="13">
      <c r="A358" s="11">
        <v>44260</v>
      </c>
      <c r="B358">
        <f>IFERROR(VLOOKUP($A358,koronahun!$A:$AM,2,FALSE),"")</f>
        <v>452547</v>
      </c>
      <c r="C358">
        <f>IFERROR(VLOOKUP($A358,koronahun!$A:$AM,3,FALSE),"")</f>
        <v>6369</v>
      </c>
      <c r="D358">
        <f>IFERROR(VLOOKUP($A358,koronahun!$A:$AM,4,FALSE),"")</f>
        <v>15619</v>
      </c>
      <c r="E358">
        <f>IFERROR(VLOOKUP($A358,koronahun!$A:$AM,5,FALSE),"")</f>
        <v>331557</v>
      </c>
      <c r="F358">
        <f>IFERROR(VLOOKUP($A358,koronahun!$A:$AM,6,FALSE),"")</f>
        <v>3781181</v>
      </c>
      <c r="G358" s="12">
        <f>IFERROR(VLOOKUP($A358,koronahun!$A:$AM,7,FALSE),"")</f>
        <v>385834.79591836734</v>
      </c>
      <c r="H358">
        <f>IFERROR(VLOOKUP($A358,koronahun!$A:$AM,8,FALSE),"")</f>
        <v>0</v>
      </c>
      <c r="I358" s="13">
        <f>IFERROR(VLOOKUP($A358,koronahun!$A:$AM,9,FALSE),"")</f>
        <v>1.4274572031790004E-2</v>
      </c>
      <c r="J358" s="13">
        <f>IFERROR(VLOOKUP($A358,koronahun!$A:$AM,10,FALSE),"")</f>
        <v>0.11968403522603123</v>
      </c>
      <c r="K358" s="13">
        <f>IFERROR(VLOOKUP($A358,koronahun!$A:$AM,11,FALSE),"")</f>
        <v>8.3399401638493964E-3</v>
      </c>
      <c r="L358">
        <f>IFERROR(VLOOKUP($A358,koronahun!$A:$AM,12,FALSE),"")</f>
        <v>105371</v>
      </c>
      <c r="M358" s="13">
        <f>IFERROR(VLOOKUP($A358,koronahun!$A:$AM,13,FALSE),"")</f>
        <v>3.4513542239811554E-2</v>
      </c>
      <c r="N358" s="13">
        <f>IFERROR(VLOOKUP($A358,koronahun!$A:$AM,14,FALSE),"")</f>
        <v>0.73264655383860677</v>
      </c>
      <c r="O358">
        <f>IFERROR(VLOOKUP($A358,koronahun!$A:$AM,15,FALSE),"")</f>
        <v>45164</v>
      </c>
      <c r="P358">
        <f>IFERROR(VLOOKUP($A358,koronahun!$A:$AM,16,FALSE),"")</f>
        <v>31274</v>
      </c>
      <c r="Q358" s="13">
        <f>IFERROR(VLOOKUP($A358,koronahun!$A:$AM,17,FALSE),"")</f>
        <v>0.20365159557459872</v>
      </c>
      <c r="R358">
        <f>IFERROR(VLOOKUP($A358,koronahun!$A:$AM,18,FALSE),"")</f>
        <v>143</v>
      </c>
      <c r="S358">
        <f>IFERROR(VLOOKUP($A358,koronahun!$A:$AM,19,FALSE),"")</f>
        <v>3421</v>
      </c>
      <c r="T358">
        <f>IFERROR(VLOOKUP($A358,koronahun!$A:$AM,20,FALSE),"")</f>
        <v>6867</v>
      </c>
      <c r="U358">
        <f>IFERROR(VLOOKUP($A358,koronahun!$A:$AM,21,FALSE),"")</f>
        <v>677</v>
      </c>
      <c r="V358" s="13">
        <f>IFERROR(VLOOKUP($A358,koronahun!$A:$AM,22,FALSE),"")</f>
        <v>0.23283990392158163</v>
      </c>
      <c r="W358">
        <f>IFERROR(VLOOKUP($A358,koronahun!$A:$AM,23,FALSE),"")</f>
        <v>313</v>
      </c>
      <c r="X358">
        <f>IFERROR(VLOOKUP($A358,koronahun!$A:$AM,24,FALSE),"")</f>
        <v>38</v>
      </c>
      <c r="Y358" s="14">
        <f>IFERROR(VLOOKUP($A358,koronahun!$A:$AM,25,FALSE),"")</f>
        <v>6.5169733607918681E-2</v>
      </c>
      <c r="Z358" s="14">
        <f>IFERROR(VLOOKUP($A358,koronahun!$A:$AM,26,FALSE),"")</f>
        <v>9.8587447211300416E-2</v>
      </c>
      <c r="AA358" s="14">
        <f>IFERROR(VLOOKUP($A358,koronahun!$A:$AM,27,FALSE),"")</f>
        <v>1.5120547448563402</v>
      </c>
      <c r="AB358" s="14">
        <f>IFERROR(VLOOKUP($A358,koronahun!$A:$AM,28,FALSE),"")</f>
        <v>1.5961784193375028</v>
      </c>
      <c r="AC358" s="14">
        <f>IFERROR(VLOOKUP($A358,koronahun!$A:$AM,29,FALSE),"")</f>
        <v>4766.4285714285716</v>
      </c>
      <c r="AD358" s="14">
        <f>IFERROR(VLOOKUP($A358,koronahun!$A:$AM,30,FALSE),"")</f>
        <v>117.71428571428571</v>
      </c>
      <c r="AE358" s="14">
        <f>IFERROR(VLOOKUP($A358,koronahun!$A:$AM,31,FALSE),"")</f>
        <v>25183.285714285714</v>
      </c>
      <c r="AF358" s="13">
        <f>IFERROR(VLOOKUP($A358,koronahun!$A:$AM,32,FALSE),"")</f>
        <v>0.19147767308455757</v>
      </c>
      <c r="AG358">
        <f>IFERROR(VLOOKUP($A358,koronahun!$A:$AM,33,FALSE),"")</f>
        <v>862953</v>
      </c>
      <c r="AH358">
        <f>IFERROR(VLOOKUP($A358,koronahun!$A:$AM,34,FALSE),"")</f>
        <v>77513</v>
      </c>
      <c r="AI358">
        <f>IFERROR(VLOOKUP($A358,koronahun!$A:$AM,35,FALSE),"")</f>
        <v>48810</v>
      </c>
      <c r="AJ358">
        <f>IFERROR(VLOOKUP($A358,koronahun!$A:$AM,36,FALSE),"")</f>
        <v>279727</v>
      </c>
      <c r="AK358">
        <f>IFERROR(VLOOKUP($A358,koronahun!$A:$AM,37,FALSE),"")</f>
        <v>12574</v>
      </c>
      <c r="AL358">
        <f>IFERROR(VLOOKUP($A358,koronahun!$A:$AM,38,FALSE),"")</f>
        <v>5586.4285714285716</v>
      </c>
      <c r="AM358" s="14">
        <f>IFERROR(VLOOKUP($A358,koronahun!$A:$AM,39,FALSE),"")</f>
        <v>1951.1428571428571</v>
      </c>
      <c r="AN358" s="11">
        <f ca="1">IFERROR(__xludf.DUMMYFUNCTION("""COMPUTED_VALUE"""),44250)</f>
        <v>44250</v>
      </c>
      <c r="AO358" s="12">
        <f ca="1">IFERROR(VLOOKUP(AN358,koronahun!A:B,2,FALSE),"")</f>
        <v>407274</v>
      </c>
      <c r="AP358" s="11">
        <f t="shared" ca="1" si="2"/>
        <v>44250</v>
      </c>
      <c r="AQ358" s="11">
        <f ca="1">IFERROR(__xludf.DUMMYFUNCTION("""COMPUTED_VALUE"""),44250)</f>
        <v>44250</v>
      </c>
      <c r="AR358" s="11">
        <v>44261</v>
      </c>
      <c r="AS358" s="11">
        <f t="shared" si="3"/>
        <v>44261</v>
      </c>
      <c r="AT358" s="11">
        <f ca="1">IFERROR(__xludf.DUMMYFUNCTION("""COMPUTED_VALUE"""),44260)</f>
        <v>44260</v>
      </c>
    </row>
    <row r="359" spans="1:46" ht="13">
      <c r="A359" s="11">
        <v>44259</v>
      </c>
      <c r="B359">
        <f>IFERROR(VLOOKUP($A359,koronahun!$A:$AM,2,FALSE),"")</f>
        <v>446178</v>
      </c>
      <c r="C359">
        <f>IFERROR(VLOOKUP($A359,koronahun!$A:$AM,3,FALSE),"")</f>
        <v>6278</v>
      </c>
      <c r="D359">
        <f>IFERROR(VLOOKUP($A359,koronahun!$A:$AM,4,FALSE),"")</f>
        <v>15476</v>
      </c>
      <c r="E359">
        <f>IFERROR(VLOOKUP($A359,koronahun!$A:$AM,5,FALSE),"")</f>
        <v>328136</v>
      </c>
      <c r="F359">
        <f>IFERROR(VLOOKUP($A359,koronahun!$A:$AM,6,FALSE),"")</f>
        <v>3749907</v>
      </c>
      <c r="G359" s="12">
        <f>IFERROR(VLOOKUP($A359,koronahun!$A:$AM,7,FALSE),"")</f>
        <v>382643.57142857142</v>
      </c>
      <c r="H359">
        <f>IFERROR(VLOOKUP($A359,koronahun!$A:$AM,8,FALSE),"")</f>
        <v>0</v>
      </c>
      <c r="I359" s="13">
        <f>IFERROR(VLOOKUP($A359,koronahun!$A:$AM,9,FALSE),"")</f>
        <v>1.4271425323937258E-2</v>
      </c>
      <c r="J359" s="13">
        <f>IFERROR(VLOOKUP($A359,koronahun!$A:$AM,10,FALSE),"")</f>
        <v>0.11898375079701977</v>
      </c>
      <c r="K359" s="13">
        <f>IFERROR(VLOOKUP($A359,koronahun!$A:$AM,11,FALSE),"")</f>
        <v>8.2799312631802267E-3</v>
      </c>
      <c r="L359">
        <f>IFERROR(VLOOKUP($A359,koronahun!$A:$AM,12,FALSE),"")</f>
        <v>102566</v>
      </c>
      <c r="M359" s="13">
        <f>IFERROR(VLOOKUP($A359,koronahun!$A:$AM,13,FALSE),"")</f>
        <v>3.4685708394407613E-2</v>
      </c>
      <c r="N359" s="13">
        <f>IFERROR(VLOOKUP($A359,koronahun!$A:$AM,14,FALSE),"")</f>
        <v>0.73543742631864417</v>
      </c>
      <c r="O359">
        <f>IFERROR(VLOOKUP($A359,koronahun!$A:$AM,15,FALSE),"")</f>
        <v>41440</v>
      </c>
      <c r="P359">
        <f>IFERROR(VLOOKUP($A359,koronahun!$A:$AM,16,FALSE),"")</f>
        <v>30794</v>
      </c>
      <c r="Q359" s="13">
        <f>IFERROR(VLOOKUP($A359,koronahun!$A:$AM,17,FALSE),"")</f>
        <v>0.20387088393842956</v>
      </c>
      <c r="R359">
        <f>IFERROR(VLOOKUP($A359,koronahun!$A:$AM,18,FALSE),"")</f>
        <v>152</v>
      </c>
      <c r="S359">
        <f>IFERROR(VLOOKUP($A359,koronahun!$A:$AM,19,FALSE),"")</f>
        <v>1921</v>
      </c>
      <c r="T359">
        <f>IFERROR(VLOOKUP($A359,koronahun!$A:$AM,20,FALSE),"")</f>
        <v>6554</v>
      </c>
      <c r="U359">
        <f>IFERROR(VLOOKUP($A359,koronahun!$A:$AM,21,FALSE),"")</f>
        <v>639</v>
      </c>
      <c r="V359" s="13">
        <f>IFERROR(VLOOKUP($A359,koronahun!$A:$AM,22,FALSE),"")</f>
        <v>0.22987686528694826</v>
      </c>
      <c r="W359">
        <f>IFERROR(VLOOKUP($A359,koronahun!$A:$AM,23,FALSE),"")</f>
        <v>187</v>
      </c>
      <c r="X359">
        <f>IFERROR(VLOOKUP($A359,koronahun!$A:$AM,24,FALSE),"")</f>
        <v>17</v>
      </c>
      <c r="Y359" s="14">
        <f>IFERROR(VLOOKUP($A359,koronahun!$A:$AM,25,FALSE),"")</f>
        <v>6.3900317844119883E-2</v>
      </c>
      <c r="Z359" s="14">
        <f>IFERROR(VLOOKUP($A359,koronahun!$A:$AM,26,FALSE),"")</f>
        <v>9.7497711321330491E-2</v>
      </c>
      <c r="AA359" s="14">
        <f>IFERROR(VLOOKUP($A359,koronahun!$A:$AM,27,FALSE),"")</f>
        <v>1.5452637743399542</v>
      </c>
      <c r="AB359" s="14">
        <f>IFERROR(VLOOKUP($A359,koronahun!$A:$AM,28,FALSE),"")</f>
        <v>1.6157498314578578</v>
      </c>
      <c r="AC359" s="14">
        <f>IFERROR(VLOOKUP($A359,koronahun!$A:$AM,29,FALSE),"")</f>
        <v>4523.4285714285716</v>
      </c>
      <c r="AD359" s="14">
        <f>IFERROR(VLOOKUP($A359,koronahun!$A:$AM,30,FALSE),"")</f>
        <v>114.85714285714286</v>
      </c>
      <c r="AE359" s="14">
        <f>IFERROR(VLOOKUP($A359,koronahun!$A:$AM,31,FALSE),"")</f>
        <v>24591</v>
      </c>
      <c r="AF359" s="13">
        <f>IFERROR(VLOOKUP($A359,koronahun!$A:$AM,32,FALSE),"")</f>
        <v>0.18696646439797271</v>
      </c>
      <c r="AG359">
        <f>IFERROR(VLOOKUP($A359,koronahun!$A:$AM,33,FALSE),"")</f>
        <v>785440</v>
      </c>
      <c r="AH359">
        <f>IFERROR(VLOOKUP($A359,koronahun!$A:$AM,34,FALSE),"")</f>
        <v>27403</v>
      </c>
      <c r="AI359">
        <f>IFERROR(VLOOKUP($A359,koronahun!$A:$AM,35,FALSE),"")</f>
        <v>39623.857142857145</v>
      </c>
      <c r="AJ359">
        <f>IFERROR(VLOOKUP($A359,koronahun!$A:$AM,36,FALSE),"")</f>
        <v>267153</v>
      </c>
      <c r="AK359">
        <f>IFERROR(VLOOKUP($A359,koronahun!$A:$AM,37,FALSE),"")</f>
        <v>13785</v>
      </c>
      <c r="AL359">
        <f>IFERROR(VLOOKUP($A359,koronahun!$A:$AM,38,FALSE),"")</f>
        <v>8011.4285714285716</v>
      </c>
      <c r="AM359" s="14">
        <f>IFERROR(VLOOKUP($A359,koronahun!$A:$AM,39,FALSE),"")</f>
        <v>1765</v>
      </c>
      <c r="AN359" s="11">
        <f ca="1">IFERROR(__xludf.DUMMYFUNCTION("""COMPUTED_VALUE"""),44251)</f>
        <v>44251</v>
      </c>
      <c r="AO359" s="12">
        <f ca="1">IFERROR(VLOOKUP(AN359,koronahun!A:B,2,FALSE),"")</f>
        <v>410129</v>
      </c>
      <c r="AP359" s="11">
        <f t="shared" ca="1" si="2"/>
        <v>44251</v>
      </c>
      <c r="AQ359" s="11">
        <f ca="1">IFERROR(__xludf.DUMMYFUNCTION("""COMPUTED_VALUE"""),44251)</f>
        <v>44251</v>
      </c>
      <c r="AR359" s="11">
        <v>44260</v>
      </c>
      <c r="AS359" s="11">
        <f t="shared" si="3"/>
        <v>44260</v>
      </c>
      <c r="AT359" s="11">
        <f ca="1">IFERROR(__xludf.DUMMYFUNCTION("""COMPUTED_VALUE"""),44259)</f>
        <v>44259</v>
      </c>
    </row>
    <row r="360" spans="1:46" ht="13">
      <c r="A360" s="11">
        <v>44258</v>
      </c>
      <c r="B360">
        <f>IFERROR(VLOOKUP($A360,koronahun!$A:$AM,2,FALSE),"")</f>
        <v>439900</v>
      </c>
      <c r="C360">
        <f>IFERROR(VLOOKUP($A360,koronahun!$A:$AM,3,FALSE),"")</f>
        <v>4211</v>
      </c>
      <c r="D360">
        <f>IFERROR(VLOOKUP($A360,koronahun!$A:$AM,4,FALSE),"")</f>
        <v>15324</v>
      </c>
      <c r="E360">
        <f>IFERROR(VLOOKUP($A360,koronahun!$A:$AM,5,FALSE),"")</f>
        <v>326215</v>
      </c>
      <c r="F360">
        <f>IFERROR(VLOOKUP($A360,koronahun!$A:$AM,6,FALSE),"")</f>
        <v>3719113</v>
      </c>
      <c r="G360" s="12">
        <f>IFERROR(VLOOKUP($A360,koronahun!$A:$AM,7,FALSE),"")</f>
        <v>379501.32653061219</v>
      </c>
      <c r="H360">
        <f>IFERROR(VLOOKUP($A360,koronahun!$A:$AM,8,FALSE),"")</f>
        <v>0</v>
      </c>
      <c r="I360" s="13">
        <f>IFERROR(VLOOKUP($A360,koronahun!$A:$AM,9,FALSE),"")</f>
        <v>9.6651510595860812E-3</v>
      </c>
      <c r="J360" s="13">
        <f>IFERROR(VLOOKUP($A360,koronahun!$A:$AM,10,FALSE),"")</f>
        <v>0.11828089116948047</v>
      </c>
      <c r="K360" s="13">
        <f>IFERROR(VLOOKUP($A360,koronahun!$A:$AM,11,FALSE),"")</f>
        <v>6.9646043336880209E-3</v>
      </c>
      <c r="L360">
        <f>IFERROR(VLOOKUP($A360,koronahun!$A:$AM,12,FALSE),"")</f>
        <v>98361</v>
      </c>
      <c r="M360" s="13">
        <f>IFERROR(VLOOKUP($A360,koronahun!$A:$AM,13,FALSE),"")</f>
        <v>3.4835189815867244E-2</v>
      </c>
      <c r="N360" s="13">
        <f>IFERROR(VLOOKUP($A360,koronahun!$A:$AM,14,FALSE),"")</f>
        <v>0.74156626506024093</v>
      </c>
      <c r="O360">
        <f>IFERROR(VLOOKUP($A360,koronahun!$A:$AM,15,FALSE),"")</f>
        <v>37005</v>
      </c>
      <c r="P360">
        <f>IFERROR(VLOOKUP($A360,koronahun!$A:$AM,16,FALSE),"")</f>
        <v>25723</v>
      </c>
      <c r="Q360" s="13">
        <f>IFERROR(VLOOKUP($A360,koronahun!$A:$AM,17,FALSE),"")</f>
        <v>0.16370563309100805</v>
      </c>
      <c r="R360">
        <f>IFERROR(VLOOKUP($A360,koronahun!$A:$AM,18,FALSE),"")</f>
        <v>136</v>
      </c>
      <c r="S360">
        <f>IFERROR(VLOOKUP($A360,koronahun!$A:$AM,19,FALSE),"")</f>
        <v>2013</v>
      </c>
      <c r="T360">
        <f>IFERROR(VLOOKUP($A360,koronahun!$A:$AM,20,FALSE),"")</f>
        <v>6367</v>
      </c>
      <c r="U360">
        <f>IFERROR(VLOOKUP($A360,koronahun!$A:$AM,21,FALSE),"")</f>
        <v>622</v>
      </c>
      <c r="V360" s="13">
        <f>IFERROR(VLOOKUP($A360,koronahun!$A:$AM,22,FALSE),"")</f>
        <v>0.2235985451238918</v>
      </c>
      <c r="W360">
        <f>IFERROR(VLOOKUP($A360,koronahun!$A:$AM,23,FALSE),"")</f>
        <v>296</v>
      </c>
      <c r="X360">
        <f>IFERROR(VLOOKUP($A360,koronahun!$A:$AM,24,FALSE),"")</f>
        <v>41</v>
      </c>
      <c r="Y360" s="14">
        <f>IFERROR(VLOOKUP($A360,koronahun!$A:$AM,25,FALSE),"")</f>
        <v>6.4730940108376281E-2</v>
      </c>
      <c r="Z360" s="14">
        <f>IFERROR(VLOOKUP($A360,koronahun!$A:$AM,26,FALSE),"")</f>
        <v>9.7691220354955241E-2</v>
      </c>
      <c r="AA360" s="14">
        <f>IFERROR(VLOOKUP($A360,koronahun!$A:$AM,27,FALSE),"")</f>
        <v>1.5702832427870668</v>
      </c>
      <c r="AB360" s="14">
        <f>IFERROR(VLOOKUP($A360,koronahun!$A:$AM,28,FALSE),"")</f>
        <v>1.6359663946701239</v>
      </c>
      <c r="AC360" s="14">
        <f>IFERROR(VLOOKUP($A360,koronahun!$A:$AM,29,FALSE),"")</f>
        <v>4253</v>
      </c>
      <c r="AD360" s="14">
        <f>IFERROR(VLOOKUP($A360,koronahun!$A:$AM,30,FALSE),"")</f>
        <v>110.28571428571429</v>
      </c>
      <c r="AE360" s="14">
        <f>IFERROR(VLOOKUP($A360,koronahun!$A:$AM,31,FALSE),"")</f>
        <v>23836</v>
      </c>
      <c r="AF360" s="13">
        <f>IFERROR(VLOOKUP($A360,koronahun!$A:$AM,32,FALSE),"")</f>
        <v>0.18239921150467789</v>
      </c>
      <c r="AG360">
        <f>IFERROR(VLOOKUP($A360,koronahun!$A:$AM,33,FALSE),"")</f>
        <v>758037</v>
      </c>
      <c r="AH360">
        <f>IFERROR(VLOOKUP($A360,koronahun!$A:$AM,34,FALSE),"")</f>
        <v>36360</v>
      </c>
      <c r="AI360">
        <f>IFERROR(VLOOKUP($A360,koronahun!$A:$AM,35,FALSE),"")</f>
        <v>41004.714285714283</v>
      </c>
      <c r="AJ360">
        <f>IFERROR(VLOOKUP($A360,koronahun!$A:$AM,36,FALSE),"")</f>
        <v>253368</v>
      </c>
      <c r="AK360">
        <f>IFERROR(VLOOKUP($A360,koronahun!$A:$AM,37,FALSE),"")</f>
        <v>521</v>
      </c>
      <c r="AL360">
        <f>IFERROR(VLOOKUP($A360,koronahun!$A:$AM,38,FALSE),"")</f>
        <v>6360.2857142857147</v>
      </c>
      <c r="AM360" s="14">
        <f>IFERROR(VLOOKUP($A360,koronahun!$A:$AM,39,FALSE),"")</f>
        <v>1823.5714285714287</v>
      </c>
      <c r="AN360" s="11">
        <f ca="1">IFERROR(__xludf.DUMMYFUNCTION("""COMPUTED_VALUE"""),44252)</f>
        <v>44252</v>
      </c>
      <c r="AO360" s="12">
        <f ca="1">IFERROR(VLOOKUP(AN360,koronahun!A:B,2,FALSE),"")</f>
        <v>414514</v>
      </c>
      <c r="AP360" s="11">
        <f t="shared" ca="1" si="2"/>
        <v>44252</v>
      </c>
      <c r="AQ360" s="11">
        <f ca="1">IFERROR(__xludf.DUMMYFUNCTION("""COMPUTED_VALUE"""),44252)</f>
        <v>44252</v>
      </c>
      <c r="AR360" s="11">
        <v>44259</v>
      </c>
      <c r="AS360" s="11">
        <f t="shared" si="3"/>
        <v>44259</v>
      </c>
      <c r="AT360" s="11">
        <f ca="1">IFERROR(__xludf.DUMMYFUNCTION("""COMPUTED_VALUE"""),44258)</f>
        <v>44258</v>
      </c>
    </row>
    <row r="361" spans="1:46" ht="13">
      <c r="A361" s="11">
        <v>44257</v>
      </c>
      <c r="B361">
        <f>IFERROR(VLOOKUP($A361,koronahun!$A:$AM,2,FALSE),"")</f>
        <v>435689</v>
      </c>
      <c r="C361">
        <f>IFERROR(VLOOKUP($A361,koronahun!$A:$AM,3,FALSE),"")</f>
        <v>2764</v>
      </c>
      <c r="D361">
        <f>IFERROR(VLOOKUP($A361,koronahun!$A:$AM,4,FALSE),"")</f>
        <v>15188</v>
      </c>
      <c r="E361">
        <f>IFERROR(VLOOKUP($A361,koronahun!$A:$AM,5,FALSE),"")</f>
        <v>324202</v>
      </c>
      <c r="F361">
        <f>IFERROR(VLOOKUP($A361,koronahun!$A:$AM,6,FALSE),"")</f>
        <v>3693390</v>
      </c>
      <c r="G361" s="12">
        <f>IFERROR(VLOOKUP($A361,koronahun!$A:$AM,7,FALSE),"")</f>
        <v>376876.53061224485</v>
      </c>
      <c r="H361">
        <f>IFERROR(VLOOKUP($A361,koronahun!$A:$AM,8,FALSE),"")</f>
        <v>0</v>
      </c>
      <c r="I361" s="13">
        <f>IFERROR(VLOOKUP($A361,koronahun!$A:$AM,9,FALSE),"")</f>
        <v>6.3844776808916091E-3</v>
      </c>
      <c r="J361" s="13">
        <f>IFERROR(VLOOKUP($A361,koronahun!$A:$AM,10,FALSE),"")</f>
        <v>0.11796452581503714</v>
      </c>
      <c r="K361" s="13">
        <f>IFERROR(VLOOKUP($A361,koronahun!$A:$AM,11,FALSE),"")</f>
        <v>3.482610855051878E-3</v>
      </c>
      <c r="L361">
        <f>IFERROR(VLOOKUP($A361,koronahun!$A:$AM,12,FALSE),"")</f>
        <v>96299</v>
      </c>
      <c r="M361" s="13">
        <f>IFERROR(VLOOKUP($A361,koronahun!$A:$AM,13,FALSE),"")</f>
        <v>3.4859727925194345E-2</v>
      </c>
      <c r="N361" s="13">
        <f>IFERROR(VLOOKUP($A361,koronahun!$A:$AM,14,FALSE),"")</f>
        <v>0.74411334690570563</v>
      </c>
      <c r="O361">
        <f>IFERROR(VLOOKUP($A361,koronahun!$A:$AM,15,FALSE),"")</f>
        <v>35023</v>
      </c>
      <c r="P361">
        <f>IFERROR(VLOOKUP($A361,koronahun!$A:$AM,16,FALSE),"")</f>
        <v>12818</v>
      </c>
      <c r="Q361" s="13">
        <f>IFERROR(VLOOKUP($A361,koronahun!$A:$AM,17,FALSE),"")</f>
        <v>0.2156342643158059</v>
      </c>
      <c r="R361">
        <f>IFERROR(VLOOKUP($A361,koronahun!$A:$AM,18,FALSE),"")</f>
        <v>130</v>
      </c>
      <c r="S361">
        <f>IFERROR(VLOOKUP($A361,koronahun!$A:$AM,19,FALSE),"")</f>
        <v>1246</v>
      </c>
      <c r="T361">
        <f>IFERROR(VLOOKUP($A361,koronahun!$A:$AM,20,FALSE),"")</f>
        <v>6071</v>
      </c>
      <c r="U361">
        <f>IFERROR(VLOOKUP($A361,koronahun!$A:$AM,21,FALSE),"")</f>
        <v>581</v>
      </c>
      <c r="V361" s="13">
        <f>IFERROR(VLOOKUP($A361,koronahun!$A:$AM,22,FALSE),"")</f>
        <v>0.22102692516909997</v>
      </c>
      <c r="W361">
        <f>IFERROR(VLOOKUP($A361,koronahun!$A:$AM,23,FALSE),"")</f>
        <v>392</v>
      </c>
      <c r="X361">
        <f>IFERROR(VLOOKUP($A361,koronahun!$A:$AM,24,FALSE),"")</f>
        <v>44</v>
      </c>
      <c r="Y361" s="14">
        <f>IFERROR(VLOOKUP($A361,koronahun!$A:$AM,25,FALSE),"")</f>
        <v>6.3043229940082449E-2</v>
      </c>
      <c r="Z361" s="14">
        <f>IFERROR(VLOOKUP($A361,koronahun!$A:$AM,26,FALSE),"")</f>
        <v>9.5700873002800196E-2</v>
      </c>
      <c r="AA361" s="14">
        <f>IFERROR(VLOOKUP($A361,koronahun!$A:$AM,27,FALSE),"")</f>
        <v>1.6097326082030365</v>
      </c>
      <c r="AB361" s="14">
        <f>IFERROR(VLOOKUP($A361,koronahun!$A:$AM,28,FALSE),"")</f>
        <v>1.6543962063223177</v>
      </c>
      <c r="AC361" s="14">
        <f>IFERROR(VLOOKUP($A361,koronahun!$A:$AM,29,FALSE),"")</f>
        <v>4059.2857142857142</v>
      </c>
      <c r="AD361" s="14">
        <f>IFERROR(VLOOKUP($A361,koronahun!$A:$AM,30,FALSE),"")</f>
        <v>105.42857142857143</v>
      </c>
      <c r="AE361" s="14">
        <f>IFERROR(VLOOKUP($A361,koronahun!$A:$AM,31,FALSE),"")</f>
        <v>23504</v>
      </c>
      <c r="AF361" s="13">
        <f>IFERROR(VLOOKUP($A361,koronahun!$A:$AM,32,FALSE),"")</f>
        <v>0.17644322981622665</v>
      </c>
      <c r="AG361">
        <f>IFERROR(VLOOKUP($A361,koronahun!$A:$AM,33,FALSE),"")</f>
        <v>721677</v>
      </c>
      <c r="AH361">
        <f>IFERROR(VLOOKUP($A361,koronahun!$A:$AM,34,FALSE),"")</f>
        <v>36430</v>
      </c>
      <c r="AI361">
        <f>IFERROR(VLOOKUP($A361,koronahun!$A:$AM,35,FALSE),"")</f>
        <v>37797.285714285717</v>
      </c>
      <c r="AJ361">
        <f>IFERROR(VLOOKUP($A361,koronahun!$A:$AM,36,FALSE),"")</f>
        <v>252847</v>
      </c>
      <c r="AK361">
        <f>IFERROR(VLOOKUP($A361,koronahun!$A:$AM,37,FALSE),"")</f>
        <v>1156</v>
      </c>
      <c r="AL361">
        <f>IFERROR(VLOOKUP($A361,koronahun!$A:$AM,38,FALSE),"")</f>
        <v>6732.4285714285716</v>
      </c>
      <c r="AM361" s="14">
        <f>IFERROR(VLOOKUP($A361,koronahun!$A:$AM,39,FALSE),"")</f>
        <v>1907.7142857142858</v>
      </c>
      <c r="AN361" s="11">
        <f ca="1">IFERROR(__xludf.DUMMYFUNCTION("""COMPUTED_VALUE"""),44253)</f>
        <v>44253</v>
      </c>
      <c r="AO361" s="12">
        <f ca="1">IFERROR(VLOOKUP(AN361,koronahun!A:B,2,FALSE),"")</f>
        <v>419182</v>
      </c>
      <c r="AP361" s="11">
        <f t="shared" ca="1" si="2"/>
        <v>44253</v>
      </c>
      <c r="AQ361" s="11">
        <f ca="1">IFERROR(__xludf.DUMMYFUNCTION("""COMPUTED_VALUE"""),44253)</f>
        <v>44253</v>
      </c>
      <c r="AR361" s="11">
        <v>44258</v>
      </c>
      <c r="AS361" s="11">
        <f t="shared" si="3"/>
        <v>44258</v>
      </c>
      <c r="AT361" s="11">
        <f ca="1">IFERROR(__xludf.DUMMYFUNCTION("""COMPUTED_VALUE"""),44257)</f>
        <v>44257</v>
      </c>
    </row>
    <row r="362" spans="1:46" ht="13">
      <c r="A362" s="11">
        <v>44256</v>
      </c>
      <c r="B362">
        <f>IFERROR(VLOOKUP($A362,koronahun!$A:$AM,2,FALSE),"")</f>
        <v>432925</v>
      </c>
      <c r="C362">
        <f>IFERROR(VLOOKUP($A362,koronahun!$A:$AM,3,FALSE),"")</f>
        <v>4326</v>
      </c>
      <c r="D362">
        <f>IFERROR(VLOOKUP($A362,koronahun!$A:$AM,4,FALSE),"")</f>
        <v>15058</v>
      </c>
      <c r="E362">
        <f>IFERROR(VLOOKUP($A362,koronahun!$A:$AM,5,FALSE),"")</f>
        <v>322956</v>
      </c>
      <c r="F362">
        <f>IFERROR(VLOOKUP($A362,koronahun!$A:$AM,6,FALSE),"")</f>
        <v>3680572</v>
      </c>
      <c r="G362" s="12">
        <f>IFERROR(VLOOKUP($A362,koronahun!$A:$AM,7,FALSE),"")</f>
        <v>375568.57142857142</v>
      </c>
      <c r="H362">
        <f>IFERROR(VLOOKUP($A362,koronahun!$A:$AM,8,FALSE),"")</f>
        <v>0</v>
      </c>
      <c r="I362" s="13">
        <f>IFERROR(VLOOKUP($A362,koronahun!$A:$AM,9,FALSE),"")</f>
        <v>1.0093350661107468E-2</v>
      </c>
      <c r="J362" s="13">
        <f>IFERROR(VLOOKUP($A362,koronahun!$A:$AM,10,FALSE),"")</f>
        <v>0.11762438012352427</v>
      </c>
      <c r="K362" s="13">
        <f>IFERROR(VLOOKUP($A362,koronahun!$A:$AM,11,FALSE),"")</f>
        <v>5.5268059651256635E-3</v>
      </c>
      <c r="L362">
        <f>IFERROR(VLOOKUP($A362,koronahun!$A:$AM,12,FALSE),"")</f>
        <v>94911</v>
      </c>
      <c r="M362" s="13">
        <f>IFERROR(VLOOKUP($A362,koronahun!$A:$AM,13,FALSE),"")</f>
        <v>3.4782006121152627E-2</v>
      </c>
      <c r="N362" s="13">
        <f>IFERROR(VLOOKUP($A362,koronahun!$A:$AM,14,FALSE),"")</f>
        <v>0.74598602529306457</v>
      </c>
      <c r="O362">
        <f>IFERROR(VLOOKUP($A362,koronahun!$A:$AM,15,FALSE),"")</f>
        <v>34716</v>
      </c>
      <c r="P362">
        <f>IFERROR(VLOOKUP($A362,koronahun!$A:$AM,16,FALSE),"")</f>
        <v>20230</v>
      </c>
      <c r="Q362" s="13">
        <f>IFERROR(VLOOKUP($A362,koronahun!$A:$AM,17,FALSE),"")</f>
        <v>0.21384083044982699</v>
      </c>
      <c r="R362">
        <f>IFERROR(VLOOKUP($A362,koronahun!$A:$AM,18,FALSE),"")</f>
        <v>84</v>
      </c>
      <c r="S362">
        <f>IFERROR(VLOOKUP($A362,koronahun!$A:$AM,19,FALSE),"")</f>
        <v>1828</v>
      </c>
      <c r="T362">
        <f>IFERROR(VLOOKUP($A362,koronahun!$A:$AM,20,FALSE),"")</f>
        <v>5679</v>
      </c>
      <c r="U362">
        <f>IFERROR(VLOOKUP($A362,koronahun!$A:$AM,21,FALSE),"")</f>
        <v>537</v>
      </c>
      <c r="V362" s="13">
        <f>IFERROR(VLOOKUP($A362,koronahun!$A:$AM,22,FALSE),"")</f>
        <v>0.21923196858578275</v>
      </c>
      <c r="W362">
        <f>IFERROR(VLOOKUP($A362,koronahun!$A:$AM,23,FALSE),"")</f>
        <v>197</v>
      </c>
      <c r="X362">
        <f>IFERROR(VLOOKUP($A362,koronahun!$A:$AM,24,FALSE),"")</f>
        <v>13</v>
      </c>
      <c r="Y362" s="14">
        <f>IFERROR(VLOOKUP($A362,koronahun!$A:$AM,25,FALSE),"")</f>
        <v>5.9835003318898759E-2</v>
      </c>
      <c r="Z362" s="14">
        <f>IFERROR(VLOOKUP($A362,koronahun!$A:$AM,26,FALSE),"")</f>
        <v>9.4558901215002641E-2</v>
      </c>
      <c r="AA362" s="14">
        <f>IFERROR(VLOOKUP($A362,koronahun!$A:$AM,27,FALSE),"")</f>
        <v>1.6192200391761145</v>
      </c>
      <c r="AB362" s="14">
        <f>IFERROR(VLOOKUP($A362,koronahun!$A:$AM,28,FALSE),"")</f>
        <v>1.6560393175048167</v>
      </c>
      <c r="AC362" s="14">
        <f>IFERROR(VLOOKUP($A362,koronahun!$A:$AM,29,FALSE),"")</f>
        <v>3897</v>
      </c>
      <c r="AD362" s="14">
        <f>IFERROR(VLOOKUP($A362,koronahun!$A:$AM,30,FALSE),"")</f>
        <v>101.57142857142857</v>
      </c>
      <c r="AE362" s="14">
        <f>IFERROR(VLOOKUP($A362,koronahun!$A:$AM,31,FALSE),"")</f>
        <v>23005.142857142859</v>
      </c>
      <c r="AF362" s="13">
        <f>IFERROR(VLOOKUP($A362,koronahun!$A:$AM,32,FALSE),"")</f>
        <v>0.17057629637348276</v>
      </c>
      <c r="AG362">
        <f>IFERROR(VLOOKUP($A362,koronahun!$A:$AM,33,FALSE),"")</f>
        <v>685247</v>
      </c>
      <c r="AH362">
        <f>IFERROR(VLOOKUP($A362,koronahun!$A:$AM,34,FALSE),"")</f>
        <v>7565</v>
      </c>
      <c r="AI362">
        <f>IFERROR(VLOOKUP($A362,koronahun!$A:$AM,35,FALSE),"")</f>
        <v>33112.857142857145</v>
      </c>
      <c r="AJ362">
        <f>IFERROR(VLOOKUP($A362,koronahun!$A:$AM,36,FALSE),"")</f>
        <v>251691</v>
      </c>
      <c r="AK362">
        <f>IFERROR(VLOOKUP($A362,koronahun!$A:$AM,37,FALSE),"")</f>
        <v>2192</v>
      </c>
      <c r="AL362">
        <f>IFERROR(VLOOKUP($A362,koronahun!$A:$AM,38,FALSE),"")</f>
        <v>7240.8571428571431</v>
      </c>
      <c r="AM362" s="14">
        <f>IFERROR(VLOOKUP($A362,koronahun!$A:$AM,39,FALSE),"")</f>
        <v>2043.7142857142858</v>
      </c>
      <c r="AN362" s="11">
        <f ca="1">IFERROR(__xludf.DUMMYFUNCTION("""COMPUTED_VALUE"""),44254)</f>
        <v>44254</v>
      </c>
      <c r="AO362" s="12">
        <f ca="1">IFERROR(VLOOKUP(AN362,koronahun!A:B,2,FALSE),"")</f>
        <v>424130</v>
      </c>
      <c r="AP362" s="11">
        <f t="shared" ca="1" si="2"/>
        <v>44254</v>
      </c>
      <c r="AQ362" s="11">
        <f ca="1">IFERROR(__xludf.DUMMYFUNCTION("""COMPUTED_VALUE"""),44254)</f>
        <v>44254</v>
      </c>
      <c r="AR362" s="11">
        <v>44257</v>
      </c>
      <c r="AS362" s="11">
        <f t="shared" si="3"/>
        <v>44257</v>
      </c>
      <c r="AT362" s="11">
        <f ca="1">IFERROR(__xludf.DUMMYFUNCTION("""COMPUTED_VALUE"""),44256)</f>
        <v>44256</v>
      </c>
    </row>
    <row r="363" spans="1:46" ht="13">
      <c r="A363" s="11">
        <v>44255</v>
      </c>
      <c r="B363">
        <f>IFERROR(VLOOKUP($A363,koronahun!$A:$AM,2,FALSE),"")</f>
        <v>428599</v>
      </c>
      <c r="C363">
        <f>IFERROR(VLOOKUP($A363,koronahun!$A:$AM,3,FALSE),"")</f>
        <v>4469</v>
      </c>
      <c r="D363">
        <f>IFERROR(VLOOKUP($A363,koronahun!$A:$AM,4,FALSE),"")</f>
        <v>14974</v>
      </c>
      <c r="E363">
        <f>IFERROR(VLOOKUP($A363,koronahun!$A:$AM,5,FALSE),"")</f>
        <v>321128</v>
      </c>
      <c r="F363">
        <f>IFERROR(VLOOKUP($A363,koronahun!$A:$AM,6,FALSE),"")</f>
        <v>3660342</v>
      </c>
      <c r="G363" s="12">
        <f>IFERROR(VLOOKUP($A363,koronahun!$A:$AM,7,FALSE),"")</f>
        <v>373504.28571428568</v>
      </c>
      <c r="H363">
        <f>IFERROR(VLOOKUP($A363,koronahun!$A:$AM,8,FALSE),"")</f>
        <v>0</v>
      </c>
      <c r="I363" s="13">
        <f>IFERROR(VLOOKUP($A363,koronahun!$A:$AM,9,FALSE),"")</f>
        <v>1.0536863697451253E-2</v>
      </c>
      <c r="J363" s="13">
        <f>IFERROR(VLOOKUP($A363,koronahun!$A:$AM,10,FALSE),"")</f>
        <v>0.11709261047191766</v>
      </c>
      <c r="K363" s="13">
        <f>IFERROR(VLOOKUP($A363,koronahun!$A:$AM,11,FALSE),"")</f>
        <v>7.6058878325614586E-3</v>
      </c>
      <c r="L363">
        <f>IFERROR(VLOOKUP($A363,koronahun!$A:$AM,12,FALSE),"")</f>
        <v>92497</v>
      </c>
      <c r="M363" s="13">
        <f>IFERROR(VLOOKUP($A363,koronahun!$A:$AM,13,FALSE),"")</f>
        <v>3.493708571415239E-2</v>
      </c>
      <c r="N363" s="13">
        <f>IFERROR(VLOOKUP($A363,koronahun!$A:$AM,14,FALSE),"")</f>
        <v>0.74925046488675895</v>
      </c>
      <c r="O363">
        <f>IFERROR(VLOOKUP($A363,koronahun!$A:$AM,15,FALSE),"")</f>
        <v>33353</v>
      </c>
      <c r="P363">
        <f>IFERROR(VLOOKUP($A363,koronahun!$A:$AM,16,FALSE),"")</f>
        <v>27630</v>
      </c>
      <c r="Q363" s="13">
        <f>IFERROR(VLOOKUP($A363,koronahun!$A:$AM,17,FALSE),"")</f>
        <v>0.16174448063698879</v>
      </c>
      <c r="R363">
        <f>IFERROR(VLOOKUP($A363,koronahun!$A:$AM,18,FALSE),"")</f>
        <v>72</v>
      </c>
      <c r="S363">
        <f>IFERROR(VLOOKUP($A363,koronahun!$A:$AM,19,FALSE),"")</f>
        <v>1437</v>
      </c>
      <c r="T363">
        <f>IFERROR(VLOOKUP($A363,koronahun!$A:$AM,20,FALSE),"")</f>
        <v>5482</v>
      </c>
      <c r="U363">
        <f>IFERROR(VLOOKUP($A363,koronahun!$A:$AM,21,FALSE),"")</f>
        <v>524</v>
      </c>
      <c r="V363" s="13">
        <f>IFERROR(VLOOKUP($A363,koronahun!$A:$AM,22,FALSE),"")</f>
        <v>0.21581244939908867</v>
      </c>
      <c r="W363">
        <f>IFERROR(VLOOKUP($A363,koronahun!$A:$AM,23,FALSE),"")</f>
        <v>200</v>
      </c>
      <c r="X363">
        <f>IFERROR(VLOOKUP($A363,koronahun!$A:$AM,24,FALSE),"")</f>
        <v>42</v>
      </c>
      <c r="Y363" s="14">
        <f>IFERROR(VLOOKUP($A363,koronahun!$A:$AM,25,FALSE),"")</f>
        <v>5.9266787030930732E-2</v>
      </c>
      <c r="Z363" s="14">
        <f>IFERROR(VLOOKUP($A363,koronahun!$A:$AM,26,FALSE),"")</f>
        <v>9.5585552717986133E-2</v>
      </c>
      <c r="AA363" s="14">
        <f>IFERROR(VLOOKUP($A363,koronahun!$A:$AM,27,FALSE),"")</f>
        <v>1.6435961699119594</v>
      </c>
      <c r="AB363" s="14">
        <f>IFERROR(VLOOKUP($A363,koronahun!$A:$AM,28,FALSE),"")</f>
        <v>1.6406871982788576</v>
      </c>
      <c r="AC363" s="14">
        <f>IFERROR(VLOOKUP($A363,koronahun!$A:$AM,29,FALSE),"")</f>
        <v>3653.7142857142858</v>
      </c>
      <c r="AD363" s="14">
        <f>IFERROR(VLOOKUP($A363,koronahun!$A:$AM,30,FALSE),"")</f>
        <v>96.428571428571431</v>
      </c>
      <c r="AE363" s="14">
        <f>IFERROR(VLOOKUP($A363,koronahun!$A:$AM,31,FALSE),"")</f>
        <v>22390.142857142859</v>
      </c>
      <c r="AF363" s="13">
        <f>IFERROR(VLOOKUP($A363,koronahun!$A:$AM,32,FALSE),"")</f>
        <v>0.16355754575752854</v>
      </c>
      <c r="AG363">
        <f>IFERROR(VLOOKUP($A363,koronahun!$A:$AM,33,FALSE),"")</f>
        <v>677682</v>
      </c>
      <c r="AH363">
        <f>IFERROR(VLOOKUP($A363,koronahun!$A:$AM,34,FALSE),"")</f>
        <v>114081</v>
      </c>
      <c r="AI363">
        <f>IFERROR(VLOOKUP($A363,koronahun!$A:$AM,35,FALSE),"")</f>
        <v>33163.857142857145</v>
      </c>
      <c r="AJ363">
        <f>IFERROR(VLOOKUP($A363,koronahun!$A:$AM,36,FALSE),"")</f>
        <v>249499</v>
      </c>
      <c r="AK363">
        <f>IFERROR(VLOOKUP($A363,koronahun!$A:$AM,37,FALSE),"")</f>
        <v>5092</v>
      </c>
      <c r="AL363">
        <f>IFERROR(VLOOKUP($A363,koronahun!$A:$AM,38,FALSE),"")</f>
        <v>8399.1428571428569</v>
      </c>
      <c r="AM363" s="14">
        <f>IFERROR(VLOOKUP($A363,koronahun!$A:$AM,39,FALSE),"")</f>
        <v>2072.4285714285716</v>
      </c>
      <c r="AN363" s="11">
        <f ca="1">IFERROR(__xludf.DUMMYFUNCTION("""COMPUTED_VALUE"""),44255)</f>
        <v>44255</v>
      </c>
      <c r="AO363" s="12">
        <f ca="1">IFERROR(VLOOKUP(AN363,koronahun!A:B,2,FALSE),"")</f>
        <v>428599</v>
      </c>
      <c r="AP363" s="11">
        <f t="shared" ca="1" si="2"/>
        <v>44255</v>
      </c>
      <c r="AQ363" s="11">
        <f ca="1">IFERROR(__xludf.DUMMYFUNCTION("""COMPUTED_VALUE"""),44255)</f>
        <v>44255</v>
      </c>
      <c r="AR363" s="11">
        <v>44256</v>
      </c>
      <c r="AS363" s="11">
        <f t="shared" si="3"/>
        <v>44256</v>
      </c>
      <c r="AT363" s="11">
        <f ca="1">IFERROR(__xludf.DUMMYFUNCTION("""COMPUTED_VALUE"""),44255)</f>
        <v>44255</v>
      </c>
    </row>
    <row r="364" spans="1:46" ht="13">
      <c r="A364" s="11">
        <v>44254</v>
      </c>
      <c r="B364">
        <f>IFERROR(VLOOKUP($A364,koronahun!$A:$AM,2,FALSE),"")</f>
        <v>424130</v>
      </c>
      <c r="C364">
        <f>IFERROR(VLOOKUP($A364,koronahun!$A:$AM,3,FALSE),"")</f>
        <v>4948</v>
      </c>
      <c r="D364">
        <f>IFERROR(VLOOKUP($A364,koronahun!$A:$AM,4,FALSE),"")</f>
        <v>14902</v>
      </c>
      <c r="E364">
        <f>IFERROR(VLOOKUP($A364,koronahun!$A:$AM,5,FALSE),"")</f>
        <v>319691</v>
      </c>
      <c r="F364">
        <f>IFERROR(VLOOKUP($A364,koronahun!$A:$AM,6,FALSE),"")</f>
        <v>3632712</v>
      </c>
      <c r="G364" s="12">
        <f>IFERROR(VLOOKUP($A364,koronahun!$A:$AM,7,FALSE),"")</f>
        <v>370684.89795918367</v>
      </c>
      <c r="H364">
        <f>IFERROR(VLOOKUP($A364,koronahun!$A:$AM,8,FALSE),"")</f>
        <v>0</v>
      </c>
      <c r="I364" s="13">
        <f>IFERROR(VLOOKUP($A364,koronahun!$A:$AM,9,FALSE),"")</f>
        <v>1.1803941963156815E-2</v>
      </c>
      <c r="J364" s="13">
        <f>IFERROR(VLOOKUP($A364,koronahun!$A:$AM,10,FALSE),"")</f>
        <v>0.11675299335592802</v>
      </c>
      <c r="K364" s="13">
        <f>IFERROR(VLOOKUP($A364,koronahun!$A:$AM,11,FALSE),"")</f>
        <v>7.7156135901764768E-3</v>
      </c>
      <c r="L364">
        <f>IFERROR(VLOOKUP($A364,koronahun!$A:$AM,12,FALSE),"")</f>
        <v>89537</v>
      </c>
      <c r="M364" s="13">
        <f>IFERROR(VLOOKUP($A364,koronahun!$A:$AM,13,FALSE),"")</f>
        <v>3.513545375238724E-2</v>
      </c>
      <c r="N364" s="13">
        <f>IFERROR(VLOOKUP($A364,koronahun!$A:$AM,14,FALSE),"")</f>
        <v>0.75375710277509256</v>
      </c>
      <c r="O364">
        <f>IFERROR(VLOOKUP($A364,koronahun!$A:$AM,15,FALSE),"")</f>
        <v>37658</v>
      </c>
      <c r="P364">
        <f>IFERROR(VLOOKUP($A364,koronahun!$A:$AM,16,FALSE),"")</f>
        <v>27814</v>
      </c>
      <c r="Q364" s="13">
        <f>IFERROR(VLOOKUP($A364,koronahun!$A:$AM,17,FALSE),"")</f>
        <v>0.17789602358524484</v>
      </c>
      <c r="R364">
        <f>IFERROR(VLOOKUP($A364,koronahun!$A:$AM,18,FALSE),"")</f>
        <v>107</v>
      </c>
      <c r="S364">
        <f>IFERROR(VLOOKUP($A364,koronahun!$A:$AM,19,FALSE),"")</f>
        <v>1792</v>
      </c>
      <c r="T364">
        <f>IFERROR(VLOOKUP($A364,koronahun!$A:$AM,20,FALSE),"")</f>
        <v>5282</v>
      </c>
      <c r="U364">
        <f>IFERROR(VLOOKUP($A364,koronahun!$A:$AM,21,FALSE),"")</f>
        <v>482</v>
      </c>
      <c r="V364" s="13">
        <f>IFERROR(VLOOKUP($A364,koronahun!$A:$AM,22,FALSE),"")</f>
        <v>0.21110744347252022</v>
      </c>
      <c r="W364">
        <f>IFERROR(VLOOKUP($A364,koronahun!$A:$AM,23,FALSE),"")</f>
        <v>255</v>
      </c>
      <c r="X364">
        <f>IFERROR(VLOOKUP($A364,koronahun!$A:$AM,24,FALSE),"")</f>
        <v>31</v>
      </c>
      <c r="Y364" s="14">
        <f>IFERROR(VLOOKUP($A364,koronahun!$A:$AM,25,FALSE),"")</f>
        <v>5.8992371868612975E-2</v>
      </c>
      <c r="Z364" s="14">
        <f>IFERROR(VLOOKUP($A364,koronahun!$A:$AM,26,FALSE),"")</f>
        <v>9.1253313138962511E-2</v>
      </c>
      <c r="AA364" s="14">
        <f>IFERROR(VLOOKUP($A364,koronahun!$A:$AM,27,FALSE),"")</f>
        <v>1.6730983560880468</v>
      </c>
      <c r="AB364" s="14">
        <f>IFERROR(VLOOKUP($A364,koronahun!$A:$AM,28,FALSE),"")</f>
        <v>1.6085867515435286</v>
      </c>
      <c r="AC364" s="14">
        <f>IFERROR(VLOOKUP($A364,koronahun!$A:$AM,29,FALSE),"")</f>
        <v>3431.2857142857142</v>
      </c>
      <c r="AD364" s="14">
        <f>IFERROR(VLOOKUP($A364,koronahun!$A:$AM,30,FALSE),"")</f>
        <v>92.857142857142861</v>
      </c>
      <c r="AE364" s="14">
        <f>IFERROR(VLOOKUP($A364,koronahun!$A:$AM,31,FALSE),"")</f>
        <v>21752.571428571428</v>
      </c>
      <c r="AF364" s="13">
        <f>IFERROR(VLOOKUP($A364,koronahun!$A:$AM,32,FALSE),"")</f>
        <v>0.15840776754518762</v>
      </c>
      <c r="AG364">
        <f>IFERROR(VLOOKUP($A364,koronahun!$A:$AM,33,FALSE),"")</f>
        <v>563601</v>
      </c>
      <c r="AH364">
        <f>IFERROR(VLOOKUP($A364,koronahun!$A:$AM,34,FALSE),"")</f>
        <v>42318</v>
      </c>
      <c r="AI364">
        <f>IFERROR(VLOOKUP($A364,koronahun!$A:$AM,35,FALSE),"")</f>
        <v>19470.285714285714</v>
      </c>
      <c r="AJ364">
        <f>IFERROR(VLOOKUP($A364,koronahun!$A:$AM,36,FALSE),"")</f>
        <v>244407</v>
      </c>
      <c r="AK364">
        <f>IFERROR(VLOOKUP($A364,koronahun!$A:$AM,37,FALSE),"")</f>
        <v>3785</v>
      </c>
      <c r="AL364">
        <f>IFERROR(VLOOKUP($A364,koronahun!$A:$AM,38,FALSE),"")</f>
        <v>10238.285714285714</v>
      </c>
      <c r="AM364" s="14">
        <f>IFERROR(VLOOKUP($A364,koronahun!$A:$AM,39,FALSE),"")</f>
        <v>2144.4285714285716</v>
      </c>
      <c r="AN364" s="11">
        <f ca="1">IFERROR(__xludf.DUMMYFUNCTION("""COMPUTED_VALUE"""),44256)</f>
        <v>44256</v>
      </c>
      <c r="AO364" s="12">
        <f ca="1">IFERROR(VLOOKUP(AN364,koronahun!A:B,2,FALSE),"")</f>
        <v>432925</v>
      </c>
      <c r="AP364" s="11">
        <f t="shared" ca="1" si="2"/>
        <v>44256</v>
      </c>
      <c r="AQ364" s="11">
        <f ca="1">IFERROR(__xludf.DUMMYFUNCTION("""COMPUTED_VALUE"""),44256)</f>
        <v>44256</v>
      </c>
      <c r="AR364" s="11">
        <v>44255</v>
      </c>
      <c r="AS364" s="11">
        <f t="shared" si="3"/>
        <v>44255</v>
      </c>
      <c r="AT364" s="11">
        <f ca="1">IFERROR(__xludf.DUMMYFUNCTION("""COMPUTED_VALUE"""),44254)</f>
        <v>44254</v>
      </c>
    </row>
    <row r="365" spans="1:46" ht="13">
      <c r="A365" s="11">
        <v>44253</v>
      </c>
      <c r="B365">
        <f>IFERROR(VLOOKUP($A365,koronahun!$A:$AM,2,FALSE),"")</f>
        <v>419182</v>
      </c>
      <c r="C365">
        <f>IFERROR(VLOOKUP($A365,koronahun!$A:$AM,3,FALSE),"")</f>
        <v>4668</v>
      </c>
      <c r="D365">
        <f>IFERROR(VLOOKUP($A365,koronahun!$A:$AM,4,FALSE),"")</f>
        <v>14795</v>
      </c>
      <c r="E365">
        <f>IFERROR(VLOOKUP($A365,koronahun!$A:$AM,5,FALSE),"")</f>
        <v>317899</v>
      </c>
      <c r="F365">
        <f>IFERROR(VLOOKUP($A365,koronahun!$A:$AM,6,FALSE),"")</f>
        <v>3604898</v>
      </c>
      <c r="G365" s="12">
        <f>IFERROR(VLOOKUP($A365,koronahun!$A:$AM,7,FALSE),"")</f>
        <v>367846.73469387752</v>
      </c>
      <c r="H365">
        <f>IFERROR(VLOOKUP($A365,koronahun!$A:$AM,8,FALSE),"")</f>
        <v>0</v>
      </c>
      <c r="I365" s="13">
        <f>IFERROR(VLOOKUP($A365,koronahun!$A:$AM,9,FALSE),"")</f>
        <v>1.1261380797753514E-2</v>
      </c>
      <c r="J365" s="13">
        <f>IFERROR(VLOOKUP($A365,koronahun!$A:$AM,10,FALSE),"")</f>
        <v>0.11628123736094613</v>
      </c>
      <c r="K365" s="13">
        <f>IFERROR(VLOOKUP($A365,koronahun!$A:$AM,11,FALSE),"")</f>
        <v>7.5823767318748828E-3</v>
      </c>
      <c r="L365">
        <f>IFERROR(VLOOKUP($A365,koronahun!$A:$AM,12,FALSE),"")</f>
        <v>86488</v>
      </c>
      <c r="M365" s="13">
        <f>IFERROR(VLOOKUP($A365,koronahun!$A:$AM,13,FALSE),"")</f>
        <v>3.5294931557175641E-2</v>
      </c>
      <c r="N365" s="13">
        <f>IFERROR(VLOOKUP($A365,koronahun!$A:$AM,14,FALSE),"")</f>
        <v>0.75837941514664275</v>
      </c>
      <c r="O365">
        <f>IFERROR(VLOOKUP($A365,koronahun!$A:$AM,15,FALSE),"")</f>
        <v>35303</v>
      </c>
      <c r="P365">
        <f>IFERROR(VLOOKUP($A365,koronahun!$A:$AM,16,FALSE),"")</f>
        <v>27128</v>
      </c>
      <c r="Q365" s="13">
        <f>IFERROR(VLOOKUP($A365,koronahun!$A:$AM,17,FALSE),"")</f>
        <v>0.17207313476850486</v>
      </c>
      <c r="R365">
        <f>IFERROR(VLOOKUP($A365,koronahun!$A:$AM,18,FALSE),"")</f>
        <v>123</v>
      </c>
      <c r="S365">
        <f>IFERROR(VLOOKUP($A365,koronahun!$A:$AM,19,FALSE),"")</f>
        <v>2118</v>
      </c>
      <c r="T365">
        <f>IFERROR(VLOOKUP($A365,koronahun!$A:$AM,20,FALSE),"")</f>
        <v>5027</v>
      </c>
      <c r="U365">
        <f>IFERROR(VLOOKUP($A365,koronahun!$A:$AM,21,FALSE),"")</f>
        <v>451</v>
      </c>
      <c r="V365" s="13">
        <f>IFERROR(VLOOKUP($A365,koronahun!$A:$AM,22,FALSE),"")</f>
        <v>0.2063256532961816</v>
      </c>
      <c r="W365">
        <f>IFERROR(VLOOKUP($A365,koronahun!$A:$AM,23,FALSE),"")</f>
        <v>191</v>
      </c>
      <c r="X365">
        <f>IFERROR(VLOOKUP($A365,koronahun!$A:$AM,24,FALSE),"")</f>
        <v>40</v>
      </c>
      <c r="Y365" s="14">
        <f>IFERROR(VLOOKUP($A365,koronahun!$A:$AM,25,FALSE),"")</f>
        <v>5.8123670335769123E-2</v>
      </c>
      <c r="Z365" s="14">
        <f>IFERROR(VLOOKUP($A365,koronahun!$A:$AM,26,FALSE),"")</f>
        <v>8.9715536105032828E-2</v>
      </c>
      <c r="AA365" s="14">
        <f>IFERROR(VLOOKUP($A365,koronahun!$A:$AM,27,FALSE),"")</f>
        <v>1.6490546296988267</v>
      </c>
      <c r="AB365" s="14">
        <f>IFERROR(VLOOKUP($A365,koronahun!$A:$AM,28,FALSE),"")</f>
        <v>1.5625037583273487</v>
      </c>
      <c r="AC365" s="14">
        <f>IFERROR(VLOOKUP($A365,koronahun!$A:$AM,29,FALSE),"")</f>
        <v>3152.2857142857142</v>
      </c>
      <c r="AD365" s="14">
        <f>IFERROR(VLOOKUP($A365,koronahun!$A:$AM,30,FALSE),"")</f>
        <v>92.857142857142861</v>
      </c>
      <c r="AE365" s="14">
        <f>IFERROR(VLOOKUP($A365,koronahun!$A:$AM,31,FALSE),"")</f>
        <v>21051.428571428572</v>
      </c>
      <c r="AF365" s="13">
        <f>IFERROR(VLOOKUP($A365,koronahun!$A:$AM,32,FALSE),"")</f>
        <v>0.15167287390382342</v>
      </c>
      <c r="AG365">
        <f>IFERROR(VLOOKUP($A365,koronahun!$A:$AM,33,FALSE),"")</f>
        <v>521283</v>
      </c>
      <c r="AH365">
        <f>IFERROR(VLOOKUP($A365,koronahun!$A:$AM,34,FALSE),"")</f>
        <v>13210</v>
      </c>
      <c r="AI365">
        <f>IFERROR(VLOOKUP($A365,koronahun!$A:$AM,35,FALSE),"")</f>
        <v>18494.571428571428</v>
      </c>
      <c r="AJ365">
        <f>IFERROR(VLOOKUP($A365,koronahun!$A:$AM,36,FALSE),"")</f>
        <v>240622</v>
      </c>
      <c r="AK365">
        <f>IFERROR(VLOOKUP($A365,koronahun!$A:$AM,37,FALSE),"")</f>
        <v>29549</v>
      </c>
      <c r="AL365">
        <f>IFERROR(VLOOKUP($A365,koronahun!$A:$AM,38,FALSE),"")</f>
        <v>12598.571428571429</v>
      </c>
      <c r="AM365" s="14">
        <f>IFERROR(VLOOKUP($A365,koronahun!$A:$AM,39,FALSE),"")</f>
        <v>2172.8571428571427</v>
      </c>
      <c r="AN365" s="11">
        <f ca="1">IFERROR(__xludf.DUMMYFUNCTION("""COMPUTED_VALUE"""),44257)</f>
        <v>44257</v>
      </c>
      <c r="AO365" s="12">
        <f ca="1">IFERROR(VLOOKUP(AN365,koronahun!A:B,2,FALSE),"")</f>
        <v>435689</v>
      </c>
      <c r="AP365" s="11">
        <f t="shared" ca="1" si="2"/>
        <v>44257</v>
      </c>
      <c r="AQ365" s="11">
        <f ca="1">IFERROR(__xludf.DUMMYFUNCTION("""COMPUTED_VALUE"""),44257)</f>
        <v>44257</v>
      </c>
      <c r="AR365" s="11">
        <v>44254</v>
      </c>
      <c r="AS365" s="11">
        <f t="shared" si="3"/>
        <v>44254</v>
      </c>
      <c r="AT365" s="11">
        <f ca="1">IFERROR(__xludf.DUMMYFUNCTION("""COMPUTED_VALUE"""),44253)</f>
        <v>44253</v>
      </c>
    </row>
    <row r="366" spans="1:46" ht="13">
      <c r="A366" s="11">
        <v>44252</v>
      </c>
      <c r="B366">
        <f>IFERROR(VLOOKUP($A366,koronahun!$A:$AM,2,FALSE),"")</f>
        <v>414514</v>
      </c>
      <c r="C366">
        <f>IFERROR(VLOOKUP($A366,koronahun!$A:$AM,3,FALSE),"")</f>
        <v>4385</v>
      </c>
      <c r="D366">
        <f>IFERROR(VLOOKUP($A366,koronahun!$A:$AM,4,FALSE),"")</f>
        <v>14672</v>
      </c>
      <c r="E366">
        <f>IFERROR(VLOOKUP($A366,koronahun!$A:$AM,5,FALSE),"")</f>
        <v>315781</v>
      </c>
      <c r="F366">
        <f>IFERROR(VLOOKUP($A366,koronahun!$A:$AM,6,FALSE),"")</f>
        <v>3577770</v>
      </c>
      <c r="G366" s="12">
        <f>IFERROR(VLOOKUP($A366,koronahun!$A:$AM,7,FALSE),"")</f>
        <v>365078.57142857142</v>
      </c>
      <c r="H366">
        <f>IFERROR(VLOOKUP($A366,koronahun!$A:$AM,8,FALSE),"")</f>
        <v>0</v>
      </c>
      <c r="I366" s="13">
        <f>IFERROR(VLOOKUP($A366,koronahun!$A:$AM,9,FALSE),"")</f>
        <v>1.0691757959081167E-2</v>
      </c>
      <c r="J366" s="13">
        <f>IFERROR(VLOOKUP($A366,koronahun!$A:$AM,10,FALSE),"")</f>
        <v>0.11585820217621591</v>
      </c>
      <c r="K366" s="13">
        <f>IFERROR(VLOOKUP($A366,koronahun!$A:$AM,11,FALSE),"")</f>
        <v>7.181060175476971E-3</v>
      </c>
      <c r="L366">
        <f>IFERROR(VLOOKUP($A366,koronahun!$A:$AM,12,FALSE),"")</f>
        <v>84061</v>
      </c>
      <c r="M366" s="13">
        <f>IFERROR(VLOOKUP($A366,koronahun!$A:$AM,13,FALSE),"")</f>
        <v>3.5395668180085597E-2</v>
      </c>
      <c r="N366" s="13">
        <f>IFERROR(VLOOKUP($A366,koronahun!$A:$AM,14,FALSE),"")</f>
        <v>0.76181021630150003</v>
      </c>
      <c r="O366">
        <f>IFERROR(VLOOKUP($A366,koronahun!$A:$AM,15,FALSE),"")</f>
        <v>29389</v>
      </c>
      <c r="P366">
        <f>IFERROR(VLOOKUP($A366,koronahun!$A:$AM,16,FALSE),"")</f>
        <v>25509</v>
      </c>
      <c r="Q366" s="13">
        <f>IFERROR(VLOOKUP($A366,koronahun!$A:$AM,17,FALSE),"")</f>
        <v>0.17190011368536595</v>
      </c>
      <c r="R366">
        <f>IFERROR(VLOOKUP($A366,koronahun!$A:$AM,18,FALSE),"")</f>
        <v>120</v>
      </c>
      <c r="S366">
        <f>IFERROR(VLOOKUP($A366,koronahun!$A:$AM,19,FALSE),"")</f>
        <v>2331</v>
      </c>
      <c r="T366">
        <f>IFERROR(VLOOKUP($A366,koronahun!$A:$AM,20,FALSE),"")</f>
        <v>4836</v>
      </c>
      <c r="U366">
        <f>IFERROR(VLOOKUP($A366,koronahun!$A:$AM,21,FALSE),"")</f>
        <v>411</v>
      </c>
      <c r="V366" s="13">
        <f>IFERROR(VLOOKUP($A366,koronahun!$A:$AM,22,FALSE),"")</f>
        <v>0.20279411551841434</v>
      </c>
      <c r="W366">
        <f>IFERROR(VLOOKUP($A366,koronahun!$A:$AM,23,FALSE),"")</f>
        <v>483</v>
      </c>
      <c r="X366">
        <f>IFERROR(VLOOKUP($A366,koronahun!$A:$AM,24,FALSE),"")</f>
        <v>4</v>
      </c>
      <c r="Y366" s="14">
        <f>IFERROR(VLOOKUP($A366,koronahun!$A:$AM,25,FALSE),"")</f>
        <v>5.7529651086710841E-2</v>
      </c>
      <c r="Z366" s="14">
        <f>IFERROR(VLOOKUP($A366,koronahun!$A:$AM,26,FALSE),"")</f>
        <v>8.4987593052109178E-2</v>
      </c>
      <c r="AA366" s="14">
        <f>IFERROR(VLOOKUP($A366,koronahun!$A:$AM,27,FALSE),"")</f>
        <v>1.686779716825815</v>
      </c>
      <c r="AB366" s="14">
        <f>IFERROR(VLOOKUP($A366,koronahun!$A:$AM,28,FALSE),"")</f>
        <v>1.514867837731442</v>
      </c>
      <c r="AC366" s="14">
        <f>IFERROR(VLOOKUP($A366,koronahun!$A:$AM,29,FALSE),"")</f>
        <v>2927.2857142857142</v>
      </c>
      <c r="AD366" s="14">
        <f>IFERROR(VLOOKUP($A366,koronahun!$A:$AM,30,FALSE),"")</f>
        <v>91</v>
      </c>
      <c r="AE366" s="14">
        <f>IFERROR(VLOOKUP($A366,koronahun!$A:$AM,31,FALSE),"")</f>
        <v>20413.142857142859</v>
      </c>
      <c r="AF366" s="13">
        <f>IFERROR(VLOOKUP($A366,koronahun!$A:$AM,32,FALSE),"")</f>
        <v>0.14659043011455147</v>
      </c>
      <c r="AG366">
        <f>IFERROR(VLOOKUP($A366,koronahun!$A:$AM,33,FALSE),"")</f>
        <v>508073</v>
      </c>
      <c r="AH366">
        <f>IFERROR(VLOOKUP($A366,koronahun!$A:$AM,34,FALSE),"")</f>
        <v>37069</v>
      </c>
      <c r="AI366">
        <f>IFERROR(VLOOKUP($A366,koronahun!$A:$AM,35,FALSE),"")</f>
        <v>20436</v>
      </c>
      <c r="AJ366">
        <f>IFERROR(VLOOKUP($A366,koronahun!$A:$AM,36,FALSE),"")</f>
        <v>211073</v>
      </c>
      <c r="AK366">
        <f>IFERROR(VLOOKUP($A366,koronahun!$A:$AM,37,FALSE),"")</f>
        <v>2227</v>
      </c>
      <c r="AL366">
        <f>IFERROR(VLOOKUP($A366,koronahun!$A:$AM,38,FALSE),"")</f>
        <v>10007.142857142857</v>
      </c>
      <c r="AM366" s="14">
        <f>IFERROR(VLOOKUP($A366,koronahun!$A:$AM,39,FALSE),"")</f>
        <v>2059.7142857142858</v>
      </c>
      <c r="AN366" s="11">
        <f ca="1">IFERROR(__xludf.DUMMYFUNCTION("""COMPUTED_VALUE"""),44258)</f>
        <v>44258</v>
      </c>
      <c r="AO366" s="12">
        <f ca="1">IFERROR(VLOOKUP(AN366,koronahun!A:B,2,FALSE),"")</f>
        <v>439900</v>
      </c>
      <c r="AP366" s="11">
        <f t="shared" ca="1" si="2"/>
        <v>44258</v>
      </c>
      <c r="AQ366" s="11">
        <f ca="1">IFERROR(__xludf.DUMMYFUNCTION("""COMPUTED_VALUE"""),44258)</f>
        <v>44258</v>
      </c>
      <c r="AR366" s="11">
        <v>44253</v>
      </c>
      <c r="AS366" s="11">
        <f t="shared" si="3"/>
        <v>44253</v>
      </c>
      <c r="AT366" s="11">
        <f ca="1">IFERROR(__xludf.DUMMYFUNCTION("""COMPUTED_VALUE"""),44252)</f>
        <v>44252</v>
      </c>
    </row>
    <row r="367" spans="1:46" ht="13">
      <c r="A367" s="11">
        <v>44251</v>
      </c>
      <c r="B367">
        <f>IFERROR(VLOOKUP($A367,koronahun!$A:$AM,2,FALSE),"")</f>
        <v>410129</v>
      </c>
      <c r="C367">
        <f>IFERROR(VLOOKUP($A367,koronahun!$A:$AM,3,FALSE),"")</f>
        <v>2855</v>
      </c>
      <c r="D367">
        <f>IFERROR(VLOOKUP($A367,koronahun!$A:$AM,4,FALSE),"")</f>
        <v>14552</v>
      </c>
      <c r="E367">
        <f>IFERROR(VLOOKUP($A367,koronahun!$A:$AM,5,FALSE),"")</f>
        <v>313450</v>
      </c>
      <c r="F367">
        <f>IFERROR(VLOOKUP($A367,koronahun!$A:$AM,6,FALSE),"")</f>
        <v>3552261</v>
      </c>
      <c r="G367" s="12">
        <f>IFERROR(VLOOKUP($A367,koronahun!$A:$AM,7,FALSE),"")</f>
        <v>362475.61224489793</v>
      </c>
      <c r="H367">
        <f>IFERROR(VLOOKUP($A367,koronahun!$A:$AM,8,FALSE),"")</f>
        <v>0</v>
      </c>
      <c r="I367" s="13">
        <f>IFERROR(VLOOKUP($A367,koronahun!$A:$AM,9,FALSE),"")</f>
        <v>7.0100227365360911E-3</v>
      </c>
      <c r="J367" s="13">
        <f>IFERROR(VLOOKUP($A367,koronahun!$A:$AM,10,FALSE),"")</f>
        <v>0.11545576183731995</v>
      </c>
      <c r="K367" s="13">
        <f>IFERROR(VLOOKUP($A367,koronahun!$A:$AM,11,FALSE),"")</f>
        <v>6.6307495164163403E-3</v>
      </c>
      <c r="L367">
        <f>IFERROR(VLOOKUP($A367,koronahun!$A:$AM,12,FALSE),"")</f>
        <v>82127</v>
      </c>
      <c r="M367" s="13">
        <f>IFERROR(VLOOKUP($A367,koronahun!$A:$AM,13,FALSE),"")</f>
        <v>3.5481519229315653E-2</v>
      </c>
      <c r="N367" s="13">
        <f>IFERROR(VLOOKUP($A367,koronahun!$A:$AM,14,FALSE),"")</f>
        <v>0.76427172913888064</v>
      </c>
      <c r="O367">
        <f>IFERROR(VLOOKUP($A367,koronahun!$A:$AM,15,FALSE),"")</f>
        <v>27737</v>
      </c>
      <c r="P367">
        <f>IFERROR(VLOOKUP($A367,koronahun!$A:$AM,16,FALSE),"")</f>
        <v>23399</v>
      </c>
      <c r="Q367" s="13">
        <f>IFERROR(VLOOKUP($A367,koronahun!$A:$AM,17,FALSE),"")</f>
        <v>0.12201376127184922</v>
      </c>
      <c r="R367">
        <f>IFERROR(VLOOKUP($A367,koronahun!$A:$AM,18,FALSE),"")</f>
        <v>102</v>
      </c>
      <c r="S367">
        <f>IFERROR(VLOOKUP($A367,koronahun!$A:$AM,19,FALSE),"")</f>
        <v>2602</v>
      </c>
      <c r="T367">
        <f>IFERROR(VLOOKUP($A367,koronahun!$A:$AM,20,FALSE),"")</f>
        <v>4353</v>
      </c>
      <c r="U367">
        <f>IFERROR(VLOOKUP($A367,koronahun!$A:$AM,21,FALSE),"")</f>
        <v>407</v>
      </c>
      <c r="V367" s="13">
        <f>IFERROR(VLOOKUP($A367,koronahun!$A:$AM,22,FALSE),"")</f>
        <v>0.20024675163180367</v>
      </c>
      <c r="W367">
        <f>IFERROR(VLOOKUP($A367,koronahun!$A:$AM,23,FALSE),"")</f>
        <v>-229</v>
      </c>
      <c r="X367">
        <f>IFERROR(VLOOKUP($A367,koronahun!$A:$AM,24,FALSE),"")</f>
        <v>11</v>
      </c>
      <c r="Y367" s="14">
        <f>IFERROR(VLOOKUP($A367,koronahun!$A:$AM,25,FALSE),"")</f>
        <v>5.3003275414906181E-2</v>
      </c>
      <c r="Z367" s="14">
        <f>IFERROR(VLOOKUP($A367,koronahun!$A:$AM,26,FALSE),"")</f>
        <v>9.3498736503560761E-2</v>
      </c>
      <c r="AA367" s="14">
        <f>IFERROR(VLOOKUP($A367,koronahun!$A:$AM,27,FALSE),"")</f>
        <v>1.6992919243524245</v>
      </c>
      <c r="AB367" s="14">
        <f>IFERROR(VLOOKUP($A367,koronahun!$A:$AM,28,FALSE),"")</f>
        <v>1.4494256111387036</v>
      </c>
      <c r="AC367" s="14">
        <f>IFERROR(VLOOKUP($A367,koronahun!$A:$AM,29,FALSE),"")</f>
        <v>2708.4285714285716</v>
      </c>
      <c r="AD367" s="14">
        <f>IFERROR(VLOOKUP($A367,koronahun!$A:$AM,30,FALSE),"")</f>
        <v>88.714285714285708</v>
      </c>
      <c r="AE367" s="14">
        <f>IFERROR(VLOOKUP($A367,koronahun!$A:$AM,31,FALSE),"")</f>
        <v>19748.285714285714</v>
      </c>
      <c r="AF367" s="13">
        <f>IFERROR(VLOOKUP($A367,koronahun!$A:$AM,32,FALSE),"")</f>
        <v>0.14157637476017734</v>
      </c>
      <c r="AG367">
        <f>IFERROR(VLOOKUP($A367,koronahun!$A:$AM,33,FALSE),"")</f>
        <v>471004</v>
      </c>
      <c r="AH367">
        <f>IFERROR(VLOOKUP($A367,koronahun!$A:$AM,34,FALSE),"")</f>
        <v>13908</v>
      </c>
      <c r="AI367">
        <f>IFERROR(VLOOKUP($A367,koronahun!$A:$AM,35,FALSE),"")</f>
        <v>17439.571428571428</v>
      </c>
      <c r="AJ367">
        <f>IFERROR(VLOOKUP($A367,koronahun!$A:$AM,36,FALSE),"")</f>
        <v>208846</v>
      </c>
      <c r="AK367">
        <f>IFERROR(VLOOKUP($A367,koronahun!$A:$AM,37,FALSE),"")</f>
        <v>3126</v>
      </c>
      <c r="AL367">
        <f>IFERROR(VLOOKUP($A367,koronahun!$A:$AM,38,FALSE),"")</f>
        <v>10574.571428571429</v>
      </c>
      <c r="AM367" s="14">
        <f>IFERROR(VLOOKUP($A367,koronahun!$A:$AM,39,FALSE),"")</f>
        <v>1923</v>
      </c>
      <c r="AN367" s="11">
        <f ca="1">IFERROR(__xludf.DUMMYFUNCTION("""COMPUTED_VALUE"""),44259)</f>
        <v>44259</v>
      </c>
      <c r="AO367" s="12">
        <f ca="1">IFERROR(VLOOKUP(AN367,koronahun!A:B,2,FALSE),"")</f>
        <v>446178</v>
      </c>
      <c r="AP367" s="11">
        <f t="shared" ca="1" si="2"/>
        <v>44259</v>
      </c>
      <c r="AQ367" s="11">
        <f ca="1">IFERROR(__xludf.DUMMYFUNCTION("""COMPUTED_VALUE"""),44259)</f>
        <v>44259</v>
      </c>
      <c r="AR367" s="11">
        <v>44252</v>
      </c>
      <c r="AS367" s="11">
        <f t="shared" si="3"/>
        <v>44252</v>
      </c>
      <c r="AT367" s="11">
        <f ca="1">IFERROR(__xludf.DUMMYFUNCTION("""COMPUTED_VALUE"""),44251)</f>
        <v>44251</v>
      </c>
    </row>
    <row r="368" spans="1:46" ht="13">
      <c r="A368" s="11">
        <v>44250</v>
      </c>
      <c r="B368">
        <f>IFERROR(VLOOKUP($A368,koronahun!$A:$AM,2,FALSE),"")</f>
        <v>407274</v>
      </c>
      <c r="C368">
        <f>IFERROR(VLOOKUP($A368,koronahun!$A:$AM,3,FALSE),"")</f>
        <v>1628</v>
      </c>
      <c r="D368">
        <f>IFERROR(VLOOKUP($A368,koronahun!$A:$AM,4,FALSE),"")</f>
        <v>14450</v>
      </c>
      <c r="E368">
        <f>IFERROR(VLOOKUP($A368,koronahun!$A:$AM,5,FALSE),"")</f>
        <v>310848</v>
      </c>
      <c r="F368">
        <f>IFERROR(VLOOKUP($A368,koronahun!$A:$AM,6,FALSE),"")</f>
        <v>3528862</v>
      </c>
      <c r="G368" s="12">
        <f>IFERROR(VLOOKUP($A368,koronahun!$A:$AM,7,FALSE),"")</f>
        <v>360087.95918367343</v>
      </c>
      <c r="H368">
        <f>IFERROR(VLOOKUP($A368,koronahun!$A:$AM,8,FALSE),"")</f>
        <v>0</v>
      </c>
      <c r="I368" s="13">
        <f>IFERROR(VLOOKUP($A368,koronahun!$A:$AM,9,FALSE),"")</f>
        <v>4.0133515429709651E-3</v>
      </c>
      <c r="J368" s="13">
        <f>IFERROR(VLOOKUP($A368,koronahun!$A:$AM,10,FALSE),"")</f>
        <v>0.11541227738574078</v>
      </c>
      <c r="K368" s="13">
        <f>IFERROR(VLOOKUP($A368,koronahun!$A:$AM,11,FALSE),"")</f>
        <v>2.6497811075096261E-3</v>
      </c>
      <c r="L368">
        <f>IFERROR(VLOOKUP($A368,koronahun!$A:$AM,12,FALSE),"")</f>
        <v>81976</v>
      </c>
      <c r="M368" s="13">
        <f>IFERROR(VLOOKUP($A368,koronahun!$A:$AM,13,FALSE),"")</f>
        <v>3.5479799839911216E-2</v>
      </c>
      <c r="N368" s="13">
        <f>IFERROR(VLOOKUP($A368,koronahun!$A:$AM,14,FALSE),"")</f>
        <v>0.76324047201638212</v>
      </c>
      <c r="O368">
        <f>IFERROR(VLOOKUP($A368,koronahun!$A:$AM,15,FALSE),"")</f>
        <v>26549</v>
      </c>
      <c r="P368">
        <f>IFERROR(VLOOKUP($A368,koronahun!$A:$AM,16,FALSE),"")</f>
        <v>9326</v>
      </c>
      <c r="Q368" s="13">
        <f>IFERROR(VLOOKUP($A368,koronahun!$A:$AM,17,FALSE),"")</f>
        <v>0.17456573021659877</v>
      </c>
      <c r="R368">
        <f>IFERROR(VLOOKUP($A368,koronahun!$A:$AM,18,FALSE),"")</f>
        <v>103</v>
      </c>
      <c r="S368">
        <f>IFERROR(VLOOKUP($A368,koronahun!$A:$AM,19,FALSE),"")</f>
        <v>2198</v>
      </c>
      <c r="T368">
        <f>IFERROR(VLOOKUP($A368,koronahun!$A:$AM,20,FALSE),"")</f>
        <v>4582</v>
      </c>
      <c r="U368">
        <f>IFERROR(VLOOKUP($A368,koronahun!$A:$AM,21,FALSE),"")</f>
        <v>396</v>
      </c>
      <c r="V368" s="13">
        <f>IFERROR(VLOOKUP($A368,koronahun!$A:$AM,22,FALSE),"")</f>
        <v>0.2012797281437067</v>
      </c>
      <c r="W368">
        <f>IFERROR(VLOOKUP($A368,koronahun!$A:$AM,23,FALSE),"")</f>
        <v>93</v>
      </c>
      <c r="X368">
        <f>IFERROR(VLOOKUP($A368,koronahun!$A:$AM,24,FALSE),"")</f>
        <v>2</v>
      </c>
      <c r="Y368" s="14">
        <f>IFERROR(VLOOKUP($A368,koronahun!$A:$AM,25,FALSE),"")</f>
        <v>5.5894408119449596E-2</v>
      </c>
      <c r="Z368" s="14">
        <f>IFERROR(VLOOKUP($A368,koronahun!$A:$AM,26,FALSE),"")</f>
        <v>8.6425141859450022E-2</v>
      </c>
      <c r="AA368" s="14">
        <f>IFERROR(VLOOKUP($A368,koronahun!$A:$AM,27,FALSE),"")</f>
        <v>1.621234386480529</v>
      </c>
      <c r="AB368" s="14">
        <f>IFERROR(VLOOKUP($A368,koronahun!$A:$AM,28,FALSE),"")</f>
        <v>1.3713753306214476</v>
      </c>
      <c r="AC368" s="14">
        <f>IFERROR(VLOOKUP($A368,koronahun!$A:$AM,29,FALSE),"")</f>
        <v>2521.7142857142858</v>
      </c>
      <c r="AD368" s="14">
        <f>IFERROR(VLOOKUP($A368,koronahun!$A:$AM,30,FALSE),"")</f>
        <v>87.571428571428569</v>
      </c>
      <c r="AE368" s="14">
        <f>IFERROR(VLOOKUP($A368,koronahun!$A:$AM,31,FALSE),"")</f>
        <v>19168.285714285714</v>
      </c>
      <c r="AF368" s="13">
        <f>IFERROR(VLOOKUP($A368,koronahun!$A:$AM,32,FALSE),"")</f>
        <v>0.13558090942191717</v>
      </c>
      <c r="AG368">
        <f>IFERROR(VLOOKUP($A368,koronahun!$A:$AM,33,FALSE),"")</f>
        <v>457096</v>
      </c>
      <c r="AH368">
        <f>IFERROR(VLOOKUP($A368,koronahun!$A:$AM,34,FALSE),"")</f>
        <v>3639</v>
      </c>
      <c r="AI368">
        <f>IFERROR(VLOOKUP($A368,koronahun!$A:$AM,35,FALSE),"")</f>
        <v>16448.285714285714</v>
      </c>
      <c r="AJ368">
        <f>IFERROR(VLOOKUP($A368,koronahun!$A:$AM,36,FALSE),"")</f>
        <v>205720</v>
      </c>
      <c r="AK368">
        <f>IFERROR(VLOOKUP($A368,koronahun!$A:$AM,37,FALSE),"")</f>
        <v>4715</v>
      </c>
      <c r="AL368">
        <f>IFERROR(VLOOKUP($A368,koronahun!$A:$AM,38,FALSE),"")</f>
        <v>10589.571428571429</v>
      </c>
      <c r="AM368" s="14">
        <f>IFERROR(VLOOKUP($A368,koronahun!$A:$AM,39,FALSE),"")</f>
        <v>1725</v>
      </c>
      <c r="AN368" s="11">
        <f ca="1">IFERROR(__xludf.DUMMYFUNCTION("""COMPUTED_VALUE"""),44260)</f>
        <v>44260</v>
      </c>
      <c r="AO368" s="12">
        <f ca="1">IFERROR(VLOOKUP(AN368,koronahun!A:B,2,FALSE),"")</f>
        <v>452547</v>
      </c>
      <c r="AP368" s="11">
        <f t="shared" ca="1" si="2"/>
        <v>44260</v>
      </c>
      <c r="AQ368" s="11">
        <f ca="1">IFERROR(__xludf.DUMMYFUNCTION("""COMPUTED_VALUE"""),44260)</f>
        <v>44260</v>
      </c>
      <c r="AR368" s="11">
        <v>44251</v>
      </c>
      <c r="AS368" s="11">
        <f t="shared" si="3"/>
        <v>44251</v>
      </c>
      <c r="AT368" s="11">
        <f ca="1">IFERROR(__xludf.DUMMYFUNCTION("""COMPUTED_VALUE"""),44250)</f>
        <v>44250</v>
      </c>
    </row>
    <row r="369" spans="1:46" ht="13">
      <c r="A369" s="11">
        <v>44249</v>
      </c>
      <c r="B369">
        <f>IFERROR(VLOOKUP($A369,koronahun!$A:$AM,2,FALSE),"")</f>
        <v>405646</v>
      </c>
      <c r="C369">
        <f>IFERROR(VLOOKUP($A369,koronahun!$A:$AM,3,FALSE),"")</f>
        <v>2623</v>
      </c>
      <c r="D369">
        <f>IFERROR(VLOOKUP($A369,koronahun!$A:$AM,4,FALSE),"")</f>
        <v>14347</v>
      </c>
      <c r="E369">
        <f>IFERROR(VLOOKUP($A369,koronahun!$A:$AM,5,FALSE),"")</f>
        <v>308650</v>
      </c>
      <c r="F369">
        <f>IFERROR(VLOOKUP($A369,koronahun!$A:$AM,6,FALSE),"")</f>
        <v>3519536</v>
      </c>
      <c r="G369" s="12">
        <f>IFERROR(VLOOKUP($A369,koronahun!$A:$AM,7,FALSE),"")</f>
        <v>359136.32653061219</v>
      </c>
      <c r="H369">
        <f>IFERROR(VLOOKUP($A369,koronahun!$A:$AM,8,FALSE),"")</f>
        <v>0</v>
      </c>
      <c r="I369" s="13">
        <f>IFERROR(VLOOKUP($A369,koronahun!$A:$AM,9,FALSE),"")</f>
        <v>6.5083134213183864E-3</v>
      </c>
      <c r="J369" s="13">
        <f>IFERROR(VLOOKUP($A369,koronahun!$A:$AM,10,FALSE),"")</f>
        <v>0.11525553368398561</v>
      </c>
      <c r="K369" s="13">
        <f>IFERROR(VLOOKUP($A369,koronahun!$A:$AM,11,FALSE),"")</f>
        <v>4.5453105381847471E-3</v>
      </c>
      <c r="L369">
        <f>IFERROR(VLOOKUP($A369,koronahun!$A:$AM,12,FALSE),"")</f>
        <v>82649</v>
      </c>
      <c r="M369" s="13">
        <f>IFERROR(VLOOKUP($A369,koronahun!$A:$AM,13,FALSE),"")</f>
        <v>3.5368276773344247E-2</v>
      </c>
      <c r="N369" s="13">
        <f>IFERROR(VLOOKUP($A369,koronahun!$A:$AM,14,FALSE),"")</f>
        <v>0.76088510671866605</v>
      </c>
      <c r="O369">
        <f>IFERROR(VLOOKUP($A369,koronahun!$A:$AM,15,FALSE),"")</f>
        <v>25589</v>
      </c>
      <c r="P369">
        <f>IFERROR(VLOOKUP($A369,koronahun!$A:$AM,16,FALSE),"")</f>
        <v>15925</v>
      </c>
      <c r="Q369" s="13">
        <f>IFERROR(VLOOKUP($A369,koronahun!$A:$AM,17,FALSE),"")</f>
        <v>0.16470957613814757</v>
      </c>
      <c r="R369">
        <f>IFERROR(VLOOKUP($A369,koronahun!$A:$AM,18,FALSE),"")</f>
        <v>48</v>
      </c>
      <c r="S369">
        <f>IFERROR(VLOOKUP($A369,koronahun!$A:$AM,19,FALSE),"")</f>
        <v>2029</v>
      </c>
      <c r="T369">
        <f>IFERROR(VLOOKUP($A369,koronahun!$A:$AM,20,FALSE),"")</f>
        <v>4489</v>
      </c>
      <c r="U369">
        <f>IFERROR(VLOOKUP($A369,koronahun!$A:$AM,21,FALSE),"")</f>
        <v>394</v>
      </c>
      <c r="V369" s="13">
        <f>IFERROR(VLOOKUP($A369,koronahun!$A:$AM,22,FALSE),"")</f>
        <v>0.20374661650798973</v>
      </c>
      <c r="W369">
        <f>IFERROR(VLOOKUP($A369,koronahun!$A:$AM,23,FALSE),"")</f>
        <v>256</v>
      </c>
      <c r="X369">
        <f>IFERROR(VLOOKUP($A369,koronahun!$A:$AM,24,FALSE),"")</f>
        <v>28</v>
      </c>
      <c r="Y369" s="14">
        <f>IFERROR(VLOOKUP($A369,koronahun!$A:$AM,25,FALSE),"")</f>
        <v>5.4314026787982916E-2</v>
      </c>
      <c r="Z369" s="14">
        <f>IFERROR(VLOOKUP($A369,koronahun!$A:$AM,26,FALSE),"")</f>
        <v>8.7770104700378701E-2</v>
      </c>
      <c r="AA369" s="14">
        <f>IFERROR(VLOOKUP($A369,koronahun!$A:$AM,27,FALSE),"")</f>
        <v>1.5117552045944005</v>
      </c>
      <c r="AB369" s="14">
        <f>IFERROR(VLOOKUP($A369,koronahun!$A:$AM,28,FALSE),"")</f>
        <v>1.3044357338957726</v>
      </c>
      <c r="AC369" s="14">
        <f>IFERROR(VLOOKUP($A369,koronahun!$A:$AM,29,FALSE),"")</f>
        <v>2406.7142857142858</v>
      </c>
      <c r="AD369" s="14">
        <f>IFERROR(VLOOKUP($A369,koronahun!$A:$AM,30,FALSE),"")</f>
        <v>85</v>
      </c>
      <c r="AE369" s="14">
        <f>IFERROR(VLOOKUP($A369,koronahun!$A:$AM,31,FALSE),"")</f>
        <v>18725.571428571428</v>
      </c>
      <c r="AF369" s="13">
        <f>IFERROR(VLOOKUP($A369,koronahun!$A:$AM,32,FALSE),"")</f>
        <v>0.12952385828381444</v>
      </c>
      <c r="AG369">
        <f>IFERROR(VLOOKUP($A369,koronahun!$A:$AM,33,FALSE),"")</f>
        <v>453457</v>
      </c>
      <c r="AH369">
        <f>IFERROR(VLOOKUP($A369,koronahun!$A:$AM,34,FALSE),"")</f>
        <v>7922</v>
      </c>
      <c r="AI369">
        <f>IFERROR(VLOOKUP($A369,koronahun!$A:$AM,35,FALSE),"")</f>
        <v>16737.142857142859</v>
      </c>
      <c r="AJ369">
        <f>IFERROR(VLOOKUP($A369,koronahun!$A:$AM,36,FALSE),"")</f>
        <v>201005</v>
      </c>
      <c r="AK369">
        <f>IFERROR(VLOOKUP($A369,koronahun!$A:$AM,37,FALSE),"")</f>
        <v>10300</v>
      </c>
      <c r="AL369">
        <f>IFERROR(VLOOKUP($A369,koronahun!$A:$AM,38,FALSE),"")</f>
        <v>10238</v>
      </c>
      <c r="AM369" s="14">
        <f>IFERROR(VLOOKUP($A369,koronahun!$A:$AM,39,FALSE),"")</f>
        <v>1520.2857142857142</v>
      </c>
      <c r="AN369" s="11">
        <f ca="1">IFERROR(__xludf.DUMMYFUNCTION("""COMPUTED_VALUE"""),44261)</f>
        <v>44261</v>
      </c>
      <c r="AO369" s="12">
        <f ca="1">IFERROR(VLOOKUP(AN369,koronahun!A:B,2,FALSE),"")</f>
        <v>459816</v>
      </c>
      <c r="AP369" s="11">
        <f t="shared" ca="1" si="2"/>
        <v>44261</v>
      </c>
      <c r="AQ369" s="11">
        <f ca="1">IFERROR(__xludf.DUMMYFUNCTION("""COMPUTED_VALUE"""),44261)</f>
        <v>44261</v>
      </c>
      <c r="AR369" s="11">
        <v>44250</v>
      </c>
      <c r="AS369" s="11">
        <f t="shared" si="3"/>
        <v>44250</v>
      </c>
      <c r="AT369" s="11">
        <f ca="1">IFERROR(__xludf.DUMMYFUNCTION("""COMPUTED_VALUE"""),44249)</f>
        <v>44249</v>
      </c>
    </row>
    <row r="370" spans="1:46" ht="13">
      <c r="A370" s="11">
        <v>44248</v>
      </c>
      <c r="B370">
        <f>IFERROR(VLOOKUP($A370,koronahun!$A:$AM,2,FALSE),"")</f>
        <v>403023</v>
      </c>
      <c r="C370">
        <f>IFERROR(VLOOKUP($A370,koronahun!$A:$AM,3,FALSE),"")</f>
        <v>2912</v>
      </c>
      <c r="D370">
        <f>IFERROR(VLOOKUP($A370,koronahun!$A:$AM,4,FALSE),"")</f>
        <v>14299</v>
      </c>
      <c r="E370">
        <f>IFERROR(VLOOKUP($A370,koronahun!$A:$AM,5,FALSE),"")</f>
        <v>306621</v>
      </c>
      <c r="F370">
        <f>IFERROR(VLOOKUP($A370,koronahun!$A:$AM,6,FALSE),"")</f>
        <v>3503611</v>
      </c>
      <c r="G370" s="12">
        <f>IFERROR(VLOOKUP($A370,koronahun!$A:$AM,7,FALSE),"")</f>
        <v>357511.32653061219</v>
      </c>
      <c r="H370">
        <f>IFERROR(VLOOKUP($A370,koronahun!$A:$AM,8,FALSE),"")</f>
        <v>0</v>
      </c>
      <c r="I370" s="13">
        <f>IFERROR(VLOOKUP($A370,koronahun!$A:$AM,9,FALSE),"")</f>
        <v>7.2779803604499753E-3</v>
      </c>
      <c r="J370" s="13">
        <f>IFERROR(VLOOKUP($A370,koronahun!$A:$AM,10,FALSE),"")</f>
        <v>0.11503074970366288</v>
      </c>
      <c r="K370" s="13">
        <f>IFERROR(VLOOKUP($A370,koronahun!$A:$AM,11,FALSE),"")</f>
        <v>6.6563346515559505E-3</v>
      </c>
      <c r="L370">
        <f>IFERROR(VLOOKUP($A370,koronahun!$A:$AM,12,FALSE),"")</f>
        <v>82103</v>
      </c>
      <c r="M370" s="13">
        <f>IFERROR(VLOOKUP($A370,koronahun!$A:$AM,13,FALSE),"")</f>
        <v>3.5479364701270152E-2</v>
      </c>
      <c r="N370" s="13">
        <f>IFERROR(VLOOKUP($A370,koronahun!$A:$AM,14,FALSE),"")</f>
        <v>0.76080273334276205</v>
      </c>
      <c r="O370">
        <f>IFERROR(VLOOKUP($A370,koronahun!$A:$AM,15,FALSE),"")</f>
        <v>27179</v>
      </c>
      <c r="P370">
        <f>IFERROR(VLOOKUP($A370,koronahun!$A:$AM,16,FALSE),"")</f>
        <v>23167</v>
      </c>
      <c r="Q370" s="13">
        <f>IFERROR(VLOOKUP($A370,koronahun!$A:$AM,17,FALSE),"")</f>
        <v>0.12569603315060215</v>
      </c>
      <c r="R370">
        <f>IFERROR(VLOOKUP($A370,koronahun!$A:$AM,18,FALSE),"")</f>
        <v>47</v>
      </c>
      <c r="S370">
        <f>IFERROR(VLOOKUP($A370,koronahun!$A:$AM,19,FALSE),"")</f>
        <v>1941</v>
      </c>
      <c r="T370">
        <f>IFERROR(VLOOKUP($A370,koronahun!$A:$AM,20,FALSE),"")</f>
        <v>4233</v>
      </c>
      <c r="U370">
        <f>IFERROR(VLOOKUP($A370,koronahun!$A:$AM,21,FALSE),"")</f>
        <v>366</v>
      </c>
      <c r="V370" s="13">
        <f>IFERROR(VLOOKUP($A370,koronahun!$A:$AM,22,FALSE),"")</f>
        <v>0.20371790195596778</v>
      </c>
      <c r="W370">
        <f>IFERROR(VLOOKUP($A370,koronahun!$A:$AM,23,FALSE),"")</f>
        <v>86</v>
      </c>
      <c r="X370">
        <f>IFERROR(VLOOKUP($A370,koronahun!$A:$AM,24,FALSE),"")</f>
        <v>15</v>
      </c>
      <c r="Y370" s="14">
        <f>IFERROR(VLOOKUP($A370,koronahun!$A:$AM,25,FALSE),"")</f>
        <v>5.1557190358452187E-2</v>
      </c>
      <c r="Z370" s="14">
        <f>IFERROR(VLOOKUP($A370,koronahun!$A:$AM,26,FALSE),"")</f>
        <v>8.6463501063075834E-2</v>
      </c>
      <c r="AA370" s="14">
        <f>IFERROR(VLOOKUP($A370,koronahun!$A:$AM,27,FALSE),"")</f>
        <v>1.4188930427646576</v>
      </c>
      <c r="AB370" s="14">
        <f>IFERROR(VLOOKUP($A370,koronahun!$A:$AM,28,FALSE),"")</f>
        <v>1.2664472278653183</v>
      </c>
      <c r="AC370" s="14">
        <f>IFERROR(VLOOKUP($A370,koronahun!$A:$AM,29,FALSE),"")</f>
        <v>2223</v>
      </c>
      <c r="AD370" s="14">
        <f>IFERROR(VLOOKUP($A370,koronahun!$A:$AM,30,FALSE),"")</f>
        <v>84.714285714285708</v>
      </c>
      <c r="AE370" s="14">
        <f>IFERROR(VLOOKUP($A370,koronahun!$A:$AM,31,FALSE),"")</f>
        <v>18060.571428571428</v>
      </c>
      <c r="AF370" s="13">
        <f>IFERROR(VLOOKUP($A370,koronahun!$A:$AM,32,FALSE),"")</f>
        <v>0.1229415674601749</v>
      </c>
      <c r="AG370">
        <f>IFERROR(VLOOKUP($A370,koronahun!$A:$AM,33,FALSE),"")</f>
        <v>445535</v>
      </c>
      <c r="AH370">
        <f>IFERROR(VLOOKUP($A370,koronahun!$A:$AM,34,FALSE),"")</f>
        <v>18226</v>
      </c>
      <c r="AI370">
        <f>IFERROR(VLOOKUP($A370,koronahun!$A:$AM,35,FALSE),"")</f>
        <v>15763.857142857143</v>
      </c>
      <c r="AJ370">
        <f>IFERROR(VLOOKUP($A370,koronahun!$A:$AM,36,FALSE),"")</f>
        <v>190705</v>
      </c>
      <c r="AK370">
        <f>IFERROR(VLOOKUP($A370,koronahun!$A:$AM,37,FALSE),"")</f>
        <v>17966</v>
      </c>
      <c r="AL370">
        <f>IFERROR(VLOOKUP($A370,koronahun!$A:$AM,38,FALSE),"")</f>
        <v>8930</v>
      </c>
      <c r="AM370" s="14">
        <f>IFERROR(VLOOKUP($A370,koronahun!$A:$AM,39,FALSE),"")</f>
        <v>1492.5714285714287</v>
      </c>
      <c r="AN370" s="11">
        <f ca="1">IFERROR(__xludf.DUMMYFUNCTION("""COMPUTED_VALUE"""),44262)</f>
        <v>44262</v>
      </c>
      <c r="AO370" s="12">
        <f ca="1">IFERROR(VLOOKUP(AN370,koronahun!A:B,2,FALSE),"")</f>
        <v>466017</v>
      </c>
      <c r="AP370" s="11">
        <f t="shared" ca="1" si="2"/>
        <v>44262</v>
      </c>
      <c r="AQ370" s="11">
        <f ca="1">IFERROR(__xludf.DUMMYFUNCTION("""COMPUTED_VALUE"""),44262)</f>
        <v>44262</v>
      </c>
      <c r="AR370" s="11">
        <v>44249</v>
      </c>
      <c r="AS370" s="11">
        <f t="shared" si="3"/>
        <v>44249</v>
      </c>
      <c r="AT370" s="11">
        <f ca="1">IFERROR(__xludf.DUMMYFUNCTION("""COMPUTED_VALUE"""),44248)</f>
        <v>44248</v>
      </c>
    </row>
    <row r="371" spans="1:46" ht="13">
      <c r="A371" s="11">
        <v>44247</v>
      </c>
      <c r="B371">
        <f>IFERROR(VLOOKUP($A371,koronahun!$A:$AM,2,FALSE),"")</f>
        <v>400111</v>
      </c>
      <c r="C371">
        <f>IFERROR(VLOOKUP($A371,koronahun!$A:$AM,3,FALSE),"")</f>
        <v>2995</v>
      </c>
      <c r="D371">
        <f>IFERROR(VLOOKUP($A371,koronahun!$A:$AM,4,FALSE),"")</f>
        <v>14252</v>
      </c>
      <c r="E371">
        <f>IFERROR(VLOOKUP($A371,koronahun!$A:$AM,5,FALSE),"")</f>
        <v>304680</v>
      </c>
      <c r="F371">
        <f>IFERROR(VLOOKUP($A371,koronahun!$A:$AM,6,FALSE),"")</f>
        <v>3480444</v>
      </c>
      <c r="G371" s="12">
        <f>IFERROR(VLOOKUP($A371,koronahun!$A:$AM,7,FALSE),"")</f>
        <v>355147.3469387755</v>
      </c>
      <c r="H371">
        <f>IFERROR(VLOOKUP($A371,koronahun!$A:$AM,8,FALSE),"")</f>
        <v>0</v>
      </c>
      <c r="I371" s="13">
        <f>IFERROR(VLOOKUP($A371,koronahun!$A:$AM,9,FALSE),"")</f>
        <v>7.5418769326846564E-3</v>
      </c>
      <c r="J371" s="13">
        <f>IFERROR(VLOOKUP($A371,koronahun!$A:$AM,10,FALSE),"")</f>
        <v>0.11495975800788635</v>
      </c>
      <c r="K371" s="13">
        <f>IFERROR(VLOOKUP($A371,koronahun!$A:$AM,11,FALSE),"")</f>
        <v>6.6249452645205922E-3</v>
      </c>
      <c r="L371">
        <f>IFERROR(VLOOKUP($A371,koronahun!$A:$AM,12,FALSE),"")</f>
        <v>81179</v>
      </c>
      <c r="M371" s="13">
        <f>IFERROR(VLOOKUP($A371,koronahun!$A:$AM,13,FALSE),"")</f>
        <v>3.5620115417971512E-2</v>
      </c>
      <c r="N371" s="13">
        <f>IFERROR(VLOOKUP($A371,koronahun!$A:$AM,14,FALSE),"")</f>
        <v>0.7614886868893882</v>
      </c>
      <c r="O371">
        <f>IFERROR(VLOOKUP($A371,koronahun!$A:$AM,15,FALSE),"")</f>
        <v>26068</v>
      </c>
      <c r="P371">
        <f>IFERROR(VLOOKUP($A371,koronahun!$A:$AM,16,FALSE),"")</f>
        <v>22906</v>
      </c>
      <c r="Q371" s="13">
        <f>IFERROR(VLOOKUP($A371,koronahun!$A:$AM,17,FALSE),"")</f>
        <v>0.13075176809569544</v>
      </c>
      <c r="R371">
        <f>IFERROR(VLOOKUP($A371,koronahun!$A:$AM,18,FALSE),"")</f>
        <v>107</v>
      </c>
      <c r="S371">
        <f>IFERROR(VLOOKUP($A371,koronahun!$A:$AM,19,FALSE),"")</f>
        <v>1991</v>
      </c>
      <c r="T371">
        <f>IFERROR(VLOOKUP($A371,koronahun!$A:$AM,20,FALSE),"")</f>
        <v>4147</v>
      </c>
      <c r="U371">
        <f>IFERROR(VLOOKUP($A371,koronahun!$A:$AM,21,FALSE),"")</f>
        <v>351</v>
      </c>
      <c r="V371" s="13">
        <f>IFERROR(VLOOKUP($A371,koronahun!$A:$AM,22,FALSE),"")</f>
        <v>0.2028911976926403</v>
      </c>
      <c r="W371">
        <f>IFERROR(VLOOKUP($A371,koronahun!$A:$AM,23,FALSE),"")</f>
        <v>123</v>
      </c>
      <c r="X371">
        <f>IFERROR(VLOOKUP($A371,koronahun!$A:$AM,24,FALSE),"")</f>
        <v>-1</v>
      </c>
      <c r="Y371" s="14">
        <f>IFERROR(VLOOKUP($A371,koronahun!$A:$AM,25,FALSE),"")</f>
        <v>5.1084640116286231E-2</v>
      </c>
      <c r="Z371" s="14">
        <f>IFERROR(VLOOKUP($A371,koronahun!$A:$AM,26,FALSE),"")</f>
        <v>8.4639498432601878E-2</v>
      </c>
      <c r="AA371" s="14">
        <f>IFERROR(VLOOKUP($A371,koronahun!$A:$AM,27,FALSE),"")</f>
        <v>1.3505174035747884</v>
      </c>
      <c r="AB371" s="14">
        <f>IFERROR(VLOOKUP($A371,koronahun!$A:$AM,28,FALSE),"")</f>
        <v>1.2396057013513542</v>
      </c>
      <c r="AC371" s="14">
        <f>IFERROR(VLOOKUP($A371,koronahun!$A:$AM,29,FALSE),"")</f>
        <v>2050.8571428571427</v>
      </c>
      <c r="AD371" s="14">
        <f>IFERROR(VLOOKUP($A371,koronahun!$A:$AM,30,FALSE),"")</f>
        <v>88</v>
      </c>
      <c r="AE371" s="14">
        <f>IFERROR(VLOOKUP($A371,koronahun!$A:$AM,31,FALSE),"")</f>
        <v>17538.857142857141</v>
      </c>
      <c r="AF371" s="13">
        <f>IFERROR(VLOOKUP($A371,koronahun!$A:$AM,32,FALSE),"")</f>
        <v>0.1174808735841528</v>
      </c>
      <c r="AG371">
        <f>IFERROR(VLOOKUP($A371,koronahun!$A:$AM,33,FALSE),"")</f>
        <v>427309</v>
      </c>
      <c r="AH371">
        <f>IFERROR(VLOOKUP($A371,koronahun!$A:$AM,34,FALSE),"")</f>
        <v>35488</v>
      </c>
      <c r="AI371">
        <f>IFERROR(VLOOKUP($A371,koronahun!$A:$AM,35,FALSE),"")</f>
        <v>13794.857142857143</v>
      </c>
      <c r="AJ371">
        <f>IFERROR(VLOOKUP($A371,koronahun!$A:$AM,36,FALSE),"")</f>
        <v>172739</v>
      </c>
      <c r="AK371">
        <f>IFERROR(VLOOKUP($A371,koronahun!$A:$AM,37,FALSE),"")</f>
        <v>20307</v>
      </c>
      <c r="AL371">
        <f>IFERROR(VLOOKUP($A371,koronahun!$A:$AM,38,FALSE),"")</f>
        <v>6902.2857142857147</v>
      </c>
      <c r="AM371" s="14">
        <f>IFERROR(VLOOKUP($A371,koronahun!$A:$AM,39,FALSE),"")</f>
        <v>1591.1428571428571</v>
      </c>
      <c r="AN371" s="11">
        <f ca="1">IFERROR(__xludf.DUMMYFUNCTION("""COMPUTED_VALUE"""),44263)</f>
        <v>44263</v>
      </c>
      <c r="AO371" s="12">
        <f ca="1">IFERROR(VLOOKUP(AN371,koronahun!A:B,2,FALSE),"")</f>
        <v>468713</v>
      </c>
      <c r="AP371" s="11">
        <f t="shared" ca="1" si="2"/>
        <v>44263</v>
      </c>
      <c r="AQ371" s="11">
        <f ca="1">IFERROR(__xludf.DUMMYFUNCTION("""COMPUTED_VALUE"""),44263)</f>
        <v>44263</v>
      </c>
      <c r="AR371" s="11">
        <v>44248</v>
      </c>
      <c r="AS371" s="11">
        <f t="shared" si="3"/>
        <v>44248</v>
      </c>
      <c r="AT371" s="11">
        <f ca="1">IFERROR(__xludf.DUMMYFUNCTION("""COMPUTED_VALUE"""),44247)</f>
        <v>44247</v>
      </c>
    </row>
    <row r="372" spans="1:46" ht="13">
      <c r="A372" s="11">
        <v>44246</v>
      </c>
      <c r="B372">
        <f>IFERROR(VLOOKUP($A372,koronahun!$A:$AM,2,FALSE),"")</f>
        <v>397116</v>
      </c>
      <c r="C372">
        <f>IFERROR(VLOOKUP($A372,koronahun!$A:$AM,3,FALSE),"")</f>
        <v>3093</v>
      </c>
      <c r="D372">
        <f>IFERROR(VLOOKUP($A372,koronahun!$A:$AM,4,FALSE),"")</f>
        <v>14145</v>
      </c>
      <c r="E372">
        <f>IFERROR(VLOOKUP($A372,koronahun!$A:$AM,5,FALSE),"")</f>
        <v>302689</v>
      </c>
      <c r="F372">
        <f>IFERROR(VLOOKUP($A372,koronahun!$A:$AM,6,FALSE),"")</f>
        <v>3457538</v>
      </c>
      <c r="G372" s="12">
        <f>IFERROR(VLOOKUP($A372,koronahun!$A:$AM,7,FALSE),"")</f>
        <v>352810</v>
      </c>
      <c r="H372">
        <f>IFERROR(VLOOKUP($A372,koronahun!$A:$AM,8,FALSE),"")</f>
        <v>0</v>
      </c>
      <c r="I372" s="13">
        <f>IFERROR(VLOOKUP($A372,koronahun!$A:$AM,9,FALSE),"")</f>
        <v>7.849795570309348E-3</v>
      </c>
      <c r="J372" s="13">
        <f>IFERROR(VLOOKUP($A372,koronahun!$A:$AM,10,FALSE),"")</f>
        <v>0.11485513680543785</v>
      </c>
      <c r="K372" s="13">
        <f>IFERROR(VLOOKUP($A372,koronahun!$A:$AM,11,FALSE),"")</f>
        <v>6.5970319760992966E-3</v>
      </c>
      <c r="L372">
        <f>IFERROR(VLOOKUP($A372,koronahun!$A:$AM,12,FALSE),"")</f>
        <v>80282</v>
      </c>
      <c r="M372" s="13">
        <f>IFERROR(VLOOKUP($A372,koronahun!$A:$AM,13,FALSE),"")</f>
        <v>3.5619315263046562E-2</v>
      </c>
      <c r="N372" s="13">
        <f>IFERROR(VLOOKUP($A372,koronahun!$A:$AM,14,FALSE),"")</f>
        <v>0.7622180924465396</v>
      </c>
      <c r="O372">
        <f>IFERROR(VLOOKUP($A372,koronahun!$A:$AM,15,FALSE),"")</f>
        <v>25536</v>
      </c>
      <c r="P372">
        <f>IFERROR(VLOOKUP($A372,koronahun!$A:$AM,16,FALSE),"")</f>
        <v>22660</v>
      </c>
      <c r="Q372" s="13">
        <f>IFERROR(VLOOKUP($A372,koronahun!$A:$AM,17,FALSE),"")</f>
        <v>0.13649602824360105</v>
      </c>
      <c r="R372">
        <f>IFERROR(VLOOKUP($A372,koronahun!$A:$AM,18,FALSE),"")</f>
        <v>110</v>
      </c>
      <c r="S372">
        <f>IFERROR(VLOOKUP($A372,koronahun!$A:$AM,19,FALSE),"")</f>
        <v>1326</v>
      </c>
      <c r="T372">
        <f>IFERROR(VLOOKUP($A372,koronahun!$A:$AM,20,FALSE),"")</f>
        <v>4024</v>
      </c>
      <c r="U372">
        <f>IFERROR(VLOOKUP($A372,koronahun!$A:$AM,21,FALSE),"")</f>
        <v>352</v>
      </c>
      <c r="V372" s="13">
        <f>IFERROR(VLOOKUP($A372,koronahun!$A:$AM,22,FALSE),"")</f>
        <v>0.20216259229041389</v>
      </c>
      <c r="W372">
        <f>IFERROR(VLOOKUP($A372,koronahun!$A:$AM,23,FALSE),"")</f>
        <v>3</v>
      </c>
      <c r="X372">
        <f>IFERROR(VLOOKUP($A372,koronahun!$A:$AM,24,FALSE),"")</f>
        <v>20</v>
      </c>
      <c r="Y372" s="14">
        <f>IFERROR(VLOOKUP($A372,koronahun!$A:$AM,25,FALSE),"")</f>
        <v>5.0123315313519844E-2</v>
      </c>
      <c r="Z372" s="14">
        <f>IFERROR(VLOOKUP($A372,koronahun!$A:$AM,26,FALSE),"")</f>
        <v>8.74751491053678E-2</v>
      </c>
      <c r="AA372" s="14">
        <f>IFERROR(VLOOKUP($A372,koronahun!$A:$AM,27,FALSE),"")</f>
        <v>1.3156031855274801</v>
      </c>
      <c r="AB372" s="14">
        <f>IFERROR(VLOOKUP($A372,koronahun!$A:$AM,28,FALSE),"")</f>
        <v>1.2183422254942666</v>
      </c>
      <c r="AC372" s="14">
        <f>IFERROR(VLOOKUP($A372,koronahun!$A:$AM,29,FALSE),"")</f>
        <v>1911.5714285714287</v>
      </c>
      <c r="AD372" s="14">
        <f>IFERROR(VLOOKUP($A372,koronahun!$A:$AM,30,FALSE),"")</f>
        <v>86</v>
      </c>
      <c r="AE372" s="14">
        <f>IFERROR(VLOOKUP($A372,koronahun!$A:$AM,31,FALSE),"")</f>
        <v>17035.571428571428</v>
      </c>
      <c r="AF372" s="13">
        <f>IFERROR(VLOOKUP($A372,koronahun!$A:$AM,32,FALSE),"")</f>
        <v>0.11368991154083893</v>
      </c>
      <c r="AG372">
        <f>IFERROR(VLOOKUP($A372,koronahun!$A:$AM,33,FALSE),"")</f>
        <v>391821</v>
      </c>
      <c r="AH372">
        <f>IFERROR(VLOOKUP($A372,koronahun!$A:$AM,34,FALSE),"")</f>
        <v>26800</v>
      </c>
      <c r="AI372">
        <f>IFERROR(VLOOKUP($A372,koronahun!$A:$AM,35,FALSE),"")</f>
        <v>11624.714285714286</v>
      </c>
      <c r="AJ372">
        <f>IFERROR(VLOOKUP($A372,koronahun!$A:$AM,36,FALSE),"")</f>
        <v>152432</v>
      </c>
      <c r="AK372">
        <f>IFERROR(VLOOKUP($A372,koronahun!$A:$AM,37,FALSE),"")</f>
        <v>11409</v>
      </c>
      <c r="AL372">
        <f>IFERROR(VLOOKUP($A372,koronahun!$A:$AM,38,FALSE),"")</f>
        <v>4540.4285714285716</v>
      </c>
      <c r="AM372" s="14">
        <f>IFERROR(VLOOKUP($A372,koronahun!$A:$AM,39,FALSE),"")</f>
        <v>1881.2857142857142</v>
      </c>
      <c r="AN372" s="11">
        <f ca="1">IFERROR(__xludf.DUMMYFUNCTION("""COMPUTED_VALUE"""),44264)</f>
        <v>44264</v>
      </c>
      <c r="AO372" s="12">
        <f ca="1">IFERROR(VLOOKUP(AN372,koronahun!A:B,2,FALSE),"")</f>
        <v>475207</v>
      </c>
      <c r="AP372" s="11">
        <f t="shared" ca="1" si="2"/>
        <v>44264</v>
      </c>
      <c r="AQ372" s="11">
        <f ca="1">IFERROR(__xludf.DUMMYFUNCTION("""COMPUTED_VALUE"""),44264)</f>
        <v>44264</v>
      </c>
      <c r="AR372" s="11">
        <v>44247</v>
      </c>
      <c r="AS372" s="11">
        <f t="shared" si="3"/>
        <v>44247</v>
      </c>
      <c r="AT372" s="11">
        <f ca="1">IFERROR(__xludf.DUMMYFUNCTION("""COMPUTED_VALUE"""),44246)</f>
        <v>44246</v>
      </c>
    </row>
    <row r="373" spans="1:46" ht="13">
      <c r="A373" s="11">
        <v>44245</v>
      </c>
      <c r="B373">
        <f>IFERROR(VLOOKUP($A373,koronahun!$A:$AM,2,FALSE),"")</f>
        <v>394023</v>
      </c>
      <c r="C373">
        <f>IFERROR(VLOOKUP($A373,koronahun!$A:$AM,3,FALSE),"")</f>
        <v>2853</v>
      </c>
      <c r="D373">
        <f>IFERROR(VLOOKUP($A373,koronahun!$A:$AM,4,FALSE),"")</f>
        <v>14035</v>
      </c>
      <c r="E373">
        <f>IFERROR(VLOOKUP($A373,koronahun!$A:$AM,5,FALSE),"")</f>
        <v>301363</v>
      </c>
      <c r="F373">
        <f>IFERROR(VLOOKUP($A373,koronahun!$A:$AM,6,FALSE),"")</f>
        <v>3434878</v>
      </c>
      <c r="G373" s="12">
        <f>IFERROR(VLOOKUP($A373,koronahun!$A:$AM,7,FALSE),"")</f>
        <v>350497.75510204077</v>
      </c>
      <c r="H373">
        <f>IFERROR(VLOOKUP($A373,koronahun!$A:$AM,8,FALSE),"")</f>
        <v>0</v>
      </c>
      <c r="I373" s="13">
        <f>IFERROR(VLOOKUP($A373,koronahun!$A:$AM,9,FALSE),"")</f>
        <v>7.2935041030753895E-3</v>
      </c>
      <c r="J373" s="13">
        <f>IFERROR(VLOOKUP($A373,koronahun!$A:$AM,10,FALSE),"")</f>
        <v>0.114712371152629</v>
      </c>
      <c r="K373" s="13">
        <f>IFERROR(VLOOKUP($A373,koronahun!$A:$AM,11,FALSE),"")</f>
        <v>6.1086290279825295E-3</v>
      </c>
      <c r="L373">
        <f>IFERROR(VLOOKUP($A373,koronahun!$A:$AM,12,FALSE),"")</f>
        <v>78625</v>
      </c>
      <c r="M373" s="13">
        <f>IFERROR(VLOOKUP($A373,koronahun!$A:$AM,13,FALSE),"")</f>
        <v>3.5619748085771639E-2</v>
      </c>
      <c r="N373" s="13">
        <f>IFERROR(VLOOKUP($A373,koronahun!$A:$AM,14,FALSE),"")</f>
        <v>0.7648360628694264</v>
      </c>
      <c r="O373">
        <f>IFERROR(VLOOKUP($A373,koronahun!$A:$AM,15,FALSE),"")</f>
        <v>22893</v>
      </c>
      <c r="P373">
        <f>IFERROR(VLOOKUP($A373,koronahun!$A:$AM,16,FALSE),"")</f>
        <v>20855</v>
      </c>
      <c r="Q373" s="13">
        <f>IFERROR(VLOOKUP($A373,koronahun!$A:$AM,17,FALSE),"")</f>
        <v>0.13680172620474707</v>
      </c>
      <c r="R373">
        <f>IFERROR(VLOOKUP($A373,koronahun!$A:$AM,18,FALSE),"")</f>
        <v>104</v>
      </c>
      <c r="S373">
        <f>IFERROR(VLOOKUP($A373,koronahun!$A:$AM,19,FALSE),"")</f>
        <v>1374</v>
      </c>
      <c r="T373">
        <f>IFERROR(VLOOKUP($A373,koronahun!$A:$AM,20,FALSE),"")</f>
        <v>4021</v>
      </c>
      <c r="U373">
        <f>IFERROR(VLOOKUP($A373,koronahun!$A:$AM,21,FALSE),"")</f>
        <v>332</v>
      </c>
      <c r="V373" s="13">
        <f>IFERROR(VLOOKUP($A373,koronahun!$A:$AM,22,FALSE),"")</f>
        <v>0.19954418904480195</v>
      </c>
      <c r="W373">
        <f>IFERROR(VLOOKUP($A373,koronahun!$A:$AM,23,FALSE),"")</f>
        <v>7</v>
      </c>
      <c r="X373">
        <f>IFERROR(VLOOKUP($A373,koronahun!$A:$AM,24,FALSE),"")</f>
        <v>11</v>
      </c>
      <c r="Y373" s="14">
        <f>IFERROR(VLOOKUP($A373,koronahun!$A:$AM,25,FALSE),"")</f>
        <v>5.1141494435612084E-2</v>
      </c>
      <c r="Z373" s="14">
        <f>IFERROR(VLOOKUP($A373,koronahun!$A:$AM,26,FALSE),"")</f>
        <v>8.2566525739865698E-2</v>
      </c>
      <c r="AA373" s="14">
        <f>IFERROR(VLOOKUP($A373,koronahun!$A:$AM,27,FALSE),"")</f>
        <v>1.2286841306766461</v>
      </c>
      <c r="AB373" s="14">
        <f>IFERROR(VLOOKUP($A373,koronahun!$A:$AM,28,FALSE),"")</f>
        <v>1.198278751519845</v>
      </c>
      <c r="AC373" s="14">
        <f>IFERROR(VLOOKUP($A373,koronahun!$A:$AM,29,FALSE),"")</f>
        <v>1735.4285714285713</v>
      </c>
      <c r="AD373" s="14">
        <f>IFERROR(VLOOKUP($A373,koronahun!$A:$AM,30,FALSE),"")</f>
        <v>84.428571428571431</v>
      </c>
      <c r="AE373" s="14">
        <f>IFERROR(VLOOKUP($A373,koronahun!$A:$AM,31,FALSE),"")</f>
        <v>16575.428571428572</v>
      </c>
      <c r="AF373" s="13">
        <f>IFERROR(VLOOKUP($A373,koronahun!$A:$AM,32,FALSE),"")</f>
        <v>0.10785961241443354</v>
      </c>
      <c r="AG373">
        <f>IFERROR(VLOOKUP($A373,koronahun!$A:$AM,33,FALSE),"")</f>
        <v>365021</v>
      </c>
      <c r="AH373">
        <f>IFERROR(VLOOKUP($A373,koronahun!$A:$AM,34,FALSE),"")</f>
        <v>16094</v>
      </c>
      <c r="AI373">
        <f>IFERROR(VLOOKUP($A373,koronahun!$A:$AM,35,FALSE),"")</f>
        <v>10056.714285714286</v>
      </c>
      <c r="AJ373">
        <f>IFERROR(VLOOKUP($A373,koronahun!$A:$AM,36,FALSE),"")</f>
        <v>141023</v>
      </c>
      <c r="AK373">
        <f>IFERROR(VLOOKUP($A373,koronahun!$A:$AM,37,FALSE),"")</f>
        <v>6199</v>
      </c>
      <c r="AL373">
        <f>IFERROR(VLOOKUP($A373,koronahun!$A:$AM,38,FALSE),"")</f>
        <v>3379.2857142857142</v>
      </c>
      <c r="AM373" s="14">
        <f>IFERROR(VLOOKUP($A373,koronahun!$A:$AM,39,FALSE),"")</f>
        <v>2032.7142857142858</v>
      </c>
      <c r="AN373" s="11">
        <f ca="1">IFERROR(__xludf.DUMMYFUNCTION("""COMPUTED_VALUE"""),44265)</f>
        <v>44265</v>
      </c>
      <c r="AO373" s="12">
        <f ca="1">IFERROR(VLOOKUP(AN373,koronahun!A:B,2,FALSE),"")</f>
        <v>480860</v>
      </c>
      <c r="AP373" s="11">
        <f t="shared" ca="1" si="2"/>
        <v>44265</v>
      </c>
      <c r="AQ373" s="11">
        <f ca="1">IFERROR(__xludf.DUMMYFUNCTION("""COMPUTED_VALUE"""),44265)</f>
        <v>44265</v>
      </c>
      <c r="AR373" s="11">
        <v>44246</v>
      </c>
      <c r="AS373" s="11">
        <f t="shared" si="3"/>
        <v>44246</v>
      </c>
      <c r="AT373" s="11">
        <f ca="1">IFERROR(__xludf.DUMMYFUNCTION("""COMPUTED_VALUE"""),44245)</f>
        <v>44245</v>
      </c>
    </row>
    <row r="374" spans="1:46" ht="13">
      <c r="A374" s="11">
        <v>44244</v>
      </c>
      <c r="B374">
        <f>IFERROR(VLOOKUP($A374,koronahun!$A:$AM,2,FALSE),"")</f>
        <v>391170</v>
      </c>
      <c r="C374">
        <f>IFERROR(VLOOKUP($A374,koronahun!$A:$AM,3,FALSE),"")</f>
        <v>1548</v>
      </c>
      <c r="D374">
        <f>IFERROR(VLOOKUP($A374,koronahun!$A:$AM,4,FALSE),"")</f>
        <v>13931</v>
      </c>
      <c r="E374">
        <f>IFERROR(VLOOKUP($A374,koronahun!$A:$AM,5,FALSE),"")</f>
        <v>299989</v>
      </c>
      <c r="F374">
        <f>IFERROR(VLOOKUP($A374,koronahun!$A:$AM,6,FALSE),"")</f>
        <v>3414023</v>
      </c>
      <c r="G374" s="12">
        <f>IFERROR(VLOOKUP($A374,koronahun!$A:$AM,7,FALSE),"")</f>
        <v>348369.69387755101</v>
      </c>
      <c r="H374">
        <f>IFERROR(VLOOKUP($A374,koronahun!$A:$AM,8,FALSE),"")</f>
        <v>0</v>
      </c>
      <c r="I374" s="13">
        <f>IFERROR(VLOOKUP($A374,koronahun!$A:$AM,9,FALSE),"")</f>
        <v>3.9730816021682552E-3</v>
      </c>
      <c r="J374" s="13">
        <f>IFERROR(VLOOKUP($A374,koronahun!$A:$AM,10,FALSE),"")</f>
        <v>0.11457743547714822</v>
      </c>
      <c r="K374" s="13">
        <f>IFERROR(VLOOKUP($A374,koronahun!$A:$AM,11,FALSE),"")</f>
        <v>5.6968483664458901E-3</v>
      </c>
      <c r="L374">
        <f>IFERROR(VLOOKUP($A374,koronahun!$A:$AM,12,FALSE),"")</f>
        <v>77250</v>
      </c>
      <c r="M374" s="13">
        <f>IFERROR(VLOOKUP($A374,koronahun!$A:$AM,13,FALSE),"")</f>
        <v>3.561367180509753E-2</v>
      </c>
      <c r="N374" s="13">
        <f>IFERROR(VLOOKUP($A374,koronahun!$A:$AM,14,FALSE),"")</f>
        <v>0.76690185852698312</v>
      </c>
      <c r="O374">
        <f>IFERROR(VLOOKUP($A374,koronahun!$A:$AM,15,FALSE),"")</f>
        <v>18205</v>
      </c>
      <c r="P374">
        <f>IFERROR(VLOOKUP($A374,koronahun!$A:$AM,16,FALSE),"")</f>
        <v>19339</v>
      </c>
      <c r="Q374" s="13">
        <f>IFERROR(VLOOKUP($A374,koronahun!$A:$AM,17,FALSE),"")</f>
        <v>8.0045503904028134E-2</v>
      </c>
      <c r="R374">
        <f>IFERROR(VLOOKUP($A374,koronahun!$A:$AM,18,FALSE),"")</f>
        <v>94</v>
      </c>
      <c r="S374">
        <f>IFERROR(VLOOKUP($A374,koronahun!$A:$AM,19,FALSE),"")</f>
        <v>1216</v>
      </c>
      <c r="T374">
        <f>IFERROR(VLOOKUP($A374,koronahun!$A:$AM,20,FALSE),"")</f>
        <v>4014</v>
      </c>
      <c r="U374">
        <f>IFERROR(VLOOKUP($A374,koronahun!$A:$AM,21,FALSE),"")</f>
        <v>321</v>
      </c>
      <c r="V374" s="13">
        <f>IFERROR(VLOOKUP($A374,koronahun!$A:$AM,22,FALSE),"")</f>
        <v>0.19748446966791933</v>
      </c>
      <c r="W374">
        <f>IFERROR(VLOOKUP($A374,koronahun!$A:$AM,23,FALSE),"")</f>
        <v>35</v>
      </c>
      <c r="X374">
        <f>IFERROR(VLOOKUP($A374,koronahun!$A:$AM,24,FALSE),"")</f>
        <v>3</v>
      </c>
      <c r="Y374" s="14">
        <f>IFERROR(VLOOKUP($A374,koronahun!$A:$AM,25,FALSE),"")</f>
        <v>5.1961165048543687E-2</v>
      </c>
      <c r="Z374" s="14">
        <f>IFERROR(VLOOKUP($A374,koronahun!$A:$AM,26,FALSE),"")</f>
        <v>7.9970104633781763E-2</v>
      </c>
      <c r="AA374" s="14">
        <f>IFERROR(VLOOKUP($A374,koronahun!$A:$AM,27,FALSE),"")</f>
        <v>1.1529399607316317</v>
      </c>
      <c r="AB374" s="14">
        <f>IFERROR(VLOOKUP($A374,koronahun!$A:$AM,28,FALSE),"")</f>
        <v>1.1881809516383537</v>
      </c>
      <c r="AC374" s="14">
        <f>IFERROR(VLOOKUP($A374,koronahun!$A:$AM,29,FALSE),"")</f>
        <v>1593.8571428571429</v>
      </c>
      <c r="AD374" s="14">
        <f>IFERROR(VLOOKUP($A374,koronahun!$A:$AM,30,FALSE),"")</f>
        <v>83.428571428571431</v>
      </c>
      <c r="AE374" s="14">
        <f>IFERROR(VLOOKUP($A374,koronahun!$A:$AM,31,FALSE),"")</f>
        <v>16458.428571428572</v>
      </c>
      <c r="AF374" s="13">
        <f>IFERROR(VLOOKUP($A374,koronahun!$A:$AM,32,FALSE),"")</f>
        <v>0.10159261168547203</v>
      </c>
      <c r="AG374">
        <f>IFERROR(VLOOKUP($A374,koronahun!$A:$AM,33,FALSE),"")</f>
        <v>348927</v>
      </c>
      <c r="AH374">
        <f>IFERROR(VLOOKUP($A374,koronahun!$A:$AM,34,FALSE),"")</f>
        <v>6969</v>
      </c>
      <c r="AI374">
        <f>IFERROR(VLOOKUP($A374,koronahun!$A:$AM,35,FALSE),"")</f>
        <v>8042.8571428571431</v>
      </c>
      <c r="AJ374">
        <f>IFERROR(VLOOKUP($A374,koronahun!$A:$AM,36,FALSE),"")</f>
        <v>134824</v>
      </c>
      <c r="AK374">
        <f>IFERROR(VLOOKUP($A374,koronahun!$A:$AM,37,FALSE),"")</f>
        <v>3231</v>
      </c>
      <c r="AL374">
        <f>IFERROR(VLOOKUP($A374,koronahun!$A:$AM,38,FALSE),"")</f>
        <v>3036.2857142857142</v>
      </c>
      <c r="AM374" s="14">
        <f>IFERROR(VLOOKUP($A374,koronahun!$A:$AM,39,FALSE),"")</f>
        <v>2138.1428571428573</v>
      </c>
      <c r="AN374" s="11">
        <f ca="1">IFERROR(__xludf.DUMMYFUNCTION("""COMPUTED_VALUE"""),44266)</f>
        <v>44266</v>
      </c>
      <c r="AO374" s="12">
        <f ca="1">IFERROR(VLOOKUP(AN374,koronahun!A:B,2,FALSE),"")</f>
        <v>489172</v>
      </c>
      <c r="AP374" s="11">
        <f t="shared" ca="1" si="2"/>
        <v>44266</v>
      </c>
      <c r="AQ374" s="11">
        <f ca="1">IFERROR(__xludf.DUMMYFUNCTION("""COMPUTED_VALUE"""),44266)</f>
        <v>44266</v>
      </c>
      <c r="AR374" s="11">
        <v>44245</v>
      </c>
      <c r="AS374" s="11">
        <f t="shared" si="3"/>
        <v>44245</v>
      </c>
      <c r="AT374" s="11">
        <f ca="1">IFERROR(__xludf.DUMMYFUNCTION("""COMPUTED_VALUE"""),44244)</f>
        <v>44244</v>
      </c>
    </row>
    <row r="375" spans="1:46" ht="13">
      <c r="A375" s="11">
        <v>44243</v>
      </c>
      <c r="B375">
        <f>IFERROR(VLOOKUP($A375,koronahun!$A:$AM,2,FALSE),"")</f>
        <v>389622</v>
      </c>
      <c r="C375">
        <f>IFERROR(VLOOKUP($A375,koronahun!$A:$AM,3,FALSE),"")</f>
        <v>823</v>
      </c>
      <c r="D375">
        <f>IFERROR(VLOOKUP($A375,koronahun!$A:$AM,4,FALSE),"")</f>
        <v>13837</v>
      </c>
      <c r="E375">
        <f>IFERROR(VLOOKUP($A375,koronahun!$A:$AM,5,FALSE),"")</f>
        <v>298773</v>
      </c>
      <c r="F375">
        <f>IFERROR(VLOOKUP($A375,koronahun!$A:$AM,6,FALSE),"")</f>
        <v>3394684</v>
      </c>
      <c r="G375" s="12">
        <f>IFERROR(VLOOKUP($A375,koronahun!$A:$AM,7,FALSE),"")</f>
        <v>346396.32653061225</v>
      </c>
      <c r="H375">
        <f>IFERROR(VLOOKUP($A375,koronahun!$A:$AM,8,FALSE),"")</f>
        <v>0</v>
      </c>
      <c r="I375" s="13">
        <f>IFERROR(VLOOKUP($A375,koronahun!$A:$AM,9,FALSE),"")</f>
        <v>2.1167749917052254E-3</v>
      </c>
      <c r="J375" s="13">
        <f>IFERROR(VLOOKUP($A375,koronahun!$A:$AM,10,FALSE),"")</f>
        <v>0.11477415865512076</v>
      </c>
      <c r="K375" s="13">
        <f>IFERROR(VLOOKUP($A375,koronahun!$A:$AM,11,FALSE),"")</f>
        <v>1.8377096123692877E-3</v>
      </c>
      <c r="L375">
        <f>IFERROR(VLOOKUP($A375,koronahun!$A:$AM,12,FALSE),"")</f>
        <v>77012</v>
      </c>
      <c r="M375" s="13">
        <f>IFERROR(VLOOKUP($A375,koronahun!$A:$AM,13,FALSE),"")</f>
        <v>3.5513908352197768E-2</v>
      </c>
      <c r="N375" s="13">
        <f>IFERROR(VLOOKUP($A375,koronahun!$A:$AM,14,FALSE),"")</f>
        <v>0.76682784853011376</v>
      </c>
      <c r="O375">
        <f>IFERROR(VLOOKUP($A375,koronahun!$A:$AM,15,FALSE),"")</f>
        <v>20224</v>
      </c>
      <c r="P375">
        <f>IFERROR(VLOOKUP($A375,koronahun!$A:$AM,16,FALSE),"")</f>
        <v>6227</v>
      </c>
      <c r="Q375" s="13">
        <f>IFERROR(VLOOKUP($A375,koronahun!$A:$AM,17,FALSE),"")</f>
        <v>0.13216637224987957</v>
      </c>
      <c r="R375">
        <f>IFERROR(VLOOKUP($A375,koronahun!$A:$AM,18,FALSE),"")</f>
        <v>85</v>
      </c>
      <c r="S375">
        <f>IFERROR(VLOOKUP($A375,koronahun!$A:$AM,19,FALSE),"")</f>
        <v>765</v>
      </c>
      <c r="T375">
        <f>IFERROR(VLOOKUP($A375,koronahun!$A:$AM,20,FALSE),"")</f>
        <v>3979</v>
      </c>
      <c r="U375">
        <f>IFERROR(VLOOKUP($A375,koronahun!$A:$AM,21,FALSE),"")</f>
        <v>318</v>
      </c>
      <c r="V375" s="13">
        <f>IFERROR(VLOOKUP($A375,koronahun!$A:$AM,22,FALSE),"")</f>
        <v>0.19765824311768843</v>
      </c>
      <c r="W375">
        <f>IFERROR(VLOOKUP($A375,koronahun!$A:$AM,23,FALSE),"")</f>
        <v>96</v>
      </c>
      <c r="X375">
        <f>IFERROR(VLOOKUP($A375,koronahun!$A:$AM,24,FALSE),"")</f>
        <v>4</v>
      </c>
      <c r="Y375" s="14">
        <f>IFERROR(VLOOKUP($A375,koronahun!$A:$AM,25,FALSE),"")</f>
        <v>5.1667272632836443E-2</v>
      </c>
      <c r="Z375" s="14">
        <f>IFERROR(VLOOKUP($A375,koronahun!$A:$AM,26,FALSE),"")</f>
        <v>7.9919577783362658E-2</v>
      </c>
      <c r="AA375" s="14">
        <f>IFERROR(VLOOKUP($A375,koronahun!$A:$AM,27,FALSE),"")</f>
        <v>1.1526572094008045</v>
      </c>
      <c r="AB375" s="14">
        <f>IFERROR(VLOOKUP($A375,koronahun!$A:$AM,28,FALSE),"")</f>
        <v>1.1869795092460931</v>
      </c>
      <c r="AC375" s="14">
        <f>IFERROR(VLOOKUP($A375,koronahun!$A:$AM,29,FALSE),"")</f>
        <v>1555.4285714285713</v>
      </c>
      <c r="AD375" s="14">
        <f>IFERROR(VLOOKUP($A375,koronahun!$A:$AM,30,FALSE),"")</f>
        <v>84</v>
      </c>
      <c r="AE375" s="14">
        <f>IFERROR(VLOOKUP($A375,koronahun!$A:$AM,31,FALSE),"")</f>
        <v>16098.857142857143</v>
      </c>
      <c r="AF375" s="13">
        <f>IFERROR(VLOOKUP($A375,koronahun!$A:$AM,32,FALSE),"")</f>
        <v>0.10101916648043811</v>
      </c>
      <c r="AG375">
        <f>IFERROR(VLOOKUP($A375,koronahun!$A:$AM,33,FALSE),"")</f>
        <v>341958</v>
      </c>
      <c r="AH375">
        <f>IFERROR(VLOOKUP($A375,koronahun!$A:$AM,34,FALSE),"")</f>
        <v>5661</v>
      </c>
      <c r="AI375">
        <f>IFERROR(VLOOKUP($A375,koronahun!$A:$AM,35,FALSE),"")</f>
        <v>7223.1428571428569</v>
      </c>
      <c r="AJ375">
        <f>IFERROR(VLOOKUP($A375,koronahun!$A:$AM,36,FALSE),"")</f>
        <v>131593</v>
      </c>
      <c r="AK375">
        <f>IFERROR(VLOOKUP($A375,koronahun!$A:$AM,37,FALSE),"")</f>
        <v>2254</v>
      </c>
      <c r="AL375">
        <f>IFERROR(VLOOKUP($A375,koronahun!$A:$AM,38,FALSE),"")</f>
        <v>3028.2857142857142</v>
      </c>
      <c r="AM375" s="14">
        <f>IFERROR(VLOOKUP($A375,koronahun!$A:$AM,39,FALSE),"")</f>
        <v>2213</v>
      </c>
      <c r="AN375" s="11">
        <f ca="1">IFERROR(__xludf.DUMMYFUNCTION("""COMPUTED_VALUE"""),44267)</f>
        <v>44267</v>
      </c>
      <c r="AO375" s="12">
        <f ca="1">IFERROR(VLOOKUP(AN375,koronahun!A:B,2,FALSE),"")</f>
        <v>498183</v>
      </c>
      <c r="AP375" s="11">
        <f t="shared" ca="1" si="2"/>
        <v>44267</v>
      </c>
      <c r="AQ375" s="11">
        <f ca="1">IFERROR(__xludf.DUMMYFUNCTION("""COMPUTED_VALUE"""),44267)</f>
        <v>44267</v>
      </c>
      <c r="AR375" s="11">
        <v>44244</v>
      </c>
      <c r="AS375" s="11">
        <f t="shared" si="3"/>
        <v>44244</v>
      </c>
      <c r="AT375" s="11">
        <f ca="1">IFERROR(__xludf.DUMMYFUNCTION("""COMPUTED_VALUE"""),44243)</f>
        <v>44243</v>
      </c>
    </row>
    <row r="376" spans="1:46" ht="13">
      <c r="A376" s="11">
        <v>44242</v>
      </c>
      <c r="B376">
        <f>IFERROR(VLOOKUP($A376,koronahun!$A:$AM,2,FALSE),"")</f>
        <v>388799</v>
      </c>
      <c r="C376">
        <f>IFERROR(VLOOKUP($A376,koronahun!$A:$AM,3,FALSE),"")</f>
        <v>1337</v>
      </c>
      <c r="D376">
        <f>IFERROR(VLOOKUP($A376,koronahun!$A:$AM,4,FALSE),"")</f>
        <v>13752</v>
      </c>
      <c r="E376">
        <f>IFERROR(VLOOKUP($A376,koronahun!$A:$AM,5,FALSE),"")</f>
        <v>298008</v>
      </c>
      <c r="F376">
        <f>IFERROR(VLOOKUP($A376,koronahun!$A:$AM,6,FALSE),"")</f>
        <v>3388457</v>
      </c>
      <c r="G376" s="12">
        <f>IFERROR(VLOOKUP($A376,koronahun!$A:$AM,7,FALSE),"")</f>
        <v>345760.91836734692</v>
      </c>
      <c r="H376">
        <f>IFERROR(VLOOKUP($A376,koronahun!$A:$AM,8,FALSE),"")</f>
        <v>0</v>
      </c>
      <c r="I376" s="13">
        <f>IFERROR(VLOOKUP($A376,koronahun!$A:$AM,9,FALSE),"")</f>
        <v>3.4506609680433177E-3</v>
      </c>
      <c r="J376" s="13">
        <f>IFERROR(VLOOKUP($A376,koronahun!$A:$AM,10,FALSE),"")</f>
        <v>0.11474219681701731</v>
      </c>
      <c r="K376" s="13">
        <f>IFERROR(VLOOKUP($A376,koronahun!$A:$AM,11,FALSE),"")</f>
        <v>3.3370968205195628E-3</v>
      </c>
      <c r="L376">
        <f>IFERROR(VLOOKUP($A376,koronahun!$A:$AM,12,FALSE),"")</f>
        <v>77039</v>
      </c>
      <c r="M376" s="13">
        <f>IFERROR(VLOOKUP($A376,koronahun!$A:$AM,13,FALSE),"")</f>
        <v>3.5370461343779178E-2</v>
      </c>
      <c r="N376" s="13">
        <f>IFERROR(VLOOKUP($A376,koronahun!$A:$AM,14,FALSE),"")</f>
        <v>0.76648345288953934</v>
      </c>
      <c r="O376">
        <f>IFERROR(VLOOKUP($A376,koronahun!$A:$AM,15,FALSE),"")</f>
        <v>20718</v>
      </c>
      <c r="P376">
        <f>IFERROR(VLOOKUP($A376,koronahun!$A:$AM,16,FALSE),"")</f>
        <v>11270</v>
      </c>
      <c r="Q376" s="13">
        <f>IFERROR(VLOOKUP($A376,koronahun!$A:$AM,17,FALSE),"")</f>
        <v>0.11863354037267081</v>
      </c>
      <c r="R376">
        <f>IFERROR(VLOOKUP($A376,koronahun!$A:$AM,18,FALSE),"")</f>
        <v>46</v>
      </c>
      <c r="S376">
        <f>IFERROR(VLOOKUP($A376,koronahun!$A:$AM,19,FALSE),"")</f>
        <v>1835</v>
      </c>
      <c r="T376">
        <f>IFERROR(VLOOKUP($A376,koronahun!$A:$AM,20,FALSE),"")</f>
        <v>3883</v>
      </c>
      <c r="U376">
        <f>IFERROR(VLOOKUP($A376,koronahun!$A:$AM,21,FALSE),"")</f>
        <v>314</v>
      </c>
      <c r="V376" s="13">
        <f>IFERROR(VLOOKUP($A376,koronahun!$A:$AM,22,FALSE),"")</f>
        <v>0.1981460857666815</v>
      </c>
      <c r="W376">
        <f>IFERROR(VLOOKUP($A376,koronahun!$A:$AM,23,FALSE),"")</f>
        <v>128</v>
      </c>
      <c r="X376">
        <f>IFERROR(VLOOKUP($A376,koronahun!$A:$AM,24,FALSE),"")</f>
        <v>2</v>
      </c>
      <c r="Y376" s="14">
        <f>IFERROR(VLOOKUP($A376,koronahun!$A:$AM,25,FALSE),"")</f>
        <v>5.0403042614779528E-2</v>
      </c>
      <c r="Z376" s="14">
        <f>IFERROR(VLOOKUP($A376,koronahun!$A:$AM,26,FALSE),"")</f>
        <v>8.0865310327066703E-2</v>
      </c>
      <c r="AA376" s="14">
        <f>IFERROR(VLOOKUP($A376,koronahun!$A:$AM,27,FALSE),"")</f>
        <v>1.2458356623812186</v>
      </c>
      <c r="AB376" s="14">
        <f>IFERROR(VLOOKUP($A376,koronahun!$A:$AM,28,FALSE),"")</f>
        <v>1.1827503571447602</v>
      </c>
      <c r="AC376" s="14">
        <f>IFERROR(VLOOKUP($A376,koronahun!$A:$AM,29,FALSE),"")</f>
        <v>1592</v>
      </c>
      <c r="AD376" s="14">
        <f>IFERROR(VLOOKUP($A376,koronahun!$A:$AM,30,FALSE),"")</f>
        <v>85.285714285714292</v>
      </c>
      <c r="AE376" s="14">
        <f>IFERROR(VLOOKUP($A376,koronahun!$A:$AM,31,FALSE),"")</f>
        <v>16125</v>
      </c>
      <c r="AF376" s="13">
        <f>IFERROR(VLOOKUP($A376,koronahun!$A:$AM,32,FALSE),"")</f>
        <v>0.10618550376321664</v>
      </c>
      <c r="AG376">
        <f>IFERROR(VLOOKUP($A376,koronahun!$A:$AM,33,FALSE),"")</f>
        <v>336297</v>
      </c>
      <c r="AH376">
        <f>IFERROR(VLOOKUP($A376,koronahun!$A:$AM,34,FALSE),"")</f>
        <v>1109</v>
      </c>
      <c r="AI376">
        <f>IFERROR(VLOOKUP($A376,koronahun!$A:$AM,35,FALSE),"")</f>
        <v>6750.7142857142853</v>
      </c>
      <c r="AJ376">
        <f>IFERROR(VLOOKUP($A376,koronahun!$A:$AM,36,FALSE),"")</f>
        <v>129339</v>
      </c>
      <c r="AK376">
        <f>IFERROR(VLOOKUP($A376,koronahun!$A:$AM,37,FALSE),"")</f>
        <v>1144</v>
      </c>
      <c r="AL376">
        <f>IFERROR(VLOOKUP($A376,koronahun!$A:$AM,38,FALSE),"")</f>
        <v>3106.7142857142858</v>
      </c>
      <c r="AM376" s="14">
        <f>IFERROR(VLOOKUP($A376,koronahun!$A:$AM,39,FALSE),"")</f>
        <v>2309.8571428571427</v>
      </c>
      <c r="AN376" s="11">
        <f ca="1">IFERROR(__xludf.DUMMYFUNCTION("""COMPUTED_VALUE"""),44268)</f>
        <v>44268</v>
      </c>
      <c r="AO376" s="12">
        <f ca="1">IFERROR(VLOOKUP(AN376,koronahun!A:B,2,FALSE),"")</f>
        <v>507627</v>
      </c>
      <c r="AP376" s="11">
        <f t="shared" ca="1" si="2"/>
        <v>44268</v>
      </c>
      <c r="AQ376" s="11">
        <f ca="1">IFERROR(__xludf.DUMMYFUNCTION("""COMPUTED_VALUE"""),44268)</f>
        <v>44268</v>
      </c>
      <c r="AR376" s="11">
        <v>44243</v>
      </c>
      <c r="AS376" s="11">
        <f t="shared" si="3"/>
        <v>44243</v>
      </c>
      <c r="AT376" s="11">
        <f ca="1">IFERROR(__xludf.DUMMYFUNCTION("""COMPUTED_VALUE"""),44242)</f>
        <v>44242</v>
      </c>
    </row>
    <row r="377" spans="1:46" ht="13">
      <c r="A377" s="11">
        <v>44241</v>
      </c>
      <c r="B377">
        <f>IFERROR(VLOOKUP($A377,koronahun!$A:$AM,2,FALSE),"")</f>
        <v>387462</v>
      </c>
      <c r="C377">
        <f>IFERROR(VLOOKUP($A377,koronahun!$A:$AM,3,FALSE),"")</f>
        <v>1707</v>
      </c>
      <c r="D377">
        <f>IFERROR(VLOOKUP($A377,koronahun!$A:$AM,4,FALSE),"")</f>
        <v>13706</v>
      </c>
      <c r="E377">
        <f>IFERROR(VLOOKUP($A377,koronahun!$A:$AM,5,FALSE),"")</f>
        <v>296173</v>
      </c>
      <c r="F377">
        <f>IFERROR(VLOOKUP($A377,koronahun!$A:$AM,6,FALSE),"")</f>
        <v>3377187</v>
      </c>
      <c r="G377" s="12">
        <f>IFERROR(VLOOKUP($A377,koronahun!$A:$AM,7,FALSE),"")</f>
        <v>344610.91836734692</v>
      </c>
      <c r="H377">
        <f>IFERROR(VLOOKUP($A377,koronahun!$A:$AM,8,FALSE),"")</f>
        <v>0</v>
      </c>
      <c r="I377" s="13">
        <f>IFERROR(VLOOKUP($A377,koronahun!$A:$AM,9,FALSE),"")</f>
        <v>4.4250884628844736E-3</v>
      </c>
      <c r="J377" s="13">
        <f>IFERROR(VLOOKUP($A377,koronahun!$A:$AM,10,FALSE),"")</f>
        <v>0.11472921102681018</v>
      </c>
      <c r="K377" s="13">
        <f>IFERROR(VLOOKUP($A377,koronahun!$A:$AM,11,FALSE),"")</f>
        <v>5.8120626434029288E-3</v>
      </c>
      <c r="L377">
        <f>IFERROR(VLOOKUP($A377,koronahun!$A:$AM,12,FALSE),"")</f>
        <v>77583</v>
      </c>
      <c r="M377" s="13">
        <f>IFERROR(VLOOKUP($A377,koronahun!$A:$AM,13,FALSE),"")</f>
        <v>3.537379149439171E-2</v>
      </c>
      <c r="N377" s="13">
        <f>IFERROR(VLOOKUP($A377,koronahun!$A:$AM,14,FALSE),"")</f>
        <v>0.76439237912363023</v>
      </c>
      <c r="O377">
        <f>IFERROR(VLOOKUP($A377,koronahun!$A:$AM,15,FALSE),"")</f>
        <v>19927</v>
      </c>
      <c r="P377">
        <f>IFERROR(VLOOKUP($A377,koronahun!$A:$AM,16,FALSE),"")</f>
        <v>19515</v>
      </c>
      <c r="Q377" s="13">
        <f>IFERROR(VLOOKUP($A377,koronahun!$A:$AM,17,FALSE),"")</f>
        <v>8.7471176018447352E-2</v>
      </c>
      <c r="R377">
        <f>IFERROR(VLOOKUP($A377,koronahun!$A:$AM,18,FALSE),"")</f>
        <v>70</v>
      </c>
      <c r="S377">
        <f>IFERROR(VLOOKUP($A377,koronahun!$A:$AM,19,FALSE),"")</f>
        <v>2631</v>
      </c>
      <c r="T377">
        <f>IFERROR(VLOOKUP($A377,koronahun!$A:$AM,20,FALSE),"")</f>
        <v>3755</v>
      </c>
      <c r="U377">
        <f>IFERROR(VLOOKUP($A377,koronahun!$A:$AM,21,FALSE),"")</f>
        <v>312</v>
      </c>
      <c r="V377" s="13">
        <f>IFERROR(VLOOKUP($A377,koronahun!$A:$AM,22,FALSE),"")</f>
        <v>0.20023382938197809</v>
      </c>
      <c r="W377">
        <f>IFERROR(VLOOKUP($A377,koronahun!$A:$AM,23,FALSE),"")</f>
        <v>-16</v>
      </c>
      <c r="X377">
        <f>IFERROR(VLOOKUP($A377,koronahun!$A:$AM,24,FALSE),"")</f>
        <v>13</v>
      </c>
      <c r="Y377" s="14">
        <f>IFERROR(VLOOKUP($A377,koronahun!$A:$AM,25,FALSE),"")</f>
        <v>4.8399778301947589E-2</v>
      </c>
      <c r="Z377" s="14">
        <f>IFERROR(VLOOKUP($A377,koronahun!$A:$AM,26,FALSE),"")</f>
        <v>8.308921438082556E-2</v>
      </c>
      <c r="AA377" s="14">
        <f>IFERROR(VLOOKUP($A377,koronahun!$A:$AM,27,FALSE),"")</f>
        <v>1.23100235716691</v>
      </c>
      <c r="AB377" s="14">
        <f>IFERROR(VLOOKUP($A377,koronahun!$A:$AM,28,FALSE),"")</f>
        <v>1.1588810629461341</v>
      </c>
      <c r="AC377" s="14">
        <f>IFERROR(VLOOKUP($A377,koronahun!$A:$AM,29,FALSE),"")</f>
        <v>1566.7142857142858</v>
      </c>
      <c r="AD377" s="14">
        <f>IFERROR(VLOOKUP($A377,koronahun!$A:$AM,30,FALSE),"")</f>
        <v>88</v>
      </c>
      <c r="AE377" s="14">
        <f>IFERROR(VLOOKUP($A377,koronahun!$A:$AM,31,FALSE),"")</f>
        <v>15903.571428571429</v>
      </c>
      <c r="AF377" s="13">
        <f>IFERROR(VLOOKUP($A377,koronahun!$A:$AM,32,FALSE),"")</f>
        <v>0.10628664996512197</v>
      </c>
      <c r="AG377">
        <f>IFERROR(VLOOKUP($A377,koronahun!$A:$AM,33,FALSE),"")</f>
        <v>335188</v>
      </c>
      <c r="AH377">
        <f>IFERROR(VLOOKUP($A377,koronahun!$A:$AM,34,FALSE),"")</f>
        <v>4443</v>
      </c>
      <c r="AI377">
        <f>IFERROR(VLOOKUP($A377,koronahun!$A:$AM,35,FALSE),"")</f>
        <v>6972.7142857142853</v>
      </c>
      <c r="AJ377">
        <f>IFERROR(VLOOKUP($A377,koronahun!$A:$AM,36,FALSE),"")</f>
        <v>128195</v>
      </c>
      <c r="AK377">
        <f>IFERROR(VLOOKUP($A377,koronahun!$A:$AM,37,FALSE),"")</f>
        <v>3772</v>
      </c>
      <c r="AL377">
        <f>IFERROR(VLOOKUP($A377,koronahun!$A:$AM,38,FALSE),"")</f>
        <v>3279</v>
      </c>
      <c r="AM377" s="14">
        <f>IFERROR(VLOOKUP($A377,koronahun!$A:$AM,39,FALSE),"")</f>
        <v>2344.2857142857142</v>
      </c>
      <c r="AN377" s="11">
        <f ca="1">IFERROR(__xludf.DUMMYFUNCTION("""COMPUTED_VALUE"""),44269)</f>
        <v>44269</v>
      </c>
      <c r="AO377" s="12">
        <f ca="1">IFERROR(VLOOKUP(AN377,koronahun!A:B,2,FALSE),"")</f>
        <v>516490</v>
      </c>
      <c r="AP377" s="11">
        <f t="shared" ca="1" si="2"/>
        <v>44269</v>
      </c>
      <c r="AQ377" s="11">
        <f ca="1">IFERROR(__xludf.DUMMYFUNCTION("""COMPUTED_VALUE"""),44269)</f>
        <v>44269</v>
      </c>
      <c r="AR377" s="11">
        <v>44242</v>
      </c>
      <c r="AS377" s="11">
        <f t="shared" si="3"/>
        <v>44242</v>
      </c>
      <c r="AT377" s="11">
        <f ca="1">IFERROR(__xludf.DUMMYFUNCTION("""COMPUTED_VALUE"""),44241)</f>
        <v>44241</v>
      </c>
    </row>
    <row r="378" spans="1:46" ht="13">
      <c r="A378" s="11">
        <v>44240</v>
      </c>
      <c r="B378">
        <f>IFERROR(VLOOKUP($A378,koronahun!$A:$AM,2,FALSE),"")</f>
        <v>385755</v>
      </c>
      <c r="C378">
        <f>IFERROR(VLOOKUP($A378,koronahun!$A:$AM,3,FALSE),"")</f>
        <v>2020</v>
      </c>
      <c r="D378">
        <f>IFERROR(VLOOKUP($A378,koronahun!$A:$AM,4,FALSE),"")</f>
        <v>13636</v>
      </c>
      <c r="E378">
        <f>IFERROR(VLOOKUP($A378,koronahun!$A:$AM,5,FALSE),"")</f>
        <v>293542</v>
      </c>
      <c r="F378">
        <f>IFERROR(VLOOKUP($A378,koronahun!$A:$AM,6,FALSE),"")</f>
        <v>3357672</v>
      </c>
      <c r="G378" s="12">
        <f>IFERROR(VLOOKUP($A378,koronahun!$A:$AM,7,FALSE),"")</f>
        <v>342619.59183673467</v>
      </c>
      <c r="H378">
        <f>IFERROR(VLOOKUP($A378,koronahun!$A:$AM,8,FALSE),"")</f>
        <v>0</v>
      </c>
      <c r="I378" s="13">
        <f>IFERROR(VLOOKUP($A378,koronahun!$A:$AM,9,FALSE),"")</f>
        <v>5.2640494090974242E-3</v>
      </c>
      <c r="J378" s="13">
        <f>IFERROR(VLOOKUP($A378,koronahun!$A:$AM,10,FALSE),"")</f>
        <v>0.11488763643381486</v>
      </c>
      <c r="K378" s="13">
        <f>IFERROR(VLOOKUP($A378,koronahun!$A:$AM,11,FALSE),"")</f>
        <v>5.8062678216295833E-3</v>
      </c>
      <c r="L378">
        <f>IFERROR(VLOOKUP($A378,koronahun!$A:$AM,12,FALSE),"")</f>
        <v>78577</v>
      </c>
      <c r="M378" s="13">
        <f>IFERROR(VLOOKUP($A378,koronahun!$A:$AM,13,FALSE),"")</f>
        <v>3.5348861323897293E-2</v>
      </c>
      <c r="N378" s="13">
        <f>IFERROR(VLOOKUP($A378,koronahun!$A:$AM,14,FALSE),"")</f>
        <v>0.76095449184067609</v>
      </c>
      <c r="O378">
        <f>IFERROR(VLOOKUP($A378,koronahun!$A:$AM,15,FALSE),"")</f>
        <v>20794</v>
      </c>
      <c r="P378">
        <f>IFERROR(VLOOKUP($A378,koronahun!$A:$AM,16,FALSE),"")</f>
        <v>19383</v>
      </c>
      <c r="Q378" s="13">
        <f>IFERROR(VLOOKUP($A378,koronahun!$A:$AM,17,FALSE),"")</f>
        <v>0.10421503379249858</v>
      </c>
      <c r="R378">
        <f>IFERROR(VLOOKUP($A378,koronahun!$A:$AM,18,FALSE),"")</f>
        <v>93</v>
      </c>
      <c r="S378">
        <f>IFERROR(VLOOKUP($A378,koronahun!$A:$AM,19,FALSE),"")</f>
        <v>4022</v>
      </c>
      <c r="T378">
        <f>IFERROR(VLOOKUP($A378,koronahun!$A:$AM,20,FALSE),"")</f>
        <v>3771</v>
      </c>
      <c r="U378">
        <f>IFERROR(VLOOKUP($A378,koronahun!$A:$AM,21,FALSE),"")</f>
        <v>299</v>
      </c>
      <c r="V378" s="13">
        <f>IFERROR(VLOOKUP($A378,koronahun!$A:$AM,22,FALSE),"")</f>
        <v>0.20369664683542663</v>
      </c>
      <c r="W378">
        <f>IFERROR(VLOOKUP($A378,koronahun!$A:$AM,23,FALSE),"")</f>
        <v>-57</v>
      </c>
      <c r="X378">
        <f>IFERROR(VLOOKUP($A378,koronahun!$A:$AM,24,FALSE),"")</f>
        <v>0</v>
      </c>
      <c r="Y378" s="14">
        <f>IFERROR(VLOOKUP($A378,koronahun!$A:$AM,25,FALSE),"")</f>
        <v>4.7991142446262902E-2</v>
      </c>
      <c r="Z378" s="14">
        <f>IFERROR(VLOOKUP($A378,koronahun!$A:$AM,26,FALSE),"")</f>
        <v>7.9289313179527976E-2</v>
      </c>
      <c r="AA378" s="14">
        <f>IFERROR(VLOOKUP($A378,koronahun!$A:$AM,27,FALSE),"")</f>
        <v>1.2016730725751752</v>
      </c>
      <c r="AB378" s="14">
        <f>IFERROR(VLOOKUP($A378,koronahun!$A:$AM,28,FALSE),"")</f>
        <v>1.141874592551346</v>
      </c>
      <c r="AC378" s="14">
        <f>IFERROR(VLOOKUP($A378,koronahun!$A:$AM,29,FALSE),"")</f>
        <v>1518.5714285714287</v>
      </c>
      <c r="AD378" s="14">
        <f>IFERROR(VLOOKUP($A378,koronahun!$A:$AM,30,FALSE),"")</f>
        <v>87.142857142857139</v>
      </c>
      <c r="AE378" s="14">
        <f>IFERROR(VLOOKUP($A378,koronahun!$A:$AM,31,FALSE),"")</f>
        <v>15833.428571428571</v>
      </c>
      <c r="AF378" s="13">
        <f>IFERROR(VLOOKUP($A378,koronahun!$A:$AM,32,FALSE),"")</f>
        <v>0.10407852449522724</v>
      </c>
      <c r="AG378">
        <f>IFERROR(VLOOKUP($A378,koronahun!$A:$AM,33,FALSE),"")</f>
        <v>330745</v>
      </c>
      <c r="AH378">
        <f>IFERROR(VLOOKUP($A378,koronahun!$A:$AM,34,FALSE),"")</f>
        <v>20297</v>
      </c>
      <c r="AI378">
        <f>IFERROR(VLOOKUP($A378,koronahun!$A:$AM,35,FALSE),"")</f>
        <v>7333.5714285714284</v>
      </c>
      <c r="AJ378">
        <f>IFERROR(VLOOKUP($A378,koronahun!$A:$AM,36,FALSE),"")</f>
        <v>124423</v>
      </c>
      <c r="AK378">
        <f>IFERROR(VLOOKUP($A378,koronahun!$A:$AM,37,FALSE),"")</f>
        <v>3774</v>
      </c>
      <c r="AL378">
        <f>IFERROR(VLOOKUP($A378,koronahun!$A:$AM,38,FALSE),"")</f>
        <v>3253</v>
      </c>
      <c r="AM378" s="14">
        <f>IFERROR(VLOOKUP($A378,koronahun!$A:$AM,39,FALSE),"")</f>
        <v>2227.5714285714284</v>
      </c>
      <c r="AN378" s="11">
        <f ca="1">IFERROR(__xludf.DUMMYFUNCTION("""COMPUTED_VALUE"""),44270)</f>
        <v>44270</v>
      </c>
      <c r="AO378" s="12">
        <f ca="1">IFERROR(VLOOKUP(AN378,koronahun!A:B,2,FALSE),"")</f>
        <v>524196</v>
      </c>
      <c r="AP378" s="11">
        <f t="shared" ca="1" si="2"/>
        <v>44270</v>
      </c>
      <c r="AQ378" s="11">
        <f ca="1">IFERROR(__xludf.DUMMYFUNCTION("""COMPUTED_VALUE"""),44270)</f>
        <v>44270</v>
      </c>
      <c r="AR378" s="11">
        <v>44241</v>
      </c>
      <c r="AS378" s="11">
        <f t="shared" si="3"/>
        <v>44241</v>
      </c>
      <c r="AT378" s="11">
        <f ca="1">IFERROR(__xludf.DUMMYFUNCTION("""COMPUTED_VALUE"""),44240)</f>
        <v>44240</v>
      </c>
    </row>
    <row r="379" spans="1:46" ht="13">
      <c r="A379" s="11">
        <v>44239</v>
      </c>
      <c r="B379">
        <f>IFERROR(VLOOKUP($A379,koronahun!$A:$AM,2,FALSE),"")</f>
        <v>383735</v>
      </c>
      <c r="C379">
        <f>IFERROR(VLOOKUP($A379,koronahun!$A:$AM,3,FALSE),"")</f>
        <v>1860</v>
      </c>
      <c r="D379">
        <f>IFERROR(VLOOKUP($A379,koronahun!$A:$AM,4,FALSE),"")</f>
        <v>13543</v>
      </c>
      <c r="E379">
        <f>IFERROR(VLOOKUP($A379,koronahun!$A:$AM,5,FALSE),"")</f>
        <v>289520</v>
      </c>
      <c r="F379">
        <f>IFERROR(VLOOKUP($A379,koronahun!$A:$AM,6,FALSE),"")</f>
        <v>3338289</v>
      </c>
      <c r="G379" s="12">
        <f>IFERROR(VLOOKUP($A379,koronahun!$A:$AM,7,FALSE),"")</f>
        <v>340641.73469387752</v>
      </c>
      <c r="H379">
        <f>IFERROR(VLOOKUP($A379,koronahun!$A:$AM,8,FALSE),"")</f>
        <v>0</v>
      </c>
      <c r="I379" s="13">
        <f>IFERROR(VLOOKUP($A379,koronahun!$A:$AM,9,FALSE),"")</f>
        <v>4.870703764320786E-3</v>
      </c>
      <c r="J379" s="13">
        <f>IFERROR(VLOOKUP($A379,koronahun!$A:$AM,10,FALSE),"")</f>
        <v>0.11494960442310417</v>
      </c>
      <c r="K379" s="13">
        <f>IFERROR(VLOOKUP($A379,koronahun!$A:$AM,11,FALSE),"")</f>
        <v>5.8571493137683237E-3</v>
      </c>
      <c r="L379">
        <f>IFERROR(VLOOKUP($A379,koronahun!$A:$AM,12,FALSE),"")</f>
        <v>80672</v>
      </c>
      <c r="M379" s="13">
        <f>IFERROR(VLOOKUP($A379,koronahun!$A:$AM,13,FALSE),"")</f>
        <v>3.5292584726438821E-2</v>
      </c>
      <c r="N379" s="13">
        <f>IFERROR(VLOOKUP($A379,koronahun!$A:$AM,14,FALSE),"")</f>
        <v>0.75447900243657728</v>
      </c>
      <c r="O379">
        <f>IFERROR(VLOOKUP($A379,koronahun!$A:$AM,15,FALSE),"")</f>
        <v>22525</v>
      </c>
      <c r="P379">
        <f>IFERROR(VLOOKUP($A379,koronahun!$A:$AM,16,FALSE),"")</f>
        <v>19439</v>
      </c>
      <c r="Q379" s="13">
        <f>IFERROR(VLOOKUP($A379,koronahun!$A:$AM,17,FALSE),"")</f>
        <v>9.5683934358763309E-2</v>
      </c>
      <c r="R379">
        <f>IFERROR(VLOOKUP($A379,koronahun!$A:$AM,18,FALSE),"")</f>
        <v>99</v>
      </c>
      <c r="S379">
        <f>IFERROR(VLOOKUP($A379,koronahun!$A:$AM,19,FALSE),"")</f>
        <v>2386</v>
      </c>
      <c r="T379">
        <f>IFERROR(VLOOKUP($A379,koronahun!$A:$AM,20,FALSE),"")</f>
        <v>3828</v>
      </c>
      <c r="U379">
        <f>IFERROR(VLOOKUP($A379,koronahun!$A:$AM,21,FALSE),"")</f>
        <v>299</v>
      </c>
      <c r="V379" s="13">
        <f>IFERROR(VLOOKUP($A379,koronahun!$A:$AM,22,FALSE),"")</f>
        <v>0.21022841283698385</v>
      </c>
      <c r="W379">
        <f>IFERROR(VLOOKUP($A379,koronahun!$A:$AM,23,FALSE),"")</f>
        <v>29</v>
      </c>
      <c r="X379">
        <f>IFERROR(VLOOKUP($A379,koronahun!$A:$AM,24,FALSE),"")</f>
        <v>0</v>
      </c>
      <c r="Y379" s="14">
        <f>IFERROR(VLOOKUP($A379,koronahun!$A:$AM,25,FALSE),"")</f>
        <v>4.7451408171360572E-2</v>
      </c>
      <c r="Z379" s="14">
        <f>IFERROR(VLOOKUP($A379,koronahun!$A:$AM,26,FALSE),"")</f>
        <v>7.8108672936259144E-2</v>
      </c>
      <c r="AA379" s="14">
        <f>IFERROR(VLOOKUP($A379,koronahun!$A:$AM,27,FALSE),"")</f>
        <v>1.1751588677065281</v>
      </c>
      <c r="AB379" s="14">
        <f>IFERROR(VLOOKUP($A379,koronahun!$A:$AM,28,FALSE),"")</f>
        <v>1.1289252079056442</v>
      </c>
      <c r="AC379" s="14">
        <f>IFERROR(VLOOKUP($A379,koronahun!$A:$AM,29,FALSE),"")</f>
        <v>1453</v>
      </c>
      <c r="AD379" s="14">
        <f>IFERROR(VLOOKUP($A379,koronahun!$A:$AM,30,FALSE),"")</f>
        <v>87.571428571428569</v>
      </c>
      <c r="AE379" s="14">
        <f>IFERROR(VLOOKUP($A379,koronahun!$A:$AM,31,FALSE),"")</f>
        <v>15578.142857142857</v>
      </c>
      <c r="AF379" s="13">
        <f>IFERROR(VLOOKUP($A379,koronahun!$A:$AM,32,FALSE),"")</f>
        <v>0.10186399737369958</v>
      </c>
      <c r="AG379">
        <f>IFERROR(VLOOKUP($A379,koronahun!$A:$AM,33,FALSE),"")</f>
        <v>310448</v>
      </c>
      <c r="AH379">
        <f>IFERROR(VLOOKUP($A379,koronahun!$A:$AM,34,FALSE),"")</f>
        <v>15824</v>
      </c>
      <c r="AI379">
        <f>IFERROR(VLOOKUP($A379,koronahun!$A:$AM,35,FALSE),"")</f>
        <v>6559.7142857142853</v>
      </c>
      <c r="AJ379">
        <f>IFERROR(VLOOKUP($A379,koronahun!$A:$AM,36,FALSE),"")</f>
        <v>120649</v>
      </c>
      <c r="AK379">
        <f>IFERROR(VLOOKUP($A379,koronahun!$A:$AM,37,FALSE),"")</f>
        <v>3281</v>
      </c>
      <c r="AL379">
        <f>IFERROR(VLOOKUP($A379,koronahun!$A:$AM,38,FALSE),"")</f>
        <v>3982.2857142857142</v>
      </c>
      <c r="AM379" s="14">
        <f>IFERROR(VLOOKUP($A379,koronahun!$A:$AM,39,FALSE),"")</f>
        <v>1965.1428571428571</v>
      </c>
      <c r="AN379" s="11">
        <f ca="1">IFERROR(__xludf.DUMMYFUNCTION("""COMPUTED_VALUE"""),44271)</f>
        <v>44271</v>
      </c>
      <c r="AO379" s="12">
        <f ca="1">IFERROR(VLOOKUP(AN379,koronahun!A:B,2,FALSE),"")</f>
        <v>529122</v>
      </c>
      <c r="AP379" s="11">
        <f t="shared" ca="1" si="2"/>
        <v>44271</v>
      </c>
      <c r="AQ379" s="11">
        <f ca="1">IFERROR(__xludf.DUMMYFUNCTION("""COMPUTED_VALUE"""),44271)</f>
        <v>44271</v>
      </c>
      <c r="AR379" s="11">
        <v>44240</v>
      </c>
      <c r="AS379" s="11">
        <f t="shared" si="3"/>
        <v>44240</v>
      </c>
      <c r="AT379" s="11">
        <f ca="1">IFERROR(__xludf.DUMMYFUNCTION("""COMPUTED_VALUE"""),44239)</f>
        <v>44239</v>
      </c>
    </row>
    <row r="380" spans="1:46" ht="13">
      <c r="A380" s="11">
        <v>44238</v>
      </c>
      <c r="B380">
        <f>IFERROR(VLOOKUP($A380,koronahun!$A:$AM,2,FALSE),"")</f>
        <v>381875</v>
      </c>
      <c r="C380">
        <f>IFERROR(VLOOKUP($A380,koronahun!$A:$AM,3,FALSE),"")</f>
        <v>1862</v>
      </c>
      <c r="D380">
        <f>IFERROR(VLOOKUP($A380,koronahun!$A:$AM,4,FALSE),"")</f>
        <v>13444</v>
      </c>
      <c r="E380">
        <f>IFERROR(VLOOKUP($A380,koronahun!$A:$AM,5,FALSE),"")</f>
        <v>287134</v>
      </c>
      <c r="F380">
        <f>IFERROR(VLOOKUP($A380,koronahun!$A:$AM,6,FALSE),"")</f>
        <v>3318850</v>
      </c>
      <c r="G380" s="12">
        <f>IFERROR(VLOOKUP($A380,koronahun!$A:$AM,7,FALSE),"")</f>
        <v>338658.1632653061</v>
      </c>
      <c r="H380">
        <f>IFERROR(VLOOKUP($A380,koronahun!$A:$AM,8,FALSE),"")</f>
        <v>0</v>
      </c>
      <c r="I380" s="13">
        <f>IFERROR(VLOOKUP($A380,koronahun!$A:$AM,9,FALSE),"")</f>
        <v>4.8998323741556212E-3</v>
      </c>
      <c r="J380" s="13">
        <f>IFERROR(VLOOKUP($A380,koronahun!$A:$AM,10,FALSE),"")</f>
        <v>0.11506244632930081</v>
      </c>
      <c r="K380" s="13">
        <f>IFERROR(VLOOKUP($A380,koronahun!$A:$AM,11,FALSE),"")</f>
        <v>6.0736980017666959E-3</v>
      </c>
      <c r="L380">
        <f>IFERROR(VLOOKUP($A380,koronahun!$A:$AM,12,FALSE),"")</f>
        <v>81297</v>
      </c>
      <c r="M380" s="13">
        <f>IFERROR(VLOOKUP($A380,koronahun!$A:$AM,13,FALSE),"")</f>
        <v>3.5205237315875611E-2</v>
      </c>
      <c r="N380" s="13">
        <f>IFERROR(VLOOKUP($A380,koronahun!$A:$AM,14,FALSE),"")</f>
        <v>0.75190572831423896</v>
      </c>
      <c r="O380">
        <f>IFERROR(VLOOKUP($A380,koronahun!$A:$AM,15,FALSE),"")</f>
        <v>21456</v>
      </c>
      <c r="P380">
        <f>IFERROR(VLOOKUP($A380,koronahun!$A:$AM,16,FALSE),"")</f>
        <v>20036</v>
      </c>
      <c r="Q380" s="13">
        <f>IFERROR(VLOOKUP($A380,koronahun!$A:$AM,17,FALSE),"")</f>
        <v>9.2932721102016377E-2</v>
      </c>
      <c r="R380">
        <f>IFERROR(VLOOKUP($A380,koronahun!$A:$AM,18,FALSE),"")</f>
        <v>97</v>
      </c>
      <c r="S380">
        <f>IFERROR(VLOOKUP($A380,koronahun!$A:$AM,19,FALSE),"")</f>
        <v>2112</v>
      </c>
      <c r="T380">
        <f>IFERROR(VLOOKUP($A380,koronahun!$A:$AM,20,FALSE),"")</f>
        <v>3799</v>
      </c>
      <c r="U380">
        <f>IFERROR(VLOOKUP($A380,koronahun!$A:$AM,21,FALSE),"")</f>
        <v>299</v>
      </c>
      <c r="V380" s="13">
        <f>IFERROR(VLOOKUP($A380,koronahun!$A:$AM,22,FALSE),"")</f>
        <v>0.21288903436988543</v>
      </c>
      <c r="W380">
        <f>IFERROR(VLOOKUP($A380,koronahun!$A:$AM,23,FALSE),"")</f>
        <v>52</v>
      </c>
      <c r="X380">
        <f>IFERROR(VLOOKUP($A380,koronahun!$A:$AM,24,FALSE),"")</f>
        <v>3</v>
      </c>
      <c r="Y380" s="14">
        <f>IFERROR(VLOOKUP($A380,koronahun!$A:$AM,25,FALSE),"")</f>
        <v>4.6729891631917535E-2</v>
      </c>
      <c r="Z380" s="14">
        <f>IFERROR(VLOOKUP($A380,koronahun!$A:$AM,26,FALSE),"")</f>
        <v>7.8704922347986317E-2</v>
      </c>
      <c r="AA380" s="14">
        <f>IFERROR(VLOOKUP($A380,koronahun!$A:$AM,27,FALSE),"")</f>
        <v>1.1579995315062075</v>
      </c>
      <c r="AB380" s="14">
        <f>IFERROR(VLOOKUP($A380,koronahun!$A:$AM,28,FALSE),"")</f>
        <v>1.1168453408600112</v>
      </c>
      <c r="AC380" s="14">
        <f>IFERROR(VLOOKUP($A380,koronahun!$A:$AM,29,FALSE),"")</f>
        <v>1412.4285714285713</v>
      </c>
      <c r="AD380" s="14">
        <f>IFERROR(VLOOKUP($A380,koronahun!$A:$AM,30,FALSE),"")</f>
        <v>87.428571428571431</v>
      </c>
      <c r="AE380" s="14">
        <f>IFERROR(VLOOKUP($A380,koronahun!$A:$AM,31,FALSE),"")</f>
        <v>15471.571428571429</v>
      </c>
      <c r="AF380" s="13">
        <f>IFERROR(VLOOKUP($A380,koronahun!$A:$AM,32,FALSE),"")</f>
        <v>0.10023909741138855</v>
      </c>
      <c r="AG380">
        <f>IFERROR(VLOOKUP($A380,koronahun!$A:$AM,33,FALSE),"")</f>
        <v>294624</v>
      </c>
      <c r="AH380">
        <f>IFERROR(VLOOKUP($A380,koronahun!$A:$AM,34,FALSE),"")</f>
        <v>1997</v>
      </c>
      <c r="AI380">
        <f>IFERROR(VLOOKUP($A380,koronahun!$A:$AM,35,FALSE),"")</f>
        <v>6419.5714285714284</v>
      </c>
      <c r="AJ380">
        <f>IFERROR(VLOOKUP($A380,koronahun!$A:$AM,36,FALSE),"")</f>
        <v>117368</v>
      </c>
      <c r="AK380">
        <f>IFERROR(VLOOKUP($A380,koronahun!$A:$AM,37,FALSE),"")</f>
        <v>3798</v>
      </c>
      <c r="AL380">
        <f>IFERROR(VLOOKUP($A380,koronahun!$A:$AM,38,FALSE),"")</f>
        <v>4702.2857142857147</v>
      </c>
      <c r="AM380" s="14">
        <f>IFERROR(VLOOKUP($A380,koronahun!$A:$AM,39,FALSE),"")</f>
        <v>1832.2857142857142</v>
      </c>
      <c r="AN380" s="11">
        <f ca="1">IFERROR(__xludf.DUMMYFUNCTION("""COMPUTED_VALUE"""),44272)</f>
        <v>44272</v>
      </c>
      <c r="AO380" s="12">
        <f ca="1">IFERROR(VLOOKUP(AN380,koronahun!A:B,2,FALSE),"")</f>
        <v>532578</v>
      </c>
      <c r="AP380" s="11">
        <f t="shared" ca="1" si="2"/>
        <v>44272</v>
      </c>
      <c r="AQ380" s="11">
        <f ca="1">IFERROR(__xludf.DUMMYFUNCTION("""COMPUTED_VALUE"""),44272)</f>
        <v>44272</v>
      </c>
      <c r="AR380" s="11">
        <v>44239</v>
      </c>
      <c r="AS380" s="11">
        <f t="shared" si="3"/>
        <v>44239</v>
      </c>
      <c r="AT380" s="11">
        <f ca="1">IFERROR(__xludf.DUMMYFUNCTION("""COMPUTED_VALUE"""),44238)</f>
        <v>44238</v>
      </c>
    </row>
    <row r="381" spans="1:46" ht="13">
      <c r="A381" s="11">
        <v>44237</v>
      </c>
      <c r="B381">
        <f>IFERROR(VLOOKUP($A381,koronahun!$A:$AM,2,FALSE),"")</f>
        <v>380013</v>
      </c>
      <c r="C381">
        <f>IFERROR(VLOOKUP($A381,koronahun!$A:$AM,3,FALSE),"")</f>
        <v>1279</v>
      </c>
      <c r="D381">
        <f>IFERROR(VLOOKUP($A381,koronahun!$A:$AM,4,FALSE),"")</f>
        <v>13347</v>
      </c>
      <c r="E381">
        <f>IFERROR(VLOOKUP($A381,koronahun!$A:$AM,5,FALSE),"")</f>
        <v>285022</v>
      </c>
      <c r="F381">
        <f>IFERROR(VLOOKUP($A381,koronahun!$A:$AM,6,FALSE),"")</f>
        <v>3298814</v>
      </c>
      <c r="G381" s="12">
        <f>IFERROR(VLOOKUP($A381,koronahun!$A:$AM,7,FALSE),"")</f>
        <v>336613.67346938775</v>
      </c>
      <c r="H381">
        <f>IFERROR(VLOOKUP($A381,koronahun!$A:$AM,8,FALSE),"")</f>
        <v>0</v>
      </c>
      <c r="I381" s="13">
        <f>IFERROR(VLOOKUP($A381,koronahun!$A:$AM,9,FALSE),"")</f>
        <v>3.3770403502194151E-3</v>
      </c>
      <c r="J381" s="13">
        <f>IFERROR(VLOOKUP($A381,koronahun!$A:$AM,10,FALSE),"")</f>
        <v>0.11519685559719342</v>
      </c>
      <c r="K381" s="13">
        <f>IFERROR(VLOOKUP($A381,koronahun!$A:$AM,11,FALSE),"")</f>
        <v>5.1255457051692993E-3</v>
      </c>
      <c r="L381">
        <f>IFERROR(VLOOKUP($A381,koronahun!$A:$AM,12,FALSE),"")</f>
        <v>81644</v>
      </c>
      <c r="M381" s="13">
        <f>IFERROR(VLOOKUP($A381,koronahun!$A:$AM,13,FALSE),"")</f>
        <v>3.512248265190928E-2</v>
      </c>
      <c r="N381" s="13">
        <f>IFERROR(VLOOKUP($A381,koronahun!$A:$AM,14,FALSE),"")</f>
        <v>0.75003223573930367</v>
      </c>
      <c r="O381">
        <f>IFERROR(VLOOKUP($A381,koronahun!$A:$AM,15,FALSE),"")</f>
        <v>19414</v>
      </c>
      <c r="P381">
        <f>IFERROR(VLOOKUP($A381,koronahun!$A:$AM,16,FALSE),"")</f>
        <v>16822</v>
      </c>
      <c r="Q381" s="13">
        <f>IFERROR(VLOOKUP($A381,koronahun!$A:$AM,17,FALSE),"")</f>
        <v>7.6031387468790873E-2</v>
      </c>
      <c r="R381">
        <f>IFERROR(VLOOKUP($A381,koronahun!$A:$AM,18,FALSE),"")</f>
        <v>98</v>
      </c>
      <c r="S381">
        <f>IFERROR(VLOOKUP($A381,koronahun!$A:$AM,19,FALSE),"")</f>
        <v>1740</v>
      </c>
      <c r="T381">
        <f>IFERROR(VLOOKUP($A381,koronahun!$A:$AM,20,FALSE),"")</f>
        <v>3747</v>
      </c>
      <c r="U381">
        <f>IFERROR(VLOOKUP($A381,koronahun!$A:$AM,21,FALSE),"")</f>
        <v>296</v>
      </c>
      <c r="V381" s="13">
        <f>IFERROR(VLOOKUP($A381,koronahun!$A:$AM,22,FALSE),"")</f>
        <v>0.21484528160878708</v>
      </c>
      <c r="W381">
        <f>IFERROR(VLOOKUP($A381,koronahun!$A:$AM,23,FALSE),"")</f>
        <v>-45</v>
      </c>
      <c r="X381">
        <f>IFERROR(VLOOKUP($A381,koronahun!$A:$AM,24,FALSE),"")</f>
        <v>-8</v>
      </c>
      <c r="Y381" s="14">
        <f>IFERROR(VLOOKUP($A381,koronahun!$A:$AM,25,FALSE),"")</f>
        <v>4.5894370682475136E-2</v>
      </c>
      <c r="Z381" s="14">
        <f>IFERROR(VLOOKUP($A381,koronahun!$A:$AM,26,FALSE),"")</f>
        <v>7.8996530557779554E-2</v>
      </c>
      <c r="AA381" s="14">
        <f>IFERROR(VLOOKUP($A381,koronahun!$A:$AM,27,FALSE),"")</f>
        <v>1.1445298639858072</v>
      </c>
      <c r="AB381" s="14">
        <f>IFERROR(VLOOKUP($A381,koronahun!$A:$AM,28,FALSE),"")</f>
        <v>1.1080314082279337</v>
      </c>
      <c r="AC381" s="14">
        <f>IFERROR(VLOOKUP($A381,koronahun!$A:$AM,29,FALSE),"")</f>
        <v>1382.4285714285713</v>
      </c>
      <c r="AD381" s="14">
        <f>IFERROR(VLOOKUP($A381,koronahun!$A:$AM,30,FALSE),"")</f>
        <v>86.857142857142861</v>
      </c>
      <c r="AE381" s="14">
        <f>IFERROR(VLOOKUP($A381,koronahun!$A:$AM,31,FALSE),"")</f>
        <v>15205.142857142857</v>
      </c>
      <c r="AF381" s="13">
        <f>IFERROR(VLOOKUP($A381,koronahun!$A:$AM,32,FALSE),"")</f>
        <v>9.9950722094795066E-2</v>
      </c>
      <c r="AG381">
        <f>IFERROR(VLOOKUP($A381,koronahun!$A:$AM,33,FALSE),"")</f>
        <v>292627</v>
      </c>
      <c r="AH381">
        <f>IFERROR(VLOOKUP($A381,koronahun!$A:$AM,34,FALSE),"")</f>
        <v>1231</v>
      </c>
      <c r="AI381">
        <f>IFERROR(VLOOKUP($A381,koronahun!$A:$AM,35,FALSE),"")</f>
        <v>6479.5714285714284</v>
      </c>
      <c r="AJ381">
        <f>IFERROR(VLOOKUP($A381,koronahun!$A:$AM,36,FALSE),"")</f>
        <v>113570</v>
      </c>
      <c r="AK381">
        <f>IFERROR(VLOOKUP($A381,koronahun!$A:$AM,37,FALSE),"")</f>
        <v>3175</v>
      </c>
      <c r="AL381">
        <f>IFERROR(VLOOKUP($A381,koronahun!$A:$AM,38,FALSE),"")</f>
        <v>5504.8571428571431</v>
      </c>
      <c r="AM381" s="14">
        <f>IFERROR(VLOOKUP($A381,koronahun!$A:$AM,39,FALSE),"")</f>
        <v>1819.7142857142858</v>
      </c>
      <c r="AN381" s="11">
        <f ca="1">IFERROR(__xludf.DUMMYFUNCTION("""COMPUTED_VALUE"""),44273)</f>
        <v>44273</v>
      </c>
      <c r="AO381" s="12">
        <f ca="1">IFERROR(VLOOKUP(AN381,koronahun!A:B,2,FALSE),"")</f>
        <v>539080</v>
      </c>
      <c r="AP381" s="11">
        <f t="shared" ca="1" si="2"/>
        <v>44273</v>
      </c>
      <c r="AQ381" s="11">
        <f ca="1">IFERROR(__xludf.DUMMYFUNCTION("""COMPUTED_VALUE"""),44273)</f>
        <v>44273</v>
      </c>
      <c r="AR381" s="11">
        <v>44238</v>
      </c>
      <c r="AS381" s="11">
        <f t="shared" si="3"/>
        <v>44238</v>
      </c>
      <c r="AT381" s="11">
        <f ca="1">IFERROR(__xludf.DUMMYFUNCTION("""COMPUTED_VALUE"""),44237)</f>
        <v>44237</v>
      </c>
    </row>
    <row r="382" spans="1:46" ht="13">
      <c r="A382" s="11">
        <v>44236</v>
      </c>
      <c r="B382">
        <f>IFERROR(VLOOKUP($A382,koronahun!$A:$AM,2,FALSE),"")</f>
        <v>378734</v>
      </c>
      <c r="C382">
        <f>IFERROR(VLOOKUP($A382,koronahun!$A:$AM,3,FALSE),"")</f>
        <v>1079</v>
      </c>
      <c r="D382">
        <f>IFERROR(VLOOKUP($A382,koronahun!$A:$AM,4,FALSE),"")</f>
        <v>13249</v>
      </c>
      <c r="E382">
        <f>IFERROR(VLOOKUP($A382,koronahun!$A:$AM,5,FALSE),"")</f>
        <v>283282</v>
      </c>
      <c r="F382">
        <f>IFERROR(VLOOKUP($A382,koronahun!$A:$AM,6,FALSE),"")</f>
        <v>3281992</v>
      </c>
      <c r="G382" s="12">
        <f>IFERROR(VLOOKUP($A382,koronahun!$A:$AM,7,FALSE),"")</f>
        <v>334897.14285714284</v>
      </c>
      <c r="H382">
        <f>IFERROR(VLOOKUP($A382,koronahun!$A:$AM,8,FALSE),"")</f>
        <v>0</v>
      </c>
      <c r="I382" s="13">
        <f>IFERROR(VLOOKUP($A382,koronahun!$A:$AM,9,FALSE),"")</f>
        <v>2.8571050297228951E-3</v>
      </c>
      <c r="J382" s="13">
        <f>IFERROR(VLOOKUP($A382,koronahun!$A:$AM,10,FALSE),"")</f>
        <v>0.11539759999414989</v>
      </c>
      <c r="K382" s="13">
        <f>IFERROR(VLOOKUP($A382,koronahun!$A:$AM,11,FALSE),"")</f>
        <v>1.9569041471103454E-3</v>
      </c>
      <c r="L382">
        <f>IFERROR(VLOOKUP($A382,koronahun!$A:$AM,12,FALSE),"")</f>
        <v>82203</v>
      </c>
      <c r="M382" s="13">
        <f>IFERROR(VLOOKUP($A382,koronahun!$A:$AM,13,FALSE),"")</f>
        <v>3.4982335887456632E-2</v>
      </c>
      <c r="N382" s="13">
        <f>IFERROR(VLOOKUP($A382,koronahun!$A:$AM,14,FALSE),"")</f>
        <v>0.74797087137674467</v>
      </c>
      <c r="O382">
        <f>IFERROR(VLOOKUP($A382,koronahun!$A:$AM,15,FALSE),"")</f>
        <v>16850</v>
      </c>
      <c r="P382">
        <f>IFERROR(VLOOKUP($A382,koronahun!$A:$AM,16,FALSE),"")</f>
        <v>6410</v>
      </c>
      <c r="Q382" s="13">
        <f>IFERROR(VLOOKUP($A382,koronahun!$A:$AM,17,FALSE),"")</f>
        <v>0.16833073322932918</v>
      </c>
      <c r="R382">
        <f>IFERROR(VLOOKUP($A382,koronahun!$A:$AM,18,FALSE),"")</f>
        <v>94</v>
      </c>
      <c r="S382">
        <f>IFERROR(VLOOKUP($A382,koronahun!$A:$AM,19,FALSE),"")</f>
        <v>1443</v>
      </c>
      <c r="T382">
        <f>IFERROR(VLOOKUP($A382,koronahun!$A:$AM,20,FALSE),"")</f>
        <v>3792</v>
      </c>
      <c r="U382">
        <f>IFERROR(VLOOKUP($A382,koronahun!$A:$AM,21,FALSE),"")</f>
        <v>304</v>
      </c>
      <c r="V382" s="13">
        <f>IFERROR(VLOOKUP($A382,koronahun!$A:$AM,22,FALSE),"")</f>
        <v>0.21704679273579874</v>
      </c>
      <c r="W382">
        <f>IFERROR(VLOOKUP($A382,koronahun!$A:$AM,23,FALSE),"")</f>
        <v>75</v>
      </c>
      <c r="X382">
        <f>IFERROR(VLOOKUP($A382,koronahun!$A:$AM,24,FALSE),"")</f>
        <v>9</v>
      </c>
      <c r="Y382" s="14">
        <f>IFERROR(VLOOKUP($A382,koronahun!$A:$AM,25,FALSE),"")</f>
        <v>4.6129703295500167E-2</v>
      </c>
      <c r="Z382" s="14">
        <f>IFERROR(VLOOKUP($A382,koronahun!$A:$AM,26,FALSE),"")</f>
        <v>8.0168776371308023E-2</v>
      </c>
      <c r="AA382" s="14">
        <f>IFERROR(VLOOKUP($A382,koronahun!$A:$AM,27,FALSE),"")</f>
        <v>1.1230531446914755</v>
      </c>
      <c r="AB382" s="14">
        <f>IFERROR(VLOOKUP($A382,koronahun!$A:$AM,28,FALSE),"")</f>
        <v>1.1028515806461925</v>
      </c>
      <c r="AC382" s="14">
        <f>IFERROR(VLOOKUP($A382,koronahun!$A:$AM,29,FALSE),"")</f>
        <v>1349.4285714285713</v>
      </c>
      <c r="AD382" s="14">
        <f>IFERROR(VLOOKUP($A382,koronahun!$A:$AM,30,FALSE),"")</f>
        <v>84.714285714285708</v>
      </c>
      <c r="AE382" s="14">
        <f>IFERROR(VLOOKUP($A382,koronahun!$A:$AM,31,FALSE),"")</f>
        <v>15006.857142857143</v>
      </c>
      <c r="AF382" s="13">
        <f>IFERROR(VLOOKUP($A382,koronahun!$A:$AM,32,FALSE),"")</f>
        <v>9.8789385952018291E-2</v>
      </c>
      <c r="AG382">
        <f>IFERROR(VLOOKUP($A382,koronahun!$A:$AM,33,FALSE),"")</f>
        <v>291396</v>
      </c>
      <c r="AH382">
        <f>IFERROR(VLOOKUP($A382,koronahun!$A:$AM,34,FALSE),"")</f>
        <v>2354</v>
      </c>
      <c r="AI382">
        <f>IFERROR(VLOOKUP($A382,koronahun!$A:$AM,35,FALSE),"")</f>
        <v>6908.5714285714284</v>
      </c>
      <c r="AJ382">
        <f>IFERROR(VLOOKUP($A382,koronahun!$A:$AM,36,FALSE),"")</f>
        <v>110395</v>
      </c>
      <c r="AK382">
        <f>IFERROR(VLOOKUP($A382,koronahun!$A:$AM,37,FALSE),"")</f>
        <v>2803</v>
      </c>
      <c r="AL382">
        <f>IFERROR(VLOOKUP($A382,koronahun!$A:$AM,38,FALSE),"")</f>
        <v>5981.2857142857147</v>
      </c>
      <c r="AM382" s="14">
        <f>IFERROR(VLOOKUP($A382,koronahun!$A:$AM,39,FALSE),"")</f>
        <v>2068.4285714285716</v>
      </c>
      <c r="AN382" s="11">
        <f ca="1">IFERROR(__xludf.DUMMYFUNCTION("""COMPUTED_VALUE"""),44274)</f>
        <v>44274</v>
      </c>
      <c r="AO382" s="12">
        <f ca="1">IFERROR(VLOOKUP(AN382,koronahun!A:B,2,FALSE),"")</f>
        <v>549839</v>
      </c>
      <c r="AP382" s="11">
        <f t="shared" ca="1" si="2"/>
        <v>44274</v>
      </c>
      <c r="AQ382" s="11">
        <f ca="1">IFERROR(__xludf.DUMMYFUNCTION("""COMPUTED_VALUE"""),44274)</f>
        <v>44274</v>
      </c>
      <c r="AR382" s="11">
        <v>44237</v>
      </c>
      <c r="AS382" s="11">
        <f t="shared" si="3"/>
        <v>44237</v>
      </c>
      <c r="AT382" s="11">
        <f ca="1">IFERROR(__xludf.DUMMYFUNCTION("""COMPUTED_VALUE"""),44236)</f>
        <v>44236</v>
      </c>
    </row>
    <row r="383" spans="1:46" ht="13">
      <c r="A383" s="11">
        <v>44235</v>
      </c>
      <c r="B383">
        <f>IFERROR(VLOOKUP($A383,koronahun!$A:$AM,2,FALSE),"")</f>
        <v>377655</v>
      </c>
      <c r="C383">
        <f>IFERROR(VLOOKUP($A383,koronahun!$A:$AM,3,FALSE),"")</f>
        <v>1160</v>
      </c>
      <c r="D383">
        <f>IFERROR(VLOOKUP($A383,koronahun!$A:$AM,4,FALSE),"")</f>
        <v>13155</v>
      </c>
      <c r="E383">
        <f>IFERROR(VLOOKUP($A383,koronahun!$A:$AM,5,FALSE),"")</f>
        <v>281839</v>
      </c>
      <c r="F383">
        <f>IFERROR(VLOOKUP($A383,koronahun!$A:$AM,6,FALSE),"")</f>
        <v>3275582</v>
      </c>
      <c r="G383" s="12">
        <f>IFERROR(VLOOKUP($A383,koronahun!$A:$AM,7,FALSE),"")</f>
        <v>334243.06122448976</v>
      </c>
      <c r="H383">
        <f>IFERROR(VLOOKUP($A383,koronahun!$A:$AM,8,FALSE),"")</f>
        <v>0</v>
      </c>
      <c r="I383" s="13">
        <f>IFERROR(VLOOKUP($A383,koronahun!$A:$AM,9,FALSE),"")</f>
        <v>3.0810502131502411E-3</v>
      </c>
      <c r="J383" s="13">
        <f>IFERROR(VLOOKUP($A383,koronahun!$A:$AM,10,FALSE),"")</f>
        <v>0.11529401492620243</v>
      </c>
      <c r="K383" s="13">
        <f>IFERROR(VLOOKUP($A383,koronahun!$A:$AM,11,FALSE),"")</f>
        <v>2.9762433317758069E-3</v>
      </c>
      <c r="L383">
        <f>IFERROR(VLOOKUP($A383,koronahun!$A:$AM,12,FALSE),"")</f>
        <v>82661</v>
      </c>
      <c r="M383" s="13">
        <f>IFERROR(VLOOKUP($A383,koronahun!$A:$AM,13,FALSE),"")</f>
        <v>3.4833379671922786E-2</v>
      </c>
      <c r="N383" s="13">
        <f>IFERROR(VLOOKUP($A383,koronahun!$A:$AM,14,FALSE),"")</f>
        <v>0.74628695502508902</v>
      </c>
      <c r="O383">
        <f>IFERROR(VLOOKUP($A383,koronahun!$A:$AM,15,FALSE),"")</f>
        <v>15847</v>
      </c>
      <c r="P383">
        <f>IFERROR(VLOOKUP($A383,koronahun!$A:$AM,16,FALSE),"")</f>
        <v>9720</v>
      </c>
      <c r="Q383" s="13">
        <f>IFERROR(VLOOKUP($A383,koronahun!$A:$AM,17,FALSE),"")</f>
        <v>0.11934156378600823</v>
      </c>
      <c r="R383">
        <f>IFERROR(VLOOKUP($A383,koronahun!$A:$AM,18,FALSE),"")</f>
        <v>65</v>
      </c>
      <c r="S383">
        <f>IFERROR(VLOOKUP($A383,koronahun!$A:$AM,19,FALSE),"")</f>
        <v>2076</v>
      </c>
      <c r="T383">
        <f>IFERROR(VLOOKUP($A383,koronahun!$A:$AM,20,FALSE),"")</f>
        <v>3717</v>
      </c>
      <c r="U383">
        <f>IFERROR(VLOOKUP($A383,koronahun!$A:$AM,21,FALSE),"")</f>
        <v>295</v>
      </c>
      <c r="V383" s="13">
        <f>IFERROR(VLOOKUP($A383,koronahun!$A:$AM,22,FALSE),"")</f>
        <v>0.21887966530298816</v>
      </c>
      <c r="W383">
        <f>IFERROR(VLOOKUP($A383,koronahun!$A:$AM,23,FALSE),"")</f>
        <v>139</v>
      </c>
      <c r="X383">
        <f>IFERROR(VLOOKUP($A383,koronahun!$A:$AM,24,FALSE),"")</f>
        <v>4</v>
      </c>
      <c r="Y383" s="14">
        <f>IFERROR(VLOOKUP($A383,koronahun!$A:$AM,25,FALSE),"")</f>
        <v>4.4966792078489248E-2</v>
      </c>
      <c r="Z383" s="14">
        <f>IFERROR(VLOOKUP($A383,koronahun!$A:$AM,26,FALSE),"")</f>
        <v>7.9365079365079361E-2</v>
      </c>
      <c r="AA383" s="14">
        <f>IFERROR(VLOOKUP($A383,koronahun!$A:$AM,27,FALSE),"")</f>
        <v>1.0787506029908345</v>
      </c>
      <c r="AB383" s="14">
        <f>IFERROR(VLOOKUP($A383,koronahun!$A:$AM,28,FALSE),"")</f>
        <v>1.1004961207856496</v>
      </c>
      <c r="AC383" s="14">
        <f>IFERROR(VLOOKUP($A383,koronahun!$A:$AM,29,FALSE),"")</f>
        <v>1277.8571428571429</v>
      </c>
      <c r="AD383" s="14">
        <f>IFERROR(VLOOKUP($A383,koronahun!$A:$AM,30,FALSE),"")</f>
        <v>82.428571428571431</v>
      </c>
      <c r="AE383" s="14">
        <f>IFERROR(VLOOKUP($A383,koronahun!$A:$AM,31,FALSE),"")</f>
        <v>15204.571428571429</v>
      </c>
      <c r="AF383" s="13">
        <f>IFERROR(VLOOKUP($A383,koronahun!$A:$AM,32,FALSE),"")</f>
        <v>8.5336368341596511E-2</v>
      </c>
      <c r="AG383">
        <f>IFERROR(VLOOKUP($A383,koronahun!$A:$AM,33,FALSE),"")</f>
        <v>289042</v>
      </c>
      <c r="AH383">
        <f>IFERROR(VLOOKUP($A383,koronahun!$A:$AM,34,FALSE),"")</f>
        <v>2663</v>
      </c>
      <c r="AI383">
        <f>IFERROR(VLOOKUP($A383,koronahun!$A:$AM,35,FALSE),"")</f>
        <v>7310</v>
      </c>
      <c r="AJ383">
        <f>IFERROR(VLOOKUP($A383,koronahun!$A:$AM,36,FALSE),"")</f>
        <v>107592</v>
      </c>
      <c r="AK383">
        <f>IFERROR(VLOOKUP($A383,koronahun!$A:$AM,37,FALSE),"")</f>
        <v>2350</v>
      </c>
      <c r="AL383">
        <f>IFERROR(VLOOKUP($A383,koronahun!$A:$AM,38,FALSE),"")</f>
        <v>6618</v>
      </c>
      <c r="AM383" s="14">
        <f>IFERROR(VLOOKUP($A383,koronahun!$A:$AM,39,FALSE),"")</f>
        <v>2511.2857142857142</v>
      </c>
      <c r="AN383" s="11">
        <f ca="1">IFERROR(__xludf.DUMMYFUNCTION("""COMPUTED_VALUE"""),44275)</f>
        <v>44275</v>
      </c>
      <c r="AO383" s="12">
        <f ca="1">IFERROR(VLOOKUP(AN383,koronahun!A:B,2,FALSE),"")</f>
        <v>560971</v>
      </c>
      <c r="AP383" s="11">
        <f t="shared" ca="1" si="2"/>
        <v>44275</v>
      </c>
      <c r="AQ383" s="11">
        <f ca="1">IFERROR(__xludf.DUMMYFUNCTION("""COMPUTED_VALUE"""),44275)</f>
        <v>44275</v>
      </c>
      <c r="AR383" s="11">
        <v>44236</v>
      </c>
      <c r="AS383" s="11">
        <f t="shared" si="3"/>
        <v>44236</v>
      </c>
      <c r="AT383" s="11">
        <f ca="1">IFERROR(__xludf.DUMMYFUNCTION("""COMPUTED_VALUE"""),44235)</f>
        <v>44235</v>
      </c>
    </row>
    <row r="384" spans="1:46" ht="13">
      <c r="A384" s="11">
        <v>44234</v>
      </c>
      <c r="B384">
        <f>IFERROR(VLOOKUP($A384,koronahun!$A:$AM,2,FALSE),"")</f>
        <v>376495</v>
      </c>
      <c r="C384">
        <f>IFERROR(VLOOKUP($A384,koronahun!$A:$AM,3,FALSE),"")</f>
        <v>1370</v>
      </c>
      <c r="D384">
        <f>IFERROR(VLOOKUP($A384,koronahun!$A:$AM,4,FALSE),"")</f>
        <v>13090</v>
      </c>
      <c r="E384">
        <f>IFERROR(VLOOKUP($A384,koronahun!$A:$AM,5,FALSE),"")</f>
        <v>279763</v>
      </c>
      <c r="F384">
        <f>IFERROR(VLOOKUP($A384,koronahun!$A:$AM,6,FALSE),"")</f>
        <v>3265862</v>
      </c>
      <c r="G384" s="12">
        <f>IFERROR(VLOOKUP($A384,koronahun!$A:$AM,7,FALSE),"")</f>
        <v>333251.22448979592</v>
      </c>
      <c r="H384">
        <f>IFERROR(VLOOKUP($A384,koronahun!$A:$AM,8,FALSE),"")</f>
        <v>0</v>
      </c>
      <c r="I384" s="13">
        <f>IFERROR(VLOOKUP($A384,koronahun!$A:$AM,9,FALSE),"")</f>
        <v>3.652115961346218E-3</v>
      </c>
      <c r="J384" s="13">
        <f>IFERROR(VLOOKUP($A384,koronahun!$A:$AM,10,FALSE),"")</f>
        <v>0.1152819684358984</v>
      </c>
      <c r="K384" s="13">
        <f>IFERROR(VLOOKUP($A384,koronahun!$A:$AM,11,FALSE),"")</f>
        <v>5.8592390504238279E-3</v>
      </c>
      <c r="L384">
        <f>IFERROR(VLOOKUP($A384,koronahun!$A:$AM,12,FALSE),"")</f>
        <v>83642</v>
      </c>
      <c r="M384" s="13">
        <f>IFERROR(VLOOKUP($A384,koronahun!$A:$AM,13,FALSE),"")</f>
        <v>3.4768058008738494E-2</v>
      </c>
      <c r="N384" s="13">
        <f>IFERROR(VLOOKUP($A384,koronahun!$A:$AM,14,FALSE),"")</f>
        <v>0.74307228515650936</v>
      </c>
      <c r="O384">
        <f>IFERROR(VLOOKUP($A384,koronahun!$A:$AM,15,FALSE),"")</f>
        <v>19510</v>
      </c>
      <c r="P384">
        <f>IFERROR(VLOOKUP($A384,koronahun!$A:$AM,16,FALSE),"")</f>
        <v>19024</v>
      </c>
      <c r="Q384" s="13">
        <f>IFERROR(VLOOKUP($A384,koronahun!$A:$AM,17,FALSE),"")</f>
        <v>7.201429772918419E-2</v>
      </c>
      <c r="R384">
        <f>IFERROR(VLOOKUP($A384,koronahun!$A:$AM,18,FALSE),"")</f>
        <v>64</v>
      </c>
      <c r="S384">
        <f>IFERROR(VLOOKUP($A384,koronahun!$A:$AM,19,FALSE),"")</f>
        <v>1814</v>
      </c>
      <c r="T384">
        <f>IFERROR(VLOOKUP($A384,koronahun!$A:$AM,20,FALSE),"")</f>
        <v>3578</v>
      </c>
      <c r="U384">
        <f>IFERROR(VLOOKUP($A384,koronahun!$A:$AM,21,FALSE),"")</f>
        <v>291</v>
      </c>
      <c r="V384" s="13">
        <f>IFERROR(VLOOKUP($A384,koronahun!$A:$AM,22,FALSE),"")</f>
        <v>0.22215965683475211</v>
      </c>
      <c r="W384">
        <f>IFERROR(VLOOKUP($A384,koronahun!$A:$AM,23,FALSE),"")</f>
        <v>-23</v>
      </c>
      <c r="X384">
        <f>IFERROR(VLOOKUP($A384,koronahun!$A:$AM,24,FALSE),"")</f>
        <v>-7</v>
      </c>
      <c r="Y384" s="14">
        <f>IFERROR(VLOOKUP($A384,koronahun!$A:$AM,25,FALSE),"")</f>
        <v>4.2777551947586138E-2</v>
      </c>
      <c r="Z384" s="14">
        <f>IFERROR(VLOOKUP($A384,koronahun!$A:$AM,26,FALSE),"")</f>
        <v>8.133035215204025E-2</v>
      </c>
      <c r="AA384" s="14">
        <f>IFERROR(VLOOKUP($A384,koronahun!$A:$AM,27,FALSE),"")</f>
        <v>1.1119570644033949</v>
      </c>
      <c r="AB384" s="14">
        <f>IFERROR(VLOOKUP($A384,koronahun!$A:$AM,28,FALSE),"")</f>
        <v>1.0999302305518881</v>
      </c>
      <c r="AC384" s="14">
        <f>IFERROR(VLOOKUP($A384,koronahun!$A:$AM,29,FALSE),"")</f>
        <v>1272.7142857142858</v>
      </c>
      <c r="AD384" s="14">
        <f>IFERROR(VLOOKUP($A384,koronahun!$A:$AM,30,FALSE),"")</f>
        <v>80.857142857142861</v>
      </c>
      <c r="AE384" s="14">
        <f>IFERROR(VLOOKUP($A384,koronahun!$A:$AM,31,FALSE),"")</f>
        <v>15367.714285714286</v>
      </c>
      <c r="AF384" s="13">
        <f>IFERROR(VLOOKUP($A384,koronahun!$A:$AM,32,FALSE),"")</f>
        <v>8.3070433814363673E-2</v>
      </c>
      <c r="AG384">
        <f>IFERROR(VLOOKUP($A384,koronahun!$A:$AM,33,FALSE),"")</f>
        <v>286379</v>
      </c>
      <c r="AH384">
        <f>IFERROR(VLOOKUP($A384,koronahun!$A:$AM,34,FALSE),"")</f>
        <v>6969</v>
      </c>
      <c r="AI384">
        <f>IFERROR(VLOOKUP($A384,koronahun!$A:$AM,35,FALSE),"")</f>
        <v>9196.2857142857138</v>
      </c>
      <c r="AJ384">
        <f>IFERROR(VLOOKUP($A384,koronahun!$A:$AM,36,FALSE),"")</f>
        <v>105242</v>
      </c>
      <c r="AK384">
        <f>IFERROR(VLOOKUP($A384,koronahun!$A:$AM,37,FALSE),"")</f>
        <v>3590</v>
      </c>
      <c r="AL384">
        <f>IFERROR(VLOOKUP($A384,koronahun!$A:$AM,38,FALSE),"")</f>
        <v>6916.7142857142853</v>
      </c>
      <c r="AM384" s="14">
        <f>IFERROR(VLOOKUP($A384,koronahun!$A:$AM,39,FALSE),"")</f>
        <v>2399.2857142857142</v>
      </c>
      <c r="AN384" s="11">
        <f ca="1">IFERROR(__xludf.DUMMYFUNCTION("""COMPUTED_VALUE"""),44276)</f>
        <v>44276</v>
      </c>
      <c r="AO384" s="12">
        <f ca="1">IFERROR(VLOOKUP(AN384,koronahun!A:B,2,FALSE),"")</f>
        <v>571596</v>
      </c>
      <c r="AP384" s="11">
        <f t="shared" ca="1" si="2"/>
        <v>44276</v>
      </c>
      <c r="AQ384" s="11">
        <f ca="1">IFERROR(__xludf.DUMMYFUNCTION("""COMPUTED_VALUE"""),44276)</f>
        <v>44276</v>
      </c>
      <c r="AR384" s="11">
        <v>44235</v>
      </c>
      <c r="AS384" s="11">
        <f t="shared" si="3"/>
        <v>44235</v>
      </c>
      <c r="AT384" s="11">
        <f ca="1">IFERROR(__xludf.DUMMYFUNCTION("""COMPUTED_VALUE"""),44234)</f>
        <v>44234</v>
      </c>
    </row>
    <row r="385" spans="1:46" ht="13">
      <c r="A385" s="11">
        <v>44233</v>
      </c>
      <c r="B385">
        <f>IFERROR(VLOOKUP($A385,koronahun!$A:$AM,2,FALSE),"")</f>
        <v>375125</v>
      </c>
      <c r="C385">
        <f>IFERROR(VLOOKUP($A385,koronahun!$A:$AM,3,FALSE),"")</f>
        <v>1561</v>
      </c>
      <c r="D385">
        <f>IFERROR(VLOOKUP($A385,koronahun!$A:$AM,4,FALSE),"")</f>
        <v>13026</v>
      </c>
      <c r="E385">
        <f>IFERROR(VLOOKUP($A385,koronahun!$A:$AM,5,FALSE),"")</f>
        <v>277949</v>
      </c>
      <c r="F385">
        <f>IFERROR(VLOOKUP($A385,koronahun!$A:$AM,6,FALSE),"")</f>
        <v>3246838</v>
      </c>
      <c r="G385" s="12">
        <f>IFERROR(VLOOKUP($A385,koronahun!$A:$AM,7,FALSE),"")</f>
        <v>331310</v>
      </c>
      <c r="H385">
        <f>IFERROR(VLOOKUP($A385,koronahun!$A:$AM,8,FALSE),"")</f>
        <v>0</v>
      </c>
      <c r="I385" s="13">
        <f>IFERROR(VLOOKUP($A385,koronahun!$A:$AM,9,FALSE),"")</f>
        <v>4.1786681800173465E-3</v>
      </c>
      <c r="J385" s="13">
        <f>IFERROR(VLOOKUP($A385,koronahun!$A:$AM,10,FALSE),"")</f>
        <v>0.11553548406172405</v>
      </c>
      <c r="K385" s="13">
        <f>IFERROR(VLOOKUP($A385,koronahun!$A:$AM,11,FALSE),"")</f>
        <v>5.4489567520798997E-3</v>
      </c>
      <c r="L385">
        <f>IFERROR(VLOOKUP($A385,koronahun!$A:$AM,12,FALSE),"")</f>
        <v>84150</v>
      </c>
      <c r="M385" s="13">
        <f>IFERROR(VLOOKUP($A385,koronahun!$A:$AM,13,FALSE),"")</f>
        <v>3.4724425191602799E-2</v>
      </c>
      <c r="N385" s="13">
        <f>IFERROR(VLOOKUP($A385,koronahun!$A:$AM,14,FALSE),"")</f>
        <v>0.74095034988337216</v>
      </c>
      <c r="O385">
        <f>IFERROR(VLOOKUP($A385,koronahun!$A:$AM,15,FALSE),"")</f>
        <v>18124</v>
      </c>
      <c r="P385">
        <f>IFERROR(VLOOKUP($A385,koronahun!$A:$AM,16,FALSE),"")</f>
        <v>17596</v>
      </c>
      <c r="Q385" s="13">
        <f>IFERROR(VLOOKUP($A385,koronahun!$A:$AM,17,FALSE),"")</f>
        <v>8.8713343941804954E-2</v>
      </c>
      <c r="R385">
        <f>IFERROR(VLOOKUP($A385,koronahun!$A:$AM,18,FALSE),"")</f>
        <v>96</v>
      </c>
      <c r="S385">
        <f>IFERROR(VLOOKUP($A385,koronahun!$A:$AM,19,FALSE),"")</f>
        <v>2185</v>
      </c>
      <c r="T385">
        <f>IFERROR(VLOOKUP($A385,koronahun!$A:$AM,20,FALSE),"")</f>
        <v>3601</v>
      </c>
      <c r="U385">
        <f>IFERROR(VLOOKUP($A385,koronahun!$A:$AM,21,FALSE),"")</f>
        <v>298</v>
      </c>
      <c r="V385" s="13">
        <f>IFERROR(VLOOKUP($A385,koronahun!$A:$AM,22,FALSE),"")</f>
        <v>0.22432522492502499</v>
      </c>
      <c r="W385">
        <f>IFERROR(VLOOKUP($A385,koronahun!$A:$AM,23,FALSE),"")</f>
        <v>-37</v>
      </c>
      <c r="X385">
        <f>IFERROR(VLOOKUP($A385,koronahun!$A:$AM,24,FALSE),"")</f>
        <v>-4</v>
      </c>
      <c r="Y385" s="14">
        <f>IFERROR(VLOOKUP($A385,koronahun!$A:$AM,25,FALSE),"")</f>
        <v>4.2792632204396913E-2</v>
      </c>
      <c r="Z385" s="14">
        <f>IFERROR(VLOOKUP($A385,koronahun!$A:$AM,26,FALSE),"")</f>
        <v>8.2754790336017778E-2</v>
      </c>
      <c r="AA385" s="14">
        <f>IFERROR(VLOOKUP($A385,koronahun!$A:$AM,27,FALSE),"")</f>
        <v>1.1110273800552626</v>
      </c>
      <c r="AB385" s="14">
        <f>IFERROR(VLOOKUP($A385,koronahun!$A:$AM,28,FALSE),"")</f>
        <v>1.088842122019029</v>
      </c>
      <c r="AC385" s="14">
        <f>IFERROR(VLOOKUP($A385,koronahun!$A:$AM,29,FALSE),"")</f>
        <v>1263.7142857142858</v>
      </c>
      <c r="AD385" s="14">
        <f>IFERROR(VLOOKUP($A385,koronahun!$A:$AM,30,FALSE),"")</f>
        <v>80.428571428571431</v>
      </c>
      <c r="AE385" s="14">
        <f>IFERROR(VLOOKUP($A385,koronahun!$A:$AM,31,FALSE),"")</f>
        <v>15527.428571428571</v>
      </c>
      <c r="AF385" s="13">
        <f>IFERROR(VLOOKUP($A385,koronahun!$A:$AM,32,FALSE),"")</f>
        <v>8.2052575005753164E-2</v>
      </c>
      <c r="AG385">
        <f>IFERROR(VLOOKUP($A385,koronahun!$A:$AM,33,FALSE),"")</f>
        <v>279410</v>
      </c>
      <c r="AH385">
        <f>IFERROR(VLOOKUP($A385,koronahun!$A:$AM,34,FALSE),"")</f>
        <v>14880</v>
      </c>
      <c r="AI385">
        <f>IFERROR(VLOOKUP($A385,koronahun!$A:$AM,35,FALSE),"")</f>
        <v>11589.571428571429</v>
      </c>
      <c r="AJ385">
        <f>IFERROR(VLOOKUP($A385,koronahun!$A:$AM,36,FALSE),"")</f>
        <v>101652</v>
      </c>
      <c r="AK385">
        <f>IFERROR(VLOOKUP($A385,koronahun!$A:$AM,37,FALSE),"")</f>
        <v>8879</v>
      </c>
      <c r="AL385">
        <f>IFERROR(VLOOKUP($A385,koronahun!$A:$AM,38,FALSE),"")</f>
        <v>7435.1428571428569</v>
      </c>
      <c r="AM385" s="14">
        <f>IFERROR(VLOOKUP($A385,koronahun!$A:$AM,39,FALSE),"")</f>
        <v>2627.7142857142858</v>
      </c>
      <c r="AN385" s="11">
        <f ca="1">IFERROR(__xludf.DUMMYFUNCTION("""COMPUTED_VALUE"""),44277)</f>
        <v>44277</v>
      </c>
      <c r="AO385" s="12">
        <f ca="1">IFERROR(VLOOKUP(AN385,koronahun!A:B,2,FALSE),"")</f>
        <v>580642</v>
      </c>
      <c r="AP385" s="11">
        <f t="shared" ca="1" si="2"/>
        <v>44277</v>
      </c>
      <c r="AQ385" s="11">
        <f ca="1">IFERROR(__xludf.DUMMYFUNCTION("""COMPUTED_VALUE"""),44277)</f>
        <v>44277</v>
      </c>
      <c r="AR385" s="11">
        <v>44234</v>
      </c>
      <c r="AS385" s="11">
        <f t="shared" si="3"/>
        <v>44234</v>
      </c>
      <c r="AT385" s="11">
        <f ca="1">IFERROR(__xludf.DUMMYFUNCTION("""COMPUTED_VALUE"""),44233)</f>
        <v>44233</v>
      </c>
    </row>
    <row r="386" spans="1:46" ht="13">
      <c r="A386" s="11">
        <v>44232</v>
      </c>
      <c r="B386">
        <f>IFERROR(VLOOKUP($A386,koronahun!$A:$AM,2,FALSE),"")</f>
        <v>373564</v>
      </c>
      <c r="C386">
        <f>IFERROR(VLOOKUP($A386,koronahun!$A:$AM,3,FALSE),"")</f>
        <v>1576</v>
      </c>
      <c r="D386">
        <f>IFERROR(VLOOKUP($A386,koronahun!$A:$AM,4,FALSE),"")</f>
        <v>12930</v>
      </c>
      <c r="E386">
        <f>IFERROR(VLOOKUP($A386,koronahun!$A:$AM,5,FALSE),"")</f>
        <v>275764</v>
      </c>
      <c r="F386">
        <f>IFERROR(VLOOKUP($A386,koronahun!$A:$AM,6,FALSE),"")</f>
        <v>3229242</v>
      </c>
      <c r="G386" s="12">
        <f>IFERROR(VLOOKUP($A386,koronahun!$A:$AM,7,FALSE),"")</f>
        <v>329514.48979591834</v>
      </c>
      <c r="H386">
        <f>IFERROR(VLOOKUP($A386,koronahun!$A:$AM,8,FALSE),"")</f>
        <v>0</v>
      </c>
      <c r="I386" s="13">
        <f>IFERROR(VLOOKUP($A386,koronahun!$A:$AM,9,FALSE),"")</f>
        <v>4.2366958073916366E-3</v>
      </c>
      <c r="J386" s="13">
        <f>IFERROR(VLOOKUP($A386,koronahun!$A:$AM,10,FALSE),"")</f>
        <v>0.11568163674323571</v>
      </c>
      <c r="K386" s="13">
        <f>IFERROR(VLOOKUP($A386,koronahun!$A:$AM,11,FALSE),"")</f>
        <v>5.8223686976900208E-3</v>
      </c>
      <c r="L386">
        <f>IFERROR(VLOOKUP($A386,koronahun!$A:$AM,12,FALSE),"")</f>
        <v>84870</v>
      </c>
      <c r="M386" s="13">
        <f>IFERROR(VLOOKUP($A386,koronahun!$A:$AM,13,FALSE),"")</f>
        <v>3.461254296452549E-2</v>
      </c>
      <c r="N386" s="13">
        <f>IFERROR(VLOOKUP($A386,koronahun!$A:$AM,14,FALSE),"")</f>
        <v>0.73819747084836873</v>
      </c>
      <c r="O386">
        <f>IFERROR(VLOOKUP($A386,koronahun!$A:$AM,15,FALSE),"")</f>
        <v>20254</v>
      </c>
      <c r="P386">
        <f>IFERROR(VLOOKUP($A386,koronahun!$A:$AM,16,FALSE),"")</f>
        <v>18693</v>
      </c>
      <c r="Q386" s="13">
        <f>IFERROR(VLOOKUP($A386,koronahun!$A:$AM,17,FALSE),"")</f>
        <v>8.4309634622585991E-2</v>
      </c>
      <c r="R386">
        <f>IFERROR(VLOOKUP($A386,koronahun!$A:$AM,18,FALSE),"")</f>
        <v>98</v>
      </c>
      <c r="S386">
        <f>IFERROR(VLOOKUP($A386,koronahun!$A:$AM,19,FALSE),"")</f>
        <v>1456</v>
      </c>
      <c r="T386">
        <f>IFERROR(VLOOKUP($A386,koronahun!$A:$AM,20,FALSE),"")</f>
        <v>3638</v>
      </c>
      <c r="U386">
        <f>IFERROR(VLOOKUP($A386,koronahun!$A:$AM,21,FALSE),"")</f>
        <v>302</v>
      </c>
      <c r="V386" s="13">
        <f>IFERROR(VLOOKUP($A386,koronahun!$A:$AM,22,FALSE),"")</f>
        <v>0.22718998618710581</v>
      </c>
      <c r="W386">
        <f>IFERROR(VLOOKUP($A386,koronahun!$A:$AM,23,FALSE),"")</f>
        <v>-10</v>
      </c>
      <c r="X386">
        <f>IFERROR(VLOOKUP($A386,koronahun!$A:$AM,24,FALSE),"")</f>
        <v>13</v>
      </c>
      <c r="Y386" s="14">
        <f>IFERROR(VLOOKUP($A386,koronahun!$A:$AM,25,FALSE),"")</f>
        <v>4.2865559090373512E-2</v>
      </c>
      <c r="Z386" s="14">
        <f>IFERROR(VLOOKUP($A386,koronahun!$A:$AM,26,FALSE),"")</f>
        <v>8.3012644310060474E-2</v>
      </c>
      <c r="AA386" s="14">
        <f>IFERROR(VLOOKUP($A386,koronahun!$A:$AM,27,FALSE),"")</f>
        <v>1.0905997983870968</v>
      </c>
      <c r="AB386" s="14">
        <f>IFERROR(VLOOKUP($A386,koronahun!$A:$AM,28,FALSE),"")</f>
        <v>1.077268630098364</v>
      </c>
      <c r="AC386" s="14">
        <f>IFERROR(VLOOKUP($A386,koronahun!$A:$AM,29,FALSE),"")</f>
        <v>1236.4285714285713</v>
      </c>
      <c r="AD386" s="14">
        <f>IFERROR(VLOOKUP($A386,koronahun!$A:$AM,30,FALSE),"")</f>
        <v>79.428571428571431</v>
      </c>
      <c r="AE386" s="14">
        <f>IFERROR(VLOOKUP($A386,koronahun!$A:$AM,31,FALSE),"")</f>
        <v>16065.428571428571</v>
      </c>
      <c r="AF386" s="13">
        <f>IFERROR(VLOOKUP($A386,koronahun!$A:$AM,32,FALSE),"")</f>
        <v>7.8541036136433567E-2</v>
      </c>
      <c r="AG386">
        <f>IFERROR(VLOOKUP($A386,koronahun!$A:$AM,33,FALSE),"")</f>
        <v>264530</v>
      </c>
      <c r="AH386">
        <f>IFERROR(VLOOKUP($A386,koronahun!$A:$AM,34,FALSE),"")</f>
        <v>14843</v>
      </c>
      <c r="AI386">
        <f>IFERROR(VLOOKUP($A386,koronahun!$A:$AM,35,FALSE),"")</f>
        <v>12749.571428571429</v>
      </c>
      <c r="AJ386">
        <f>IFERROR(VLOOKUP($A386,koronahun!$A:$AM,36,FALSE),"")</f>
        <v>92773</v>
      </c>
      <c r="AK386">
        <f>IFERROR(VLOOKUP($A386,koronahun!$A:$AM,37,FALSE),"")</f>
        <v>8321</v>
      </c>
      <c r="AL386">
        <f>IFERROR(VLOOKUP($A386,koronahun!$A:$AM,38,FALSE),"")</f>
        <v>7863.7142857142853</v>
      </c>
      <c r="AM386" s="14">
        <f>IFERROR(VLOOKUP($A386,koronahun!$A:$AM,39,FALSE),"")</f>
        <v>2997.2857142857142</v>
      </c>
      <c r="AN386" s="11">
        <f ca="1">IFERROR(__xludf.DUMMYFUNCTION("""COMPUTED_VALUE"""),44278)</f>
        <v>44278</v>
      </c>
      <c r="AO386" s="12">
        <f ca="1">IFERROR(VLOOKUP(AN386,koronahun!A:B,2,FALSE),"")</f>
        <v>586123</v>
      </c>
      <c r="AP386" s="11">
        <f t="shared" ca="1" si="2"/>
        <v>44278</v>
      </c>
      <c r="AQ386" s="11">
        <f ca="1">IFERROR(__xludf.DUMMYFUNCTION("""COMPUTED_VALUE"""),44278)</f>
        <v>44278</v>
      </c>
      <c r="AR386" s="11">
        <v>44233</v>
      </c>
      <c r="AS386" s="11">
        <f t="shared" si="3"/>
        <v>44233</v>
      </c>
      <c r="AT386" s="11">
        <f ca="1">IFERROR(__xludf.DUMMYFUNCTION("""COMPUTED_VALUE"""),44232)</f>
        <v>44232</v>
      </c>
    </row>
    <row r="387" spans="1:46" ht="13">
      <c r="A387" s="11">
        <v>44231</v>
      </c>
      <c r="B387">
        <f>IFERROR(VLOOKUP($A387,koronahun!$A:$AM,2,FALSE),"")</f>
        <v>371988</v>
      </c>
      <c r="C387">
        <f>IFERROR(VLOOKUP($A387,koronahun!$A:$AM,3,FALSE),"")</f>
        <v>1652</v>
      </c>
      <c r="D387">
        <f>IFERROR(VLOOKUP($A387,koronahun!$A:$AM,4,FALSE),"")</f>
        <v>12832</v>
      </c>
      <c r="E387">
        <f>IFERROR(VLOOKUP($A387,koronahun!$A:$AM,5,FALSE),"")</f>
        <v>274308</v>
      </c>
      <c r="F387">
        <f>IFERROR(VLOOKUP($A387,koronahun!$A:$AM,6,FALSE),"")</f>
        <v>3210549</v>
      </c>
      <c r="G387" s="12">
        <f>IFERROR(VLOOKUP($A387,koronahun!$A:$AM,7,FALSE),"")</f>
        <v>327607.04081632651</v>
      </c>
      <c r="H387">
        <f>IFERROR(VLOOKUP($A387,koronahun!$A:$AM,8,FALSE),"")</f>
        <v>0</v>
      </c>
      <c r="I387" s="13">
        <f>IFERROR(VLOOKUP($A387,koronahun!$A:$AM,9,FALSE),"")</f>
        <v>4.4608139635358163E-3</v>
      </c>
      <c r="J387" s="13">
        <f>IFERROR(VLOOKUP($A387,koronahun!$A:$AM,10,FALSE),"")</f>
        <v>0.11586429610636685</v>
      </c>
      <c r="K387" s="13">
        <f>IFERROR(VLOOKUP($A387,koronahun!$A:$AM,11,FALSE),"")</f>
        <v>5.6919951208785425E-3</v>
      </c>
      <c r="L387">
        <f>IFERROR(VLOOKUP($A387,koronahun!$A:$AM,12,FALSE),"")</f>
        <v>84848</v>
      </c>
      <c r="M387" s="13">
        <f>IFERROR(VLOOKUP($A387,koronahun!$A:$AM,13,FALSE),"")</f>
        <v>3.4495736421605E-2</v>
      </c>
      <c r="N387" s="13">
        <f>IFERROR(VLOOKUP($A387,koronahun!$A:$AM,14,FALSE),"")</f>
        <v>0.73741088422207168</v>
      </c>
      <c r="O387">
        <f>IFERROR(VLOOKUP($A387,koronahun!$A:$AM,15,FALSE),"")</f>
        <v>19633</v>
      </c>
      <c r="P387">
        <f>IFERROR(VLOOKUP($A387,koronahun!$A:$AM,16,FALSE),"")</f>
        <v>18171</v>
      </c>
      <c r="Q387" s="13">
        <f>IFERROR(VLOOKUP($A387,koronahun!$A:$AM,17,FALSE),"")</f>
        <v>9.0914093885862093E-2</v>
      </c>
      <c r="R387">
        <f>IFERROR(VLOOKUP($A387,koronahun!$A:$AM,18,FALSE),"")</f>
        <v>93</v>
      </c>
      <c r="S387">
        <f>IFERROR(VLOOKUP($A387,koronahun!$A:$AM,19,FALSE),"")</f>
        <v>2024</v>
      </c>
      <c r="T387">
        <f>IFERROR(VLOOKUP($A387,koronahun!$A:$AM,20,FALSE),"")</f>
        <v>3648</v>
      </c>
      <c r="U387">
        <f>IFERROR(VLOOKUP($A387,koronahun!$A:$AM,21,FALSE),"")</f>
        <v>289</v>
      </c>
      <c r="V387" s="13">
        <f>IFERROR(VLOOKUP($A387,koronahun!$A:$AM,22,FALSE),"")</f>
        <v>0.22809337935632332</v>
      </c>
      <c r="W387">
        <f>IFERROR(VLOOKUP($A387,koronahun!$A:$AM,23,FALSE),"")</f>
        <v>-49</v>
      </c>
      <c r="X387">
        <f>IFERROR(VLOOKUP($A387,koronahun!$A:$AM,24,FALSE),"")</f>
        <v>20</v>
      </c>
      <c r="Y387" s="14">
        <f>IFERROR(VLOOKUP($A387,koronahun!$A:$AM,25,FALSE),"")</f>
        <v>4.2994531397322268E-2</v>
      </c>
      <c r="Z387" s="14">
        <f>IFERROR(VLOOKUP($A387,koronahun!$A:$AM,26,FALSE),"")</f>
        <v>7.9221491228070179E-2</v>
      </c>
      <c r="AA387" s="14">
        <f>IFERROR(VLOOKUP($A387,koronahun!$A:$AM,27,FALSE),"")</f>
        <v>1.0963020030816641</v>
      </c>
      <c r="AB387" s="14">
        <f>IFERROR(VLOOKUP($A387,koronahun!$A:$AM,28,FALSE),"")</f>
        <v>1.0663707915324012</v>
      </c>
      <c r="AC387" s="14">
        <f>IFERROR(VLOOKUP($A387,koronahun!$A:$AM,29,FALSE),"")</f>
        <v>1219.7142857142858</v>
      </c>
      <c r="AD387" s="14">
        <f>IFERROR(VLOOKUP($A387,koronahun!$A:$AM,30,FALSE),"")</f>
        <v>77.285714285714292</v>
      </c>
      <c r="AE387" s="14">
        <f>IFERROR(VLOOKUP($A387,koronahun!$A:$AM,31,FALSE),"")</f>
        <v>16105.714285714286</v>
      </c>
      <c r="AF387" s="13">
        <f>IFERROR(VLOOKUP($A387,koronahun!$A:$AM,32,FALSE),"")</f>
        <v>7.7481180559820978E-2</v>
      </c>
      <c r="AG387">
        <f>IFERROR(VLOOKUP($A387,koronahun!$A:$AM,33,FALSE),"")</f>
        <v>249687</v>
      </c>
      <c r="AH387">
        <f>IFERROR(VLOOKUP($A387,koronahun!$A:$AM,34,FALSE),"")</f>
        <v>2417</v>
      </c>
      <c r="AI387">
        <f>IFERROR(VLOOKUP($A387,koronahun!$A:$AM,35,FALSE),"")</f>
        <v>12638.857142857143</v>
      </c>
      <c r="AJ387">
        <f>IFERROR(VLOOKUP($A387,koronahun!$A:$AM,36,FALSE),"")</f>
        <v>84452</v>
      </c>
      <c r="AK387">
        <f>IFERROR(VLOOKUP($A387,koronahun!$A:$AM,37,FALSE),"")</f>
        <v>9416</v>
      </c>
      <c r="AL387">
        <f>IFERROR(VLOOKUP($A387,koronahun!$A:$AM,38,FALSE),"")</f>
        <v>8308.4285714285706</v>
      </c>
      <c r="AM387" s="14">
        <f>IFERROR(VLOOKUP($A387,koronahun!$A:$AM,39,FALSE),"")</f>
        <v>3615</v>
      </c>
      <c r="AN387" s="11">
        <f ca="1">IFERROR(__xludf.DUMMYFUNCTION("""COMPUTED_VALUE"""),44279)</f>
        <v>44279</v>
      </c>
      <c r="AO387" s="12">
        <f ca="1">IFERROR(VLOOKUP(AN387,koronahun!A:B,2,FALSE),"")</f>
        <v>593710</v>
      </c>
      <c r="AP387" s="11">
        <f t="shared" ca="1" si="2"/>
        <v>44279</v>
      </c>
      <c r="AQ387" s="11">
        <f ca="1">IFERROR(__xludf.DUMMYFUNCTION("""COMPUTED_VALUE"""),44279)</f>
        <v>44279</v>
      </c>
      <c r="AR387" s="11">
        <v>44232</v>
      </c>
      <c r="AS387" s="11">
        <f t="shared" si="3"/>
        <v>44232</v>
      </c>
      <c r="AT387" s="11">
        <f ca="1">IFERROR(__xludf.DUMMYFUNCTION("""COMPUTED_VALUE"""),44231)</f>
        <v>44231</v>
      </c>
    </row>
    <row r="388" spans="1:46" ht="13">
      <c r="A388" s="11">
        <v>44230</v>
      </c>
      <c r="B388">
        <f>IFERROR(VLOOKUP($A388,koronahun!$A:$AM,2,FALSE),"")</f>
        <v>370336</v>
      </c>
      <c r="C388">
        <f>IFERROR(VLOOKUP($A388,koronahun!$A:$AM,3,FALSE),"")</f>
        <v>1048</v>
      </c>
      <c r="D388">
        <f>IFERROR(VLOOKUP($A388,koronahun!$A:$AM,4,FALSE),"")</f>
        <v>12739</v>
      </c>
      <c r="E388">
        <f>IFERROR(VLOOKUP($A388,koronahun!$A:$AM,5,FALSE),"")</f>
        <v>272284</v>
      </c>
      <c r="F388">
        <f>IFERROR(VLOOKUP($A388,koronahun!$A:$AM,6,FALSE),"")</f>
        <v>3192378</v>
      </c>
      <c r="G388" s="12">
        <f>IFERROR(VLOOKUP($A388,koronahun!$A:$AM,7,FALSE),"")</f>
        <v>325752.8571428571</v>
      </c>
      <c r="H388">
        <f>IFERROR(VLOOKUP($A388,koronahun!$A:$AM,8,FALSE),"")</f>
        <v>0</v>
      </c>
      <c r="I388" s="13">
        <f>IFERROR(VLOOKUP($A388,koronahun!$A:$AM,9,FALSE),"")</f>
        <v>2.8378934598470569E-3</v>
      </c>
      <c r="J388" s="13">
        <f>IFERROR(VLOOKUP($A388,koronahun!$A:$AM,10,FALSE),"")</f>
        <v>0.1160063125356709</v>
      </c>
      <c r="K388" s="13">
        <f>IFERROR(VLOOKUP($A388,koronahun!$A:$AM,11,FALSE),"")</f>
        <v>4.8581278108773716E-3</v>
      </c>
      <c r="L388">
        <f>IFERROR(VLOOKUP($A388,koronahun!$A:$AM,12,FALSE),"")</f>
        <v>85313</v>
      </c>
      <c r="M388" s="13">
        <f>IFERROR(VLOOKUP($A388,koronahun!$A:$AM,13,FALSE),"")</f>
        <v>3.4398492180074312E-2</v>
      </c>
      <c r="N388" s="13">
        <f>IFERROR(VLOOKUP($A388,koronahun!$A:$AM,14,FALSE),"")</f>
        <v>0.73523502981076649</v>
      </c>
      <c r="O388">
        <f>IFERROR(VLOOKUP($A388,koronahun!$A:$AM,15,FALSE),"")</f>
        <v>18337</v>
      </c>
      <c r="P388">
        <f>IFERROR(VLOOKUP($A388,koronahun!$A:$AM,16,FALSE),"")</f>
        <v>15434</v>
      </c>
      <c r="Q388" s="13">
        <f>IFERROR(VLOOKUP($A388,koronahun!$A:$AM,17,FALSE),"")</f>
        <v>6.7902034469353376E-2</v>
      </c>
      <c r="R388">
        <f>IFERROR(VLOOKUP($A388,koronahun!$A:$AM,18,FALSE),"")</f>
        <v>83</v>
      </c>
      <c r="S388">
        <f>IFERROR(VLOOKUP($A388,koronahun!$A:$AM,19,FALSE),"")</f>
        <v>3481</v>
      </c>
      <c r="T388">
        <f>IFERROR(VLOOKUP($A388,koronahun!$A:$AM,20,FALSE),"")</f>
        <v>3697</v>
      </c>
      <c r="U388">
        <f>IFERROR(VLOOKUP($A388,koronahun!$A:$AM,21,FALSE),"")</f>
        <v>269</v>
      </c>
      <c r="V388" s="13">
        <f>IFERROR(VLOOKUP($A388,koronahun!$A:$AM,22,FALSE),"")</f>
        <v>0.23036647800915924</v>
      </c>
      <c r="W388">
        <f>IFERROR(VLOOKUP($A388,koronahun!$A:$AM,23,FALSE),"")</f>
        <v>-32</v>
      </c>
      <c r="X388">
        <f>IFERROR(VLOOKUP($A388,koronahun!$A:$AM,24,FALSE),"")</f>
        <v>-3</v>
      </c>
      <c r="Y388" s="14">
        <f>IFERROR(VLOOKUP($A388,koronahun!$A:$AM,25,FALSE),"")</f>
        <v>4.3334544559445805E-2</v>
      </c>
      <c r="Z388" s="14">
        <f>IFERROR(VLOOKUP($A388,koronahun!$A:$AM,26,FALSE),"")</f>
        <v>7.2761698674601027E-2</v>
      </c>
      <c r="AA388" s="14">
        <f>IFERROR(VLOOKUP($A388,koronahun!$A:$AM,27,FALSE),"")</f>
        <v>1.108271070913619</v>
      </c>
      <c r="AB388" s="14">
        <f>IFERROR(VLOOKUP($A388,koronahun!$A:$AM,28,FALSE),"")</f>
        <v>1.0483771302755318</v>
      </c>
      <c r="AC388" s="14">
        <f>IFERROR(VLOOKUP($A388,koronahun!$A:$AM,29,FALSE),"")</f>
        <v>1207.8571428571429</v>
      </c>
      <c r="AD388" s="14">
        <f>IFERROR(VLOOKUP($A388,koronahun!$A:$AM,30,FALSE),"")</f>
        <v>77.285714285714292</v>
      </c>
      <c r="AE388" s="14">
        <f>IFERROR(VLOOKUP($A388,koronahun!$A:$AM,31,FALSE),"")</f>
        <v>15380.285714285714</v>
      </c>
      <c r="AF388" s="13">
        <f>IFERROR(VLOOKUP($A388,koronahun!$A:$AM,32,FALSE),"")</f>
        <v>8.161274234040608E-2</v>
      </c>
      <c r="AG388">
        <f>IFERROR(VLOOKUP($A388,koronahun!$A:$AM,33,FALSE),"")</f>
        <v>247270</v>
      </c>
      <c r="AH388">
        <f>IFERROR(VLOOKUP($A388,koronahun!$A:$AM,34,FALSE),"")</f>
        <v>4234</v>
      </c>
      <c r="AI388">
        <f>IFERROR(VLOOKUP($A388,koronahun!$A:$AM,35,FALSE),"")</f>
        <v>13509.428571428571</v>
      </c>
      <c r="AJ388">
        <f>IFERROR(VLOOKUP($A388,koronahun!$A:$AM,36,FALSE),"")</f>
        <v>75036</v>
      </c>
      <c r="AK388">
        <f>IFERROR(VLOOKUP($A388,koronahun!$A:$AM,37,FALSE),"")</f>
        <v>6510</v>
      </c>
      <c r="AL388">
        <f>IFERROR(VLOOKUP($A388,koronahun!$A:$AM,38,FALSE),"")</f>
        <v>8180.5714285714284</v>
      </c>
      <c r="AM388" s="14">
        <f>IFERROR(VLOOKUP($A388,koronahun!$A:$AM,39,FALSE),"")</f>
        <v>3669.7142857142858</v>
      </c>
      <c r="AN388" s="11">
        <f ca="1">IFERROR(__xludf.DUMMYFUNCTION("""COMPUTED_VALUE"""),44280)</f>
        <v>44280</v>
      </c>
      <c r="AO388" s="12">
        <f ca="1">IFERROR(VLOOKUP(AN388,koronahun!A:B,2,FALSE),"")</f>
        <v>603347</v>
      </c>
      <c r="AP388" s="11">
        <f t="shared" ca="1" si="2"/>
        <v>44280</v>
      </c>
      <c r="AQ388" s="11">
        <f ca="1">IFERROR(__xludf.DUMMYFUNCTION("""COMPUTED_VALUE"""),44280)</f>
        <v>44280</v>
      </c>
      <c r="AR388" s="11">
        <v>44231</v>
      </c>
      <c r="AS388" s="11">
        <f t="shared" si="3"/>
        <v>44231</v>
      </c>
      <c r="AT388" s="11">
        <f ca="1">IFERROR(__xludf.DUMMYFUNCTION("""COMPUTED_VALUE"""),44230)</f>
        <v>44230</v>
      </c>
    </row>
    <row r="389" spans="1:46" ht="13">
      <c r="A389" s="11">
        <v>44229</v>
      </c>
      <c r="B389">
        <f>IFERROR(VLOOKUP($A389,koronahun!$A:$AM,2,FALSE),"")</f>
        <v>369288</v>
      </c>
      <c r="C389">
        <f>IFERROR(VLOOKUP($A389,koronahun!$A:$AM,3,FALSE),"")</f>
        <v>578</v>
      </c>
      <c r="D389">
        <f>IFERROR(VLOOKUP($A389,koronahun!$A:$AM,4,FALSE),"")</f>
        <v>12656</v>
      </c>
      <c r="E389">
        <f>IFERROR(VLOOKUP($A389,koronahun!$A:$AM,5,FALSE),"")</f>
        <v>268803</v>
      </c>
      <c r="F389">
        <f>IFERROR(VLOOKUP($A389,koronahun!$A:$AM,6,FALSE),"")</f>
        <v>3176944</v>
      </c>
      <c r="G389" s="12">
        <f>IFERROR(VLOOKUP($A389,koronahun!$A:$AM,7,FALSE),"")</f>
        <v>324177.95918367343</v>
      </c>
      <c r="H389">
        <f>IFERROR(VLOOKUP($A389,koronahun!$A:$AM,8,FALSE),"")</f>
        <v>0</v>
      </c>
      <c r="I389" s="13">
        <f>IFERROR(VLOOKUP($A389,koronahun!$A:$AM,9,FALSE),"")</f>
        <v>1.5676276748664262E-3</v>
      </c>
      <c r="J389" s="13">
        <f>IFERROR(VLOOKUP($A389,koronahun!$A:$AM,10,FALSE),"")</f>
        <v>0.11624000926676706</v>
      </c>
      <c r="K389" s="13">
        <f>IFERROR(VLOOKUP($A389,koronahun!$A:$AM,11,FALSE),"")</f>
        <v>2.4593345218749509E-3</v>
      </c>
      <c r="L389">
        <f>IFERROR(VLOOKUP($A389,koronahun!$A:$AM,12,FALSE),"")</f>
        <v>87829</v>
      </c>
      <c r="M389" s="13">
        <f>IFERROR(VLOOKUP($A389,koronahun!$A:$AM,13,FALSE),"")</f>
        <v>3.427135460670263E-2</v>
      </c>
      <c r="N389" s="13">
        <f>IFERROR(VLOOKUP($A389,koronahun!$A:$AM,14,FALSE),"")</f>
        <v>0.72789530122830959</v>
      </c>
      <c r="O389">
        <f>IFERROR(VLOOKUP($A389,koronahun!$A:$AM,15,FALSE),"")</f>
        <v>18030</v>
      </c>
      <c r="P389">
        <f>IFERROR(VLOOKUP($A389,koronahun!$A:$AM,16,FALSE),"")</f>
        <v>7794</v>
      </c>
      <c r="Q389" s="13">
        <f>IFERROR(VLOOKUP($A389,koronahun!$A:$AM,17,FALSE),"")</f>
        <v>7.4159609956376701E-2</v>
      </c>
      <c r="R389">
        <f>IFERROR(VLOOKUP($A389,koronahun!$A:$AM,18,FALSE),"")</f>
        <v>78</v>
      </c>
      <c r="S389">
        <f>IFERROR(VLOOKUP($A389,koronahun!$A:$AM,19,FALSE),"")</f>
        <v>4543</v>
      </c>
      <c r="T389">
        <f>IFERROR(VLOOKUP($A389,koronahun!$A:$AM,20,FALSE),"")</f>
        <v>3729</v>
      </c>
      <c r="U389">
        <f>IFERROR(VLOOKUP($A389,koronahun!$A:$AM,21,FALSE),"")</f>
        <v>272</v>
      </c>
      <c r="V389" s="13">
        <f>IFERROR(VLOOKUP($A389,koronahun!$A:$AM,22,FALSE),"")</f>
        <v>0.23783334416498775</v>
      </c>
      <c r="W389">
        <f>IFERROR(VLOOKUP($A389,koronahun!$A:$AM,23,FALSE),"")</f>
        <v>47</v>
      </c>
      <c r="X389">
        <f>IFERROR(VLOOKUP($A389,koronahun!$A:$AM,24,FALSE),"")</f>
        <v>-1</v>
      </c>
      <c r="Y389" s="14">
        <f>IFERROR(VLOOKUP($A389,koronahun!$A:$AM,25,FALSE),"")</f>
        <v>4.2457502647189428E-2</v>
      </c>
      <c r="Z389" s="14">
        <f>IFERROR(VLOOKUP($A389,koronahun!$A:$AM,26,FALSE),"")</f>
        <v>7.2941807455081789E-2</v>
      </c>
      <c r="AA389" s="14">
        <f>IFERROR(VLOOKUP($A389,koronahun!$A:$AM,27,FALSE),"")</f>
        <v>1.1065649256676753</v>
      </c>
      <c r="AB389" s="14">
        <f>IFERROR(VLOOKUP($A389,koronahun!$A:$AM,28,FALSE),"")</f>
        <v>1.0176407438865274</v>
      </c>
      <c r="AC389" s="14">
        <f>IFERROR(VLOOKUP($A389,koronahun!$A:$AM,29,FALSE),"")</f>
        <v>1201.5714285714287</v>
      </c>
      <c r="AD389" s="14">
        <f>IFERROR(VLOOKUP($A389,koronahun!$A:$AM,30,FALSE),"")</f>
        <v>77.571428571428569</v>
      </c>
      <c r="AE389" s="14">
        <f>IFERROR(VLOOKUP($A389,koronahun!$A:$AM,31,FALSE),"")</f>
        <v>15611.571428571429</v>
      </c>
      <c r="AF389" s="13">
        <f>IFERROR(VLOOKUP($A389,koronahun!$A:$AM,32,FALSE),"")</f>
        <v>8.032320473239507E-2</v>
      </c>
      <c r="AG389">
        <f>IFERROR(VLOOKUP($A389,koronahun!$A:$AM,33,FALSE),"")</f>
        <v>243036</v>
      </c>
      <c r="AH389">
        <f>IFERROR(VLOOKUP($A389,koronahun!$A:$AM,34,FALSE),"")</f>
        <v>5164</v>
      </c>
      <c r="AI389">
        <f>IFERROR(VLOOKUP($A389,koronahun!$A:$AM,35,FALSE),"")</f>
        <v>13337.142857142857</v>
      </c>
      <c r="AJ389">
        <f>IFERROR(VLOOKUP($A389,koronahun!$A:$AM,36,FALSE),"")</f>
        <v>68526</v>
      </c>
      <c r="AK389">
        <f>IFERROR(VLOOKUP($A389,koronahun!$A:$AM,37,FALSE),"")</f>
        <v>7260</v>
      </c>
      <c r="AL389">
        <f>IFERROR(VLOOKUP($A389,koronahun!$A:$AM,38,FALSE),"")</f>
        <v>7983.8571428571431</v>
      </c>
      <c r="AM389" s="14">
        <f>IFERROR(VLOOKUP($A389,koronahun!$A:$AM,39,FALSE),"")</f>
        <v>3446</v>
      </c>
      <c r="AN389" s="11">
        <f ca="1">IFERROR(__xludf.DUMMYFUNCTION("""COMPUTED_VALUE"""),44281)</f>
        <v>44281</v>
      </c>
      <c r="AO389" s="12">
        <f ca="1">IFERROR(VLOOKUP(AN389,koronahun!A:B,2,FALSE),"")</f>
        <v>614612</v>
      </c>
      <c r="AP389" s="11">
        <f t="shared" ca="1" si="2"/>
        <v>44281</v>
      </c>
      <c r="AQ389" s="11">
        <f ca="1">IFERROR(__xludf.DUMMYFUNCTION("""COMPUTED_VALUE"""),44281)</f>
        <v>44281</v>
      </c>
      <c r="AR389" s="11">
        <v>44230</v>
      </c>
      <c r="AS389" s="11">
        <f t="shared" si="3"/>
        <v>44230</v>
      </c>
      <c r="AT389" s="11">
        <f ca="1">IFERROR(__xludf.DUMMYFUNCTION("""COMPUTED_VALUE"""),44229)</f>
        <v>44229</v>
      </c>
    </row>
    <row r="390" spans="1:46" ht="13">
      <c r="A390" s="11">
        <v>44228</v>
      </c>
      <c r="B390">
        <f>IFERROR(VLOOKUP($A390,koronahun!$A:$AM,2,FALSE),"")</f>
        <v>368710</v>
      </c>
      <c r="C390">
        <f>IFERROR(VLOOKUP($A390,koronahun!$A:$AM,3,FALSE),"")</f>
        <v>1124</v>
      </c>
      <c r="D390">
        <f>IFERROR(VLOOKUP($A390,koronahun!$A:$AM,4,FALSE),"")</f>
        <v>12578</v>
      </c>
      <c r="E390">
        <f>IFERROR(VLOOKUP($A390,koronahun!$A:$AM,5,FALSE),"")</f>
        <v>264260</v>
      </c>
      <c r="F390">
        <f>IFERROR(VLOOKUP($A390,koronahun!$A:$AM,6,FALSE),"")</f>
        <v>3169150</v>
      </c>
      <c r="G390" s="12">
        <f>IFERROR(VLOOKUP($A390,koronahun!$A:$AM,7,FALSE),"")</f>
        <v>323382.65306122444</v>
      </c>
      <c r="H390">
        <f>IFERROR(VLOOKUP($A390,koronahun!$A:$AM,8,FALSE),"")</f>
        <v>0</v>
      </c>
      <c r="I390" s="13">
        <f>IFERROR(VLOOKUP($A390,koronahun!$A:$AM,9,FALSE),"")</f>
        <v>3.057787837404036E-3</v>
      </c>
      <c r="J390" s="13">
        <f>IFERROR(VLOOKUP($A390,koronahun!$A:$AM,10,FALSE),"")</f>
        <v>0.11634349904548538</v>
      </c>
      <c r="K390" s="13">
        <f>IFERROR(VLOOKUP($A390,koronahun!$A:$AM,11,FALSE),"")</f>
        <v>3.4392050376659761E-3</v>
      </c>
      <c r="L390">
        <f>IFERROR(VLOOKUP($A390,koronahun!$A:$AM,12,FALSE),"")</f>
        <v>91872</v>
      </c>
      <c r="M390" s="13">
        <f>IFERROR(VLOOKUP($A390,koronahun!$A:$AM,13,FALSE),"")</f>
        <v>3.4113530959290497E-2</v>
      </c>
      <c r="N390" s="13">
        <f>IFERROR(VLOOKUP($A390,koronahun!$A:$AM,14,FALSE),"")</f>
        <v>0.71671503349515875</v>
      </c>
      <c r="O390">
        <f>IFERROR(VLOOKUP($A390,koronahun!$A:$AM,15,FALSE),"")</f>
        <v>13810</v>
      </c>
      <c r="P390">
        <f>IFERROR(VLOOKUP($A390,koronahun!$A:$AM,16,FALSE),"")</f>
        <v>10862</v>
      </c>
      <c r="Q390" s="13">
        <f>IFERROR(VLOOKUP($A390,koronahun!$A:$AM,17,FALSE),"")</f>
        <v>0.10348002209537838</v>
      </c>
      <c r="R390">
        <f>IFERROR(VLOOKUP($A390,koronahun!$A:$AM,18,FALSE),"")</f>
        <v>54</v>
      </c>
      <c r="S390">
        <f>IFERROR(VLOOKUP($A390,koronahun!$A:$AM,19,FALSE),"")</f>
        <v>1292</v>
      </c>
      <c r="T390">
        <f>IFERROR(VLOOKUP($A390,koronahun!$A:$AM,20,FALSE),"")</f>
        <v>3682</v>
      </c>
      <c r="U390">
        <f>IFERROR(VLOOKUP($A390,koronahun!$A:$AM,21,FALSE),"")</f>
        <v>273</v>
      </c>
      <c r="V390" s="13">
        <f>IFERROR(VLOOKUP($A390,koronahun!$A:$AM,22,FALSE),"")</f>
        <v>0.24917143554555071</v>
      </c>
      <c r="W390">
        <f>IFERROR(VLOOKUP($A390,koronahun!$A:$AM,23,FALSE),"")</f>
        <v>120</v>
      </c>
      <c r="X390">
        <f>IFERROR(VLOOKUP($A390,koronahun!$A:$AM,24,FALSE),"")</f>
        <v>5</v>
      </c>
      <c r="Y390" s="14">
        <f>IFERROR(VLOOKUP($A390,koronahun!$A:$AM,25,FALSE),"")</f>
        <v>4.0077499129223267E-2</v>
      </c>
      <c r="Z390" s="14">
        <f>IFERROR(VLOOKUP($A390,koronahun!$A:$AM,26,FALSE),"")</f>
        <v>7.4144486692015205E-2</v>
      </c>
      <c r="AA390" s="14">
        <f>IFERROR(VLOOKUP($A390,koronahun!$A:$AM,27,FALSE),"")</f>
        <v>1.0747893713545043</v>
      </c>
      <c r="AB390" s="14">
        <f>IFERROR(VLOOKUP($A390,koronahun!$A:$AM,28,FALSE),"")</f>
        <v>0.98123833950895278</v>
      </c>
      <c r="AC390" s="14">
        <f>IFERROR(VLOOKUP($A390,koronahun!$A:$AM,29,FALSE),"")</f>
        <v>1184.5714285714287</v>
      </c>
      <c r="AD390" s="14">
        <f>IFERROR(VLOOKUP($A390,koronahun!$A:$AM,30,FALSE),"")</f>
        <v>79.142857142857139</v>
      </c>
      <c r="AE390" s="14">
        <f>IFERROR(VLOOKUP($A390,koronahun!$A:$AM,31,FALSE),"")</f>
        <v>15288.285714285714</v>
      </c>
      <c r="AF390" s="13">
        <f>IFERROR(VLOOKUP($A390,koronahun!$A:$AM,32,FALSE),"")</f>
        <v>8.1584232119105843E-2</v>
      </c>
      <c r="AG390">
        <f>IFERROR(VLOOKUP($A390,koronahun!$A:$AM,33,FALSE),"")</f>
        <v>237872</v>
      </c>
      <c r="AH390">
        <f>IFERROR(VLOOKUP($A390,koronahun!$A:$AM,34,FALSE),"")</f>
        <v>15867</v>
      </c>
      <c r="AI390">
        <f>IFERROR(VLOOKUP($A390,koronahun!$A:$AM,35,FALSE),"")</f>
        <v>13025.285714285714</v>
      </c>
      <c r="AJ390">
        <f>IFERROR(VLOOKUP($A390,koronahun!$A:$AM,36,FALSE),"")</f>
        <v>61266</v>
      </c>
      <c r="AK390">
        <f>IFERROR(VLOOKUP($A390,koronahun!$A:$AM,37,FALSE),"")</f>
        <v>4441</v>
      </c>
      <c r="AL390">
        <f>IFERROR(VLOOKUP($A390,koronahun!$A:$AM,38,FALSE),"")</f>
        <v>7409</v>
      </c>
      <c r="AM390" s="14">
        <f>IFERROR(VLOOKUP($A390,koronahun!$A:$AM,39,FALSE),"")</f>
        <v>3024</v>
      </c>
      <c r="AN390" s="11">
        <f ca="1">IFERROR(__xludf.DUMMYFUNCTION("""COMPUTED_VALUE"""),44282)</f>
        <v>44282</v>
      </c>
      <c r="AO390" s="12">
        <f ca="1">IFERROR(VLOOKUP(AN390,koronahun!A:B,2,FALSE),"")</f>
        <v>624779</v>
      </c>
      <c r="AP390" s="11">
        <f t="shared" ca="1" si="2"/>
        <v>44282</v>
      </c>
      <c r="AQ390" s="11">
        <f ca="1">IFERROR(__xludf.DUMMYFUNCTION("""COMPUTED_VALUE"""),44282)</f>
        <v>44282</v>
      </c>
      <c r="AR390" s="11">
        <v>44229</v>
      </c>
      <c r="AS390" s="11">
        <f t="shared" si="3"/>
        <v>44229</v>
      </c>
      <c r="AT390" s="11">
        <f ca="1">IFERROR(__xludf.DUMMYFUNCTION("""COMPUTED_VALUE"""),44228)</f>
        <v>44228</v>
      </c>
    </row>
    <row r="391" spans="1:46" ht="13">
      <c r="A391" s="11">
        <v>44227</v>
      </c>
      <c r="B391">
        <f>IFERROR(VLOOKUP($A391,koronahun!$A:$AM,2,FALSE),"")</f>
        <v>367586</v>
      </c>
      <c r="C391">
        <f>IFERROR(VLOOKUP($A391,koronahun!$A:$AM,3,FALSE),"")</f>
        <v>1307</v>
      </c>
      <c r="D391">
        <f>IFERROR(VLOOKUP($A391,koronahun!$A:$AM,4,FALSE),"")</f>
        <v>12524</v>
      </c>
      <c r="E391">
        <f>IFERROR(VLOOKUP($A391,koronahun!$A:$AM,5,FALSE),"")</f>
        <v>262968</v>
      </c>
      <c r="F391">
        <f>IFERROR(VLOOKUP($A391,koronahun!$A:$AM,6,FALSE),"")</f>
        <v>3158288</v>
      </c>
      <c r="G391" s="12">
        <f>IFERROR(VLOOKUP($A391,koronahun!$A:$AM,7,FALSE),"")</f>
        <v>322274.28571428568</v>
      </c>
      <c r="H391">
        <f>IFERROR(VLOOKUP($A391,koronahun!$A:$AM,8,FALSE),"")</f>
        <v>0</v>
      </c>
      <c r="I391" s="13">
        <f>IFERROR(VLOOKUP($A391,koronahun!$A:$AM,9,FALSE),"")</f>
        <v>3.5683181399971059E-3</v>
      </c>
      <c r="J391" s="13">
        <f>IFERROR(VLOOKUP($A391,koronahun!$A:$AM,10,FALSE),"")</f>
        <v>0.1163877391802141</v>
      </c>
      <c r="K391" s="13">
        <f>IFERROR(VLOOKUP($A391,koronahun!$A:$AM,11,FALSE),"")</f>
        <v>6.4184394225125282E-3</v>
      </c>
      <c r="L391">
        <f>IFERROR(VLOOKUP($A391,koronahun!$A:$AM,12,FALSE),"")</f>
        <v>92094</v>
      </c>
      <c r="M391" s="13">
        <f>IFERROR(VLOOKUP($A391,koronahun!$A:$AM,13,FALSE),"")</f>
        <v>3.4070938501466322E-2</v>
      </c>
      <c r="N391" s="13">
        <f>IFERROR(VLOOKUP($A391,koronahun!$A:$AM,14,FALSE),"")</f>
        <v>0.71539177226553785</v>
      </c>
      <c r="O391">
        <f>IFERROR(VLOOKUP($A391,koronahun!$A:$AM,15,FALSE),"")</f>
        <v>19075</v>
      </c>
      <c r="P391">
        <f>IFERROR(VLOOKUP($A391,koronahun!$A:$AM,16,FALSE),"")</f>
        <v>20142</v>
      </c>
      <c r="Q391" s="13">
        <f>IFERROR(VLOOKUP($A391,koronahun!$A:$AM,17,FALSE),"")</f>
        <v>6.4889286068910729E-2</v>
      </c>
      <c r="R391">
        <f>IFERROR(VLOOKUP($A391,koronahun!$A:$AM,18,FALSE),"")</f>
        <v>61</v>
      </c>
      <c r="S391">
        <f>IFERROR(VLOOKUP($A391,koronahun!$A:$AM,19,FALSE),"")</f>
        <v>3413</v>
      </c>
      <c r="T391">
        <f>IFERROR(VLOOKUP($A391,koronahun!$A:$AM,20,FALSE),"")</f>
        <v>3562</v>
      </c>
      <c r="U391">
        <f>IFERROR(VLOOKUP($A391,koronahun!$A:$AM,21,FALSE),"")</f>
        <v>268</v>
      </c>
      <c r="V391" s="13">
        <f>IFERROR(VLOOKUP($A391,koronahun!$A:$AM,22,FALSE),"")</f>
        <v>0.25053728923299584</v>
      </c>
      <c r="W391">
        <f>IFERROR(VLOOKUP($A391,koronahun!$A:$AM,23,FALSE),"")</f>
        <v>-20</v>
      </c>
      <c r="X391">
        <f>IFERROR(VLOOKUP($A391,koronahun!$A:$AM,24,FALSE),"")</f>
        <v>4</v>
      </c>
      <c r="Y391" s="14">
        <f>IFERROR(VLOOKUP($A391,koronahun!$A:$AM,25,FALSE),"")</f>
        <v>3.8677872608421829E-2</v>
      </c>
      <c r="Z391" s="14">
        <f>IFERROR(VLOOKUP($A391,koronahun!$A:$AM,26,FALSE),"")</f>
        <v>7.5238629983155531E-2</v>
      </c>
      <c r="AA391" s="14">
        <f>IFERROR(VLOOKUP($A391,koronahun!$A:$AM,27,FALSE),"")</f>
        <v>1.0343403046733799</v>
      </c>
      <c r="AB391" s="14">
        <f>IFERROR(VLOOKUP($A391,koronahun!$A:$AM,28,FALSE),"")</f>
        <v>0.94952112555256307</v>
      </c>
      <c r="AC391" s="14">
        <f>IFERROR(VLOOKUP($A391,koronahun!$A:$AM,29,FALSE),"")</f>
        <v>1144.5714285714287</v>
      </c>
      <c r="AD391" s="14">
        <f>IFERROR(VLOOKUP($A391,koronahun!$A:$AM,30,FALSE),"")</f>
        <v>79.428571428571431</v>
      </c>
      <c r="AE391" s="14">
        <f>IFERROR(VLOOKUP($A391,koronahun!$A:$AM,31,FALSE),"")</f>
        <v>15174.285714285714</v>
      </c>
      <c r="AF391" s="13">
        <f>IFERROR(VLOOKUP($A391,koronahun!$A:$AM,32,FALSE),"")</f>
        <v>7.8781839682586882E-2</v>
      </c>
      <c r="AG391">
        <f>IFERROR(VLOOKUP($A391,koronahun!$A:$AM,33,FALSE),"")</f>
        <v>222005</v>
      </c>
      <c r="AH391">
        <f>IFERROR(VLOOKUP($A391,koronahun!$A:$AM,34,FALSE),"")</f>
        <v>23722</v>
      </c>
      <c r="AI391">
        <f>IFERROR(VLOOKUP($A391,koronahun!$A:$AM,35,FALSE),"")</f>
        <v>10964</v>
      </c>
      <c r="AJ391">
        <f>IFERROR(VLOOKUP($A391,koronahun!$A:$AM,36,FALSE),"")</f>
        <v>56825</v>
      </c>
      <c r="AK391">
        <f>IFERROR(VLOOKUP($A391,koronahun!$A:$AM,37,FALSE),"")</f>
        <v>7219</v>
      </c>
      <c r="AL391">
        <f>IFERROR(VLOOKUP($A391,koronahun!$A:$AM,38,FALSE),"")</f>
        <v>6955.7142857142853</v>
      </c>
      <c r="AM391" s="14">
        <f>IFERROR(VLOOKUP($A391,koronahun!$A:$AM,39,FALSE),"")</f>
        <v>3070.8571428571427</v>
      </c>
      <c r="AN391" s="11">
        <f ca="1">IFERROR(__xludf.DUMMYFUNCTION("""COMPUTED_VALUE"""),44283)</f>
        <v>44283</v>
      </c>
      <c r="AO391" s="12">
        <f ca="1">IFERROR(VLOOKUP(AN391,koronahun!A:B,2,FALSE),"")</f>
        <v>633861</v>
      </c>
      <c r="AP391" s="11">
        <f t="shared" ca="1" si="2"/>
        <v>44283</v>
      </c>
      <c r="AQ391" s="11">
        <f ca="1">IFERROR(__xludf.DUMMYFUNCTION("""COMPUTED_VALUE"""),44283)</f>
        <v>44283</v>
      </c>
      <c r="AR391" s="11">
        <v>44228</v>
      </c>
      <c r="AS391" s="11">
        <f t="shared" si="3"/>
        <v>44228</v>
      </c>
      <c r="AT391" s="11">
        <f ca="1">IFERROR(__xludf.DUMMYFUNCTION("""COMPUTED_VALUE"""),44227)</f>
        <v>44227</v>
      </c>
    </row>
    <row r="392" spans="1:46" ht="13">
      <c r="A392" s="11">
        <v>44226</v>
      </c>
      <c r="B392">
        <f>IFERROR(VLOOKUP($A392,koronahun!$A:$AM,2,FALSE),"")</f>
        <v>366279</v>
      </c>
      <c r="C392">
        <f>IFERROR(VLOOKUP($A392,koronahun!$A:$AM,3,FALSE),"")</f>
        <v>1370</v>
      </c>
      <c r="D392">
        <f>IFERROR(VLOOKUP($A392,koronahun!$A:$AM,4,FALSE),"")</f>
        <v>12463</v>
      </c>
      <c r="E392">
        <f>IFERROR(VLOOKUP($A392,koronahun!$A:$AM,5,FALSE),"")</f>
        <v>259555</v>
      </c>
      <c r="F392">
        <f>IFERROR(VLOOKUP($A392,koronahun!$A:$AM,6,FALSE),"")</f>
        <v>3138146</v>
      </c>
      <c r="G392" s="12">
        <f>IFERROR(VLOOKUP($A392,koronahun!$A:$AM,7,FALSE),"")</f>
        <v>320218.97959183669</v>
      </c>
      <c r="H392">
        <f>IFERROR(VLOOKUP($A392,koronahun!$A:$AM,8,FALSE),"")</f>
        <v>0</v>
      </c>
      <c r="I392" s="13">
        <f>IFERROR(VLOOKUP($A392,koronahun!$A:$AM,9,FALSE),"")</f>
        <v>3.7543606762233872E-3</v>
      </c>
      <c r="J392" s="13">
        <f>IFERROR(VLOOKUP($A392,koronahun!$A:$AM,10,FALSE),"")</f>
        <v>0.11671827888186209</v>
      </c>
      <c r="K392" s="13">
        <f>IFERROR(VLOOKUP($A392,koronahun!$A:$AM,11,FALSE),"")</f>
        <v>6.8538596194025634E-3</v>
      </c>
      <c r="L392">
        <f>IFERROR(VLOOKUP($A392,koronahun!$A:$AM,12,FALSE),"")</f>
        <v>94261</v>
      </c>
      <c r="M392" s="13">
        <f>IFERROR(VLOOKUP($A392,koronahun!$A:$AM,13,FALSE),"")</f>
        <v>3.4025974735106296E-2</v>
      </c>
      <c r="N392" s="13">
        <f>IFERROR(VLOOKUP($A392,koronahun!$A:$AM,14,FALSE),"")</f>
        <v>0.70862648418282237</v>
      </c>
      <c r="O392">
        <f>IFERROR(VLOOKUP($A392,koronahun!$A:$AM,15,FALSE),"")</f>
        <v>20147</v>
      </c>
      <c r="P392">
        <f>IFERROR(VLOOKUP($A392,koronahun!$A:$AM,16,FALSE),"")</f>
        <v>21362</v>
      </c>
      <c r="Q392" s="13">
        <f>IFERROR(VLOOKUP($A392,koronahun!$A:$AM,17,FALSE),"")</f>
        <v>6.4132571856567733E-2</v>
      </c>
      <c r="R392">
        <f>IFERROR(VLOOKUP($A392,koronahun!$A:$AM,18,FALSE),"")</f>
        <v>89</v>
      </c>
      <c r="S392">
        <f>IFERROR(VLOOKUP($A392,koronahun!$A:$AM,19,FALSE),"")</f>
        <v>4772</v>
      </c>
      <c r="T392">
        <f>IFERROR(VLOOKUP($A392,koronahun!$A:$AM,20,FALSE),"")</f>
        <v>3582</v>
      </c>
      <c r="U392">
        <f>IFERROR(VLOOKUP($A392,koronahun!$A:$AM,21,FALSE),"")</f>
        <v>264</v>
      </c>
      <c r="V392" s="13">
        <f>IFERROR(VLOOKUP($A392,koronahun!$A:$AM,22,FALSE),"")</f>
        <v>0.25734754108207131</v>
      </c>
      <c r="W392">
        <f>IFERROR(VLOOKUP($A392,koronahun!$A:$AM,23,FALSE),"")</f>
        <v>-67</v>
      </c>
      <c r="X392">
        <f>IFERROR(VLOOKUP($A392,koronahun!$A:$AM,24,FALSE),"")</f>
        <v>6</v>
      </c>
      <c r="Y392" s="14">
        <f>IFERROR(VLOOKUP($A392,koronahun!$A:$AM,25,FALSE),"")</f>
        <v>3.800086992499549E-2</v>
      </c>
      <c r="Z392" s="14">
        <f>IFERROR(VLOOKUP($A392,koronahun!$A:$AM,26,FALSE),"")</f>
        <v>7.3701842546063656E-2</v>
      </c>
      <c r="AA392" s="14">
        <f>IFERROR(VLOOKUP($A392,koronahun!$A:$AM,27,FALSE),"")</f>
        <v>1.0300129366106081</v>
      </c>
      <c r="AB392" s="14">
        <f>IFERROR(VLOOKUP($A392,koronahun!$A:$AM,28,FALSE),"")</f>
        <v>0.91713424704857283</v>
      </c>
      <c r="AC392" s="14">
        <f>IFERROR(VLOOKUP($A392,koronahun!$A:$AM,29,FALSE),"")</f>
        <v>1137.4285714285713</v>
      </c>
      <c r="AD392" s="14">
        <f>IFERROR(VLOOKUP($A392,koronahun!$A:$AM,30,FALSE),"")</f>
        <v>79.857142857142861</v>
      </c>
      <c r="AE392" s="14">
        <f>IFERROR(VLOOKUP($A392,koronahun!$A:$AM,31,FALSE),"")</f>
        <v>14645.571428571429</v>
      </c>
      <c r="AF392" s="13">
        <f>IFERROR(VLOOKUP($A392,koronahun!$A:$AM,32,FALSE),"")</f>
        <v>8.0434113594853571E-2</v>
      </c>
      <c r="AG392">
        <f>IFERROR(VLOOKUP($A392,koronahun!$A:$AM,33,FALSE),"")</f>
        <v>198283</v>
      </c>
      <c r="AH392">
        <f>IFERROR(VLOOKUP($A392,koronahun!$A:$AM,34,FALSE),"")</f>
        <v>23000</v>
      </c>
      <c r="AI392">
        <f>IFERROR(VLOOKUP($A392,koronahun!$A:$AM,35,FALSE),"")</f>
        <v>7871.2857142857147</v>
      </c>
      <c r="AJ392">
        <f>IFERROR(VLOOKUP($A392,koronahun!$A:$AM,36,FALSE),"")</f>
        <v>49606</v>
      </c>
      <c r="AK392">
        <f>IFERROR(VLOOKUP($A392,koronahun!$A:$AM,37,FALSE),"")</f>
        <v>11879</v>
      </c>
      <c r="AL392">
        <f>IFERROR(VLOOKUP($A392,koronahun!$A:$AM,38,FALSE),"")</f>
        <v>6094.5714285714284</v>
      </c>
      <c r="AM392" s="14">
        <f>IFERROR(VLOOKUP($A392,koronahun!$A:$AM,39,FALSE),"")</f>
        <v>2810.7142857142858</v>
      </c>
      <c r="AN392" s="11">
        <f ca="1">IFERROR(__xludf.DUMMYFUNCTION("""COMPUTED_VALUE"""),44284)</f>
        <v>44284</v>
      </c>
      <c r="AO392" s="12">
        <f ca="1">IFERROR(VLOOKUP(AN392,koronahun!A:B,2,FALSE),"")</f>
        <v>641124</v>
      </c>
      <c r="AP392" s="11">
        <f t="shared" ca="1" si="2"/>
        <v>44284</v>
      </c>
      <c r="AQ392" s="11">
        <f ca="1">IFERROR(__xludf.DUMMYFUNCTION("""COMPUTED_VALUE"""),44284)</f>
        <v>44284</v>
      </c>
      <c r="AR392" s="11">
        <v>44227</v>
      </c>
      <c r="AS392" s="11">
        <f t="shared" si="3"/>
        <v>44227</v>
      </c>
      <c r="AT392" s="11">
        <f ca="1">IFERROR(__xludf.DUMMYFUNCTION("""COMPUTED_VALUE"""),44226)</f>
        <v>44226</v>
      </c>
    </row>
    <row r="393" spans="1:46" ht="13">
      <c r="A393" s="11">
        <v>44225</v>
      </c>
      <c r="B393">
        <f>IFERROR(VLOOKUP($A393,koronahun!$A:$AM,2,FALSE),"")</f>
        <v>364909</v>
      </c>
      <c r="C393">
        <f>IFERROR(VLOOKUP($A393,koronahun!$A:$AM,3,FALSE),"")</f>
        <v>1459</v>
      </c>
      <c r="D393">
        <f>IFERROR(VLOOKUP($A393,koronahun!$A:$AM,4,FALSE),"")</f>
        <v>12374</v>
      </c>
      <c r="E393">
        <f>IFERROR(VLOOKUP($A393,koronahun!$A:$AM,5,FALSE),"")</f>
        <v>254783</v>
      </c>
      <c r="F393">
        <f>IFERROR(VLOOKUP($A393,koronahun!$A:$AM,6,FALSE),"")</f>
        <v>3116784</v>
      </c>
      <c r="G393" s="12">
        <f>IFERROR(VLOOKUP($A393,koronahun!$A:$AM,7,FALSE),"")</f>
        <v>318039.18367346935</v>
      </c>
      <c r="H393">
        <f>IFERROR(VLOOKUP($A393,koronahun!$A:$AM,8,FALSE),"")</f>
        <v>0</v>
      </c>
      <c r="I393" s="13">
        <f>IFERROR(VLOOKUP($A393,koronahun!$A:$AM,9,FALSE),"")</f>
        <v>4.01430733250791E-3</v>
      </c>
      <c r="J393" s="13">
        <f>IFERROR(VLOOKUP($A393,koronahun!$A:$AM,10,FALSE),"")</f>
        <v>0.11707869393580049</v>
      </c>
      <c r="K393" s="13">
        <f>IFERROR(VLOOKUP($A393,koronahun!$A:$AM,11,FALSE),"")</f>
        <v>6.1252969437431424E-3</v>
      </c>
      <c r="L393">
        <f>IFERROR(VLOOKUP($A393,koronahun!$A:$AM,12,FALSE),"")</f>
        <v>97752</v>
      </c>
      <c r="M393" s="13">
        <f>IFERROR(VLOOKUP($A393,koronahun!$A:$AM,13,FALSE),"")</f>
        <v>3.3909824093130071E-2</v>
      </c>
      <c r="N393" s="13">
        <f>IFERROR(VLOOKUP($A393,koronahun!$A:$AM,14,FALSE),"")</f>
        <v>0.69820969063519944</v>
      </c>
      <c r="O393">
        <f>IFERROR(VLOOKUP($A393,koronahun!$A:$AM,15,FALSE),"")</f>
        <v>17540</v>
      </c>
      <c r="P393">
        <f>IFERROR(VLOOKUP($A393,koronahun!$A:$AM,16,FALSE),"")</f>
        <v>18975</v>
      </c>
      <c r="Q393" s="13">
        <f>IFERROR(VLOOKUP($A393,koronahun!$A:$AM,17,FALSE),"")</f>
        <v>7.6890645586297754E-2</v>
      </c>
      <c r="R393">
        <f>IFERROR(VLOOKUP($A393,koronahun!$A:$AM,18,FALSE),"")</f>
        <v>83</v>
      </c>
      <c r="S393">
        <f>IFERROR(VLOOKUP($A393,koronahun!$A:$AM,19,FALSE),"")</f>
        <v>5780</v>
      </c>
      <c r="T393">
        <f>IFERROR(VLOOKUP($A393,koronahun!$A:$AM,20,FALSE),"")</f>
        <v>3649</v>
      </c>
      <c r="U393">
        <f>IFERROR(VLOOKUP($A393,koronahun!$A:$AM,21,FALSE),"")</f>
        <v>258</v>
      </c>
      <c r="V393" s="13">
        <f>IFERROR(VLOOKUP($A393,koronahun!$A:$AM,22,FALSE),"")</f>
        <v>0.26788048527167047</v>
      </c>
      <c r="W393">
        <f>IFERROR(VLOOKUP($A393,koronahun!$A:$AM,23,FALSE),"")</f>
        <v>-20</v>
      </c>
      <c r="X393">
        <f>IFERROR(VLOOKUP($A393,koronahun!$A:$AM,24,FALSE),"")</f>
        <v>3</v>
      </c>
      <c r="Y393" s="14">
        <f>IFERROR(VLOOKUP($A393,koronahun!$A:$AM,25,FALSE),"")</f>
        <v>3.732915950568786E-2</v>
      </c>
      <c r="Z393" s="14">
        <f>IFERROR(VLOOKUP($A393,koronahun!$A:$AM,26,FALSE),"")</f>
        <v>7.0704302548643461E-2</v>
      </c>
      <c r="AA393" s="14">
        <f>IFERROR(VLOOKUP($A393,koronahun!$A:$AM,27,FALSE),"")</f>
        <v>1.0143149284253579</v>
      </c>
      <c r="AB393" s="14">
        <f>IFERROR(VLOOKUP($A393,koronahun!$A:$AM,28,FALSE),"")</f>
        <v>0.87902249149124601</v>
      </c>
      <c r="AC393" s="14">
        <f>IFERROR(VLOOKUP($A393,koronahun!$A:$AM,29,FALSE),"")</f>
        <v>1133.7142857142858</v>
      </c>
      <c r="AD393" s="14">
        <f>IFERROR(VLOOKUP($A393,koronahun!$A:$AM,30,FALSE),"")</f>
        <v>80.428571428571431</v>
      </c>
      <c r="AE393" s="14">
        <f>IFERROR(VLOOKUP($A393,koronahun!$A:$AM,31,FALSE),"")</f>
        <v>14056.428571428571</v>
      </c>
      <c r="AF393" s="13">
        <f>IFERROR(VLOOKUP($A393,koronahun!$A:$AM,32,FALSE),"")</f>
        <v>8.2410500699228326E-2</v>
      </c>
      <c r="AG393">
        <f>IFERROR(VLOOKUP($A393,koronahun!$A:$AM,33,FALSE),"")</f>
        <v>175283</v>
      </c>
      <c r="AH393">
        <f>IFERROR(VLOOKUP($A393,koronahun!$A:$AM,34,FALSE),"")</f>
        <v>14068</v>
      </c>
      <c r="AI393">
        <f>IFERROR(VLOOKUP($A393,koronahun!$A:$AM,35,FALSE),"")</f>
        <v>5185.7142857142853</v>
      </c>
      <c r="AJ393">
        <f>IFERROR(VLOOKUP($A393,koronahun!$A:$AM,36,FALSE),"")</f>
        <v>37727</v>
      </c>
      <c r="AK393">
        <f>IFERROR(VLOOKUP($A393,koronahun!$A:$AM,37,FALSE),"")</f>
        <v>11434</v>
      </c>
      <c r="AL393">
        <f>IFERROR(VLOOKUP($A393,koronahun!$A:$AM,38,FALSE),"")</f>
        <v>4558.8571428571431</v>
      </c>
      <c r="AM393" s="14">
        <f>IFERROR(VLOOKUP($A393,koronahun!$A:$AM,39,FALSE),"")</f>
        <v>2488.7142857142858</v>
      </c>
      <c r="AN393" s="11">
        <f ca="1">IFERROR(__xludf.DUMMYFUNCTION("""COMPUTED_VALUE"""),44285)</f>
        <v>44285</v>
      </c>
      <c r="AO393" s="12">
        <f ca="1">IFERROR(VLOOKUP(AN393,koronahun!A:B,2,FALSE),"")</f>
        <v>645733</v>
      </c>
      <c r="AP393" s="11">
        <f t="shared" ca="1" si="2"/>
        <v>44285</v>
      </c>
      <c r="AQ393" s="11">
        <f ca="1">IFERROR(__xludf.DUMMYFUNCTION("""COMPUTED_VALUE"""),44285)</f>
        <v>44285</v>
      </c>
      <c r="AR393" s="11">
        <v>44226</v>
      </c>
      <c r="AS393" s="11">
        <f t="shared" si="3"/>
        <v>44226</v>
      </c>
      <c r="AT393" s="11">
        <f ca="1">IFERROR(__xludf.DUMMYFUNCTION("""COMPUTED_VALUE"""),44225)</f>
        <v>44225</v>
      </c>
    </row>
    <row r="394" spans="1:46" ht="13">
      <c r="A394" s="11">
        <v>44224</v>
      </c>
      <c r="B394">
        <f>IFERROR(VLOOKUP($A394,koronahun!$A:$AM,2,FALSE),"")</f>
        <v>363450</v>
      </c>
      <c r="C394">
        <f>IFERROR(VLOOKUP($A394,koronahun!$A:$AM,3,FALSE),"")</f>
        <v>1569</v>
      </c>
      <c r="D394">
        <f>IFERROR(VLOOKUP($A394,koronahun!$A:$AM,4,FALSE),"")</f>
        <v>12291</v>
      </c>
      <c r="E394">
        <f>IFERROR(VLOOKUP($A394,koronahun!$A:$AM,5,FALSE),"")</f>
        <v>249003</v>
      </c>
      <c r="F394">
        <f>IFERROR(VLOOKUP($A394,koronahun!$A:$AM,6,FALSE),"")</f>
        <v>3097809</v>
      </c>
      <c r="G394" s="12">
        <f>IFERROR(VLOOKUP($A394,koronahun!$A:$AM,7,FALSE),"")</f>
        <v>316102.95918367343</v>
      </c>
      <c r="H394">
        <f>IFERROR(VLOOKUP($A394,koronahun!$A:$AM,8,FALSE),"")</f>
        <v>0</v>
      </c>
      <c r="I394" s="13">
        <f>IFERROR(VLOOKUP($A394,koronahun!$A:$AM,9,FALSE),"")</f>
        <v>4.3356794084243163E-3</v>
      </c>
      <c r="J394" s="13">
        <f>IFERROR(VLOOKUP($A394,koronahun!$A:$AM,10,FALSE),"")</f>
        <v>0.1173248576655307</v>
      </c>
      <c r="K394" s="13">
        <f>IFERROR(VLOOKUP($A394,koronahun!$A:$AM,11,FALSE),"")</f>
        <v>4.2444750181216033E-3</v>
      </c>
      <c r="L394">
        <f>IFERROR(VLOOKUP($A394,koronahun!$A:$AM,12,FALSE),"")</f>
        <v>102156</v>
      </c>
      <c r="M394" s="13">
        <f>IFERROR(VLOOKUP($A394,koronahun!$A:$AM,13,FALSE),"")</f>
        <v>3.3817581510524143E-2</v>
      </c>
      <c r="N394" s="13">
        <f>IFERROR(VLOOKUP($A394,koronahun!$A:$AM,14,FALSE),"")</f>
        <v>0.6851093685513826</v>
      </c>
      <c r="O394">
        <f>IFERROR(VLOOKUP($A394,koronahun!$A:$AM,15,FALSE),"")</f>
        <v>19131</v>
      </c>
      <c r="P394">
        <f>IFERROR(VLOOKUP($A394,koronahun!$A:$AM,16,FALSE),"")</f>
        <v>13093</v>
      </c>
      <c r="Q394" s="13">
        <f>IFERROR(VLOOKUP($A394,koronahun!$A:$AM,17,FALSE),"")</f>
        <v>0.11983502634995799</v>
      </c>
      <c r="R394">
        <f>IFERROR(VLOOKUP($A394,koronahun!$A:$AM,18,FALSE),"")</f>
        <v>93</v>
      </c>
      <c r="S394">
        <f>IFERROR(VLOOKUP($A394,koronahun!$A:$AM,19,FALSE),"")</f>
        <v>2407</v>
      </c>
      <c r="T394">
        <f>IFERROR(VLOOKUP($A394,koronahun!$A:$AM,20,FALSE),"")</f>
        <v>3669</v>
      </c>
      <c r="U394">
        <f>IFERROR(VLOOKUP($A394,koronahun!$A:$AM,21,FALSE),"")</f>
        <v>255</v>
      </c>
      <c r="V394" s="13">
        <f>IFERROR(VLOOKUP($A394,koronahun!$A:$AM,22,FALSE),"")</f>
        <v>0.28107304993809329</v>
      </c>
      <c r="W394">
        <f>IFERROR(VLOOKUP($A394,koronahun!$A:$AM,23,FALSE),"")</f>
        <v>-140</v>
      </c>
      <c r="X394">
        <f>IFERROR(VLOOKUP($A394,koronahun!$A:$AM,24,FALSE),"")</f>
        <v>0</v>
      </c>
      <c r="Y394" s="14">
        <f>IFERROR(VLOOKUP($A394,koronahun!$A:$AM,25,FALSE),"")</f>
        <v>3.5915658404792668E-2</v>
      </c>
      <c r="Z394" s="14">
        <f>IFERROR(VLOOKUP($A394,koronahun!$A:$AM,26,FALSE),"")</f>
        <v>6.9501226492232213E-2</v>
      </c>
      <c r="AA394" s="14">
        <f>IFERROR(VLOOKUP($A394,koronahun!$A:$AM,27,FALSE),"")</f>
        <v>0.97034637428357839</v>
      </c>
      <c r="AB394" s="14">
        <f>IFERROR(VLOOKUP($A394,koronahun!$A:$AM,28,FALSE),"")</f>
        <v>0.83211389609509323</v>
      </c>
      <c r="AC394" s="14">
        <f>IFERROR(VLOOKUP($A394,koronahun!$A:$AM,29,FALSE),"")</f>
        <v>1112.5714285714287</v>
      </c>
      <c r="AD394" s="14">
        <f>IFERROR(VLOOKUP($A394,koronahun!$A:$AM,30,FALSE),"")</f>
        <v>82.571428571428569</v>
      </c>
      <c r="AE394" s="14">
        <f>IFERROR(VLOOKUP($A394,koronahun!$A:$AM,31,FALSE),"")</f>
        <v>13926.285714285714</v>
      </c>
      <c r="AF394" s="13">
        <f>IFERROR(VLOOKUP($A394,koronahun!$A:$AM,32,FALSE),"")</f>
        <v>8.1794021024809732E-2</v>
      </c>
      <c r="AG394">
        <f>IFERROR(VLOOKUP($A394,koronahun!$A:$AM,33,FALSE),"")</f>
        <v>161215</v>
      </c>
      <c r="AH394">
        <f>IFERROR(VLOOKUP($A394,koronahun!$A:$AM,34,FALSE),"")</f>
        <v>8511</v>
      </c>
      <c r="AI394">
        <f>IFERROR(VLOOKUP($A394,koronahun!$A:$AM,35,FALSE),"")</f>
        <v>3808.7142857142858</v>
      </c>
      <c r="AJ394">
        <f>IFERROR(VLOOKUP($A394,koronahun!$A:$AM,36,FALSE),"")</f>
        <v>26293</v>
      </c>
      <c r="AK394">
        <f>IFERROR(VLOOKUP($A394,koronahun!$A:$AM,37,FALSE),"")</f>
        <v>8521</v>
      </c>
      <c r="AL394">
        <f>IFERROR(VLOOKUP($A394,koronahun!$A:$AM,38,FALSE),"")</f>
        <v>3180.4285714285716</v>
      </c>
      <c r="AM394" s="14">
        <f>IFERROR(VLOOKUP($A394,koronahun!$A:$AM,39,FALSE),"")</f>
        <v>1961</v>
      </c>
      <c r="AN394" s="11">
        <f ca="1">IFERROR(__xludf.DUMMYFUNCTION("""COMPUTED_VALUE"""),44286)</f>
        <v>44286</v>
      </c>
      <c r="AO394" s="12">
        <f ca="1">IFERROR(VLOOKUP(AN394,koronahun!A:B,2,FALSE),"")</f>
        <v>652433</v>
      </c>
      <c r="AP394" s="11">
        <f t="shared" ca="1" si="2"/>
        <v>44286</v>
      </c>
      <c r="AQ394" s="11">
        <f ca="1">IFERROR(__xludf.DUMMYFUNCTION("""COMPUTED_VALUE"""),44286)</f>
        <v>44286</v>
      </c>
      <c r="AR394" s="11">
        <v>44225</v>
      </c>
      <c r="AS394" s="11">
        <f t="shared" si="3"/>
        <v>44225</v>
      </c>
      <c r="AT394" s="11">
        <f ca="1">IFERROR(__xludf.DUMMYFUNCTION("""COMPUTED_VALUE"""),44224)</f>
        <v>44224</v>
      </c>
    </row>
    <row r="395" spans="1:46" ht="13">
      <c r="A395" s="11">
        <v>44223</v>
      </c>
      <c r="B395">
        <f>IFERROR(VLOOKUP($A395,koronahun!$A:$AM,2,FALSE),"")</f>
        <v>361881</v>
      </c>
      <c r="C395">
        <f>IFERROR(VLOOKUP($A395,koronahun!$A:$AM,3,FALSE),"")</f>
        <v>1004</v>
      </c>
      <c r="D395">
        <f>IFERROR(VLOOKUP($A395,koronahun!$A:$AM,4,FALSE),"")</f>
        <v>12198</v>
      </c>
      <c r="E395">
        <f>IFERROR(VLOOKUP($A395,koronahun!$A:$AM,5,FALSE),"")</f>
        <v>246596</v>
      </c>
      <c r="F395">
        <f>IFERROR(VLOOKUP($A395,koronahun!$A:$AM,6,FALSE),"")</f>
        <v>3084716</v>
      </c>
      <c r="G395" s="12">
        <f>IFERROR(VLOOKUP($A395,koronahun!$A:$AM,7,FALSE),"")</f>
        <v>314766.93877551018</v>
      </c>
      <c r="H395">
        <f>IFERROR(VLOOKUP($A395,koronahun!$A:$AM,8,FALSE),"")</f>
        <v>0</v>
      </c>
      <c r="I395" s="13">
        <f>IFERROR(VLOOKUP($A395,koronahun!$A:$AM,9,FALSE),"")</f>
        <v>2.7821113565009684E-3</v>
      </c>
      <c r="J395" s="13">
        <f>IFERROR(VLOOKUP($A395,koronahun!$A:$AM,10,FALSE),"")</f>
        <v>0.11731420331725838</v>
      </c>
      <c r="K395" s="13">
        <f>IFERROR(VLOOKUP($A395,koronahun!$A:$AM,11,FALSE),"")</f>
        <v>5.5589548134850533E-3</v>
      </c>
      <c r="L395">
        <f>IFERROR(VLOOKUP($A395,koronahun!$A:$AM,12,FALSE),"")</f>
        <v>103087</v>
      </c>
      <c r="M395" s="13">
        <f>IFERROR(VLOOKUP($A395,koronahun!$A:$AM,13,FALSE),"")</f>
        <v>3.3707213144652526E-2</v>
      </c>
      <c r="N395" s="13">
        <f>IFERROR(VLOOKUP($A395,koronahun!$A:$AM,14,FALSE),"")</f>
        <v>0.68142842536634973</v>
      </c>
      <c r="O395">
        <f>IFERROR(VLOOKUP($A395,koronahun!$A:$AM,15,FALSE),"")</f>
        <v>17834</v>
      </c>
      <c r="P395">
        <f>IFERROR(VLOOKUP($A395,koronahun!$A:$AM,16,FALSE),"")</f>
        <v>17053</v>
      </c>
      <c r="Q395" s="13">
        <f>IFERROR(VLOOKUP($A395,koronahun!$A:$AM,17,FALSE),"")</f>
        <v>5.8875271213276258E-2</v>
      </c>
      <c r="R395">
        <f>IFERROR(VLOOKUP($A395,koronahun!$A:$AM,18,FALSE),"")</f>
        <v>85</v>
      </c>
      <c r="S395">
        <f>IFERROR(VLOOKUP($A395,koronahun!$A:$AM,19,FALSE),"")</f>
        <v>1915</v>
      </c>
      <c r="T395">
        <f>IFERROR(VLOOKUP($A395,koronahun!$A:$AM,20,FALSE),"")</f>
        <v>3809</v>
      </c>
      <c r="U395">
        <f>IFERROR(VLOOKUP($A395,koronahun!$A:$AM,21,FALSE),"")</f>
        <v>255</v>
      </c>
      <c r="V395" s="13">
        <f>IFERROR(VLOOKUP($A395,koronahun!$A:$AM,22,FALSE),"")</f>
        <v>0.28486436148899774</v>
      </c>
      <c r="W395">
        <f>IFERROR(VLOOKUP($A395,koronahun!$A:$AM,23,FALSE),"")</f>
        <v>-6</v>
      </c>
      <c r="X395">
        <f>IFERROR(VLOOKUP($A395,koronahun!$A:$AM,24,FALSE),"")</f>
        <v>-8</v>
      </c>
      <c r="Y395" s="14">
        <f>IFERROR(VLOOKUP($A395,koronahun!$A:$AM,25,FALSE),"")</f>
        <v>3.6949372859817434E-2</v>
      </c>
      <c r="Z395" s="14">
        <f>IFERROR(VLOOKUP($A395,koronahun!$A:$AM,26,FALSE),"")</f>
        <v>6.6946705171961149E-2</v>
      </c>
      <c r="AA395" s="14">
        <f>IFERROR(VLOOKUP($A395,koronahun!$A:$AM,27,FALSE),"")</f>
        <v>0.89311636619058765</v>
      </c>
      <c r="AB395" s="14">
        <f>IFERROR(VLOOKUP($A395,koronahun!$A:$AM,28,FALSE),"")</f>
        <v>0.78306887834029637</v>
      </c>
      <c r="AC395" s="14">
        <f>IFERROR(VLOOKUP($A395,koronahun!$A:$AM,29,FALSE),"")</f>
        <v>1089.8571428571429</v>
      </c>
      <c r="AD395" s="14">
        <f>IFERROR(VLOOKUP($A395,koronahun!$A:$AM,30,FALSE),"")</f>
        <v>83.285714285714292</v>
      </c>
      <c r="AE395" s="14">
        <f>IFERROR(VLOOKUP($A395,koronahun!$A:$AM,31,FALSE),"")</f>
        <v>14281.142857142857</v>
      </c>
      <c r="AF395" s="13">
        <f>IFERROR(VLOOKUP($A395,koronahun!$A:$AM,32,FALSE),"")</f>
        <v>7.7605884619915216E-2</v>
      </c>
      <c r="AG395">
        <f>IFERROR(VLOOKUP($A395,koronahun!$A:$AM,33,FALSE),"")</f>
        <v>152704</v>
      </c>
      <c r="AH395">
        <f>IFERROR(VLOOKUP($A395,koronahun!$A:$AM,34,FALSE),"")</f>
        <v>3028</v>
      </c>
      <c r="AI395">
        <f>IFERROR(VLOOKUP($A395,koronahun!$A:$AM,35,FALSE),"")</f>
        <v>3198</v>
      </c>
      <c r="AJ395">
        <f>IFERROR(VLOOKUP($A395,koronahun!$A:$AM,36,FALSE),"")</f>
        <v>17772</v>
      </c>
      <c r="AK395">
        <f>IFERROR(VLOOKUP($A395,koronahun!$A:$AM,37,FALSE),"")</f>
        <v>5133</v>
      </c>
      <c r="AL395">
        <f>IFERROR(VLOOKUP($A395,koronahun!$A:$AM,38,FALSE),"")</f>
        <v>2119</v>
      </c>
      <c r="AM395" s="14">
        <f>IFERROR(VLOOKUP($A395,koronahun!$A:$AM,39,FALSE),"")</f>
        <v>1909.1428571428571</v>
      </c>
      <c r="AN395" s="11">
        <f ca="1">IFERROR(__xludf.DUMMYFUNCTION("""COMPUTED_VALUE"""),44287)</f>
        <v>44287</v>
      </c>
      <c r="AO395" s="12">
        <f ca="1">IFERROR(VLOOKUP(AN395,koronahun!A:B,2,FALSE),"")</f>
        <v>661721</v>
      </c>
      <c r="AP395" s="11">
        <f t="shared" ca="1" si="2"/>
        <v>44287</v>
      </c>
      <c r="AQ395" s="11">
        <f ca="1">IFERROR(__xludf.DUMMYFUNCTION("""COMPUTED_VALUE"""),44287)</f>
        <v>44287</v>
      </c>
      <c r="AR395" s="11">
        <v>44224</v>
      </c>
      <c r="AS395" s="11">
        <f t="shared" si="3"/>
        <v>44224</v>
      </c>
      <c r="AT395" s="11">
        <f ca="1">IFERROR(__xludf.DUMMYFUNCTION("""COMPUTED_VALUE"""),44223)</f>
        <v>44223</v>
      </c>
    </row>
    <row r="396" spans="1:46" ht="13">
      <c r="A396" s="11">
        <v>44222</v>
      </c>
      <c r="B396">
        <f>IFERROR(VLOOKUP($A396,koronahun!$A:$AM,2,FALSE),"")</f>
        <v>360877</v>
      </c>
      <c r="C396">
        <f>IFERROR(VLOOKUP($A396,koronahun!$A:$AM,3,FALSE),"")</f>
        <v>459</v>
      </c>
      <c r="D396">
        <f>IFERROR(VLOOKUP($A396,koronahun!$A:$AM,4,FALSE),"")</f>
        <v>12113</v>
      </c>
      <c r="E396">
        <f>IFERROR(VLOOKUP($A396,koronahun!$A:$AM,5,FALSE),"")</f>
        <v>244681</v>
      </c>
      <c r="F396">
        <f>IFERROR(VLOOKUP($A396,koronahun!$A:$AM,6,FALSE),"")</f>
        <v>3067663</v>
      </c>
      <c r="G396" s="12">
        <f>IFERROR(VLOOKUP($A396,koronahun!$A:$AM,7,FALSE),"")</f>
        <v>313026.83673469385</v>
      </c>
      <c r="H396">
        <f>IFERROR(VLOOKUP($A396,koronahun!$A:$AM,8,FALSE),"")</f>
        <v>0</v>
      </c>
      <c r="I396" s="13">
        <f>IFERROR(VLOOKUP($A396,koronahun!$A:$AM,9,FALSE),"")</f>
        <v>1.2735213002680221E-3</v>
      </c>
      <c r="J396" s="13">
        <f>IFERROR(VLOOKUP($A396,koronahun!$A:$AM,10,FALSE),"")</f>
        <v>0.11763906270017274</v>
      </c>
      <c r="K396" s="13">
        <f>IFERROR(VLOOKUP($A396,koronahun!$A:$AM,11,FALSE),"")</f>
        <v>1.8062578621692337E-3</v>
      </c>
      <c r="L396">
        <f>IFERROR(VLOOKUP($A396,koronahun!$A:$AM,12,FALSE),"")</f>
        <v>104083</v>
      </c>
      <c r="M396" s="13">
        <f>IFERROR(VLOOKUP($A396,koronahun!$A:$AM,13,FALSE),"")</f>
        <v>3.356545304909983E-2</v>
      </c>
      <c r="N396" s="13">
        <f>IFERROR(VLOOKUP($A396,koronahun!$A:$AM,14,FALSE),"")</f>
        <v>0.67801771794822063</v>
      </c>
      <c r="O396">
        <f>IFERROR(VLOOKUP($A396,koronahun!$A:$AM,15,FALSE),"")</f>
        <v>18075</v>
      </c>
      <c r="P396">
        <f>IFERROR(VLOOKUP($A396,koronahun!$A:$AM,16,FALSE),"")</f>
        <v>5531</v>
      </c>
      <c r="Q396" s="13">
        <f>IFERROR(VLOOKUP($A396,koronahun!$A:$AM,17,FALSE),"")</f>
        <v>8.2986801663352011E-2</v>
      </c>
      <c r="R396">
        <f>IFERROR(VLOOKUP($A396,koronahun!$A:$AM,18,FALSE),"")</f>
        <v>89</v>
      </c>
      <c r="S396">
        <f>IFERROR(VLOOKUP($A396,koronahun!$A:$AM,19,FALSE),"")</f>
        <v>1589</v>
      </c>
      <c r="T396">
        <f>IFERROR(VLOOKUP($A396,koronahun!$A:$AM,20,FALSE),"")</f>
        <v>3815</v>
      </c>
      <c r="U396">
        <f>IFERROR(VLOOKUP($A396,koronahun!$A:$AM,21,FALSE),"")</f>
        <v>263</v>
      </c>
      <c r="V396" s="13">
        <f>IFERROR(VLOOKUP($A396,koronahun!$A:$AM,22,FALSE),"")</f>
        <v>0.28841682900267956</v>
      </c>
      <c r="W396">
        <f>IFERROR(VLOOKUP($A396,koronahun!$A:$AM,23,FALSE),"")</f>
        <v>1</v>
      </c>
      <c r="X396">
        <f>IFERROR(VLOOKUP($A396,koronahun!$A:$AM,24,FALSE),"")</f>
        <v>16</v>
      </c>
      <c r="Y396" s="14">
        <f>IFERROR(VLOOKUP($A396,koronahun!$A:$AM,25,FALSE),"")</f>
        <v>3.6653440043042572E-2</v>
      </c>
      <c r="Z396" s="14">
        <f>IFERROR(VLOOKUP($A396,koronahun!$A:$AM,26,FALSE),"")</f>
        <v>6.8938401048492789E-2</v>
      </c>
      <c r="AA396" s="14">
        <f>IFERROR(VLOOKUP($A396,koronahun!$A:$AM,27,FALSE),"")</f>
        <v>0.85174809502465265</v>
      </c>
      <c r="AB396" s="14">
        <f>IFERROR(VLOOKUP($A396,koronahun!$A:$AM,28,FALSE),"")</f>
        <v>0.74300669851951684</v>
      </c>
      <c r="AC396" s="14">
        <f>IFERROR(VLOOKUP($A396,koronahun!$A:$AM,29,FALSE),"")</f>
        <v>1085.8571428571429</v>
      </c>
      <c r="AD396" s="14">
        <f>IFERROR(VLOOKUP($A396,koronahun!$A:$AM,30,FALSE),"")</f>
        <v>84.714285714285708</v>
      </c>
      <c r="AE396" s="14">
        <f>IFERROR(VLOOKUP($A396,koronahun!$A:$AM,31,FALSE),"")</f>
        <v>14131.428571428571</v>
      </c>
      <c r="AF396" s="13">
        <f>IFERROR(VLOOKUP($A396,koronahun!$A:$AM,32,FALSE),"")</f>
        <v>7.7906694940185775E-2</v>
      </c>
      <c r="AG396">
        <f>IFERROR(VLOOKUP($A396,koronahun!$A:$AM,33,FALSE),"")</f>
        <v>149676</v>
      </c>
      <c r="AH396">
        <f>IFERROR(VLOOKUP($A396,koronahun!$A:$AM,34,FALSE),"")</f>
        <v>2981</v>
      </c>
      <c r="AI396">
        <f>IFERROR(VLOOKUP($A396,koronahun!$A:$AM,35,FALSE),"")</f>
        <v>2855.2857142857142</v>
      </c>
      <c r="AJ396">
        <f>IFERROR(VLOOKUP($A396,koronahun!$A:$AM,36,FALSE),"")</f>
        <v>12639</v>
      </c>
      <c r="AK396">
        <f>IFERROR(VLOOKUP($A396,koronahun!$A:$AM,37,FALSE),"")</f>
        <v>3236</v>
      </c>
      <c r="AL396">
        <f>IFERROR(VLOOKUP($A396,koronahun!$A:$AM,38,FALSE),"")</f>
        <v>1570.8571428571429</v>
      </c>
      <c r="AM396" s="14">
        <f>IFERROR(VLOOKUP($A396,koronahun!$A:$AM,39,FALSE),"")</f>
        <v>1823.7142857142858</v>
      </c>
      <c r="AN396" s="11">
        <f ca="1">IFERROR(__xludf.DUMMYFUNCTION("""COMPUTED_VALUE"""),44288)</f>
        <v>44288</v>
      </c>
      <c r="AO396" s="12">
        <f ca="1">IFERROR(VLOOKUP(AN396,koronahun!A:B,2,FALSE),"")</f>
        <v>670776</v>
      </c>
      <c r="AP396" s="11">
        <f t="shared" ca="1" si="2"/>
        <v>44288</v>
      </c>
      <c r="AQ396" s="11">
        <f ca="1">IFERROR(__xludf.DUMMYFUNCTION("""COMPUTED_VALUE"""),44288)</f>
        <v>44288</v>
      </c>
      <c r="AR396" s="11">
        <v>44223</v>
      </c>
      <c r="AS396" s="11">
        <f t="shared" si="3"/>
        <v>44223</v>
      </c>
      <c r="AT396" s="11">
        <f ca="1">IFERROR(__xludf.DUMMYFUNCTION("""COMPUTED_VALUE"""),44222)</f>
        <v>44222</v>
      </c>
    </row>
    <row r="397" spans="1:46" ht="13">
      <c r="A397" s="11">
        <v>44221</v>
      </c>
      <c r="B397">
        <f>IFERROR(VLOOKUP($A397,koronahun!$A:$AM,2,FALSE),"")</f>
        <v>360418</v>
      </c>
      <c r="C397">
        <f>IFERROR(VLOOKUP($A397,koronahun!$A:$AM,3,FALSE),"")</f>
        <v>844</v>
      </c>
      <c r="D397">
        <f>IFERROR(VLOOKUP($A397,koronahun!$A:$AM,4,FALSE),"")</f>
        <v>12024</v>
      </c>
      <c r="E397">
        <f>IFERROR(VLOOKUP($A397,koronahun!$A:$AM,5,FALSE),"")</f>
        <v>243092</v>
      </c>
      <c r="F397">
        <f>IFERROR(VLOOKUP($A397,koronahun!$A:$AM,6,FALSE),"")</f>
        <v>3062132</v>
      </c>
      <c r="G397" s="12">
        <f>IFERROR(VLOOKUP($A397,koronahun!$A:$AM,7,FALSE),"")</f>
        <v>312462.44897959183</v>
      </c>
      <c r="H397">
        <f>IFERROR(VLOOKUP($A397,koronahun!$A:$AM,8,FALSE),"")</f>
        <v>0</v>
      </c>
      <c r="I397" s="13">
        <f>IFERROR(VLOOKUP($A397,koronahun!$A:$AM,9,FALSE),"")</f>
        <v>2.3472219904664966E-3</v>
      </c>
      <c r="J397" s="13">
        <f>IFERROR(VLOOKUP($A397,koronahun!$A:$AM,10,FALSE),"")</f>
        <v>0.11770165361911243</v>
      </c>
      <c r="K397" s="13">
        <f>IFERROR(VLOOKUP($A397,koronahun!$A:$AM,11,FALSE),"")</f>
        <v>3.2974363611819918E-3</v>
      </c>
      <c r="L397">
        <f>IFERROR(VLOOKUP($A397,koronahun!$A:$AM,12,FALSE),"")</f>
        <v>105302</v>
      </c>
      <c r="M397" s="13">
        <f>IFERROR(VLOOKUP($A397,koronahun!$A:$AM,13,FALSE),"")</f>
        <v>3.3361263865844655E-2</v>
      </c>
      <c r="N397" s="13">
        <f>IFERROR(VLOOKUP($A397,koronahun!$A:$AM,14,FALSE),"")</f>
        <v>0.67447241813671899</v>
      </c>
      <c r="O397">
        <f>IFERROR(VLOOKUP($A397,koronahun!$A:$AM,15,FALSE),"")</f>
        <v>18141</v>
      </c>
      <c r="P397">
        <f>IFERROR(VLOOKUP($A397,koronahun!$A:$AM,16,FALSE),"")</f>
        <v>10064</v>
      </c>
      <c r="Q397" s="13">
        <f>IFERROR(VLOOKUP($A397,koronahun!$A:$AM,17,FALSE),"")</f>
        <v>8.3863275039745624E-2</v>
      </c>
      <c r="R397">
        <f>IFERROR(VLOOKUP($A397,koronahun!$A:$AM,18,FALSE),"")</f>
        <v>56</v>
      </c>
      <c r="S397">
        <f>IFERROR(VLOOKUP($A397,koronahun!$A:$AM,19,FALSE),"")</f>
        <v>1620</v>
      </c>
      <c r="T397">
        <f>IFERROR(VLOOKUP($A397,koronahun!$A:$AM,20,FALSE),"")</f>
        <v>3814</v>
      </c>
      <c r="U397">
        <f>IFERROR(VLOOKUP($A397,koronahun!$A:$AM,21,FALSE),"")</f>
        <v>247</v>
      </c>
      <c r="V397" s="13">
        <f>IFERROR(VLOOKUP($A397,koronahun!$A:$AM,22,FALSE),"")</f>
        <v>0.29216631799743631</v>
      </c>
      <c r="W397">
        <f>IFERROR(VLOOKUP($A397,koronahun!$A:$AM,23,FALSE),"")</f>
        <v>21</v>
      </c>
      <c r="X397">
        <f>IFERROR(VLOOKUP($A397,koronahun!$A:$AM,24,FALSE),"")</f>
        <v>-7</v>
      </c>
      <c r="Y397" s="14">
        <f>IFERROR(VLOOKUP($A397,koronahun!$A:$AM,25,FALSE),"")</f>
        <v>3.6219634954701714E-2</v>
      </c>
      <c r="Z397" s="14">
        <f>IFERROR(VLOOKUP($A397,koronahun!$A:$AM,26,FALSE),"")</f>
        <v>6.4761405348715259E-2</v>
      </c>
      <c r="AA397" s="14">
        <f>IFERROR(VLOOKUP($A397,koronahun!$A:$AM,27,FALSE),"")</f>
        <v>0.85276887365977672</v>
      </c>
      <c r="AB397" s="14">
        <f>IFERROR(VLOOKUP($A397,koronahun!$A:$AM,28,FALSE),"")</f>
        <v>0.70846237112947719</v>
      </c>
      <c r="AC397" s="14">
        <f>IFERROR(VLOOKUP($A397,koronahun!$A:$AM,29,FALSE),"")</f>
        <v>1102.1428571428571</v>
      </c>
      <c r="AD397" s="14">
        <f>IFERROR(VLOOKUP($A397,koronahun!$A:$AM,30,FALSE),"")</f>
        <v>87.857142857142861</v>
      </c>
      <c r="AE397" s="14">
        <f>IFERROR(VLOOKUP($A397,koronahun!$A:$AM,31,FALSE),"")</f>
        <v>14074.142857142857</v>
      </c>
      <c r="AF397" s="13">
        <f>IFERROR(VLOOKUP($A397,koronahun!$A:$AM,32,FALSE),"")</f>
        <v>8.2007995621528149E-2</v>
      </c>
      <c r="AG397">
        <f>IFERROR(VLOOKUP($A397,koronahun!$A:$AM,33,FALSE),"")</f>
        <v>146695</v>
      </c>
      <c r="AH397">
        <f>IFERROR(VLOOKUP($A397,koronahun!$A:$AM,34,FALSE),"")</f>
        <v>1438</v>
      </c>
      <c r="AI397">
        <f>IFERROR(VLOOKUP($A397,koronahun!$A:$AM,35,FALSE),"")</f>
        <v>3358.1428571428573</v>
      </c>
      <c r="AJ397">
        <f>IFERROR(VLOOKUP($A397,koronahun!$A:$AM,36,FALSE),"")</f>
        <v>9403</v>
      </c>
      <c r="AK397">
        <f>IFERROR(VLOOKUP($A397,koronahun!$A:$AM,37,FALSE),"")</f>
        <v>1268</v>
      </c>
      <c r="AL397">
        <f>IFERROR(VLOOKUP($A397,koronahun!$A:$AM,38,FALSE),"")</f>
        <v>1343.2857142857142</v>
      </c>
      <c r="AM397" s="14">
        <f>IFERROR(VLOOKUP($A397,koronahun!$A:$AM,39,FALSE),"")</f>
        <v>1807.2857142857142</v>
      </c>
      <c r="AN397" s="11">
        <f ca="1">IFERROR(__xludf.DUMMYFUNCTION("""COMPUTED_VALUE"""),44289)</f>
        <v>44289</v>
      </c>
      <c r="AO397" s="12">
        <f ca="1">IFERROR(VLOOKUP(AN397,koronahun!A:B,2,FALSE),"")</f>
        <v>679413</v>
      </c>
      <c r="AP397" s="11">
        <f t="shared" ca="1" si="2"/>
        <v>44289</v>
      </c>
      <c r="AQ397" s="11">
        <f ca="1">IFERROR(__xludf.DUMMYFUNCTION("""COMPUTED_VALUE"""),44289)</f>
        <v>44289</v>
      </c>
      <c r="AR397" s="11">
        <v>44222</v>
      </c>
      <c r="AS397" s="11">
        <f t="shared" si="3"/>
        <v>44222</v>
      </c>
      <c r="AT397" s="11">
        <f ca="1">IFERROR(__xludf.DUMMYFUNCTION("""COMPUTED_VALUE"""),44221)</f>
        <v>44221</v>
      </c>
    </row>
    <row r="398" spans="1:46" ht="13">
      <c r="A398" s="11">
        <v>44220</v>
      </c>
      <c r="B398">
        <f>IFERROR(VLOOKUP($A398,koronahun!$A:$AM,2,FALSE),"")</f>
        <v>359574</v>
      </c>
      <c r="C398">
        <f>IFERROR(VLOOKUP($A398,koronahun!$A:$AM,3,FALSE),"")</f>
        <v>1257</v>
      </c>
      <c r="D398">
        <f>IFERROR(VLOOKUP($A398,koronahun!$A:$AM,4,FALSE),"")</f>
        <v>11968</v>
      </c>
      <c r="E398">
        <f>IFERROR(VLOOKUP($A398,koronahun!$A:$AM,5,FALSE),"")</f>
        <v>241472</v>
      </c>
      <c r="F398">
        <f>IFERROR(VLOOKUP($A398,koronahun!$A:$AM,6,FALSE),"")</f>
        <v>3052068</v>
      </c>
      <c r="G398" s="12">
        <f>IFERROR(VLOOKUP($A398,koronahun!$A:$AM,7,FALSE),"")</f>
        <v>311435.5102040816</v>
      </c>
      <c r="H398">
        <f>IFERROR(VLOOKUP($A398,koronahun!$A:$AM,8,FALSE),"")</f>
        <v>0</v>
      </c>
      <c r="I398" s="13">
        <f>IFERROR(VLOOKUP($A398,koronahun!$A:$AM,9,FALSE),"")</f>
        <v>3.5080668793275229E-3</v>
      </c>
      <c r="J398" s="13">
        <f>IFERROR(VLOOKUP($A398,koronahun!$A:$AM,10,FALSE),"")</f>
        <v>0.11781323351904348</v>
      </c>
      <c r="K398" s="13">
        <f>IFERROR(VLOOKUP($A398,koronahun!$A:$AM,11,FALSE),"")</f>
        <v>5.4160145498771753E-3</v>
      </c>
      <c r="L398">
        <f>IFERROR(VLOOKUP($A398,koronahun!$A:$AM,12,FALSE),"")</f>
        <v>106134</v>
      </c>
      <c r="M398" s="13">
        <f>IFERROR(VLOOKUP($A398,koronahun!$A:$AM,13,FALSE),"")</f>
        <v>3.3283830310311645E-2</v>
      </c>
      <c r="N398" s="13">
        <f>IFERROR(VLOOKUP($A398,koronahun!$A:$AM,14,FALSE),"")</f>
        <v>0.67155022331981729</v>
      </c>
      <c r="O398">
        <f>IFERROR(VLOOKUP($A398,koronahun!$A:$AM,15,FALSE),"")</f>
        <v>18929</v>
      </c>
      <c r="P398">
        <f>IFERROR(VLOOKUP($A398,koronahun!$A:$AM,16,FALSE),"")</f>
        <v>16441</v>
      </c>
      <c r="Q398" s="13">
        <f>IFERROR(VLOOKUP($A398,koronahun!$A:$AM,17,FALSE),"")</f>
        <v>7.6455203454777687E-2</v>
      </c>
      <c r="R398">
        <f>IFERROR(VLOOKUP($A398,koronahun!$A:$AM,18,FALSE),"")</f>
        <v>64</v>
      </c>
      <c r="S398">
        <f>IFERROR(VLOOKUP($A398,koronahun!$A:$AM,19,FALSE),"")</f>
        <v>1592</v>
      </c>
      <c r="T398">
        <f>IFERROR(VLOOKUP($A398,koronahun!$A:$AM,20,FALSE),"")</f>
        <v>3793</v>
      </c>
      <c r="U398">
        <f>IFERROR(VLOOKUP($A398,koronahun!$A:$AM,21,FALSE),"")</f>
        <v>254</v>
      </c>
      <c r="V398" s="13">
        <f>IFERROR(VLOOKUP($A398,koronahun!$A:$AM,22,FALSE),"")</f>
        <v>0.29516594636987104</v>
      </c>
      <c r="W398">
        <f>IFERROR(VLOOKUP($A398,koronahun!$A:$AM,23,FALSE),"")</f>
        <v>-61</v>
      </c>
      <c r="X398">
        <f>IFERROR(VLOOKUP($A398,koronahun!$A:$AM,24,FALSE),"")</f>
        <v>-5</v>
      </c>
      <c r="Y398" s="14">
        <f>IFERROR(VLOOKUP($A398,koronahun!$A:$AM,25,FALSE),"")</f>
        <v>3.5737840842708271E-2</v>
      </c>
      <c r="Z398" s="14">
        <f>IFERROR(VLOOKUP($A398,koronahun!$A:$AM,26,FALSE),"")</f>
        <v>6.6965462694437122E-2</v>
      </c>
      <c r="AA398" s="14">
        <f>IFERROR(VLOOKUP($A398,koronahun!$A:$AM,27,FALSE),"")</f>
        <v>0.80763215514544884</v>
      </c>
      <c r="AB398" s="14">
        <f>IFERROR(VLOOKUP($A398,koronahun!$A:$AM,28,FALSE),"")</f>
        <v>0.67393500899763936</v>
      </c>
      <c r="AC398" s="14">
        <f>IFERROR(VLOOKUP($A398,koronahun!$A:$AM,29,FALSE),"")</f>
        <v>1106.5714285714287</v>
      </c>
      <c r="AD398" s="14">
        <f>IFERROR(VLOOKUP($A398,koronahun!$A:$AM,30,FALSE),"")</f>
        <v>89.571428571428569</v>
      </c>
      <c r="AE398" s="14">
        <f>IFERROR(VLOOKUP($A398,koronahun!$A:$AM,31,FALSE),"")</f>
        <v>14051.142857142857</v>
      </c>
      <c r="AF398" s="13">
        <f>IFERROR(VLOOKUP($A398,koronahun!$A:$AM,32,FALSE),"")</f>
        <v>8.2649965403865391E-2</v>
      </c>
      <c r="AG398">
        <f>IFERROR(VLOOKUP($A398,koronahun!$A:$AM,33,FALSE),"")</f>
        <v>145257</v>
      </c>
      <c r="AH398">
        <f>IFERROR(VLOOKUP($A398,koronahun!$A:$AM,34,FALSE),"")</f>
        <v>2073</v>
      </c>
      <c r="AI398">
        <f>IFERROR(VLOOKUP($A398,koronahun!$A:$AM,35,FALSE),"")</f>
        <v>3616.1428571428573</v>
      </c>
      <c r="AJ398">
        <f>IFERROR(VLOOKUP($A398,koronahun!$A:$AM,36,FALSE),"")</f>
        <v>8135</v>
      </c>
      <c r="AK398">
        <f>IFERROR(VLOOKUP($A398,koronahun!$A:$AM,37,FALSE),"")</f>
        <v>1191</v>
      </c>
      <c r="AL398">
        <f>IFERROR(VLOOKUP($A398,koronahun!$A:$AM,38,FALSE),"")</f>
        <v>0</v>
      </c>
      <c r="AM398" s="14">
        <f>IFERROR(VLOOKUP($A398,koronahun!$A:$AM,39,FALSE),"")</f>
        <v>1836.7142857142858</v>
      </c>
      <c r="AN398" s="11">
        <f ca="1">IFERROR(__xludf.DUMMYFUNCTION("""COMPUTED_VALUE"""),44290)</f>
        <v>44290</v>
      </c>
      <c r="AO398" s="12">
        <f ca="1">IFERROR(VLOOKUP(AN398,koronahun!A:B,2,FALSE),"")</f>
        <v>685979</v>
      </c>
      <c r="AP398" s="11">
        <f t="shared" ca="1" si="2"/>
        <v>44290</v>
      </c>
      <c r="AQ398" s="11">
        <f ca="1">IFERROR(__xludf.DUMMYFUNCTION("""COMPUTED_VALUE"""),44290)</f>
        <v>44290</v>
      </c>
      <c r="AR398" s="11">
        <v>44221</v>
      </c>
      <c r="AS398" s="11">
        <f t="shared" si="3"/>
        <v>44221</v>
      </c>
      <c r="AT398" s="11">
        <f ca="1">IFERROR(__xludf.DUMMYFUNCTION("""COMPUTED_VALUE"""),44220)</f>
        <v>44220</v>
      </c>
    </row>
    <row r="399" spans="1:46" ht="13">
      <c r="A399" s="11">
        <v>44219</v>
      </c>
      <c r="B399">
        <f>IFERROR(VLOOKUP($A399,koronahun!$A:$AM,2,FALSE),"")</f>
        <v>358317</v>
      </c>
      <c r="C399">
        <f>IFERROR(VLOOKUP($A399,koronahun!$A:$AM,3,FALSE),"")</f>
        <v>1344</v>
      </c>
      <c r="D399">
        <f>IFERROR(VLOOKUP($A399,koronahun!$A:$AM,4,FALSE),"")</f>
        <v>11904</v>
      </c>
      <c r="E399">
        <f>IFERROR(VLOOKUP($A399,koronahun!$A:$AM,5,FALSE),"")</f>
        <v>239880</v>
      </c>
      <c r="F399">
        <f>IFERROR(VLOOKUP($A399,koronahun!$A:$AM,6,FALSE),"")</f>
        <v>3035627</v>
      </c>
      <c r="G399" s="12">
        <f>IFERROR(VLOOKUP($A399,koronahun!$A:$AM,7,FALSE),"")</f>
        <v>309757.8571428571</v>
      </c>
      <c r="H399">
        <f>IFERROR(VLOOKUP($A399,koronahun!$A:$AM,8,FALSE),"")</f>
        <v>0</v>
      </c>
      <c r="I399" s="13">
        <f>IFERROR(VLOOKUP($A399,koronahun!$A:$AM,9,FALSE),"")</f>
        <v>3.7649906295434106E-3</v>
      </c>
      <c r="J399" s="13">
        <f>IFERROR(VLOOKUP($A399,koronahun!$A:$AM,10,FALSE),"")</f>
        <v>0.11803722921162581</v>
      </c>
      <c r="K399" s="13">
        <f>IFERROR(VLOOKUP($A399,koronahun!$A:$AM,11,FALSE),"")</f>
        <v>5.7109935134271959E-3</v>
      </c>
      <c r="L399">
        <f>IFERROR(VLOOKUP($A399,koronahun!$A:$AM,12,FALSE),"")</f>
        <v>106533</v>
      </c>
      <c r="M399" s="13">
        <f>IFERROR(VLOOKUP($A399,koronahun!$A:$AM,13,FALSE),"")</f>
        <v>3.3221979420457307E-2</v>
      </c>
      <c r="N399" s="13">
        <f>IFERROR(VLOOKUP($A399,koronahun!$A:$AM,14,FALSE),"")</f>
        <v>0.66946307320054588</v>
      </c>
      <c r="O399">
        <f>IFERROR(VLOOKUP($A399,koronahun!$A:$AM,15,FALSE),"")</f>
        <v>20095</v>
      </c>
      <c r="P399">
        <f>IFERROR(VLOOKUP($A399,koronahun!$A:$AM,16,FALSE),"")</f>
        <v>17238</v>
      </c>
      <c r="Q399" s="13">
        <f>IFERROR(VLOOKUP($A399,koronahun!$A:$AM,17,FALSE),"")</f>
        <v>7.7967281587191087E-2</v>
      </c>
      <c r="R399">
        <f>IFERROR(VLOOKUP($A399,koronahun!$A:$AM,18,FALSE),"")</f>
        <v>93</v>
      </c>
      <c r="S399">
        <f>IFERROR(VLOOKUP($A399,koronahun!$A:$AM,19,FALSE),"")</f>
        <v>2518</v>
      </c>
      <c r="T399">
        <f>IFERROR(VLOOKUP($A399,koronahun!$A:$AM,20,FALSE),"")</f>
        <v>3854</v>
      </c>
      <c r="U399">
        <f>IFERROR(VLOOKUP($A399,koronahun!$A:$AM,21,FALSE),"")</f>
        <v>259</v>
      </c>
      <c r="V399" s="13">
        <f>IFERROR(VLOOKUP($A399,koronahun!$A:$AM,22,FALSE),"")</f>
        <v>0.29731494737899683</v>
      </c>
      <c r="W399">
        <f>IFERROR(VLOOKUP($A399,koronahun!$A:$AM,23,FALSE),"")</f>
        <v>-105</v>
      </c>
      <c r="X399">
        <f>IFERROR(VLOOKUP($A399,koronahun!$A:$AM,24,FALSE),"")</f>
        <v>-15</v>
      </c>
      <c r="Y399" s="14">
        <f>IFERROR(VLOOKUP($A399,koronahun!$A:$AM,25,FALSE),"")</f>
        <v>3.6176583781551259E-2</v>
      </c>
      <c r="Z399" s="14">
        <f>IFERROR(VLOOKUP($A399,koronahun!$A:$AM,26,FALSE),"")</f>
        <v>6.7202906071613902E-2</v>
      </c>
      <c r="AA399" s="14">
        <f>IFERROR(VLOOKUP($A399,koronahun!$A:$AM,27,FALSE),"")</f>
        <v>0.7632306477093207</v>
      </c>
      <c r="AB399" s="14">
        <f>IFERROR(VLOOKUP($A399,koronahun!$A:$AM,28,FALSE),"")</f>
        <v>0.65476337225338721</v>
      </c>
      <c r="AC399" s="14">
        <f>IFERROR(VLOOKUP($A399,koronahun!$A:$AM,29,FALSE),"")</f>
        <v>1104.2857142857142</v>
      </c>
      <c r="AD399" s="14">
        <f>IFERROR(VLOOKUP($A399,koronahun!$A:$AM,30,FALSE),"")</f>
        <v>91.428571428571431</v>
      </c>
      <c r="AE399" s="14">
        <f>IFERROR(VLOOKUP($A399,koronahun!$A:$AM,31,FALSE),"")</f>
        <v>14170.285714285714</v>
      </c>
      <c r="AF399" s="13">
        <f>IFERROR(VLOOKUP($A399,koronahun!$A:$AM,32,FALSE),"")</f>
        <v>8.1990352919422263E-2</v>
      </c>
      <c r="AG399">
        <f>IFERROR(VLOOKUP($A399,koronahun!$A:$AM,33,FALSE),"")</f>
        <v>143184</v>
      </c>
      <c r="AH399">
        <f>IFERROR(VLOOKUP($A399,koronahun!$A:$AM,34,FALSE),"")</f>
        <v>4201</v>
      </c>
      <c r="AI399">
        <f>IFERROR(VLOOKUP($A399,koronahun!$A:$AM,35,FALSE),"")</f>
        <v>4336.7142857142853</v>
      </c>
      <c r="AJ399">
        <f>IFERROR(VLOOKUP($A399,koronahun!$A:$AM,36,FALSE),"")</f>
        <v>6944</v>
      </c>
      <c r="AK399">
        <f>IFERROR(VLOOKUP($A399,koronahun!$A:$AM,37,FALSE),"")</f>
        <v>1129</v>
      </c>
      <c r="AL399">
        <f>IFERROR(VLOOKUP($A399,koronahun!$A:$AM,38,FALSE),"")</f>
        <v>0</v>
      </c>
      <c r="AM399" s="14">
        <f>IFERROR(VLOOKUP($A399,koronahun!$A:$AM,39,FALSE),"")</f>
        <v>1793.5714285714287</v>
      </c>
      <c r="AN399" s="11">
        <f ca="1">IFERROR(__xludf.DUMMYFUNCTION("""COMPUTED_VALUE"""),44291)</f>
        <v>44291</v>
      </c>
      <c r="AO399" s="12">
        <f ca="1">IFERROR(VLOOKUP(AN399,koronahun!A:B,2,FALSE),"")</f>
        <v>689853</v>
      </c>
      <c r="AP399" s="11">
        <f t="shared" ca="1" si="2"/>
        <v>44291</v>
      </c>
      <c r="AQ399" s="11">
        <f ca="1">IFERROR(__xludf.DUMMYFUNCTION("""COMPUTED_VALUE"""),44291)</f>
        <v>44291</v>
      </c>
      <c r="AR399" s="11">
        <v>44220</v>
      </c>
      <c r="AS399" s="11">
        <f t="shared" si="3"/>
        <v>44220</v>
      </c>
      <c r="AT399" s="11">
        <f ca="1">IFERROR(__xludf.DUMMYFUNCTION("""COMPUTED_VALUE"""),44219)</f>
        <v>44219</v>
      </c>
    </row>
    <row r="400" spans="1:46" ht="13">
      <c r="A400" s="11">
        <v>44218</v>
      </c>
      <c r="B400">
        <f>IFERROR(VLOOKUP($A400,koronahun!$A:$AM,2,FALSE),"")</f>
        <v>356973</v>
      </c>
      <c r="C400">
        <f>IFERROR(VLOOKUP($A400,koronahun!$A:$AM,3,FALSE),"")</f>
        <v>1311</v>
      </c>
      <c r="D400">
        <f>IFERROR(VLOOKUP($A400,koronahun!$A:$AM,4,FALSE),"")</f>
        <v>11811</v>
      </c>
      <c r="E400">
        <f>IFERROR(VLOOKUP($A400,koronahun!$A:$AM,5,FALSE),"")</f>
        <v>237362</v>
      </c>
      <c r="F400">
        <f>IFERROR(VLOOKUP($A400,koronahun!$A:$AM,6,FALSE),"")</f>
        <v>3018389</v>
      </c>
      <c r="G400" s="12">
        <f>IFERROR(VLOOKUP($A400,koronahun!$A:$AM,7,FALSE),"")</f>
        <v>307998.87755102041</v>
      </c>
      <c r="H400">
        <f>IFERROR(VLOOKUP($A400,koronahun!$A:$AM,8,FALSE),"")</f>
        <v>0</v>
      </c>
      <c r="I400" s="13">
        <f>IFERROR(VLOOKUP($A400,koronahun!$A:$AM,9,FALSE),"")</f>
        <v>3.6860839786089041E-3</v>
      </c>
      <c r="J400" s="13">
        <f>IFERROR(VLOOKUP($A400,koronahun!$A:$AM,10,FALSE),"")</f>
        <v>0.11826606842259231</v>
      </c>
      <c r="K400" s="13">
        <f>IFERROR(VLOOKUP($A400,koronahun!$A:$AM,11,FALSE),"")</f>
        <v>6.0206810928816043E-3</v>
      </c>
      <c r="L400">
        <f>IFERROR(VLOOKUP($A400,koronahun!$A:$AM,12,FALSE),"")</f>
        <v>107800</v>
      </c>
      <c r="M400" s="13">
        <f>IFERROR(VLOOKUP($A400,koronahun!$A:$AM,13,FALSE),"")</f>
        <v>3.3086535956500913E-2</v>
      </c>
      <c r="N400" s="13">
        <f>IFERROR(VLOOKUP($A400,koronahun!$A:$AM,14,FALSE),"")</f>
        <v>0.66492984063220473</v>
      </c>
      <c r="O400">
        <f>IFERROR(VLOOKUP($A400,koronahun!$A:$AM,15,FALSE),"")</f>
        <v>19908</v>
      </c>
      <c r="P400">
        <f>IFERROR(VLOOKUP($A400,koronahun!$A:$AM,16,FALSE),"")</f>
        <v>18064</v>
      </c>
      <c r="Q400" s="13">
        <f>IFERROR(VLOOKUP($A400,koronahun!$A:$AM,17,FALSE),"")</f>
        <v>7.2575287865367585E-2</v>
      </c>
      <c r="R400">
        <f>IFERROR(VLOOKUP($A400,koronahun!$A:$AM,18,FALSE),"")</f>
        <v>98</v>
      </c>
      <c r="S400">
        <f>IFERROR(VLOOKUP($A400,koronahun!$A:$AM,19,FALSE),"")</f>
        <v>2086</v>
      </c>
      <c r="T400">
        <f>IFERROR(VLOOKUP($A400,koronahun!$A:$AM,20,FALSE),"")</f>
        <v>3959</v>
      </c>
      <c r="U400">
        <f>IFERROR(VLOOKUP($A400,koronahun!$A:$AM,21,FALSE),"")</f>
        <v>274</v>
      </c>
      <c r="V400" s="13">
        <f>IFERROR(VLOOKUP($A400,koronahun!$A:$AM,22,FALSE),"")</f>
        <v>0.30198362341129442</v>
      </c>
      <c r="W400">
        <f>IFERROR(VLOOKUP($A400,koronahun!$A:$AM,23,FALSE),"")</f>
        <v>-90</v>
      </c>
      <c r="X400">
        <f>IFERROR(VLOOKUP($A400,koronahun!$A:$AM,24,FALSE),"")</f>
        <v>-12</v>
      </c>
      <c r="Y400" s="14">
        <f>IFERROR(VLOOKUP($A400,koronahun!$A:$AM,25,FALSE),"")</f>
        <v>3.6725417439703152E-2</v>
      </c>
      <c r="Z400" s="14">
        <f>IFERROR(VLOOKUP($A400,koronahun!$A:$AM,26,FALSE),"")</f>
        <v>6.920939631220005E-2</v>
      </c>
      <c r="AA400" s="14">
        <f>IFERROR(VLOOKUP($A400,koronahun!$A:$AM,27,FALSE),"")</f>
        <v>0.68595476065228822</v>
      </c>
      <c r="AB400" s="14">
        <f>IFERROR(VLOOKUP($A400,koronahun!$A:$AM,28,FALSE),"")</f>
        <v>0.65079593291808568</v>
      </c>
      <c r="AC400" s="14">
        <f>IFERROR(VLOOKUP($A400,koronahun!$A:$AM,29,FALSE),"")</f>
        <v>1117.7142857142858</v>
      </c>
      <c r="AD400" s="14">
        <f>IFERROR(VLOOKUP($A400,koronahun!$A:$AM,30,FALSE),"")</f>
        <v>90.571428571428569</v>
      </c>
      <c r="AE400" s="14">
        <f>IFERROR(VLOOKUP($A400,koronahun!$A:$AM,31,FALSE),"")</f>
        <v>14327.571428571429</v>
      </c>
      <c r="AF400" s="13">
        <f>IFERROR(VLOOKUP($A400,koronahun!$A:$AM,32,FALSE),"")</f>
        <v>8.2053902287065786E-2</v>
      </c>
      <c r="AG400">
        <f>IFERROR(VLOOKUP($A400,koronahun!$A:$AM,33,FALSE),"")</f>
        <v>138983</v>
      </c>
      <c r="AH400">
        <f>IFERROR(VLOOKUP($A400,koronahun!$A:$AM,34,FALSE),"")</f>
        <v>4429</v>
      </c>
      <c r="AI400">
        <f>IFERROR(VLOOKUP($A400,koronahun!$A:$AM,35,FALSE),"")</f>
        <v>4750.7142857142853</v>
      </c>
      <c r="AJ400">
        <f>IFERROR(VLOOKUP($A400,koronahun!$A:$AM,36,FALSE),"")</f>
        <v>5815</v>
      </c>
      <c r="AK400">
        <f>IFERROR(VLOOKUP($A400,koronahun!$A:$AM,37,FALSE),"")</f>
        <v>1785</v>
      </c>
      <c r="AL400">
        <f>IFERROR(VLOOKUP($A400,koronahun!$A:$AM,38,FALSE),"")</f>
        <v>0</v>
      </c>
      <c r="AM400" s="14">
        <f>IFERROR(VLOOKUP($A400,koronahun!$A:$AM,39,FALSE),"")</f>
        <v>1763</v>
      </c>
      <c r="AN400" s="11">
        <f ca="1">IFERROR(__xludf.DUMMYFUNCTION("""COMPUTED_VALUE"""),44292)</f>
        <v>44292</v>
      </c>
      <c r="AO400" s="12">
        <f ca="1">IFERROR(VLOOKUP(AN400,koronahun!A:B,2,FALSE),"")</f>
        <v>691743</v>
      </c>
      <c r="AP400" s="11">
        <f t="shared" ca="1" si="2"/>
        <v>44292</v>
      </c>
      <c r="AQ400" s="11">
        <f ca="1">IFERROR(__xludf.DUMMYFUNCTION("""COMPUTED_VALUE"""),44292)</f>
        <v>44292</v>
      </c>
      <c r="AR400" s="11">
        <v>44219</v>
      </c>
      <c r="AS400" s="11">
        <f t="shared" si="3"/>
        <v>44219</v>
      </c>
      <c r="AT400" s="11">
        <f ca="1">IFERROR(__xludf.DUMMYFUNCTION("""COMPUTED_VALUE"""),44218)</f>
        <v>44218</v>
      </c>
    </row>
    <row r="401" spans="1:46" ht="13">
      <c r="A401" s="11">
        <v>44217</v>
      </c>
      <c r="B401">
        <f>IFERROR(VLOOKUP($A401,koronahun!$A:$AM,2,FALSE),"")</f>
        <v>355662</v>
      </c>
      <c r="C401">
        <f>IFERROR(VLOOKUP($A401,koronahun!$A:$AM,3,FALSE),"")</f>
        <v>1410</v>
      </c>
      <c r="D401">
        <f>IFERROR(VLOOKUP($A401,koronahun!$A:$AM,4,FALSE),"")</f>
        <v>11713</v>
      </c>
      <c r="E401">
        <f>IFERROR(VLOOKUP($A401,koronahun!$A:$AM,5,FALSE),"")</f>
        <v>235276</v>
      </c>
      <c r="F401">
        <f>IFERROR(VLOOKUP($A401,koronahun!$A:$AM,6,FALSE),"")</f>
        <v>3000325</v>
      </c>
      <c r="G401" s="12">
        <f>IFERROR(VLOOKUP($A401,koronahun!$A:$AM,7,FALSE),"")</f>
        <v>306155.61224489793</v>
      </c>
      <c r="H401">
        <f>IFERROR(VLOOKUP($A401,koronahun!$A:$AM,8,FALSE),"")</f>
        <v>0</v>
      </c>
      <c r="I401" s="13">
        <f>IFERROR(VLOOKUP($A401,koronahun!$A:$AM,9,FALSE),"")</f>
        <v>3.9802174723078485E-3</v>
      </c>
      <c r="J401" s="13">
        <f>IFERROR(VLOOKUP($A401,koronahun!$A:$AM,10,FALSE),"")</f>
        <v>0.11854115804121221</v>
      </c>
      <c r="K401" s="13">
        <f>IFERROR(VLOOKUP($A401,koronahun!$A:$AM,11,FALSE),"")</f>
        <v>5.2188660483230079E-3</v>
      </c>
      <c r="L401">
        <f>IFERROR(VLOOKUP($A401,koronahun!$A:$AM,12,FALSE),"")</f>
        <v>108673</v>
      </c>
      <c r="M401" s="13">
        <f>IFERROR(VLOOKUP($A401,koronahun!$A:$AM,13,FALSE),"")</f>
        <v>3.2932953197136607E-2</v>
      </c>
      <c r="N401" s="13">
        <f>IFERROR(VLOOKUP($A401,koronahun!$A:$AM,14,FALSE),"")</f>
        <v>0.66151570873469756</v>
      </c>
      <c r="O401">
        <f>IFERROR(VLOOKUP($A401,koronahun!$A:$AM,15,FALSE),"")</f>
        <v>19932</v>
      </c>
      <c r="P401">
        <f>IFERROR(VLOOKUP($A401,koronahun!$A:$AM,16,FALSE),"")</f>
        <v>15577</v>
      </c>
      <c r="Q401" s="13">
        <f>IFERROR(VLOOKUP($A401,koronahun!$A:$AM,17,FALSE),"")</f>
        <v>9.0518071515696213E-2</v>
      </c>
      <c r="R401">
        <f>IFERROR(VLOOKUP($A401,koronahun!$A:$AM,18,FALSE),"")</f>
        <v>98</v>
      </c>
      <c r="S401">
        <f>IFERROR(VLOOKUP($A401,koronahun!$A:$AM,19,FALSE),"")</f>
        <v>2044</v>
      </c>
      <c r="T401">
        <f>IFERROR(VLOOKUP($A401,koronahun!$A:$AM,20,FALSE),"")</f>
        <v>4049</v>
      </c>
      <c r="U401">
        <f>IFERROR(VLOOKUP($A401,koronahun!$A:$AM,21,FALSE),"")</f>
        <v>286</v>
      </c>
      <c r="V401" s="13">
        <f>IFERROR(VLOOKUP($A401,koronahun!$A:$AM,22,FALSE),"")</f>
        <v>0.30555133806816587</v>
      </c>
      <c r="W401">
        <f>IFERROR(VLOOKUP($A401,koronahun!$A:$AM,23,FALSE),"")</f>
        <v>-169</v>
      </c>
      <c r="X401">
        <f>IFERROR(VLOOKUP($A401,koronahun!$A:$AM,24,FALSE),"")</f>
        <v>-8</v>
      </c>
      <c r="Y401" s="14">
        <f>IFERROR(VLOOKUP($A401,koronahun!$A:$AM,25,FALSE),"")</f>
        <v>3.7258564684880327E-2</v>
      </c>
      <c r="Z401" s="14">
        <f>IFERROR(VLOOKUP($A401,koronahun!$A:$AM,26,FALSE),"")</f>
        <v>7.0634724623363787E-2</v>
      </c>
      <c r="AA401" s="14">
        <f>IFERROR(VLOOKUP($A401,koronahun!$A:$AM,27,FALSE),"")</f>
        <v>0.62703125000000004</v>
      </c>
      <c r="AB401" s="14">
        <f>IFERROR(VLOOKUP($A401,koronahun!$A:$AM,28,FALSE),"")</f>
        <v>0.68352269824350231</v>
      </c>
      <c r="AC401" s="14">
        <f>IFERROR(VLOOKUP($A401,koronahun!$A:$AM,29,FALSE),"")</f>
        <v>1146.5714285714287</v>
      </c>
      <c r="AD401" s="14">
        <f>IFERROR(VLOOKUP($A401,koronahun!$A:$AM,30,FALSE),"")</f>
        <v>92.428571428571431</v>
      </c>
      <c r="AE401" s="14">
        <f>IFERROR(VLOOKUP($A401,koronahun!$A:$AM,31,FALSE),"")</f>
        <v>14475.285714285714</v>
      </c>
      <c r="AF401" s="13">
        <f>IFERROR(VLOOKUP($A401,koronahun!$A:$AM,32,FALSE),"")</f>
        <v>8.3003569061052662E-2</v>
      </c>
      <c r="AG401">
        <f>IFERROR(VLOOKUP($A401,koronahun!$A:$AM,33,FALSE),"")</f>
        <v>134554</v>
      </c>
      <c r="AH401">
        <f>IFERROR(VLOOKUP($A401,koronahun!$A:$AM,34,FALSE),"")</f>
        <v>4236</v>
      </c>
      <c r="AI401">
        <f>IFERROR(VLOOKUP($A401,koronahun!$A:$AM,35,FALSE),"")</f>
        <v>5493.2857142857147</v>
      </c>
      <c r="AJ401">
        <f>IFERROR(VLOOKUP($A401,koronahun!$A:$AM,36,FALSE),"")</f>
        <v>4030</v>
      </c>
      <c r="AK401">
        <f>IFERROR(VLOOKUP($A401,koronahun!$A:$AM,37,FALSE),"")</f>
        <v>1091</v>
      </c>
      <c r="AL401">
        <f>IFERROR(VLOOKUP($A401,koronahun!$A:$AM,38,FALSE),"")</f>
        <v>0</v>
      </c>
      <c r="AM401" s="14">
        <f>IFERROR(VLOOKUP($A401,koronahun!$A:$AM,39,FALSE),"")</f>
        <v>2138.8571428571427</v>
      </c>
      <c r="AN401" s="11">
        <f ca="1">IFERROR(__xludf.DUMMYFUNCTION("""COMPUTED_VALUE"""),44293)</f>
        <v>44293</v>
      </c>
      <c r="AO401" s="12">
        <f ca="1">IFERROR(VLOOKUP(AN401,koronahun!A:B,2,FALSE),"")</f>
        <v>693676</v>
      </c>
      <c r="AP401" s="11">
        <f t="shared" ca="1" si="2"/>
        <v>44293</v>
      </c>
      <c r="AQ401" s="11">
        <f ca="1">IFERROR(__xludf.DUMMYFUNCTION("""COMPUTED_VALUE"""),44293)</f>
        <v>44293</v>
      </c>
      <c r="AR401" s="11">
        <v>44218</v>
      </c>
      <c r="AS401" s="11">
        <f t="shared" si="3"/>
        <v>44218</v>
      </c>
      <c r="AT401" s="11">
        <f ca="1">IFERROR(__xludf.DUMMYFUNCTION("""COMPUTED_VALUE"""),44217)</f>
        <v>44217</v>
      </c>
    </row>
    <row r="402" spans="1:46" ht="13">
      <c r="A402" s="11">
        <v>44216</v>
      </c>
      <c r="B402">
        <f>IFERROR(VLOOKUP($A402,koronahun!$A:$AM,2,FALSE),"")</f>
        <v>354252</v>
      </c>
      <c r="C402">
        <f>IFERROR(VLOOKUP($A402,koronahun!$A:$AM,3,FALSE),"")</f>
        <v>976</v>
      </c>
      <c r="D402">
        <f>IFERROR(VLOOKUP($A402,koronahun!$A:$AM,4,FALSE),"")</f>
        <v>11615</v>
      </c>
      <c r="E402">
        <f>IFERROR(VLOOKUP($A402,koronahun!$A:$AM,5,FALSE),"")</f>
        <v>233232</v>
      </c>
      <c r="F402">
        <f>IFERROR(VLOOKUP($A402,koronahun!$A:$AM,6,FALSE),"")</f>
        <v>2984748</v>
      </c>
      <c r="G402" s="12">
        <f>IFERROR(VLOOKUP($A402,koronahun!$A:$AM,7,FALSE),"")</f>
        <v>304566.12244897959</v>
      </c>
      <c r="H402">
        <f>IFERROR(VLOOKUP($A402,koronahun!$A:$AM,8,FALSE),"")</f>
        <v>0</v>
      </c>
      <c r="I402" s="13">
        <f>IFERROR(VLOOKUP($A402,koronahun!$A:$AM,9,FALSE),"")</f>
        <v>2.7627124401317948E-3</v>
      </c>
      <c r="J402" s="13">
        <f>IFERROR(VLOOKUP($A402,koronahun!$A:$AM,10,FALSE),"")</f>
        <v>0.11868740677604944</v>
      </c>
      <c r="K402" s="13">
        <f>IFERROR(VLOOKUP($A402,koronahun!$A:$AM,11,FALSE),"")</f>
        <v>5.3911706065496411E-3</v>
      </c>
      <c r="L402">
        <f>IFERROR(VLOOKUP($A402,koronahun!$A:$AM,12,FALSE),"")</f>
        <v>109405</v>
      </c>
      <c r="M402" s="13">
        <f>IFERROR(VLOOKUP($A402,koronahun!$A:$AM,13,FALSE),"")</f>
        <v>3.2787394284294794E-2</v>
      </c>
      <c r="N402" s="13">
        <f>IFERROR(VLOOKUP($A402,koronahun!$A:$AM,14,FALSE),"")</f>
        <v>0.65837878120659865</v>
      </c>
      <c r="O402">
        <f>IFERROR(VLOOKUP($A402,koronahun!$A:$AM,15,FALSE),"")</f>
        <v>20170</v>
      </c>
      <c r="P402">
        <f>IFERROR(VLOOKUP($A402,koronahun!$A:$AM,16,FALSE),"")</f>
        <v>16005</v>
      </c>
      <c r="Q402" s="13">
        <f>IFERROR(VLOOKUP($A402,koronahun!$A:$AM,17,FALSE),"")</f>
        <v>6.0980943455170258E-2</v>
      </c>
      <c r="R402">
        <f>IFERROR(VLOOKUP($A402,koronahun!$A:$AM,18,FALSE),"")</f>
        <v>95</v>
      </c>
      <c r="S402">
        <f>IFERROR(VLOOKUP($A402,koronahun!$A:$AM,19,FALSE),"")</f>
        <v>1317</v>
      </c>
      <c r="T402">
        <f>IFERROR(VLOOKUP($A402,koronahun!$A:$AM,20,FALSE),"")</f>
        <v>4218</v>
      </c>
      <c r="U402">
        <f>IFERROR(VLOOKUP($A402,koronahun!$A:$AM,21,FALSE),"")</f>
        <v>294</v>
      </c>
      <c r="V402" s="13">
        <f>IFERROR(VLOOKUP($A402,koronahun!$A:$AM,22,FALSE),"")</f>
        <v>0.30883382450910651</v>
      </c>
      <c r="W402">
        <f>IFERROR(VLOOKUP($A402,koronahun!$A:$AM,23,FALSE),"")</f>
        <v>-227</v>
      </c>
      <c r="X402">
        <f>IFERROR(VLOOKUP($A402,koronahun!$A:$AM,24,FALSE),"")</f>
        <v>-15</v>
      </c>
      <c r="Y402" s="14">
        <f>IFERROR(VLOOKUP($A402,koronahun!$A:$AM,25,FALSE),"")</f>
        <v>3.855399661807047E-2</v>
      </c>
      <c r="Z402" s="14">
        <f>IFERROR(VLOOKUP($A402,koronahun!$A:$AM,26,FALSE),"")</f>
        <v>6.9701280227596016E-2</v>
      </c>
      <c r="AA402" s="14">
        <f>IFERROR(VLOOKUP($A402,koronahun!$A:$AM,27,FALSE),"")</f>
        <v>0.61268110744512982</v>
      </c>
      <c r="AB402" s="14">
        <f>IFERROR(VLOOKUP($A402,koronahun!$A:$AM,28,FALSE),"")</f>
        <v>0.74234572021929457</v>
      </c>
      <c r="AC402" s="14">
        <f>IFERROR(VLOOKUP($A402,koronahun!$A:$AM,29,FALSE),"")</f>
        <v>1220.2857142857142</v>
      </c>
      <c r="AD402" s="14">
        <f>IFERROR(VLOOKUP($A402,koronahun!$A:$AM,30,FALSE),"")</f>
        <v>95.285714285714292</v>
      </c>
      <c r="AE402" s="14">
        <f>IFERROR(VLOOKUP($A402,koronahun!$A:$AM,31,FALSE),"")</f>
        <v>15054.857142857143</v>
      </c>
      <c r="AF402" s="13">
        <f>IFERROR(VLOOKUP($A402,koronahun!$A:$AM,32,FALSE),"")</f>
        <v>8.4086007570495599E-2</v>
      </c>
      <c r="AG402">
        <f>IFERROR(VLOOKUP($A402,koronahun!$A:$AM,33,FALSE),"")</f>
        <v>130318</v>
      </c>
      <c r="AH402">
        <f>IFERROR(VLOOKUP($A402,koronahun!$A:$AM,34,FALSE),"")</f>
        <v>629</v>
      </c>
      <c r="AI402">
        <f>IFERROR(VLOOKUP($A402,koronahun!$A:$AM,35,FALSE),"")</f>
        <v>6198.4285714285716</v>
      </c>
      <c r="AJ402">
        <f>IFERROR(VLOOKUP($A402,koronahun!$A:$AM,36,FALSE),"")</f>
        <v>2939</v>
      </c>
      <c r="AK402">
        <f>IFERROR(VLOOKUP($A402,koronahun!$A:$AM,37,FALSE),"")</f>
        <v>1296</v>
      </c>
      <c r="AL402">
        <f>IFERROR(VLOOKUP($A402,koronahun!$A:$AM,38,FALSE),"")</f>
        <v>0</v>
      </c>
      <c r="AM402" s="14">
        <f>IFERROR(VLOOKUP($A402,koronahun!$A:$AM,39,FALSE),"")</f>
        <v>2539.8571428571427</v>
      </c>
      <c r="AN402" s="11">
        <f ca="1">IFERROR(__xludf.DUMMYFUNCTION("""COMPUTED_VALUE"""),44294)</f>
        <v>44294</v>
      </c>
      <c r="AO402" s="12">
        <f ca="1">IFERROR(VLOOKUP(AN402,koronahun!A:B,2,FALSE),"")</f>
        <v>698490</v>
      </c>
      <c r="AP402" s="11">
        <f t="shared" ca="1" si="2"/>
        <v>44294</v>
      </c>
      <c r="AQ402" s="11">
        <f ca="1">IFERROR(__xludf.DUMMYFUNCTION("""COMPUTED_VALUE"""),44294)</f>
        <v>44294</v>
      </c>
      <c r="AR402" s="11">
        <v>44217</v>
      </c>
      <c r="AS402" s="11">
        <f t="shared" si="3"/>
        <v>44217</v>
      </c>
      <c r="AT402" s="11">
        <f ca="1">IFERROR(__xludf.DUMMYFUNCTION("""COMPUTED_VALUE"""),44216)</f>
        <v>44216</v>
      </c>
    </row>
    <row r="403" spans="1:46" ht="13">
      <c r="A403" s="11">
        <v>44215</v>
      </c>
      <c r="B403">
        <f>IFERROR(VLOOKUP($A403,koronahun!$A:$AM,2,FALSE),"")</f>
        <v>353276</v>
      </c>
      <c r="C403">
        <f>IFERROR(VLOOKUP($A403,koronahun!$A:$AM,3,FALSE),"")</f>
        <v>573</v>
      </c>
      <c r="D403">
        <f>IFERROR(VLOOKUP($A403,koronahun!$A:$AM,4,FALSE),"")</f>
        <v>11520</v>
      </c>
      <c r="E403">
        <f>IFERROR(VLOOKUP($A403,koronahun!$A:$AM,5,FALSE),"")</f>
        <v>231915</v>
      </c>
      <c r="F403">
        <f>IFERROR(VLOOKUP($A403,koronahun!$A:$AM,6,FALSE),"")</f>
        <v>2968743</v>
      </c>
      <c r="G403" s="12">
        <f>IFERROR(VLOOKUP($A403,koronahun!$A:$AM,7,FALSE),"")</f>
        <v>302932.95918367343</v>
      </c>
      <c r="H403">
        <f>IFERROR(VLOOKUP($A403,koronahun!$A:$AM,8,FALSE),"")</f>
        <v>0</v>
      </c>
      <c r="I403" s="13">
        <f>IFERROR(VLOOKUP($A403,koronahun!$A:$AM,9,FALSE),"")</f>
        <v>1.6245963317578812E-3</v>
      </c>
      <c r="J403" s="13">
        <f>IFERROR(VLOOKUP($A403,koronahun!$A:$AM,10,FALSE),"")</f>
        <v>0.11899851216491289</v>
      </c>
      <c r="K403" s="13">
        <f>IFERROR(VLOOKUP($A403,koronahun!$A:$AM,11,FALSE),"")</f>
        <v>1.7309952412815034E-3</v>
      </c>
      <c r="L403">
        <f>IFERROR(VLOOKUP($A403,koronahun!$A:$AM,12,FALSE),"")</f>
        <v>109841</v>
      </c>
      <c r="M403" s="13">
        <f>IFERROR(VLOOKUP($A403,koronahun!$A:$AM,13,FALSE),"")</f>
        <v>3.2609064867129382E-2</v>
      </c>
      <c r="N403" s="13">
        <f>IFERROR(VLOOKUP($A403,koronahun!$A:$AM,14,FALSE),"")</f>
        <v>0.65646972905037426</v>
      </c>
      <c r="O403">
        <f>IFERROR(VLOOKUP($A403,koronahun!$A:$AM,15,FALSE),"")</f>
        <v>18523</v>
      </c>
      <c r="P403">
        <f>IFERROR(VLOOKUP($A403,koronahun!$A:$AM,16,FALSE),"")</f>
        <v>5130</v>
      </c>
      <c r="Q403" s="13">
        <f>IFERROR(VLOOKUP($A403,koronahun!$A:$AM,17,FALSE),"")</f>
        <v>0.11169590643274854</v>
      </c>
      <c r="R403">
        <f>IFERROR(VLOOKUP($A403,koronahun!$A:$AM,18,FALSE),"")</f>
        <v>111</v>
      </c>
      <c r="S403">
        <f>IFERROR(VLOOKUP($A403,koronahun!$A:$AM,19,FALSE),"")</f>
        <v>1474</v>
      </c>
      <c r="T403">
        <f>IFERROR(VLOOKUP($A403,koronahun!$A:$AM,20,FALSE),"")</f>
        <v>4445</v>
      </c>
      <c r="U403">
        <f>IFERROR(VLOOKUP($A403,koronahun!$A:$AM,21,FALSE),"")</f>
        <v>309</v>
      </c>
      <c r="V403" s="13">
        <f>IFERROR(VLOOKUP($A403,koronahun!$A:$AM,22,FALSE),"")</f>
        <v>0.3109212060824964</v>
      </c>
      <c r="W403">
        <f>IFERROR(VLOOKUP($A403,koronahun!$A:$AM,23,FALSE),"")</f>
        <v>0</v>
      </c>
      <c r="X403">
        <f>IFERROR(VLOOKUP($A403,koronahun!$A:$AM,24,FALSE),"")</f>
        <v>-21</v>
      </c>
      <c r="Y403" s="14">
        <f>IFERROR(VLOOKUP($A403,koronahun!$A:$AM,25,FALSE),"")</f>
        <v>4.0467584963720285E-2</v>
      </c>
      <c r="Z403" s="14">
        <f>IFERROR(VLOOKUP($A403,koronahun!$A:$AM,26,FALSE),"")</f>
        <v>6.9516310461192346E-2</v>
      </c>
      <c r="AA403" s="14">
        <f>IFERROR(VLOOKUP($A403,koronahun!$A:$AM,27,FALSE),"")</f>
        <v>0.60993780329437497</v>
      </c>
      <c r="AB403" s="14">
        <f>IFERROR(VLOOKUP($A403,koronahun!$A:$AM,28,FALSE),"")</f>
        <v>0.81774126169149219</v>
      </c>
      <c r="AC403" s="14">
        <f>IFERROR(VLOOKUP($A403,koronahun!$A:$AM,29,FALSE),"")</f>
        <v>1274.8571428571429</v>
      </c>
      <c r="AD403" s="14">
        <f>IFERROR(VLOOKUP($A403,koronahun!$A:$AM,30,FALSE),"")</f>
        <v>95.285714285714292</v>
      </c>
      <c r="AE403" s="14">
        <f>IFERROR(VLOOKUP($A403,koronahun!$A:$AM,31,FALSE),"")</f>
        <v>15418.428571428571</v>
      </c>
      <c r="AF403" s="13">
        <f>IFERROR(VLOOKUP($A403,koronahun!$A:$AM,32,FALSE),"")</f>
        <v>8.5832665244015768E-2</v>
      </c>
      <c r="AG403">
        <f>IFERROR(VLOOKUP($A403,koronahun!$A:$AM,33,FALSE),"")</f>
        <v>129689</v>
      </c>
      <c r="AH403">
        <f>IFERROR(VLOOKUP($A403,koronahun!$A:$AM,34,FALSE),"")</f>
        <v>6501</v>
      </c>
      <c r="AI403">
        <f>IFERROR(VLOOKUP($A403,koronahun!$A:$AM,35,FALSE),"")</f>
        <v>7301.4285714285716</v>
      </c>
      <c r="AJ403">
        <f>IFERROR(VLOOKUP($A403,koronahun!$A:$AM,36,FALSE),"")</f>
        <v>1643</v>
      </c>
      <c r="AK403">
        <f>IFERROR(VLOOKUP($A403,koronahun!$A:$AM,37,FALSE),"")</f>
        <v>1643</v>
      </c>
      <c r="AL403">
        <f>IFERROR(VLOOKUP($A403,koronahun!$A:$AM,38,FALSE),"")</f>
        <v>0</v>
      </c>
      <c r="AM403" s="14">
        <f>IFERROR(VLOOKUP($A403,koronahun!$A:$AM,39,FALSE),"")</f>
        <v>3151.8571428571427</v>
      </c>
      <c r="AN403" s="11">
        <f ca="1">IFERROR(__xludf.DUMMYFUNCTION("""COMPUTED_VALUE"""),44295)</f>
        <v>44295</v>
      </c>
      <c r="AO403" s="12">
        <f ca="1">IFERROR(VLOOKUP(AN403,koronahun!A:B,2,FALSE),"")</f>
        <v>705815</v>
      </c>
      <c r="AP403" s="11">
        <f t="shared" ca="1" si="2"/>
        <v>44295</v>
      </c>
      <c r="AQ403" s="11">
        <f ca="1">IFERROR(__xludf.DUMMYFUNCTION("""COMPUTED_VALUE"""),44295)</f>
        <v>44295</v>
      </c>
      <c r="AR403" s="11">
        <v>44216</v>
      </c>
      <c r="AS403" s="11">
        <f t="shared" si="3"/>
        <v>44216</v>
      </c>
      <c r="AT403" s="11">
        <f ca="1">IFERROR(__xludf.DUMMYFUNCTION("""COMPUTED_VALUE"""),44215)</f>
        <v>44215</v>
      </c>
    </row>
    <row r="404" spans="1:46" ht="13">
      <c r="A404" s="11">
        <v>44214</v>
      </c>
      <c r="B404">
        <f>IFERROR(VLOOKUP($A404,koronahun!$A:$AM,2,FALSE),"")</f>
        <v>352703</v>
      </c>
      <c r="C404">
        <f>IFERROR(VLOOKUP($A404,koronahun!$A:$AM,3,FALSE),"")</f>
        <v>875</v>
      </c>
      <c r="D404">
        <f>IFERROR(VLOOKUP($A404,koronahun!$A:$AM,4,FALSE),"")</f>
        <v>11409</v>
      </c>
      <c r="E404">
        <f>IFERROR(VLOOKUP($A404,koronahun!$A:$AM,5,FALSE),"")</f>
        <v>230441</v>
      </c>
      <c r="F404">
        <f>IFERROR(VLOOKUP($A404,koronahun!$A:$AM,6,FALSE),"")</f>
        <v>2963613</v>
      </c>
      <c r="G404" s="12">
        <f>IFERROR(VLOOKUP($A404,koronahun!$A:$AM,7,FALSE),"")</f>
        <v>302409.48979591834</v>
      </c>
      <c r="H404">
        <f>IFERROR(VLOOKUP($A404,koronahun!$A:$AM,8,FALSE),"")</f>
        <v>0</v>
      </c>
      <c r="I404" s="13">
        <f>IFERROR(VLOOKUP($A404,koronahun!$A:$AM,9,FALSE),"")</f>
        <v>2.4870106984094501E-3</v>
      </c>
      <c r="J404" s="13">
        <f>IFERROR(VLOOKUP($A404,koronahun!$A:$AM,10,FALSE),"")</f>
        <v>0.11901115294068422</v>
      </c>
      <c r="K404" s="13">
        <f>IFERROR(VLOOKUP($A404,koronahun!$A:$AM,11,FALSE),"")</f>
        <v>3.3527326650212783E-3</v>
      </c>
      <c r="L404">
        <f>IFERROR(VLOOKUP($A404,koronahun!$A:$AM,12,FALSE),"")</f>
        <v>110853</v>
      </c>
      <c r="M404" s="13">
        <f>IFERROR(VLOOKUP($A404,koronahun!$A:$AM,13,FALSE),"")</f>
        <v>3.2347329055891216E-2</v>
      </c>
      <c r="N404" s="13">
        <f>IFERROR(VLOOKUP($A404,koronahun!$A:$AM,14,FALSE),"")</f>
        <v>0.65335707379863506</v>
      </c>
      <c r="O404">
        <f>IFERROR(VLOOKUP($A404,koronahun!$A:$AM,15,FALSE),"")</f>
        <v>21648</v>
      </c>
      <c r="P404">
        <f>IFERROR(VLOOKUP($A404,koronahun!$A:$AM,16,FALSE),"")</f>
        <v>9903</v>
      </c>
      <c r="Q404" s="13">
        <f>IFERROR(VLOOKUP($A404,koronahun!$A:$AM,17,FALSE),"")</f>
        <v>8.8357063516106227E-2</v>
      </c>
      <c r="R404">
        <f>IFERROR(VLOOKUP($A404,koronahun!$A:$AM,18,FALSE),"")</f>
        <v>68</v>
      </c>
      <c r="S404">
        <f>IFERROR(VLOOKUP($A404,koronahun!$A:$AM,19,FALSE),"")</f>
        <v>1826</v>
      </c>
      <c r="T404">
        <f>IFERROR(VLOOKUP($A404,koronahun!$A:$AM,20,FALSE),"")</f>
        <v>4445</v>
      </c>
      <c r="U404">
        <f>IFERROR(VLOOKUP($A404,koronahun!$A:$AM,21,FALSE),"")</f>
        <v>330</v>
      </c>
      <c r="V404" s="13">
        <f>IFERROR(VLOOKUP($A404,koronahun!$A:$AM,22,FALSE),"")</f>
        <v>0.31429559714547367</v>
      </c>
      <c r="W404">
        <f>IFERROR(VLOOKUP($A404,koronahun!$A:$AM,23,FALSE),"")</f>
        <v>100</v>
      </c>
      <c r="X404">
        <f>IFERROR(VLOOKUP($A404,koronahun!$A:$AM,24,FALSE),"")</f>
        <v>1</v>
      </c>
      <c r="Y404" s="14">
        <f>IFERROR(VLOOKUP($A404,koronahun!$A:$AM,25,FALSE),"")</f>
        <v>4.0098147997798886E-2</v>
      </c>
      <c r="Z404" s="14">
        <f>IFERROR(VLOOKUP($A404,koronahun!$A:$AM,26,FALSE),"")</f>
        <v>7.4240719910011244E-2</v>
      </c>
      <c r="AA404" s="14">
        <f>IFERROR(VLOOKUP($A404,koronahun!$A:$AM,27,FALSE),"")</f>
        <v>0.61107733873691317</v>
      </c>
      <c r="AB404" s="14">
        <f>IFERROR(VLOOKUP($A404,koronahun!$A:$AM,28,FALSE),"")</f>
        <v>0.9026355084871811</v>
      </c>
      <c r="AC404" s="14">
        <f>IFERROR(VLOOKUP($A404,koronahun!$A:$AM,29,FALSE),"")</f>
        <v>1292.4285714285713</v>
      </c>
      <c r="AD404" s="14">
        <f>IFERROR(VLOOKUP($A404,koronahun!$A:$AM,30,FALSE),"")</f>
        <v>97.714285714285708</v>
      </c>
      <c r="AE404" s="14">
        <f>IFERROR(VLOOKUP($A404,koronahun!$A:$AM,31,FALSE),"")</f>
        <v>15860.285714285714</v>
      </c>
      <c r="AF404" s="13">
        <f>IFERROR(VLOOKUP($A404,koronahun!$A:$AM,32,FALSE),"")</f>
        <v>8.1967627482397817E-2</v>
      </c>
      <c r="AG404">
        <f>IFERROR(VLOOKUP($A404,koronahun!$A:$AM,33,FALSE),"")</f>
        <v>123188</v>
      </c>
      <c r="AH404">
        <f>IFERROR(VLOOKUP($A404,koronahun!$A:$AM,34,FALSE),"")</f>
        <v>3244</v>
      </c>
      <c r="AI404">
        <f>IFERROR(VLOOKUP($A404,koronahun!$A:$AM,35,FALSE),"")</f>
        <v>7455.4285714285716</v>
      </c>
      <c r="AJ404">
        <f>IFERROR(VLOOKUP($A404,koronahun!$A:$AM,36,FALSE),"")</f>
        <v>0</v>
      </c>
      <c r="AK404">
        <f>IFERROR(VLOOKUP($A404,koronahun!$A:$AM,37,FALSE),"")</f>
        <v>0</v>
      </c>
      <c r="AL404">
        <f>IFERROR(VLOOKUP($A404,koronahun!$A:$AM,38,FALSE),"")</f>
        <v>0</v>
      </c>
      <c r="AM404" s="14">
        <f>IFERROR(VLOOKUP($A404,koronahun!$A:$AM,39,FALSE),"")</f>
        <v>3781.2857142857142</v>
      </c>
      <c r="AN404" s="11">
        <f ca="1">IFERROR(__xludf.DUMMYFUNCTION("""COMPUTED_VALUE"""),44296)</f>
        <v>44296</v>
      </c>
      <c r="AO404" s="12">
        <f ca="1">IFERROR(VLOOKUP(AN404,koronahun!A:B,2,FALSE),"")</f>
        <v>713868</v>
      </c>
      <c r="AP404" s="11">
        <f t="shared" ca="1" si="2"/>
        <v>44296</v>
      </c>
      <c r="AQ404" s="11">
        <f ca="1">IFERROR(__xludf.DUMMYFUNCTION("""COMPUTED_VALUE"""),44296)</f>
        <v>44296</v>
      </c>
      <c r="AR404" s="11">
        <v>44215</v>
      </c>
      <c r="AS404" s="11">
        <f t="shared" si="3"/>
        <v>44215</v>
      </c>
      <c r="AT404" s="11">
        <f ca="1">IFERROR(__xludf.DUMMYFUNCTION("""COMPUTED_VALUE"""),44214)</f>
        <v>44214</v>
      </c>
    </row>
    <row r="405" spans="1:46" ht="13">
      <c r="A405" s="11">
        <v>44213</v>
      </c>
      <c r="B405">
        <f>IFERROR(VLOOKUP($A405,koronahun!$A:$AM,2,FALSE),"")</f>
        <v>351828</v>
      </c>
      <c r="C405">
        <f>IFERROR(VLOOKUP($A405,koronahun!$A:$AM,3,FALSE),"")</f>
        <v>1241</v>
      </c>
      <c r="D405">
        <f>IFERROR(VLOOKUP($A405,koronahun!$A:$AM,4,FALSE),"")</f>
        <v>11341</v>
      </c>
      <c r="E405">
        <f>IFERROR(VLOOKUP($A405,koronahun!$A:$AM,5,FALSE),"")</f>
        <v>228615</v>
      </c>
      <c r="F405">
        <f>IFERROR(VLOOKUP($A405,koronahun!$A:$AM,6,FALSE),"")</f>
        <v>2953710</v>
      </c>
      <c r="G405" s="12">
        <f>IFERROR(VLOOKUP($A405,koronahun!$A:$AM,7,FALSE),"")</f>
        <v>301398.97959183669</v>
      </c>
      <c r="H405">
        <f>IFERROR(VLOOKUP($A405,koronahun!$A:$AM,8,FALSE),"")</f>
        <v>0</v>
      </c>
      <c r="I405" s="13">
        <f>IFERROR(VLOOKUP($A405,koronahun!$A:$AM,9,FALSE),"")</f>
        <v>3.5397775730417842E-3</v>
      </c>
      <c r="J405" s="13">
        <f>IFERROR(VLOOKUP($A405,koronahun!$A:$AM,10,FALSE),"")</f>
        <v>0.11911392790761449</v>
      </c>
      <c r="K405" s="13">
        <f>IFERROR(VLOOKUP($A405,koronahun!$A:$AM,11,FALSE),"")</f>
        <v>5.8829839584394004E-3</v>
      </c>
      <c r="L405">
        <f>IFERROR(VLOOKUP($A405,koronahun!$A:$AM,12,FALSE),"")</f>
        <v>111872</v>
      </c>
      <c r="M405" s="13">
        <f>IFERROR(VLOOKUP($A405,koronahun!$A:$AM,13,FALSE),"")</f>
        <v>3.2234500949327512E-2</v>
      </c>
      <c r="N405" s="13">
        <f>IFERROR(VLOOKUP($A405,koronahun!$A:$AM,14,FALSE),"")</f>
        <v>0.64979194379071592</v>
      </c>
      <c r="O405">
        <f>IFERROR(VLOOKUP($A405,koronahun!$A:$AM,15,FALSE),"")</f>
        <v>23083</v>
      </c>
      <c r="P405">
        <f>IFERROR(VLOOKUP($A405,koronahun!$A:$AM,16,FALSE),"")</f>
        <v>17275</v>
      </c>
      <c r="Q405" s="13">
        <f>IFERROR(VLOOKUP($A405,koronahun!$A:$AM,17,FALSE),"")</f>
        <v>7.183791606367583E-2</v>
      </c>
      <c r="R405">
        <f>IFERROR(VLOOKUP($A405,koronahun!$A:$AM,18,FALSE),"")</f>
        <v>77</v>
      </c>
      <c r="S405">
        <f>IFERROR(VLOOKUP($A405,koronahun!$A:$AM,19,FALSE),"")</f>
        <v>1290</v>
      </c>
      <c r="T405">
        <f>IFERROR(VLOOKUP($A405,koronahun!$A:$AM,20,FALSE),"")</f>
        <v>4345</v>
      </c>
      <c r="U405">
        <f>IFERROR(VLOOKUP($A405,koronahun!$A:$AM,21,FALSE),"")</f>
        <v>329</v>
      </c>
      <c r="V405" s="13">
        <f>IFERROR(VLOOKUP($A405,koronahun!$A:$AM,22,FALSE),"")</f>
        <v>0.31797355525995658</v>
      </c>
      <c r="W405">
        <f>IFERROR(VLOOKUP($A405,koronahun!$A:$AM,23,FALSE),"")</f>
        <v>-63</v>
      </c>
      <c r="X405">
        <f>IFERROR(VLOOKUP($A405,koronahun!$A:$AM,24,FALSE),"")</f>
        <v>1</v>
      </c>
      <c r="Y405" s="14">
        <f>IFERROR(VLOOKUP($A405,koronahun!$A:$AM,25,FALSE),"")</f>
        <v>3.8839030320366133E-2</v>
      </c>
      <c r="Z405" s="14">
        <f>IFERROR(VLOOKUP($A405,koronahun!$A:$AM,26,FALSE),"")</f>
        <v>7.5719217491369395E-2</v>
      </c>
      <c r="AA405" s="14">
        <f>IFERROR(VLOOKUP($A405,koronahun!$A:$AM,27,FALSE),"")</f>
        <v>0.67343069793568322</v>
      </c>
      <c r="AB405" s="14">
        <f>IFERROR(VLOOKUP($A405,koronahun!$A:$AM,28,FALSE),"")</f>
        <v>0.98895555749985686</v>
      </c>
      <c r="AC405" s="14">
        <f>IFERROR(VLOOKUP($A405,koronahun!$A:$AM,29,FALSE),"")</f>
        <v>1370.1428571428571</v>
      </c>
      <c r="AD405" s="14">
        <f>IFERROR(VLOOKUP($A405,koronahun!$A:$AM,30,FALSE),"")</f>
        <v>99</v>
      </c>
      <c r="AE405" s="14">
        <f>IFERROR(VLOOKUP($A405,koronahun!$A:$AM,31,FALSE),"")</f>
        <v>16240.857142857143</v>
      </c>
      <c r="AF405" s="13">
        <f>IFERROR(VLOOKUP($A405,koronahun!$A:$AM,32,FALSE),"")</f>
        <v>8.5475872236721401E-2</v>
      </c>
      <c r="AG405">
        <f>IFERROR(VLOOKUP($A405,koronahun!$A:$AM,33,FALSE),"")</f>
        <v>119944</v>
      </c>
      <c r="AH405">
        <f>IFERROR(VLOOKUP($A405,koronahun!$A:$AM,34,FALSE),"")</f>
        <v>7117</v>
      </c>
      <c r="AI405">
        <f>IFERROR(VLOOKUP($A405,koronahun!$A:$AM,35,FALSE),"")</f>
        <v>8346.8571428571431</v>
      </c>
      <c r="AJ405">
        <f>IFERROR(VLOOKUP($A405,koronahun!$A:$AM,36,FALSE),"")</f>
        <v>0</v>
      </c>
      <c r="AK405">
        <f>IFERROR(VLOOKUP($A405,koronahun!$A:$AM,37,FALSE),"")</f>
        <v>0</v>
      </c>
      <c r="AL405">
        <f>IFERROR(VLOOKUP($A405,koronahun!$A:$AM,38,FALSE),"")</f>
        <v>0</v>
      </c>
      <c r="AM405" s="14">
        <f>IFERROR(VLOOKUP($A405,koronahun!$A:$AM,39,FALSE),"")</f>
        <v>4382.7142857142853</v>
      </c>
      <c r="AN405" s="11">
        <f ca="1">IFERROR(__xludf.DUMMYFUNCTION("""COMPUTED_VALUE"""),44297)</f>
        <v>44297</v>
      </c>
      <c r="AO405" s="12">
        <f ca="1">IFERROR(VLOOKUP(AN405,koronahun!A:B,2,FALSE),"")</f>
        <v>720164</v>
      </c>
      <c r="AP405" s="11">
        <f t="shared" ca="1" si="2"/>
        <v>44297</v>
      </c>
      <c r="AQ405" s="11">
        <f ca="1">IFERROR(__xludf.DUMMYFUNCTION("""COMPUTED_VALUE"""),44297)</f>
        <v>44297</v>
      </c>
      <c r="AR405" s="11">
        <v>44214</v>
      </c>
      <c r="AS405" s="11">
        <f t="shared" si="3"/>
        <v>44214</v>
      </c>
      <c r="AT405" s="11">
        <f ca="1">IFERROR(__xludf.DUMMYFUNCTION("""COMPUTED_VALUE"""),44213)</f>
        <v>44213</v>
      </c>
    </row>
    <row r="406" spans="1:46" ht="13">
      <c r="A406" s="11">
        <v>44212</v>
      </c>
      <c r="B406">
        <f>IFERROR(VLOOKUP($A406,koronahun!$A:$AM,2,FALSE),"")</f>
        <v>350587</v>
      </c>
      <c r="C406">
        <f>IFERROR(VLOOKUP($A406,koronahun!$A:$AM,3,FALSE),"")</f>
        <v>1438</v>
      </c>
      <c r="D406">
        <f>IFERROR(VLOOKUP($A406,koronahun!$A:$AM,4,FALSE),"")</f>
        <v>11264</v>
      </c>
      <c r="E406">
        <f>IFERROR(VLOOKUP($A406,koronahun!$A:$AM,5,FALSE),"")</f>
        <v>227325</v>
      </c>
      <c r="F406">
        <f>IFERROR(VLOOKUP($A406,koronahun!$A:$AM,6,FALSE),"")</f>
        <v>2936435</v>
      </c>
      <c r="G406" s="12">
        <f>IFERROR(VLOOKUP($A406,koronahun!$A:$AM,7,FALSE),"")</f>
        <v>299636.22448979592</v>
      </c>
      <c r="H406">
        <f>IFERROR(VLOOKUP($A406,koronahun!$A:$AM,8,FALSE),"")</f>
        <v>0</v>
      </c>
      <c r="I406" s="13">
        <f>IFERROR(VLOOKUP($A406,koronahun!$A:$AM,9,FALSE),"")</f>
        <v>4.1185854749691397E-3</v>
      </c>
      <c r="J406" s="13">
        <f>IFERROR(VLOOKUP($A406,koronahun!$A:$AM,10,FALSE),"")</f>
        <v>0.11939205192691138</v>
      </c>
      <c r="K406" s="13">
        <f>IFERROR(VLOOKUP($A406,koronahun!$A:$AM,11,FALSE),"")</f>
        <v>6.2845773408414258E-3</v>
      </c>
      <c r="L406">
        <f>IFERROR(VLOOKUP($A406,koronahun!$A:$AM,12,FALSE),"")</f>
        <v>111998</v>
      </c>
      <c r="M406" s="13">
        <f>IFERROR(VLOOKUP($A406,koronahun!$A:$AM,13,FALSE),"")</f>
        <v>3.2128972266513019E-2</v>
      </c>
      <c r="N406" s="13">
        <f>IFERROR(VLOOKUP($A406,koronahun!$A:$AM,14,FALSE),"")</f>
        <v>0.64841251957431389</v>
      </c>
      <c r="O406">
        <f>IFERROR(VLOOKUP($A406,koronahun!$A:$AM,15,FALSE),"")</f>
        <v>24874</v>
      </c>
      <c r="P406">
        <f>IFERROR(VLOOKUP($A406,koronahun!$A:$AM,16,FALSE),"")</f>
        <v>18339</v>
      </c>
      <c r="Q406" s="13">
        <f>IFERROR(VLOOKUP($A406,koronahun!$A:$AM,17,FALSE),"")</f>
        <v>7.8412127160695788E-2</v>
      </c>
      <c r="R406">
        <f>IFERROR(VLOOKUP($A406,koronahun!$A:$AM,18,FALSE),"")</f>
        <v>87</v>
      </c>
      <c r="S406">
        <f>IFERROR(VLOOKUP($A406,koronahun!$A:$AM,19,FALSE),"")</f>
        <v>2304</v>
      </c>
      <c r="T406">
        <f>IFERROR(VLOOKUP($A406,koronahun!$A:$AM,20,FALSE),"")</f>
        <v>4408</v>
      </c>
      <c r="U406">
        <f>IFERROR(VLOOKUP($A406,koronahun!$A:$AM,21,FALSE),"")</f>
        <v>328</v>
      </c>
      <c r="V406" s="13">
        <f>IFERROR(VLOOKUP($A406,koronahun!$A:$AM,22,FALSE),"")</f>
        <v>0.31945850815917304</v>
      </c>
      <c r="W406">
        <f>IFERROR(VLOOKUP($A406,koronahun!$A:$AM,23,FALSE),"")</f>
        <v>-192</v>
      </c>
      <c r="X406">
        <f>IFERROR(VLOOKUP($A406,koronahun!$A:$AM,24,FALSE),"")</f>
        <v>-9</v>
      </c>
      <c r="Y406" s="14">
        <f>IFERROR(VLOOKUP($A406,koronahun!$A:$AM,25,FALSE),"")</f>
        <v>3.9357845675815642E-2</v>
      </c>
      <c r="Z406" s="14">
        <f>IFERROR(VLOOKUP($A406,koronahun!$A:$AM,26,FALSE),"")</f>
        <v>7.441016333938294E-2</v>
      </c>
      <c r="AA406" s="14">
        <f>IFERROR(VLOOKUP($A406,koronahun!$A:$AM,27,FALSE),"")</f>
        <v>0.73545857236221046</v>
      </c>
      <c r="AB406" s="14">
        <f>IFERROR(VLOOKUP($A406,koronahun!$A:$AM,28,FALSE),"")</f>
        <v>1.0632221757312008</v>
      </c>
      <c r="AC406" s="14">
        <f>IFERROR(VLOOKUP($A406,koronahun!$A:$AM,29,FALSE),"")</f>
        <v>1446.8571428571429</v>
      </c>
      <c r="AD406" s="14">
        <f>IFERROR(VLOOKUP($A406,koronahun!$A:$AM,30,FALSE),"")</f>
        <v>101.42857142857143</v>
      </c>
      <c r="AE406" s="14">
        <f>IFERROR(VLOOKUP($A406,koronahun!$A:$AM,31,FALSE),"")</f>
        <v>16524.714285714286</v>
      </c>
      <c r="AF406" s="13">
        <f>IFERROR(VLOOKUP($A406,koronahun!$A:$AM,32,FALSE),"")</f>
        <v>8.8399897785036208E-2</v>
      </c>
      <c r="AG406">
        <f>IFERROR(VLOOKUP($A406,koronahun!$A:$AM,33,FALSE),"")</f>
        <v>112827</v>
      </c>
      <c r="AH406">
        <f>IFERROR(VLOOKUP($A406,koronahun!$A:$AM,34,FALSE),"")</f>
        <v>7099</v>
      </c>
      <c r="AI406">
        <f>IFERROR(VLOOKUP($A406,koronahun!$A:$AM,35,FALSE),"")</f>
        <v>8685</v>
      </c>
      <c r="AJ406">
        <f>IFERROR(VLOOKUP($A406,koronahun!$A:$AM,36,FALSE),"")</f>
        <v>0</v>
      </c>
      <c r="AK406">
        <f>IFERROR(VLOOKUP($A406,koronahun!$A:$AM,37,FALSE),"")</f>
        <v>0</v>
      </c>
      <c r="AL406">
        <f>IFERROR(VLOOKUP($A406,koronahun!$A:$AM,38,FALSE),"")</f>
        <v>0</v>
      </c>
      <c r="AM406" s="14">
        <f>IFERROR(VLOOKUP($A406,koronahun!$A:$AM,39,FALSE),"")</f>
        <v>4879</v>
      </c>
      <c r="AN406" s="11">
        <f ca="1">IFERROR(__xludf.DUMMYFUNCTION("""COMPUTED_VALUE"""),44298)</f>
        <v>44298</v>
      </c>
      <c r="AO406" s="12">
        <f ca="1">IFERROR(VLOOKUP(AN406,koronahun!A:B,2,FALSE),"")</f>
        <v>725241</v>
      </c>
      <c r="AP406" s="11">
        <f t="shared" ca="1" si="2"/>
        <v>44298</v>
      </c>
      <c r="AQ406" s="11">
        <f ca="1">IFERROR(__xludf.DUMMYFUNCTION("""COMPUTED_VALUE"""),44298)</f>
        <v>44298</v>
      </c>
      <c r="AR406" s="11">
        <v>44213</v>
      </c>
      <c r="AS406" s="11">
        <f t="shared" si="3"/>
        <v>44213</v>
      </c>
      <c r="AT406" s="11">
        <f ca="1">IFERROR(__xludf.DUMMYFUNCTION("""COMPUTED_VALUE"""),44212)</f>
        <v>44212</v>
      </c>
    </row>
    <row r="407" spans="1:46" ht="13">
      <c r="A407" s="11">
        <v>44211</v>
      </c>
      <c r="B407">
        <f>IFERROR(VLOOKUP($A407,koronahun!$A:$AM,2,FALSE),"")</f>
        <v>349149</v>
      </c>
      <c r="C407">
        <f>IFERROR(VLOOKUP($A407,koronahun!$A:$AM,3,FALSE),"")</f>
        <v>1513</v>
      </c>
      <c r="D407">
        <f>IFERROR(VLOOKUP($A407,koronahun!$A:$AM,4,FALSE),"")</f>
        <v>11177</v>
      </c>
      <c r="E407">
        <f>IFERROR(VLOOKUP($A407,koronahun!$A:$AM,5,FALSE),"")</f>
        <v>225021</v>
      </c>
      <c r="F407">
        <f>IFERROR(VLOOKUP($A407,koronahun!$A:$AM,6,FALSE),"")</f>
        <v>2918096</v>
      </c>
      <c r="G407" s="12">
        <f>IFERROR(VLOOKUP($A407,koronahun!$A:$AM,7,FALSE),"")</f>
        <v>297764.89795918367</v>
      </c>
      <c r="H407">
        <f>IFERROR(VLOOKUP($A407,koronahun!$A:$AM,8,FALSE),"")</f>
        <v>0</v>
      </c>
      <c r="I407" s="13">
        <f>IFERROR(VLOOKUP($A407,koronahun!$A:$AM,9,FALSE),"")</f>
        <v>4.3522535065413249E-3</v>
      </c>
      <c r="J407" s="13">
        <f>IFERROR(VLOOKUP($A407,koronahun!$A:$AM,10,FALSE),"")</f>
        <v>0.11964959343352652</v>
      </c>
      <c r="K407" s="13">
        <f>IFERROR(VLOOKUP($A407,koronahun!$A:$AM,11,FALSE),"")</f>
        <v>6.5877934375946452E-3</v>
      </c>
      <c r="L407">
        <f>IFERROR(VLOOKUP($A407,koronahun!$A:$AM,12,FALSE),"")</f>
        <v>112951</v>
      </c>
      <c r="M407" s="13">
        <f>IFERROR(VLOOKUP($A407,koronahun!$A:$AM,13,FALSE),"")</f>
        <v>3.2012120899673202E-2</v>
      </c>
      <c r="N407" s="13">
        <f>IFERROR(VLOOKUP($A407,koronahun!$A:$AM,14,FALSE),"")</f>
        <v>0.64448416005774034</v>
      </c>
      <c r="O407">
        <f>IFERROR(VLOOKUP($A407,koronahun!$A:$AM,15,FALSE),"")</f>
        <v>25678</v>
      </c>
      <c r="P407">
        <f>IFERROR(VLOOKUP($A407,koronahun!$A:$AM,16,FALSE),"")</f>
        <v>19098</v>
      </c>
      <c r="Q407" s="13">
        <f>IFERROR(VLOOKUP($A407,koronahun!$A:$AM,17,FALSE),"")</f>
        <v>7.9222955283275734E-2</v>
      </c>
      <c r="R407">
        <f>IFERROR(VLOOKUP($A407,koronahun!$A:$AM,18,FALSE),"")</f>
        <v>111</v>
      </c>
      <c r="S407">
        <f>IFERROR(VLOOKUP($A407,koronahun!$A:$AM,19,FALSE),"")</f>
        <v>4717</v>
      </c>
      <c r="T407">
        <f>IFERROR(VLOOKUP($A407,koronahun!$A:$AM,20,FALSE),"")</f>
        <v>4600</v>
      </c>
      <c r="U407">
        <f>IFERROR(VLOOKUP($A407,koronahun!$A:$AM,21,FALSE),"")</f>
        <v>337</v>
      </c>
      <c r="V407" s="13">
        <f>IFERROR(VLOOKUP($A407,koronahun!$A:$AM,22,FALSE),"")</f>
        <v>0.3235037190425864</v>
      </c>
      <c r="W407">
        <f>IFERROR(VLOOKUP($A407,koronahun!$A:$AM,23,FALSE),"")</f>
        <v>-89</v>
      </c>
      <c r="X407">
        <f>IFERROR(VLOOKUP($A407,koronahun!$A:$AM,24,FALSE),"")</f>
        <v>-7</v>
      </c>
      <c r="Y407" s="14">
        <f>IFERROR(VLOOKUP($A407,koronahun!$A:$AM,25,FALSE),"")</f>
        <v>4.0725624385795613E-2</v>
      </c>
      <c r="Z407" s="14">
        <f>IFERROR(VLOOKUP($A407,koronahun!$A:$AM,26,FALSE),"")</f>
        <v>7.3260869565217393E-2</v>
      </c>
      <c r="AA407" s="14">
        <f>IFERROR(VLOOKUP($A407,koronahun!$A:$AM,27,FALSE),"")</f>
        <v>0.91504211793020462</v>
      </c>
      <c r="AB407" s="14">
        <f>IFERROR(VLOOKUP($A407,koronahun!$A:$AM,28,FALSE),"")</f>
        <v>1.1318530908118698</v>
      </c>
      <c r="AC407" s="14">
        <f>IFERROR(VLOOKUP($A407,koronahun!$A:$AM,29,FALSE),"")</f>
        <v>1629.4285714285713</v>
      </c>
      <c r="AD407" s="14">
        <f>IFERROR(VLOOKUP($A407,koronahun!$A:$AM,30,FALSE),"")</f>
        <v>105.28571428571429</v>
      </c>
      <c r="AE407" s="14">
        <f>IFERROR(VLOOKUP($A407,koronahun!$A:$AM,31,FALSE),"")</f>
        <v>17022.428571428572</v>
      </c>
      <c r="AF407" s="13">
        <f>IFERROR(VLOOKUP($A407,koronahun!$A:$AM,32,FALSE),"")</f>
        <v>9.497757238111855E-2</v>
      </c>
      <c r="AG407">
        <f>IFERROR(VLOOKUP($A407,koronahun!$A:$AM,33,FALSE),"")</f>
        <v>105728</v>
      </c>
      <c r="AH407">
        <f>IFERROR(VLOOKUP($A407,koronahun!$A:$AM,34,FALSE),"")</f>
        <v>9627</v>
      </c>
      <c r="AI407">
        <f>IFERROR(VLOOKUP($A407,koronahun!$A:$AM,35,FALSE),"")</f>
        <v>9025.5714285714294</v>
      </c>
      <c r="AJ407">
        <f>IFERROR(VLOOKUP($A407,koronahun!$A:$AM,36,FALSE),"")</f>
        <v>0</v>
      </c>
      <c r="AK407">
        <f>IFERROR(VLOOKUP($A407,koronahun!$A:$AM,37,FALSE),"")</f>
        <v>0</v>
      </c>
      <c r="AL407">
        <f>IFERROR(VLOOKUP($A407,koronahun!$A:$AM,38,FALSE),"")</f>
        <v>0</v>
      </c>
      <c r="AM407" s="14">
        <f>IFERROR(VLOOKUP($A407,koronahun!$A:$AM,39,FALSE),"")</f>
        <v>5510.2857142857147</v>
      </c>
      <c r="AN407" s="11">
        <f ca="1">IFERROR(__xludf.DUMMYFUNCTION("""COMPUTED_VALUE"""),44299)</f>
        <v>44299</v>
      </c>
      <c r="AO407" s="12">
        <f ca="1">IFERROR(VLOOKUP(AN407,koronahun!A:B,2,FALSE),"")</f>
        <v>728078</v>
      </c>
      <c r="AP407" s="11">
        <f t="shared" ca="1" si="2"/>
        <v>44299</v>
      </c>
      <c r="AQ407" s="11">
        <f ca="1">IFERROR(__xludf.DUMMYFUNCTION("""COMPUTED_VALUE"""),44299)</f>
        <v>44299</v>
      </c>
      <c r="AR407" s="11">
        <v>44212</v>
      </c>
      <c r="AS407" s="11">
        <f t="shared" si="3"/>
        <v>44212</v>
      </c>
      <c r="AT407" s="11">
        <f ca="1">IFERROR(__xludf.DUMMYFUNCTION("""COMPUTED_VALUE"""),44211)</f>
        <v>44211</v>
      </c>
    </row>
    <row r="408" spans="1:46" ht="13">
      <c r="A408" s="11">
        <v>44210</v>
      </c>
      <c r="B408">
        <f>IFERROR(VLOOKUP($A408,koronahun!$A:$AM,2,FALSE),"")</f>
        <v>347636</v>
      </c>
      <c r="C408">
        <f>IFERROR(VLOOKUP($A408,koronahun!$A:$AM,3,FALSE),"")</f>
        <v>1926</v>
      </c>
      <c r="D408">
        <f>IFERROR(VLOOKUP($A408,koronahun!$A:$AM,4,FALSE),"")</f>
        <v>11066</v>
      </c>
      <c r="E408">
        <f>IFERROR(VLOOKUP($A408,koronahun!$A:$AM,5,FALSE),"")</f>
        <v>220304</v>
      </c>
      <c r="F408">
        <f>IFERROR(VLOOKUP($A408,koronahun!$A:$AM,6,FALSE),"")</f>
        <v>2898998</v>
      </c>
      <c r="G408" s="12">
        <f>IFERROR(VLOOKUP($A408,koronahun!$A:$AM,7,FALSE),"")</f>
        <v>295816.12244897959</v>
      </c>
      <c r="H408">
        <f>IFERROR(VLOOKUP($A408,koronahun!$A:$AM,8,FALSE),"")</f>
        <v>0</v>
      </c>
      <c r="I408" s="13">
        <f>IFERROR(VLOOKUP($A408,koronahun!$A:$AM,9,FALSE),"")</f>
        <v>5.5711434439269904E-3</v>
      </c>
      <c r="J408" s="13">
        <f>IFERROR(VLOOKUP($A408,koronahun!$A:$AM,10,FALSE),"")</f>
        <v>0.11991591577503675</v>
      </c>
      <c r="K408" s="13">
        <f>IFERROR(VLOOKUP($A408,koronahun!$A:$AM,11,FALSE),"")</f>
        <v>6.8188669442279613E-3</v>
      </c>
      <c r="L408">
        <f>IFERROR(VLOOKUP($A408,koronahun!$A:$AM,12,FALSE),"")</f>
        <v>116266</v>
      </c>
      <c r="M408" s="13">
        <f>IFERROR(VLOOKUP($A408,koronahun!$A:$AM,13,FALSE),"")</f>
        <v>3.1832146267935429E-2</v>
      </c>
      <c r="N408" s="13">
        <f>IFERROR(VLOOKUP($A408,koronahun!$A:$AM,14,FALSE),"")</f>
        <v>0.6337203281593391</v>
      </c>
      <c r="O408">
        <f>IFERROR(VLOOKUP($A408,koronahun!$A:$AM,15,FALSE),"")</f>
        <v>25646</v>
      </c>
      <c r="P408">
        <f>IFERROR(VLOOKUP($A408,koronahun!$A:$AM,16,FALSE),"")</f>
        <v>19634</v>
      </c>
      <c r="Q408" s="13">
        <f>IFERROR(VLOOKUP($A408,koronahun!$A:$AM,17,FALSE),"")</f>
        <v>9.8095141081796886E-2</v>
      </c>
      <c r="R408">
        <f>IFERROR(VLOOKUP($A408,koronahun!$A:$AM,18,FALSE),"")</f>
        <v>118</v>
      </c>
      <c r="S408">
        <f>IFERROR(VLOOKUP($A408,koronahun!$A:$AM,19,FALSE),"")</f>
        <v>4851</v>
      </c>
      <c r="T408">
        <f>IFERROR(VLOOKUP($A408,koronahun!$A:$AM,20,FALSE),"")</f>
        <v>4689</v>
      </c>
      <c r="U408">
        <f>IFERROR(VLOOKUP($A408,koronahun!$A:$AM,21,FALSE),"")</f>
        <v>344</v>
      </c>
      <c r="V408" s="13">
        <f>IFERROR(VLOOKUP($A408,koronahun!$A:$AM,22,FALSE),"")</f>
        <v>0.3344475255727255</v>
      </c>
      <c r="W408">
        <f>IFERROR(VLOOKUP($A408,koronahun!$A:$AM,23,FALSE),"")</f>
        <v>-181</v>
      </c>
      <c r="X408">
        <f>IFERROR(VLOOKUP($A408,koronahun!$A:$AM,24,FALSE),"")</f>
        <v>5</v>
      </c>
      <c r="Y408" s="14">
        <f>IFERROR(VLOOKUP($A408,koronahun!$A:$AM,25,FALSE),"")</f>
        <v>4.0329933084478693E-2</v>
      </c>
      <c r="Z408" s="14">
        <f>IFERROR(VLOOKUP($A408,koronahun!$A:$AM,26,FALSE),"")</f>
        <v>7.3363190445724036E-2</v>
      </c>
      <c r="AA408" s="14">
        <f>IFERROR(VLOOKUP($A408,koronahun!$A:$AM,27,FALSE),"")</f>
        <v>1.0387924038305469</v>
      </c>
      <c r="AB408" s="14">
        <f>IFERROR(VLOOKUP($A408,koronahun!$A:$AM,28,FALSE),"")</f>
        <v>1.1613554160814616</v>
      </c>
      <c r="AC408" s="14">
        <f>IFERROR(VLOOKUP($A408,koronahun!$A:$AM,29,FALSE),"")</f>
        <v>1828.5714285714287</v>
      </c>
      <c r="AD408" s="14">
        <f>IFERROR(VLOOKUP($A408,koronahun!$A:$AM,30,FALSE),"")</f>
        <v>105.85714285714286</v>
      </c>
      <c r="AE408" s="14">
        <f>IFERROR(VLOOKUP($A408,koronahun!$A:$AM,31,FALSE),"")</f>
        <v>17726.142857142859</v>
      </c>
      <c r="AF408" s="13">
        <f>IFERROR(VLOOKUP($A408,koronahun!$A:$AM,32,FALSE),"")</f>
        <v>0.10094629248407858</v>
      </c>
      <c r="AG408">
        <f>IFERROR(VLOOKUP($A408,koronahun!$A:$AM,33,FALSE),"")</f>
        <v>96101</v>
      </c>
      <c r="AH408">
        <f>IFERROR(VLOOKUP($A408,koronahun!$A:$AM,34,FALSE),"")</f>
        <v>9172</v>
      </c>
      <c r="AI408">
        <f>IFERROR(VLOOKUP($A408,koronahun!$A:$AM,35,FALSE),"")</f>
        <v>9228.7142857142862</v>
      </c>
      <c r="AJ408">
        <f>IFERROR(VLOOKUP($A408,koronahun!$A:$AM,36,FALSE),"")</f>
        <v>0</v>
      </c>
      <c r="AK408">
        <f>IFERROR(VLOOKUP($A408,koronahun!$A:$AM,37,FALSE),"")</f>
        <v>0</v>
      </c>
      <c r="AL408">
        <f>IFERROR(VLOOKUP($A408,koronahun!$A:$AM,38,FALSE),"")</f>
        <v>0</v>
      </c>
      <c r="AM408" s="14">
        <f>IFERROR(VLOOKUP($A408,koronahun!$A:$AM,39,FALSE),"")</f>
        <v>5329.8571428571431</v>
      </c>
      <c r="AN408" s="11">
        <f ca="1">IFERROR(__xludf.DUMMYFUNCTION("""COMPUTED_VALUE"""),44300)</f>
        <v>44300</v>
      </c>
      <c r="AO408" s="12">
        <f ca="1">IFERROR(VLOOKUP(AN408,koronahun!A:B,2,FALSE),"")</f>
        <v>731675</v>
      </c>
      <c r="AP408" s="11">
        <f t="shared" ca="1" si="2"/>
        <v>44300</v>
      </c>
      <c r="AQ408" s="11">
        <f ca="1">IFERROR(__xludf.DUMMYFUNCTION("""COMPUTED_VALUE"""),44300)</f>
        <v>44300</v>
      </c>
      <c r="AR408" s="11">
        <v>44211</v>
      </c>
      <c r="AS408" s="11">
        <f t="shared" si="3"/>
        <v>44211</v>
      </c>
      <c r="AT408" s="11">
        <f ca="1">IFERROR(__xludf.DUMMYFUNCTION("""COMPUTED_VALUE"""),44210)</f>
        <v>44210</v>
      </c>
    </row>
    <row r="409" spans="1:46" ht="13">
      <c r="A409" s="11">
        <v>44209</v>
      </c>
      <c r="B409">
        <f>IFERROR(VLOOKUP($A409,koronahun!$A:$AM,2,FALSE),"")</f>
        <v>345710</v>
      </c>
      <c r="C409">
        <f>IFERROR(VLOOKUP($A409,koronahun!$A:$AM,3,FALSE),"")</f>
        <v>1358</v>
      </c>
      <c r="D409">
        <f>IFERROR(VLOOKUP($A409,koronahun!$A:$AM,4,FALSE),"")</f>
        <v>10948</v>
      </c>
      <c r="E409">
        <f>IFERROR(VLOOKUP($A409,koronahun!$A:$AM,5,FALSE),"")</f>
        <v>215453</v>
      </c>
      <c r="F409">
        <f>IFERROR(VLOOKUP($A409,koronahun!$A:$AM,6,FALSE),"")</f>
        <v>2879364</v>
      </c>
      <c r="G409" s="12">
        <f>IFERROR(VLOOKUP($A409,koronahun!$A:$AM,7,FALSE),"")</f>
        <v>293812.6530612245</v>
      </c>
      <c r="H409">
        <f>IFERROR(VLOOKUP($A409,koronahun!$A:$AM,8,FALSE),"")</f>
        <v>0</v>
      </c>
      <c r="I409" s="13">
        <f>IFERROR(VLOOKUP($A409,koronahun!$A:$AM,9,FALSE),"")</f>
        <v>3.9436390670012081E-3</v>
      </c>
      <c r="J409" s="13">
        <f>IFERROR(VLOOKUP($A409,koronahun!$A:$AM,10,FALSE),"")</f>
        <v>0.12006470873428993</v>
      </c>
      <c r="K409" s="13">
        <f>IFERROR(VLOOKUP($A409,koronahun!$A:$AM,11,FALSE),"")</f>
        <v>6.4841684919047515E-3</v>
      </c>
      <c r="L409">
        <f>IFERROR(VLOOKUP($A409,koronahun!$A:$AM,12,FALSE),"")</f>
        <v>119309</v>
      </c>
      <c r="M409" s="13">
        <f>IFERROR(VLOOKUP($A409,koronahun!$A:$AM,13,FALSE),"")</f>
        <v>3.1668161175551761E-2</v>
      </c>
      <c r="N409" s="13">
        <f>IFERROR(VLOOKUP($A409,koronahun!$A:$AM,14,FALSE),"")</f>
        <v>0.62321888287871341</v>
      </c>
      <c r="O409">
        <f>IFERROR(VLOOKUP($A409,koronahun!$A:$AM,15,FALSE),"")</f>
        <v>25856</v>
      </c>
      <c r="P409">
        <f>IFERROR(VLOOKUP($A409,koronahun!$A:$AM,16,FALSE),"")</f>
        <v>18550</v>
      </c>
      <c r="Q409" s="13">
        <f>IFERROR(VLOOKUP($A409,koronahun!$A:$AM,17,FALSE),"")</f>
        <v>7.3207547169811316E-2</v>
      </c>
      <c r="R409">
        <f>IFERROR(VLOOKUP($A409,koronahun!$A:$AM,18,FALSE),"")</f>
        <v>95</v>
      </c>
      <c r="S409">
        <f>IFERROR(VLOOKUP($A409,koronahun!$A:$AM,19,FALSE),"")</f>
        <v>5601</v>
      </c>
      <c r="T409">
        <f>IFERROR(VLOOKUP($A409,koronahun!$A:$AM,20,FALSE),"")</f>
        <v>4870</v>
      </c>
      <c r="U409">
        <f>IFERROR(VLOOKUP($A409,koronahun!$A:$AM,21,FALSE),"")</f>
        <v>339</v>
      </c>
      <c r="V409" s="13">
        <f>IFERROR(VLOOKUP($A409,koronahun!$A:$AM,22,FALSE),"")</f>
        <v>0.34511295594573488</v>
      </c>
      <c r="W409">
        <f>IFERROR(VLOOKUP($A409,koronahun!$A:$AM,23,FALSE),"")</f>
        <v>-135</v>
      </c>
      <c r="X409">
        <f>IFERROR(VLOOKUP($A409,koronahun!$A:$AM,24,FALSE),"")</f>
        <v>-17</v>
      </c>
      <c r="Y409" s="14">
        <f>IFERROR(VLOOKUP($A409,koronahun!$A:$AM,25,FALSE),"")</f>
        <v>4.0818379166701592E-2</v>
      </c>
      <c r="Z409" s="14">
        <f>IFERROR(VLOOKUP($A409,koronahun!$A:$AM,26,FALSE),"")</f>
        <v>6.9609856262833669E-2</v>
      </c>
      <c r="AA409" s="14">
        <f>IFERROR(VLOOKUP($A409,koronahun!$A:$AM,27,FALSE),"")</f>
        <v>1.1404498977505113</v>
      </c>
      <c r="AB409" s="14">
        <f>IFERROR(VLOOKUP($A409,koronahun!$A:$AM,28,FALSE),"")</f>
        <v>1.173566511676055</v>
      </c>
      <c r="AC409" s="14">
        <f>IFERROR(VLOOKUP($A409,koronahun!$A:$AM,29,FALSE),"")</f>
        <v>1991.7142857142858</v>
      </c>
      <c r="AD409" s="14">
        <f>IFERROR(VLOOKUP($A409,koronahun!$A:$AM,30,FALSE),"")</f>
        <v>107.14285714285714</v>
      </c>
      <c r="AE409" s="14">
        <f>IFERROR(VLOOKUP($A409,koronahun!$A:$AM,31,FALSE),"")</f>
        <v>18391.285714285714</v>
      </c>
      <c r="AF409" s="13">
        <f>IFERROR(VLOOKUP($A409,koronahun!$A:$AM,32,FALSE),"")</f>
        <v>0.10497657551132764</v>
      </c>
      <c r="AG409">
        <f>IFERROR(VLOOKUP($A409,koronahun!$A:$AM,33,FALSE),"")</f>
        <v>86929</v>
      </c>
      <c r="AH409">
        <f>IFERROR(VLOOKUP($A409,koronahun!$A:$AM,34,FALSE),"")</f>
        <v>8350</v>
      </c>
      <c r="AI409">
        <f>IFERROR(VLOOKUP($A409,koronahun!$A:$AM,35,FALSE),"")</f>
        <v>9418.4285714285706</v>
      </c>
      <c r="AJ409">
        <f>IFERROR(VLOOKUP($A409,koronahun!$A:$AM,36,FALSE),"")</f>
        <v>0</v>
      </c>
      <c r="AK409">
        <f>IFERROR(VLOOKUP($A409,koronahun!$A:$AM,37,FALSE),"")</f>
        <v>0</v>
      </c>
      <c r="AL409">
        <f>IFERROR(VLOOKUP($A409,koronahun!$A:$AM,38,FALSE),"")</f>
        <v>0</v>
      </c>
      <c r="AM409" s="14">
        <f>IFERROR(VLOOKUP($A409,koronahun!$A:$AM,39,FALSE),"")</f>
        <v>5130.2857142857147</v>
      </c>
      <c r="AN409" s="11">
        <f ca="1">IFERROR(__xludf.DUMMYFUNCTION("""COMPUTED_VALUE"""),44301)</f>
        <v>44301</v>
      </c>
      <c r="AO409" s="12">
        <f ca="1">IFERROR(VLOOKUP(AN409,koronahun!A:B,2,FALSE),"")</f>
        <v>736982</v>
      </c>
      <c r="AP409" s="11">
        <f t="shared" ca="1" si="2"/>
        <v>44301</v>
      </c>
      <c r="AQ409" s="11">
        <f ca="1">IFERROR(__xludf.DUMMYFUNCTION("""COMPUTED_VALUE"""),44301)</f>
        <v>44301</v>
      </c>
      <c r="AR409" s="11">
        <v>44210</v>
      </c>
      <c r="AS409" s="11">
        <f t="shared" si="3"/>
        <v>44210</v>
      </c>
      <c r="AT409" s="11">
        <f ca="1">IFERROR(__xludf.DUMMYFUNCTION("""COMPUTED_VALUE"""),44209)</f>
        <v>44209</v>
      </c>
    </row>
    <row r="410" spans="1:46" ht="13">
      <c r="A410" s="11">
        <v>44208</v>
      </c>
      <c r="B410">
        <f>IFERROR(VLOOKUP($A410,koronahun!$A:$AM,2,FALSE),"")</f>
        <v>344352</v>
      </c>
      <c r="C410">
        <f>IFERROR(VLOOKUP($A410,koronahun!$A:$AM,3,FALSE),"")</f>
        <v>696</v>
      </c>
      <c r="D410">
        <f>IFERROR(VLOOKUP($A410,koronahun!$A:$AM,4,FALSE),"")</f>
        <v>10853</v>
      </c>
      <c r="E410">
        <f>IFERROR(VLOOKUP($A410,koronahun!$A:$AM,5,FALSE),"")</f>
        <v>209852</v>
      </c>
      <c r="F410">
        <f>IFERROR(VLOOKUP($A410,koronahun!$A:$AM,6,FALSE),"")</f>
        <v>2860814</v>
      </c>
      <c r="G410" s="12">
        <f>IFERROR(VLOOKUP($A410,koronahun!$A:$AM,7,FALSE),"")</f>
        <v>291919.79591836734</v>
      </c>
      <c r="H410">
        <f>IFERROR(VLOOKUP($A410,koronahun!$A:$AM,8,FALSE),"")</f>
        <v>0</v>
      </c>
      <c r="I410" s="13">
        <f>IFERROR(VLOOKUP($A410,koronahun!$A:$AM,9,FALSE),"")</f>
        <v>2.0252810950485371E-3</v>
      </c>
      <c r="J410" s="13">
        <f>IFERROR(VLOOKUP($A410,koronahun!$A:$AM,10,FALSE),"")</f>
        <v>0.12036853846492641</v>
      </c>
      <c r="K410" s="13">
        <f>IFERROR(VLOOKUP($A410,koronahun!$A:$AM,11,FALSE),"")</f>
        <v>2.8826424818699913E-3</v>
      </c>
      <c r="L410">
        <f>IFERROR(VLOOKUP($A410,koronahun!$A:$AM,12,FALSE),"")</f>
        <v>123647</v>
      </c>
      <c r="M410" s="13">
        <f>IFERROR(VLOOKUP($A410,koronahun!$A:$AM,13,FALSE),"")</f>
        <v>3.1517168478765914E-2</v>
      </c>
      <c r="N410" s="13">
        <f>IFERROR(VLOOKUP($A410,koronahun!$A:$AM,14,FALSE),"")</f>
        <v>0.60941130006504973</v>
      </c>
      <c r="O410">
        <f>IFERROR(VLOOKUP($A410,koronahun!$A:$AM,15,FALSE),"")</f>
        <v>25532</v>
      </c>
      <c r="P410">
        <f>IFERROR(VLOOKUP($A410,koronahun!$A:$AM,16,FALSE),"")</f>
        <v>8223</v>
      </c>
      <c r="Q410" s="13">
        <f>IFERROR(VLOOKUP($A410,koronahun!$A:$AM,17,FALSE),"")</f>
        <v>8.4640642101422844E-2</v>
      </c>
      <c r="R410">
        <f>IFERROR(VLOOKUP($A410,koronahun!$A:$AM,18,FALSE),"")</f>
        <v>128</v>
      </c>
      <c r="S410">
        <f>IFERROR(VLOOKUP($A410,koronahun!$A:$AM,19,FALSE),"")</f>
        <v>5880</v>
      </c>
      <c r="T410">
        <f>IFERROR(VLOOKUP($A410,koronahun!$A:$AM,20,FALSE),"")</f>
        <v>5005</v>
      </c>
      <c r="U410">
        <f>IFERROR(VLOOKUP($A410,koronahun!$A:$AM,21,FALSE),"")</f>
        <v>356</v>
      </c>
      <c r="V410" s="13">
        <f>IFERROR(VLOOKUP($A410,koronahun!$A:$AM,22,FALSE),"")</f>
        <v>0.35907153145618437</v>
      </c>
      <c r="W410">
        <f>IFERROR(VLOOKUP($A410,koronahun!$A:$AM,23,FALSE),"")</f>
        <v>-60</v>
      </c>
      <c r="X410">
        <f>IFERROR(VLOOKUP($A410,koronahun!$A:$AM,24,FALSE),"")</f>
        <v>-11</v>
      </c>
      <c r="Y410" s="14">
        <f>IFERROR(VLOOKUP($A410,koronahun!$A:$AM,25,FALSE),"")</f>
        <v>4.0478135336886462E-2</v>
      </c>
      <c r="Z410" s="14">
        <f>IFERROR(VLOOKUP($A410,koronahun!$A:$AM,26,FALSE),"")</f>
        <v>7.1128871128871132E-2</v>
      </c>
      <c r="AA410" s="14">
        <f>IFERROR(VLOOKUP($A410,koronahun!$A:$AM,27,FALSE),"")</f>
        <v>1.2041975308641975</v>
      </c>
      <c r="AB410" s="14">
        <f>IFERROR(VLOOKUP($A410,koronahun!$A:$AM,28,FALSE),"")</f>
        <v>1.1654566012511494</v>
      </c>
      <c r="AC410" s="14">
        <f>IFERROR(VLOOKUP($A410,koronahun!$A:$AM,29,FALSE),"")</f>
        <v>2090.1428571428573</v>
      </c>
      <c r="AD410" s="14">
        <f>IFERROR(VLOOKUP($A410,koronahun!$A:$AM,30,FALSE),"")</f>
        <v>110.42857142857143</v>
      </c>
      <c r="AE410" s="14">
        <f>IFERROR(VLOOKUP($A410,koronahun!$A:$AM,31,FALSE),"")</f>
        <v>18988.285714285714</v>
      </c>
      <c r="AF410" s="13">
        <f>IFERROR(VLOOKUP($A410,koronahun!$A:$AM,32,FALSE),"")</f>
        <v>0.10738423382309646</v>
      </c>
      <c r="AG410">
        <f>IFERROR(VLOOKUP($A410,koronahun!$A:$AM,33,FALSE),"")</f>
        <v>78579</v>
      </c>
      <c r="AH410">
        <f>IFERROR(VLOOKUP($A410,koronahun!$A:$AM,34,FALSE),"")</f>
        <v>7579</v>
      </c>
      <c r="AI410">
        <f>IFERROR(VLOOKUP($A410,koronahun!$A:$AM,35,FALSE),"")</f>
        <v>9082.7142857142862</v>
      </c>
      <c r="AJ410">
        <f>IFERROR(VLOOKUP($A410,koronahun!$A:$AM,36,FALSE),"")</f>
        <v>0</v>
      </c>
      <c r="AK410">
        <f>IFERROR(VLOOKUP($A410,koronahun!$A:$AM,37,FALSE),"")</f>
        <v>0</v>
      </c>
      <c r="AL410">
        <f>IFERROR(VLOOKUP($A410,koronahun!$A:$AM,38,FALSE),"")</f>
        <v>0</v>
      </c>
      <c r="AM410" s="14">
        <f>IFERROR(VLOOKUP($A410,koronahun!$A:$AM,39,FALSE),"")</f>
        <v>4753.7142857142853</v>
      </c>
      <c r="AN410" s="11">
        <f ca="1">IFERROR(__xludf.DUMMYFUNCTION("""COMPUTED_VALUE"""),44302)</f>
        <v>44302</v>
      </c>
      <c r="AO410" s="12">
        <f ca="1">IFERROR(VLOOKUP(AN410,koronahun!A:B,2,FALSE),"")</f>
        <v>742198</v>
      </c>
      <c r="AP410" s="11">
        <f t="shared" ca="1" si="2"/>
        <v>44302</v>
      </c>
      <c r="AQ410" s="11">
        <f ca="1">IFERROR(__xludf.DUMMYFUNCTION("""COMPUTED_VALUE"""),44302)</f>
        <v>44302</v>
      </c>
      <c r="AR410" s="11">
        <v>44209</v>
      </c>
      <c r="AS410" s="11">
        <f t="shared" si="3"/>
        <v>44209</v>
      </c>
      <c r="AT410" s="11">
        <f ca="1">IFERROR(__xludf.DUMMYFUNCTION("""COMPUTED_VALUE"""),44208)</f>
        <v>44208</v>
      </c>
    </row>
    <row r="411" spans="1:46" ht="13">
      <c r="A411" s="11">
        <v>44207</v>
      </c>
      <c r="B411">
        <f>IFERROR(VLOOKUP($A411,koronahun!$A:$AM,2,FALSE),"")</f>
        <v>343656</v>
      </c>
      <c r="C411">
        <f>IFERROR(VLOOKUP($A411,koronahun!$A:$AM,3,FALSE),"")</f>
        <v>1419</v>
      </c>
      <c r="D411">
        <f>IFERROR(VLOOKUP($A411,koronahun!$A:$AM,4,FALSE),"")</f>
        <v>10725</v>
      </c>
      <c r="E411">
        <f>IFERROR(VLOOKUP($A411,koronahun!$A:$AM,5,FALSE),"")</f>
        <v>203972</v>
      </c>
      <c r="F411">
        <f>IFERROR(VLOOKUP($A411,koronahun!$A:$AM,6,FALSE),"")</f>
        <v>2852591</v>
      </c>
      <c r="G411" s="12">
        <f>IFERROR(VLOOKUP($A411,koronahun!$A:$AM,7,FALSE),"")</f>
        <v>291080.71428571426</v>
      </c>
      <c r="H411">
        <f>IFERROR(VLOOKUP($A411,koronahun!$A:$AM,8,FALSE),"")</f>
        <v>0</v>
      </c>
      <c r="I411" s="13">
        <f>IFERROR(VLOOKUP($A411,koronahun!$A:$AM,9,FALSE),"")</f>
        <v>4.1462495288352805E-3</v>
      </c>
      <c r="J411" s="13">
        <f>IFERROR(VLOOKUP($A411,koronahun!$A:$AM,10,FALSE),"")</f>
        <v>0.12047152921677171</v>
      </c>
      <c r="K411" s="13">
        <f>IFERROR(VLOOKUP($A411,koronahun!$A:$AM,11,FALSE),"")</f>
        <v>4.4249626059498087E-3</v>
      </c>
      <c r="L411">
        <f>IFERROR(VLOOKUP($A411,koronahun!$A:$AM,12,FALSE),"")</f>
        <v>128959</v>
      </c>
      <c r="M411" s="13">
        <f>IFERROR(VLOOKUP($A411,koronahun!$A:$AM,13,FALSE),"")</f>
        <v>3.1208534115510861E-2</v>
      </c>
      <c r="N411" s="13">
        <f>IFERROR(VLOOKUP($A411,koronahun!$A:$AM,14,FALSE),"")</f>
        <v>0.59353539586097726</v>
      </c>
      <c r="O411">
        <f>IFERROR(VLOOKUP($A411,koronahun!$A:$AM,15,FALSE),"")</f>
        <v>21979</v>
      </c>
      <c r="P411">
        <f>IFERROR(VLOOKUP($A411,koronahun!$A:$AM,16,FALSE),"")</f>
        <v>12567</v>
      </c>
      <c r="Q411" s="13">
        <f>IFERROR(VLOOKUP($A411,koronahun!$A:$AM,17,FALSE),"")</f>
        <v>0.11291477679637145</v>
      </c>
      <c r="R411">
        <f>IFERROR(VLOOKUP($A411,koronahun!$A:$AM,18,FALSE),"")</f>
        <v>77</v>
      </c>
      <c r="S411">
        <f>IFERROR(VLOOKUP($A411,koronahun!$A:$AM,19,FALSE),"")</f>
        <v>6036</v>
      </c>
      <c r="T411">
        <f>IFERROR(VLOOKUP($A411,koronahun!$A:$AM,20,FALSE),"")</f>
        <v>5065</v>
      </c>
      <c r="U411">
        <f>IFERROR(VLOOKUP($A411,koronahun!$A:$AM,21,FALSE),"")</f>
        <v>367</v>
      </c>
      <c r="V411" s="13">
        <f>IFERROR(VLOOKUP($A411,koronahun!$A:$AM,22,FALSE),"")</f>
        <v>0.37525607002351186</v>
      </c>
      <c r="W411">
        <f>IFERROR(VLOOKUP($A411,koronahun!$A:$AM,23,FALSE),"")</f>
        <v>85</v>
      </c>
      <c r="X411">
        <f>IFERROR(VLOOKUP($A411,koronahun!$A:$AM,24,FALSE),"")</f>
        <v>10</v>
      </c>
      <c r="Y411" s="14">
        <f>IFERROR(VLOOKUP($A411,koronahun!$A:$AM,25,FALSE),"")</f>
        <v>3.9276048976806581E-2</v>
      </c>
      <c r="Z411" s="14">
        <f>IFERROR(VLOOKUP($A411,koronahun!$A:$AM,26,FALSE),"")</f>
        <v>7.2458045409674238E-2</v>
      </c>
      <c r="AA411" s="14">
        <f>IFERROR(VLOOKUP($A411,koronahun!$A:$AM,27,FALSE),"")</f>
        <v>1.2153176818256444</v>
      </c>
      <c r="AB411" s="14">
        <f>IFERROR(VLOOKUP($A411,koronahun!$A:$AM,28,FALSE),"")</f>
        <v>1.1483613724441768</v>
      </c>
      <c r="AC411" s="14">
        <f>IFERROR(VLOOKUP($A411,koronahun!$A:$AM,29,FALSE),"")</f>
        <v>2115</v>
      </c>
      <c r="AD411" s="14">
        <f>IFERROR(VLOOKUP($A411,koronahun!$A:$AM,30,FALSE),"")</f>
        <v>106.85714285714286</v>
      </c>
      <c r="AE411" s="14">
        <f>IFERROR(VLOOKUP($A411,koronahun!$A:$AM,31,FALSE),"")</f>
        <v>18745.142857142859</v>
      </c>
      <c r="AF411" s="13">
        <f>IFERROR(VLOOKUP($A411,koronahun!$A:$AM,32,FALSE),"")</f>
        <v>0.11435201643436602</v>
      </c>
      <c r="AG411">
        <f>IFERROR(VLOOKUP($A411,koronahun!$A:$AM,33,FALSE),"")</f>
        <v>71000</v>
      </c>
      <c r="AH411">
        <f>IFERROR(VLOOKUP($A411,koronahun!$A:$AM,34,FALSE),"")</f>
        <v>9484</v>
      </c>
      <c r="AI411">
        <f>IFERROR(VLOOKUP($A411,koronahun!$A:$AM,35,FALSE),"")</f>
        <v>8428.5714285714294</v>
      </c>
      <c r="AJ411">
        <f>IFERROR(VLOOKUP($A411,koronahun!$A:$AM,36,FALSE),"")</f>
        <v>0</v>
      </c>
      <c r="AK411">
        <f>IFERROR(VLOOKUP($A411,koronahun!$A:$AM,37,FALSE),"")</f>
        <v>0</v>
      </c>
      <c r="AL411">
        <f>IFERROR(VLOOKUP($A411,koronahun!$A:$AM,38,FALSE),"")</f>
        <v>0</v>
      </c>
      <c r="AM411" s="14">
        <f>IFERROR(VLOOKUP($A411,koronahun!$A:$AM,39,FALSE),"")</f>
        <v>4271.7142857142853</v>
      </c>
      <c r="AN411" s="11">
        <f ca="1">IFERROR(__xludf.DUMMYFUNCTION("""COMPUTED_VALUE"""),44303)</f>
        <v>44303</v>
      </c>
      <c r="AO411" s="12">
        <f ca="1">IFERROR(VLOOKUP(AN411,koronahun!A:B,2,FALSE),"")</f>
        <v>746802</v>
      </c>
      <c r="AP411" s="11">
        <f t="shared" ca="1" si="2"/>
        <v>44303</v>
      </c>
      <c r="AQ411" s="11">
        <f ca="1">IFERROR(__xludf.DUMMYFUNCTION("""COMPUTED_VALUE"""),44303)</f>
        <v>44303</v>
      </c>
      <c r="AR411" s="11">
        <v>44208</v>
      </c>
      <c r="AS411" s="11">
        <f t="shared" si="3"/>
        <v>44208</v>
      </c>
      <c r="AT411" s="11">
        <f ca="1">IFERROR(__xludf.DUMMYFUNCTION("""COMPUTED_VALUE"""),44207)</f>
        <v>44207</v>
      </c>
    </row>
    <row r="412" spans="1:46" ht="13">
      <c r="A412" s="11">
        <v>44206</v>
      </c>
      <c r="B412">
        <f>IFERROR(VLOOKUP($A412,koronahun!$A:$AM,2,FALSE),"")</f>
        <v>342237</v>
      </c>
      <c r="C412">
        <f>IFERROR(VLOOKUP($A412,koronahun!$A:$AM,3,FALSE),"")</f>
        <v>1778</v>
      </c>
      <c r="D412">
        <f>IFERROR(VLOOKUP($A412,koronahun!$A:$AM,4,FALSE),"")</f>
        <v>10648</v>
      </c>
      <c r="E412">
        <f>IFERROR(VLOOKUP($A412,koronahun!$A:$AM,5,FALSE),"")</f>
        <v>197936</v>
      </c>
      <c r="F412">
        <f>IFERROR(VLOOKUP($A412,koronahun!$A:$AM,6,FALSE),"")</f>
        <v>2840024</v>
      </c>
      <c r="G412" s="12">
        <f>IFERROR(VLOOKUP($A412,koronahun!$A:$AM,7,FALSE),"")</f>
        <v>289798.36734693876</v>
      </c>
      <c r="H412">
        <f>IFERROR(VLOOKUP($A412,koronahun!$A:$AM,8,FALSE),"")</f>
        <v>0</v>
      </c>
      <c r="I412" s="13">
        <f>IFERROR(VLOOKUP($A412,koronahun!$A:$AM,9,FALSE),"")</f>
        <v>5.2223615765775028E-3</v>
      </c>
      <c r="J412" s="13">
        <f>IFERROR(VLOOKUP($A412,koronahun!$A:$AM,10,FALSE),"")</f>
        <v>0.12050496756365439</v>
      </c>
      <c r="K412" s="13">
        <f>IFERROR(VLOOKUP($A412,koronahun!$A:$AM,11,FALSE),"")</f>
        <v>6.8286512651545934E-3</v>
      </c>
      <c r="L412">
        <f>IFERROR(VLOOKUP($A412,koronahun!$A:$AM,12,FALSE),"")</f>
        <v>133653</v>
      </c>
      <c r="M412" s="13">
        <f>IFERROR(VLOOKUP($A412,koronahun!$A:$AM,13,FALSE),"")</f>
        <v>3.1112942200872493E-2</v>
      </c>
      <c r="N412" s="13">
        <f>IFERROR(VLOOKUP($A412,koronahun!$A:$AM,14,FALSE),"")</f>
        <v>0.57835944097219183</v>
      </c>
      <c r="O412">
        <f>IFERROR(VLOOKUP($A412,koronahun!$A:$AM,15,FALSE),"")</f>
        <v>22962</v>
      </c>
      <c r="P412">
        <f>IFERROR(VLOOKUP($A412,koronahun!$A:$AM,16,FALSE),"")</f>
        <v>19262</v>
      </c>
      <c r="Q412" s="13">
        <f>IFERROR(VLOOKUP($A412,koronahun!$A:$AM,17,FALSE),"")</f>
        <v>9.2306094901879354E-2</v>
      </c>
      <c r="R412">
        <f>IFERROR(VLOOKUP($A412,koronahun!$A:$AM,18,FALSE),"")</f>
        <v>94</v>
      </c>
      <c r="S412">
        <f>IFERROR(VLOOKUP($A412,koronahun!$A:$AM,19,FALSE),"")</f>
        <v>4764</v>
      </c>
      <c r="T412">
        <f>IFERROR(VLOOKUP($A412,koronahun!$A:$AM,20,FALSE),"")</f>
        <v>4980</v>
      </c>
      <c r="U412">
        <f>IFERROR(VLOOKUP($A412,koronahun!$A:$AM,21,FALSE),"")</f>
        <v>357</v>
      </c>
      <c r="V412" s="13">
        <f>IFERROR(VLOOKUP($A412,koronahun!$A:$AM,22,FALSE),"")</f>
        <v>0.39052761682693571</v>
      </c>
      <c r="W412">
        <f>IFERROR(VLOOKUP($A412,koronahun!$A:$AM,23,FALSE),"")</f>
        <v>-146</v>
      </c>
      <c r="X412">
        <f>IFERROR(VLOOKUP($A412,koronahun!$A:$AM,24,FALSE),"")</f>
        <v>-8</v>
      </c>
      <c r="Y412" s="14">
        <f>IFERROR(VLOOKUP($A412,koronahun!$A:$AM,25,FALSE),"")</f>
        <v>3.7260667549549951E-2</v>
      </c>
      <c r="Z412" s="14">
        <f>IFERROR(VLOOKUP($A412,koronahun!$A:$AM,26,FALSE),"")</f>
        <v>7.1686746987951813E-2</v>
      </c>
      <c r="AA412" s="14">
        <f>IFERROR(VLOOKUP($A412,koronahun!$A:$AM,27,FALSE),"")</f>
        <v>1.1932970255550901</v>
      </c>
      <c r="AB412" s="14">
        <f>IFERROR(VLOOKUP($A412,koronahun!$A:$AM,28,FALSE),"")</f>
        <v>1.1255622844991193</v>
      </c>
      <c r="AC412" s="14">
        <f>IFERROR(VLOOKUP($A412,koronahun!$A:$AM,29,FALSE),"")</f>
        <v>2034.5714285714287</v>
      </c>
      <c r="AD412" s="14">
        <f>IFERROR(VLOOKUP($A412,koronahun!$A:$AM,30,FALSE),"")</f>
        <v>109.14285714285714</v>
      </c>
      <c r="AE412" s="14">
        <f>IFERROR(VLOOKUP($A412,koronahun!$A:$AM,31,FALSE),"")</f>
        <v>18196.571428571428</v>
      </c>
      <c r="AF412" s="13">
        <f>IFERROR(VLOOKUP($A412,koronahun!$A:$AM,32,FALSE),"")</f>
        <v>0.11223367668249688</v>
      </c>
      <c r="AG412">
        <f>IFERROR(VLOOKUP($A412,koronahun!$A:$AM,33,FALSE),"")</f>
        <v>61516</v>
      </c>
      <c r="AH412">
        <f>IFERROR(VLOOKUP($A412,koronahun!$A:$AM,34,FALSE),"")</f>
        <v>9484</v>
      </c>
      <c r="AI412">
        <f>IFERROR(VLOOKUP($A412,koronahun!$A:$AM,35,FALSE),"")</f>
        <v>7319.8571428571431</v>
      </c>
      <c r="AJ412">
        <f>IFERROR(VLOOKUP($A412,koronahun!$A:$AM,36,FALSE),"")</f>
        <v>0</v>
      </c>
      <c r="AK412">
        <f>IFERROR(VLOOKUP($A412,koronahun!$A:$AM,37,FALSE),"")</f>
        <v>0</v>
      </c>
      <c r="AL412">
        <f>IFERROR(VLOOKUP($A412,koronahun!$A:$AM,38,FALSE),"")</f>
        <v>0</v>
      </c>
      <c r="AM412" s="14">
        <f>IFERROR(VLOOKUP($A412,koronahun!$A:$AM,39,FALSE),"")</f>
        <v>4222.1428571428569</v>
      </c>
      <c r="AN412" s="11">
        <f ca="1">IFERROR(__xludf.DUMMYFUNCTION("""COMPUTED_VALUE"""),44304)</f>
        <v>44304</v>
      </c>
      <c r="AO412" s="12">
        <f ca="1">IFERROR(VLOOKUP(AN412,koronahun!A:B,2,FALSE),"")</f>
        <v>750508</v>
      </c>
      <c r="AP412" s="11">
        <f t="shared" ca="1" si="2"/>
        <v>44304</v>
      </c>
      <c r="AQ412" s="11">
        <f ca="1">IFERROR(__xludf.DUMMYFUNCTION("""COMPUTED_VALUE"""),44304)</f>
        <v>44304</v>
      </c>
      <c r="AR412" s="11">
        <v>44207</v>
      </c>
      <c r="AS412" s="11">
        <f t="shared" si="3"/>
        <v>44207</v>
      </c>
      <c r="AT412" s="11">
        <f ca="1">IFERROR(__xludf.DUMMYFUNCTION("""COMPUTED_VALUE"""),44206)</f>
        <v>44206</v>
      </c>
    </row>
    <row r="413" spans="1:46" ht="13">
      <c r="A413" s="11">
        <v>44205</v>
      </c>
      <c r="B413">
        <f>IFERROR(VLOOKUP($A413,koronahun!$A:$AM,2,FALSE),"")</f>
        <v>340459</v>
      </c>
      <c r="C413">
        <f>IFERROR(VLOOKUP($A413,koronahun!$A:$AM,3,FALSE),"")</f>
        <v>2716</v>
      </c>
      <c r="D413">
        <f>IFERROR(VLOOKUP($A413,koronahun!$A:$AM,4,FALSE),"")</f>
        <v>10554</v>
      </c>
      <c r="E413">
        <f>IFERROR(VLOOKUP($A413,koronahun!$A:$AM,5,FALSE),"")</f>
        <v>193172</v>
      </c>
      <c r="F413">
        <f>IFERROR(VLOOKUP($A413,koronahun!$A:$AM,6,FALSE),"")</f>
        <v>2820762</v>
      </c>
      <c r="G413" s="12">
        <f>IFERROR(VLOOKUP($A413,koronahun!$A:$AM,7,FALSE),"")</f>
        <v>287832.8571428571</v>
      </c>
      <c r="H413">
        <f>IFERROR(VLOOKUP($A413,koronahun!$A:$AM,8,FALSE),"")</f>
        <v>0</v>
      </c>
      <c r="I413" s="13">
        <f>IFERROR(VLOOKUP($A413,koronahun!$A:$AM,9,FALSE),"")</f>
        <v>8.0416174428485556E-3</v>
      </c>
      <c r="J413" s="13">
        <f>IFERROR(VLOOKUP($A413,koronahun!$A:$AM,10,FALSE),"")</f>
        <v>0.12069752783113216</v>
      </c>
      <c r="K413" s="13">
        <f>IFERROR(VLOOKUP($A413,koronahun!$A:$AM,11,FALSE),"")</f>
        <v>7.7968830331779293E-3</v>
      </c>
      <c r="L413">
        <f>IFERROR(VLOOKUP($A413,koronahun!$A:$AM,12,FALSE),"")</f>
        <v>136733</v>
      </c>
      <c r="M413" s="13">
        <f>IFERROR(VLOOKUP($A413,koronahun!$A:$AM,13,FALSE),"")</f>
        <v>3.0999327378627088E-2</v>
      </c>
      <c r="N413" s="13">
        <f>IFERROR(VLOOKUP($A413,koronahun!$A:$AM,14,FALSE),"")</f>
        <v>0.56738696876863293</v>
      </c>
      <c r="O413">
        <f>IFERROR(VLOOKUP($A413,koronahun!$A:$AM,15,FALSE),"")</f>
        <v>23281</v>
      </c>
      <c r="P413">
        <f>IFERROR(VLOOKUP($A413,koronahun!$A:$AM,16,FALSE),"")</f>
        <v>21823</v>
      </c>
      <c r="Q413" s="13">
        <f>IFERROR(VLOOKUP($A413,koronahun!$A:$AM,17,FALSE),"")</f>
        <v>0.12445584933327224</v>
      </c>
      <c r="R413">
        <f>IFERROR(VLOOKUP($A413,koronahun!$A:$AM,18,FALSE),"")</f>
        <v>114</v>
      </c>
      <c r="S413">
        <f>IFERROR(VLOOKUP($A413,koronahun!$A:$AM,19,FALSE),"")</f>
        <v>6723</v>
      </c>
      <c r="T413">
        <f>IFERROR(VLOOKUP($A413,koronahun!$A:$AM,20,FALSE),"")</f>
        <v>5126</v>
      </c>
      <c r="U413">
        <f>IFERROR(VLOOKUP($A413,koronahun!$A:$AM,21,FALSE),"")</f>
        <v>365</v>
      </c>
      <c r="V413" s="13">
        <f>IFERROR(VLOOKUP($A413,koronahun!$A:$AM,22,FALSE),"")</f>
        <v>0.40161370385273998</v>
      </c>
      <c r="W413">
        <f>IFERROR(VLOOKUP($A413,koronahun!$A:$AM,23,FALSE),"")</f>
        <v>-171</v>
      </c>
      <c r="X413">
        <f>IFERROR(VLOOKUP($A413,koronahun!$A:$AM,24,FALSE),"")</f>
        <v>-7</v>
      </c>
      <c r="Y413" s="14">
        <f>IFERROR(VLOOKUP($A413,koronahun!$A:$AM,25,FALSE),"")</f>
        <v>3.7489121133888671E-2</v>
      </c>
      <c r="Z413" s="14">
        <f>IFERROR(VLOOKUP($A413,koronahun!$A:$AM,26,FALSE),"")</f>
        <v>7.1205618415918839E-2</v>
      </c>
      <c r="AA413" s="14">
        <f>IFERROR(VLOOKUP($A413,koronahun!$A:$AM,27,FALSE),"")</f>
        <v>1.2158749779268938</v>
      </c>
      <c r="AB413" s="14">
        <f>IFERROR(VLOOKUP($A413,koronahun!$A:$AM,28,FALSE),"")</f>
        <v>1.0855327160867061</v>
      </c>
      <c r="AC413" s="14">
        <f>IFERROR(VLOOKUP($A413,koronahun!$A:$AM,29,FALSE),"")</f>
        <v>1967.2857142857142</v>
      </c>
      <c r="AD413" s="14">
        <f>IFERROR(VLOOKUP($A413,koronahun!$A:$AM,30,FALSE),"")</f>
        <v>110.42857142857143</v>
      </c>
      <c r="AE413" s="14">
        <f>IFERROR(VLOOKUP($A413,koronahun!$A:$AM,31,FALSE),"")</f>
        <v>16296.285714285714</v>
      </c>
      <c r="AF413" s="13">
        <f>IFERROR(VLOOKUP($A413,koronahun!$A:$AM,32,FALSE),"")</f>
        <v>0.13037499198414598</v>
      </c>
      <c r="AG413">
        <f>IFERROR(VLOOKUP($A413,koronahun!$A:$AM,33,FALSE),"")</f>
        <v>52032</v>
      </c>
      <c r="AH413">
        <f>IFERROR(VLOOKUP($A413,koronahun!$A:$AM,34,FALSE),"")</f>
        <v>9483</v>
      </c>
      <c r="AI413">
        <f>IFERROR(VLOOKUP($A413,koronahun!$A:$AM,35,FALSE),"")</f>
        <v>6211.1428571428569</v>
      </c>
      <c r="AJ413">
        <f>IFERROR(VLOOKUP($A413,koronahun!$A:$AM,36,FALSE),"")</f>
        <v>0</v>
      </c>
      <c r="AK413">
        <f>IFERROR(VLOOKUP($A413,koronahun!$A:$AM,37,FALSE),"")</f>
        <v>0</v>
      </c>
      <c r="AL413">
        <f>IFERROR(VLOOKUP($A413,koronahun!$A:$AM,38,FALSE),"")</f>
        <v>0</v>
      </c>
      <c r="AM413" s="14">
        <f>IFERROR(VLOOKUP($A413,koronahun!$A:$AM,39,FALSE),"")</f>
        <v>4252.7142857142853</v>
      </c>
      <c r="AN413" s="11">
        <f ca="1">IFERROR(__xludf.DUMMYFUNCTION("""COMPUTED_VALUE"""),44305)</f>
        <v>44305</v>
      </c>
      <c r="AO413" s="12">
        <f ca="1">IFERROR(VLOOKUP(AN413,koronahun!A:B,2,FALSE),"")</f>
        <v>753188</v>
      </c>
      <c r="AP413" s="11">
        <f t="shared" ca="1" si="2"/>
        <v>44305</v>
      </c>
      <c r="AQ413" s="11">
        <f ca="1">IFERROR(__xludf.DUMMYFUNCTION("""COMPUTED_VALUE"""),44305)</f>
        <v>44305</v>
      </c>
      <c r="AR413" s="11">
        <v>44206</v>
      </c>
      <c r="AS413" s="11">
        <f t="shared" si="3"/>
        <v>44206</v>
      </c>
      <c r="AT413" s="11">
        <f ca="1">IFERROR(__xludf.DUMMYFUNCTION("""COMPUTED_VALUE"""),44205)</f>
        <v>44205</v>
      </c>
    </row>
    <row r="414" spans="1:46" ht="13">
      <c r="A414" s="11">
        <v>44204</v>
      </c>
      <c r="B414">
        <f>IFERROR(VLOOKUP($A414,koronahun!$A:$AM,2,FALSE),"")</f>
        <v>337743</v>
      </c>
      <c r="C414">
        <f>IFERROR(VLOOKUP($A414,koronahun!$A:$AM,3,FALSE),"")</f>
        <v>2907</v>
      </c>
      <c r="D414">
        <f>IFERROR(VLOOKUP($A414,koronahun!$A:$AM,4,FALSE),"")</f>
        <v>10440</v>
      </c>
      <c r="E414">
        <f>IFERROR(VLOOKUP($A414,koronahun!$A:$AM,5,FALSE),"")</f>
        <v>186449</v>
      </c>
      <c r="F414">
        <f>IFERROR(VLOOKUP($A414,koronahun!$A:$AM,6,FALSE),"")</f>
        <v>2798939</v>
      </c>
      <c r="G414" s="12">
        <f>IFERROR(VLOOKUP($A414,koronahun!$A:$AM,7,FALSE),"")</f>
        <v>285606.02040816325</v>
      </c>
      <c r="H414">
        <f>IFERROR(VLOOKUP($A414,koronahun!$A:$AM,8,FALSE),"")</f>
        <v>0</v>
      </c>
      <c r="I414" s="13">
        <f>IFERROR(VLOOKUP($A414,koronahun!$A:$AM,9,FALSE),"")</f>
        <v>8.6818621653585639E-3</v>
      </c>
      <c r="J414" s="13">
        <f>IFERROR(VLOOKUP($A414,koronahun!$A:$AM,10,FALSE),"")</f>
        <v>0.1206682246379789</v>
      </c>
      <c r="K414" s="13">
        <f>IFERROR(VLOOKUP($A414,koronahun!$A:$AM,11,FALSE),"")</f>
        <v>8.6575624838959031E-3</v>
      </c>
      <c r="L414">
        <f>IFERROR(VLOOKUP($A414,koronahun!$A:$AM,12,FALSE),"")</f>
        <v>140854</v>
      </c>
      <c r="M414" s="13">
        <f>IFERROR(VLOOKUP($A414,koronahun!$A:$AM,13,FALSE),"")</f>
        <v>3.0911077357635836E-2</v>
      </c>
      <c r="N414" s="13">
        <f>IFERROR(VLOOKUP($A414,koronahun!$A:$AM,14,FALSE),"")</f>
        <v>0.55204400979442947</v>
      </c>
      <c r="O414">
        <f>IFERROR(VLOOKUP($A414,koronahun!$A:$AM,15,FALSE),"")</f>
        <v>20865</v>
      </c>
      <c r="P414">
        <f>IFERROR(VLOOKUP($A414,koronahun!$A:$AM,16,FALSE),"")</f>
        <v>24024</v>
      </c>
      <c r="Q414" s="13">
        <f>IFERROR(VLOOKUP($A414,koronahun!$A:$AM,17,FALSE),"")</f>
        <v>0.121003996003996</v>
      </c>
      <c r="R414">
        <f>IFERROR(VLOOKUP($A414,koronahun!$A:$AM,18,FALSE),"")</f>
        <v>115</v>
      </c>
      <c r="S414">
        <f>IFERROR(VLOOKUP($A414,koronahun!$A:$AM,19,FALSE),"")</f>
        <v>3454</v>
      </c>
      <c r="T414">
        <f>IFERROR(VLOOKUP($A414,koronahun!$A:$AM,20,FALSE),"")</f>
        <v>5297</v>
      </c>
      <c r="U414">
        <f>IFERROR(VLOOKUP($A414,koronahun!$A:$AM,21,FALSE),"")</f>
        <v>372</v>
      </c>
      <c r="V414" s="13">
        <f>IFERROR(VLOOKUP($A414,koronahun!$A:$AM,22,FALSE),"")</f>
        <v>0.41704491284793466</v>
      </c>
      <c r="W414">
        <f>IFERROR(VLOOKUP($A414,koronahun!$A:$AM,23,FALSE),"")</f>
        <v>-90</v>
      </c>
      <c r="X414">
        <f>IFERROR(VLOOKUP($A414,koronahun!$A:$AM,24,FALSE),"")</f>
        <v>5</v>
      </c>
      <c r="Y414" s="14">
        <f>IFERROR(VLOOKUP($A414,koronahun!$A:$AM,25,FALSE),"")</f>
        <v>3.7606315759580844E-2</v>
      </c>
      <c r="Z414" s="14">
        <f>IFERROR(VLOOKUP($A414,koronahun!$A:$AM,26,FALSE),"")</f>
        <v>7.0228431187464607E-2</v>
      </c>
      <c r="AA414" s="14">
        <f>IFERROR(VLOOKUP($A414,koronahun!$A:$AM,27,FALSE),"")</f>
        <v>1.1215583948173475</v>
      </c>
      <c r="AB414" s="14">
        <f>IFERROR(VLOOKUP($A414,koronahun!$A:$AM,28,FALSE),"")</f>
        <v>1.0173121707207298</v>
      </c>
      <c r="AC414" s="14">
        <f>IFERROR(VLOOKUP($A414,koronahun!$A:$AM,29,FALSE),"")</f>
        <v>1780.7142857142858</v>
      </c>
      <c r="AD414" s="14">
        <f>IFERROR(VLOOKUP($A414,koronahun!$A:$AM,30,FALSE),"")</f>
        <v>110.42857142857143</v>
      </c>
      <c r="AE414" s="14">
        <f>IFERROR(VLOOKUP($A414,koronahun!$A:$AM,31,FALSE),"")</f>
        <v>14706.857142857143</v>
      </c>
      <c r="AF414" s="13">
        <f>IFERROR(VLOOKUP($A414,koronahun!$A:$AM,32,FALSE),"")</f>
        <v>0.13142596461575146</v>
      </c>
      <c r="AG414">
        <f>IFERROR(VLOOKUP($A414,koronahun!$A:$AM,33,FALSE),"")</f>
        <v>42549</v>
      </c>
      <c r="AH414">
        <f>IFERROR(VLOOKUP($A414,koronahun!$A:$AM,34,FALSE),"")</f>
        <v>11049</v>
      </c>
      <c r="AI414">
        <f>IFERROR(VLOOKUP($A414,koronahun!$A:$AM,35,FALSE),"")</f>
        <v>5102.4285714285716</v>
      </c>
      <c r="AJ414">
        <f>IFERROR(VLOOKUP($A414,koronahun!$A:$AM,36,FALSE),"")</f>
        <v>0</v>
      </c>
      <c r="AK414">
        <f>IFERROR(VLOOKUP($A414,koronahun!$A:$AM,37,FALSE),"")</f>
        <v>0</v>
      </c>
      <c r="AL414">
        <f>IFERROR(VLOOKUP($A414,koronahun!$A:$AM,38,FALSE),"")</f>
        <v>0</v>
      </c>
      <c r="AM414" s="14">
        <f>IFERROR(VLOOKUP($A414,koronahun!$A:$AM,39,FALSE),"")</f>
        <v>4198</v>
      </c>
      <c r="AN414" s="11">
        <f ca="1">IFERROR(__xludf.DUMMYFUNCTION("""COMPUTED_VALUE"""),44306)</f>
        <v>44306</v>
      </c>
      <c r="AO414" s="12">
        <f ca="1">IFERROR(VLOOKUP(AN414,koronahun!A:B,2,FALSE),"")</f>
        <v>754833</v>
      </c>
      <c r="AP414" s="11">
        <f t="shared" ca="1" si="2"/>
        <v>44306</v>
      </c>
      <c r="AQ414" s="11">
        <f ca="1">IFERROR(__xludf.DUMMYFUNCTION("""COMPUTED_VALUE"""),44306)</f>
        <v>44306</v>
      </c>
      <c r="AR414" s="11">
        <v>44205</v>
      </c>
      <c r="AS414" s="11">
        <f t="shared" si="3"/>
        <v>44205</v>
      </c>
      <c r="AT414" s="11">
        <f ca="1">IFERROR(__xludf.DUMMYFUNCTION("""COMPUTED_VALUE"""),44204)</f>
        <v>44204</v>
      </c>
    </row>
    <row r="415" spans="1:46" ht="13">
      <c r="A415" s="11">
        <v>44203</v>
      </c>
      <c r="B415">
        <f>IFERROR(VLOOKUP($A415,koronahun!$A:$AM,2,FALSE),"")</f>
        <v>334836</v>
      </c>
      <c r="C415">
        <f>IFERROR(VLOOKUP($A415,koronahun!$A:$AM,3,FALSE),"")</f>
        <v>3068</v>
      </c>
      <c r="D415">
        <f>IFERROR(VLOOKUP($A415,koronahun!$A:$AM,4,FALSE),"")</f>
        <v>10325</v>
      </c>
      <c r="E415">
        <f>IFERROR(VLOOKUP($A415,koronahun!$A:$AM,5,FALSE),"")</f>
        <v>179541</v>
      </c>
      <c r="F415">
        <f>IFERROR(VLOOKUP($A415,koronahun!$A:$AM,6,FALSE),"")</f>
        <v>2774915</v>
      </c>
      <c r="G415" s="12">
        <f>IFERROR(VLOOKUP($A415,koronahun!$A:$AM,7,FALSE),"")</f>
        <v>283154.59183673467</v>
      </c>
      <c r="H415">
        <f>IFERROR(VLOOKUP($A415,koronahun!$A:$AM,8,FALSE),"")</f>
        <v>0</v>
      </c>
      <c r="I415" s="13">
        <f>IFERROR(VLOOKUP($A415,koronahun!$A:$AM,9,FALSE),"")</f>
        <v>9.2474259120831417E-3</v>
      </c>
      <c r="J415" s="13">
        <f>IFERROR(VLOOKUP($A415,koronahun!$A:$AM,10,FALSE),"")</f>
        <v>0.12066531767639729</v>
      </c>
      <c r="K415" s="13">
        <f>IFERROR(VLOOKUP($A415,koronahun!$A:$AM,11,FALSE),"")</f>
        <v>8.8307202908429906E-3</v>
      </c>
      <c r="L415">
        <f>IFERROR(VLOOKUP($A415,koronahun!$A:$AM,12,FALSE),"")</f>
        <v>144970</v>
      </c>
      <c r="M415" s="13">
        <f>IFERROR(VLOOKUP($A415,koronahun!$A:$AM,13,FALSE),"")</f>
        <v>3.0835991350989737E-2</v>
      </c>
      <c r="N415" s="13">
        <f>IFERROR(VLOOKUP($A415,koronahun!$A:$AM,14,FALSE),"")</f>
        <v>0.53620578432426624</v>
      </c>
      <c r="O415">
        <f>IFERROR(VLOOKUP($A415,koronahun!$A:$AM,15,FALSE),"")</f>
        <v>21627</v>
      </c>
      <c r="P415">
        <f>IFERROR(VLOOKUP($A415,koronahun!$A:$AM,16,FALSE),"")</f>
        <v>24290</v>
      </c>
      <c r="Q415" s="13">
        <f>IFERROR(VLOOKUP($A415,koronahun!$A:$AM,17,FALSE),"")</f>
        <v>0.12630712227254015</v>
      </c>
      <c r="R415">
        <f>IFERROR(VLOOKUP($A415,koronahun!$A:$AM,18,FALSE),"")</f>
        <v>127</v>
      </c>
      <c r="S415">
        <f>IFERROR(VLOOKUP($A415,koronahun!$A:$AM,19,FALSE),"")</f>
        <v>3454</v>
      </c>
      <c r="T415">
        <f>IFERROR(VLOOKUP($A415,koronahun!$A:$AM,20,FALSE),"")</f>
        <v>5387</v>
      </c>
      <c r="U415">
        <f>IFERROR(VLOOKUP($A415,koronahun!$A:$AM,21,FALSE),"")</f>
        <v>367</v>
      </c>
      <c r="V415" s="13">
        <f>IFERROR(VLOOKUP($A415,koronahun!$A:$AM,22,FALSE),"")</f>
        <v>0.43295822432474407</v>
      </c>
      <c r="W415">
        <f>IFERROR(VLOOKUP($A415,koronahun!$A:$AM,23,FALSE),"")</f>
        <v>-259</v>
      </c>
      <c r="X415">
        <f>IFERROR(VLOOKUP($A415,koronahun!$A:$AM,24,FALSE),"")</f>
        <v>-29</v>
      </c>
      <c r="Y415" s="14">
        <f>IFERROR(VLOOKUP($A415,koronahun!$A:$AM,25,FALSE),"")</f>
        <v>3.7159412292198386E-2</v>
      </c>
      <c r="Z415" s="14">
        <f>IFERROR(VLOOKUP($A415,koronahun!$A:$AM,26,FALSE),"")</f>
        <v>6.8126972340820491E-2</v>
      </c>
      <c r="AA415" s="14">
        <f>IFERROR(VLOOKUP($A415,koronahun!$A:$AM,27,FALSE),"")</f>
        <v>1.1242700729927007</v>
      </c>
      <c r="AB415" s="14">
        <f>IFERROR(VLOOKUP($A415,koronahun!$A:$AM,28,FALSE),"")</f>
        <v>0.94438894827343145</v>
      </c>
      <c r="AC415" s="14">
        <f>IFERROR(VLOOKUP($A415,koronahun!$A:$AM,29,FALSE),"")</f>
        <v>1760.2857142857142</v>
      </c>
      <c r="AD415" s="14">
        <f>IFERROR(VLOOKUP($A415,koronahun!$A:$AM,30,FALSE),"")</f>
        <v>112.57142857142857</v>
      </c>
      <c r="AE415" s="14">
        <f>IFERROR(VLOOKUP($A415,koronahun!$A:$AM,31,FALSE),"")</f>
        <v>13864.571428571429</v>
      </c>
      <c r="AF415" s="13">
        <f>IFERROR(VLOOKUP($A415,koronahun!$A:$AM,32,FALSE),"")</f>
        <v>0.13592129591413407</v>
      </c>
      <c r="AG415">
        <f>IFERROR(VLOOKUP($A415,koronahun!$A:$AM,33,FALSE),"")</f>
        <v>31500</v>
      </c>
      <c r="AH415">
        <f>IFERROR(VLOOKUP($A415,koronahun!$A:$AM,34,FALSE),"")</f>
        <v>10500</v>
      </c>
      <c r="AI415">
        <f>IFERROR(VLOOKUP($A415,koronahun!$A:$AM,35,FALSE),"")</f>
        <v>3770</v>
      </c>
      <c r="AJ415">
        <f>IFERROR(VLOOKUP($A415,koronahun!$A:$AM,36,FALSE),"")</f>
        <v>0</v>
      </c>
      <c r="AK415">
        <f>IFERROR(VLOOKUP($A415,koronahun!$A:$AM,37,FALSE),"")</f>
        <v>0</v>
      </c>
      <c r="AL415">
        <f>IFERROR(VLOOKUP($A415,koronahun!$A:$AM,38,FALSE),"")</f>
        <v>0</v>
      </c>
      <c r="AM415" s="14">
        <f>IFERROR(VLOOKUP($A415,koronahun!$A:$AM,39,FALSE),"")</f>
        <v>4699</v>
      </c>
      <c r="AN415" s="11">
        <f ca="1">IFERROR(__xludf.DUMMYFUNCTION("""COMPUTED_VALUE"""),44307)</f>
        <v>44307</v>
      </c>
      <c r="AO415" s="12">
        <f ca="1">IFERROR(VLOOKUP(AN415,koronahun!A:B,2,FALSE),"")</f>
        <v>757360</v>
      </c>
      <c r="AP415" s="11">
        <f t="shared" ca="1" si="2"/>
        <v>44307</v>
      </c>
      <c r="AQ415" s="11">
        <f ca="1">IFERROR(__xludf.DUMMYFUNCTION("""COMPUTED_VALUE"""),44307)</f>
        <v>44307</v>
      </c>
      <c r="AR415" s="11">
        <v>44204</v>
      </c>
      <c r="AS415" s="11">
        <f t="shared" si="3"/>
        <v>44204</v>
      </c>
      <c r="AT415" s="11">
        <f ca="1">IFERROR(__xludf.DUMMYFUNCTION("""COMPUTED_VALUE"""),44203)</f>
        <v>44203</v>
      </c>
    </row>
    <row r="416" spans="1:46" ht="13">
      <c r="A416" s="11">
        <v>44202</v>
      </c>
      <c r="B416">
        <f>IFERROR(VLOOKUP($A416,koronahun!$A:$AM,2,FALSE),"")</f>
        <v>331768</v>
      </c>
      <c r="C416">
        <f>IFERROR(VLOOKUP($A416,koronahun!$A:$AM,3,FALSE),"")</f>
        <v>2047</v>
      </c>
      <c r="D416">
        <f>IFERROR(VLOOKUP($A416,koronahun!$A:$AM,4,FALSE),"")</f>
        <v>10198</v>
      </c>
      <c r="E416">
        <f>IFERROR(VLOOKUP($A416,koronahun!$A:$AM,5,FALSE),"")</f>
        <v>179541</v>
      </c>
      <c r="F416">
        <f>IFERROR(VLOOKUP($A416,koronahun!$A:$AM,6,FALSE),"")</f>
        <v>2750625</v>
      </c>
      <c r="G416" s="12">
        <f>IFERROR(VLOOKUP($A416,koronahun!$A:$AM,7,FALSE),"")</f>
        <v>280676.02040816325</v>
      </c>
      <c r="H416">
        <f>IFERROR(VLOOKUP($A416,koronahun!$A:$AM,8,FALSE),"")</f>
        <v>0</v>
      </c>
      <c r="I416" s="13">
        <f>IFERROR(VLOOKUP($A416,koronahun!$A:$AM,9,FALSE),"")</f>
        <v>6.2082791208324618E-3</v>
      </c>
      <c r="J416" s="13">
        <f>IFERROR(VLOOKUP($A416,koronahun!$A:$AM,10,FALSE),"")</f>
        <v>0.12061549647807317</v>
      </c>
      <c r="K416" s="13">
        <f>IFERROR(VLOOKUP($A416,koronahun!$A:$AM,11,FALSE),"")</f>
        <v>8.33206251264711E-3</v>
      </c>
      <c r="L416">
        <f>IFERROR(VLOOKUP($A416,koronahun!$A:$AM,12,FALSE),"")</f>
        <v>142029</v>
      </c>
      <c r="M416" s="13">
        <f>IFERROR(VLOOKUP($A416,koronahun!$A:$AM,13,FALSE),"")</f>
        <v>3.0738347278821344E-2</v>
      </c>
      <c r="N416" s="13">
        <f>IFERROR(VLOOKUP($A416,koronahun!$A:$AM,14,FALSE),"")</f>
        <v>0.54116430758843526</v>
      </c>
      <c r="O416">
        <f>IFERROR(VLOOKUP($A416,koronahun!$A:$AM,15,FALSE),"")</f>
        <v>20657</v>
      </c>
      <c r="P416">
        <f>IFERROR(VLOOKUP($A416,koronahun!$A:$AM,16,FALSE),"")</f>
        <v>22729</v>
      </c>
      <c r="Q416" s="13">
        <f>IFERROR(VLOOKUP($A416,koronahun!$A:$AM,17,FALSE),"")</f>
        <v>9.0061155352193237E-2</v>
      </c>
      <c r="R416">
        <f>IFERROR(VLOOKUP($A416,koronahun!$A:$AM,18,FALSE),"")</f>
        <v>118</v>
      </c>
      <c r="S416">
        <f>IFERROR(VLOOKUP($A416,koronahun!$A:$AM,19,FALSE),"")</f>
        <v>2965</v>
      </c>
      <c r="T416">
        <f>IFERROR(VLOOKUP($A416,koronahun!$A:$AM,20,FALSE),"")</f>
        <v>5646</v>
      </c>
      <c r="U416">
        <f>IFERROR(VLOOKUP($A416,koronahun!$A:$AM,21,FALSE),"")</f>
        <v>396</v>
      </c>
      <c r="V416" s="13">
        <f>IFERROR(VLOOKUP($A416,koronahun!$A:$AM,22,FALSE),"")</f>
        <v>0.42809734513274339</v>
      </c>
      <c r="W416">
        <f>IFERROR(VLOOKUP($A416,koronahun!$A:$AM,23,FALSE),"")</f>
        <v>-114</v>
      </c>
      <c r="X416">
        <f>IFERROR(VLOOKUP($A416,koronahun!$A:$AM,24,FALSE),"")</f>
        <v>2</v>
      </c>
      <c r="Y416" s="14">
        <f>IFERROR(VLOOKUP($A416,koronahun!$A:$AM,25,FALSE),"")</f>
        <v>3.9752444923219908E-2</v>
      </c>
      <c r="Z416" s="14">
        <f>IFERROR(VLOOKUP($A416,koronahun!$A:$AM,26,FALSE),"")</f>
        <v>7.0138150903294366E-2</v>
      </c>
      <c r="AA416" s="14">
        <f>IFERROR(VLOOKUP($A416,koronahun!$A:$AM,27,FALSE),"")</f>
        <v>1.0836805247761723</v>
      </c>
      <c r="AB416" s="14">
        <f>IFERROR(VLOOKUP($A416,koronahun!$A:$AM,28,FALSE),"")</f>
        <v>0.86204508559467985</v>
      </c>
      <c r="AC416" s="14">
        <f>IFERROR(VLOOKUP($A416,koronahun!$A:$AM,29,FALSE),"")</f>
        <v>1746.4285714285713</v>
      </c>
      <c r="AD416" s="14">
        <f>IFERROR(VLOOKUP($A416,koronahun!$A:$AM,30,FALSE),"")</f>
        <v>109.85714285714286</v>
      </c>
      <c r="AE416" s="14">
        <f>IFERROR(VLOOKUP($A416,koronahun!$A:$AM,31,FALSE),"")</f>
        <v>12878.857142857143</v>
      </c>
      <c r="AF416" s="13">
        <f>IFERROR(VLOOKUP($A416,koronahun!$A:$AM,32,FALSE),"")</f>
        <v>0.14228389464641475</v>
      </c>
      <c r="AG416">
        <f>IFERROR(VLOOKUP($A416,koronahun!$A:$AM,33,FALSE),"")</f>
        <v>21000</v>
      </c>
      <c r="AH416">
        <f>IFERROR(VLOOKUP($A416,koronahun!$A:$AM,34,FALSE),"")</f>
        <v>6000</v>
      </c>
      <c r="AI416">
        <f>IFERROR(VLOOKUP($A416,koronahun!$A:$AM,35,FALSE),"")</f>
        <v>2458.7142857142858</v>
      </c>
      <c r="AJ416">
        <f>IFERROR(VLOOKUP($A416,koronahun!$A:$AM,36,FALSE),"")</f>
        <v>0</v>
      </c>
      <c r="AK416">
        <f>IFERROR(VLOOKUP($A416,koronahun!$A:$AM,37,FALSE),"")</f>
        <v>0</v>
      </c>
      <c r="AL416">
        <f>IFERROR(VLOOKUP($A416,koronahun!$A:$AM,38,FALSE),"")</f>
        <v>0</v>
      </c>
      <c r="AM416" s="14">
        <f>IFERROR(VLOOKUP($A416,koronahun!$A:$AM,39,FALSE),"")</f>
        <v>5043.8571428571431</v>
      </c>
      <c r="AN416" s="11">
        <f ca="1">IFERROR(__xludf.DUMMYFUNCTION("""COMPUTED_VALUE"""),44308)</f>
        <v>44308</v>
      </c>
      <c r="AO416" s="12">
        <f ca="1">IFERROR(VLOOKUP(AN416,koronahun!A:B,2,FALSE),"")</f>
        <v>760967</v>
      </c>
      <c r="AP416" s="11">
        <f t="shared" ca="1" si="2"/>
        <v>44308</v>
      </c>
      <c r="AQ416" s="11">
        <f ca="1">IFERROR(__xludf.DUMMYFUNCTION("""COMPUTED_VALUE"""),44308)</f>
        <v>44308</v>
      </c>
      <c r="AR416" s="11">
        <v>44203</v>
      </c>
      <c r="AS416" s="11">
        <f t="shared" si="3"/>
        <v>44203</v>
      </c>
      <c r="AT416" s="11">
        <f ca="1">IFERROR(__xludf.DUMMYFUNCTION("""COMPUTED_VALUE"""),44202)</f>
        <v>44202</v>
      </c>
    </row>
    <row r="417" spans="1:46" ht="13">
      <c r="A417" s="11">
        <v>44201</v>
      </c>
      <c r="B417">
        <f>IFERROR(VLOOKUP($A417,koronahun!$A:$AM,2,FALSE),"")</f>
        <v>329721</v>
      </c>
      <c r="C417">
        <f>IFERROR(VLOOKUP($A417,koronahun!$A:$AM,3,FALSE),"")</f>
        <v>870</v>
      </c>
      <c r="D417">
        <f>IFERROR(VLOOKUP($A417,koronahun!$A:$AM,4,FALSE),"")</f>
        <v>10080</v>
      </c>
      <c r="E417">
        <f>IFERROR(VLOOKUP($A417,koronahun!$A:$AM,5,FALSE),"")</f>
        <v>176576</v>
      </c>
      <c r="F417">
        <f>IFERROR(VLOOKUP($A417,koronahun!$A:$AM,6,FALSE),"")</f>
        <v>2727896</v>
      </c>
      <c r="G417" s="12">
        <f>IFERROR(VLOOKUP($A417,koronahun!$A:$AM,7,FALSE),"")</f>
        <v>278356.73469387752</v>
      </c>
      <c r="H417">
        <f>IFERROR(VLOOKUP($A417,koronahun!$A:$AM,8,FALSE),"")</f>
        <v>0</v>
      </c>
      <c r="I417" s="13">
        <f>IFERROR(VLOOKUP($A417,koronahun!$A:$AM,9,FALSE),"")</f>
        <v>2.6455750476659643E-3</v>
      </c>
      <c r="J417" s="13">
        <f>IFERROR(VLOOKUP($A417,koronahun!$A:$AM,10,FALSE),"")</f>
        <v>0.12087007715836674</v>
      </c>
      <c r="K417" s="13">
        <f>IFERROR(VLOOKUP($A417,koronahun!$A:$AM,11,FALSE),"")</f>
        <v>1.0095788724931321E-2</v>
      </c>
      <c r="L417">
        <f>IFERROR(VLOOKUP($A417,koronahun!$A:$AM,12,FALSE),"")</f>
        <v>143065</v>
      </c>
      <c r="M417" s="13">
        <f>IFERROR(VLOOKUP($A417,koronahun!$A:$AM,13,FALSE),"")</f>
        <v>3.0571301191006942E-2</v>
      </c>
      <c r="N417" s="13">
        <f>IFERROR(VLOOKUP($A417,koronahun!$A:$AM,14,FALSE),"")</f>
        <v>0.53553155546659148</v>
      </c>
      <c r="O417">
        <f>IFERROR(VLOOKUP($A417,koronahun!$A:$AM,15,FALSE),"")</f>
        <v>20272</v>
      </c>
      <c r="P417">
        <f>IFERROR(VLOOKUP($A417,koronahun!$A:$AM,16,FALSE),"")</f>
        <v>6521</v>
      </c>
      <c r="Q417" s="13">
        <f>IFERROR(VLOOKUP($A417,koronahun!$A:$AM,17,FALSE),"")</f>
        <v>0.13341512038030978</v>
      </c>
      <c r="R417">
        <f>IFERROR(VLOOKUP($A417,koronahun!$A:$AM,18,FALSE),"")</f>
        <v>103</v>
      </c>
      <c r="S417">
        <f>IFERROR(VLOOKUP($A417,koronahun!$A:$AM,19,FALSE),"")</f>
        <v>2506</v>
      </c>
      <c r="T417">
        <f>IFERROR(VLOOKUP($A417,koronahun!$A:$AM,20,FALSE),"")</f>
        <v>5760</v>
      </c>
      <c r="U417">
        <f>IFERROR(VLOOKUP($A417,koronahun!$A:$AM,21,FALSE),"")</f>
        <v>394</v>
      </c>
      <c r="V417" s="13">
        <f>IFERROR(VLOOKUP($A417,koronahun!$A:$AM,22,FALSE),"")</f>
        <v>0.43389714334240159</v>
      </c>
      <c r="W417">
        <f>IFERROR(VLOOKUP($A417,koronahun!$A:$AM,23,FALSE),"")</f>
        <v>93</v>
      </c>
      <c r="X417">
        <f>IFERROR(VLOOKUP($A417,koronahun!$A:$AM,24,FALSE),"")</f>
        <v>-6</v>
      </c>
      <c r="Y417" s="14">
        <f>IFERROR(VLOOKUP($A417,koronahun!$A:$AM,25,FALSE),"")</f>
        <v>4.0261419634431903E-2</v>
      </c>
      <c r="Z417" s="14">
        <f>IFERROR(VLOOKUP($A417,koronahun!$A:$AM,26,FALSE),"")</f>
        <v>6.8402777777777785E-2</v>
      </c>
      <c r="AA417" s="14">
        <f>IFERROR(VLOOKUP($A417,koronahun!$A:$AM,27,FALSE),"")</f>
        <v>1.0845309292153886</v>
      </c>
      <c r="AB417" s="14">
        <f>IFERROR(VLOOKUP($A417,koronahun!$A:$AM,28,FALSE),"")</f>
        <v>0.78906000645590857</v>
      </c>
      <c r="AC417" s="14">
        <f>IFERROR(VLOOKUP($A417,koronahun!$A:$AM,29,FALSE),"")</f>
        <v>1735.7142857142858</v>
      </c>
      <c r="AD417" s="14">
        <f>IFERROR(VLOOKUP($A417,koronahun!$A:$AM,30,FALSE),"")</f>
        <v>112.57142857142857</v>
      </c>
      <c r="AE417" s="14">
        <f>IFERROR(VLOOKUP($A417,koronahun!$A:$AM,31,FALSE),"")</f>
        <v>12246.428571428571</v>
      </c>
      <c r="AF417" s="13">
        <f>IFERROR(VLOOKUP($A417,koronahun!$A:$AM,32,FALSE),"")</f>
        <v>0.14481055632854284</v>
      </c>
      <c r="AG417">
        <f>IFERROR(VLOOKUP($A417,koronahun!$A:$AM,33,FALSE),"")</f>
        <v>15000</v>
      </c>
      <c r="AH417">
        <f>IFERROR(VLOOKUP($A417,koronahun!$A:$AM,34,FALSE),"")</f>
        <v>3000</v>
      </c>
      <c r="AI417">
        <f>IFERROR(VLOOKUP($A417,koronahun!$A:$AM,35,FALSE),"")</f>
        <v>1791.2857142857142</v>
      </c>
      <c r="AJ417">
        <f>IFERROR(VLOOKUP($A417,koronahun!$A:$AM,36,FALSE),"")</f>
        <v>0</v>
      </c>
      <c r="AK417">
        <f>IFERROR(VLOOKUP($A417,koronahun!$A:$AM,37,FALSE),"")</f>
        <v>0</v>
      </c>
      <c r="AL417">
        <f>IFERROR(VLOOKUP($A417,koronahun!$A:$AM,38,FALSE),"")</f>
        <v>0</v>
      </c>
      <c r="AM417" s="14">
        <f>IFERROR(VLOOKUP($A417,koronahun!$A:$AM,39,FALSE),"")</f>
        <v>5458.7142857142853</v>
      </c>
      <c r="AN417" s="11">
        <f ca="1">IFERROR(__xludf.DUMMYFUNCTION("""COMPUTED_VALUE"""),44309)</f>
        <v>44309</v>
      </c>
      <c r="AO417" s="12">
        <f ca="1">IFERROR(VLOOKUP(AN417,koronahun!A:B,2,FALSE),"")</f>
        <v>764394</v>
      </c>
      <c r="AP417" s="11">
        <f t="shared" ca="1" si="2"/>
        <v>44309</v>
      </c>
      <c r="AQ417" s="11">
        <f ca="1">IFERROR(__xludf.DUMMYFUNCTION("""COMPUTED_VALUE"""),44309)</f>
        <v>44309</v>
      </c>
      <c r="AR417" s="11">
        <v>44202</v>
      </c>
      <c r="AS417" s="11">
        <f t="shared" si="3"/>
        <v>44202</v>
      </c>
      <c r="AT417" s="11">
        <f ca="1">IFERROR(__xludf.DUMMYFUNCTION("""COMPUTED_VALUE"""),44201)</f>
        <v>44201</v>
      </c>
    </row>
    <row r="418" spans="1:46" ht="13">
      <c r="A418" s="11">
        <v>44200</v>
      </c>
      <c r="B418">
        <f>IFERROR(VLOOKUP($A418,koronahun!$A:$AM,2,FALSE),"")</f>
        <v>328851</v>
      </c>
      <c r="C418">
        <f>IFERROR(VLOOKUP($A418,koronahun!$A:$AM,3,FALSE),"")</f>
        <v>856</v>
      </c>
      <c r="D418">
        <f>IFERROR(VLOOKUP($A418,koronahun!$A:$AM,4,FALSE),"")</f>
        <v>9977</v>
      </c>
      <c r="E418">
        <f>IFERROR(VLOOKUP($A418,koronahun!$A:$AM,5,FALSE),"")</f>
        <v>174070</v>
      </c>
      <c r="F418">
        <f>IFERROR(VLOOKUP($A418,koronahun!$A:$AM,6,FALSE),"")</f>
        <v>2700631</v>
      </c>
      <c r="G418" s="12">
        <f>IFERROR(VLOOKUP($A418,koronahun!$A:$AM,7,FALSE),"")</f>
        <v>275574.59183673467</v>
      </c>
      <c r="H418">
        <f>IFERROR(VLOOKUP($A418,koronahun!$A:$AM,8,FALSE),"")</f>
        <v>0</v>
      </c>
      <c r="I418" s="13">
        <f>IFERROR(VLOOKUP($A418,koronahun!$A:$AM,9,FALSE),"")</f>
        <v>2.6097958810347719E-3</v>
      </c>
      <c r="J418" s="13">
        <f>IFERROR(VLOOKUP($A418,koronahun!$A:$AM,10,FALSE),"")</f>
        <v>0.12176820898523345</v>
      </c>
      <c r="K418" s="13">
        <f>IFERROR(VLOOKUP($A418,koronahun!$A:$AM,11,FALSE),"")</f>
        <v>3.2419432490906064E-3</v>
      </c>
      <c r="L418">
        <f>IFERROR(VLOOKUP($A418,koronahun!$A:$AM,12,FALSE),"")</f>
        <v>144804</v>
      </c>
      <c r="M418" s="13">
        <f>IFERROR(VLOOKUP($A418,koronahun!$A:$AM,13,FALSE),"")</f>
        <v>3.0338968104095775E-2</v>
      </c>
      <c r="N418" s="13">
        <f>IFERROR(VLOOKUP($A418,koronahun!$A:$AM,14,FALSE),"")</f>
        <v>0.52932787189334984</v>
      </c>
      <c r="O418">
        <f>IFERROR(VLOOKUP($A418,koronahun!$A:$AM,15,FALSE),"")</f>
        <v>18794</v>
      </c>
      <c r="P418">
        <f>IFERROR(VLOOKUP($A418,koronahun!$A:$AM,16,FALSE),"")</f>
        <v>8727</v>
      </c>
      <c r="Q418" s="13">
        <f>IFERROR(VLOOKUP($A418,koronahun!$A:$AM,17,FALSE),"")</f>
        <v>9.8086398533287503E-2</v>
      </c>
      <c r="R418">
        <f>IFERROR(VLOOKUP($A418,koronahun!$A:$AM,18,FALSE),"")</f>
        <v>93</v>
      </c>
      <c r="S418">
        <f>IFERROR(VLOOKUP($A418,koronahun!$A:$AM,19,FALSE),"")</f>
        <v>5689</v>
      </c>
      <c r="T418">
        <f>IFERROR(VLOOKUP($A418,koronahun!$A:$AM,20,FALSE),"")</f>
        <v>5667</v>
      </c>
      <c r="U418">
        <f>IFERROR(VLOOKUP($A418,koronahun!$A:$AM,21,FALSE),"")</f>
        <v>400</v>
      </c>
      <c r="V418" s="13">
        <f>IFERROR(VLOOKUP($A418,koronahun!$A:$AM,22,FALSE),"")</f>
        <v>0.44033316000255435</v>
      </c>
      <c r="W418">
        <f>IFERROR(VLOOKUP($A418,koronahun!$A:$AM,23,FALSE),"")</f>
        <v>48</v>
      </c>
      <c r="X418">
        <f>IFERROR(VLOOKUP($A418,koronahun!$A:$AM,24,FALSE),"")</f>
        <v>-3</v>
      </c>
      <c r="Y418" s="14">
        <f>IFERROR(VLOOKUP($A418,koronahun!$A:$AM,25,FALSE),"")</f>
        <v>3.9135659235932707E-2</v>
      </c>
      <c r="Z418" s="14">
        <f>IFERROR(VLOOKUP($A418,koronahun!$A:$AM,26,FALSE),"")</f>
        <v>7.058408328921828E-2</v>
      </c>
      <c r="AA418" s="14">
        <f>IFERROR(VLOOKUP($A418,koronahun!$A:$AM,27,FALSE),"")</f>
        <v>1.0557240662102436</v>
      </c>
      <c r="AB418" s="14">
        <f>IFERROR(VLOOKUP($A418,koronahun!$A:$AM,28,FALSE),"")</f>
        <v>0.71179887152691712</v>
      </c>
      <c r="AC418" s="14">
        <f>IFERROR(VLOOKUP($A418,koronahun!$A:$AM,29,FALSE),"")</f>
        <v>1740.2857142857142</v>
      </c>
      <c r="AD418" s="14">
        <f>IFERROR(VLOOKUP($A418,koronahun!$A:$AM,30,FALSE),"")</f>
        <v>116.57142857142857</v>
      </c>
      <c r="AE418" s="14">
        <f>IFERROR(VLOOKUP($A418,koronahun!$A:$AM,31,FALSE),"")</f>
        <v>12199.142857142857</v>
      </c>
      <c r="AF418" s="13">
        <f>IFERROR(VLOOKUP($A418,koronahun!$A:$AM,32,FALSE),"")</f>
        <v>0.14656823933906402</v>
      </c>
      <c r="AG418">
        <f>IFERROR(VLOOKUP($A418,koronahun!$A:$AM,33,FALSE),"")</f>
        <v>12000</v>
      </c>
      <c r="AH418">
        <f>IFERROR(VLOOKUP($A418,koronahun!$A:$AM,34,FALSE),"")</f>
        <v>1723</v>
      </c>
      <c r="AI418">
        <f>IFERROR(VLOOKUP($A418,koronahun!$A:$AM,35,FALSE),"")</f>
        <v>1558</v>
      </c>
      <c r="AJ418">
        <f>IFERROR(VLOOKUP($A418,koronahun!$A:$AM,36,FALSE),"")</f>
        <v>0</v>
      </c>
      <c r="AK418">
        <f>IFERROR(VLOOKUP($A418,koronahun!$A:$AM,37,FALSE),"")</f>
        <v>0</v>
      </c>
      <c r="AL418">
        <f>IFERROR(VLOOKUP($A418,koronahun!$A:$AM,38,FALSE),"")</f>
        <v>0</v>
      </c>
      <c r="AM418" s="14">
        <f>IFERROR(VLOOKUP($A418,koronahun!$A:$AM,39,FALSE),"")</f>
        <v>5675.1428571428569</v>
      </c>
      <c r="AN418" s="11">
        <f ca="1">IFERROR(__xludf.DUMMYFUNCTION("""COMPUTED_VALUE"""),44310)</f>
        <v>44310</v>
      </c>
      <c r="AO418" s="12">
        <f ca="1">IFERROR(VLOOKUP(AN418,koronahun!A:B,2,FALSE),"")</f>
        <v>767190</v>
      </c>
      <c r="AP418" s="11">
        <f t="shared" ca="1" si="2"/>
        <v>44310</v>
      </c>
      <c r="AQ418" s="11">
        <f ca="1">IFERROR(__xludf.DUMMYFUNCTION("""COMPUTED_VALUE"""),44310)</f>
        <v>44310</v>
      </c>
      <c r="AR418" s="11">
        <v>44201</v>
      </c>
      <c r="AS418" s="11">
        <f t="shared" si="3"/>
        <v>44201</v>
      </c>
      <c r="AT418" s="11">
        <f ca="1">IFERROR(__xludf.DUMMYFUNCTION("""COMPUTED_VALUE"""),44200)</f>
        <v>44200</v>
      </c>
    </row>
    <row r="419" spans="1:46" ht="13">
      <c r="A419" s="11">
        <v>44199</v>
      </c>
      <c r="B419">
        <f>IFERROR(VLOOKUP($A419,koronahun!$A:$AM,2,FALSE),"")</f>
        <v>327995</v>
      </c>
      <c r="C419">
        <f>IFERROR(VLOOKUP($A419,koronahun!$A:$AM,3,FALSE),"")</f>
        <v>1307</v>
      </c>
      <c r="D419">
        <f>IFERROR(VLOOKUP($A419,koronahun!$A:$AM,4,FALSE),"")</f>
        <v>9884</v>
      </c>
      <c r="E419">
        <f>IFERROR(VLOOKUP($A419,koronahun!$A:$AM,5,FALSE),"")</f>
        <v>168381</v>
      </c>
      <c r="F419">
        <f>IFERROR(VLOOKUP($A419,koronahun!$A:$AM,6,FALSE),"")</f>
        <v>2691904</v>
      </c>
      <c r="G419" s="12">
        <f>IFERROR(VLOOKUP($A419,koronahun!$A:$AM,7,FALSE),"")</f>
        <v>274684.08163265302</v>
      </c>
      <c r="H419">
        <f>IFERROR(VLOOKUP($A419,koronahun!$A:$AM,8,FALSE),"")</f>
        <v>0</v>
      </c>
      <c r="I419" s="13">
        <f>IFERROR(VLOOKUP($A419,koronahun!$A:$AM,9,FALSE),"")</f>
        <v>4.0007591340973647E-3</v>
      </c>
      <c r="J419" s="13">
        <f>IFERROR(VLOOKUP($A419,koronahun!$A:$AM,10,FALSE),"")</f>
        <v>0.12184498407075438</v>
      </c>
      <c r="K419" s="13">
        <f>IFERROR(VLOOKUP($A419,koronahun!$A:$AM,11,FALSE),"")</f>
        <v>2.2189591443455264E-3</v>
      </c>
      <c r="L419">
        <f>IFERROR(VLOOKUP($A419,koronahun!$A:$AM,12,FALSE),"")</f>
        <v>149730</v>
      </c>
      <c r="M419" s="13">
        <f>IFERROR(VLOOKUP($A419,koronahun!$A:$AM,13,FALSE),"")</f>
        <v>3.0134605710452903E-2</v>
      </c>
      <c r="N419" s="13">
        <f>IFERROR(VLOOKUP($A419,koronahun!$A:$AM,14,FALSE),"")</f>
        <v>0.51336453299592977</v>
      </c>
      <c r="O419">
        <f>IFERROR(VLOOKUP($A419,koronahun!$A:$AM,15,FALSE),"")</f>
        <v>16537</v>
      </c>
      <c r="P419">
        <f>IFERROR(VLOOKUP($A419,koronahun!$A:$AM,16,FALSE),"")</f>
        <v>5960</v>
      </c>
      <c r="Q419" s="13">
        <f>IFERROR(VLOOKUP($A419,koronahun!$A:$AM,17,FALSE),"")</f>
        <v>0.21929530201342282</v>
      </c>
      <c r="R419">
        <f>IFERROR(VLOOKUP($A419,koronahun!$A:$AM,18,FALSE),"")</f>
        <v>103</v>
      </c>
      <c r="S419">
        <f>IFERROR(VLOOKUP($A419,koronahun!$A:$AM,19,FALSE),"")</f>
        <v>4978</v>
      </c>
      <c r="T419">
        <f>IFERROR(VLOOKUP($A419,koronahun!$A:$AM,20,FALSE),"")</f>
        <v>5619</v>
      </c>
      <c r="U419">
        <f>IFERROR(VLOOKUP($A419,koronahun!$A:$AM,21,FALSE),"")</f>
        <v>403</v>
      </c>
      <c r="V419" s="13">
        <f>IFERROR(VLOOKUP($A419,koronahun!$A:$AM,22,FALSE),"")</f>
        <v>0.45650086129361728</v>
      </c>
      <c r="W419">
        <f>IFERROR(VLOOKUP($A419,koronahun!$A:$AM,23,FALSE),"")</f>
        <v>90</v>
      </c>
      <c r="X419">
        <f>IFERROR(VLOOKUP($A419,koronahun!$A:$AM,24,FALSE),"")</f>
        <v>1</v>
      </c>
      <c r="Y419" s="14">
        <f>IFERROR(VLOOKUP($A419,koronahun!$A:$AM,25,FALSE),"")</f>
        <v>3.7527549589260668E-2</v>
      </c>
      <c r="Z419" s="14">
        <f>IFERROR(VLOOKUP($A419,koronahun!$A:$AM,26,FALSE),"")</f>
        <v>7.1720946787684647E-2</v>
      </c>
      <c r="AA419" s="14">
        <f>IFERROR(VLOOKUP($A419,koronahun!$A:$AM,27,FALSE),"")</f>
        <v>0.91309004666819682</v>
      </c>
      <c r="AB419" s="14">
        <f>IFERROR(VLOOKUP($A419,koronahun!$A:$AM,28,FALSE),"")</f>
        <v>0.63851776920444847</v>
      </c>
      <c r="AC419" s="14">
        <f>IFERROR(VLOOKUP($A419,koronahun!$A:$AM,29,FALSE),"")</f>
        <v>1705</v>
      </c>
      <c r="AD419" s="14">
        <f>IFERROR(VLOOKUP($A419,koronahun!$A:$AM,30,FALSE),"")</f>
        <v>119.57142857142857</v>
      </c>
      <c r="AE419" s="14">
        <f>IFERROR(VLOOKUP($A419,koronahun!$A:$AM,31,FALSE),"")</f>
        <v>11616.285714285714</v>
      </c>
      <c r="AF419" s="13">
        <f>IFERROR(VLOOKUP($A419,koronahun!$A:$AM,32,FALSE),"")</f>
        <v>0.15127765266304607</v>
      </c>
      <c r="AG419">
        <f>IFERROR(VLOOKUP($A419,koronahun!$A:$AM,33,FALSE),"")</f>
        <v>10277</v>
      </c>
      <c r="AH419">
        <f>IFERROR(VLOOKUP($A419,koronahun!$A:$AM,34,FALSE),"")</f>
        <v>1723</v>
      </c>
      <c r="AI419">
        <f>IFERROR(VLOOKUP($A419,koronahun!$A:$AM,35,FALSE),"")</f>
        <v>1468.1428571428571</v>
      </c>
      <c r="AJ419">
        <f>IFERROR(VLOOKUP($A419,koronahun!$A:$AM,36,FALSE),"")</f>
        <v>0</v>
      </c>
      <c r="AK419">
        <f>IFERROR(VLOOKUP($A419,koronahun!$A:$AM,37,FALSE),"")</f>
        <v>0</v>
      </c>
      <c r="AL419">
        <f>IFERROR(VLOOKUP($A419,koronahun!$A:$AM,38,FALSE),"")</f>
        <v>0</v>
      </c>
      <c r="AM419" s="14">
        <f>IFERROR(VLOOKUP($A419,koronahun!$A:$AM,39,FALSE),"")</f>
        <v>5423</v>
      </c>
      <c r="AN419" s="11">
        <f ca="1">IFERROR(__xludf.DUMMYFUNCTION("""COMPUTED_VALUE"""),44311)</f>
        <v>44311</v>
      </c>
      <c r="AO419" s="12">
        <f ca="1">IFERROR(VLOOKUP(AN419,koronahun!A:B,2,FALSE),"")</f>
        <v>769518</v>
      </c>
      <c r="AP419" s="11">
        <f t="shared" ca="1" si="2"/>
        <v>44311</v>
      </c>
      <c r="AQ419" s="11">
        <f ca="1">IFERROR(__xludf.DUMMYFUNCTION("""COMPUTED_VALUE"""),44311)</f>
        <v>44311</v>
      </c>
      <c r="AR419" s="11">
        <v>44200</v>
      </c>
      <c r="AS419" s="11">
        <f t="shared" si="3"/>
        <v>44200</v>
      </c>
      <c r="AT419" s="11">
        <f ca="1">IFERROR(__xludf.DUMMYFUNCTION("""COMPUTED_VALUE"""),44199)</f>
        <v>44199</v>
      </c>
    </row>
    <row r="420" spans="1:46" ht="13">
      <c r="A420" s="11">
        <v>44198</v>
      </c>
      <c r="B420">
        <f>IFERROR(VLOOKUP($A420,koronahun!$A:$AM,2,FALSE),"")</f>
        <v>326688</v>
      </c>
      <c r="C420">
        <f>IFERROR(VLOOKUP($A420,koronahun!$A:$AM,3,FALSE),"")</f>
        <v>1410</v>
      </c>
      <c r="D420">
        <f>IFERROR(VLOOKUP($A420,koronahun!$A:$AM,4,FALSE),"")</f>
        <v>9781</v>
      </c>
      <c r="E420">
        <f>IFERROR(VLOOKUP($A420,koronahun!$A:$AM,5,FALSE),"")</f>
        <v>163403</v>
      </c>
      <c r="F420">
        <f>IFERROR(VLOOKUP($A420,koronahun!$A:$AM,6,FALSE),"")</f>
        <v>2685944</v>
      </c>
      <c r="G420" s="12">
        <f>IFERROR(VLOOKUP($A420,koronahun!$A:$AM,7,FALSE),"")</f>
        <v>274075.91836734692</v>
      </c>
      <c r="H420">
        <f>IFERROR(VLOOKUP($A420,koronahun!$A:$AM,8,FALSE),"")</f>
        <v>0</v>
      </c>
      <c r="I420" s="13">
        <f>IFERROR(VLOOKUP($A420,koronahun!$A:$AM,9,FALSE),"")</f>
        <v>4.3347536568719676E-3</v>
      </c>
      <c r="J420" s="13">
        <f>IFERROR(VLOOKUP($A420,koronahun!$A:$AM,10,FALSE),"")</f>
        <v>0.12162874579663611</v>
      </c>
      <c r="K420" s="13">
        <f>IFERROR(VLOOKUP($A420,koronahun!$A:$AM,11,FALSE),"")</f>
        <v>3.9985092965247691E-3</v>
      </c>
      <c r="L420">
        <f>IFERROR(VLOOKUP($A420,koronahun!$A:$AM,12,FALSE),"")</f>
        <v>153504</v>
      </c>
      <c r="M420" s="13">
        <f>IFERROR(VLOOKUP($A420,koronahun!$A:$AM,13,FALSE),"")</f>
        <v>2.9939881477128023E-2</v>
      </c>
      <c r="N420" s="13">
        <f>IFERROR(VLOOKUP($A420,koronahun!$A:$AM,14,FALSE),"")</f>
        <v>0.50018060045058277</v>
      </c>
      <c r="O420">
        <f>IFERROR(VLOOKUP($A420,koronahun!$A:$AM,15,FALSE),"")</f>
        <v>18239</v>
      </c>
      <c r="P420">
        <f>IFERROR(VLOOKUP($A420,koronahun!$A:$AM,16,FALSE),"")</f>
        <v>10697</v>
      </c>
      <c r="Q420" s="13">
        <f>IFERROR(VLOOKUP($A420,koronahun!$A:$AM,17,FALSE),"")</f>
        <v>0.13181265775451062</v>
      </c>
      <c r="R420">
        <f>IFERROR(VLOOKUP($A420,koronahun!$A:$AM,18,FALSE),"")</f>
        <v>114</v>
      </c>
      <c r="S420">
        <f>IFERROR(VLOOKUP($A420,koronahun!$A:$AM,19,FALSE),"")</f>
        <v>6340</v>
      </c>
      <c r="T420">
        <f>IFERROR(VLOOKUP($A420,koronahun!$A:$AM,20,FALSE),"")</f>
        <v>5529</v>
      </c>
      <c r="U420">
        <f>IFERROR(VLOOKUP($A420,koronahun!$A:$AM,21,FALSE),"")</f>
        <v>402</v>
      </c>
      <c r="V420" s="13">
        <f>IFERROR(VLOOKUP($A420,koronahun!$A:$AM,22,FALSE),"")</f>
        <v>0.46987951807228917</v>
      </c>
      <c r="W420">
        <f>IFERROR(VLOOKUP($A420,koronahun!$A:$AM,23,FALSE),"")</f>
        <v>-119</v>
      </c>
      <c r="X420">
        <f>IFERROR(VLOOKUP($A420,koronahun!$A:$AM,24,FALSE),"")</f>
        <v>1</v>
      </c>
      <c r="Y420" s="14">
        <f>IFERROR(VLOOKUP($A420,koronahun!$A:$AM,25,FALSE),"")</f>
        <v>3.6018605378361476E-2</v>
      </c>
      <c r="Z420" s="14">
        <f>IFERROR(VLOOKUP($A420,koronahun!$A:$AM,26,FALSE),"")</f>
        <v>7.2707542051003798E-2</v>
      </c>
      <c r="AA420" s="14">
        <f>IFERROR(VLOOKUP($A420,koronahun!$A:$AM,27,FALSE),"")</f>
        <v>0.73833116036505864</v>
      </c>
      <c r="AB420" s="14">
        <f>IFERROR(VLOOKUP($A420,koronahun!$A:$AM,28,FALSE),"")</f>
        <v>0.59073983010521613</v>
      </c>
      <c r="AC420" s="14">
        <f>IFERROR(VLOOKUP($A420,koronahun!$A:$AM,29,FALSE),"")</f>
        <v>1618</v>
      </c>
      <c r="AD420" s="14">
        <f>IFERROR(VLOOKUP($A420,koronahun!$A:$AM,30,FALSE),"")</f>
        <v>118.57142857142857</v>
      </c>
      <c r="AE420" s="14">
        <f>IFERROR(VLOOKUP($A420,koronahun!$A:$AM,31,FALSE),"")</f>
        <v>11235.142857142857</v>
      </c>
      <c r="AF420" s="13">
        <f>IFERROR(VLOOKUP($A420,koronahun!$A:$AM,32,FALSE),"")</f>
        <v>0.15023963260454115</v>
      </c>
      <c r="AG420">
        <f>IFERROR(VLOOKUP($A420,koronahun!$A:$AM,33,FALSE),"")</f>
        <v>8554</v>
      </c>
      <c r="AH420">
        <f>IFERROR(VLOOKUP($A420,koronahun!$A:$AM,34,FALSE),"")</f>
        <v>1722</v>
      </c>
      <c r="AI420">
        <f>IFERROR(VLOOKUP($A420,koronahun!$A:$AM,35,FALSE),"")</f>
        <v>0</v>
      </c>
      <c r="AJ420">
        <f>IFERROR(VLOOKUP($A420,koronahun!$A:$AM,36,FALSE),"")</f>
        <v>0</v>
      </c>
      <c r="AK420">
        <f>IFERROR(VLOOKUP($A420,koronahun!$A:$AM,37,FALSE),"")</f>
        <v>0</v>
      </c>
      <c r="AL420">
        <f>IFERROR(VLOOKUP($A420,koronahun!$A:$AM,38,FALSE),"")</f>
        <v>0</v>
      </c>
      <c r="AM420" s="14">
        <f>IFERROR(VLOOKUP($A420,koronahun!$A:$AM,39,FALSE),"")</f>
        <v>5274.4285714285716</v>
      </c>
      <c r="AN420" s="11">
        <f ca="1">IFERROR(__xludf.DUMMYFUNCTION("""COMPUTED_VALUE"""),44312)</f>
        <v>44312</v>
      </c>
      <c r="AO420" s="12">
        <f ca="1">IFERROR(VLOOKUP(AN420,koronahun!A:B,2,FALSE),"")</f>
        <v>771454</v>
      </c>
      <c r="AP420" s="11">
        <f t="shared" ca="1" si="2"/>
        <v>44312</v>
      </c>
      <c r="AQ420" s="11">
        <f ca="1">IFERROR(__xludf.DUMMYFUNCTION("""COMPUTED_VALUE"""),44312)</f>
        <v>44312</v>
      </c>
      <c r="AR420" s="11">
        <v>44199</v>
      </c>
      <c r="AS420" s="11">
        <f t="shared" si="3"/>
        <v>44199</v>
      </c>
      <c r="AT420" s="11">
        <f ca="1">IFERROR(__xludf.DUMMYFUNCTION("""COMPUTED_VALUE"""),44198)</f>
        <v>44198</v>
      </c>
    </row>
    <row r="421" spans="1:46" ht="13">
      <c r="A421" s="11">
        <v>44197</v>
      </c>
      <c r="B421">
        <f>IFERROR(VLOOKUP($A421,koronahun!$A:$AM,2,FALSE),"")</f>
        <v>325278</v>
      </c>
      <c r="C421">
        <f>IFERROR(VLOOKUP($A421,koronahun!$A:$AM,3,FALSE),"")</f>
        <v>2764</v>
      </c>
      <c r="D421">
        <f>IFERROR(VLOOKUP($A421,koronahun!$A:$AM,4,FALSE),"")</f>
        <v>9667</v>
      </c>
      <c r="E421">
        <f>IFERROR(VLOOKUP($A421,koronahun!$A:$AM,5,FALSE),"")</f>
        <v>157063</v>
      </c>
      <c r="F421">
        <f>IFERROR(VLOOKUP($A421,koronahun!$A:$AM,6,FALSE),"")</f>
        <v>2675247</v>
      </c>
      <c r="G421" s="12">
        <f>IFERROR(VLOOKUP($A421,koronahun!$A:$AM,7,FALSE),"")</f>
        <v>272984.38775510201</v>
      </c>
      <c r="H421">
        <f>IFERROR(VLOOKUP($A421,koronahun!$A:$AM,8,FALSE),"")</f>
        <v>0</v>
      </c>
      <c r="I421" s="13">
        <f>IFERROR(VLOOKUP($A421,koronahun!$A:$AM,9,FALSE),"")</f>
        <v>8.5701705972453905E-3</v>
      </c>
      <c r="J421" s="13">
        <f>IFERROR(VLOOKUP($A421,koronahun!$A:$AM,10,FALSE),"")</f>
        <v>0.12158802532999757</v>
      </c>
      <c r="K421" s="13">
        <f>IFERROR(VLOOKUP($A421,koronahun!$A:$AM,11,FALSE),"")</f>
        <v>6.8224268465206109E-3</v>
      </c>
      <c r="L421">
        <f>IFERROR(VLOOKUP($A421,koronahun!$A:$AM,12,FALSE),"")</f>
        <v>158548</v>
      </c>
      <c r="M421" s="13">
        <f>IFERROR(VLOOKUP($A421,koronahun!$A:$AM,13,FALSE),"")</f>
        <v>2.9719194043249159E-2</v>
      </c>
      <c r="N421" s="13">
        <f>IFERROR(VLOOKUP($A421,koronahun!$A:$AM,14,FALSE),"")</f>
        <v>0.48285774014842686</v>
      </c>
      <c r="O421">
        <f>IFERROR(VLOOKUP($A421,koronahun!$A:$AM,15,FALSE),"")</f>
        <v>16421</v>
      </c>
      <c r="P421">
        <f>IFERROR(VLOOKUP($A421,koronahun!$A:$AM,16,FALSE),"")</f>
        <v>18128</v>
      </c>
      <c r="Q421" s="13">
        <f>IFERROR(VLOOKUP($A421,koronahun!$A:$AM,17,FALSE),"")</f>
        <v>0.15247131509267431</v>
      </c>
      <c r="R421">
        <f>IFERROR(VLOOKUP($A421,koronahun!$A:$AM,18,FALSE),"")</f>
        <v>130</v>
      </c>
      <c r="S421">
        <f>IFERROR(VLOOKUP($A421,koronahun!$A:$AM,19,FALSE),"")</f>
        <v>6961</v>
      </c>
      <c r="T421">
        <f>IFERROR(VLOOKUP($A421,koronahun!$A:$AM,20,FALSE),"")</f>
        <v>5648</v>
      </c>
      <c r="U421">
        <f>IFERROR(VLOOKUP($A421,koronahun!$A:$AM,21,FALSE),"")</f>
        <v>401</v>
      </c>
      <c r="V421" s="13">
        <f>IFERROR(VLOOKUP($A421,koronahun!$A:$AM,22,FALSE),"")</f>
        <v>0.48742306580832395</v>
      </c>
      <c r="W421">
        <f>IFERROR(VLOOKUP($A421,koronahun!$A:$AM,23,FALSE),"")</f>
        <v>-208</v>
      </c>
      <c r="X421">
        <f>IFERROR(VLOOKUP($A421,koronahun!$A:$AM,24,FALSE),"")</f>
        <v>-1</v>
      </c>
      <c r="Y421" s="14">
        <f>IFERROR(VLOOKUP($A421,koronahun!$A:$AM,25,FALSE),"")</f>
        <v>3.562328127759417E-2</v>
      </c>
      <c r="Z421" s="14">
        <f>IFERROR(VLOOKUP($A421,koronahun!$A:$AM,26,FALSE),"")</f>
        <v>7.0998583569405097E-2</v>
      </c>
      <c r="AA421" s="14">
        <f>IFERROR(VLOOKUP($A421,koronahun!$A:$AM,27,FALSE),"")</f>
        <v>0.61109583768625941</v>
      </c>
      <c r="AB421" s="14">
        <f>IFERROR(VLOOKUP($A421,koronahun!$A:$AM,28,FALSE),"")</f>
        <v>0.57743760184816784</v>
      </c>
      <c r="AC421" s="14">
        <f>IFERROR(VLOOKUP($A421,koronahun!$A:$AM,29,FALSE),"")</f>
        <v>1587.7142857142858</v>
      </c>
      <c r="AD421" s="14">
        <f>IFERROR(VLOOKUP($A421,koronahun!$A:$AM,30,FALSE),"")</f>
        <v>119.14285714285714</v>
      </c>
      <c r="AE421" s="14">
        <f>IFERROR(VLOOKUP($A421,koronahun!$A:$AM,31,FALSE),"")</f>
        <v>11063.285714285714</v>
      </c>
      <c r="AF421" s="13">
        <f>IFERROR(VLOOKUP($A421,koronahun!$A:$AM,32,FALSE),"")</f>
        <v>0.14943567562838592</v>
      </c>
      <c r="AG421">
        <f>IFERROR(VLOOKUP($A421,koronahun!$A:$AM,33,FALSE),"")</f>
        <v>6832</v>
      </c>
      <c r="AH421">
        <f>IFERROR(VLOOKUP($A421,koronahun!$A:$AM,34,FALSE),"")</f>
        <v>1722</v>
      </c>
      <c r="AI421">
        <f>IFERROR(VLOOKUP($A421,koronahun!$A:$AM,35,FALSE),"")</f>
        <v>0</v>
      </c>
      <c r="AJ421">
        <f>IFERROR(VLOOKUP($A421,koronahun!$A:$AM,36,FALSE),"")</f>
        <v>0</v>
      </c>
      <c r="AK421">
        <f>IFERROR(VLOOKUP($A421,koronahun!$A:$AM,37,FALSE),"")</f>
        <v>0</v>
      </c>
      <c r="AL421">
        <f>IFERROR(VLOOKUP($A421,koronahun!$A:$AM,38,FALSE),"")</f>
        <v>0</v>
      </c>
      <c r="AM421" s="14">
        <f>IFERROR(VLOOKUP($A421,koronahun!$A:$AM,39,FALSE),"")</f>
        <v>4724.8571428571431</v>
      </c>
      <c r="AN421" s="11">
        <f ca="1">IFERROR(__xludf.DUMMYFUNCTION("""COMPUTED_VALUE"""),44313)</f>
        <v>44313</v>
      </c>
      <c r="AO421" s="12">
        <f ca="1">IFERROR(VLOOKUP(AN421,koronahun!A:B,2,FALSE),"")</f>
        <v>772707</v>
      </c>
      <c r="AP421" s="11">
        <f t="shared" ca="1" si="2"/>
        <v>44313</v>
      </c>
      <c r="AQ421" s="11">
        <f ca="1">IFERROR(__xludf.DUMMYFUNCTION("""COMPUTED_VALUE"""),44313)</f>
        <v>44313</v>
      </c>
      <c r="AR421" s="11">
        <v>44198</v>
      </c>
      <c r="AS421" s="11">
        <f t="shared" si="3"/>
        <v>44198</v>
      </c>
      <c r="AT421" s="11">
        <f ca="1">IFERROR(__xludf.DUMMYFUNCTION("""COMPUTED_VALUE"""),44197)</f>
        <v>44197</v>
      </c>
    </row>
    <row r="422" spans="1:46" ht="13">
      <c r="A422" s="11">
        <v>44196</v>
      </c>
      <c r="B422">
        <f>IFERROR(VLOOKUP($A422,koronahun!$A:$AM,2,FALSE),"")</f>
        <v>322514</v>
      </c>
      <c r="C422">
        <f>IFERROR(VLOOKUP($A422,koronahun!$A:$AM,3,FALSE),"")</f>
        <v>2971</v>
      </c>
      <c r="D422">
        <f>IFERROR(VLOOKUP($A422,koronahun!$A:$AM,4,FALSE),"")</f>
        <v>9537</v>
      </c>
      <c r="E422">
        <f>IFERROR(VLOOKUP($A422,koronahun!$A:$AM,5,FALSE),"")</f>
        <v>150102</v>
      </c>
      <c r="F422">
        <f>IFERROR(VLOOKUP($A422,koronahun!$A:$AM,6,FALSE),"")</f>
        <v>2657119</v>
      </c>
      <c r="G422" s="12">
        <f>IFERROR(VLOOKUP($A422,koronahun!$A:$AM,7,FALSE),"")</f>
        <v>271134.59183673467</v>
      </c>
      <c r="H422">
        <f>IFERROR(VLOOKUP($A422,koronahun!$A:$AM,8,FALSE),"")</f>
        <v>0</v>
      </c>
      <c r="I422" s="13">
        <f>IFERROR(VLOOKUP($A422,koronahun!$A:$AM,9,FALSE),"")</f>
        <v>9.2976532109919473E-3</v>
      </c>
      <c r="J422" s="13">
        <f>IFERROR(VLOOKUP($A422,koronahun!$A:$AM,10,FALSE),"")</f>
        <v>0.12137732634481181</v>
      </c>
      <c r="K422" s="13">
        <f>IFERROR(VLOOKUP($A422,koronahun!$A:$AM,11,FALSE),"")</f>
        <v>6.5877974595119427E-3</v>
      </c>
      <c r="L422">
        <f>IFERROR(VLOOKUP($A422,koronahun!$A:$AM,12,FALSE),"")</f>
        <v>162875</v>
      </c>
      <c r="M422" s="13">
        <f>IFERROR(VLOOKUP($A422,koronahun!$A:$AM,13,FALSE),"")</f>
        <v>2.9570809329207415E-2</v>
      </c>
      <c r="N422" s="13">
        <f>IFERROR(VLOOKUP($A422,koronahun!$A:$AM,14,FALSE),"")</f>
        <v>0.46541235419237614</v>
      </c>
      <c r="O422">
        <f>IFERROR(VLOOKUP($A422,koronahun!$A:$AM,15,FALSE),"")</f>
        <v>17704</v>
      </c>
      <c r="P422">
        <f>IFERROR(VLOOKUP($A422,koronahun!$A:$AM,16,FALSE),"")</f>
        <v>17390</v>
      </c>
      <c r="Q422" s="13">
        <f>IFERROR(VLOOKUP($A422,koronahun!$A:$AM,17,FALSE),"")</f>
        <v>0.17084531339850489</v>
      </c>
      <c r="R422">
        <f>IFERROR(VLOOKUP($A422,koronahun!$A:$AM,18,FALSE),"")</f>
        <v>108</v>
      </c>
      <c r="S422">
        <f>IFERROR(VLOOKUP($A422,koronahun!$A:$AM,19,FALSE),"")</f>
        <v>5868</v>
      </c>
      <c r="T422">
        <f>IFERROR(VLOOKUP($A422,koronahun!$A:$AM,20,FALSE),"")</f>
        <v>5856</v>
      </c>
      <c r="U422">
        <f>IFERROR(VLOOKUP($A422,koronahun!$A:$AM,21,FALSE),"")</f>
        <v>402</v>
      </c>
      <c r="V422" s="13">
        <f>IFERROR(VLOOKUP($A422,koronahun!$A:$AM,22,FALSE),"")</f>
        <v>0.50501683647841644</v>
      </c>
      <c r="W422">
        <f>IFERROR(VLOOKUP($A422,koronahun!$A:$AM,23,FALSE),"")</f>
        <v>-299</v>
      </c>
      <c r="X422">
        <f>IFERROR(VLOOKUP($A422,koronahun!$A:$AM,24,FALSE),"")</f>
        <v>-23</v>
      </c>
      <c r="Y422" s="14">
        <f>IFERROR(VLOOKUP($A422,koronahun!$A:$AM,25,FALSE),"")</f>
        <v>3.5953952417498082E-2</v>
      </c>
      <c r="Z422" s="14">
        <f>IFERROR(VLOOKUP($A422,koronahun!$A:$AM,26,FALSE),"")</f>
        <v>6.8647540983606564E-2</v>
      </c>
      <c r="AA422" s="14">
        <f>IFERROR(VLOOKUP($A422,koronahun!$A:$AM,27,FALSE),"")</f>
        <v>0.54786303424143967</v>
      </c>
      <c r="AB422" s="14">
        <f>IFERROR(VLOOKUP($A422,koronahun!$A:$AM,28,FALSE),"")</f>
        <v>0.59499927153980325</v>
      </c>
      <c r="AC422" s="14">
        <f>IFERROR(VLOOKUP($A422,koronahun!$A:$AM,29,FALSE),"")</f>
        <v>1565.7142857142858</v>
      </c>
      <c r="AD422" s="14">
        <f>IFERROR(VLOOKUP($A422,koronahun!$A:$AM,30,FALSE),"")</f>
        <v>115.42857142857143</v>
      </c>
      <c r="AE422" s="14">
        <f>IFERROR(VLOOKUP($A422,koronahun!$A:$AM,31,FALSE),"")</f>
        <v>11638.428571428571</v>
      </c>
      <c r="AF422" s="13">
        <f>IFERROR(VLOOKUP($A422,koronahun!$A:$AM,32,FALSE),"")</f>
        <v>0.14448429945276395</v>
      </c>
      <c r="AG422">
        <f>IFERROR(VLOOKUP($A422,koronahun!$A:$AM,33,FALSE),"")</f>
        <v>5110</v>
      </c>
      <c r="AH422">
        <f>IFERROR(VLOOKUP($A422,koronahun!$A:$AM,34,FALSE),"")</f>
        <v>1321</v>
      </c>
      <c r="AI422">
        <f>IFERROR(VLOOKUP($A422,koronahun!$A:$AM,35,FALSE),"")</f>
        <v>0</v>
      </c>
      <c r="AJ422">
        <f>IFERROR(VLOOKUP($A422,koronahun!$A:$AM,36,FALSE),"")</f>
        <v>0</v>
      </c>
      <c r="AK422">
        <f>IFERROR(VLOOKUP($A422,koronahun!$A:$AM,37,FALSE),"")</f>
        <v>0</v>
      </c>
      <c r="AL422">
        <f>IFERROR(VLOOKUP($A422,koronahun!$A:$AM,38,FALSE),"")</f>
        <v>0</v>
      </c>
      <c r="AM422" s="14">
        <f>IFERROR(VLOOKUP($A422,koronahun!$A:$AM,39,FALSE),"")</f>
        <v>4224.7142857142853</v>
      </c>
      <c r="AN422" s="11">
        <f ca="1">IFERROR(__xludf.DUMMYFUNCTION("""COMPUTED_VALUE"""),44314)</f>
        <v>44314</v>
      </c>
      <c r="AO422" s="12">
        <f ca="1">IFERROR(VLOOKUP(AN422,koronahun!A:B,2,FALSE),"")</f>
        <v>774399</v>
      </c>
      <c r="AP422" s="11">
        <f t="shared" ca="1" si="2"/>
        <v>44314</v>
      </c>
      <c r="AQ422" s="11">
        <f ca="1">IFERROR(__xludf.DUMMYFUNCTION("""COMPUTED_VALUE"""),44314)</f>
        <v>44314</v>
      </c>
      <c r="AR422" s="11">
        <v>44197</v>
      </c>
      <c r="AS422" s="11">
        <f t="shared" si="3"/>
        <v>44197</v>
      </c>
      <c r="AT422" s="11">
        <f ca="1">IFERROR(__xludf.DUMMYFUNCTION("""COMPUTED_VALUE"""),44196)</f>
        <v>44196</v>
      </c>
    </row>
    <row r="423" spans="1:46" ht="13">
      <c r="A423" s="11">
        <v>44195</v>
      </c>
      <c r="B423">
        <f>IFERROR(VLOOKUP($A423,koronahun!$A:$AM,2,FALSE),"")</f>
        <v>319543</v>
      </c>
      <c r="C423">
        <f>IFERROR(VLOOKUP($A423,koronahun!$A:$AM,3,FALSE),"")</f>
        <v>1972</v>
      </c>
      <c r="D423">
        <f>IFERROR(VLOOKUP($A423,koronahun!$A:$AM,4,FALSE),"")</f>
        <v>9429</v>
      </c>
      <c r="E423">
        <f>IFERROR(VLOOKUP($A423,koronahun!$A:$AM,5,FALSE),"")</f>
        <v>144234</v>
      </c>
      <c r="F423">
        <f>IFERROR(VLOOKUP($A423,koronahun!$A:$AM,6,FALSE),"")</f>
        <v>2639729</v>
      </c>
      <c r="G423" s="12">
        <f>IFERROR(VLOOKUP($A423,koronahun!$A:$AM,7,FALSE),"")</f>
        <v>269360.10204081633</v>
      </c>
      <c r="H423">
        <f>IFERROR(VLOOKUP($A423,koronahun!$A:$AM,8,FALSE),"")</f>
        <v>0</v>
      </c>
      <c r="I423" s="13">
        <f>IFERROR(VLOOKUP($A423,koronahun!$A:$AM,9,FALSE),"")</f>
        <v>6.2096350107535012E-3</v>
      </c>
      <c r="J423" s="13">
        <f>IFERROR(VLOOKUP($A423,koronahun!$A:$AM,10,FALSE),"")</f>
        <v>0.12105144126537232</v>
      </c>
      <c r="K423" s="13">
        <f>IFERROR(VLOOKUP($A423,koronahun!$A:$AM,11,FALSE),"")</f>
        <v>6.9816935585083999E-3</v>
      </c>
      <c r="L423">
        <f>IFERROR(VLOOKUP($A423,koronahun!$A:$AM,12,FALSE),"")</f>
        <v>165880</v>
      </c>
      <c r="M423" s="13">
        <f>IFERROR(VLOOKUP($A423,koronahun!$A:$AM,13,FALSE),"")</f>
        <v>2.950776577800171E-2</v>
      </c>
      <c r="N423" s="13">
        <f>IFERROR(VLOOKUP($A423,koronahun!$A:$AM,14,FALSE),"")</f>
        <v>0.45137587116600897</v>
      </c>
      <c r="O423">
        <f>IFERROR(VLOOKUP($A423,koronahun!$A:$AM,15,FALSE),"")</f>
        <v>19496</v>
      </c>
      <c r="P423">
        <f>IFERROR(VLOOKUP($A423,koronahun!$A:$AM,16,FALSE),"")</f>
        <v>18302</v>
      </c>
      <c r="Q423" s="13">
        <f>IFERROR(VLOOKUP($A423,koronahun!$A:$AM,17,FALSE),"")</f>
        <v>0.10774778712708993</v>
      </c>
      <c r="R423">
        <f>IFERROR(VLOOKUP($A423,koronahun!$A:$AM,18,FALSE),"")</f>
        <v>137</v>
      </c>
      <c r="S423">
        <f>IFERROR(VLOOKUP($A423,koronahun!$A:$AM,19,FALSE),"")</f>
        <v>5869</v>
      </c>
      <c r="T423">
        <f>IFERROR(VLOOKUP($A423,koronahun!$A:$AM,20,FALSE),"")</f>
        <v>6155</v>
      </c>
      <c r="U423">
        <f>IFERROR(VLOOKUP($A423,koronahun!$A:$AM,21,FALSE),"")</f>
        <v>425</v>
      </c>
      <c r="V423" s="13">
        <f>IFERROR(VLOOKUP($A423,koronahun!$A:$AM,22,FALSE),"")</f>
        <v>0.51911636305598929</v>
      </c>
      <c r="W423">
        <f>IFERROR(VLOOKUP($A423,koronahun!$A:$AM,23,FALSE),"")</f>
        <v>-143</v>
      </c>
      <c r="X423">
        <f>IFERROR(VLOOKUP($A423,koronahun!$A:$AM,24,FALSE),"")</f>
        <v>-19</v>
      </c>
      <c r="Y423" s="14">
        <f>IFERROR(VLOOKUP($A423,koronahun!$A:$AM,25,FALSE),"")</f>
        <v>3.7105136243067278E-2</v>
      </c>
      <c r="Z423" s="14">
        <f>IFERROR(VLOOKUP($A423,koronahun!$A:$AM,26,FALSE),"")</f>
        <v>6.9049553208773359E-2</v>
      </c>
      <c r="AA423" s="14">
        <f>IFERROR(VLOOKUP($A423,koronahun!$A:$AM,27,FALSE),"")</f>
        <v>0.57278497080477275</v>
      </c>
      <c r="AB423" s="14">
        <f>IFERROR(VLOOKUP($A423,koronahun!$A:$AM,28,FALSE),"")</f>
        <v>0.62438991362215479</v>
      </c>
      <c r="AC423" s="14">
        <f>IFERROR(VLOOKUP($A423,koronahun!$A:$AM,29,FALSE),"")</f>
        <v>1611.5714285714287</v>
      </c>
      <c r="AD423" s="14">
        <f>IFERROR(VLOOKUP($A423,koronahun!$A:$AM,30,FALSE),"")</f>
        <v>116.14285714285714</v>
      </c>
      <c r="AE423" s="14">
        <f>IFERROR(VLOOKUP($A423,koronahun!$A:$AM,31,FALSE),"")</f>
        <v>12895</v>
      </c>
      <c r="AF423" s="13">
        <f>IFERROR(VLOOKUP($A423,koronahun!$A:$AM,32,FALSE),"")</f>
        <v>0.13803725917686269</v>
      </c>
      <c r="AG423">
        <f>IFERROR(VLOOKUP($A423,koronahun!$A:$AM,33,FALSE),"")</f>
        <v>3789</v>
      </c>
      <c r="AH423">
        <f>IFERROR(VLOOKUP($A423,koronahun!$A:$AM,34,FALSE),"")</f>
        <v>1328</v>
      </c>
      <c r="AI423">
        <f>IFERROR(VLOOKUP($A423,koronahun!$A:$AM,35,FALSE),"")</f>
        <v>0</v>
      </c>
      <c r="AJ423">
        <f>IFERROR(VLOOKUP($A423,koronahun!$A:$AM,36,FALSE),"")</f>
        <v>0</v>
      </c>
      <c r="AK423">
        <f>IFERROR(VLOOKUP($A423,koronahun!$A:$AM,37,FALSE),"")</f>
        <v>0</v>
      </c>
      <c r="AL423">
        <f>IFERROR(VLOOKUP($A423,koronahun!$A:$AM,38,FALSE),"")</f>
        <v>0</v>
      </c>
      <c r="AM423" s="14">
        <f>IFERROR(VLOOKUP($A423,koronahun!$A:$AM,39,FALSE),"")</f>
        <v>4229</v>
      </c>
      <c r="AN423" s="11">
        <f ca="1">IFERROR(__xludf.DUMMYFUNCTION("""COMPUTED_VALUE"""),44315)</f>
        <v>44315</v>
      </c>
      <c r="AO423" s="12">
        <f ca="1">IFERROR(VLOOKUP(AN423,koronahun!A:B,2,FALSE),"")</f>
        <v>776983</v>
      </c>
      <c r="AP423" s="11">
        <f t="shared" ca="1" si="2"/>
        <v>44315</v>
      </c>
      <c r="AQ423" s="11">
        <f ca="1">IFERROR(__xludf.DUMMYFUNCTION("""COMPUTED_VALUE"""),44315)</f>
        <v>44315</v>
      </c>
      <c r="AR423" s="11">
        <v>44196</v>
      </c>
      <c r="AS423" s="11">
        <f t="shared" si="3"/>
        <v>44196</v>
      </c>
      <c r="AT423" s="11">
        <f ca="1">IFERROR(__xludf.DUMMYFUNCTION("""COMPUTED_VALUE"""),44195)</f>
        <v>44195</v>
      </c>
    </row>
    <row r="424" spans="1:46" ht="13">
      <c r="A424" s="11">
        <v>44194</v>
      </c>
      <c r="B424">
        <f>IFERROR(VLOOKUP($A424,koronahun!$A:$AM,2,FALSE),"")</f>
        <v>317571</v>
      </c>
      <c r="C424">
        <f>IFERROR(VLOOKUP($A424,koronahun!$A:$AM,3,FALSE),"")</f>
        <v>902</v>
      </c>
      <c r="D424">
        <f>IFERROR(VLOOKUP($A424,koronahun!$A:$AM,4,FALSE),"")</f>
        <v>9292</v>
      </c>
      <c r="E424">
        <f>IFERROR(VLOOKUP($A424,koronahun!$A:$AM,5,FALSE),"")</f>
        <v>138365</v>
      </c>
      <c r="F424">
        <f>IFERROR(VLOOKUP($A424,koronahun!$A:$AM,6,FALSE),"")</f>
        <v>2621427</v>
      </c>
      <c r="G424" s="12">
        <f>IFERROR(VLOOKUP($A424,koronahun!$A:$AM,7,FALSE),"")</f>
        <v>267492.55102040817</v>
      </c>
      <c r="H424">
        <f>IFERROR(VLOOKUP($A424,koronahun!$A:$AM,8,FALSE),"")</f>
        <v>0</v>
      </c>
      <c r="I424" s="13">
        <f>IFERROR(VLOOKUP($A424,koronahun!$A:$AM,9,FALSE),"")</f>
        <v>2.8484000644205779E-3</v>
      </c>
      <c r="J424" s="13">
        <f>IFERROR(VLOOKUP($A424,koronahun!$A:$AM,10,FALSE),"")</f>
        <v>0.12114432330177419</v>
      </c>
      <c r="K424" s="13">
        <f>IFERROR(VLOOKUP($A424,koronahun!$A:$AM,11,FALSE),"")</f>
        <v>2.3668982964067885E-3</v>
      </c>
      <c r="L424">
        <f>IFERROR(VLOOKUP($A424,koronahun!$A:$AM,12,FALSE),"")</f>
        <v>169914</v>
      </c>
      <c r="M424" s="13">
        <f>IFERROR(VLOOKUP($A424,koronahun!$A:$AM,13,FALSE),"")</f>
        <v>2.9259598640933838E-2</v>
      </c>
      <c r="N424" s="13">
        <f>IFERROR(VLOOKUP($A424,koronahun!$A:$AM,14,FALSE),"")</f>
        <v>0.43569784394670796</v>
      </c>
      <c r="O424">
        <f>IFERROR(VLOOKUP($A424,koronahun!$A:$AM,15,FALSE),"")</f>
        <v>21667</v>
      </c>
      <c r="P424">
        <f>IFERROR(VLOOKUP($A424,koronahun!$A:$AM,16,FALSE),"")</f>
        <v>6190</v>
      </c>
      <c r="Q424" s="13">
        <f>IFERROR(VLOOKUP($A424,koronahun!$A:$AM,17,FALSE),"")</f>
        <v>0.14571890145395799</v>
      </c>
      <c r="R424">
        <f>IFERROR(VLOOKUP($A424,koronahun!$A:$AM,18,FALSE),"")</f>
        <v>131</v>
      </c>
      <c r="S424">
        <f>IFERROR(VLOOKUP($A424,koronahun!$A:$AM,19,FALSE),"")</f>
        <v>4021</v>
      </c>
      <c r="T424">
        <f>IFERROR(VLOOKUP($A424,koronahun!$A:$AM,20,FALSE),"")</f>
        <v>6298</v>
      </c>
      <c r="U424">
        <f>IFERROR(VLOOKUP($A424,koronahun!$A:$AM,21,FALSE),"")</f>
        <v>444</v>
      </c>
      <c r="V424" s="13">
        <f>IFERROR(VLOOKUP($A424,koronahun!$A:$AM,22,FALSE),"")</f>
        <v>0.53504255741235818</v>
      </c>
      <c r="W424">
        <f>IFERROR(VLOOKUP($A424,koronahun!$A:$AM,23,FALSE),"")</f>
        <v>37</v>
      </c>
      <c r="X424">
        <f>IFERROR(VLOOKUP($A424,koronahun!$A:$AM,24,FALSE),"")</f>
        <v>-4</v>
      </c>
      <c r="Y424" s="14">
        <f>IFERROR(VLOOKUP($A424,koronahun!$A:$AM,25,FALSE),"")</f>
        <v>3.7065809762585777E-2</v>
      </c>
      <c r="Z424" s="14">
        <f>IFERROR(VLOOKUP($A424,koronahun!$A:$AM,26,FALSE),"")</f>
        <v>7.0498570974912675E-2</v>
      </c>
      <c r="AA424" s="14">
        <f>IFERROR(VLOOKUP($A424,koronahun!$A:$AM,27,FALSE),"")</f>
        <v>0.54370298471244849</v>
      </c>
      <c r="AB424" s="14">
        <f>IFERROR(VLOOKUP($A424,koronahun!$A:$AM,28,FALSE),"")</f>
        <v>0.63965350021465528</v>
      </c>
      <c r="AC424" s="14">
        <f>IFERROR(VLOOKUP($A424,koronahun!$A:$AM,29,FALSE),"")</f>
        <v>1600.4285714285713</v>
      </c>
      <c r="AD424" s="14">
        <f>IFERROR(VLOOKUP($A424,koronahun!$A:$AM,30,FALSE),"")</f>
        <v>118.57142857142857</v>
      </c>
      <c r="AE424" s="14">
        <f>IFERROR(VLOOKUP($A424,koronahun!$A:$AM,31,FALSE),"")</f>
        <v>13314.571428571429</v>
      </c>
      <c r="AF424" s="13">
        <f>IFERROR(VLOOKUP($A424,koronahun!$A:$AM,32,FALSE),"")</f>
        <v>0.13538408576412289</v>
      </c>
      <c r="AG424">
        <f>IFERROR(VLOOKUP($A424,koronahun!$A:$AM,33,FALSE),"")</f>
        <v>2461</v>
      </c>
      <c r="AH424">
        <f>IFERROR(VLOOKUP($A424,koronahun!$A:$AM,34,FALSE),"")</f>
        <v>1367</v>
      </c>
      <c r="AI424">
        <f>IFERROR(VLOOKUP($A424,koronahun!$A:$AM,35,FALSE),"")</f>
        <v>0</v>
      </c>
      <c r="AJ424">
        <f>IFERROR(VLOOKUP($A424,koronahun!$A:$AM,36,FALSE),"")</f>
        <v>0</v>
      </c>
      <c r="AK424">
        <f>IFERROR(VLOOKUP($A424,koronahun!$A:$AM,37,FALSE),"")</f>
        <v>0</v>
      </c>
      <c r="AL424">
        <f>IFERROR(VLOOKUP($A424,koronahun!$A:$AM,38,FALSE),"")</f>
        <v>0</v>
      </c>
      <c r="AM424" s="14">
        <f>IFERROR(VLOOKUP($A424,koronahun!$A:$AM,39,FALSE),"")</f>
        <v>4241.2857142857147</v>
      </c>
      <c r="AN424" s="11">
        <f ca="1">IFERROR(__xludf.DUMMYFUNCTION("""COMPUTED_VALUE"""),44316)</f>
        <v>44316</v>
      </c>
      <c r="AO424" s="12">
        <f ca="1">IFERROR(VLOOKUP(AN424,koronahun!A:B,2,FALSE),"")</f>
        <v>779348</v>
      </c>
      <c r="AP424" s="11">
        <f t="shared" ca="1" si="2"/>
        <v>44316</v>
      </c>
      <c r="AQ424" s="11">
        <f ca="1">IFERROR(__xludf.DUMMYFUNCTION("""COMPUTED_VALUE"""),44316)</f>
        <v>44316</v>
      </c>
      <c r="AR424" s="11">
        <v>44195</v>
      </c>
      <c r="AS424" s="11">
        <f t="shared" si="3"/>
        <v>44195</v>
      </c>
      <c r="AT424" s="11">
        <f ca="1">IFERROR(__xludf.DUMMYFUNCTION("""COMPUTED_VALUE"""),44194)</f>
        <v>44194</v>
      </c>
    </row>
    <row r="425" spans="1:46" ht="13">
      <c r="A425" s="11">
        <v>44193</v>
      </c>
      <c r="B425">
        <f>IFERROR(VLOOKUP($A425,koronahun!$A:$AM,2,FALSE),"")</f>
        <v>316669</v>
      </c>
      <c r="C425">
        <f>IFERROR(VLOOKUP($A425,koronahun!$A:$AM,3,FALSE),"")</f>
        <v>609</v>
      </c>
      <c r="D425">
        <f>IFERROR(VLOOKUP($A425,koronahun!$A:$AM,4,FALSE),"")</f>
        <v>9161</v>
      </c>
      <c r="E425">
        <f>IFERROR(VLOOKUP($A425,koronahun!$A:$AM,5,FALSE),"")</f>
        <v>134344</v>
      </c>
      <c r="F425">
        <f>IFERROR(VLOOKUP($A425,koronahun!$A:$AM,6,FALSE),"")</f>
        <v>2615237</v>
      </c>
      <c r="G425" s="12">
        <f>IFERROR(VLOOKUP($A425,koronahun!$A:$AM,7,FALSE),"")</f>
        <v>266860.91836734692</v>
      </c>
      <c r="H425">
        <f>IFERROR(VLOOKUP($A425,koronahun!$A:$AM,8,FALSE),"")</f>
        <v>0</v>
      </c>
      <c r="I425" s="13">
        <f>IFERROR(VLOOKUP($A425,koronahun!$A:$AM,9,FALSE),"")</f>
        <v>1.9268493324052394E-3</v>
      </c>
      <c r="J425" s="13">
        <f>IFERROR(VLOOKUP($A425,koronahun!$A:$AM,10,FALSE),"")</f>
        <v>0.12108615777461086</v>
      </c>
      <c r="K425" s="13">
        <f>IFERROR(VLOOKUP($A425,koronahun!$A:$AM,11,FALSE),"")</f>
        <v>1.7800573816646812E-3</v>
      </c>
      <c r="L425">
        <f>IFERROR(VLOOKUP($A425,koronahun!$A:$AM,12,FALSE),"")</f>
        <v>173164</v>
      </c>
      <c r="M425" s="13">
        <f>IFERROR(VLOOKUP($A425,koronahun!$A:$AM,13,FALSE),"")</f>
        <v>2.8929260521238266E-2</v>
      </c>
      <c r="N425" s="13">
        <f>IFERROR(VLOOKUP($A425,koronahun!$A:$AM,14,FALSE),"")</f>
        <v>0.42424108453937709</v>
      </c>
      <c r="O425">
        <f>IFERROR(VLOOKUP($A425,koronahun!$A:$AM,15,FALSE),"")</f>
        <v>24327</v>
      </c>
      <c r="P425">
        <f>IFERROR(VLOOKUP($A425,koronahun!$A:$AM,16,FALSE),"")</f>
        <v>4647</v>
      </c>
      <c r="Q425" s="13">
        <f>IFERROR(VLOOKUP($A425,koronahun!$A:$AM,17,FALSE),"")</f>
        <v>0.13105229180116204</v>
      </c>
      <c r="R425">
        <f>IFERROR(VLOOKUP($A425,koronahun!$A:$AM,18,FALSE),"")</f>
        <v>114</v>
      </c>
      <c r="S425">
        <f>IFERROR(VLOOKUP($A425,koronahun!$A:$AM,19,FALSE),"")</f>
        <v>3924</v>
      </c>
      <c r="T425">
        <f>IFERROR(VLOOKUP($A425,koronahun!$A:$AM,20,FALSE),"")</f>
        <v>6261</v>
      </c>
      <c r="U425">
        <f>IFERROR(VLOOKUP($A425,koronahun!$A:$AM,21,FALSE),"")</f>
        <v>448</v>
      </c>
      <c r="V425" s="13">
        <f>IFERROR(VLOOKUP($A425,koronahun!$A:$AM,22,FALSE),"")</f>
        <v>0.54682965493938462</v>
      </c>
      <c r="W425">
        <f>IFERROR(VLOOKUP($A425,koronahun!$A:$AM,23,FALSE),"")</f>
        <v>189</v>
      </c>
      <c r="X425">
        <f>IFERROR(VLOOKUP($A425,koronahun!$A:$AM,24,FALSE),"")</f>
        <v>-19</v>
      </c>
      <c r="Y425" s="14">
        <f>IFERROR(VLOOKUP($A425,koronahun!$A:$AM,25,FALSE),"")</f>
        <v>3.6156475941881684E-2</v>
      </c>
      <c r="Z425" s="14">
        <f>IFERROR(VLOOKUP($A425,koronahun!$A:$AM,26,FALSE),"")</f>
        <v>7.1554064845871262E-2</v>
      </c>
      <c r="AA425" s="14">
        <f>IFERROR(VLOOKUP($A425,koronahun!$A:$AM,27,FALSE),"")</f>
        <v>0.54275634995296329</v>
      </c>
      <c r="AB425" s="14">
        <f>IFERROR(VLOOKUP($A425,koronahun!$A:$AM,28,FALSE),"")</f>
        <v>0.66211674624129102</v>
      </c>
      <c r="AC425" s="14">
        <f>IFERROR(VLOOKUP($A425,koronahun!$A:$AM,29,FALSE),"")</f>
        <v>1648.4285714285713</v>
      </c>
      <c r="AD425" s="14">
        <f>IFERROR(VLOOKUP($A425,koronahun!$A:$AM,30,FALSE),"")</f>
        <v>125.57142857142857</v>
      </c>
      <c r="AE425" s="14">
        <f>IFERROR(VLOOKUP($A425,koronahun!$A:$AM,31,FALSE),"")</f>
        <v>13564.142857142857</v>
      </c>
      <c r="AF425" s="13">
        <f>IFERROR(VLOOKUP($A425,koronahun!$A:$AM,32,FALSE),"")</f>
        <v>0.13684971831978329</v>
      </c>
      <c r="AG425">
        <f>IFERROR(VLOOKUP($A425,koronahun!$A:$AM,33,FALSE),"")</f>
        <v>1094</v>
      </c>
      <c r="AH425">
        <f>IFERROR(VLOOKUP($A425,koronahun!$A:$AM,34,FALSE),"")</f>
        <v>1094</v>
      </c>
      <c r="AI425">
        <f>IFERROR(VLOOKUP($A425,koronahun!$A:$AM,35,FALSE),"")</f>
        <v>0</v>
      </c>
      <c r="AJ425">
        <f>IFERROR(VLOOKUP($A425,koronahun!$A:$AM,36,FALSE),"")</f>
        <v>0</v>
      </c>
      <c r="AK425">
        <f>IFERROR(VLOOKUP($A425,koronahun!$A:$AM,37,FALSE),"")</f>
        <v>0</v>
      </c>
      <c r="AL425">
        <f>IFERROR(VLOOKUP($A425,koronahun!$A:$AM,38,FALSE),"")</f>
        <v>0</v>
      </c>
      <c r="AM425" s="14">
        <f>IFERROR(VLOOKUP($A425,koronahun!$A:$AM,39,FALSE),"")</f>
        <v>4483.1428571428569</v>
      </c>
      <c r="AN425" s="11">
        <f ca="1">IFERROR(__xludf.DUMMYFUNCTION("""COMPUTED_VALUE"""),44317)</f>
        <v>44317</v>
      </c>
      <c r="AO425" s="12">
        <f ca="1">IFERROR(VLOOKUP(AN425,koronahun!A:B,2,FALSE),"")</f>
        <v>781299</v>
      </c>
      <c r="AP425" s="11">
        <f t="shared" ca="1" si="2"/>
        <v>44317</v>
      </c>
      <c r="AQ425" s="11">
        <f ca="1">IFERROR(__xludf.DUMMYFUNCTION("""COMPUTED_VALUE"""),44317)</f>
        <v>44317</v>
      </c>
      <c r="AR425" s="11">
        <v>44194</v>
      </c>
      <c r="AS425" s="11">
        <f t="shared" si="3"/>
        <v>44194</v>
      </c>
      <c r="AT425" s="11">
        <f ca="1">IFERROR(__xludf.DUMMYFUNCTION("""COMPUTED_VALUE"""),44193)</f>
        <v>44193</v>
      </c>
    </row>
    <row r="426" spans="1:46" ht="13">
      <c r="A426" s="11">
        <v>44192</v>
      </c>
      <c r="B426">
        <f>IFERROR(VLOOKUP($A426,koronahun!$A:$AM,2,FALSE),"")</f>
        <v>316060</v>
      </c>
      <c r="C426">
        <f>IFERROR(VLOOKUP($A426,koronahun!$A:$AM,3,FALSE),"")</f>
        <v>698</v>
      </c>
      <c r="D426">
        <f>IFERROR(VLOOKUP($A426,koronahun!$A:$AM,4,FALSE),"")</f>
        <v>9047</v>
      </c>
      <c r="E426">
        <f>IFERROR(VLOOKUP($A426,koronahun!$A:$AM,5,FALSE),"")</f>
        <v>130420</v>
      </c>
      <c r="F426">
        <f>IFERROR(VLOOKUP($A426,koronahun!$A:$AM,6,FALSE),"")</f>
        <v>2610590</v>
      </c>
      <c r="G426" s="12">
        <f>IFERROR(VLOOKUP($A426,koronahun!$A:$AM,7,FALSE),"")</f>
        <v>266386.73469387752</v>
      </c>
      <c r="H426">
        <f>IFERROR(VLOOKUP($A426,koronahun!$A:$AM,8,FALSE),"")</f>
        <v>0</v>
      </c>
      <c r="I426" s="13">
        <f>IFERROR(VLOOKUP($A426,koronahun!$A:$AM,9,FALSE),"")</f>
        <v>2.2133294436235186E-3</v>
      </c>
      <c r="J426" s="13">
        <f>IFERROR(VLOOKUP($A426,koronahun!$A:$AM,10,FALSE),"")</f>
        <v>0.12106841748417024</v>
      </c>
      <c r="K426" s="13">
        <f>IFERROR(VLOOKUP($A426,koronahun!$A:$AM,11,FALSE),"")</f>
        <v>1.2626097975758812E-3</v>
      </c>
      <c r="L426">
        <f>IFERROR(VLOOKUP($A426,koronahun!$A:$AM,12,FALSE),"")</f>
        <v>176593</v>
      </c>
      <c r="M426" s="13">
        <f>IFERROR(VLOOKUP($A426,koronahun!$A:$AM,13,FALSE),"")</f>
        <v>2.8624311839524141E-2</v>
      </c>
      <c r="N426" s="13">
        <f>IFERROR(VLOOKUP($A426,koronahun!$A:$AM,14,FALSE),"")</f>
        <v>0.41264316901854076</v>
      </c>
      <c r="O426">
        <f>IFERROR(VLOOKUP($A426,koronahun!$A:$AM,15,FALSE),"")</f>
        <v>24327</v>
      </c>
      <c r="P426">
        <f>IFERROR(VLOOKUP($A426,koronahun!$A:$AM,16,FALSE),"")</f>
        <v>3292</v>
      </c>
      <c r="Q426" s="13">
        <f>IFERROR(VLOOKUP($A426,koronahun!$A:$AM,17,FALSE),"")</f>
        <v>0.21202916160388821</v>
      </c>
      <c r="R426">
        <f>IFERROR(VLOOKUP($A426,koronahun!$A:$AM,18,FALSE),"")</f>
        <v>96</v>
      </c>
      <c r="S426">
        <f>IFERROR(VLOOKUP($A426,koronahun!$A:$AM,19,FALSE),"")</f>
        <v>3938</v>
      </c>
      <c r="T426">
        <f>IFERROR(VLOOKUP($A426,koronahun!$A:$AM,20,FALSE),"")</f>
        <v>6072</v>
      </c>
      <c r="U426">
        <f>IFERROR(VLOOKUP($A426,koronahun!$A:$AM,21,FALSE),"")</f>
        <v>467</v>
      </c>
      <c r="V426" s="13">
        <f>IFERROR(VLOOKUP($A426,koronahun!$A:$AM,22,FALSE),"")</f>
        <v>0.55873251914193511</v>
      </c>
      <c r="W426">
        <f>IFERROR(VLOOKUP($A426,koronahun!$A:$AM,23,FALSE),"")</f>
        <v>69</v>
      </c>
      <c r="X426">
        <f>IFERROR(VLOOKUP($A426,koronahun!$A:$AM,24,FALSE),"")</f>
        <v>-1</v>
      </c>
      <c r="Y426" s="14">
        <f>IFERROR(VLOOKUP($A426,koronahun!$A:$AM,25,FALSE),"")</f>
        <v>3.4384148862072673E-2</v>
      </c>
      <c r="Z426" s="14">
        <f>IFERROR(VLOOKUP($A426,koronahun!$A:$AM,26,FALSE),"")</f>
        <v>7.6910408432147567E-2</v>
      </c>
      <c r="AA426" s="14">
        <f>IFERROR(VLOOKUP($A426,koronahun!$A:$AM,27,FALSE),"")</f>
        <v>0.57864447297357124</v>
      </c>
      <c r="AB426" s="14">
        <f>IFERROR(VLOOKUP($A426,koronahun!$A:$AM,28,FALSE),"")</f>
        <v>0.68676513448039245</v>
      </c>
      <c r="AC426" s="14">
        <f>IFERROR(VLOOKUP($A426,koronahun!$A:$AM,29,FALSE),"")</f>
        <v>1867.2857142857142</v>
      </c>
      <c r="AD426" s="14">
        <f>IFERROR(VLOOKUP($A426,koronahun!$A:$AM,30,FALSE),"")</f>
        <v>135.42857142857142</v>
      </c>
      <c r="AE426" s="14">
        <f>IFERROR(VLOOKUP($A426,koronahun!$A:$AM,31,FALSE),"")</f>
        <v>15107.571428571429</v>
      </c>
      <c r="AF426" s="13">
        <f>IFERROR(VLOOKUP($A426,koronahun!$A:$AM,32,FALSE),"")</f>
        <v>0.13792325992485963</v>
      </c>
      <c r="AG426">
        <f>IFERROR(VLOOKUP($A426,koronahun!$A:$AM,33,FALSE),"")</f>
        <v>0</v>
      </c>
      <c r="AH426">
        <f>IFERROR(VLOOKUP($A426,koronahun!$A:$AM,34,FALSE),"")</f>
        <v>0</v>
      </c>
      <c r="AI426">
        <f>IFERROR(VLOOKUP($A426,koronahun!$A:$AM,35,FALSE),"")</f>
        <v>0</v>
      </c>
      <c r="AJ426">
        <f>IFERROR(VLOOKUP($A426,koronahun!$A:$AM,36,FALSE),"")</f>
        <v>0</v>
      </c>
      <c r="AK426">
        <f>IFERROR(VLOOKUP($A426,koronahun!$A:$AM,37,FALSE),"")</f>
        <v>0</v>
      </c>
      <c r="AL426">
        <f>IFERROR(VLOOKUP($A426,koronahun!$A:$AM,38,FALSE),"")</f>
        <v>0</v>
      </c>
      <c r="AM426" s="14">
        <f>IFERROR(VLOOKUP($A426,koronahun!$A:$AM,39,FALSE),"")</f>
        <v>4711</v>
      </c>
      <c r="AN426" s="11">
        <f ca="1">IFERROR(__xludf.DUMMYFUNCTION("""COMPUTED_VALUE"""),44318)</f>
        <v>44318</v>
      </c>
      <c r="AO426" s="12">
        <f ca="1">IFERROR(VLOOKUP(AN426,koronahun!A:B,2,FALSE),"")</f>
        <v>782892</v>
      </c>
      <c r="AP426" s="11">
        <f t="shared" ca="1" si="2"/>
        <v>44318</v>
      </c>
      <c r="AQ426" s="11">
        <f ca="1">IFERROR(__xludf.DUMMYFUNCTION("""COMPUTED_VALUE"""),44318)</f>
        <v>44318</v>
      </c>
      <c r="AR426" s="11">
        <v>44193</v>
      </c>
      <c r="AS426" s="11">
        <f t="shared" si="3"/>
        <v>44193</v>
      </c>
      <c r="AT426" s="11">
        <f ca="1">IFERROR(__xludf.DUMMYFUNCTION("""COMPUTED_VALUE"""),44192)</f>
        <v>44192</v>
      </c>
    </row>
    <row r="427" spans="1:46" ht="13">
      <c r="A427" s="11">
        <v>44191</v>
      </c>
      <c r="B427">
        <f>IFERROR(VLOOKUP($A427,koronahun!$A:$AM,2,FALSE),"")</f>
        <v>315362</v>
      </c>
      <c r="C427">
        <f>IFERROR(VLOOKUP($A427,koronahun!$A:$AM,3,FALSE),"")</f>
        <v>1198</v>
      </c>
      <c r="D427">
        <f>IFERROR(VLOOKUP($A427,koronahun!$A:$AM,4,FALSE),"")</f>
        <v>8951</v>
      </c>
      <c r="E427">
        <f>IFERROR(VLOOKUP($A427,koronahun!$A:$AM,5,FALSE),"")</f>
        <v>126482</v>
      </c>
      <c r="F427">
        <f>IFERROR(VLOOKUP($A427,koronahun!$A:$AM,6,FALSE),"")</f>
        <v>2607298</v>
      </c>
      <c r="G427" s="12">
        <f>IFERROR(VLOOKUP($A427,koronahun!$A:$AM,7,FALSE),"")</f>
        <v>266050.81632653059</v>
      </c>
      <c r="H427">
        <f>IFERROR(VLOOKUP($A427,koronahun!$A:$AM,8,FALSE),"")</f>
        <v>0</v>
      </c>
      <c r="I427" s="13">
        <f>IFERROR(VLOOKUP($A427,koronahun!$A:$AM,9,FALSE),"")</f>
        <v>3.8132949669599319E-3</v>
      </c>
      <c r="J427" s="13">
        <f>IFERROR(VLOOKUP($A427,koronahun!$A:$AM,10,FALSE),"")</f>
        <v>0.1209535695574499</v>
      </c>
      <c r="K427" s="13">
        <f>IFERROR(VLOOKUP($A427,koronahun!$A:$AM,11,FALSE),"")</f>
        <v>3.6546252142193947E-3</v>
      </c>
      <c r="L427">
        <f>IFERROR(VLOOKUP($A427,koronahun!$A:$AM,12,FALSE),"")</f>
        <v>179929</v>
      </c>
      <c r="M427" s="13">
        <f>IFERROR(VLOOKUP($A427,koronahun!$A:$AM,13,FALSE),"")</f>
        <v>2.8383254799246579E-2</v>
      </c>
      <c r="N427" s="13">
        <f>IFERROR(VLOOKUP($A427,koronahun!$A:$AM,14,FALSE),"")</f>
        <v>0.40106924740457001</v>
      </c>
      <c r="O427">
        <f>IFERROR(VLOOKUP($A427,koronahun!$A:$AM,15,FALSE),"")</f>
        <v>24878</v>
      </c>
      <c r="P427">
        <f>IFERROR(VLOOKUP($A427,koronahun!$A:$AM,16,FALSE),"")</f>
        <v>9494</v>
      </c>
      <c r="Q427" s="13">
        <f>IFERROR(VLOOKUP($A427,koronahun!$A:$AM,17,FALSE),"")</f>
        <v>0.12618495892142406</v>
      </c>
      <c r="R427">
        <f>IFERROR(VLOOKUP($A427,koronahun!$A:$AM,18,FALSE),"")</f>
        <v>118</v>
      </c>
      <c r="S427">
        <f>IFERROR(VLOOKUP($A427,koronahun!$A:$AM,19,FALSE),"")</f>
        <v>2493</v>
      </c>
      <c r="T427">
        <f>IFERROR(VLOOKUP($A427,koronahun!$A:$AM,20,FALSE),"")</f>
        <v>6003</v>
      </c>
      <c r="U427">
        <f>IFERROR(VLOOKUP($A427,koronahun!$A:$AM,21,FALSE),"")</f>
        <v>468</v>
      </c>
      <c r="V427" s="13">
        <f>IFERROR(VLOOKUP($A427,koronahun!$A:$AM,22,FALSE),"")</f>
        <v>0.57054749779618341</v>
      </c>
      <c r="W427">
        <f>IFERROR(VLOOKUP($A427,koronahun!$A:$AM,23,FALSE),"")</f>
        <v>-3</v>
      </c>
      <c r="X427">
        <f>IFERROR(VLOOKUP($A427,koronahun!$A:$AM,24,FALSE),"")</f>
        <v>-21</v>
      </c>
      <c r="Y427" s="14">
        <f>IFERROR(VLOOKUP($A427,koronahun!$A:$AM,25,FALSE),"")</f>
        <v>3.3363159913076826E-2</v>
      </c>
      <c r="Z427" s="14">
        <f>IFERROR(VLOOKUP($A427,koronahun!$A:$AM,26,FALSE),"")</f>
        <v>7.7961019490254871E-2</v>
      </c>
      <c r="AA427" s="14">
        <f>IFERROR(VLOOKUP($A427,koronahun!$A:$AM,27,FALSE),"")</f>
        <v>0.64521556256572032</v>
      </c>
      <c r="AB427" s="14">
        <f>IFERROR(VLOOKUP($A427,koronahun!$A:$AM,28,FALSE),"")</f>
        <v>0.71123263893888089</v>
      </c>
      <c r="AC427" s="14">
        <f>IFERROR(VLOOKUP($A427,koronahun!$A:$AM,29,FALSE),"")</f>
        <v>2191.4285714285716</v>
      </c>
      <c r="AD427" s="14">
        <f>IFERROR(VLOOKUP($A427,koronahun!$A:$AM,30,FALSE),"")</f>
        <v>148.14285714285714</v>
      </c>
      <c r="AE427" s="14">
        <f>IFERROR(VLOOKUP($A427,koronahun!$A:$AM,31,FALSE),"")</f>
        <v>18070.571428571428</v>
      </c>
      <c r="AF427" s="13">
        <f>IFERROR(VLOOKUP($A427,koronahun!$A:$AM,32,FALSE),"")</f>
        <v>0.12526984384324422</v>
      </c>
      <c r="AG427">
        <f>IFERROR(VLOOKUP($A427,koronahun!$A:$AM,33,FALSE),"")</f>
        <v>0</v>
      </c>
      <c r="AH427">
        <f>IFERROR(VLOOKUP($A427,koronahun!$A:$AM,34,FALSE),"")</f>
        <v>0</v>
      </c>
      <c r="AI427">
        <f>IFERROR(VLOOKUP($A427,koronahun!$A:$AM,35,FALSE),"")</f>
        <v>0</v>
      </c>
      <c r="AJ427">
        <f>IFERROR(VLOOKUP($A427,koronahun!$A:$AM,36,FALSE),"")</f>
        <v>0</v>
      </c>
      <c r="AK427">
        <f>IFERROR(VLOOKUP($A427,koronahun!$A:$AM,37,FALSE),"")</f>
        <v>0</v>
      </c>
      <c r="AL427">
        <f>IFERROR(VLOOKUP($A427,koronahun!$A:$AM,38,FALSE),"")</f>
        <v>0</v>
      </c>
      <c r="AM427" s="14">
        <f>IFERROR(VLOOKUP($A427,koronahun!$A:$AM,39,FALSE),"")</f>
        <v>4737</v>
      </c>
      <c r="AN427" s="11">
        <f ca="1">IFERROR(__xludf.DUMMYFUNCTION("""COMPUTED_VALUE"""),44319)</f>
        <v>44319</v>
      </c>
      <c r="AO427" s="12">
        <f ca="1">IFERROR(VLOOKUP(AN427,koronahun!A:B,2,FALSE),"")</f>
        <v>784111</v>
      </c>
      <c r="AP427" s="11">
        <f t="shared" ca="1" si="2"/>
        <v>44319</v>
      </c>
      <c r="AQ427" s="11">
        <f ca="1">IFERROR(__xludf.DUMMYFUNCTION("""COMPUTED_VALUE"""),44319)</f>
        <v>44319</v>
      </c>
      <c r="AR427" s="11">
        <v>44192</v>
      </c>
      <c r="AS427" s="11">
        <f t="shared" si="3"/>
        <v>44192</v>
      </c>
      <c r="AT427" s="11">
        <f ca="1">IFERROR(__xludf.DUMMYFUNCTION("""COMPUTED_VALUE"""),44191)</f>
        <v>44191</v>
      </c>
    </row>
    <row r="428" spans="1:46" ht="13">
      <c r="A428" s="11">
        <v>44190</v>
      </c>
      <c r="B428">
        <f>IFERROR(VLOOKUP($A428,koronahun!$A:$AM,2,FALSE),"")</f>
        <v>314164</v>
      </c>
      <c r="C428">
        <f>IFERROR(VLOOKUP($A428,koronahun!$A:$AM,3,FALSE),"")</f>
        <v>2610</v>
      </c>
      <c r="D428">
        <f>IFERROR(VLOOKUP($A428,koronahun!$A:$AM,4,FALSE),"")</f>
        <v>8833</v>
      </c>
      <c r="E428">
        <f>IFERROR(VLOOKUP($A428,koronahun!$A:$AM,5,FALSE),"")</f>
        <v>123989</v>
      </c>
      <c r="F428">
        <f>IFERROR(VLOOKUP($A428,koronahun!$A:$AM,6,FALSE),"")</f>
        <v>2597804</v>
      </c>
      <c r="G428" s="12">
        <f>IFERROR(VLOOKUP($A428,koronahun!$A:$AM,7,FALSE),"")</f>
        <v>265082.04081632651</v>
      </c>
      <c r="H428">
        <f>IFERROR(VLOOKUP($A428,koronahun!$A:$AM,8,FALSE),"")</f>
        <v>0</v>
      </c>
      <c r="I428" s="13">
        <f>IFERROR(VLOOKUP($A428,koronahun!$A:$AM,9,FALSE),"")</f>
        <v>8.3773599440225451E-3</v>
      </c>
      <c r="J428" s="13">
        <f>IFERROR(VLOOKUP($A428,koronahun!$A:$AM,10,FALSE),"")</f>
        <v>0.12093445078997492</v>
      </c>
      <c r="K428" s="13">
        <f>IFERROR(VLOOKUP($A428,koronahun!$A:$AM,11,FALSE),"")</f>
        <v>8.6013239376468084E-3</v>
      </c>
      <c r="L428">
        <f>IFERROR(VLOOKUP($A428,koronahun!$A:$AM,12,FALSE),"")</f>
        <v>181342</v>
      </c>
      <c r="M428" s="13">
        <f>IFERROR(VLOOKUP($A428,koronahun!$A:$AM,13,FALSE),"")</f>
        <v>2.8115888516825609E-2</v>
      </c>
      <c r="N428" s="13">
        <f>IFERROR(VLOOKUP($A428,koronahun!$A:$AM,14,FALSE),"")</f>
        <v>0.39466329687679047</v>
      </c>
      <c r="O428">
        <f>IFERROR(VLOOKUP($A428,koronahun!$A:$AM,15,FALSE),"")</f>
        <v>29961</v>
      </c>
      <c r="P428">
        <f>IFERROR(VLOOKUP($A428,koronahun!$A:$AM,16,FALSE),"")</f>
        <v>22154</v>
      </c>
      <c r="Q428" s="13">
        <f>IFERROR(VLOOKUP($A428,koronahun!$A:$AM,17,FALSE),"")</f>
        <v>0.11781168186332039</v>
      </c>
      <c r="R428">
        <f>IFERROR(VLOOKUP($A428,koronahun!$A:$AM,18,FALSE),"")</f>
        <v>104</v>
      </c>
      <c r="S428">
        <f>IFERROR(VLOOKUP($A428,koronahun!$A:$AM,19,FALSE),"")</f>
        <v>3460</v>
      </c>
      <c r="T428">
        <f>IFERROR(VLOOKUP($A428,koronahun!$A:$AM,20,FALSE),"")</f>
        <v>6006</v>
      </c>
      <c r="U428">
        <f>IFERROR(VLOOKUP($A428,koronahun!$A:$AM,21,FALSE),"")</f>
        <v>489</v>
      </c>
      <c r="V428" s="13">
        <f>IFERROR(VLOOKUP($A428,koronahun!$A:$AM,22,FALSE),"")</f>
        <v>0.57722081460638397</v>
      </c>
      <c r="W428">
        <f>IFERROR(VLOOKUP($A428,koronahun!$A:$AM,23,FALSE),"")</f>
        <v>-376</v>
      </c>
      <c r="X428">
        <f>IFERROR(VLOOKUP($A428,koronahun!$A:$AM,24,FALSE),"")</f>
        <v>-2</v>
      </c>
      <c r="Y428" s="14">
        <f>IFERROR(VLOOKUP($A428,koronahun!$A:$AM,25,FALSE),"")</f>
        <v>3.3119740600633059E-2</v>
      </c>
      <c r="Z428" s="14">
        <f>IFERROR(VLOOKUP($A428,koronahun!$A:$AM,26,FALSE),"")</f>
        <v>8.1418581418581423E-2</v>
      </c>
      <c r="AA428" s="14">
        <f>IFERROR(VLOOKUP($A428,koronahun!$A:$AM,27,FALSE),"")</f>
        <v>0.73402752552770711</v>
      </c>
      <c r="AB428" s="14">
        <f>IFERROR(VLOOKUP($A428,koronahun!$A:$AM,28,FALSE),"")</f>
        <v>0.72303341227781837</v>
      </c>
      <c r="AC428" s="14">
        <f>IFERROR(VLOOKUP($A428,koronahun!$A:$AM,29,FALSE),"")</f>
        <v>2598.1428571428573</v>
      </c>
      <c r="AD428" s="14">
        <f>IFERROR(VLOOKUP($A428,koronahun!$A:$AM,30,FALSE),"")</f>
        <v>158.28571428571428</v>
      </c>
      <c r="AE428" s="14">
        <f>IFERROR(VLOOKUP($A428,koronahun!$A:$AM,31,FALSE),"")</f>
        <v>20172</v>
      </c>
      <c r="AF428" s="13">
        <f>IFERROR(VLOOKUP($A428,koronahun!$A:$AM,32,FALSE),"")</f>
        <v>0.1311178692833477</v>
      </c>
      <c r="AG428">
        <f>IFERROR(VLOOKUP($A428,koronahun!$A:$AM,33,FALSE),"")</f>
        <v>0</v>
      </c>
      <c r="AH428">
        <f>IFERROR(VLOOKUP($A428,koronahun!$A:$AM,34,FALSE),"")</f>
        <v>0</v>
      </c>
      <c r="AI428">
        <f>IFERROR(VLOOKUP($A428,koronahun!$A:$AM,35,FALSE),"")</f>
        <v>0</v>
      </c>
      <c r="AJ428">
        <f>IFERROR(VLOOKUP($A428,koronahun!$A:$AM,36,FALSE),"")</f>
        <v>0</v>
      </c>
      <c r="AK428">
        <f>IFERROR(VLOOKUP($A428,koronahun!$A:$AM,37,FALSE),"")</f>
        <v>0</v>
      </c>
      <c r="AL428">
        <f>IFERROR(VLOOKUP($A428,koronahun!$A:$AM,38,FALSE),"")</f>
        <v>0</v>
      </c>
      <c r="AM428" s="14">
        <f>IFERROR(VLOOKUP($A428,koronahun!$A:$AM,39,FALSE),"")</f>
        <v>4882.1428571428569</v>
      </c>
      <c r="AN428" s="11">
        <f ca="1">IFERROR(__xludf.DUMMYFUNCTION("""COMPUTED_VALUE"""),44320)</f>
        <v>44320</v>
      </c>
      <c r="AO428" s="12">
        <f ca="1">IFERROR(VLOOKUP(AN428,koronahun!A:B,2,FALSE),"")</f>
        <v>784837</v>
      </c>
      <c r="AP428" s="11">
        <f t="shared" ca="1" si="2"/>
        <v>44320</v>
      </c>
      <c r="AQ428" s="11">
        <f ca="1">IFERROR(__xludf.DUMMYFUNCTION("""COMPUTED_VALUE"""),44320)</f>
        <v>44320</v>
      </c>
      <c r="AR428" s="11">
        <v>44191</v>
      </c>
      <c r="AS428" s="11">
        <f t="shared" si="3"/>
        <v>44191</v>
      </c>
      <c r="AT428" s="11">
        <f ca="1">IFERROR(__xludf.DUMMYFUNCTION("""COMPUTED_VALUE"""),44190)</f>
        <v>44190</v>
      </c>
    </row>
    <row r="429" spans="1:46" ht="13">
      <c r="A429" s="11">
        <v>44189</v>
      </c>
      <c r="B429">
        <f>IFERROR(VLOOKUP($A429,koronahun!$A:$AM,2,FALSE),"")</f>
        <v>311554</v>
      </c>
      <c r="C429">
        <f>IFERROR(VLOOKUP($A429,koronahun!$A:$AM,3,FALSE),"")</f>
        <v>3292</v>
      </c>
      <c r="D429">
        <f>IFERROR(VLOOKUP($A429,koronahun!$A:$AM,4,FALSE),"")</f>
        <v>8729</v>
      </c>
      <c r="E429">
        <f>IFERROR(VLOOKUP($A429,koronahun!$A:$AM,5,FALSE),"")</f>
        <v>120529</v>
      </c>
      <c r="F429">
        <f>IFERROR(VLOOKUP($A429,koronahun!$A:$AM,6,FALSE),"")</f>
        <v>2575650</v>
      </c>
      <c r="G429" s="12">
        <f>IFERROR(VLOOKUP($A429,koronahun!$A:$AM,7,FALSE),"")</f>
        <v>262821.42857142858</v>
      </c>
      <c r="H429">
        <f>IFERROR(VLOOKUP($A429,koronahun!$A:$AM,8,FALSE),"")</f>
        <v>0</v>
      </c>
      <c r="I429" s="13">
        <f>IFERROR(VLOOKUP($A429,koronahun!$A:$AM,9,FALSE),"")</f>
        <v>1.0679227410449552E-2</v>
      </c>
      <c r="J429" s="13">
        <f>IFERROR(VLOOKUP($A429,koronahun!$A:$AM,10,FALSE),"")</f>
        <v>0.12096131073709548</v>
      </c>
      <c r="K429" s="13">
        <f>IFERROR(VLOOKUP($A429,koronahun!$A:$AM,11,FALSE),"")</f>
        <v>1.0271178569299272E-2</v>
      </c>
      <c r="L429">
        <f>IFERROR(VLOOKUP($A429,koronahun!$A:$AM,12,FALSE),"")</f>
        <v>182296</v>
      </c>
      <c r="M429" s="13">
        <f>IFERROR(VLOOKUP($A429,koronahun!$A:$AM,13,FALSE),"")</f>
        <v>2.8017614923897621E-2</v>
      </c>
      <c r="N429" s="13">
        <f>IFERROR(VLOOKUP($A429,koronahun!$A:$AM,14,FALSE),"")</f>
        <v>0.38686391444179818</v>
      </c>
      <c r="O429">
        <f>IFERROR(VLOOKUP($A429,koronahun!$A:$AM,15,FALSE),"")</f>
        <v>29019</v>
      </c>
      <c r="P429">
        <f>IFERROR(VLOOKUP($A429,koronahun!$A:$AM,16,FALSE),"")</f>
        <v>26186</v>
      </c>
      <c r="Q429" s="13">
        <f>IFERROR(VLOOKUP($A429,koronahun!$A:$AM,17,FALSE),"")</f>
        <v>0.1257160314671962</v>
      </c>
      <c r="R429">
        <f>IFERROR(VLOOKUP($A429,koronahun!$A:$AM,18,FALSE),"")</f>
        <v>113</v>
      </c>
      <c r="S429">
        <f>IFERROR(VLOOKUP($A429,koronahun!$A:$AM,19,FALSE),"")</f>
        <v>5898</v>
      </c>
      <c r="T429">
        <f>IFERROR(VLOOKUP($A429,koronahun!$A:$AM,20,FALSE),"")</f>
        <v>6382</v>
      </c>
      <c r="U429">
        <f>IFERROR(VLOOKUP($A429,koronahun!$A:$AM,21,FALSE),"")</f>
        <v>491</v>
      </c>
      <c r="V429" s="13">
        <f>IFERROR(VLOOKUP($A429,koronahun!$A:$AM,22,FALSE),"")</f>
        <v>0.58511847063430411</v>
      </c>
      <c r="W429">
        <f>IFERROR(VLOOKUP($A429,koronahun!$A:$AM,23,FALSE),"")</f>
        <v>-345</v>
      </c>
      <c r="X429">
        <f>IFERROR(VLOOKUP($A429,koronahun!$A:$AM,24,FALSE),"")</f>
        <v>-4</v>
      </c>
      <c r="Y429" s="14">
        <f>IFERROR(VLOOKUP($A429,koronahun!$A:$AM,25,FALSE),"")</f>
        <v>3.5008996357572299E-2</v>
      </c>
      <c r="Z429" s="14">
        <f>IFERROR(VLOOKUP($A429,koronahun!$A:$AM,26,FALSE),"")</f>
        <v>7.6935130053274833E-2</v>
      </c>
      <c r="AA429" s="14">
        <f>IFERROR(VLOOKUP($A429,koronahun!$A:$AM,27,FALSE),"")</f>
        <v>0.75359752881790099</v>
      </c>
      <c r="AB429" s="14">
        <f>IFERROR(VLOOKUP($A429,koronahun!$A:$AM,28,FALSE),"")</f>
        <v>0.72496606845307821</v>
      </c>
      <c r="AC429" s="14">
        <f>IFERROR(VLOOKUP($A429,koronahun!$A:$AM,29,FALSE),"")</f>
        <v>2857.8571428571427</v>
      </c>
      <c r="AD429" s="14">
        <f>IFERROR(VLOOKUP($A429,koronahun!$A:$AM,30,FALSE),"")</f>
        <v>170.14285714285714</v>
      </c>
      <c r="AE429" s="14">
        <f>IFERROR(VLOOKUP($A429,koronahun!$A:$AM,31,FALSE),"")</f>
        <v>21588.142857142859</v>
      </c>
      <c r="AF429" s="13">
        <f>IFERROR(VLOOKUP($A429,koronahun!$A:$AM,32,FALSE),"")</f>
        <v>0.13401418368617796</v>
      </c>
      <c r="AG429">
        <f>IFERROR(VLOOKUP($A429,koronahun!$A:$AM,33,FALSE),"")</f>
        <v>0</v>
      </c>
      <c r="AH429">
        <f>IFERROR(VLOOKUP($A429,koronahun!$A:$AM,34,FALSE),"")</f>
        <v>0</v>
      </c>
      <c r="AI429">
        <f>IFERROR(VLOOKUP($A429,koronahun!$A:$AM,35,FALSE),"")</f>
        <v>0</v>
      </c>
      <c r="AJ429">
        <f>IFERROR(VLOOKUP($A429,koronahun!$A:$AM,36,FALSE),"")</f>
        <v>0</v>
      </c>
      <c r="AK429">
        <f>IFERROR(VLOOKUP($A429,koronahun!$A:$AM,37,FALSE),"")</f>
        <v>0</v>
      </c>
      <c r="AL429">
        <f>IFERROR(VLOOKUP($A429,koronahun!$A:$AM,38,FALSE),"")</f>
        <v>0</v>
      </c>
      <c r="AM429" s="14">
        <f>IFERROR(VLOOKUP($A429,koronahun!$A:$AM,39,FALSE),"")</f>
        <v>4796.4285714285716</v>
      </c>
      <c r="AN429" s="11">
        <f ca="1">IFERROR(__xludf.DUMMYFUNCTION("""COMPUTED_VALUE"""),44321)</f>
        <v>44321</v>
      </c>
      <c r="AO429" s="12">
        <f ca="1">IFERROR(VLOOKUP(AN429,koronahun!A:B,2,FALSE),"")</f>
        <v>785967</v>
      </c>
      <c r="AP429" s="11">
        <f t="shared" ca="1" si="2"/>
        <v>44321</v>
      </c>
      <c r="AQ429" s="11">
        <f ca="1">IFERROR(__xludf.DUMMYFUNCTION("""COMPUTED_VALUE"""),44321)</f>
        <v>44321</v>
      </c>
      <c r="AR429" s="11">
        <v>44190</v>
      </c>
      <c r="AS429" s="11">
        <f t="shared" si="3"/>
        <v>44190</v>
      </c>
      <c r="AT429" s="11">
        <f ca="1">IFERROR(__xludf.DUMMYFUNCTION("""COMPUTED_VALUE"""),44189)</f>
        <v>44189</v>
      </c>
    </row>
    <row r="430" spans="1:46" ht="13">
      <c r="A430" s="11">
        <v>44188</v>
      </c>
      <c r="B430">
        <f>IFERROR(VLOOKUP($A430,koronahun!$A:$AM,2,FALSE),"")</f>
        <v>308262</v>
      </c>
      <c r="C430">
        <f>IFERROR(VLOOKUP($A430,koronahun!$A:$AM,3,FALSE),"")</f>
        <v>1894</v>
      </c>
      <c r="D430">
        <f>IFERROR(VLOOKUP($A430,koronahun!$A:$AM,4,FALSE),"")</f>
        <v>8616</v>
      </c>
      <c r="E430">
        <f>IFERROR(VLOOKUP($A430,koronahun!$A:$AM,5,FALSE),"")</f>
        <v>114631</v>
      </c>
      <c r="F430">
        <f>IFERROR(VLOOKUP($A430,koronahun!$A:$AM,6,FALSE),"")</f>
        <v>2549464</v>
      </c>
      <c r="G430" s="12">
        <f>IFERROR(VLOOKUP($A430,koronahun!$A:$AM,7,FALSE),"")</f>
        <v>260149.38775510201</v>
      </c>
      <c r="H430">
        <f>IFERROR(VLOOKUP($A430,koronahun!$A:$AM,8,FALSE),"")</f>
        <v>0</v>
      </c>
      <c r="I430" s="13">
        <f>IFERROR(VLOOKUP($A430,koronahun!$A:$AM,9,FALSE),"")</f>
        <v>6.1821077919364947E-3</v>
      </c>
      <c r="J430" s="13">
        <f>IFERROR(VLOOKUP($A430,koronahun!$A:$AM,10,FALSE),"")</f>
        <v>0.12091247415142947</v>
      </c>
      <c r="K430" s="13">
        <f>IFERROR(VLOOKUP($A430,koronahun!$A:$AM,11,FALSE),"")</f>
        <v>8.4007554707353979E-3</v>
      </c>
      <c r="L430">
        <f>IFERROR(VLOOKUP($A430,koronahun!$A:$AM,12,FALSE),"")</f>
        <v>185015</v>
      </c>
      <c r="M430" s="13">
        <f>IFERROR(VLOOKUP($A430,koronahun!$A:$AM,13,FALSE),"")</f>
        <v>2.7950250111917783E-2</v>
      </c>
      <c r="N430" s="13">
        <f>IFERROR(VLOOKUP($A430,koronahun!$A:$AM,14,FALSE),"")</f>
        <v>0.3718622470495877</v>
      </c>
      <c r="O430">
        <f>IFERROR(VLOOKUP($A430,koronahun!$A:$AM,15,FALSE),"")</f>
        <v>29316</v>
      </c>
      <c r="P430">
        <f>IFERROR(VLOOKUP($A430,koronahun!$A:$AM,16,FALSE),"")</f>
        <v>21239</v>
      </c>
      <c r="Q430" s="13">
        <f>IFERROR(VLOOKUP($A430,koronahun!$A:$AM,17,FALSE),"")</f>
        <v>8.9175573237911393E-2</v>
      </c>
      <c r="R430">
        <f>IFERROR(VLOOKUP($A430,koronahun!$A:$AM,18,FALSE),"")</f>
        <v>154</v>
      </c>
      <c r="S430">
        <f>IFERROR(VLOOKUP($A430,koronahun!$A:$AM,19,FALSE),"")</f>
        <v>5955</v>
      </c>
      <c r="T430">
        <f>IFERROR(VLOOKUP($A430,koronahun!$A:$AM,20,FALSE),"")</f>
        <v>6727</v>
      </c>
      <c r="U430">
        <f>IFERROR(VLOOKUP($A430,koronahun!$A:$AM,21,FALSE),"")</f>
        <v>495</v>
      </c>
      <c r="V430" s="13">
        <f>IFERROR(VLOOKUP($A430,koronahun!$A:$AM,22,FALSE),"")</f>
        <v>0.60018750283849454</v>
      </c>
      <c r="W430">
        <f>IFERROR(VLOOKUP($A430,koronahun!$A:$AM,23,FALSE),"")</f>
        <v>-397</v>
      </c>
      <c r="X430">
        <f>IFERROR(VLOOKUP($A430,koronahun!$A:$AM,24,FALSE),"")</f>
        <v>-27</v>
      </c>
      <c r="Y430" s="14">
        <f>IFERROR(VLOOKUP($A430,koronahun!$A:$AM,25,FALSE),"")</f>
        <v>3.6359214117774236E-2</v>
      </c>
      <c r="Z430" s="14">
        <f>IFERROR(VLOOKUP($A430,koronahun!$A:$AM,26,FALSE),"")</f>
        <v>7.3584064218819675E-2</v>
      </c>
      <c r="AA430" s="14">
        <f>IFERROR(VLOOKUP($A430,koronahun!$A:$AM,27,FALSE),"")</f>
        <v>0.67963007695227584</v>
      </c>
      <c r="AB430" s="14">
        <f>IFERROR(VLOOKUP($A430,koronahun!$A:$AM,28,FALSE),"")</f>
        <v>0.73167598794025568</v>
      </c>
      <c r="AC430" s="14">
        <f>IFERROR(VLOOKUP($A430,koronahun!$A:$AM,29,FALSE),"")</f>
        <v>2813.5714285714284</v>
      </c>
      <c r="AD430" s="14">
        <f>IFERROR(VLOOKUP($A430,koronahun!$A:$AM,30,FALSE),"")</f>
        <v>176.42857142857142</v>
      </c>
      <c r="AE430" s="14">
        <f>IFERROR(VLOOKUP($A430,koronahun!$A:$AM,31,FALSE),"")</f>
        <v>20470.428571428572</v>
      </c>
      <c r="AF430" s="13">
        <f>IFERROR(VLOOKUP($A430,koronahun!$A:$AM,32,FALSE),"")</f>
        <v>0.13925483775591313</v>
      </c>
      <c r="AG430">
        <f>IFERROR(VLOOKUP($A430,koronahun!$A:$AM,33,FALSE),"")</f>
        <v>0</v>
      </c>
      <c r="AH430">
        <f>IFERROR(VLOOKUP($A430,koronahun!$A:$AM,34,FALSE),"")</f>
        <v>0</v>
      </c>
      <c r="AI430">
        <f>IFERROR(VLOOKUP($A430,koronahun!$A:$AM,35,FALSE),"")</f>
        <v>0</v>
      </c>
      <c r="AJ430">
        <f>IFERROR(VLOOKUP($A430,koronahun!$A:$AM,36,FALSE),"")</f>
        <v>0</v>
      </c>
      <c r="AK430">
        <f>IFERROR(VLOOKUP($A430,koronahun!$A:$AM,37,FALSE),"")</f>
        <v>0</v>
      </c>
      <c r="AL430">
        <f>IFERROR(VLOOKUP($A430,koronahun!$A:$AM,38,FALSE),"")</f>
        <v>0</v>
      </c>
      <c r="AM430" s="14">
        <f>IFERROR(VLOOKUP($A430,koronahun!$A:$AM,39,FALSE),"")</f>
        <v>4384.4285714285716</v>
      </c>
      <c r="AN430" s="11">
        <f ca="1">IFERROR(__xludf.DUMMYFUNCTION("""COMPUTED_VALUE"""),44322)</f>
        <v>44322</v>
      </c>
      <c r="AO430" s="12">
        <f ca="1">IFERROR(VLOOKUP(AN430,koronahun!A:B,2,FALSE),"")</f>
        <v>787647</v>
      </c>
      <c r="AP430" s="11">
        <f t="shared" ca="1" si="2"/>
        <v>44322</v>
      </c>
      <c r="AQ430" s="11">
        <f ca="1">IFERROR(__xludf.DUMMYFUNCTION("""COMPUTED_VALUE"""),44322)</f>
        <v>44322</v>
      </c>
      <c r="AR430" s="11">
        <v>44189</v>
      </c>
      <c r="AS430" s="11">
        <f t="shared" si="3"/>
        <v>44189</v>
      </c>
      <c r="AT430" s="11">
        <f ca="1">IFERROR(__xludf.DUMMYFUNCTION("""COMPUTED_VALUE"""),44188)</f>
        <v>44188</v>
      </c>
    </row>
    <row r="431" spans="1:46" ht="13">
      <c r="A431" s="11">
        <v>44187</v>
      </c>
      <c r="B431">
        <f>IFERROR(VLOOKUP($A431,koronahun!$A:$AM,2,FALSE),"")</f>
        <v>306368</v>
      </c>
      <c r="C431">
        <f>IFERROR(VLOOKUP($A431,koronahun!$A:$AM,3,FALSE),"")</f>
        <v>1238</v>
      </c>
      <c r="D431">
        <f>IFERROR(VLOOKUP($A431,koronahun!$A:$AM,4,FALSE),"")</f>
        <v>8462</v>
      </c>
      <c r="E431">
        <f>IFERROR(VLOOKUP($A431,koronahun!$A:$AM,5,FALSE),"")</f>
        <v>108676</v>
      </c>
      <c r="F431">
        <f>IFERROR(VLOOKUP($A431,koronahun!$A:$AM,6,FALSE),"")</f>
        <v>2528225</v>
      </c>
      <c r="G431" s="12">
        <f>IFERROR(VLOOKUP($A431,koronahun!$A:$AM,7,FALSE),"")</f>
        <v>257982.14285714284</v>
      </c>
      <c r="H431">
        <f>IFERROR(VLOOKUP($A431,koronahun!$A:$AM,8,FALSE),"")</f>
        <v>0</v>
      </c>
      <c r="I431" s="13">
        <f>IFERROR(VLOOKUP($A431,koronahun!$A:$AM,9,FALSE),"")</f>
        <v>4.0572870579752892E-3</v>
      </c>
      <c r="J431" s="13">
        <f>IFERROR(VLOOKUP($A431,koronahun!$A:$AM,10,FALSE),"")</f>
        <v>0.1211790880954029</v>
      </c>
      <c r="K431" s="13">
        <f>IFERROR(VLOOKUP($A431,koronahun!$A:$AM,11,FALSE),"")</f>
        <v>3.1492432610876219E-3</v>
      </c>
      <c r="L431">
        <f>IFERROR(VLOOKUP($A431,koronahun!$A:$AM,12,FALSE),"")</f>
        <v>189230</v>
      </c>
      <c r="M431" s="13">
        <f>IFERROR(VLOOKUP($A431,koronahun!$A:$AM,13,FALSE),"")</f>
        <v>2.7620378107374138E-2</v>
      </c>
      <c r="N431" s="13">
        <f>IFERROR(VLOOKUP($A431,koronahun!$A:$AM,14,FALSE),"")</f>
        <v>0.35472373093795695</v>
      </c>
      <c r="O431">
        <f>IFERROR(VLOOKUP($A431,koronahun!$A:$AM,15,FALSE),"")</f>
        <v>35624</v>
      </c>
      <c r="P431">
        <f>IFERROR(VLOOKUP($A431,koronahun!$A:$AM,16,FALSE),"")</f>
        <v>7937</v>
      </c>
      <c r="Q431" s="13">
        <f>IFERROR(VLOOKUP($A431,koronahun!$A:$AM,17,FALSE),"")</f>
        <v>0.15597832934358069</v>
      </c>
      <c r="R431">
        <f>IFERROR(VLOOKUP($A431,koronahun!$A:$AM,18,FALSE),"")</f>
        <v>180</v>
      </c>
      <c r="S431">
        <f>IFERROR(VLOOKUP($A431,koronahun!$A:$AM,19,FALSE),"")</f>
        <v>5714</v>
      </c>
      <c r="T431">
        <f>IFERROR(VLOOKUP($A431,koronahun!$A:$AM,20,FALSE),"")</f>
        <v>7124</v>
      </c>
      <c r="U431">
        <f>IFERROR(VLOOKUP($A431,koronahun!$A:$AM,21,FALSE),"")</f>
        <v>522</v>
      </c>
      <c r="V431" s="13">
        <f>IFERROR(VLOOKUP($A431,koronahun!$A:$AM,22,FALSE),"")</f>
        <v>0.61765589095466888</v>
      </c>
      <c r="W431">
        <f>IFERROR(VLOOKUP($A431,koronahun!$A:$AM,23,FALSE),"")</f>
        <v>27</v>
      </c>
      <c r="X431">
        <f>IFERROR(VLOOKUP($A431,koronahun!$A:$AM,24,FALSE),"")</f>
        <v>5</v>
      </c>
      <c r="Y431" s="14">
        <f>IFERROR(VLOOKUP($A431,koronahun!$A:$AM,25,FALSE),"")</f>
        <v>3.7647307509380119E-2</v>
      </c>
      <c r="Z431" s="14">
        <f>IFERROR(VLOOKUP($A431,koronahun!$A:$AM,26,FALSE),"")</f>
        <v>7.3273441886580568E-2</v>
      </c>
      <c r="AA431" s="14">
        <f>IFERROR(VLOOKUP($A431,koronahun!$A:$AM,27,FALSE),"")</f>
        <v>0.70094570689889779</v>
      </c>
      <c r="AB431" s="14">
        <f>IFERROR(VLOOKUP($A431,koronahun!$A:$AM,28,FALSE),"")</f>
        <v>0.75500417244016915</v>
      </c>
      <c r="AC431" s="14">
        <f>IFERROR(VLOOKUP($A431,koronahun!$A:$AM,29,FALSE),"")</f>
        <v>2943.5714285714284</v>
      </c>
      <c r="AD431" s="14">
        <f>IFERROR(VLOOKUP($A431,koronahun!$A:$AM,30,FALSE),"")</f>
        <v>175</v>
      </c>
      <c r="AE431" s="14">
        <f>IFERROR(VLOOKUP($A431,koronahun!$A:$AM,31,FALSE),"")</f>
        <v>19241.428571428572</v>
      </c>
      <c r="AF431" s="13">
        <f>IFERROR(VLOOKUP($A431,koronahun!$A:$AM,32,FALSE),"")</f>
        <v>0.15821627962908449</v>
      </c>
      <c r="AG431">
        <f>IFERROR(VLOOKUP($A431,koronahun!$A:$AM,33,FALSE),"")</f>
        <v>0</v>
      </c>
      <c r="AH431">
        <f>IFERROR(VLOOKUP($A431,koronahun!$A:$AM,34,FALSE),"")</f>
        <v>0</v>
      </c>
      <c r="AI431">
        <f>IFERROR(VLOOKUP($A431,koronahun!$A:$AM,35,FALSE),"")</f>
        <v>0</v>
      </c>
      <c r="AJ431">
        <f>IFERROR(VLOOKUP($A431,koronahun!$A:$AM,36,FALSE),"")</f>
        <v>0</v>
      </c>
      <c r="AK431">
        <f>IFERROR(VLOOKUP($A431,koronahun!$A:$AM,37,FALSE),"")</f>
        <v>0</v>
      </c>
      <c r="AL431">
        <f>IFERROR(VLOOKUP($A431,koronahun!$A:$AM,38,FALSE),"")</f>
        <v>0</v>
      </c>
      <c r="AM431" s="14">
        <f>IFERROR(VLOOKUP($A431,koronahun!$A:$AM,39,FALSE),"")</f>
        <v>3651.5714285714284</v>
      </c>
      <c r="AN431" s="11">
        <f ca="1">IFERROR(__xludf.DUMMYFUNCTION("""COMPUTED_VALUE"""),44323)</f>
        <v>44323</v>
      </c>
      <c r="AO431" s="12">
        <f ca="1">IFERROR(VLOOKUP(AN431,koronahun!A:B,2,FALSE),"")</f>
        <v>789188</v>
      </c>
      <c r="AP431" s="11">
        <f t="shared" ca="1" si="2"/>
        <v>44323</v>
      </c>
      <c r="AQ431" s="11">
        <f ca="1">IFERROR(__xludf.DUMMYFUNCTION("""COMPUTED_VALUE"""),44323)</f>
        <v>44323</v>
      </c>
      <c r="AR431" s="11">
        <v>44188</v>
      </c>
      <c r="AS431" s="11">
        <f t="shared" si="3"/>
        <v>44188</v>
      </c>
      <c r="AT431" s="11">
        <f ca="1">IFERROR(__xludf.DUMMYFUNCTION("""COMPUTED_VALUE"""),44187)</f>
        <v>44187</v>
      </c>
    </row>
    <row r="432" spans="1:46" ht="13">
      <c r="A432" s="11">
        <v>44186</v>
      </c>
      <c r="B432">
        <f>IFERROR(VLOOKUP($A432,koronahun!$A:$AM,2,FALSE),"")</f>
        <v>305130</v>
      </c>
      <c r="C432">
        <f>IFERROR(VLOOKUP($A432,koronahun!$A:$AM,3,FALSE),"")</f>
        <v>2141</v>
      </c>
      <c r="D432">
        <f>IFERROR(VLOOKUP($A432,koronahun!$A:$AM,4,FALSE),"")</f>
        <v>8282</v>
      </c>
      <c r="E432">
        <f>IFERROR(VLOOKUP($A432,koronahun!$A:$AM,5,FALSE),"")</f>
        <v>102962</v>
      </c>
      <c r="F432">
        <f>IFERROR(VLOOKUP($A432,koronahun!$A:$AM,6,FALSE),"")</f>
        <v>2520288</v>
      </c>
      <c r="G432" s="12">
        <f>IFERROR(VLOOKUP($A432,koronahun!$A:$AM,7,FALSE),"")</f>
        <v>257172.24489795917</v>
      </c>
      <c r="H432">
        <f>IFERROR(VLOOKUP($A432,koronahun!$A:$AM,8,FALSE),"")</f>
        <v>0</v>
      </c>
      <c r="I432" s="13">
        <f>IFERROR(VLOOKUP($A432,koronahun!$A:$AM,9,FALSE),"")</f>
        <v>7.0662631316648463E-3</v>
      </c>
      <c r="J432" s="13">
        <f>IFERROR(VLOOKUP($A432,koronahun!$A:$AM,10,FALSE),"")</f>
        <v>0.12106949681941112</v>
      </c>
      <c r="K432" s="13">
        <f>IFERROR(VLOOKUP($A432,koronahun!$A:$AM,11,FALSE),"")</f>
        <v>6.1684652534276683E-3</v>
      </c>
      <c r="L432">
        <f>IFERROR(VLOOKUP($A432,koronahun!$A:$AM,12,FALSE),"")</f>
        <v>193886</v>
      </c>
      <c r="M432" s="13">
        <f>IFERROR(VLOOKUP($A432,koronahun!$A:$AM,13,FALSE),"")</f>
        <v>2.7142529413692523E-2</v>
      </c>
      <c r="N432" s="13">
        <f>IFERROR(VLOOKUP($A432,koronahun!$A:$AM,14,FALSE),"")</f>
        <v>0.33743650247435519</v>
      </c>
      <c r="O432">
        <f>IFERROR(VLOOKUP($A432,koronahun!$A:$AM,15,FALSE),"")</f>
        <v>32486</v>
      </c>
      <c r="P432">
        <f>IFERROR(VLOOKUP($A432,koronahun!$A:$AM,16,FALSE),"")</f>
        <v>15451</v>
      </c>
      <c r="Q432" s="13">
        <f>IFERROR(VLOOKUP($A432,koronahun!$A:$AM,17,FALSE),"")</f>
        <v>0.13856708303669665</v>
      </c>
      <c r="R432">
        <f>IFERROR(VLOOKUP($A432,koronahun!$A:$AM,18,FALSE),"")</f>
        <v>183</v>
      </c>
      <c r="S432">
        <f>IFERROR(VLOOKUP($A432,koronahun!$A:$AM,19,FALSE),"")</f>
        <v>5519</v>
      </c>
      <c r="T432">
        <f>IFERROR(VLOOKUP($A432,koronahun!$A:$AM,20,FALSE),"")</f>
        <v>7097</v>
      </c>
      <c r="U432">
        <f>IFERROR(VLOOKUP($A432,koronahun!$A:$AM,21,FALSE),"")</f>
        <v>517</v>
      </c>
      <c r="V432" s="13">
        <f>IFERROR(VLOOKUP($A432,koronahun!$A:$AM,22,FALSE),"")</f>
        <v>0.63542096811195226</v>
      </c>
      <c r="W432">
        <f>IFERROR(VLOOKUP($A432,koronahun!$A:$AM,23,FALSE),"")</f>
        <v>75</v>
      </c>
      <c r="X432">
        <f>IFERROR(VLOOKUP($A432,koronahun!$A:$AM,24,FALSE),"")</f>
        <v>-3</v>
      </c>
      <c r="Y432" s="14">
        <f>IFERROR(VLOOKUP($A432,koronahun!$A:$AM,25,FALSE),"")</f>
        <v>3.6603983784285608E-2</v>
      </c>
      <c r="Z432" s="14">
        <f>IFERROR(VLOOKUP($A432,koronahun!$A:$AM,26,FALSE),"")</f>
        <v>7.2847682119205295E-2</v>
      </c>
      <c r="AA432" s="14">
        <f>IFERROR(VLOOKUP($A432,koronahun!$A:$AM,27,FALSE),"")</f>
        <v>0.71529506762667383</v>
      </c>
      <c r="AB432" s="14">
        <f>IFERROR(VLOOKUP($A432,koronahun!$A:$AM,28,FALSE),"")</f>
        <v>0.77385327759244249</v>
      </c>
      <c r="AC432" s="14">
        <f>IFERROR(VLOOKUP($A432,koronahun!$A:$AM,29,FALSE),"")</f>
        <v>3037.1428571428573</v>
      </c>
      <c r="AD432" s="14">
        <f>IFERROR(VLOOKUP($A432,koronahun!$A:$AM,30,FALSE),"")</f>
        <v>164.57142857142858</v>
      </c>
      <c r="AE432" s="14">
        <f>IFERROR(VLOOKUP($A432,koronahun!$A:$AM,31,FALSE),"")</f>
        <v>19665.142857142859</v>
      </c>
      <c r="AF432" s="13">
        <f>IFERROR(VLOOKUP($A432,koronahun!$A:$AM,32,FALSE),"")</f>
        <v>0.16073679528227222</v>
      </c>
      <c r="AG432">
        <f>IFERROR(VLOOKUP($A432,koronahun!$A:$AM,33,FALSE),"")</f>
        <v>0</v>
      </c>
      <c r="AH432">
        <f>IFERROR(VLOOKUP($A432,koronahun!$A:$AM,34,FALSE),"")</f>
        <v>0</v>
      </c>
      <c r="AI432">
        <f>IFERROR(VLOOKUP($A432,koronahun!$A:$AM,35,FALSE),"")</f>
        <v>0</v>
      </c>
      <c r="AJ432">
        <f>IFERROR(VLOOKUP($A432,koronahun!$A:$AM,36,FALSE),"")</f>
        <v>0</v>
      </c>
      <c r="AK432">
        <f>IFERROR(VLOOKUP($A432,koronahun!$A:$AM,37,FALSE),"")</f>
        <v>0</v>
      </c>
      <c r="AL432">
        <f>IFERROR(VLOOKUP($A432,koronahun!$A:$AM,38,FALSE),"")</f>
        <v>0</v>
      </c>
      <c r="AM432" s="14">
        <f>IFERROR(VLOOKUP($A432,koronahun!$A:$AM,39,FALSE),"")</f>
        <v>2916.5714285714284</v>
      </c>
      <c r="AN432" s="11">
        <f ca="1">IFERROR(__xludf.DUMMYFUNCTION("""COMPUTED_VALUE"""),44324)</f>
        <v>44324</v>
      </c>
      <c r="AO432" s="12">
        <f ca="1">IFERROR(VLOOKUP(AN432,koronahun!A:B,2,FALSE),"")</f>
        <v>790564</v>
      </c>
      <c r="AP432" s="11">
        <f t="shared" ca="1" si="2"/>
        <v>44324</v>
      </c>
      <c r="AQ432" s="11">
        <f ca="1">IFERROR(__xludf.DUMMYFUNCTION("""COMPUTED_VALUE"""),44324)</f>
        <v>44324</v>
      </c>
      <c r="AR432" s="11">
        <v>44187</v>
      </c>
      <c r="AS432" s="11">
        <f t="shared" si="3"/>
        <v>44187</v>
      </c>
      <c r="AT432" s="11">
        <f ca="1">IFERROR(__xludf.DUMMYFUNCTION("""COMPUTED_VALUE"""),44186)</f>
        <v>44186</v>
      </c>
    </row>
    <row r="433" spans="1:46" ht="13">
      <c r="A433" s="11">
        <v>44185</v>
      </c>
      <c r="B433">
        <f>IFERROR(VLOOKUP($A433,koronahun!$A:$AM,2,FALSE),"")</f>
        <v>302989</v>
      </c>
      <c r="C433">
        <f>IFERROR(VLOOKUP($A433,koronahun!$A:$AM,3,FALSE),"")</f>
        <v>2967</v>
      </c>
      <c r="D433">
        <f>IFERROR(VLOOKUP($A433,koronahun!$A:$AM,4,FALSE),"")</f>
        <v>8099</v>
      </c>
      <c r="E433">
        <f>IFERROR(VLOOKUP($A433,koronahun!$A:$AM,5,FALSE),"")</f>
        <v>97443</v>
      </c>
      <c r="F433">
        <f>IFERROR(VLOOKUP($A433,koronahun!$A:$AM,6,FALSE),"")</f>
        <v>2504837</v>
      </c>
      <c r="G433" s="12">
        <f>IFERROR(VLOOKUP($A433,koronahun!$A:$AM,7,FALSE),"")</f>
        <v>255595.61224489793</v>
      </c>
      <c r="H433">
        <f>IFERROR(VLOOKUP($A433,koronahun!$A:$AM,8,FALSE),"")</f>
        <v>0</v>
      </c>
      <c r="I433" s="13">
        <f>IFERROR(VLOOKUP($A433,koronahun!$A:$AM,9,FALSE),"")</f>
        <v>9.8892747865156547E-3</v>
      </c>
      <c r="J433" s="13">
        <f>IFERROR(VLOOKUP($A433,koronahun!$A:$AM,10,FALSE),"")</f>
        <v>0.12096156356681094</v>
      </c>
      <c r="K433" s="13">
        <f>IFERROR(VLOOKUP($A433,koronahun!$A:$AM,11,FALSE),"")</f>
        <v>9.6875851538452858E-3</v>
      </c>
      <c r="L433">
        <f>IFERROR(VLOOKUP($A433,koronahun!$A:$AM,12,FALSE),"")</f>
        <v>197447</v>
      </c>
      <c r="M433" s="13">
        <f>IFERROR(VLOOKUP($A433,koronahun!$A:$AM,13,FALSE),"")</f>
        <v>2.6730343345798033E-2</v>
      </c>
      <c r="N433" s="13">
        <f>IFERROR(VLOOKUP($A433,koronahun!$A:$AM,14,FALSE),"")</f>
        <v>0.32160573486166166</v>
      </c>
      <c r="O433">
        <f>IFERROR(VLOOKUP($A433,koronahun!$A:$AM,15,FALSE),"")</f>
        <v>41445</v>
      </c>
      <c r="P433">
        <f>IFERROR(VLOOKUP($A433,koronahun!$A:$AM,16,FALSE),"")</f>
        <v>24033</v>
      </c>
      <c r="Q433" s="13">
        <f>IFERROR(VLOOKUP($A433,koronahun!$A:$AM,17,FALSE),"")</f>
        <v>0.12345524903258021</v>
      </c>
      <c r="R433">
        <f>IFERROR(VLOOKUP($A433,koronahun!$A:$AM,18,FALSE),"")</f>
        <v>185</v>
      </c>
      <c r="S433">
        <f>IFERROR(VLOOKUP($A433,koronahun!$A:$AM,19,FALSE),"")</f>
        <v>4120</v>
      </c>
      <c r="T433">
        <f>IFERROR(VLOOKUP($A433,koronahun!$A:$AM,20,FALSE),"")</f>
        <v>7022</v>
      </c>
      <c r="U433">
        <f>IFERROR(VLOOKUP($A433,koronahun!$A:$AM,21,FALSE),"")</f>
        <v>520</v>
      </c>
      <c r="V433" s="13">
        <f>IFERROR(VLOOKUP($A433,koronahun!$A:$AM,22,FALSE),"")</f>
        <v>0.65166392179254029</v>
      </c>
      <c r="W433">
        <f>IFERROR(VLOOKUP($A433,koronahun!$A:$AM,23,FALSE),"")</f>
        <v>-273</v>
      </c>
      <c r="X433">
        <f>IFERROR(VLOOKUP($A433,koronahun!$A:$AM,24,FALSE),"")</f>
        <v>-18</v>
      </c>
      <c r="Y433" s="14">
        <f>IFERROR(VLOOKUP($A433,koronahun!$A:$AM,25,FALSE),"")</f>
        <v>3.5563974129766467E-2</v>
      </c>
      <c r="Z433" s="14">
        <f>IFERROR(VLOOKUP($A433,koronahun!$A:$AM,26,FALSE),"")</f>
        <v>7.4052976360011388E-2</v>
      </c>
      <c r="AA433" s="14">
        <f>IFERROR(VLOOKUP($A433,koronahun!$A:$AM,27,FALSE),"")</f>
        <v>0.74991700418298912</v>
      </c>
      <c r="AB433" s="14">
        <f>IFERROR(VLOOKUP($A433,koronahun!$A:$AM,28,FALSE),"")</f>
        <v>0.78634444143119187</v>
      </c>
      <c r="AC433" s="14">
        <f>IFERROR(VLOOKUP($A433,koronahun!$A:$AM,29,FALSE),"")</f>
        <v>3227</v>
      </c>
      <c r="AD433" s="14">
        <f>IFERROR(VLOOKUP($A433,koronahun!$A:$AM,30,FALSE),"")</f>
        <v>162</v>
      </c>
      <c r="AE433" s="14">
        <f>IFERROR(VLOOKUP($A433,koronahun!$A:$AM,31,FALSE),"")</f>
        <v>20207.142857142859</v>
      </c>
      <c r="AF433" s="13">
        <f>IFERROR(VLOOKUP($A433,koronahun!$A:$AM,32,FALSE),"")</f>
        <v>0.16669957958215548</v>
      </c>
      <c r="AG433">
        <f>IFERROR(VLOOKUP($A433,koronahun!$A:$AM,33,FALSE),"")</f>
        <v>0</v>
      </c>
      <c r="AH433">
        <f>IFERROR(VLOOKUP($A433,koronahun!$A:$AM,34,FALSE),"")</f>
        <v>0</v>
      </c>
      <c r="AI433">
        <f>IFERROR(VLOOKUP($A433,koronahun!$A:$AM,35,FALSE),"")</f>
        <v>0</v>
      </c>
      <c r="AJ433">
        <f>IFERROR(VLOOKUP($A433,koronahun!$A:$AM,36,FALSE),"")</f>
        <v>0</v>
      </c>
      <c r="AK433">
        <f>IFERROR(VLOOKUP($A433,koronahun!$A:$AM,37,FALSE),"")</f>
        <v>0</v>
      </c>
      <c r="AL433">
        <f>IFERROR(VLOOKUP($A433,koronahun!$A:$AM,38,FALSE),"")</f>
        <v>0</v>
      </c>
      <c r="AM433" s="14">
        <f>IFERROR(VLOOKUP($A433,koronahun!$A:$AM,39,FALSE),"")</f>
        <v>2384.4285714285716</v>
      </c>
      <c r="AN433" s="11">
        <f ca="1">IFERROR(__xludf.DUMMYFUNCTION("""COMPUTED_VALUE"""),44325)</f>
        <v>44325</v>
      </c>
      <c r="AO433" s="12">
        <f ca="1">IFERROR(VLOOKUP(AN433,koronahun!A:B,2,FALSE),"")</f>
        <v>791709</v>
      </c>
      <c r="AP433" s="11">
        <f t="shared" ca="1" si="2"/>
        <v>44325</v>
      </c>
      <c r="AQ433" s="11">
        <f ca="1">IFERROR(__xludf.DUMMYFUNCTION("""COMPUTED_VALUE"""),44325)</f>
        <v>44325</v>
      </c>
      <c r="AR433" s="11">
        <v>44186</v>
      </c>
      <c r="AS433" s="11">
        <f t="shared" si="3"/>
        <v>44186</v>
      </c>
      <c r="AT433" s="11">
        <f ca="1">IFERROR(__xludf.DUMMYFUNCTION("""COMPUTED_VALUE"""),44185)</f>
        <v>44185</v>
      </c>
    </row>
    <row r="434" spans="1:46" ht="13">
      <c r="A434" s="11">
        <v>44184</v>
      </c>
      <c r="B434">
        <f>IFERROR(VLOOKUP($A434,koronahun!$A:$AM,2,FALSE),"")</f>
        <v>300022</v>
      </c>
      <c r="C434">
        <f>IFERROR(VLOOKUP($A434,koronahun!$A:$AM,3,FALSE),"")</f>
        <v>4045</v>
      </c>
      <c r="D434">
        <f>IFERROR(VLOOKUP($A434,koronahun!$A:$AM,4,FALSE),"")</f>
        <v>7914</v>
      </c>
      <c r="E434">
        <f>IFERROR(VLOOKUP($A434,koronahun!$A:$AM,5,FALSE),"")</f>
        <v>93323</v>
      </c>
      <c r="F434">
        <f>IFERROR(VLOOKUP($A434,koronahun!$A:$AM,6,FALSE),"")</f>
        <v>2480804</v>
      </c>
      <c r="G434" s="12">
        <f>IFERROR(VLOOKUP($A434,koronahun!$A:$AM,7,FALSE),"")</f>
        <v>253143.26530612243</v>
      </c>
      <c r="H434">
        <f>IFERROR(VLOOKUP($A434,koronahun!$A:$AM,8,FALSE),"")</f>
        <v>0</v>
      </c>
      <c r="I434" s="13">
        <f>IFERROR(VLOOKUP($A434,koronahun!$A:$AM,9,FALSE),"")</f>
        <v>1.3666602472489416E-2</v>
      </c>
      <c r="J434" s="13">
        <f>IFERROR(VLOOKUP($A434,koronahun!$A:$AM,10,FALSE),"")</f>
        <v>0.12093740577651439</v>
      </c>
      <c r="K434" s="13">
        <f>IFERROR(VLOOKUP($A434,koronahun!$A:$AM,11,FALSE),"")</f>
        <v>9.8526418627371166E-3</v>
      </c>
      <c r="L434">
        <f>IFERROR(VLOOKUP($A434,koronahun!$A:$AM,12,FALSE),"")</f>
        <v>198785</v>
      </c>
      <c r="M434" s="13">
        <f>IFERROR(VLOOKUP($A434,koronahun!$A:$AM,13,FALSE),"")</f>
        <v>2.6378065608522041E-2</v>
      </c>
      <c r="N434" s="13">
        <f>IFERROR(VLOOKUP($A434,koronahun!$A:$AM,14,FALSE),"")</f>
        <v>0.3110538560505563</v>
      </c>
      <c r="O434">
        <f>IFERROR(VLOOKUP($A434,koronahun!$A:$AM,15,FALSE),"")</f>
        <v>44010</v>
      </c>
      <c r="P434">
        <f>IFERROR(VLOOKUP($A434,koronahun!$A:$AM,16,FALSE),"")</f>
        <v>24204</v>
      </c>
      <c r="Q434" s="13">
        <f>IFERROR(VLOOKUP($A434,koronahun!$A:$AM,17,FALSE),"")</f>
        <v>0.1671211370021484</v>
      </c>
      <c r="R434">
        <f>IFERROR(VLOOKUP($A434,koronahun!$A:$AM,18,FALSE),"")</f>
        <v>189</v>
      </c>
      <c r="S434">
        <f>IFERROR(VLOOKUP($A434,koronahun!$A:$AM,19,FALSE),"")</f>
        <v>3509</v>
      </c>
      <c r="T434">
        <f>IFERROR(VLOOKUP($A434,koronahun!$A:$AM,20,FALSE),"")</f>
        <v>7295</v>
      </c>
      <c r="U434">
        <f>IFERROR(VLOOKUP($A434,koronahun!$A:$AM,21,FALSE),"")</f>
        <v>538</v>
      </c>
      <c r="V434" s="13">
        <f>IFERROR(VLOOKUP($A434,koronahun!$A:$AM,22,FALSE),"")</f>
        <v>0.66256807834092168</v>
      </c>
      <c r="W434">
        <f>IFERROR(VLOOKUP($A434,koronahun!$A:$AM,23,FALSE),"")</f>
        <v>-40</v>
      </c>
      <c r="X434">
        <f>IFERROR(VLOOKUP($A434,koronahun!$A:$AM,24,FALSE),"")</f>
        <v>-26</v>
      </c>
      <c r="Y434" s="14">
        <f>IFERROR(VLOOKUP($A434,koronahun!$A:$AM,25,FALSE),"")</f>
        <v>3.6697939985411376E-2</v>
      </c>
      <c r="Z434" s="14">
        <f>IFERROR(VLOOKUP($A434,koronahun!$A:$AM,26,FALSE),"")</f>
        <v>7.3749143248800553E-2</v>
      </c>
      <c r="AA434" s="14">
        <f>IFERROR(VLOOKUP($A434,koronahun!$A:$AM,27,FALSE),"")</f>
        <v>0.72782097593828443</v>
      </c>
      <c r="AB434" s="14">
        <f>IFERROR(VLOOKUP($A434,koronahun!$A:$AM,28,FALSE),"")</f>
        <v>0.79025942305712227</v>
      </c>
      <c r="AC434" s="14">
        <f>IFERROR(VLOOKUP($A434,koronahun!$A:$AM,29,FALSE),"")</f>
        <v>3396.4285714285716</v>
      </c>
      <c r="AD434" s="14">
        <f>IFERROR(VLOOKUP($A434,koronahun!$A:$AM,30,FALSE),"")</f>
        <v>161.42857142857142</v>
      </c>
      <c r="AE434" s="14">
        <f>IFERROR(VLOOKUP($A434,koronahun!$A:$AM,31,FALSE),"")</f>
        <v>20379.428571428572</v>
      </c>
      <c r="AF434" s="13">
        <f>IFERROR(VLOOKUP($A434,koronahun!$A:$AM,32,FALSE),"")</f>
        <v>0.17256981991127598</v>
      </c>
      <c r="AG434">
        <f>IFERROR(VLOOKUP($A434,koronahun!$A:$AM,33,FALSE),"")</f>
        <v>0</v>
      </c>
      <c r="AH434">
        <f>IFERROR(VLOOKUP($A434,koronahun!$A:$AM,34,FALSE),"")</f>
        <v>0</v>
      </c>
      <c r="AI434">
        <f>IFERROR(VLOOKUP($A434,koronahun!$A:$AM,35,FALSE),"")</f>
        <v>0</v>
      </c>
      <c r="AJ434">
        <f>IFERROR(VLOOKUP($A434,koronahun!$A:$AM,36,FALSE),"")</f>
        <v>0</v>
      </c>
      <c r="AK434">
        <f>IFERROR(VLOOKUP($A434,koronahun!$A:$AM,37,FALSE),"")</f>
        <v>0</v>
      </c>
      <c r="AL434">
        <f>IFERROR(VLOOKUP($A434,koronahun!$A:$AM,38,FALSE),"")</f>
        <v>0</v>
      </c>
      <c r="AM434" s="14">
        <f>IFERROR(VLOOKUP($A434,koronahun!$A:$AM,39,FALSE),"")</f>
        <v>1936.2857142857142</v>
      </c>
      <c r="AN434" s="11">
        <f ca="1">IFERROR(__xludf.DUMMYFUNCTION("""COMPUTED_VALUE"""),44326)</f>
        <v>44326</v>
      </c>
      <c r="AO434" s="12">
        <f ca="1">IFERROR(VLOOKUP(AN434,koronahun!A:B,2,FALSE),"")</f>
        <v>792386</v>
      </c>
      <c r="AP434" s="11">
        <f t="shared" ca="1" si="2"/>
        <v>44326</v>
      </c>
      <c r="AQ434" s="11">
        <f ca="1">IFERROR(__xludf.DUMMYFUNCTION("""COMPUTED_VALUE"""),44326)</f>
        <v>44326</v>
      </c>
      <c r="AR434" s="11">
        <v>44185</v>
      </c>
      <c r="AS434" s="11">
        <f t="shared" si="3"/>
        <v>44185</v>
      </c>
      <c r="AT434" s="11">
        <f ca="1">IFERROR(__xludf.DUMMYFUNCTION("""COMPUTED_VALUE"""),44184)</f>
        <v>44184</v>
      </c>
    </row>
    <row r="435" spans="1:46" ht="13">
      <c r="A435" s="11">
        <v>44183</v>
      </c>
      <c r="B435">
        <f>IFERROR(VLOOKUP($A435,koronahun!$A:$AM,2,FALSE),"")</f>
        <v>295977</v>
      </c>
      <c r="C435">
        <f>IFERROR(VLOOKUP($A435,koronahun!$A:$AM,3,FALSE),"")</f>
        <v>4428</v>
      </c>
      <c r="D435">
        <f>IFERROR(VLOOKUP($A435,koronahun!$A:$AM,4,FALSE),"")</f>
        <v>7725</v>
      </c>
      <c r="E435">
        <f>IFERROR(VLOOKUP($A435,koronahun!$A:$AM,5,FALSE),"")</f>
        <v>89814</v>
      </c>
      <c r="F435">
        <f>IFERROR(VLOOKUP($A435,koronahun!$A:$AM,6,FALSE),"")</f>
        <v>2456600</v>
      </c>
      <c r="G435" s="12">
        <f>IFERROR(VLOOKUP($A435,koronahun!$A:$AM,7,FALSE),"")</f>
        <v>250673.46938775509</v>
      </c>
      <c r="H435">
        <f>IFERROR(VLOOKUP($A435,koronahun!$A:$AM,8,FALSE),"")</f>
        <v>0</v>
      </c>
      <c r="I435" s="13">
        <f>IFERROR(VLOOKUP($A435,koronahun!$A:$AM,9,FALSE),"")</f>
        <v>1.5187841494911661E-2</v>
      </c>
      <c r="J435" s="13">
        <f>IFERROR(VLOOKUP($A435,koronahun!$A:$AM,10,FALSE),"")</f>
        <v>0.12048237401286331</v>
      </c>
      <c r="K435" s="13">
        <f>IFERROR(VLOOKUP($A435,koronahun!$A:$AM,11,FALSE),"")</f>
        <v>1.3226052192319098E-2</v>
      </c>
      <c r="L435">
        <f>IFERROR(VLOOKUP($A435,koronahun!$A:$AM,12,FALSE),"")</f>
        <v>198438</v>
      </c>
      <c r="M435" s="13">
        <f>IFERROR(VLOOKUP($A435,koronahun!$A:$AM,13,FALSE),"")</f>
        <v>2.6100001013592271E-2</v>
      </c>
      <c r="N435" s="13">
        <f>IFERROR(VLOOKUP($A435,koronahun!$A:$AM,14,FALSE),"")</f>
        <v>0.30344925450288368</v>
      </c>
      <c r="O435">
        <f>IFERROR(VLOOKUP($A435,koronahun!$A:$AM,15,FALSE),"")</f>
        <v>45075</v>
      </c>
      <c r="P435">
        <f>IFERROR(VLOOKUP($A435,koronahun!$A:$AM,16,FALSE),"")</f>
        <v>32067</v>
      </c>
      <c r="Q435" s="13">
        <f>IFERROR(VLOOKUP($A435,koronahun!$A:$AM,17,FALSE),"")</f>
        <v>0.13808588268313218</v>
      </c>
      <c r="R435">
        <f>IFERROR(VLOOKUP($A435,koronahun!$A:$AM,18,FALSE),"")</f>
        <v>187</v>
      </c>
      <c r="S435">
        <f>IFERROR(VLOOKUP($A435,koronahun!$A:$AM,19,FALSE),"")</f>
        <v>2860</v>
      </c>
      <c r="T435">
        <f>IFERROR(VLOOKUP($A435,koronahun!$A:$AM,20,FALSE),"")</f>
        <v>7335</v>
      </c>
      <c r="U435">
        <f>IFERROR(VLOOKUP($A435,koronahun!$A:$AM,21,FALSE),"")</f>
        <v>564</v>
      </c>
      <c r="V435" s="13">
        <f>IFERROR(VLOOKUP($A435,koronahun!$A:$AM,22,FALSE),"")</f>
        <v>0.67045074448352404</v>
      </c>
      <c r="W435">
        <f>IFERROR(VLOOKUP($A435,koronahun!$A:$AM,23,FALSE),"")</f>
        <v>-187</v>
      </c>
      <c r="X435">
        <f>IFERROR(VLOOKUP($A435,koronahun!$A:$AM,24,FALSE),"")</f>
        <v>-9</v>
      </c>
      <c r="Y435" s="14">
        <f>IFERROR(VLOOKUP($A435,koronahun!$A:$AM,25,FALSE),"")</f>
        <v>3.6963686390711459E-2</v>
      </c>
      <c r="Z435" s="14">
        <f>IFERROR(VLOOKUP($A435,koronahun!$A:$AM,26,FALSE),"")</f>
        <v>7.6891615541922295E-2</v>
      </c>
      <c r="AA435" s="14">
        <f>IFERROR(VLOOKUP($A435,koronahun!$A:$AM,27,FALSE),"")</f>
        <v>0.74755611875452566</v>
      </c>
      <c r="AB435" s="14">
        <f>IFERROR(VLOOKUP($A435,koronahun!$A:$AM,28,FALSE),"")</f>
        <v>0.80633159655378761</v>
      </c>
      <c r="AC435" s="14">
        <f>IFERROR(VLOOKUP($A435,koronahun!$A:$AM,29,FALSE),"")</f>
        <v>3539.5714285714284</v>
      </c>
      <c r="AD435" s="14">
        <f>IFERROR(VLOOKUP($A435,koronahun!$A:$AM,30,FALSE),"")</f>
        <v>157.57142857142858</v>
      </c>
      <c r="AE435" s="14">
        <f>IFERROR(VLOOKUP($A435,koronahun!$A:$AM,31,FALSE),"")</f>
        <v>21272</v>
      </c>
      <c r="AF435" s="13">
        <f>IFERROR(VLOOKUP($A435,koronahun!$A:$AM,32,FALSE),"")</f>
        <v>0.17237197757397033</v>
      </c>
      <c r="AG435">
        <f>IFERROR(VLOOKUP($A435,koronahun!$A:$AM,33,FALSE),"")</f>
        <v>0</v>
      </c>
      <c r="AH435">
        <f>IFERROR(VLOOKUP($A435,koronahun!$A:$AM,34,FALSE),"")</f>
        <v>0</v>
      </c>
      <c r="AI435">
        <f>IFERROR(VLOOKUP($A435,koronahun!$A:$AM,35,FALSE),"")</f>
        <v>0</v>
      </c>
      <c r="AJ435">
        <f>IFERROR(VLOOKUP($A435,koronahun!$A:$AM,36,FALSE),"")</f>
        <v>0</v>
      </c>
      <c r="AK435">
        <f>IFERROR(VLOOKUP($A435,koronahun!$A:$AM,37,FALSE),"")</f>
        <v>0</v>
      </c>
      <c r="AL435">
        <f>IFERROR(VLOOKUP($A435,koronahun!$A:$AM,38,FALSE),"")</f>
        <v>0</v>
      </c>
      <c r="AM435" s="14">
        <f>IFERROR(VLOOKUP($A435,koronahun!$A:$AM,39,FALSE),"")</f>
        <v>1587.7142857142858</v>
      </c>
      <c r="AN435" s="11">
        <f ca="1">IFERROR(__xludf.DUMMYFUNCTION("""COMPUTED_VALUE"""),44327)</f>
        <v>44327</v>
      </c>
      <c r="AO435" s="12">
        <f ca="1">IFERROR(VLOOKUP(AN435,koronahun!A:B,2,FALSE),"")</f>
        <v>792879</v>
      </c>
      <c r="AP435" s="11">
        <f t="shared" ca="1" si="2"/>
        <v>44327</v>
      </c>
      <c r="AQ435" s="11">
        <f ca="1">IFERROR(__xludf.DUMMYFUNCTION("""COMPUTED_VALUE"""),44327)</f>
        <v>44327</v>
      </c>
      <c r="AR435" s="11">
        <v>44184</v>
      </c>
      <c r="AS435" s="11">
        <f t="shared" si="3"/>
        <v>44184</v>
      </c>
      <c r="AT435" s="11">
        <f ca="1">IFERROR(__xludf.DUMMYFUNCTION("""COMPUTED_VALUE"""),44183)</f>
        <v>44183</v>
      </c>
    </row>
    <row r="436" spans="1:46" ht="13">
      <c r="A436" s="11">
        <v>44182</v>
      </c>
      <c r="B436">
        <f>IFERROR(VLOOKUP($A436,koronahun!$A:$AM,2,FALSE),"")</f>
        <v>291549</v>
      </c>
      <c r="C436">
        <f>IFERROR(VLOOKUP($A436,koronahun!$A:$AM,3,FALSE),"")</f>
        <v>2982</v>
      </c>
      <c r="D436">
        <f>IFERROR(VLOOKUP($A436,koronahun!$A:$AM,4,FALSE),"")</f>
        <v>7538</v>
      </c>
      <c r="E436">
        <f>IFERROR(VLOOKUP($A436,koronahun!$A:$AM,5,FALSE),"")</f>
        <v>86954</v>
      </c>
      <c r="F436">
        <f>IFERROR(VLOOKUP($A436,koronahun!$A:$AM,6,FALSE),"")</f>
        <v>2424533</v>
      </c>
      <c r="G436" s="12">
        <f>IFERROR(VLOOKUP($A436,koronahun!$A:$AM,7,FALSE),"")</f>
        <v>247401.32653061222</v>
      </c>
      <c r="H436">
        <f>IFERROR(VLOOKUP($A436,koronahun!$A:$AM,8,FALSE),"")</f>
        <v>0</v>
      </c>
      <c r="I436" s="13">
        <f>IFERROR(VLOOKUP($A436,koronahun!$A:$AM,9,FALSE),"")</f>
        <v>1.0333821954693364E-2</v>
      </c>
      <c r="J436" s="13">
        <f>IFERROR(VLOOKUP($A436,koronahun!$A:$AM,10,FALSE),"")</f>
        <v>0.12024954908842239</v>
      </c>
      <c r="K436" s="13">
        <f>IFERROR(VLOOKUP($A436,koronahun!$A:$AM,11,FALSE),"")</f>
        <v>7.6312115805568263E-3</v>
      </c>
      <c r="L436">
        <f>IFERROR(VLOOKUP($A436,koronahun!$A:$AM,12,FALSE),"")</f>
        <v>197057</v>
      </c>
      <c r="M436" s="13">
        <f>IFERROR(VLOOKUP($A436,koronahun!$A:$AM,13,FALSE),"")</f>
        <v>2.5855002075122879E-2</v>
      </c>
      <c r="N436" s="13">
        <f>IFERROR(VLOOKUP($A436,koronahun!$A:$AM,14,FALSE),"")</f>
        <v>0.29824832189443284</v>
      </c>
      <c r="O436">
        <f>IFERROR(VLOOKUP($A436,koronahun!$A:$AM,15,FALSE),"")</f>
        <v>44248</v>
      </c>
      <c r="P436">
        <f>IFERROR(VLOOKUP($A436,koronahun!$A:$AM,16,FALSE),"")</f>
        <v>18362</v>
      </c>
      <c r="Q436" s="13">
        <f>IFERROR(VLOOKUP($A436,koronahun!$A:$AM,17,FALSE),"")</f>
        <v>0.16240060995534256</v>
      </c>
      <c r="R436">
        <f>IFERROR(VLOOKUP($A436,koronahun!$A:$AM,18,FALSE),"")</f>
        <v>157</v>
      </c>
      <c r="S436">
        <f>IFERROR(VLOOKUP($A436,koronahun!$A:$AM,19,FALSE),"")</f>
        <v>3014</v>
      </c>
      <c r="T436">
        <f>IFERROR(VLOOKUP($A436,koronahun!$A:$AM,20,FALSE),"")</f>
        <v>7522</v>
      </c>
      <c r="U436">
        <f>IFERROR(VLOOKUP($A436,koronahun!$A:$AM,21,FALSE),"")</f>
        <v>573</v>
      </c>
      <c r="V436" s="13">
        <f>IFERROR(VLOOKUP($A436,koronahun!$A:$AM,22,FALSE),"")</f>
        <v>0.67589667603044423</v>
      </c>
      <c r="W436">
        <f>IFERROR(VLOOKUP($A436,koronahun!$A:$AM,23,FALSE),"")</f>
        <v>-117</v>
      </c>
      <c r="X436">
        <f>IFERROR(VLOOKUP($A436,koronahun!$A:$AM,24,FALSE),"")</f>
        <v>-1</v>
      </c>
      <c r="Y436" s="14">
        <f>IFERROR(VLOOKUP($A436,koronahun!$A:$AM,25,FALSE),"")</f>
        <v>3.817169651420655E-2</v>
      </c>
      <c r="Z436" s="14">
        <f>IFERROR(VLOOKUP($A436,koronahun!$A:$AM,26,FALSE),"")</f>
        <v>7.6176548790215362E-2</v>
      </c>
      <c r="AA436" s="14">
        <f>IFERROR(VLOOKUP($A436,koronahun!$A:$AM,27,FALSE),"")</f>
        <v>0.80056696522814319</v>
      </c>
      <c r="AB436" s="14">
        <f>IFERROR(VLOOKUP($A436,koronahun!$A:$AM,28,FALSE),"")</f>
        <v>0.81905667444230568</v>
      </c>
      <c r="AC436" s="14">
        <f>IFERROR(VLOOKUP($A436,koronahun!$A:$AM,29,FALSE),"")</f>
        <v>3792.2857142857142</v>
      </c>
      <c r="AD436" s="14">
        <f>IFERROR(VLOOKUP($A436,koronahun!$A:$AM,30,FALSE),"")</f>
        <v>155.28571428571428</v>
      </c>
      <c r="AE436" s="14">
        <f>IFERROR(VLOOKUP($A436,koronahun!$A:$AM,31,FALSE),"")</f>
        <v>20777.142857142859</v>
      </c>
      <c r="AF436" s="13">
        <f>IFERROR(VLOOKUP($A436,koronahun!$A:$AM,32,FALSE),"")</f>
        <v>0.18359622227165123</v>
      </c>
      <c r="AG436">
        <f>IFERROR(VLOOKUP($A436,koronahun!$A:$AM,33,FALSE),"")</f>
        <v>0</v>
      </c>
      <c r="AH436">
        <f>IFERROR(VLOOKUP($A436,koronahun!$A:$AM,34,FALSE),"")</f>
        <v>0</v>
      </c>
      <c r="AI436">
        <f>IFERROR(VLOOKUP($A436,koronahun!$A:$AM,35,FALSE),"")</f>
        <v>0</v>
      </c>
      <c r="AJ436">
        <f>IFERROR(VLOOKUP($A436,koronahun!$A:$AM,36,FALSE),"")</f>
        <v>0</v>
      </c>
      <c r="AK436">
        <f>IFERROR(VLOOKUP($A436,koronahun!$A:$AM,37,FALSE),"")</f>
        <v>0</v>
      </c>
      <c r="AL436">
        <f>IFERROR(VLOOKUP($A436,koronahun!$A:$AM,38,FALSE),"")</f>
        <v>0</v>
      </c>
      <c r="AM436" s="14">
        <f>IFERROR(VLOOKUP($A436,koronahun!$A:$AM,39,FALSE),"")</f>
        <v>1370.2857142857142</v>
      </c>
      <c r="AN436" s="11">
        <f ca="1">IFERROR(__xludf.DUMMYFUNCTION("""COMPUTED_VALUE"""),44328)</f>
        <v>44328</v>
      </c>
      <c r="AO436" s="12">
        <f ca="1">IFERROR(VLOOKUP(AN436,koronahun!A:B,2,FALSE),"")</f>
        <v>793784</v>
      </c>
      <c r="AP436" s="11">
        <f t="shared" ca="1" si="2"/>
        <v>44328</v>
      </c>
      <c r="AQ436" s="11">
        <f ca="1">IFERROR(__xludf.DUMMYFUNCTION("""COMPUTED_VALUE"""),44328)</f>
        <v>44328</v>
      </c>
      <c r="AR436" s="11">
        <v>44183</v>
      </c>
      <c r="AS436" s="11">
        <f t="shared" si="3"/>
        <v>44183</v>
      </c>
      <c r="AT436" s="11">
        <f ca="1">IFERROR(__xludf.DUMMYFUNCTION("""COMPUTED_VALUE"""),44182)</f>
        <v>44182</v>
      </c>
    </row>
    <row r="437" spans="1:46" ht="13">
      <c r="A437" s="11">
        <v>44181</v>
      </c>
      <c r="B437">
        <f>IFERROR(VLOOKUP($A437,koronahun!$A:$AM,2,FALSE),"")</f>
        <v>288567</v>
      </c>
      <c r="C437">
        <f>IFERROR(VLOOKUP($A437,koronahun!$A:$AM,3,FALSE),"")</f>
        <v>2804</v>
      </c>
      <c r="D437">
        <f>IFERROR(VLOOKUP($A437,koronahun!$A:$AM,4,FALSE),"")</f>
        <v>7381</v>
      </c>
      <c r="E437">
        <f>IFERROR(VLOOKUP($A437,koronahun!$A:$AM,5,FALSE),"")</f>
        <v>83940</v>
      </c>
      <c r="F437">
        <f>IFERROR(VLOOKUP($A437,koronahun!$A:$AM,6,FALSE),"")</f>
        <v>2406171</v>
      </c>
      <c r="G437" s="12">
        <f>IFERROR(VLOOKUP($A437,koronahun!$A:$AM,7,FALSE),"")</f>
        <v>245527.65306122447</v>
      </c>
      <c r="H437">
        <f>IFERROR(VLOOKUP($A437,koronahun!$A:$AM,8,FALSE),"")</f>
        <v>0</v>
      </c>
      <c r="I437" s="13">
        <f>IFERROR(VLOOKUP($A437,koronahun!$A:$AM,9,FALSE),"")</f>
        <v>9.8123269982467991E-3</v>
      </c>
      <c r="J437" s="13">
        <f>IFERROR(VLOOKUP($A437,koronahun!$A:$AM,10,FALSE),"")</f>
        <v>0.11992788542460199</v>
      </c>
      <c r="K437" s="13">
        <f>IFERROR(VLOOKUP($A437,koronahun!$A:$AM,11,FALSE),"")</f>
        <v>5.279220901302885E-3</v>
      </c>
      <c r="L437">
        <f>IFERROR(VLOOKUP($A437,koronahun!$A:$AM,12,FALSE),"")</f>
        <v>197246</v>
      </c>
      <c r="M437" s="13">
        <f>IFERROR(VLOOKUP($A437,koronahun!$A:$AM,13,FALSE),"")</f>
        <v>2.5578115307710168E-2</v>
      </c>
      <c r="N437" s="13">
        <f>IFERROR(VLOOKUP($A437,koronahun!$A:$AM,14,FALSE),"")</f>
        <v>0.29088565220555362</v>
      </c>
      <c r="O437">
        <f>IFERROR(VLOOKUP($A437,koronahun!$A:$AM,15,FALSE),"")</f>
        <v>42467</v>
      </c>
      <c r="P437">
        <f>IFERROR(VLOOKUP($A437,koronahun!$A:$AM,16,FALSE),"")</f>
        <v>12636</v>
      </c>
      <c r="Q437" s="13">
        <f>IFERROR(VLOOKUP($A437,koronahun!$A:$AM,17,FALSE),"")</f>
        <v>0.2219056663501108</v>
      </c>
      <c r="R437">
        <f>IFERROR(VLOOKUP($A437,koronahun!$A:$AM,18,FALSE),"")</f>
        <v>144</v>
      </c>
      <c r="S437">
        <f>IFERROR(VLOOKUP($A437,koronahun!$A:$AM,19,FALSE),"")</f>
        <v>825</v>
      </c>
      <c r="T437">
        <f>IFERROR(VLOOKUP($A437,koronahun!$A:$AM,20,FALSE),"")</f>
        <v>7639</v>
      </c>
      <c r="U437">
        <f>IFERROR(VLOOKUP($A437,koronahun!$A:$AM,21,FALSE),"")</f>
        <v>574</v>
      </c>
      <c r="V437" s="13">
        <f>IFERROR(VLOOKUP($A437,koronahun!$A:$AM,22,FALSE),"")</f>
        <v>0.68353623248673623</v>
      </c>
      <c r="W437">
        <f>IFERROR(VLOOKUP($A437,koronahun!$A:$AM,23,FALSE),"")</f>
        <v>-206</v>
      </c>
      <c r="X437">
        <f>IFERROR(VLOOKUP($A437,koronahun!$A:$AM,24,FALSE),"")</f>
        <v>-23</v>
      </c>
      <c r="Y437" s="14">
        <f>IFERROR(VLOOKUP($A437,koronahun!$A:$AM,25,FALSE),"")</f>
        <v>3.8728288533100799E-2</v>
      </c>
      <c r="Z437" s="14">
        <f>IFERROR(VLOOKUP($A437,koronahun!$A:$AM,26,FALSE),"")</f>
        <v>7.51407252258149E-2</v>
      </c>
      <c r="AA437" s="14">
        <f>IFERROR(VLOOKUP($A437,koronahun!$A:$AM,27,FALSE),"")</f>
        <v>0.84292736845167104</v>
      </c>
      <c r="AB437" s="14">
        <f>IFERROR(VLOOKUP($A437,koronahun!$A:$AM,28,FALSE),"")</f>
        <v>0.82371903766715593</v>
      </c>
      <c r="AC437" s="14">
        <f>IFERROR(VLOOKUP($A437,koronahun!$A:$AM,29,FALSE),"")</f>
        <v>4139.8571428571431</v>
      </c>
      <c r="AD437" s="14">
        <f>IFERROR(VLOOKUP($A437,koronahun!$A:$AM,30,FALSE),"")</f>
        <v>157.28571428571428</v>
      </c>
      <c r="AE437" s="14">
        <f>IFERROR(VLOOKUP($A437,koronahun!$A:$AM,31,FALSE),"")</f>
        <v>22343.285714285714</v>
      </c>
      <c r="AF437" s="13">
        <f>IFERROR(VLOOKUP($A437,koronahun!$A:$AM,32,FALSE),"")</f>
        <v>0.18677538248628811</v>
      </c>
      <c r="AG437">
        <f>IFERROR(VLOOKUP($A437,koronahun!$A:$AM,33,FALSE),"")</f>
        <v>0</v>
      </c>
      <c r="AH437">
        <f>IFERROR(VLOOKUP($A437,koronahun!$A:$AM,34,FALSE),"")</f>
        <v>0</v>
      </c>
      <c r="AI437">
        <f>IFERROR(VLOOKUP($A437,koronahun!$A:$AM,35,FALSE),"")</f>
        <v>0</v>
      </c>
      <c r="AJ437">
        <f>IFERROR(VLOOKUP($A437,koronahun!$A:$AM,36,FALSE),"")</f>
        <v>0</v>
      </c>
      <c r="AK437">
        <f>IFERROR(VLOOKUP($A437,koronahun!$A:$AM,37,FALSE),"")</f>
        <v>0</v>
      </c>
      <c r="AL437">
        <f>IFERROR(VLOOKUP($A437,koronahun!$A:$AM,38,FALSE),"")</f>
        <v>0</v>
      </c>
      <c r="AM437" s="14">
        <f>IFERROR(VLOOKUP($A437,koronahun!$A:$AM,39,FALSE),"")</f>
        <v>1095.7142857142858</v>
      </c>
      <c r="AN437" s="11">
        <f ca="1">IFERROR(__xludf.DUMMYFUNCTION("""COMPUTED_VALUE"""),44329)</f>
        <v>44329</v>
      </c>
      <c r="AO437" s="12">
        <f ca="1">IFERROR(VLOOKUP(AN437,koronahun!A:B,2,FALSE),"")</f>
        <v>795200</v>
      </c>
      <c r="AP437" s="11">
        <f t="shared" ca="1" si="2"/>
        <v>44329</v>
      </c>
      <c r="AQ437" s="11">
        <f ca="1">IFERROR(__xludf.DUMMYFUNCTION("""COMPUTED_VALUE"""),44329)</f>
        <v>44329</v>
      </c>
      <c r="AR437" s="11">
        <v>44182</v>
      </c>
      <c r="AS437" s="11">
        <f t="shared" si="3"/>
        <v>44182</v>
      </c>
      <c r="AT437" s="11">
        <f ca="1">IFERROR(__xludf.DUMMYFUNCTION("""COMPUTED_VALUE"""),44181)</f>
        <v>44181</v>
      </c>
    </row>
    <row r="438" spans="1:46" ht="13">
      <c r="A438" s="11">
        <v>44180</v>
      </c>
      <c r="B438">
        <f>IFERROR(VLOOKUP($A438,koronahun!$A:$AM,2,FALSE),"")</f>
        <v>285763</v>
      </c>
      <c r="C438">
        <f>IFERROR(VLOOKUP($A438,koronahun!$A:$AM,3,FALSE),"")</f>
        <v>1893</v>
      </c>
      <c r="D438">
        <f>IFERROR(VLOOKUP($A438,koronahun!$A:$AM,4,FALSE),"")</f>
        <v>7237</v>
      </c>
      <c r="E438">
        <f>IFERROR(VLOOKUP($A438,koronahun!$A:$AM,5,FALSE),"")</f>
        <v>83115</v>
      </c>
      <c r="F438">
        <f>IFERROR(VLOOKUP($A438,koronahun!$A:$AM,6,FALSE),"")</f>
        <v>2393535</v>
      </c>
      <c r="G438" s="12">
        <f>IFERROR(VLOOKUP($A438,koronahun!$A:$AM,7,FALSE),"")</f>
        <v>244238.26530612243</v>
      </c>
      <c r="H438">
        <f>IFERROR(VLOOKUP($A438,koronahun!$A:$AM,8,FALSE),"")</f>
        <v>0</v>
      </c>
      <c r="I438" s="13">
        <f>IFERROR(VLOOKUP($A438,koronahun!$A:$AM,9,FALSE),"")</f>
        <v>6.6685454609504355E-3</v>
      </c>
      <c r="J438" s="13">
        <f>IFERROR(VLOOKUP($A438,koronahun!$A:$AM,10,FALSE),"")</f>
        <v>0.11938952219207156</v>
      </c>
      <c r="K438" s="13">
        <f>IFERROR(VLOOKUP($A438,koronahun!$A:$AM,11,FALSE),"")</f>
        <v>3.1509826458066409E-2</v>
      </c>
      <c r="L438">
        <f>IFERROR(VLOOKUP($A438,koronahun!$A:$AM,12,FALSE),"")</f>
        <v>195411</v>
      </c>
      <c r="M438" s="13">
        <f>IFERROR(VLOOKUP($A438,koronahun!$A:$AM,13,FALSE),"")</f>
        <v>2.5325182056459374E-2</v>
      </c>
      <c r="N438" s="13">
        <f>IFERROR(VLOOKUP($A438,koronahun!$A:$AM,14,FALSE),"")</f>
        <v>0.2908529095789168</v>
      </c>
      <c r="O438">
        <f>IFERROR(VLOOKUP($A438,koronahun!$A:$AM,15,FALSE),"")</f>
        <v>42752</v>
      </c>
      <c r="P438">
        <f>IFERROR(VLOOKUP($A438,koronahun!$A:$AM,16,FALSE),"")</f>
        <v>10903</v>
      </c>
      <c r="Q438" s="13">
        <f>IFERROR(VLOOKUP($A438,koronahun!$A:$AM,17,FALSE),"")</f>
        <v>0.1736219389158947</v>
      </c>
      <c r="R438">
        <f>IFERROR(VLOOKUP($A438,koronahun!$A:$AM,18,FALSE),"")</f>
        <v>107</v>
      </c>
      <c r="S438">
        <f>IFERROR(VLOOKUP($A438,koronahun!$A:$AM,19,FALSE),"")</f>
        <v>569</v>
      </c>
      <c r="T438">
        <f>IFERROR(VLOOKUP($A438,koronahun!$A:$AM,20,FALSE),"")</f>
        <v>7845</v>
      </c>
      <c r="U438">
        <f>IFERROR(VLOOKUP($A438,koronahun!$A:$AM,21,FALSE),"")</f>
        <v>597</v>
      </c>
      <c r="V438" s="13">
        <f>IFERROR(VLOOKUP($A438,koronahun!$A:$AM,22,FALSE),"")</f>
        <v>0.68382190836462386</v>
      </c>
      <c r="W438">
        <f>IFERROR(VLOOKUP($A438,koronahun!$A:$AM,23,FALSE),"")</f>
        <v>178</v>
      </c>
      <c r="X438">
        <f>IFERROR(VLOOKUP($A438,koronahun!$A:$AM,24,FALSE),"")</f>
        <v>-8</v>
      </c>
      <c r="Y438" s="14">
        <f>IFERROR(VLOOKUP($A438,koronahun!$A:$AM,25,FALSE),"")</f>
        <v>4.0146153491870978E-2</v>
      </c>
      <c r="Z438" s="14">
        <f>IFERROR(VLOOKUP($A438,koronahun!$A:$AM,26,FALSE),"")</f>
        <v>7.6099426386233265E-2</v>
      </c>
      <c r="AA438" s="14">
        <f>IFERROR(VLOOKUP($A438,koronahun!$A:$AM,27,FALSE),"")</f>
        <v>0.83288944296480993</v>
      </c>
      <c r="AB438" s="14">
        <f>IFERROR(VLOOKUP($A438,koronahun!$A:$AM,28,FALSE),"")</f>
        <v>0.82756797729590914</v>
      </c>
      <c r="AC438" s="14">
        <f>IFERROR(VLOOKUP($A438,koronahun!$A:$AM,29,FALSE),"")</f>
        <v>4199.4285714285716</v>
      </c>
      <c r="AD438" s="14">
        <f>IFERROR(VLOOKUP($A438,koronahun!$A:$AM,30,FALSE),"")</f>
        <v>159.57142857142858</v>
      </c>
      <c r="AE438" s="14">
        <f>IFERROR(VLOOKUP($A438,koronahun!$A:$AM,31,FALSE),"")</f>
        <v>24643.428571428572</v>
      </c>
      <c r="AF438" s="13">
        <f>IFERROR(VLOOKUP($A438,koronahun!$A:$AM,32,FALSE),"")</f>
        <v>0.17108678225511209</v>
      </c>
      <c r="AG438">
        <f>IFERROR(VLOOKUP($A438,koronahun!$A:$AM,33,FALSE),"")</f>
        <v>0</v>
      </c>
      <c r="AH438">
        <f>IFERROR(VLOOKUP($A438,koronahun!$A:$AM,34,FALSE),"")</f>
        <v>0</v>
      </c>
      <c r="AI438">
        <f>IFERROR(VLOOKUP($A438,koronahun!$A:$AM,35,FALSE),"")</f>
        <v>0</v>
      </c>
      <c r="AJ438">
        <f>IFERROR(VLOOKUP($A438,koronahun!$A:$AM,36,FALSE),"")</f>
        <v>0</v>
      </c>
      <c r="AK438">
        <f>IFERROR(VLOOKUP($A438,koronahun!$A:$AM,37,FALSE),"")</f>
        <v>0</v>
      </c>
      <c r="AL438">
        <f>IFERROR(VLOOKUP($A438,koronahun!$A:$AM,38,FALSE),"")</f>
        <v>0</v>
      </c>
      <c r="AM438" s="14">
        <f>IFERROR(VLOOKUP($A438,koronahun!$A:$AM,39,FALSE),"")</f>
        <v>1119.1428571428571</v>
      </c>
      <c r="AN438" s="11">
        <f ca="1">IFERROR(__xludf.DUMMYFUNCTION("""COMPUTED_VALUE"""),44330)</f>
        <v>44330</v>
      </c>
      <c r="AO438" s="12">
        <f ca="1">IFERROR(VLOOKUP(AN438,koronahun!A:B,2,FALSE),"")</f>
        <v>796390</v>
      </c>
      <c r="AP438" s="11">
        <f t="shared" ca="1" si="2"/>
        <v>44330</v>
      </c>
      <c r="AQ438" s="11">
        <f ca="1">IFERROR(__xludf.DUMMYFUNCTION("""COMPUTED_VALUE"""),44330)</f>
        <v>44330</v>
      </c>
      <c r="AR438" s="11">
        <v>44181</v>
      </c>
      <c r="AS438" s="11">
        <f t="shared" si="3"/>
        <v>44181</v>
      </c>
      <c r="AT438" s="11">
        <f ca="1">IFERROR(__xludf.DUMMYFUNCTION("""COMPUTED_VALUE"""),44180)</f>
        <v>44180</v>
      </c>
    </row>
    <row r="439" spans="1:46" ht="13">
      <c r="A439" s="11">
        <v>44179</v>
      </c>
      <c r="B439">
        <f>IFERROR(VLOOKUP($A439,koronahun!$A:$AM,2,FALSE),"")</f>
        <v>283870</v>
      </c>
      <c r="C439">
        <f>IFERROR(VLOOKUP($A439,koronahun!$A:$AM,3,FALSE),"")</f>
        <v>3470</v>
      </c>
      <c r="D439">
        <f>IFERROR(VLOOKUP($A439,koronahun!$A:$AM,4,FALSE),"")</f>
        <v>7130</v>
      </c>
      <c r="E439">
        <f>IFERROR(VLOOKUP($A439,koronahun!$A:$AM,5,FALSE),"")</f>
        <v>82546</v>
      </c>
      <c r="F439">
        <f>IFERROR(VLOOKUP($A439,koronahun!$A:$AM,6,FALSE),"")</f>
        <v>2320419</v>
      </c>
      <c r="G439" s="12">
        <f>IFERROR(VLOOKUP($A439,koronahun!$A:$AM,7,FALSE),"")</f>
        <v>236777.44897959181</v>
      </c>
      <c r="H439">
        <f>IFERROR(VLOOKUP($A439,koronahun!$A:$AM,8,FALSE),"")</f>
        <v>0</v>
      </c>
      <c r="I439" s="13">
        <f>IFERROR(VLOOKUP($A439,koronahun!$A:$AM,9,FALSE),"")</f>
        <v>1.2375178316690442E-2</v>
      </c>
      <c r="J439" s="13">
        <f>IFERROR(VLOOKUP($A439,koronahun!$A:$AM,10,FALSE),"")</f>
        <v>0.1223356643778559</v>
      </c>
      <c r="K439" s="13">
        <f>IFERROR(VLOOKUP($A439,koronahun!$A:$AM,11,FALSE),"")</f>
        <v>8.3631224757449892E-3</v>
      </c>
      <c r="L439">
        <f>IFERROR(VLOOKUP($A439,koronahun!$A:$AM,12,FALSE),"")</f>
        <v>194194</v>
      </c>
      <c r="M439" s="13">
        <f>IFERROR(VLOOKUP($A439,koronahun!$A:$AM,13,FALSE),"")</f>
        <v>2.5117131081128685E-2</v>
      </c>
      <c r="N439" s="13">
        <f>IFERROR(VLOOKUP($A439,koronahun!$A:$AM,14,FALSE),"")</f>
        <v>0.29078803677739812</v>
      </c>
      <c r="O439">
        <f>IFERROR(VLOOKUP($A439,koronahun!$A:$AM,15,FALSE),"")</f>
        <v>43966</v>
      </c>
      <c r="P439">
        <f>IFERROR(VLOOKUP($A439,koronahun!$A:$AM,16,FALSE),"")</f>
        <v>19245</v>
      </c>
      <c r="Q439" s="13">
        <f>IFERROR(VLOOKUP($A439,koronahun!$A:$AM,17,FALSE),"")</f>
        <v>0.18030657313587944</v>
      </c>
      <c r="R439">
        <f>IFERROR(VLOOKUP($A439,koronahun!$A:$AM,18,FALSE),"")</f>
        <v>165</v>
      </c>
      <c r="S439">
        <f>IFERROR(VLOOKUP($A439,koronahun!$A:$AM,19,FALSE),"")</f>
        <v>1794</v>
      </c>
      <c r="T439">
        <f>IFERROR(VLOOKUP($A439,koronahun!$A:$AM,20,FALSE),"")</f>
        <v>7667</v>
      </c>
      <c r="U439">
        <f>IFERROR(VLOOKUP($A439,koronahun!$A:$AM,21,FALSE),"")</f>
        <v>605</v>
      </c>
      <c r="V439" s="13">
        <f>IFERROR(VLOOKUP($A439,koronahun!$A:$AM,22,FALSE),"")</f>
        <v>0.68409483214147326</v>
      </c>
      <c r="W439">
        <f>IFERROR(VLOOKUP($A439,koronahun!$A:$AM,23,FALSE),"")</f>
        <v>21</v>
      </c>
      <c r="X439">
        <f>IFERROR(VLOOKUP($A439,koronahun!$A:$AM,24,FALSE),"")</f>
        <v>-1</v>
      </c>
      <c r="Y439" s="14">
        <f>IFERROR(VLOOKUP($A439,koronahun!$A:$AM,25,FALSE),"")</f>
        <v>3.9481137419281748E-2</v>
      </c>
      <c r="Z439" s="14">
        <f>IFERROR(VLOOKUP($A439,koronahun!$A:$AM,26,FALSE),"")</f>
        <v>7.8909612625538014E-2</v>
      </c>
      <c r="AA439" s="14">
        <f>IFERROR(VLOOKUP($A439,koronahun!$A:$AM,27,FALSE),"")</f>
        <v>0.80273321449792034</v>
      </c>
      <c r="AB439" s="14">
        <f>IFERROR(VLOOKUP($A439,koronahun!$A:$AM,28,FALSE),"")</f>
        <v>0.8372324749751846</v>
      </c>
      <c r="AC439" s="14">
        <f>IFERROR(VLOOKUP($A439,koronahun!$A:$AM,29,FALSE),"")</f>
        <v>4246</v>
      </c>
      <c r="AD439" s="14">
        <f>IFERROR(VLOOKUP($A439,koronahun!$A:$AM,30,FALSE),"")</f>
        <v>163.71428571428572</v>
      </c>
      <c r="AE439" s="14">
        <f>IFERROR(VLOOKUP($A439,koronahun!$A:$AM,31,FALSE),"")</f>
        <v>24446.857142857141</v>
      </c>
      <c r="AF439" s="13">
        <f>IFERROR(VLOOKUP($A439,koronahun!$A:$AM,32,FALSE),"")</f>
        <v>0.17955750138342816</v>
      </c>
      <c r="AG439">
        <f>IFERROR(VLOOKUP($A439,koronahun!$A:$AM,33,FALSE),"")</f>
        <v>0</v>
      </c>
      <c r="AH439">
        <f>IFERROR(VLOOKUP($A439,koronahun!$A:$AM,34,FALSE),"")</f>
        <v>0</v>
      </c>
      <c r="AI439">
        <f>IFERROR(VLOOKUP($A439,koronahun!$A:$AM,35,FALSE),"")</f>
        <v>0</v>
      </c>
      <c r="AJ439">
        <f>IFERROR(VLOOKUP($A439,koronahun!$A:$AM,36,FALSE),"")</f>
        <v>0</v>
      </c>
      <c r="AK439">
        <f>IFERROR(VLOOKUP($A439,koronahun!$A:$AM,37,FALSE),"")</f>
        <v>0</v>
      </c>
      <c r="AL439">
        <f>IFERROR(VLOOKUP($A439,koronahun!$A:$AM,38,FALSE),"")</f>
        <v>0</v>
      </c>
      <c r="AM439" s="14">
        <f>IFERROR(VLOOKUP($A439,koronahun!$A:$AM,39,FALSE),"")</f>
        <v>1180.4285714285713</v>
      </c>
      <c r="AN439" s="11">
        <f ca="1">IFERROR(__xludf.DUMMYFUNCTION("""COMPUTED_VALUE"""),44331)</f>
        <v>44331</v>
      </c>
      <c r="AO439" s="12">
        <f ca="1">IFERROR(VLOOKUP(AN439,koronahun!A:B,2,FALSE),"")</f>
        <v>797429</v>
      </c>
      <c r="AP439" s="11">
        <f t="shared" ca="1" si="2"/>
        <v>44331</v>
      </c>
      <c r="AQ439" s="11">
        <f ca="1">IFERROR(__xludf.DUMMYFUNCTION("""COMPUTED_VALUE"""),44331)</f>
        <v>44331</v>
      </c>
      <c r="AR439" s="11">
        <v>44180</v>
      </c>
      <c r="AS439" s="11">
        <f t="shared" si="3"/>
        <v>44180</v>
      </c>
      <c r="AT439" s="11">
        <f ca="1">IFERROR(__xludf.DUMMYFUNCTION("""COMPUTED_VALUE"""),44179)</f>
        <v>44179</v>
      </c>
    </row>
    <row r="440" spans="1:46" ht="13">
      <c r="A440" s="11">
        <v>44178</v>
      </c>
      <c r="B440">
        <f>IFERROR(VLOOKUP($A440,koronahun!$A:$AM,2,FALSE),"")</f>
        <v>280400</v>
      </c>
      <c r="C440">
        <f>IFERROR(VLOOKUP($A440,koronahun!$A:$AM,3,FALSE),"")</f>
        <v>4153</v>
      </c>
      <c r="D440">
        <f>IFERROR(VLOOKUP($A440,koronahun!$A:$AM,4,FALSE),"")</f>
        <v>6965</v>
      </c>
      <c r="E440">
        <f>IFERROR(VLOOKUP($A440,koronahun!$A:$AM,5,FALSE),"")</f>
        <v>80752</v>
      </c>
      <c r="F440">
        <f>IFERROR(VLOOKUP($A440,koronahun!$A:$AM,6,FALSE),"")</f>
        <v>2301174</v>
      </c>
      <c r="G440" s="12">
        <f>IFERROR(VLOOKUP($A440,koronahun!$A:$AM,7,FALSE),"")</f>
        <v>234813.67346938775</v>
      </c>
      <c r="H440">
        <f>IFERROR(VLOOKUP($A440,koronahun!$A:$AM,8,FALSE),"")</f>
        <v>0</v>
      </c>
      <c r="I440" s="13">
        <f>IFERROR(VLOOKUP($A440,koronahun!$A:$AM,9,FALSE),"")</f>
        <v>1.5033647424225421E-2</v>
      </c>
      <c r="J440" s="13">
        <f>IFERROR(VLOOKUP($A440,koronahun!$A:$AM,10,FALSE),"")</f>
        <v>0.12185084656788231</v>
      </c>
      <c r="K440" s="13">
        <f>IFERROR(VLOOKUP($A440,koronahun!$A:$AM,11,FALSE),"")</f>
        <v>1.1089508268030502E-2</v>
      </c>
      <c r="L440">
        <f>IFERROR(VLOOKUP($A440,koronahun!$A:$AM,12,FALSE),"")</f>
        <v>192683</v>
      </c>
      <c r="M440" s="13">
        <f>IFERROR(VLOOKUP($A440,koronahun!$A:$AM,13,FALSE),"")</f>
        <v>2.4839514978601998E-2</v>
      </c>
      <c r="N440" s="13">
        <f>IFERROR(VLOOKUP($A440,koronahun!$A:$AM,14,FALSE),"")</f>
        <v>0.28798858773181168</v>
      </c>
      <c r="O440">
        <f>IFERROR(VLOOKUP($A440,koronahun!$A:$AM,15,FALSE),"")</f>
        <v>47486</v>
      </c>
      <c r="P440">
        <f>IFERROR(VLOOKUP($A440,koronahun!$A:$AM,16,FALSE),"")</f>
        <v>25239</v>
      </c>
      <c r="Q440" s="13">
        <f>IFERROR(VLOOKUP($A440,koronahun!$A:$AM,17,FALSE),"")</f>
        <v>0.16454693133642379</v>
      </c>
      <c r="R440">
        <f>IFERROR(VLOOKUP($A440,koronahun!$A:$AM,18,FALSE),"")</f>
        <v>181</v>
      </c>
      <c r="S440">
        <f>IFERROR(VLOOKUP($A440,koronahun!$A:$AM,19,FALSE),"")</f>
        <v>983</v>
      </c>
      <c r="T440">
        <f>IFERROR(VLOOKUP($A440,koronahun!$A:$AM,20,FALSE),"")</f>
        <v>7646</v>
      </c>
      <c r="U440">
        <f>IFERROR(VLOOKUP($A440,koronahun!$A:$AM,21,FALSE),"")</f>
        <v>606</v>
      </c>
      <c r="V440" s="13">
        <f>IFERROR(VLOOKUP($A440,koronahun!$A:$AM,22,FALSE),"")</f>
        <v>0.68717189728958628</v>
      </c>
      <c r="W440">
        <f>IFERROR(VLOOKUP($A440,koronahun!$A:$AM,23,FALSE),"")</f>
        <v>-161</v>
      </c>
      <c r="X440">
        <f>IFERROR(VLOOKUP($A440,koronahun!$A:$AM,24,FALSE),"")</f>
        <v>-4</v>
      </c>
      <c r="Y440" s="14">
        <f>IFERROR(VLOOKUP($A440,koronahun!$A:$AM,25,FALSE),"")</f>
        <v>3.9681757082877057E-2</v>
      </c>
      <c r="Z440" s="14">
        <f>IFERROR(VLOOKUP($A440,koronahun!$A:$AM,26,FALSE),"")</f>
        <v>7.9257127910018307E-2</v>
      </c>
      <c r="AA440" s="14">
        <f>IFERROR(VLOOKUP($A440,koronahun!$A:$AM,27,FALSE),"")</f>
        <v>0.77732187556450161</v>
      </c>
      <c r="AB440" s="14">
        <f>IFERROR(VLOOKUP($A440,koronahun!$A:$AM,28,FALSE),"")</f>
        <v>0.85759404902280278</v>
      </c>
      <c r="AC440" s="14">
        <f>IFERROR(VLOOKUP($A440,koronahun!$A:$AM,29,FALSE),"")</f>
        <v>4303.1428571428569</v>
      </c>
      <c r="AD440" s="14">
        <f>IFERROR(VLOOKUP($A440,koronahun!$A:$AM,30,FALSE),"")</f>
        <v>156.71428571428572</v>
      </c>
      <c r="AE440" s="14">
        <f>IFERROR(VLOOKUP($A440,koronahun!$A:$AM,31,FALSE),"")</f>
        <v>24758.142857142859</v>
      </c>
      <c r="AF440" s="13">
        <f>IFERROR(VLOOKUP($A440,koronahun!$A:$AM,32,FALSE),"")</f>
        <v>0.1796049246813112</v>
      </c>
      <c r="AG440">
        <f>IFERROR(VLOOKUP($A440,koronahun!$A:$AM,33,FALSE),"")</f>
        <v>0</v>
      </c>
      <c r="AH440">
        <f>IFERROR(VLOOKUP($A440,koronahun!$A:$AM,34,FALSE),"")</f>
        <v>0</v>
      </c>
      <c r="AI440">
        <f>IFERROR(VLOOKUP($A440,koronahun!$A:$AM,35,FALSE),"")</f>
        <v>0</v>
      </c>
      <c r="AJ440">
        <f>IFERROR(VLOOKUP($A440,koronahun!$A:$AM,36,FALSE),"")</f>
        <v>0</v>
      </c>
      <c r="AK440">
        <f>IFERROR(VLOOKUP($A440,koronahun!$A:$AM,37,FALSE),"")</f>
        <v>0</v>
      </c>
      <c r="AL440">
        <f>IFERROR(VLOOKUP($A440,koronahun!$A:$AM,38,FALSE),"")</f>
        <v>0</v>
      </c>
      <c r="AM440" s="14">
        <f>IFERROR(VLOOKUP($A440,koronahun!$A:$AM,39,FALSE),"")</f>
        <v>1295.7142857142858</v>
      </c>
      <c r="AN440" s="11">
        <f ca="1">IFERROR(__xludf.DUMMYFUNCTION("""COMPUTED_VALUE"""),44332)</f>
        <v>44332</v>
      </c>
      <c r="AO440" s="12">
        <f ca="1">IFERROR(VLOOKUP(AN440,koronahun!A:B,2,FALSE),"")</f>
        <v>798147</v>
      </c>
      <c r="AP440" s="11">
        <f t="shared" ca="1" si="2"/>
        <v>44332</v>
      </c>
      <c r="AQ440" s="11">
        <f ca="1">IFERROR(__xludf.DUMMYFUNCTION("""COMPUTED_VALUE"""),44332)</f>
        <v>44332</v>
      </c>
      <c r="AR440" s="11">
        <v>44179</v>
      </c>
      <c r="AS440" s="11">
        <f t="shared" si="3"/>
        <v>44179</v>
      </c>
      <c r="AT440" s="11">
        <f ca="1">IFERROR(__xludf.DUMMYFUNCTION("""COMPUTED_VALUE"""),44178)</f>
        <v>44178</v>
      </c>
    </row>
    <row r="441" spans="1:46" ht="13">
      <c r="A441" s="11">
        <v>44177</v>
      </c>
      <c r="B441">
        <f>IFERROR(VLOOKUP($A441,koronahun!$A:$AM,2,FALSE),"")</f>
        <v>276247</v>
      </c>
      <c r="C441">
        <f>IFERROR(VLOOKUP($A441,koronahun!$A:$AM,3,FALSE),"")</f>
        <v>5047</v>
      </c>
      <c r="D441">
        <f>IFERROR(VLOOKUP($A441,koronahun!$A:$AM,4,FALSE),"")</f>
        <v>6784</v>
      </c>
      <c r="E441">
        <f>IFERROR(VLOOKUP($A441,koronahun!$A:$AM,5,FALSE),"")</f>
        <v>79769</v>
      </c>
      <c r="F441">
        <f>IFERROR(VLOOKUP($A441,koronahun!$A:$AM,6,FALSE),"")</f>
        <v>2275935</v>
      </c>
      <c r="G441" s="12">
        <f>IFERROR(VLOOKUP($A441,koronahun!$A:$AM,7,FALSE),"")</f>
        <v>232238.26530612243</v>
      </c>
      <c r="H441">
        <f>IFERROR(VLOOKUP($A441,koronahun!$A:$AM,8,FALSE),"")</f>
        <v>0</v>
      </c>
      <c r="I441" s="13">
        <f>IFERROR(VLOOKUP($A441,koronahun!$A:$AM,9,FALSE),"")</f>
        <v>1.8609882005899706E-2</v>
      </c>
      <c r="J441" s="13">
        <f>IFERROR(VLOOKUP($A441,koronahun!$A:$AM,10,FALSE),"")</f>
        <v>0.12137736798282904</v>
      </c>
      <c r="K441" s="13">
        <f>IFERROR(VLOOKUP($A441,koronahun!$A:$AM,11,FALSE),"")</f>
        <v>1.3561447581656151E-2</v>
      </c>
      <c r="L441">
        <f>IFERROR(VLOOKUP($A441,koronahun!$A:$AM,12,FALSE),"")</f>
        <v>189694</v>
      </c>
      <c r="M441" s="13">
        <f>IFERROR(VLOOKUP($A441,koronahun!$A:$AM,13,FALSE),"")</f>
        <v>2.4557732753658863E-2</v>
      </c>
      <c r="N441" s="13">
        <f>IFERROR(VLOOKUP($A441,koronahun!$A:$AM,14,FALSE),"")</f>
        <v>0.28875969693788528</v>
      </c>
      <c r="O441">
        <f>IFERROR(VLOOKUP($A441,koronahun!$A:$AM,15,FALSE),"")</f>
        <v>49365</v>
      </c>
      <c r="P441">
        <f>IFERROR(VLOOKUP($A441,koronahun!$A:$AM,16,FALSE),"")</f>
        <v>30452</v>
      </c>
      <c r="Q441" s="13">
        <f>IFERROR(VLOOKUP($A441,koronahun!$A:$AM,17,FALSE),"")</f>
        <v>0.16573624064100881</v>
      </c>
      <c r="R441">
        <f>IFERROR(VLOOKUP($A441,koronahun!$A:$AM,18,FALSE),"")</f>
        <v>162</v>
      </c>
      <c r="S441">
        <f>IFERROR(VLOOKUP($A441,koronahun!$A:$AM,19,FALSE),"")</f>
        <v>1069</v>
      </c>
      <c r="T441">
        <f>IFERROR(VLOOKUP($A441,koronahun!$A:$AM,20,FALSE),"")</f>
        <v>7807</v>
      </c>
      <c r="U441">
        <f>IFERROR(VLOOKUP($A441,koronahun!$A:$AM,21,FALSE),"")</f>
        <v>610</v>
      </c>
      <c r="V441" s="13">
        <f>IFERROR(VLOOKUP($A441,koronahun!$A:$AM,22,FALSE),"")</f>
        <v>0.68668257030845581</v>
      </c>
      <c r="W441">
        <f>IFERROR(VLOOKUP($A441,koronahun!$A:$AM,23,FALSE),"")</f>
        <v>-64</v>
      </c>
      <c r="X441">
        <f>IFERROR(VLOOKUP($A441,koronahun!$A:$AM,24,FALSE),"")</f>
        <v>0</v>
      </c>
      <c r="Y441" s="14">
        <f>IFERROR(VLOOKUP($A441,koronahun!$A:$AM,25,FALSE),"")</f>
        <v>4.1155756112475884E-2</v>
      </c>
      <c r="Z441" s="14">
        <f>IFERROR(VLOOKUP($A441,koronahun!$A:$AM,26,FALSE),"")</f>
        <v>7.8135007044959653E-2</v>
      </c>
      <c r="AA441" s="14">
        <f>IFERROR(VLOOKUP($A441,koronahun!$A:$AM,27,FALSE),"")</f>
        <v>0.84032619041494094</v>
      </c>
      <c r="AB441" s="14">
        <f>IFERROR(VLOOKUP($A441,koronahun!$A:$AM,28,FALSE),"")</f>
        <v>0.89653471349406921</v>
      </c>
      <c r="AC441" s="14">
        <f>IFERROR(VLOOKUP($A441,koronahun!$A:$AM,29,FALSE),"")</f>
        <v>4666.5714285714284</v>
      </c>
      <c r="AD441" s="14">
        <f>IFERROR(VLOOKUP($A441,koronahun!$A:$AM,30,FALSE),"")</f>
        <v>154</v>
      </c>
      <c r="AE441" s="14">
        <f>IFERROR(VLOOKUP($A441,koronahun!$A:$AM,31,FALSE),"")</f>
        <v>24535.571428571428</v>
      </c>
      <c r="AF441" s="13">
        <f>IFERROR(VLOOKUP($A441,koronahun!$A:$AM,32,FALSE),"")</f>
        <v>0.19649829983452108</v>
      </c>
      <c r="AG441">
        <f>IFERROR(VLOOKUP($A441,koronahun!$A:$AM,33,FALSE),"")</f>
        <v>0</v>
      </c>
      <c r="AH441">
        <f>IFERROR(VLOOKUP($A441,koronahun!$A:$AM,34,FALSE),"")</f>
        <v>0</v>
      </c>
      <c r="AI441">
        <f>IFERROR(VLOOKUP($A441,koronahun!$A:$AM,35,FALSE),"")</f>
        <v>0</v>
      </c>
      <c r="AJ441">
        <f>IFERROR(VLOOKUP($A441,koronahun!$A:$AM,36,FALSE),"")</f>
        <v>0</v>
      </c>
      <c r="AK441">
        <f>IFERROR(VLOOKUP($A441,koronahun!$A:$AM,37,FALSE),"")</f>
        <v>0</v>
      </c>
      <c r="AL441">
        <f>IFERROR(VLOOKUP($A441,koronahun!$A:$AM,38,FALSE),"")</f>
        <v>0</v>
      </c>
      <c r="AM441" s="14">
        <f>IFERROR(VLOOKUP($A441,koronahun!$A:$AM,39,FALSE),"")</f>
        <v>1339</v>
      </c>
      <c r="AN441" s="11">
        <f ca="1">IFERROR(__xludf.DUMMYFUNCTION("""COMPUTED_VALUE"""),44333)</f>
        <v>44333</v>
      </c>
      <c r="AO441" s="12">
        <f ca="1">IFERROR(VLOOKUP(AN441,koronahun!A:B,2,FALSE),"")</f>
        <v>798573</v>
      </c>
      <c r="AP441" s="11">
        <f t="shared" ca="1" si="2"/>
        <v>44333</v>
      </c>
      <c r="AQ441" s="11">
        <f ca="1">IFERROR(__xludf.DUMMYFUNCTION("""COMPUTED_VALUE"""),44333)</f>
        <v>44333</v>
      </c>
      <c r="AR441" s="11">
        <v>44178</v>
      </c>
      <c r="AS441" s="11">
        <f t="shared" si="3"/>
        <v>44178</v>
      </c>
      <c r="AT441" s="11">
        <f ca="1">IFERROR(__xludf.DUMMYFUNCTION("""COMPUTED_VALUE"""),44177)</f>
        <v>44177</v>
      </c>
    </row>
    <row r="442" spans="1:46" ht="13">
      <c r="A442" s="11">
        <v>44176</v>
      </c>
      <c r="B442">
        <f>IFERROR(VLOOKUP($A442,koronahun!$A:$AM,2,FALSE),"")</f>
        <v>271200</v>
      </c>
      <c r="C442">
        <f>IFERROR(VLOOKUP($A442,koronahun!$A:$AM,3,FALSE),"")</f>
        <v>6197</v>
      </c>
      <c r="D442">
        <f>IFERROR(VLOOKUP($A442,koronahun!$A:$AM,4,FALSE),"")</f>
        <v>6622</v>
      </c>
      <c r="E442">
        <f>IFERROR(VLOOKUP($A442,koronahun!$A:$AM,5,FALSE),"")</f>
        <v>78700</v>
      </c>
      <c r="F442">
        <f>IFERROR(VLOOKUP($A442,koronahun!$A:$AM,6,FALSE),"")</f>
        <v>2245483</v>
      </c>
      <c r="G442" s="12">
        <f>IFERROR(VLOOKUP($A442,koronahun!$A:$AM,7,FALSE),"")</f>
        <v>229130.91836734692</v>
      </c>
      <c r="H442">
        <f>IFERROR(VLOOKUP($A442,koronahun!$A:$AM,8,FALSE),"")</f>
        <v>0</v>
      </c>
      <c r="I442" s="13">
        <f>IFERROR(VLOOKUP($A442,koronahun!$A:$AM,9,FALSE),"")</f>
        <v>2.338464092859326E-2</v>
      </c>
      <c r="J442" s="13">
        <f>IFERROR(VLOOKUP($A442,koronahun!$A:$AM,10,FALSE),"")</f>
        <v>0.12077579745649376</v>
      </c>
      <c r="K442" s="13">
        <f>IFERROR(VLOOKUP($A442,koronahun!$A:$AM,11,FALSE),"")</f>
        <v>1.2902367290967486E-2</v>
      </c>
      <c r="L442">
        <f>IFERROR(VLOOKUP($A442,koronahun!$A:$AM,12,FALSE),"")</f>
        <v>185878</v>
      </c>
      <c r="M442" s="13">
        <f>IFERROR(VLOOKUP($A442,koronahun!$A:$AM,13,FALSE),"")</f>
        <v>2.4417404129793509E-2</v>
      </c>
      <c r="N442" s="13">
        <f>IFERROR(VLOOKUP($A442,koronahun!$A:$AM,14,FALSE),"")</f>
        <v>0.29019174041297935</v>
      </c>
      <c r="O442">
        <f>IFERROR(VLOOKUP($A442,koronahun!$A:$AM,15,FALSE),"")</f>
        <v>49524</v>
      </c>
      <c r="P442">
        <f>IFERROR(VLOOKUP($A442,koronahun!$A:$AM,16,FALSE),"")</f>
        <v>28603</v>
      </c>
      <c r="Q442" s="13">
        <f>IFERROR(VLOOKUP($A442,koronahun!$A:$AM,17,FALSE),"")</f>
        <v>0.21665559556689859</v>
      </c>
      <c r="R442">
        <f>IFERROR(VLOOKUP($A442,koronahun!$A:$AM,18,FALSE),"")</f>
        <v>171</v>
      </c>
      <c r="S442">
        <f>IFERROR(VLOOKUP($A442,koronahun!$A:$AM,19,FALSE),"")</f>
        <v>1338</v>
      </c>
      <c r="T442">
        <f>IFERROR(VLOOKUP($A442,koronahun!$A:$AM,20,FALSE),"")</f>
        <v>7871</v>
      </c>
      <c r="U442">
        <f>IFERROR(VLOOKUP($A442,koronahun!$A:$AM,21,FALSE),"")</f>
        <v>610</v>
      </c>
      <c r="V442" s="13">
        <f>IFERROR(VLOOKUP($A442,koronahun!$A:$AM,22,FALSE),"")</f>
        <v>0.68539085545722711</v>
      </c>
      <c r="W442">
        <f>IFERROR(VLOOKUP($A442,koronahun!$A:$AM,23,FALSE),"")</f>
        <v>2</v>
      </c>
      <c r="X442">
        <f>IFERROR(VLOOKUP($A442,koronahun!$A:$AM,24,FALSE),"")</f>
        <v>-35</v>
      </c>
      <c r="Y442" s="14">
        <f>IFERROR(VLOOKUP($A442,koronahun!$A:$AM,25,FALSE),"")</f>
        <v>4.2344978964697272E-2</v>
      </c>
      <c r="Z442" s="14">
        <f>IFERROR(VLOOKUP($A442,koronahun!$A:$AM,26,FALSE),"")</f>
        <v>7.7499682378350906E-2</v>
      </c>
      <c r="AA442" s="14">
        <f>IFERROR(VLOOKUP($A442,koronahun!$A:$AM,27,FALSE),"")</f>
        <v>0.8366316639741519</v>
      </c>
      <c r="AB442" s="14">
        <f>IFERROR(VLOOKUP($A442,koronahun!$A:$AM,28,FALSE),"")</f>
        <v>0.93787392463627006</v>
      </c>
      <c r="AC442" s="14">
        <f>IFERROR(VLOOKUP($A442,koronahun!$A:$AM,29,FALSE),"")</f>
        <v>4734.8571428571431</v>
      </c>
      <c r="AD442" s="14">
        <f>IFERROR(VLOOKUP($A442,koronahun!$A:$AM,30,FALSE),"")</f>
        <v>158.42857142857142</v>
      </c>
      <c r="AE442" s="14">
        <f>IFERROR(VLOOKUP($A442,koronahun!$A:$AM,31,FALSE),"")</f>
        <v>23512.428571428572</v>
      </c>
      <c r="AF442" s="13">
        <f>IFERROR(VLOOKUP($A442,koronahun!$A:$AM,32,FALSE),"")</f>
        <v>0.20671116222470021</v>
      </c>
      <c r="AG442">
        <f>IFERROR(VLOOKUP($A442,koronahun!$A:$AM,33,FALSE),"")</f>
        <v>0</v>
      </c>
      <c r="AH442">
        <f>IFERROR(VLOOKUP($A442,koronahun!$A:$AM,34,FALSE),"")</f>
        <v>0</v>
      </c>
      <c r="AI442">
        <f>IFERROR(VLOOKUP($A442,koronahun!$A:$AM,35,FALSE),"")</f>
        <v>0</v>
      </c>
      <c r="AJ442">
        <f>IFERROR(VLOOKUP($A442,koronahun!$A:$AM,36,FALSE),"")</f>
        <v>0</v>
      </c>
      <c r="AK442">
        <f>IFERROR(VLOOKUP($A442,koronahun!$A:$AM,37,FALSE),"")</f>
        <v>0</v>
      </c>
      <c r="AL442">
        <f>IFERROR(VLOOKUP($A442,koronahun!$A:$AM,38,FALSE),"")</f>
        <v>0</v>
      </c>
      <c r="AM442" s="14">
        <f>IFERROR(VLOOKUP($A442,koronahun!$A:$AM,39,FALSE),"")</f>
        <v>1453.5714285714287</v>
      </c>
      <c r="AN442" s="11">
        <f ca="1">IFERROR(__xludf.DUMMYFUNCTION("""COMPUTED_VALUE"""),44334)</f>
        <v>44334</v>
      </c>
      <c r="AO442" s="12">
        <f ca="1">IFERROR(VLOOKUP(AN442,koronahun!A:B,2,FALSE),"")</f>
        <v>798955</v>
      </c>
      <c r="AP442" s="11">
        <f t="shared" ca="1" si="2"/>
        <v>44334</v>
      </c>
      <c r="AQ442" s="11">
        <f ca="1">IFERROR(__xludf.DUMMYFUNCTION("""COMPUTED_VALUE"""),44334)</f>
        <v>44334</v>
      </c>
      <c r="AR442" s="11">
        <v>44177</v>
      </c>
      <c r="AS442" s="11">
        <f t="shared" si="3"/>
        <v>44177</v>
      </c>
      <c r="AT442" s="11">
        <f ca="1">IFERROR(__xludf.DUMMYFUNCTION("""COMPUTED_VALUE"""),44176)</f>
        <v>44176</v>
      </c>
    </row>
    <row r="443" spans="1:46" ht="13">
      <c r="A443" s="11">
        <v>44175</v>
      </c>
      <c r="B443">
        <f>IFERROR(VLOOKUP($A443,koronahun!$A:$AM,2,FALSE),"")</f>
        <v>265003</v>
      </c>
      <c r="C443">
        <f>IFERROR(VLOOKUP($A443,koronahun!$A:$AM,3,FALSE),"")</f>
        <v>5415</v>
      </c>
      <c r="D443">
        <f>IFERROR(VLOOKUP($A443,koronahun!$A:$AM,4,FALSE),"")</f>
        <v>6451</v>
      </c>
      <c r="E443">
        <f>IFERROR(VLOOKUP($A443,koronahun!$A:$AM,5,FALSE),"")</f>
        <v>77362</v>
      </c>
      <c r="F443">
        <f>IFERROR(VLOOKUP($A443,koronahun!$A:$AM,6,FALSE),"")</f>
        <v>2216880</v>
      </c>
      <c r="G443" s="12">
        <f>IFERROR(VLOOKUP($A443,koronahun!$A:$AM,7,FALSE),"")</f>
        <v>226212.24489795917</v>
      </c>
      <c r="H443">
        <f>IFERROR(VLOOKUP($A443,koronahun!$A:$AM,8,FALSE),"")</f>
        <v>0</v>
      </c>
      <c r="I443" s="13">
        <f>IFERROR(VLOOKUP($A443,koronahun!$A:$AM,9,FALSE),"")</f>
        <v>2.0859978119173461E-2</v>
      </c>
      <c r="J443" s="13">
        <f>IFERROR(VLOOKUP($A443,koronahun!$A:$AM,10,FALSE),"")</f>
        <v>0.11953872108548952</v>
      </c>
      <c r="K443" s="13">
        <f>IFERROR(VLOOKUP($A443,koronahun!$A:$AM,11,FALSE),"")</f>
        <v>1.3405377236229489E-2</v>
      </c>
      <c r="L443">
        <f>IFERROR(VLOOKUP($A443,koronahun!$A:$AM,12,FALSE),"")</f>
        <v>181190</v>
      </c>
      <c r="M443" s="13">
        <f>IFERROR(VLOOKUP($A443,koronahun!$A:$AM,13,FALSE),"")</f>
        <v>2.4343120643917238E-2</v>
      </c>
      <c r="N443" s="13">
        <f>IFERROR(VLOOKUP($A443,koronahun!$A:$AM,14,FALSE),"")</f>
        <v>0.29192877061769112</v>
      </c>
      <c r="O443">
        <f>IFERROR(VLOOKUP($A443,koronahun!$A:$AM,15,FALSE),"")</f>
        <v>43923</v>
      </c>
      <c r="P443">
        <f>IFERROR(VLOOKUP($A443,koronahun!$A:$AM,16,FALSE),"")</f>
        <v>29325</v>
      </c>
      <c r="Q443" s="13">
        <f>IFERROR(VLOOKUP($A443,koronahun!$A:$AM,17,FALSE),"")</f>
        <v>0.18465473145780051</v>
      </c>
      <c r="R443">
        <f>IFERROR(VLOOKUP($A443,koronahun!$A:$AM,18,FALSE),"")</f>
        <v>171</v>
      </c>
      <c r="S443">
        <f>IFERROR(VLOOKUP($A443,koronahun!$A:$AM,19,FALSE),"")</f>
        <v>1092</v>
      </c>
      <c r="T443">
        <f>IFERROR(VLOOKUP($A443,koronahun!$A:$AM,20,FALSE),"")</f>
        <v>7869</v>
      </c>
      <c r="U443">
        <f>IFERROR(VLOOKUP($A443,koronahun!$A:$AM,21,FALSE),"")</f>
        <v>645</v>
      </c>
      <c r="V443" s="13">
        <f>IFERROR(VLOOKUP($A443,koronahun!$A:$AM,22,FALSE),"")</f>
        <v>0.68372810873839163</v>
      </c>
      <c r="W443">
        <f>IFERROR(VLOOKUP($A443,koronahun!$A:$AM,23,FALSE),"")</f>
        <v>-76</v>
      </c>
      <c r="X443">
        <f>IFERROR(VLOOKUP($A443,koronahun!$A:$AM,24,FALSE),"")</f>
        <v>-16</v>
      </c>
      <c r="Y443" s="14">
        <f>IFERROR(VLOOKUP($A443,koronahun!$A:$AM,25,FALSE),"")</f>
        <v>4.3429549092113252E-2</v>
      </c>
      <c r="Z443" s="14">
        <f>IFERROR(VLOOKUP($A443,koronahun!$A:$AM,26,FALSE),"")</f>
        <v>8.1967213114754092E-2</v>
      </c>
      <c r="AA443" s="14">
        <f>IFERROR(VLOOKUP($A443,koronahun!$A:$AM,27,FALSE),"")</f>
        <v>0.83320350780209562</v>
      </c>
      <c r="AB443" s="14">
        <f>IFERROR(VLOOKUP($A443,koronahun!$A:$AM,28,FALSE),"")</f>
        <v>0.99228266617255845</v>
      </c>
      <c r="AC443" s="14">
        <f>IFERROR(VLOOKUP($A443,koronahun!$A:$AM,29,FALSE),"")</f>
        <v>4737</v>
      </c>
      <c r="AD443" s="14">
        <f>IFERROR(VLOOKUP($A443,koronahun!$A:$AM,30,FALSE),"")</f>
        <v>161</v>
      </c>
      <c r="AE443" s="14">
        <f>IFERROR(VLOOKUP($A443,koronahun!$A:$AM,31,FALSE),"")</f>
        <v>22066.142857142859</v>
      </c>
      <c r="AF443" s="13">
        <f>IFERROR(VLOOKUP($A443,koronahun!$A:$AM,32,FALSE),"")</f>
        <v>0.22378398813147687</v>
      </c>
      <c r="AG443">
        <f>IFERROR(VLOOKUP($A443,koronahun!$A:$AM,33,FALSE),"")</f>
        <v>0</v>
      </c>
      <c r="AH443">
        <f>IFERROR(VLOOKUP($A443,koronahun!$A:$AM,34,FALSE),"")</f>
        <v>0</v>
      </c>
      <c r="AI443">
        <f>IFERROR(VLOOKUP($A443,koronahun!$A:$AM,35,FALSE),"")</f>
        <v>0</v>
      </c>
      <c r="AJ443">
        <f>IFERROR(VLOOKUP($A443,koronahun!$A:$AM,36,FALSE),"")</f>
        <v>0</v>
      </c>
      <c r="AK443">
        <f>IFERROR(VLOOKUP($A443,koronahun!$A:$AM,37,FALSE),"")</f>
        <v>0</v>
      </c>
      <c r="AL443">
        <f>IFERROR(VLOOKUP($A443,koronahun!$A:$AM,38,FALSE),"")</f>
        <v>0</v>
      </c>
      <c r="AM443" s="14">
        <f>IFERROR(VLOOKUP($A443,koronahun!$A:$AM,39,FALSE),"")</f>
        <v>1475.5714285714287</v>
      </c>
      <c r="AN443" s="11">
        <f ca="1">IFERROR(__xludf.DUMMYFUNCTION("""COMPUTED_VALUE"""),44335)</f>
        <v>44335</v>
      </c>
      <c r="AO443" s="12">
        <f ca="1">IFERROR(VLOOKUP(AN443,koronahun!A:B,2,FALSE),"")</f>
        <v>799588</v>
      </c>
      <c r="AP443" s="11">
        <f t="shared" ca="1" si="2"/>
        <v>44335</v>
      </c>
      <c r="AQ443" s="11">
        <f ca="1">IFERROR(__xludf.DUMMYFUNCTION("""COMPUTED_VALUE"""),44335)</f>
        <v>44335</v>
      </c>
      <c r="AR443" s="11">
        <v>44176</v>
      </c>
      <c r="AS443" s="11">
        <f t="shared" si="3"/>
        <v>44176</v>
      </c>
      <c r="AT443" s="11">
        <f ca="1">IFERROR(__xludf.DUMMYFUNCTION("""COMPUTED_VALUE"""),44175)</f>
        <v>44175</v>
      </c>
    </row>
    <row r="444" spans="1:46" ht="13">
      <c r="A444" s="11">
        <v>44174</v>
      </c>
      <c r="B444">
        <f>IFERROR(VLOOKUP($A444,koronahun!$A:$AM,2,FALSE),"")</f>
        <v>259588</v>
      </c>
      <c r="C444">
        <f>IFERROR(VLOOKUP($A444,koronahun!$A:$AM,3,FALSE),"")</f>
        <v>3221</v>
      </c>
      <c r="D444">
        <f>IFERROR(VLOOKUP($A444,koronahun!$A:$AM,4,FALSE),"")</f>
        <v>6280</v>
      </c>
      <c r="E444">
        <f>IFERROR(VLOOKUP($A444,koronahun!$A:$AM,5,FALSE),"")</f>
        <v>76270</v>
      </c>
      <c r="F444">
        <f>IFERROR(VLOOKUP($A444,koronahun!$A:$AM,6,FALSE),"")</f>
        <v>2187555</v>
      </c>
      <c r="G444" s="12">
        <f>IFERROR(VLOOKUP($A444,koronahun!$A:$AM,7,FALSE),"")</f>
        <v>223219.89795918367</v>
      </c>
      <c r="H444">
        <f>IFERROR(VLOOKUP($A444,koronahun!$A:$AM,8,FALSE),"")</f>
        <v>0</v>
      </c>
      <c r="I444" s="13">
        <f>IFERROR(VLOOKUP($A444,koronahun!$A:$AM,9,FALSE),"")</f>
        <v>1.2564019550098102E-2</v>
      </c>
      <c r="J444" s="13">
        <f>IFERROR(VLOOKUP($A444,koronahun!$A:$AM,10,FALSE),"")</f>
        <v>0.11866581640233045</v>
      </c>
      <c r="K444" s="13">
        <f>IFERROR(VLOOKUP($A444,koronahun!$A:$AM,11,FALSE),"")</f>
        <v>1.3311450988457573E-2</v>
      </c>
      <c r="L444">
        <f>IFERROR(VLOOKUP($A444,koronahun!$A:$AM,12,FALSE),"")</f>
        <v>177038</v>
      </c>
      <c r="M444" s="13">
        <f>IFERROR(VLOOKUP($A444,koronahun!$A:$AM,13,FALSE),"")</f>
        <v>2.4192181456769959E-2</v>
      </c>
      <c r="N444" s="13">
        <f>IFERROR(VLOOKUP($A444,koronahun!$A:$AM,14,FALSE),"")</f>
        <v>0.29381173243755487</v>
      </c>
      <c r="O444">
        <f>IFERROR(VLOOKUP($A444,koronahun!$A:$AM,15,FALSE),"")</f>
        <v>45957</v>
      </c>
      <c r="P444">
        <f>IFERROR(VLOOKUP($A444,koronahun!$A:$AM,16,FALSE),"")</f>
        <v>28737</v>
      </c>
      <c r="Q444" s="13">
        <f>IFERROR(VLOOKUP($A444,koronahun!$A:$AM,17,FALSE),"")</f>
        <v>0.11208546473187876</v>
      </c>
      <c r="R444">
        <f>IFERROR(VLOOKUP($A444,koronahun!$A:$AM,18,FALSE),"")</f>
        <v>160</v>
      </c>
      <c r="S444">
        <f>IFERROR(VLOOKUP($A444,koronahun!$A:$AM,19,FALSE),"")</f>
        <v>989</v>
      </c>
      <c r="T444">
        <f>IFERROR(VLOOKUP($A444,koronahun!$A:$AM,20,FALSE),"")</f>
        <v>7945</v>
      </c>
      <c r="U444">
        <f>IFERROR(VLOOKUP($A444,koronahun!$A:$AM,21,FALSE),"")</f>
        <v>661</v>
      </c>
      <c r="V444" s="13">
        <f>IFERROR(VLOOKUP($A444,koronahun!$A:$AM,22,FALSE),"")</f>
        <v>0.68199608610567519</v>
      </c>
      <c r="W444">
        <f>IFERROR(VLOOKUP($A444,koronahun!$A:$AM,23,FALSE),"")</f>
        <v>-100</v>
      </c>
      <c r="X444">
        <f>IFERROR(VLOOKUP($A444,koronahun!$A:$AM,24,FALSE),"")</f>
        <v>5</v>
      </c>
      <c r="Y444" s="14">
        <f>IFERROR(VLOOKUP($A444,koronahun!$A:$AM,25,FALSE),"")</f>
        <v>4.4877370959906911E-2</v>
      </c>
      <c r="Z444" s="14">
        <f>IFERROR(VLOOKUP($A444,koronahun!$A:$AM,26,FALSE),"")</f>
        <v>8.3196979232221524E-2</v>
      </c>
      <c r="AA444" s="14">
        <f>IFERROR(VLOOKUP($A444,koronahun!$A:$AM,27,FALSE),"")</f>
        <v>0.86986994585294264</v>
      </c>
      <c r="AB444" s="14">
        <f>IFERROR(VLOOKUP($A444,koronahun!$A:$AM,28,FALSE),"")</f>
        <v>1.0591322869624862</v>
      </c>
      <c r="AC444" s="14">
        <f>IFERROR(VLOOKUP($A444,koronahun!$A:$AM,29,FALSE),"")</f>
        <v>4911.2857142857147</v>
      </c>
      <c r="AD444" s="14">
        <f>IFERROR(VLOOKUP($A444,koronahun!$A:$AM,30,FALSE),"")</f>
        <v>162.57142857142858</v>
      </c>
      <c r="AE444" s="14">
        <f>IFERROR(VLOOKUP($A444,koronahun!$A:$AM,31,FALSE),"")</f>
        <v>21597.428571428572</v>
      </c>
      <c r="AF444" s="13">
        <f>IFERROR(VLOOKUP($A444,koronahun!$A:$AM,32,FALSE),"")</f>
        <v>0.2337991941230573</v>
      </c>
      <c r="AG444">
        <f>IFERROR(VLOOKUP($A444,koronahun!$A:$AM,33,FALSE),"")</f>
        <v>0</v>
      </c>
      <c r="AH444">
        <f>IFERROR(VLOOKUP($A444,koronahun!$A:$AM,34,FALSE),"")</f>
        <v>0</v>
      </c>
      <c r="AI444">
        <f>IFERROR(VLOOKUP($A444,koronahun!$A:$AM,35,FALSE),"")</f>
        <v>0</v>
      </c>
      <c r="AJ444">
        <f>IFERROR(VLOOKUP($A444,koronahun!$A:$AM,36,FALSE),"")</f>
        <v>0</v>
      </c>
      <c r="AK444">
        <f>IFERROR(VLOOKUP($A444,koronahun!$A:$AM,37,FALSE),"")</f>
        <v>0</v>
      </c>
      <c r="AL444">
        <f>IFERROR(VLOOKUP($A444,koronahun!$A:$AM,38,FALSE),"")</f>
        <v>0</v>
      </c>
      <c r="AM444" s="14">
        <f>IFERROR(VLOOKUP($A444,koronahun!$A:$AM,39,FALSE),"")</f>
        <v>1483.1428571428571</v>
      </c>
      <c r="AN444" s="11">
        <f ca="1">IFERROR(__xludf.DUMMYFUNCTION("""COMPUTED_VALUE"""),44336)</f>
        <v>44336</v>
      </c>
      <c r="AO444" s="12">
        <f ca="1">IFERROR(VLOOKUP(AN444,koronahun!A:B,2,FALSE),"")</f>
        <v>800368</v>
      </c>
      <c r="AP444" s="11">
        <f t="shared" ca="1" si="2"/>
        <v>44336</v>
      </c>
      <c r="AQ444" s="11">
        <f ca="1">IFERROR(__xludf.DUMMYFUNCTION("""COMPUTED_VALUE"""),44336)</f>
        <v>44336</v>
      </c>
      <c r="AR444" s="11">
        <v>44175</v>
      </c>
      <c r="AS444" s="11">
        <f t="shared" si="3"/>
        <v>44175</v>
      </c>
      <c r="AT444" s="11">
        <f ca="1">IFERROR(__xludf.DUMMYFUNCTION("""COMPUTED_VALUE"""),44174)</f>
        <v>44174</v>
      </c>
    </row>
    <row r="445" spans="1:46" ht="13">
      <c r="A445" s="11">
        <v>44173</v>
      </c>
      <c r="B445">
        <f>IFERROR(VLOOKUP($A445,koronahun!$A:$AM,2,FALSE),"")</f>
        <v>256367</v>
      </c>
      <c r="C445">
        <f>IFERROR(VLOOKUP($A445,koronahun!$A:$AM,3,FALSE),"")</f>
        <v>2219</v>
      </c>
      <c r="D445">
        <f>IFERROR(VLOOKUP($A445,koronahun!$A:$AM,4,FALSE),"")</f>
        <v>6120</v>
      </c>
      <c r="E445">
        <f>IFERROR(VLOOKUP($A445,koronahun!$A:$AM,5,FALSE),"")</f>
        <v>75281</v>
      </c>
      <c r="F445">
        <f>IFERROR(VLOOKUP($A445,koronahun!$A:$AM,6,FALSE),"")</f>
        <v>2158818</v>
      </c>
      <c r="G445" s="12">
        <f>IFERROR(VLOOKUP($A445,koronahun!$A:$AM,7,FALSE),"")</f>
        <v>220287.55102040814</v>
      </c>
      <c r="H445">
        <f>IFERROR(VLOOKUP($A445,koronahun!$A:$AM,8,FALSE),"")</f>
        <v>0</v>
      </c>
      <c r="I445" s="13">
        <f>IFERROR(VLOOKUP($A445,koronahun!$A:$AM,9,FALSE),"")</f>
        <v>8.7311330405905226E-3</v>
      </c>
      <c r="J445" s="13">
        <f>IFERROR(VLOOKUP($A445,koronahun!$A:$AM,10,FALSE),"")</f>
        <v>0.11875341043107848</v>
      </c>
      <c r="K445" s="13">
        <f>IFERROR(VLOOKUP($A445,koronahun!$A:$AM,11,FALSE),"")</f>
        <v>9.9671547942386418E-2</v>
      </c>
      <c r="L445">
        <f>IFERROR(VLOOKUP($A445,koronahun!$A:$AM,12,FALSE),"")</f>
        <v>174966</v>
      </c>
      <c r="M445" s="13">
        <f>IFERROR(VLOOKUP($A445,koronahun!$A:$AM,13,FALSE),"")</f>
        <v>2.3872027210990493E-2</v>
      </c>
      <c r="N445" s="13">
        <f>IFERROR(VLOOKUP($A445,koronahun!$A:$AM,14,FALSE),"")</f>
        <v>0.29364543798538811</v>
      </c>
      <c r="O445">
        <f>IFERROR(VLOOKUP($A445,koronahun!$A:$AM,15,FALSE),"")</f>
        <v>45542</v>
      </c>
      <c r="P445">
        <f>IFERROR(VLOOKUP($A445,koronahun!$A:$AM,16,FALSE),"")</f>
        <v>9527</v>
      </c>
      <c r="Q445" s="13">
        <f>IFERROR(VLOOKUP($A445,koronahun!$A:$AM,17,FALSE),"")</f>
        <v>0.23291697281410728</v>
      </c>
      <c r="R445">
        <f>IFERROR(VLOOKUP($A445,koronahun!$A:$AM,18,FALSE),"")</f>
        <v>136</v>
      </c>
      <c r="S445">
        <f>IFERROR(VLOOKUP($A445,koronahun!$A:$AM,19,FALSE),"")</f>
        <v>998</v>
      </c>
      <c r="T445">
        <f>IFERROR(VLOOKUP($A445,koronahun!$A:$AM,20,FALSE),"")</f>
        <v>8045</v>
      </c>
      <c r="U445">
        <f>IFERROR(VLOOKUP($A445,koronahun!$A:$AM,21,FALSE),"")</f>
        <v>656</v>
      </c>
      <c r="V445" s="13">
        <f>IFERROR(VLOOKUP($A445,koronahun!$A:$AM,22,FALSE),"")</f>
        <v>0.68248253480362142</v>
      </c>
      <c r="W445">
        <f>IFERROR(VLOOKUP($A445,koronahun!$A:$AM,23,FALSE),"")</f>
        <v>113</v>
      </c>
      <c r="X445">
        <f>IFERROR(VLOOKUP($A445,koronahun!$A:$AM,24,FALSE),"")</f>
        <v>-18</v>
      </c>
      <c r="Y445" s="14">
        <f>IFERROR(VLOOKUP($A445,koronahun!$A:$AM,25,FALSE),"")</f>
        <v>4.5980361898883208E-2</v>
      </c>
      <c r="Z445" s="14">
        <f>IFERROR(VLOOKUP($A445,koronahun!$A:$AM,26,FALSE),"")</f>
        <v>8.1541330018645122E-2</v>
      </c>
      <c r="AA445" s="14">
        <f>IFERROR(VLOOKUP($A445,koronahun!$A:$AM,27,FALSE),"")</f>
        <v>0.90054092671973873</v>
      </c>
      <c r="AB445" s="14">
        <f>IFERROR(VLOOKUP($A445,koronahun!$A:$AM,28,FALSE),"")</f>
        <v>1.131329763156665</v>
      </c>
      <c r="AC445" s="14">
        <f>IFERROR(VLOOKUP($A445,koronahun!$A:$AM,29,FALSE),"")</f>
        <v>5042</v>
      </c>
      <c r="AD445" s="14">
        <f>IFERROR(VLOOKUP($A445,koronahun!$A:$AM,30,FALSE),"")</f>
        <v>163.28571428571428</v>
      </c>
      <c r="AE445" s="14">
        <f>IFERROR(VLOOKUP($A445,koronahun!$A:$AM,31,FALSE),"")</f>
        <v>19627</v>
      </c>
      <c r="AF445" s="13">
        <f>IFERROR(VLOOKUP($A445,koronahun!$A:$AM,32,FALSE),"")</f>
        <v>0.25732506991694309</v>
      </c>
      <c r="AG445">
        <f>IFERROR(VLOOKUP($A445,koronahun!$A:$AM,33,FALSE),"")</f>
        <v>0</v>
      </c>
      <c r="AH445">
        <f>IFERROR(VLOOKUP($A445,koronahun!$A:$AM,34,FALSE),"")</f>
        <v>0</v>
      </c>
      <c r="AI445">
        <f>IFERROR(VLOOKUP($A445,koronahun!$A:$AM,35,FALSE),"")</f>
        <v>0</v>
      </c>
      <c r="AJ445">
        <f>IFERROR(VLOOKUP($A445,koronahun!$A:$AM,36,FALSE),"")</f>
        <v>0</v>
      </c>
      <c r="AK445">
        <f>IFERROR(VLOOKUP($A445,koronahun!$A:$AM,37,FALSE),"")</f>
        <v>0</v>
      </c>
      <c r="AL445">
        <f>IFERROR(VLOOKUP($A445,koronahun!$A:$AM,38,FALSE),"")</f>
        <v>0</v>
      </c>
      <c r="AM445" s="14">
        <f>IFERROR(VLOOKUP($A445,koronahun!$A:$AM,39,FALSE),"")</f>
        <v>1497</v>
      </c>
      <c r="AN445" s="11">
        <f ca="1">IFERROR(__xludf.DUMMYFUNCTION("""COMPUTED_VALUE"""),44337)</f>
        <v>44337</v>
      </c>
      <c r="AO445" s="12">
        <f ca="1">IFERROR(VLOOKUP(AN445,koronahun!A:B,2,FALSE),"")</f>
        <v>801025</v>
      </c>
      <c r="AP445" s="11">
        <f t="shared" ca="1" si="2"/>
        <v>44337</v>
      </c>
      <c r="AQ445" s="11">
        <f ca="1">IFERROR(__xludf.DUMMYFUNCTION("""COMPUTED_VALUE"""),44337)</f>
        <v>44337</v>
      </c>
      <c r="AR445" s="11">
        <v>44174</v>
      </c>
      <c r="AS445" s="11">
        <f t="shared" si="3"/>
        <v>44174</v>
      </c>
      <c r="AT445" s="11">
        <f ca="1">IFERROR(__xludf.DUMMYFUNCTION("""COMPUTED_VALUE"""),44173)</f>
        <v>44173</v>
      </c>
    </row>
    <row r="446" spans="1:46" ht="13">
      <c r="A446" s="11">
        <v>44172</v>
      </c>
      <c r="B446">
        <f>IFERROR(VLOOKUP($A446,koronahun!$A:$AM,2,FALSE),"")</f>
        <v>254148</v>
      </c>
      <c r="C446">
        <f>IFERROR(VLOOKUP($A446,koronahun!$A:$AM,3,FALSE),"")</f>
        <v>3870</v>
      </c>
      <c r="D446">
        <f>IFERROR(VLOOKUP($A446,koronahun!$A:$AM,4,FALSE),"")</f>
        <v>5984</v>
      </c>
      <c r="E446">
        <f>IFERROR(VLOOKUP($A446,koronahun!$A:$AM,5,FALSE),"")</f>
        <v>74283</v>
      </c>
      <c r="F446">
        <f>IFERROR(VLOOKUP($A446,koronahun!$A:$AM,6,FALSE),"")</f>
        <v>1963148</v>
      </c>
      <c r="G446" s="12">
        <f>IFERROR(VLOOKUP($A446,koronahun!$A:$AM,7,FALSE),"")</f>
        <v>200321.22448979592</v>
      </c>
      <c r="H446">
        <f>IFERROR(VLOOKUP($A446,koronahun!$A:$AM,8,FALSE),"")</f>
        <v>0</v>
      </c>
      <c r="I446" s="13">
        <f>IFERROR(VLOOKUP($A446,koronahun!$A:$AM,9,FALSE),"")</f>
        <v>1.5462805360439192E-2</v>
      </c>
      <c r="J446" s="13">
        <f>IFERROR(VLOOKUP($A446,koronahun!$A:$AM,10,FALSE),"")</f>
        <v>0.12945941925927135</v>
      </c>
      <c r="K446" s="13">
        <f>IFERROR(VLOOKUP($A446,koronahun!$A:$AM,11,FALSE),"")</f>
        <v>1.1033493946616513E-2</v>
      </c>
      <c r="L446">
        <f>IFERROR(VLOOKUP($A446,koronahun!$A:$AM,12,FALSE),"")</f>
        <v>173881</v>
      </c>
      <c r="M446" s="13">
        <f>IFERROR(VLOOKUP($A446,koronahun!$A:$AM,13,FALSE),"")</f>
        <v>2.354533578859562E-2</v>
      </c>
      <c r="N446" s="13">
        <f>IFERROR(VLOOKUP($A446,koronahun!$A:$AM,14,FALSE),"")</f>
        <v>0.29228244959629823</v>
      </c>
      <c r="O446">
        <f>IFERROR(VLOOKUP($A446,koronahun!$A:$AM,15,FALSE),"")</f>
        <v>51485</v>
      </c>
      <c r="P446">
        <f>IFERROR(VLOOKUP($A446,koronahun!$A:$AM,16,FALSE),"")</f>
        <v>21424</v>
      </c>
      <c r="Q446" s="13">
        <f>IFERROR(VLOOKUP($A446,koronahun!$A:$AM,17,FALSE),"")</f>
        <v>0.18063853622106049</v>
      </c>
      <c r="R446">
        <f>IFERROR(VLOOKUP($A446,koronahun!$A:$AM,18,FALSE),"")</f>
        <v>116</v>
      </c>
      <c r="S446">
        <f>IFERROR(VLOOKUP($A446,koronahun!$A:$AM,19,FALSE),"")</f>
        <v>2601</v>
      </c>
      <c r="T446">
        <f>IFERROR(VLOOKUP($A446,koronahun!$A:$AM,20,FALSE),"")</f>
        <v>7932</v>
      </c>
      <c r="U446">
        <f>IFERROR(VLOOKUP($A446,koronahun!$A:$AM,21,FALSE),"")</f>
        <v>674</v>
      </c>
      <c r="V446" s="13">
        <f>IFERROR(VLOOKUP($A446,koronahun!$A:$AM,22,FALSE),"")</f>
        <v>0.68417221461510613</v>
      </c>
      <c r="W446">
        <f>IFERROR(VLOOKUP($A446,koronahun!$A:$AM,23,FALSE),"")</f>
        <v>223</v>
      </c>
      <c r="X446">
        <f>IFERROR(VLOOKUP($A446,koronahun!$A:$AM,24,FALSE),"")</f>
        <v>18</v>
      </c>
      <c r="Y446" s="14">
        <f>IFERROR(VLOOKUP($A446,koronahun!$A:$AM,25,FALSE),"")</f>
        <v>4.5617405006872516E-2</v>
      </c>
      <c r="Z446" s="14">
        <f>IFERROR(VLOOKUP($A446,koronahun!$A:$AM,26,FALSE),"")</f>
        <v>8.4972264246091778E-2</v>
      </c>
      <c r="AA446" s="14">
        <f>IFERROR(VLOOKUP($A446,koronahun!$A:$AM,27,FALSE),"")</f>
        <v>0.94526423283124839</v>
      </c>
      <c r="AB446" s="14">
        <f>IFERROR(VLOOKUP($A446,koronahun!$A:$AM,28,FALSE),"")</f>
        <v>1.1942783881622663</v>
      </c>
      <c r="AC446" s="14">
        <f>IFERROR(VLOOKUP($A446,koronahun!$A:$AM,29,FALSE),"")</f>
        <v>5289.4285714285716</v>
      </c>
      <c r="AD446" s="14">
        <f>IFERROR(VLOOKUP($A446,koronahun!$A:$AM,30,FALSE),"")</f>
        <v>165.85714285714286</v>
      </c>
      <c r="AE446" s="14">
        <f>IFERROR(VLOOKUP($A446,koronahun!$A:$AM,31,FALSE),"")</f>
        <v>19088.571428571428</v>
      </c>
      <c r="AF446" s="13">
        <f>IFERROR(VLOOKUP($A446,koronahun!$A:$AM,32,FALSE),"")</f>
        <v>0.3220763245821634</v>
      </c>
      <c r="AG446">
        <f>IFERROR(VLOOKUP($A446,koronahun!$A:$AM,33,FALSE),"")</f>
        <v>0</v>
      </c>
      <c r="AH446">
        <f>IFERROR(VLOOKUP($A446,koronahun!$A:$AM,34,FALSE),"")</f>
        <v>0</v>
      </c>
      <c r="AI446">
        <f>IFERROR(VLOOKUP($A446,koronahun!$A:$AM,35,FALSE),"")</f>
        <v>0</v>
      </c>
      <c r="AJ446">
        <f>IFERROR(VLOOKUP($A446,koronahun!$A:$AM,36,FALSE),"")</f>
        <v>0</v>
      </c>
      <c r="AK446">
        <f>IFERROR(VLOOKUP($A446,koronahun!$A:$AM,37,FALSE),"")</f>
        <v>0</v>
      </c>
      <c r="AL446">
        <f>IFERROR(VLOOKUP($A446,koronahun!$A:$AM,38,FALSE),"")</f>
        <v>0</v>
      </c>
      <c r="AM446" s="14">
        <f>IFERROR(VLOOKUP($A446,koronahun!$A:$AM,39,FALSE),"")</f>
        <v>1489</v>
      </c>
      <c r="AN446" s="11">
        <f ca="1">IFERROR(__xludf.DUMMYFUNCTION("""COMPUTED_VALUE"""),44338)</f>
        <v>44338</v>
      </c>
      <c r="AO446" s="12">
        <f ca="1">IFERROR(VLOOKUP(AN446,koronahun!A:B,2,FALSE),"")</f>
        <v>801672</v>
      </c>
      <c r="AP446" s="11">
        <f t="shared" ca="1" si="2"/>
        <v>44338</v>
      </c>
      <c r="AQ446" s="11">
        <f ca="1">IFERROR(__xludf.DUMMYFUNCTION("""COMPUTED_VALUE"""),44338)</f>
        <v>44338</v>
      </c>
      <c r="AR446" s="11">
        <v>44173</v>
      </c>
      <c r="AS446" s="11">
        <f t="shared" si="3"/>
        <v>44173</v>
      </c>
      <c r="AT446" s="11">
        <f ca="1">IFERROR(__xludf.DUMMYFUNCTION("""COMPUTED_VALUE"""),44172)</f>
        <v>44172</v>
      </c>
    </row>
    <row r="447" spans="1:46" ht="13">
      <c r="A447" s="11">
        <v>44171</v>
      </c>
      <c r="B447">
        <f>IFERROR(VLOOKUP($A447,koronahun!$A:$AM,2,FALSE),"")</f>
        <v>250278</v>
      </c>
      <c r="C447">
        <f>IFERROR(VLOOKUP($A447,koronahun!$A:$AM,3,FALSE),"")</f>
        <v>6697</v>
      </c>
      <c r="D447">
        <f>IFERROR(VLOOKUP($A447,koronahun!$A:$AM,4,FALSE),"")</f>
        <v>5868</v>
      </c>
      <c r="E447">
        <f>IFERROR(VLOOKUP($A447,koronahun!$A:$AM,5,FALSE),"")</f>
        <v>71682</v>
      </c>
      <c r="F447">
        <f>IFERROR(VLOOKUP($A447,koronahun!$A:$AM,6,FALSE),"")</f>
        <v>1941724</v>
      </c>
      <c r="G447" s="12">
        <f>IFERROR(VLOOKUP($A447,koronahun!$A:$AM,7,FALSE),"")</f>
        <v>198135.1020408163</v>
      </c>
      <c r="H447">
        <f>IFERROR(VLOOKUP($A447,koronahun!$A:$AM,8,FALSE),"")</f>
        <v>0</v>
      </c>
      <c r="I447" s="13">
        <f>IFERROR(VLOOKUP($A447,koronahun!$A:$AM,9,FALSE),"")</f>
        <v>2.7493934255955924E-2</v>
      </c>
      <c r="J447" s="13">
        <f>IFERROR(VLOOKUP($A447,koronahun!$A:$AM,10,FALSE),"")</f>
        <v>0.12889473478208024</v>
      </c>
      <c r="K447" s="13">
        <f>IFERROR(VLOOKUP($A447,koronahun!$A:$AM,11,FALSE),"")</f>
        <v>1.2346438531357222E-2</v>
      </c>
      <c r="L447">
        <f>IFERROR(VLOOKUP($A447,koronahun!$A:$AM,12,FALSE),"")</f>
        <v>172728</v>
      </c>
      <c r="M447" s="13">
        <f>IFERROR(VLOOKUP($A447,koronahun!$A:$AM,13,FALSE),"")</f>
        <v>2.3445928127921751E-2</v>
      </c>
      <c r="N447" s="13">
        <f>IFERROR(VLOOKUP($A447,koronahun!$A:$AM,14,FALSE),"")</f>
        <v>0.2864095126219644</v>
      </c>
      <c r="O447">
        <f>IFERROR(VLOOKUP($A447,koronahun!$A:$AM,15,FALSE),"")</f>
        <v>50283</v>
      </c>
      <c r="P447">
        <f>IFERROR(VLOOKUP($A447,koronahun!$A:$AM,16,FALSE),"")</f>
        <v>23681</v>
      </c>
      <c r="Q447" s="13">
        <f>IFERROR(VLOOKUP($A447,koronahun!$A:$AM,17,FALSE),"")</f>
        <v>0.28280055740889321</v>
      </c>
      <c r="R447">
        <f>IFERROR(VLOOKUP($A447,koronahun!$A:$AM,18,FALSE),"")</f>
        <v>162</v>
      </c>
      <c r="S447">
        <f>IFERROR(VLOOKUP($A447,koronahun!$A:$AM,19,FALSE),"")</f>
        <v>1286</v>
      </c>
      <c r="T447">
        <f>IFERROR(VLOOKUP($A447,koronahun!$A:$AM,20,FALSE),"")</f>
        <v>7709</v>
      </c>
      <c r="U447">
        <f>IFERROR(VLOOKUP($A447,koronahun!$A:$AM,21,FALSE),"")</f>
        <v>656</v>
      </c>
      <c r="V447" s="13">
        <f>IFERROR(VLOOKUP($A447,koronahun!$A:$AM,22,FALSE),"")</f>
        <v>0.69014455925011386</v>
      </c>
      <c r="W447">
        <f>IFERROR(VLOOKUP($A447,koronahun!$A:$AM,23,FALSE),"")</f>
        <v>14</v>
      </c>
      <c r="X447">
        <f>IFERROR(VLOOKUP($A447,koronahun!$A:$AM,24,FALSE),"")</f>
        <v>19</v>
      </c>
      <c r="Y447" s="14">
        <f>IFERROR(VLOOKUP($A447,koronahun!$A:$AM,25,FALSE),"")</f>
        <v>4.4630864712148582E-2</v>
      </c>
      <c r="Z447" s="14">
        <f>IFERROR(VLOOKUP($A447,koronahun!$A:$AM,26,FALSE),"")</f>
        <v>8.5095343105461144E-2</v>
      </c>
      <c r="AA447" s="14">
        <f>IFERROR(VLOOKUP($A447,koronahun!$A:$AM,27,FALSE),"")</f>
        <v>1.0499065268633667</v>
      </c>
      <c r="AB447" s="14">
        <f>IFERROR(VLOOKUP($A447,koronahun!$A:$AM,28,FALSE),"")</f>
        <v>1.2427307470457651</v>
      </c>
      <c r="AC447" s="14">
        <f>IFERROR(VLOOKUP($A447,koronahun!$A:$AM,29,FALSE),"")</f>
        <v>5535.8571428571431</v>
      </c>
      <c r="AD447" s="14">
        <f>IFERROR(VLOOKUP($A447,koronahun!$A:$AM,30,FALSE),"")</f>
        <v>170.85714285714286</v>
      </c>
      <c r="AE447" s="14">
        <f>IFERROR(VLOOKUP($A447,koronahun!$A:$AM,31,FALSE),"")</f>
        <v>17306</v>
      </c>
      <c r="AF447" s="13">
        <f>IFERROR(VLOOKUP($A447,koronahun!$A:$AM,32,FALSE),"")</f>
        <v>0.38561641680161335</v>
      </c>
      <c r="AG447">
        <f>IFERROR(VLOOKUP($A447,koronahun!$A:$AM,33,FALSE),"")</f>
        <v>0</v>
      </c>
      <c r="AH447">
        <f>IFERROR(VLOOKUP($A447,koronahun!$A:$AM,34,FALSE),"")</f>
        <v>0</v>
      </c>
      <c r="AI447">
        <f>IFERROR(VLOOKUP($A447,koronahun!$A:$AM,35,FALSE),"")</f>
        <v>0</v>
      </c>
      <c r="AJ447">
        <f>IFERROR(VLOOKUP($A447,koronahun!$A:$AM,36,FALSE),"")</f>
        <v>0</v>
      </c>
      <c r="AK447">
        <f>IFERROR(VLOOKUP($A447,koronahun!$A:$AM,37,FALSE),"")</f>
        <v>0</v>
      </c>
      <c r="AL447">
        <f>IFERROR(VLOOKUP($A447,koronahun!$A:$AM,38,FALSE),"")</f>
        <v>0</v>
      </c>
      <c r="AM447" s="14">
        <f>IFERROR(VLOOKUP($A447,koronahun!$A:$AM,39,FALSE),"")</f>
        <v>2292.1428571428573</v>
      </c>
      <c r="AN447" s="11">
        <f ca="1">IFERROR(__xludf.DUMMYFUNCTION("""COMPUTED_VALUE"""),44339)</f>
        <v>44339</v>
      </c>
      <c r="AO447" s="12">
        <f ca="1">IFERROR(VLOOKUP(AN447,koronahun!A:B,2,FALSE),"")</f>
        <v>802088</v>
      </c>
      <c r="AP447" s="11">
        <f t="shared" ca="1" si="2"/>
        <v>44339</v>
      </c>
      <c r="AQ447" s="11">
        <f ca="1">IFERROR(__xludf.DUMMYFUNCTION("""COMPUTED_VALUE"""),44339)</f>
        <v>44339</v>
      </c>
      <c r="AR447" s="11">
        <v>44172</v>
      </c>
      <c r="AS447" s="11">
        <f t="shared" si="3"/>
        <v>44172</v>
      </c>
      <c r="AT447" s="11">
        <f ca="1">IFERROR(__xludf.DUMMYFUNCTION("""COMPUTED_VALUE"""),44171)</f>
        <v>44171</v>
      </c>
    </row>
    <row r="448" spans="1:46" ht="13">
      <c r="A448" s="11">
        <v>44170</v>
      </c>
      <c r="B448">
        <f>IFERROR(VLOOKUP($A448,koronahun!$A:$AM,2,FALSE),"")</f>
        <v>243581</v>
      </c>
      <c r="C448">
        <f>IFERROR(VLOOKUP($A448,koronahun!$A:$AM,3,FALSE),"")</f>
        <v>5525</v>
      </c>
      <c r="D448">
        <f>IFERROR(VLOOKUP($A448,koronahun!$A:$AM,4,FALSE),"")</f>
        <v>5706</v>
      </c>
      <c r="E448">
        <f>IFERROR(VLOOKUP($A448,koronahun!$A:$AM,5,FALSE),"")</f>
        <v>70396</v>
      </c>
      <c r="F448">
        <f>IFERROR(VLOOKUP($A448,koronahun!$A:$AM,6,FALSE),"")</f>
        <v>1918043</v>
      </c>
      <c r="G448" s="12">
        <f>IFERROR(VLOOKUP($A448,koronahun!$A:$AM,7,FALSE),"")</f>
        <v>195718.67346938775</v>
      </c>
      <c r="H448">
        <f>IFERROR(VLOOKUP($A448,koronahun!$A:$AM,8,FALSE),"")</f>
        <v>0</v>
      </c>
      <c r="I448" s="13">
        <f>IFERROR(VLOOKUP($A448,koronahun!$A:$AM,9,FALSE),"")</f>
        <v>2.3208824814329402E-2</v>
      </c>
      <c r="J448" s="13">
        <f>IFERROR(VLOOKUP($A448,koronahun!$A:$AM,10,FALSE),"")</f>
        <v>0.12699454600340035</v>
      </c>
      <c r="K448" s="13">
        <f>IFERROR(VLOOKUP($A448,koronahun!$A:$AM,11,FALSE),"")</f>
        <v>1.2291839622367665E-2</v>
      </c>
      <c r="L448">
        <f>IFERROR(VLOOKUP($A448,koronahun!$A:$AM,12,FALSE),"")</f>
        <v>167749</v>
      </c>
      <c r="M448" s="13">
        <f>IFERROR(VLOOKUP($A448,koronahun!$A:$AM,13,FALSE),"")</f>
        <v>2.3425472430115651E-2</v>
      </c>
      <c r="N448" s="13">
        <f>IFERROR(VLOOKUP($A448,koronahun!$A:$AM,14,FALSE),"")</f>
        <v>0.2890044790028779</v>
      </c>
      <c r="O448">
        <f>IFERROR(VLOOKUP($A448,koronahun!$A:$AM,15,FALSE),"")</f>
        <v>53315</v>
      </c>
      <c r="P448">
        <f>IFERROR(VLOOKUP($A448,koronahun!$A:$AM,16,FALSE),"")</f>
        <v>23290</v>
      </c>
      <c r="Q448" s="13">
        <f>IFERROR(VLOOKUP($A448,koronahun!$A:$AM,17,FALSE),"")</f>
        <v>0.23722627737226276</v>
      </c>
      <c r="R448">
        <f>IFERROR(VLOOKUP($A448,koronahun!$A:$AM,18,FALSE),"")</f>
        <v>193</v>
      </c>
      <c r="S448">
        <f>IFERROR(VLOOKUP($A448,koronahun!$A:$AM,19,FALSE),"")</f>
        <v>1871</v>
      </c>
      <c r="T448">
        <f>IFERROR(VLOOKUP($A448,koronahun!$A:$AM,20,FALSE),"")</f>
        <v>7695</v>
      </c>
      <c r="U448">
        <f>IFERROR(VLOOKUP($A448,koronahun!$A:$AM,21,FALSE),"")</f>
        <v>637</v>
      </c>
      <c r="V448" s="13">
        <f>IFERROR(VLOOKUP($A448,koronahun!$A:$AM,22,FALSE),"")</f>
        <v>0.68867850940754816</v>
      </c>
      <c r="W448">
        <f>IFERROR(VLOOKUP($A448,koronahun!$A:$AM,23,FALSE),"")</f>
        <v>-117</v>
      </c>
      <c r="X448">
        <f>IFERROR(VLOOKUP($A448,koronahun!$A:$AM,24,FALSE),"")</f>
        <v>-2</v>
      </c>
      <c r="Y448" s="14">
        <f>IFERROR(VLOOKUP($A448,koronahun!$A:$AM,25,FALSE),"")</f>
        <v>4.5872106540128403E-2</v>
      </c>
      <c r="Z448" s="14">
        <f>IFERROR(VLOOKUP($A448,koronahun!$A:$AM,26,FALSE),"")</f>
        <v>8.278102664067577E-2</v>
      </c>
      <c r="AA448" s="14">
        <f>IFERROR(VLOOKUP($A448,koronahun!$A:$AM,27,FALSE),"")</f>
        <v>1.1297006684103459</v>
      </c>
      <c r="AB448" s="14">
        <f>IFERROR(VLOOKUP($A448,koronahun!$A:$AM,28,FALSE),"")</f>
        <v>1.2494043578223799</v>
      </c>
      <c r="AC448" s="14">
        <f>IFERROR(VLOOKUP($A448,koronahun!$A:$AM,29,FALSE),"")</f>
        <v>5553.2857142857147</v>
      </c>
      <c r="AD448" s="14">
        <f>IFERROR(VLOOKUP($A448,koronahun!$A:$AM,30,FALSE),"")</f>
        <v>170</v>
      </c>
      <c r="AE448" s="14">
        <f>IFERROR(VLOOKUP($A448,koronahun!$A:$AM,31,FALSE),"")</f>
        <v>16253.142857142857</v>
      </c>
      <c r="AF448" s="13">
        <f>IFERROR(VLOOKUP($A448,koronahun!$A:$AM,32,FALSE),"")</f>
        <v>0.40493939873408263</v>
      </c>
      <c r="AG448">
        <f>IFERROR(VLOOKUP($A448,koronahun!$A:$AM,33,FALSE),"")</f>
        <v>0</v>
      </c>
      <c r="AH448">
        <f>IFERROR(VLOOKUP($A448,koronahun!$A:$AM,34,FALSE),"")</f>
        <v>0</v>
      </c>
      <c r="AI448">
        <f>IFERROR(VLOOKUP($A448,koronahun!$A:$AM,35,FALSE),"")</f>
        <v>0</v>
      </c>
      <c r="AJ448">
        <f>IFERROR(VLOOKUP($A448,koronahun!$A:$AM,36,FALSE),"")</f>
        <v>0</v>
      </c>
      <c r="AK448">
        <f>IFERROR(VLOOKUP($A448,koronahun!$A:$AM,37,FALSE),"")</f>
        <v>0</v>
      </c>
      <c r="AL448">
        <f>IFERROR(VLOOKUP($A448,koronahun!$A:$AM,38,FALSE),"")</f>
        <v>0</v>
      </c>
      <c r="AM448" s="14">
        <f>IFERROR(VLOOKUP($A448,koronahun!$A:$AM,39,FALSE),"")</f>
        <v>2339.2857142857142</v>
      </c>
      <c r="AN448" s="11">
        <f ca="1">IFERROR(__xludf.DUMMYFUNCTION("""COMPUTED_VALUE"""),44340)</f>
        <v>44340</v>
      </c>
      <c r="AO448" s="12">
        <f ca="1">IFERROR(VLOOKUP(AN448,koronahun!A:B,2,FALSE),"")</f>
        <v>802346</v>
      </c>
      <c r="AP448" s="11">
        <f t="shared" ca="1" si="2"/>
        <v>44340</v>
      </c>
      <c r="AQ448" s="11">
        <f ca="1">IFERROR(__xludf.DUMMYFUNCTION("""COMPUTED_VALUE"""),44340)</f>
        <v>44340</v>
      </c>
      <c r="AR448" s="11">
        <v>44171</v>
      </c>
      <c r="AS448" s="11">
        <f t="shared" si="3"/>
        <v>44171</v>
      </c>
      <c r="AT448" s="11">
        <f ca="1">IFERROR(__xludf.DUMMYFUNCTION("""COMPUTED_VALUE"""),44170)</f>
        <v>44170</v>
      </c>
    </row>
    <row r="449" spans="1:46" ht="13">
      <c r="A449" s="11">
        <v>44169</v>
      </c>
      <c r="B449">
        <f>IFERROR(VLOOKUP($A449,koronahun!$A:$AM,2,FALSE),"")</f>
        <v>238056</v>
      </c>
      <c r="C449">
        <f>IFERROR(VLOOKUP($A449,koronahun!$A:$AM,3,FALSE),"")</f>
        <v>6212</v>
      </c>
      <c r="D449">
        <f>IFERROR(VLOOKUP($A449,koronahun!$A:$AM,4,FALSE),"")</f>
        <v>5513</v>
      </c>
      <c r="E449">
        <f>IFERROR(VLOOKUP($A449,koronahun!$A:$AM,5,FALSE),"")</f>
        <v>68525</v>
      </c>
      <c r="F449">
        <f>IFERROR(VLOOKUP($A449,koronahun!$A:$AM,6,FALSE),"")</f>
        <v>1894753</v>
      </c>
      <c r="G449" s="12">
        <f>IFERROR(VLOOKUP($A449,koronahun!$A:$AM,7,FALSE),"")</f>
        <v>193342.14285714284</v>
      </c>
      <c r="H449">
        <f>IFERROR(VLOOKUP($A449,koronahun!$A:$AM,8,FALSE),"")</f>
        <v>0</v>
      </c>
      <c r="I449" s="13">
        <f>IFERROR(VLOOKUP($A449,koronahun!$A:$AM,9,FALSE),"")</f>
        <v>2.6616756654189163E-2</v>
      </c>
      <c r="J449" s="13">
        <f>IFERROR(VLOOKUP($A449,koronahun!$A:$AM,10,FALSE),"")</f>
        <v>0.12563959524011836</v>
      </c>
      <c r="K449" s="13">
        <f>IFERROR(VLOOKUP($A449,koronahun!$A:$AM,11,FALSE),"")</f>
        <v>9.8487747525148241E-3</v>
      </c>
      <c r="L449">
        <f>IFERROR(VLOOKUP($A449,koronahun!$A:$AM,12,FALSE),"")</f>
        <v>164018</v>
      </c>
      <c r="M449" s="13">
        <f>IFERROR(VLOOKUP($A449,koronahun!$A:$AM,13,FALSE),"")</f>
        <v>2.3158416507040359E-2</v>
      </c>
      <c r="N449" s="13">
        <f>IFERROR(VLOOKUP($A449,koronahun!$A:$AM,14,FALSE),"")</f>
        <v>0.28785243808179589</v>
      </c>
      <c r="O449">
        <f>IFERROR(VLOOKUP($A449,koronahun!$A:$AM,15,FALSE),"")</f>
        <v>53238</v>
      </c>
      <c r="P449">
        <f>IFERROR(VLOOKUP($A449,koronahun!$A:$AM,16,FALSE),"")</f>
        <v>18479</v>
      </c>
      <c r="Q449" s="13">
        <f>IFERROR(VLOOKUP($A449,koronahun!$A:$AM,17,FALSE),"")</f>
        <v>0.33616537691433518</v>
      </c>
      <c r="R449">
        <f>IFERROR(VLOOKUP($A449,koronahun!$A:$AM,18,FALSE),"")</f>
        <v>189</v>
      </c>
      <c r="S449">
        <f>IFERROR(VLOOKUP($A449,koronahun!$A:$AM,19,FALSE),"")</f>
        <v>1492</v>
      </c>
      <c r="T449">
        <f>IFERROR(VLOOKUP($A449,koronahun!$A:$AM,20,FALSE),"")</f>
        <v>7812</v>
      </c>
      <c r="U449">
        <f>IFERROR(VLOOKUP($A449,koronahun!$A:$AM,21,FALSE),"")</f>
        <v>639</v>
      </c>
      <c r="V449" s="13">
        <f>IFERROR(VLOOKUP($A449,koronahun!$A:$AM,22,FALSE),"")</f>
        <v>0.68898914541116374</v>
      </c>
      <c r="W449">
        <f>IFERROR(VLOOKUP($A449,koronahun!$A:$AM,23,FALSE),"")</f>
        <v>119</v>
      </c>
      <c r="X449">
        <f>IFERROR(VLOOKUP($A449,koronahun!$A:$AM,24,FALSE),"")</f>
        <v>-24</v>
      </c>
      <c r="Y449" s="14">
        <f>IFERROR(VLOOKUP($A449,koronahun!$A:$AM,25,FALSE),"")</f>
        <v>4.7628918777207381E-2</v>
      </c>
      <c r="Z449" s="14">
        <f>IFERROR(VLOOKUP($A449,koronahun!$A:$AM,26,FALSE),"")</f>
        <v>8.1797235023041481E-2</v>
      </c>
      <c r="AA449" s="14">
        <f>IFERROR(VLOOKUP($A449,koronahun!$A:$AM,27,FALSE),"")</f>
        <v>1.2174928547281723</v>
      </c>
      <c r="AB449" s="14">
        <f>IFERROR(VLOOKUP($A449,koronahun!$A:$AM,28,FALSE),"")</f>
        <v>1.2344285044370917</v>
      </c>
      <c r="AC449" s="14">
        <f>IFERROR(VLOOKUP($A449,koronahun!$A:$AM,29,FALSE),"")</f>
        <v>5659.4285714285716</v>
      </c>
      <c r="AD449" s="14">
        <f>IFERROR(VLOOKUP($A449,koronahun!$A:$AM,30,FALSE),"")</f>
        <v>164.14285714285714</v>
      </c>
      <c r="AE449" s="14">
        <f>IFERROR(VLOOKUP($A449,koronahun!$A:$AM,31,FALSE),"")</f>
        <v>16006.285714285714</v>
      </c>
      <c r="AF449" s="13">
        <f>IFERROR(VLOOKUP($A449,koronahun!$A:$AM,32,FALSE),"")</f>
        <v>0.412578015661344</v>
      </c>
      <c r="AG449">
        <f>IFERROR(VLOOKUP($A449,koronahun!$A:$AM,33,FALSE),"")</f>
        <v>0</v>
      </c>
      <c r="AH449">
        <f>IFERROR(VLOOKUP($A449,koronahun!$A:$AM,34,FALSE),"")</f>
        <v>0</v>
      </c>
      <c r="AI449">
        <f>IFERROR(VLOOKUP($A449,koronahun!$A:$AM,35,FALSE),"")</f>
        <v>0</v>
      </c>
      <c r="AJ449">
        <f>IFERROR(VLOOKUP($A449,koronahun!$A:$AM,36,FALSE),"")</f>
        <v>0</v>
      </c>
      <c r="AK449">
        <f>IFERROR(VLOOKUP($A449,koronahun!$A:$AM,37,FALSE),"")</f>
        <v>0</v>
      </c>
      <c r="AL449">
        <f>IFERROR(VLOOKUP($A449,koronahun!$A:$AM,38,FALSE),"")</f>
        <v>0</v>
      </c>
      <c r="AM449" s="14">
        <f>IFERROR(VLOOKUP($A449,koronahun!$A:$AM,39,FALSE),"")</f>
        <v>2342.7142857142858</v>
      </c>
      <c r="AN449" s="11">
        <f ca="1">IFERROR(__xludf.DUMMYFUNCTION("""COMPUTED_VALUE"""),44341)</f>
        <v>44341</v>
      </c>
      <c r="AO449" s="12">
        <f ca="1">IFERROR(VLOOKUP(AN449,koronahun!A:B,2,FALSE),"")</f>
        <v>802510</v>
      </c>
      <c r="AP449" s="11">
        <f t="shared" ca="1" si="2"/>
        <v>44341</v>
      </c>
      <c r="AQ449" s="11">
        <f ca="1">IFERROR(__xludf.DUMMYFUNCTION("""COMPUTED_VALUE"""),44341)</f>
        <v>44341</v>
      </c>
      <c r="AR449" s="11">
        <v>44170</v>
      </c>
      <c r="AS449" s="11">
        <f t="shared" si="3"/>
        <v>44170</v>
      </c>
      <c r="AT449" s="11">
        <f ca="1">IFERROR(__xludf.DUMMYFUNCTION("""COMPUTED_VALUE"""),44169)</f>
        <v>44169</v>
      </c>
    </row>
    <row r="450" spans="1:46" ht="13">
      <c r="A450" s="11">
        <v>44168</v>
      </c>
      <c r="B450">
        <f>IFERROR(VLOOKUP($A450,koronahun!$A:$AM,2,FALSE),"")</f>
        <v>231884</v>
      </c>
      <c r="C450">
        <f>IFERROR(VLOOKUP($A450,koronahun!$A:$AM,3,FALSE),"")</f>
        <v>6635</v>
      </c>
      <c r="D450">
        <f>IFERROR(VLOOKUP($A450,koronahun!$A:$AM,4,FALSE),"")</f>
        <v>5324</v>
      </c>
      <c r="E450">
        <f>IFERROR(VLOOKUP($A450,koronahun!$A:$AM,5,FALSE),"")</f>
        <v>67033</v>
      </c>
      <c r="F450">
        <f>IFERROR(VLOOKUP($A450,koronahun!$A:$AM,6,FALSE),"")</f>
        <v>1876274</v>
      </c>
      <c r="G450" s="12">
        <f>IFERROR(VLOOKUP($A450,koronahun!$A:$AM,7,FALSE),"")</f>
        <v>191456.53061224488</v>
      </c>
      <c r="H450">
        <f>IFERROR(VLOOKUP($A450,koronahun!$A:$AM,8,FALSE),"")</f>
        <v>0</v>
      </c>
      <c r="I450" s="13">
        <f>IFERROR(VLOOKUP($A450,koronahun!$A:$AM,9,FALSE),"")</f>
        <v>2.9639135203300047E-2</v>
      </c>
      <c r="J450" s="13">
        <f>IFERROR(VLOOKUP($A450,koronahun!$A:$AM,10,FALSE),"")</f>
        <v>0.12358749308469871</v>
      </c>
      <c r="K450" s="13">
        <f>IFERROR(VLOOKUP($A450,koronahun!$A:$AM,11,FALSE),"")</f>
        <v>1.4076087837728282E-2</v>
      </c>
      <c r="L450">
        <f>IFERROR(VLOOKUP($A450,koronahun!$A:$AM,12,FALSE),"")</f>
        <v>159487</v>
      </c>
      <c r="M450" s="13">
        <f>IFERROR(VLOOKUP($A450,koronahun!$A:$AM,13,FALSE),"")</f>
        <v>2.2959755739938935E-2</v>
      </c>
      <c r="N450" s="13">
        <f>IFERROR(VLOOKUP($A450,koronahun!$A:$AM,14,FALSE),"")</f>
        <v>0.28907988476997121</v>
      </c>
      <c r="O450">
        <f>IFERROR(VLOOKUP($A450,koronahun!$A:$AM,15,FALSE),"")</f>
        <v>50430</v>
      </c>
      <c r="P450">
        <f>IFERROR(VLOOKUP($A450,koronahun!$A:$AM,16,FALSE),"")</f>
        <v>26044</v>
      </c>
      <c r="Q450" s="13">
        <f>IFERROR(VLOOKUP($A450,koronahun!$A:$AM,17,FALSE),"")</f>
        <v>0.25476117339886345</v>
      </c>
      <c r="R450">
        <f>IFERROR(VLOOKUP($A450,koronahun!$A:$AM,18,FALSE),"")</f>
        <v>182</v>
      </c>
      <c r="S450">
        <f>IFERROR(VLOOKUP($A450,koronahun!$A:$AM,19,FALSE),"")</f>
        <v>1145</v>
      </c>
      <c r="T450">
        <f>IFERROR(VLOOKUP($A450,koronahun!$A:$AM,20,FALSE),"")</f>
        <v>7693</v>
      </c>
      <c r="U450">
        <f>IFERROR(VLOOKUP($A450,koronahun!$A:$AM,21,FALSE),"")</f>
        <v>663</v>
      </c>
      <c r="V450" s="13">
        <f>IFERROR(VLOOKUP($A450,koronahun!$A:$AM,22,FALSE),"")</f>
        <v>0.68778785944696486</v>
      </c>
      <c r="W450">
        <f>IFERROR(VLOOKUP($A450,koronahun!$A:$AM,23,FALSE),"")</f>
        <v>-39</v>
      </c>
      <c r="X450">
        <f>IFERROR(VLOOKUP($A450,koronahun!$A:$AM,24,FALSE),"")</f>
        <v>14</v>
      </c>
      <c r="Y450" s="14">
        <f>IFERROR(VLOOKUP($A450,koronahun!$A:$AM,25,FALSE),"")</f>
        <v>4.8235906374814251E-2</v>
      </c>
      <c r="Z450" s="14">
        <f>IFERROR(VLOOKUP($A450,koronahun!$A:$AM,26,FALSE),"")</f>
        <v>8.6182243598076178E-2</v>
      </c>
      <c r="AA450" s="14">
        <f>IFERROR(VLOOKUP($A450,koronahun!$A:$AM,27,FALSE),"")</f>
        <v>1.3011508533315896</v>
      </c>
      <c r="AB450" s="14">
        <f>IFERROR(VLOOKUP($A450,koronahun!$A:$AM,28,FALSE),"")</f>
        <v>1.1971631684799477</v>
      </c>
      <c r="AC450" s="14">
        <f>IFERROR(VLOOKUP($A450,koronahun!$A:$AM,29,FALSE),"")</f>
        <v>5685.2857142857147</v>
      </c>
      <c r="AD450" s="14">
        <f>IFERROR(VLOOKUP($A450,koronahun!$A:$AM,30,FALSE),"")</f>
        <v>156.42857142857142</v>
      </c>
      <c r="AE450" s="14">
        <f>IFERROR(VLOOKUP($A450,koronahun!$A:$AM,31,FALSE),"")</f>
        <v>16367.285714285714</v>
      </c>
      <c r="AF450" s="13">
        <f>IFERROR(VLOOKUP($A450,koronahun!$A:$AM,32,FALSE),"")</f>
        <v>0.40803176419943155</v>
      </c>
      <c r="AG450">
        <f>IFERROR(VLOOKUP($A450,koronahun!$A:$AM,33,FALSE),"")</f>
        <v>0</v>
      </c>
      <c r="AH450">
        <f>IFERROR(VLOOKUP($A450,koronahun!$A:$AM,34,FALSE),"")</f>
        <v>0</v>
      </c>
      <c r="AI450">
        <f>IFERROR(VLOOKUP($A450,koronahun!$A:$AM,35,FALSE),"")</f>
        <v>0</v>
      </c>
      <c r="AJ450">
        <f>IFERROR(VLOOKUP($A450,koronahun!$A:$AM,36,FALSE),"")</f>
        <v>0</v>
      </c>
      <c r="AK450">
        <f>IFERROR(VLOOKUP($A450,koronahun!$A:$AM,37,FALSE),"")</f>
        <v>0</v>
      </c>
      <c r="AL450">
        <f>IFERROR(VLOOKUP($A450,koronahun!$A:$AM,38,FALSE),"")</f>
        <v>0</v>
      </c>
      <c r="AM450" s="14">
        <f>IFERROR(VLOOKUP($A450,koronahun!$A:$AM,39,FALSE),"")</f>
        <v>2488.1428571428573</v>
      </c>
      <c r="AN450" s="11">
        <f ca="1">IFERROR(__xludf.DUMMYFUNCTION("""COMPUTED_VALUE"""),44342)</f>
        <v>44342</v>
      </c>
      <c r="AO450" s="12">
        <f ca="1">IFERROR(VLOOKUP(AN450,koronahun!A:B,2,FALSE),"")</f>
        <v>802723</v>
      </c>
      <c r="AP450" s="11">
        <f t="shared" ca="1" si="2"/>
        <v>44342</v>
      </c>
      <c r="AQ450" s="11">
        <f ca="1">IFERROR(__xludf.DUMMYFUNCTION("""COMPUTED_VALUE"""),44342)</f>
        <v>44342</v>
      </c>
      <c r="AR450" s="11">
        <v>44169</v>
      </c>
      <c r="AS450" s="11">
        <f t="shared" si="3"/>
        <v>44169</v>
      </c>
      <c r="AT450" s="11">
        <f ca="1">IFERROR(__xludf.DUMMYFUNCTION("""COMPUTED_VALUE"""),44168)</f>
        <v>44168</v>
      </c>
    </row>
    <row r="451" spans="1:46" ht="13">
      <c r="A451" s="11">
        <v>44167</v>
      </c>
      <c r="B451">
        <f>IFERROR(VLOOKUP($A451,koronahun!$A:$AM,2,FALSE),"")</f>
        <v>225209</v>
      </c>
      <c r="C451">
        <f>IFERROR(VLOOKUP($A451,koronahun!$A:$AM,3,FALSE),"")</f>
        <v>4136</v>
      </c>
      <c r="D451">
        <f>IFERROR(VLOOKUP($A451,koronahun!$A:$AM,4,FALSE),"")</f>
        <v>5142</v>
      </c>
      <c r="E451">
        <f>IFERROR(VLOOKUP($A451,koronahun!$A:$AM,5,FALSE),"")</f>
        <v>65888</v>
      </c>
      <c r="F451">
        <f>IFERROR(VLOOKUP($A451,koronahun!$A:$AM,6,FALSE),"")</f>
        <v>1850230</v>
      </c>
      <c r="G451" s="12">
        <f>IFERROR(VLOOKUP($A451,koronahun!$A:$AM,7,FALSE),"")</f>
        <v>188798.97959183672</v>
      </c>
      <c r="H451">
        <f>IFERROR(VLOOKUP($A451,koronahun!$A:$AM,8,FALSE),"")</f>
        <v>0</v>
      </c>
      <c r="I451" s="13">
        <f>IFERROR(VLOOKUP($A451,koronahun!$A:$AM,9,FALSE),"")</f>
        <v>1.870875231258453E-2</v>
      </c>
      <c r="J451" s="13">
        <f>IFERROR(VLOOKUP($A451,koronahun!$A:$AM,10,FALSE),"")</f>
        <v>0.12171946190473616</v>
      </c>
      <c r="K451" s="13">
        <f>IFERROR(VLOOKUP($A451,koronahun!$A:$AM,11,FALSE),"")</f>
        <v>0.11878847246913132</v>
      </c>
      <c r="L451">
        <f>IFERROR(VLOOKUP($A451,koronahun!$A:$AM,12,FALSE),"")</f>
        <v>154179</v>
      </c>
      <c r="M451" s="13">
        <f>IFERROR(VLOOKUP($A451,koronahun!$A:$AM,13,FALSE),"")</f>
        <v>2.2832124826272483E-2</v>
      </c>
      <c r="N451" s="13">
        <f>IFERROR(VLOOKUP($A451,koronahun!$A:$AM,14,FALSE),"")</f>
        <v>0.29256379629588514</v>
      </c>
      <c r="O451">
        <f>IFERROR(VLOOKUP($A451,koronahun!$A:$AM,15,FALSE),"")</f>
        <v>44318</v>
      </c>
      <c r="P451">
        <f>IFERROR(VLOOKUP($A451,koronahun!$A:$AM,16,FALSE),"")</f>
        <v>14944</v>
      </c>
      <c r="Q451" s="13">
        <f>IFERROR(VLOOKUP($A451,koronahun!$A:$AM,17,FALSE),"")</f>
        <v>0.27676659528907921</v>
      </c>
      <c r="R451">
        <f>IFERROR(VLOOKUP($A451,koronahun!$A:$AM,18,FALSE),"")</f>
        <v>165</v>
      </c>
      <c r="S451">
        <f>IFERROR(VLOOKUP($A451,koronahun!$A:$AM,19,FALSE),"")</f>
        <v>1086</v>
      </c>
      <c r="T451">
        <f>IFERROR(VLOOKUP($A451,koronahun!$A:$AM,20,FALSE),"")</f>
        <v>7732</v>
      </c>
      <c r="U451">
        <f>IFERROR(VLOOKUP($A451,koronahun!$A:$AM,21,FALSE),"")</f>
        <v>649</v>
      </c>
      <c r="V451" s="13">
        <f>IFERROR(VLOOKUP($A451,koronahun!$A:$AM,22,FALSE),"")</f>
        <v>0.68460407887784236</v>
      </c>
      <c r="W451">
        <f>IFERROR(VLOOKUP($A451,koronahun!$A:$AM,23,FALSE),"")</f>
        <v>-152</v>
      </c>
      <c r="X451">
        <f>IFERROR(VLOOKUP($A451,koronahun!$A:$AM,24,FALSE),"")</f>
        <v>-13</v>
      </c>
      <c r="Y451" s="14">
        <f>IFERROR(VLOOKUP($A451,koronahun!$A:$AM,25,FALSE),"")</f>
        <v>5.0149501553389243E-2</v>
      </c>
      <c r="Z451" s="14">
        <f>IFERROR(VLOOKUP($A451,koronahun!$A:$AM,26,FALSE),"")</f>
        <v>8.393688566994309E-2</v>
      </c>
      <c r="AA451" s="14">
        <f>IFERROR(VLOOKUP($A451,koronahun!$A:$AM,27,FALSE),"")</f>
        <v>1.3752522792121928</v>
      </c>
      <c r="AB451" s="14">
        <f>IFERROR(VLOOKUP($A451,koronahun!$A:$AM,28,FALSE),"")</f>
        <v>1.1373099307561212</v>
      </c>
      <c r="AC451" s="14">
        <f>IFERROR(VLOOKUP($A451,koronahun!$A:$AM,29,FALSE),"")</f>
        <v>5646</v>
      </c>
      <c r="AD451" s="14">
        <f>IFERROR(VLOOKUP($A451,koronahun!$A:$AM,30,FALSE),"")</f>
        <v>146.85714285714286</v>
      </c>
      <c r="AE451" s="14">
        <f>IFERROR(VLOOKUP($A451,koronahun!$A:$AM,31,FALSE),"")</f>
        <v>17200.857142857141</v>
      </c>
      <c r="AF451" s="13">
        <f>IFERROR(VLOOKUP($A451,koronahun!$A:$AM,32,FALSE),"")</f>
        <v>0.40013793598837294</v>
      </c>
      <c r="AG451">
        <f>IFERROR(VLOOKUP($A451,koronahun!$A:$AM,33,FALSE),"")</f>
        <v>0</v>
      </c>
      <c r="AH451">
        <f>IFERROR(VLOOKUP($A451,koronahun!$A:$AM,34,FALSE),"")</f>
        <v>0</v>
      </c>
      <c r="AI451">
        <f>IFERROR(VLOOKUP($A451,koronahun!$A:$AM,35,FALSE),"")</f>
        <v>0</v>
      </c>
      <c r="AJ451">
        <f>IFERROR(VLOOKUP($A451,koronahun!$A:$AM,36,FALSE),"")</f>
        <v>0</v>
      </c>
      <c r="AK451">
        <f>IFERROR(VLOOKUP($A451,koronahun!$A:$AM,37,FALSE),"")</f>
        <v>0</v>
      </c>
      <c r="AL451">
        <f>IFERROR(VLOOKUP($A451,koronahun!$A:$AM,38,FALSE),"")</f>
        <v>0</v>
      </c>
      <c r="AM451" s="14">
        <f>IFERROR(VLOOKUP($A451,koronahun!$A:$AM,39,FALSE),"")</f>
        <v>2724.2857142857142</v>
      </c>
      <c r="AN451" s="11">
        <f ca="1">IFERROR(__xludf.DUMMYFUNCTION("""COMPUTED_VALUE"""),44343)</f>
        <v>44343</v>
      </c>
      <c r="AO451" s="12">
        <f ca="1">IFERROR(VLOOKUP(AN451,koronahun!A:B,2,FALSE),"")</f>
        <v>803119</v>
      </c>
      <c r="AP451" s="11">
        <f t="shared" ca="1" si="2"/>
        <v>44343</v>
      </c>
      <c r="AQ451" s="11">
        <f ca="1">IFERROR(__xludf.DUMMYFUNCTION("""COMPUTED_VALUE"""),44343)</f>
        <v>44343</v>
      </c>
      <c r="AR451" s="11">
        <v>44168</v>
      </c>
      <c r="AS451" s="11">
        <f t="shared" si="3"/>
        <v>44168</v>
      </c>
      <c r="AT451" s="11">
        <f ca="1">IFERROR(__xludf.DUMMYFUNCTION("""COMPUTED_VALUE"""),44167)</f>
        <v>44167</v>
      </c>
    </row>
    <row r="452" spans="1:46" ht="13">
      <c r="A452" s="11">
        <v>44166</v>
      </c>
      <c r="B452">
        <f>IFERROR(VLOOKUP($A452,koronahun!$A:$AM,2,FALSE),"")</f>
        <v>221073</v>
      </c>
      <c r="C452">
        <f>IFERROR(VLOOKUP($A452,koronahun!$A:$AM,3,FALSE),"")</f>
        <v>3951</v>
      </c>
      <c r="D452">
        <f>IFERROR(VLOOKUP($A452,koronahun!$A:$AM,4,FALSE),"")</f>
        <v>4977</v>
      </c>
      <c r="E452">
        <f>IFERROR(VLOOKUP($A452,koronahun!$A:$AM,5,FALSE),"")</f>
        <v>64802</v>
      </c>
      <c r="F452">
        <f>IFERROR(VLOOKUP($A452,koronahun!$A:$AM,6,FALSE),"")</f>
        <v>1653780</v>
      </c>
      <c r="G452" s="12">
        <f>IFERROR(VLOOKUP($A452,koronahun!$A:$AM,7,FALSE),"")</f>
        <v>168753.06122448979</v>
      </c>
      <c r="H452">
        <f>IFERROR(VLOOKUP($A452,koronahun!$A:$AM,8,FALSE),"")</f>
        <v>0</v>
      </c>
      <c r="I452" s="13">
        <f>IFERROR(VLOOKUP($A452,koronahun!$A:$AM,9,FALSE),"")</f>
        <v>1.8197142620278002E-2</v>
      </c>
      <c r="J452" s="13">
        <f>IFERROR(VLOOKUP($A452,koronahun!$A:$AM,10,FALSE),"")</f>
        <v>0.13367739360737221</v>
      </c>
      <c r="K452" s="13">
        <f>IFERROR(VLOOKUP($A452,koronahun!$A:$AM,11,FALSE),"")</f>
        <v>3.4938853971609603E-3</v>
      </c>
      <c r="L452">
        <f>IFERROR(VLOOKUP($A452,koronahun!$A:$AM,12,FALSE),"")</f>
        <v>151294</v>
      </c>
      <c r="M452" s="13">
        <f>IFERROR(VLOOKUP($A452,koronahun!$A:$AM,13,FALSE),"")</f>
        <v>2.251292559471306E-2</v>
      </c>
      <c r="N452" s="13">
        <f>IFERROR(VLOOKUP($A452,koronahun!$A:$AM,14,FALSE),"")</f>
        <v>0.29312489539654324</v>
      </c>
      <c r="O452">
        <f>IFERROR(VLOOKUP($A452,koronahun!$A:$AM,15,FALSE),"")</f>
        <v>48171</v>
      </c>
      <c r="P452">
        <f>IFERROR(VLOOKUP($A452,koronahun!$A:$AM,16,FALSE),"")</f>
        <v>5758</v>
      </c>
      <c r="Q452" s="13">
        <f>IFERROR(VLOOKUP($A452,koronahun!$A:$AM,17,FALSE),"")</f>
        <v>0.68617575547064957</v>
      </c>
      <c r="R452">
        <f>IFERROR(VLOOKUP($A452,koronahun!$A:$AM,18,FALSE),"")</f>
        <v>154</v>
      </c>
      <c r="S452">
        <f>IFERROR(VLOOKUP($A452,koronahun!$A:$AM,19,FALSE),"")</f>
        <v>942</v>
      </c>
      <c r="T452">
        <f>IFERROR(VLOOKUP($A452,koronahun!$A:$AM,20,FALSE),"")</f>
        <v>7884</v>
      </c>
      <c r="U452">
        <f>IFERROR(VLOOKUP($A452,koronahun!$A:$AM,21,FALSE),"")</f>
        <v>662</v>
      </c>
      <c r="V452" s="13">
        <f>IFERROR(VLOOKUP($A452,koronahun!$A:$AM,22,FALSE),"")</f>
        <v>0.68436217900874374</v>
      </c>
      <c r="W452">
        <f>IFERROR(VLOOKUP($A452,koronahun!$A:$AM,23,FALSE),"")</f>
        <v>150</v>
      </c>
      <c r="X452">
        <f>IFERROR(VLOOKUP($A452,koronahun!$A:$AM,24,FALSE),"")</f>
        <v>-4</v>
      </c>
      <c r="Y452" s="14">
        <f>IFERROR(VLOOKUP($A452,koronahun!$A:$AM,25,FALSE),"")</f>
        <v>5.2110460428040767E-2</v>
      </c>
      <c r="Z452" s="14">
        <f>IFERROR(VLOOKUP($A452,koronahun!$A:$AM,26,FALSE),"")</f>
        <v>8.396752917300862E-2</v>
      </c>
      <c r="AA452" s="14">
        <f>IFERROR(VLOOKUP($A452,koronahun!$A:$AM,27,FALSE),"")</f>
        <v>1.3411813017589487</v>
      </c>
      <c r="AB452" s="14">
        <f>IFERROR(VLOOKUP($A452,koronahun!$A:$AM,28,FALSE),"")</f>
        <v>1.0612885680297954</v>
      </c>
      <c r="AC452" s="14">
        <f>IFERROR(VLOOKUP($A452,koronahun!$A:$AM,29,FALSE),"")</f>
        <v>5598.8571428571431</v>
      </c>
      <c r="AD452" s="14">
        <f>IFERROR(VLOOKUP($A452,koronahun!$A:$AM,30,FALSE),"")</f>
        <v>138.42857142857142</v>
      </c>
      <c r="AE452" s="14">
        <f>IFERROR(VLOOKUP($A452,koronahun!$A:$AM,31,FALSE),"")</f>
        <v>17925.428571428572</v>
      </c>
      <c r="AF452" s="13">
        <f>IFERROR(VLOOKUP($A452,koronahun!$A:$AM,32,FALSE),"")</f>
        <v>0.38776383404631082</v>
      </c>
      <c r="AG452">
        <f>IFERROR(VLOOKUP($A452,koronahun!$A:$AM,33,FALSE),"")</f>
        <v>0</v>
      </c>
      <c r="AH452">
        <f>IFERROR(VLOOKUP($A452,koronahun!$A:$AM,34,FALSE),"")</f>
        <v>0</v>
      </c>
      <c r="AI452">
        <f>IFERROR(VLOOKUP($A452,koronahun!$A:$AM,35,FALSE),"")</f>
        <v>0</v>
      </c>
      <c r="AJ452">
        <f>IFERROR(VLOOKUP($A452,koronahun!$A:$AM,36,FALSE),"")</f>
        <v>0</v>
      </c>
      <c r="AK452">
        <f>IFERROR(VLOOKUP($A452,koronahun!$A:$AM,37,FALSE),"")</f>
        <v>0</v>
      </c>
      <c r="AL452">
        <f>IFERROR(VLOOKUP($A452,koronahun!$A:$AM,38,FALSE),"")</f>
        <v>0</v>
      </c>
      <c r="AM452" s="14">
        <f>IFERROR(VLOOKUP($A452,koronahun!$A:$AM,39,FALSE),"")</f>
        <v>2968.8571428571427</v>
      </c>
      <c r="AN452" s="11">
        <f ca="1">IFERROR(__xludf.DUMMYFUNCTION("""COMPUTED_VALUE"""),44344)</f>
        <v>44344</v>
      </c>
      <c r="AO452" s="12">
        <f ca="1">IFERROR(VLOOKUP(AN452,koronahun!A:B,2,FALSE),"")</f>
        <v>803567</v>
      </c>
      <c r="AP452" s="11">
        <f t="shared" ca="1" si="2"/>
        <v>44344</v>
      </c>
      <c r="AQ452" s="11">
        <f ca="1">IFERROR(__xludf.DUMMYFUNCTION("""COMPUTED_VALUE"""),44344)</f>
        <v>44344</v>
      </c>
      <c r="AR452" s="11">
        <v>44167</v>
      </c>
      <c r="AS452" s="11">
        <f t="shared" si="3"/>
        <v>44167</v>
      </c>
      <c r="AT452" s="11">
        <f ca="1">IFERROR(__xludf.DUMMYFUNCTION("""COMPUTED_VALUE"""),44166)</f>
        <v>44166</v>
      </c>
    </row>
    <row r="453" spans="1:46" ht="13">
      <c r="A453" s="11">
        <v>44165</v>
      </c>
      <c r="B453">
        <f>IFERROR(VLOOKUP($A453,koronahun!$A:$AM,2,FALSE),"")</f>
        <v>217122</v>
      </c>
      <c r="C453">
        <f>IFERROR(VLOOKUP($A453,koronahun!$A:$AM,3,FALSE),"")</f>
        <v>5595</v>
      </c>
      <c r="D453">
        <f>IFERROR(VLOOKUP($A453,koronahun!$A:$AM,4,FALSE),"")</f>
        <v>4823</v>
      </c>
      <c r="E453">
        <f>IFERROR(VLOOKUP($A453,koronahun!$A:$AM,5,FALSE),"")</f>
        <v>63860</v>
      </c>
      <c r="F453">
        <f>IFERROR(VLOOKUP($A453,koronahun!$A:$AM,6,FALSE),"")</f>
        <v>1648022</v>
      </c>
      <c r="G453" s="12">
        <f>IFERROR(VLOOKUP($A453,koronahun!$A:$AM,7,FALSE),"")</f>
        <v>168165.51020408163</v>
      </c>
      <c r="H453">
        <f>IFERROR(VLOOKUP($A453,koronahun!$A:$AM,8,FALSE),"")</f>
        <v>0</v>
      </c>
      <c r="I453" s="13">
        <f>IFERROR(VLOOKUP($A453,koronahun!$A:$AM,9,FALSE),"")</f>
        <v>2.6450524046575614E-2</v>
      </c>
      <c r="J453" s="13">
        <f>IFERROR(VLOOKUP($A453,koronahun!$A:$AM,10,FALSE),"")</f>
        <v>0.13174702764890275</v>
      </c>
      <c r="K453" s="13">
        <f>IFERROR(VLOOKUP($A453,koronahun!$A:$AM,11,FALSE),"")</f>
        <v>5.4579531394517398E-3</v>
      </c>
      <c r="L453">
        <f>IFERROR(VLOOKUP($A453,koronahun!$A:$AM,12,FALSE),"")</f>
        <v>148439</v>
      </c>
      <c r="M453" s="13">
        <f>IFERROR(VLOOKUP($A453,koronahun!$A:$AM,13,FALSE),"")</f>
        <v>2.2213317858162693E-2</v>
      </c>
      <c r="N453" s="13">
        <f>IFERROR(VLOOKUP($A453,koronahun!$A:$AM,14,FALSE),"")</f>
        <v>0.2941203562973812</v>
      </c>
      <c r="O453">
        <f>IFERROR(VLOOKUP($A453,koronahun!$A:$AM,15,FALSE),"")</f>
        <v>48796</v>
      </c>
      <c r="P453">
        <f>IFERROR(VLOOKUP($A453,koronahun!$A:$AM,16,FALSE),"")</f>
        <v>8946</v>
      </c>
      <c r="Q453" s="13">
        <f>IFERROR(VLOOKUP($A453,koronahun!$A:$AM,17,FALSE),"")</f>
        <v>0.6254191817572099</v>
      </c>
      <c r="R453">
        <f>IFERROR(VLOOKUP($A453,koronahun!$A:$AM,18,FALSE),"")</f>
        <v>151</v>
      </c>
      <c r="S453">
        <f>IFERROR(VLOOKUP($A453,koronahun!$A:$AM,19,FALSE),"")</f>
        <v>8223</v>
      </c>
      <c r="T453">
        <f>IFERROR(VLOOKUP($A453,koronahun!$A:$AM,20,FALSE),"")</f>
        <v>7734</v>
      </c>
      <c r="U453">
        <f>IFERROR(VLOOKUP($A453,koronahun!$A:$AM,21,FALSE),"")</f>
        <v>666</v>
      </c>
      <c r="V453" s="13">
        <f>IFERROR(VLOOKUP($A453,koronahun!$A:$AM,22,FALSE),"")</f>
        <v>0.68366632584445608</v>
      </c>
      <c r="W453">
        <f>IFERROR(VLOOKUP($A453,koronahun!$A:$AM,23,FALSE),"")</f>
        <v>144</v>
      </c>
      <c r="X453">
        <f>IFERROR(VLOOKUP($A453,koronahun!$A:$AM,24,FALSE),"")</f>
        <v>9</v>
      </c>
      <c r="Y453" s="14">
        <f>IFERROR(VLOOKUP($A453,koronahun!$A:$AM,25,FALSE),"")</f>
        <v>5.2102210335558716E-2</v>
      </c>
      <c r="Z453" s="14">
        <f>IFERROR(VLOOKUP($A453,koronahun!$A:$AM,26,FALSE),"")</f>
        <v>8.6113266097750191E-2</v>
      </c>
      <c r="AA453" s="14">
        <f>IFERROR(VLOOKUP($A453,koronahun!$A:$AM,27,FALSE),"")</f>
        <v>1.2844307450157397</v>
      </c>
      <c r="AB453" s="14">
        <f>IFERROR(VLOOKUP($A453,koronahun!$A:$AM,28,FALSE),"")</f>
        <v>0.99341523756432204</v>
      </c>
      <c r="AC453" s="14">
        <f>IFERROR(VLOOKUP($A453,koronahun!$A:$AM,29,FALSE),"")</f>
        <v>5595.7142857142853</v>
      </c>
      <c r="AD453" s="14">
        <f>IFERROR(VLOOKUP($A453,koronahun!$A:$AM,30,FALSE),"")</f>
        <v>133.14285714285714</v>
      </c>
      <c r="AE453" s="14">
        <f>IFERROR(VLOOKUP($A453,koronahun!$A:$AM,31,FALSE),"")</f>
        <v>18552</v>
      </c>
      <c r="AF453" s="13">
        <f>IFERROR(VLOOKUP($A453,koronahun!$A:$AM,32,FALSE),"")</f>
        <v>0.34507051972265329</v>
      </c>
      <c r="AG453">
        <f>IFERROR(VLOOKUP($A453,koronahun!$A:$AM,33,FALSE),"")</f>
        <v>0</v>
      </c>
      <c r="AH453">
        <f>IFERROR(VLOOKUP($A453,koronahun!$A:$AM,34,FALSE),"")</f>
        <v>0</v>
      </c>
      <c r="AI453">
        <f>IFERROR(VLOOKUP($A453,koronahun!$A:$AM,35,FALSE),"")</f>
        <v>0</v>
      </c>
      <c r="AJ453">
        <f>IFERROR(VLOOKUP($A453,koronahun!$A:$AM,36,FALSE),"")</f>
        <v>0</v>
      </c>
      <c r="AK453">
        <f>IFERROR(VLOOKUP($A453,koronahun!$A:$AM,37,FALSE),"")</f>
        <v>0</v>
      </c>
      <c r="AL453">
        <f>IFERROR(VLOOKUP($A453,koronahun!$A:$AM,38,FALSE),"")</f>
        <v>0</v>
      </c>
      <c r="AM453" s="14">
        <f>IFERROR(VLOOKUP($A453,koronahun!$A:$AM,39,FALSE),"")</f>
        <v>2931.5714285714284</v>
      </c>
      <c r="AN453" s="11">
        <f ca="1">IFERROR(__xludf.DUMMYFUNCTION("""COMPUTED_VALUE"""),44345)</f>
        <v>44345</v>
      </c>
      <c r="AO453" s="12">
        <f ca="1">IFERROR(VLOOKUP(AN453,koronahun!A:B,2,FALSE),"")</f>
        <v>804032</v>
      </c>
      <c r="AP453" s="11">
        <f t="shared" ca="1" si="2"/>
        <v>44345</v>
      </c>
      <c r="AQ453" s="11">
        <f ca="1">IFERROR(__xludf.DUMMYFUNCTION("""COMPUTED_VALUE"""),44345)</f>
        <v>44345</v>
      </c>
      <c r="AR453" s="11">
        <v>44166</v>
      </c>
      <c r="AS453" s="11">
        <f t="shared" si="3"/>
        <v>44166</v>
      </c>
      <c r="AT453" s="11">
        <f ca="1">IFERROR(__xludf.DUMMYFUNCTION("""COMPUTED_VALUE"""),44165)</f>
        <v>44165</v>
      </c>
    </row>
    <row r="454" spans="1:46" ht="13">
      <c r="A454" s="11">
        <v>44164</v>
      </c>
      <c r="B454">
        <f>IFERROR(VLOOKUP($A454,koronahun!$A:$AM,2,FALSE),"")</f>
        <v>211527</v>
      </c>
      <c r="C454">
        <f>IFERROR(VLOOKUP($A454,koronahun!$A:$AM,3,FALSE),"")</f>
        <v>6819</v>
      </c>
      <c r="D454">
        <f>IFERROR(VLOOKUP($A454,koronahun!$A:$AM,4,FALSE),"")</f>
        <v>4672</v>
      </c>
      <c r="E454">
        <f>IFERROR(VLOOKUP($A454,koronahun!$A:$AM,5,FALSE),"")</f>
        <v>55637</v>
      </c>
      <c r="F454">
        <f>IFERROR(VLOOKUP($A454,koronahun!$A:$AM,6,FALSE),"")</f>
        <v>1639076</v>
      </c>
      <c r="G454" s="12">
        <f>IFERROR(VLOOKUP($A454,koronahun!$A:$AM,7,FALSE),"")</f>
        <v>167252.65306122447</v>
      </c>
      <c r="H454">
        <f>IFERROR(VLOOKUP($A454,koronahun!$A:$AM,8,FALSE),"")</f>
        <v>0</v>
      </c>
      <c r="I454" s="13">
        <f>IFERROR(VLOOKUP($A454,koronahun!$A:$AM,9,FALSE),"")</f>
        <v>3.3310862301424465E-2</v>
      </c>
      <c r="J454" s="13">
        <f>IFERROR(VLOOKUP($A454,koronahun!$A:$AM,10,FALSE),"")</f>
        <v>0.12905258816552739</v>
      </c>
      <c r="K454" s="13">
        <f>IFERROR(VLOOKUP($A454,koronahun!$A:$AM,11,FALSE),"")</f>
        <v>1.005136295150561E-2</v>
      </c>
      <c r="L454">
        <f>IFERROR(VLOOKUP($A454,koronahun!$A:$AM,12,FALSE),"")</f>
        <v>151218</v>
      </c>
      <c r="M454" s="13">
        <f>IFERROR(VLOOKUP($A454,koronahun!$A:$AM,13,FALSE),"")</f>
        <v>2.2087014896443481E-2</v>
      </c>
      <c r="N454" s="13">
        <f>IFERROR(VLOOKUP($A454,koronahun!$A:$AM,14,FALSE),"")</f>
        <v>0.26302552392838741</v>
      </c>
      <c r="O454">
        <f>IFERROR(VLOOKUP($A454,koronahun!$A:$AM,15,FALSE),"")</f>
        <v>51142</v>
      </c>
      <c r="P454">
        <f>IFERROR(VLOOKUP($A454,koronahun!$A:$AM,16,FALSE),"")</f>
        <v>16311</v>
      </c>
      <c r="Q454" s="13">
        <f>IFERROR(VLOOKUP($A454,koronahun!$A:$AM,17,FALSE),"")</f>
        <v>0.41806143093617804</v>
      </c>
      <c r="R454">
        <f>IFERROR(VLOOKUP($A454,koronahun!$A:$AM,18,FALSE),"")</f>
        <v>156</v>
      </c>
      <c r="S454">
        <f>IFERROR(VLOOKUP($A454,koronahun!$A:$AM,19,FALSE),"")</f>
        <v>1616</v>
      </c>
      <c r="T454">
        <f>IFERROR(VLOOKUP($A454,koronahun!$A:$AM,20,FALSE),"")</f>
        <v>7590</v>
      </c>
      <c r="U454">
        <f>IFERROR(VLOOKUP($A454,koronahun!$A:$AM,21,FALSE),"")</f>
        <v>657</v>
      </c>
      <c r="V454" s="13">
        <f>IFERROR(VLOOKUP($A454,koronahun!$A:$AM,22,FALSE),"")</f>
        <v>0.7148874611751691</v>
      </c>
      <c r="W454">
        <f>IFERROR(VLOOKUP($A454,koronahun!$A:$AM,23,FALSE),"")</f>
        <v>54</v>
      </c>
      <c r="X454">
        <f>IFERROR(VLOOKUP($A454,koronahun!$A:$AM,24,FALSE),"")</f>
        <v>13</v>
      </c>
      <c r="Y454" s="14">
        <f>IFERROR(VLOOKUP($A454,koronahun!$A:$AM,25,FALSE),"")</f>
        <v>5.0192437408245048E-2</v>
      </c>
      <c r="Z454" s="14">
        <f>IFERROR(VLOOKUP($A454,koronahun!$A:$AM,26,FALSE),"")</f>
        <v>8.6561264822134387E-2</v>
      </c>
      <c r="AA454" s="14">
        <f>IFERROR(VLOOKUP($A454,koronahun!$A:$AM,27,FALSE),"")</f>
        <v>1.0966218022996701</v>
      </c>
      <c r="AB454" s="14">
        <f>IFERROR(VLOOKUP($A454,koronahun!$A:$AM,28,FALSE),"")</f>
        <v>0.94324330937487044</v>
      </c>
      <c r="AC454" s="14">
        <f>IFERROR(VLOOKUP($A454,koronahun!$A:$AM,29,FALSE),"")</f>
        <v>5272.7142857142853</v>
      </c>
      <c r="AD454" s="14">
        <f>IFERROR(VLOOKUP($A454,koronahun!$A:$AM,30,FALSE),"")</f>
        <v>124.57142857142857</v>
      </c>
      <c r="AE454" s="14">
        <f>IFERROR(VLOOKUP($A454,koronahun!$A:$AM,31,FALSE),"")</f>
        <v>19461.285714285714</v>
      </c>
      <c r="AF454" s="13">
        <f>IFERROR(VLOOKUP($A454,koronahun!$A:$AM,32,FALSE),"")</f>
        <v>0.28683234276412078</v>
      </c>
      <c r="AG454">
        <f>IFERROR(VLOOKUP($A454,koronahun!$A:$AM,33,FALSE),"")</f>
        <v>0</v>
      </c>
      <c r="AH454">
        <f>IFERROR(VLOOKUP($A454,koronahun!$A:$AM,34,FALSE),"")</f>
        <v>0</v>
      </c>
      <c r="AI454">
        <f>IFERROR(VLOOKUP($A454,koronahun!$A:$AM,35,FALSE),"")</f>
        <v>0</v>
      </c>
      <c r="AJ454">
        <f>IFERROR(VLOOKUP($A454,koronahun!$A:$AM,36,FALSE),"")</f>
        <v>0</v>
      </c>
      <c r="AK454">
        <f>IFERROR(VLOOKUP($A454,koronahun!$A:$AM,37,FALSE),"")</f>
        <v>0</v>
      </c>
      <c r="AL454">
        <f>IFERROR(VLOOKUP($A454,koronahun!$A:$AM,38,FALSE),"")</f>
        <v>0</v>
      </c>
      <c r="AM454" s="14">
        <f>IFERROR(VLOOKUP($A454,koronahun!$A:$AM,39,FALSE),"")</f>
        <v>1817.4285714285713</v>
      </c>
      <c r="AN454" s="11">
        <f ca="1">IFERROR(__xludf.DUMMYFUNCTION("""COMPUTED_VALUE"""),44346)</f>
        <v>44346</v>
      </c>
      <c r="AO454" s="12">
        <f ca="1">IFERROR(VLOOKUP(AN454,koronahun!A:B,2,FALSE),"")</f>
        <v>804382</v>
      </c>
      <c r="AP454" s="11">
        <f t="shared" ca="1" si="2"/>
        <v>44346</v>
      </c>
      <c r="AQ454" s="11">
        <f ca="1">IFERROR(__xludf.DUMMYFUNCTION("""COMPUTED_VALUE"""),44346)</f>
        <v>44346</v>
      </c>
      <c r="AR454" s="11">
        <v>44165</v>
      </c>
      <c r="AS454" s="11">
        <f t="shared" si="3"/>
        <v>44165</v>
      </c>
      <c r="AT454" s="11">
        <f ca="1">IFERROR(__xludf.DUMMYFUNCTION("""COMPUTED_VALUE"""),44164)</f>
        <v>44164</v>
      </c>
    </row>
    <row r="455" spans="1:46" ht="13">
      <c r="A455" s="11">
        <v>44163</v>
      </c>
      <c r="B455">
        <f>IFERROR(VLOOKUP($A455,koronahun!$A:$AM,2,FALSE),"")</f>
        <v>204708</v>
      </c>
      <c r="C455">
        <f>IFERROR(VLOOKUP($A455,koronahun!$A:$AM,3,FALSE),"")</f>
        <v>6268</v>
      </c>
      <c r="D455">
        <f>IFERROR(VLOOKUP($A455,koronahun!$A:$AM,4,FALSE),"")</f>
        <v>4516</v>
      </c>
      <c r="E455">
        <f>IFERROR(VLOOKUP($A455,koronahun!$A:$AM,5,FALSE),"")</f>
        <v>54021</v>
      </c>
      <c r="F455">
        <f>IFERROR(VLOOKUP($A455,koronahun!$A:$AM,6,FALSE),"")</f>
        <v>1622765</v>
      </c>
      <c r="G455" s="12">
        <f>IFERROR(VLOOKUP($A455,koronahun!$A:$AM,7,FALSE),"")</f>
        <v>165588.26530612243</v>
      </c>
      <c r="H455">
        <f>IFERROR(VLOOKUP($A455,koronahun!$A:$AM,8,FALSE),"")</f>
        <v>0</v>
      </c>
      <c r="I455" s="13">
        <f>IFERROR(VLOOKUP($A455,koronahun!$A:$AM,9,FALSE),"")</f>
        <v>3.1586373714976822E-2</v>
      </c>
      <c r="J455" s="13">
        <f>IFERROR(VLOOKUP($A455,koronahun!$A:$AM,10,FALSE),"")</f>
        <v>0.12614765539064499</v>
      </c>
      <c r="K455" s="13">
        <f>IFERROR(VLOOKUP($A455,koronahun!$A:$AM,11,FALSE),"")</f>
        <v>1.3466125157147469E-2</v>
      </c>
      <c r="L455">
        <f>IFERROR(VLOOKUP($A455,koronahun!$A:$AM,12,FALSE),"")</f>
        <v>146171</v>
      </c>
      <c r="M455" s="13">
        <f>IFERROR(VLOOKUP($A455,koronahun!$A:$AM,13,FALSE),"")</f>
        <v>2.2060691326181683E-2</v>
      </c>
      <c r="N455" s="13">
        <f>IFERROR(VLOOKUP($A455,koronahun!$A:$AM,14,FALSE),"")</f>
        <v>0.26389295972800281</v>
      </c>
      <c r="O455">
        <f>IFERROR(VLOOKUP($A455,koronahun!$A:$AM,15,FALSE),"")</f>
        <v>51142</v>
      </c>
      <c r="P455">
        <f>IFERROR(VLOOKUP($A455,koronahun!$A:$AM,16,FALSE),"")</f>
        <v>21562</v>
      </c>
      <c r="Q455" s="13">
        <f>IFERROR(VLOOKUP($A455,koronahun!$A:$AM,17,FALSE),"")</f>
        <v>0.29069659586309249</v>
      </c>
      <c r="R455">
        <f>IFERROR(VLOOKUP($A455,koronahun!$A:$AM,18,FALSE),"")</f>
        <v>152</v>
      </c>
      <c r="S455">
        <f>IFERROR(VLOOKUP($A455,koronahun!$A:$AM,19,FALSE),"")</f>
        <v>1895</v>
      </c>
      <c r="T455">
        <f>IFERROR(VLOOKUP($A455,koronahun!$A:$AM,20,FALSE),"")</f>
        <v>7536</v>
      </c>
      <c r="U455">
        <f>IFERROR(VLOOKUP($A455,koronahun!$A:$AM,21,FALSE),"")</f>
        <v>644</v>
      </c>
      <c r="V455" s="13">
        <f>IFERROR(VLOOKUP($A455,koronahun!$A:$AM,22,FALSE),"")</f>
        <v>0.71404634894581553</v>
      </c>
      <c r="W455">
        <f>IFERROR(VLOOKUP($A455,koronahun!$A:$AM,23,FALSE),"")</f>
        <v>-55</v>
      </c>
      <c r="X455">
        <f>IFERROR(VLOOKUP($A455,koronahun!$A:$AM,24,FALSE),"")</f>
        <v>-3</v>
      </c>
      <c r="Y455" s="14">
        <f>IFERROR(VLOOKUP($A455,koronahun!$A:$AM,25,FALSE),"")</f>
        <v>5.1556054210479506E-2</v>
      </c>
      <c r="Z455" s="14">
        <f>IFERROR(VLOOKUP($A455,koronahun!$A:$AM,26,FALSE),"")</f>
        <v>8.5456475583864114E-2</v>
      </c>
      <c r="AA455" s="14">
        <f>IFERROR(VLOOKUP($A455,koronahun!$A:$AM,27,FALSE),"")</f>
        <v>1.0248696947133284</v>
      </c>
      <c r="AB455" s="14">
        <f>IFERROR(VLOOKUP($A455,koronahun!$A:$AM,28,FALSE),"")</f>
        <v>0.93997730480324526</v>
      </c>
      <c r="AC455" s="14">
        <f>IFERROR(VLOOKUP($A455,koronahun!$A:$AM,29,FALSE),"")</f>
        <v>4915.7142857142853</v>
      </c>
      <c r="AD455" s="14">
        <f>IFERROR(VLOOKUP($A455,koronahun!$A:$AM,30,FALSE),"")</f>
        <v>118.14285714285714</v>
      </c>
      <c r="AE455" s="14">
        <f>IFERROR(VLOOKUP($A455,koronahun!$A:$AM,31,FALSE),"")</f>
        <v>20298.714285714286</v>
      </c>
      <c r="AF455" s="13">
        <f>IFERROR(VLOOKUP($A455,koronahun!$A:$AM,32,FALSE),"")</f>
        <v>0.25494236004287119</v>
      </c>
      <c r="AG455">
        <f>IFERROR(VLOOKUP($A455,koronahun!$A:$AM,33,FALSE),"")</f>
        <v>0</v>
      </c>
      <c r="AH455">
        <f>IFERROR(VLOOKUP($A455,koronahun!$A:$AM,34,FALSE),"")</f>
        <v>0</v>
      </c>
      <c r="AI455">
        <f>IFERROR(VLOOKUP($A455,koronahun!$A:$AM,35,FALSE),"")</f>
        <v>0</v>
      </c>
      <c r="AJ455">
        <f>IFERROR(VLOOKUP($A455,koronahun!$A:$AM,36,FALSE),"")</f>
        <v>0</v>
      </c>
      <c r="AK455">
        <f>IFERROR(VLOOKUP($A455,koronahun!$A:$AM,37,FALSE),"")</f>
        <v>0</v>
      </c>
      <c r="AL455">
        <f>IFERROR(VLOOKUP($A455,koronahun!$A:$AM,38,FALSE),"")</f>
        <v>0</v>
      </c>
      <c r="AM455" s="14">
        <f>IFERROR(VLOOKUP($A455,koronahun!$A:$AM,39,FALSE),"")</f>
        <v>1885.8571428571429</v>
      </c>
      <c r="AN455" s="11">
        <f ca="1">IFERROR(__xludf.DUMMYFUNCTION("""COMPUTED_VALUE"""),44347)</f>
        <v>44347</v>
      </c>
      <c r="AO455" s="12">
        <f ca="1">IFERROR(VLOOKUP(AN455,koronahun!A:B,2,FALSE),"")</f>
        <v>804538</v>
      </c>
      <c r="AP455" s="11">
        <f t="shared" ca="1" si="2"/>
        <v>44347</v>
      </c>
      <c r="AQ455" s="11">
        <f ca="1">IFERROR(__xludf.DUMMYFUNCTION("""COMPUTED_VALUE"""),44347)</f>
        <v>44347</v>
      </c>
      <c r="AR455" s="11">
        <v>44164</v>
      </c>
      <c r="AS455" s="11">
        <f t="shared" si="3"/>
        <v>44164</v>
      </c>
      <c r="AT455" s="11">
        <f ca="1">IFERROR(__xludf.DUMMYFUNCTION("""COMPUTED_VALUE"""),44163)</f>
        <v>44163</v>
      </c>
    </row>
    <row r="456" spans="1:46" ht="13">
      <c r="A456" s="11">
        <v>44162</v>
      </c>
      <c r="B456">
        <f>IFERROR(VLOOKUP($A456,koronahun!$A:$AM,2,FALSE),"")</f>
        <v>198440</v>
      </c>
      <c r="C456">
        <f>IFERROR(VLOOKUP($A456,koronahun!$A:$AM,3,FALSE),"")</f>
        <v>6393</v>
      </c>
      <c r="D456">
        <f>IFERROR(VLOOKUP($A456,koronahun!$A:$AM,4,FALSE),"")</f>
        <v>4364</v>
      </c>
      <c r="E456">
        <f>IFERROR(VLOOKUP($A456,koronahun!$A:$AM,5,FALSE),"")</f>
        <v>52126</v>
      </c>
      <c r="F456">
        <f>IFERROR(VLOOKUP($A456,koronahun!$A:$AM,6,FALSE),"")</f>
        <v>1601203</v>
      </c>
      <c r="G456" s="12">
        <f>IFERROR(VLOOKUP($A456,koronahun!$A:$AM,7,FALSE),"")</f>
        <v>163388.06122448979</v>
      </c>
      <c r="H456">
        <f>IFERROR(VLOOKUP($A456,koronahun!$A:$AM,8,FALSE),"")</f>
        <v>0</v>
      </c>
      <c r="I456" s="13">
        <f>IFERROR(VLOOKUP($A456,koronahun!$A:$AM,9,FALSE),"")</f>
        <v>3.3288726197232971E-2</v>
      </c>
      <c r="J456" s="13">
        <f>IFERROR(VLOOKUP($A456,koronahun!$A:$AM,10,FALSE),"")</f>
        <v>0.12393181876376699</v>
      </c>
      <c r="K456" s="13">
        <f>IFERROR(VLOOKUP($A456,koronahun!$A:$AM,11,FALSE),"")</f>
        <v>1.329327925568774E-2</v>
      </c>
      <c r="L456">
        <f>IFERROR(VLOOKUP($A456,koronahun!$A:$AM,12,FALSE),"")</f>
        <v>141950</v>
      </c>
      <c r="M456" s="13">
        <f>IFERROR(VLOOKUP($A456,koronahun!$A:$AM,13,FALSE),"")</f>
        <v>2.1991533964926428E-2</v>
      </c>
      <c r="N456" s="13">
        <f>IFERROR(VLOOKUP($A456,koronahun!$A:$AM,14,FALSE),"")</f>
        <v>0.26267889538399514</v>
      </c>
      <c r="O456">
        <f>IFERROR(VLOOKUP($A456,koronahun!$A:$AM,15,FALSE),"")</f>
        <v>49549</v>
      </c>
      <c r="P456">
        <f>IFERROR(VLOOKUP($A456,koronahun!$A:$AM,16,FALSE),"")</f>
        <v>21006</v>
      </c>
      <c r="Q456" s="13">
        <f>IFERROR(VLOOKUP($A456,koronahun!$A:$AM,17,FALSE),"")</f>
        <v>0.30434161668094828</v>
      </c>
      <c r="R456">
        <f>IFERROR(VLOOKUP($A456,koronahun!$A:$AM,18,FALSE),"")</f>
        <v>135</v>
      </c>
      <c r="S456">
        <f>IFERROR(VLOOKUP($A456,koronahun!$A:$AM,19,FALSE),"")</f>
        <v>2510</v>
      </c>
      <c r="T456">
        <f>IFERROR(VLOOKUP($A456,koronahun!$A:$AM,20,FALSE),"")</f>
        <v>7591</v>
      </c>
      <c r="U456">
        <f>IFERROR(VLOOKUP($A456,koronahun!$A:$AM,21,FALSE),"")</f>
        <v>647</v>
      </c>
      <c r="V456" s="13">
        <f>IFERROR(VLOOKUP($A456,koronahun!$A:$AM,22,FALSE),"")</f>
        <v>0.71532957065107838</v>
      </c>
      <c r="W456">
        <f>IFERROR(VLOOKUP($A456,koronahun!$A:$AM,23,FALSE),"")</f>
        <v>54</v>
      </c>
      <c r="X456">
        <f>IFERROR(VLOOKUP($A456,koronahun!$A:$AM,24,FALSE),"")</f>
        <v>7</v>
      </c>
      <c r="Y456" s="14">
        <f>IFERROR(VLOOKUP($A456,koronahun!$A:$AM,25,FALSE),"")</f>
        <v>5.3476576259246213E-2</v>
      </c>
      <c r="Z456" s="14">
        <f>IFERROR(VLOOKUP($A456,koronahun!$A:$AM,26,FALSE),"")</f>
        <v>8.5232512185482806E-2</v>
      </c>
      <c r="AA456" s="14">
        <f>IFERROR(VLOOKUP($A456,koronahun!$A:$AM,27,FALSE),"")</f>
        <v>0.95663550302816491</v>
      </c>
      <c r="AB456" s="14">
        <f>IFERROR(VLOOKUP($A456,koronahun!$A:$AM,28,FALSE),"")</f>
        <v>0.94449335758581476</v>
      </c>
      <c r="AC456" s="14">
        <f>IFERROR(VLOOKUP($A456,koronahun!$A:$AM,29,FALSE),"")</f>
        <v>4648.4285714285716</v>
      </c>
      <c r="AD456" s="14">
        <f>IFERROR(VLOOKUP($A456,koronahun!$A:$AM,30,FALSE),"")</f>
        <v>113.71428571428571</v>
      </c>
      <c r="AE456" s="14">
        <f>IFERROR(VLOOKUP($A456,koronahun!$A:$AM,31,FALSE),"")</f>
        <v>20762.142857142859</v>
      </c>
      <c r="AF456" s="13">
        <f>IFERROR(VLOOKUP($A456,koronahun!$A:$AM,32,FALSE),"")</f>
        <v>0.23873648959113788</v>
      </c>
      <c r="AG456">
        <f>IFERROR(VLOOKUP($A456,koronahun!$A:$AM,33,FALSE),"")</f>
        <v>0</v>
      </c>
      <c r="AH456">
        <f>IFERROR(VLOOKUP($A456,koronahun!$A:$AM,34,FALSE),"")</f>
        <v>0</v>
      </c>
      <c r="AI456">
        <f>IFERROR(VLOOKUP($A456,koronahun!$A:$AM,35,FALSE),"")</f>
        <v>0</v>
      </c>
      <c r="AJ456">
        <f>IFERROR(VLOOKUP($A456,koronahun!$A:$AM,36,FALSE),"")</f>
        <v>0</v>
      </c>
      <c r="AK456">
        <f>IFERROR(VLOOKUP($A456,koronahun!$A:$AM,37,FALSE),"")</f>
        <v>0</v>
      </c>
      <c r="AL456">
        <f>IFERROR(VLOOKUP($A456,koronahun!$A:$AM,38,FALSE),"")</f>
        <v>0</v>
      </c>
      <c r="AM456" s="14">
        <f>IFERROR(VLOOKUP($A456,koronahun!$A:$AM,39,FALSE),"")</f>
        <v>2007.4285714285713</v>
      </c>
      <c r="AN456" s="11">
        <f ca="1">IFERROR(__xludf.DUMMYFUNCTION("""COMPUTED_VALUE"""),44348)</f>
        <v>44348</v>
      </c>
      <c r="AO456" s="12">
        <f ca="1">IFERROR(VLOOKUP(AN456,koronahun!A:B,2,FALSE),"")</f>
        <v>804712</v>
      </c>
      <c r="AP456" s="11">
        <f t="shared" ca="1" si="2"/>
        <v>44348</v>
      </c>
      <c r="AQ456" s="11">
        <f ca="1">IFERROR(__xludf.DUMMYFUNCTION("""COMPUTED_VALUE"""),44348)</f>
        <v>44348</v>
      </c>
      <c r="AR456" s="11">
        <v>44163</v>
      </c>
      <c r="AS456" s="11">
        <f t="shared" si="3"/>
        <v>44163</v>
      </c>
      <c r="AT456" s="11">
        <f ca="1">IFERROR(__xludf.DUMMYFUNCTION("""COMPUTED_VALUE"""),44162)</f>
        <v>44162</v>
      </c>
    </row>
    <row r="457" spans="1:46" ht="13">
      <c r="A457" s="11">
        <v>44161</v>
      </c>
      <c r="B457">
        <f>IFERROR(VLOOKUP($A457,koronahun!$A:$AM,2,FALSE),"")</f>
        <v>192047</v>
      </c>
      <c r="C457">
        <f>IFERROR(VLOOKUP($A457,koronahun!$A:$AM,3,FALSE),"")</f>
        <v>6360</v>
      </c>
      <c r="D457">
        <f>IFERROR(VLOOKUP($A457,koronahun!$A:$AM,4,FALSE),"")</f>
        <v>4229</v>
      </c>
      <c r="E457">
        <f>IFERROR(VLOOKUP($A457,koronahun!$A:$AM,5,FALSE),"")</f>
        <v>49616</v>
      </c>
      <c r="F457">
        <f>IFERROR(VLOOKUP($A457,koronahun!$A:$AM,6,FALSE),"")</f>
        <v>1580197</v>
      </c>
      <c r="G457" s="12">
        <f>IFERROR(VLOOKUP($A457,koronahun!$A:$AM,7,FALSE),"")</f>
        <v>161244.59183673467</v>
      </c>
      <c r="H457">
        <f>IFERROR(VLOOKUP($A457,koronahun!$A:$AM,8,FALSE),"")</f>
        <v>0</v>
      </c>
      <c r="I457" s="13">
        <f>IFERROR(VLOOKUP($A457,koronahun!$A:$AM,9,FALSE),"")</f>
        <v>3.4251186135809186E-2</v>
      </c>
      <c r="J457" s="13">
        <f>IFERROR(VLOOKUP($A457,koronahun!$A:$AM,10,FALSE),"")</f>
        <v>0.12153358093959171</v>
      </c>
      <c r="K457" s="13">
        <f>IFERROR(VLOOKUP($A457,koronahun!$A:$AM,11,FALSE),"")</f>
        <v>2.0589439637077139E-2</v>
      </c>
      <c r="L457">
        <f>IFERROR(VLOOKUP($A457,koronahun!$A:$AM,12,FALSE),"")</f>
        <v>138202</v>
      </c>
      <c r="M457" s="13">
        <f>IFERROR(VLOOKUP($A457,koronahun!$A:$AM,13,FALSE),"")</f>
        <v>2.2020651194759617E-2</v>
      </c>
      <c r="N457" s="13">
        <f>IFERROR(VLOOKUP($A457,koronahun!$A:$AM,14,FALSE),"")</f>
        <v>0.25835342390144078</v>
      </c>
      <c r="O457">
        <f>IFERROR(VLOOKUP($A457,koronahun!$A:$AM,15,FALSE),"")</f>
        <v>45750</v>
      </c>
      <c r="P457">
        <f>IFERROR(VLOOKUP($A457,koronahun!$A:$AM,16,FALSE),"")</f>
        <v>31879</v>
      </c>
      <c r="Q457" s="13">
        <f>IFERROR(VLOOKUP($A457,koronahun!$A:$AM,17,FALSE),"")</f>
        <v>0.19950437592145298</v>
      </c>
      <c r="R457">
        <f>IFERROR(VLOOKUP($A457,koronahun!$A:$AM,18,FALSE),"")</f>
        <v>115</v>
      </c>
      <c r="S457">
        <f>IFERROR(VLOOKUP($A457,koronahun!$A:$AM,19,FALSE),"")</f>
        <v>2798</v>
      </c>
      <c r="T457">
        <f>IFERROR(VLOOKUP($A457,koronahun!$A:$AM,20,FALSE),"")</f>
        <v>7537</v>
      </c>
      <c r="U457">
        <f>IFERROR(VLOOKUP($A457,koronahun!$A:$AM,21,FALSE),"")</f>
        <v>640</v>
      </c>
      <c r="V457" s="13">
        <f>IFERROR(VLOOKUP($A457,koronahun!$A:$AM,22,FALSE),"")</f>
        <v>0.71962592490379962</v>
      </c>
      <c r="W457">
        <f>IFERROR(VLOOKUP($A457,koronahun!$A:$AM,23,FALSE),"")</f>
        <v>-181</v>
      </c>
      <c r="X457">
        <f>IFERROR(VLOOKUP($A457,koronahun!$A:$AM,24,FALSE),"")</f>
        <v>-16</v>
      </c>
      <c r="Y457" s="14">
        <f>IFERROR(VLOOKUP($A457,koronahun!$A:$AM,25,FALSE),"")</f>
        <v>5.4536113804431192E-2</v>
      </c>
      <c r="Z457" s="14">
        <f>IFERROR(VLOOKUP($A457,koronahun!$A:$AM,26,FALSE),"")</f>
        <v>8.4914422183892793E-2</v>
      </c>
      <c r="AA457" s="14">
        <f>IFERROR(VLOOKUP($A457,koronahun!$A:$AM,27,FALSE),"")</f>
        <v>0.8821781892648034</v>
      </c>
      <c r="AB457" s="14">
        <f>IFERROR(VLOOKUP($A457,koronahun!$A:$AM,28,FALSE),"")</f>
        <v>0.95844619640240281</v>
      </c>
      <c r="AC457" s="14">
        <f>IFERROR(VLOOKUP($A457,koronahun!$A:$AM,29,FALSE),"")</f>
        <v>4369.4285714285716</v>
      </c>
      <c r="AD457" s="14">
        <f>IFERROR(VLOOKUP($A457,koronahun!$A:$AM,30,FALSE),"")</f>
        <v>108.14285714285714</v>
      </c>
      <c r="AE457" s="14">
        <f>IFERROR(VLOOKUP($A457,koronahun!$A:$AM,31,FALSE),"")</f>
        <v>21027</v>
      </c>
      <c r="AF457" s="13">
        <f>IFERROR(VLOOKUP($A457,koronahun!$A:$AM,32,FALSE),"")</f>
        <v>0.22300564746311341</v>
      </c>
      <c r="AG457">
        <f>IFERROR(VLOOKUP($A457,koronahun!$A:$AM,33,FALSE),"")</f>
        <v>0</v>
      </c>
      <c r="AH457">
        <f>IFERROR(VLOOKUP($A457,koronahun!$A:$AM,34,FALSE),"")</f>
        <v>0</v>
      </c>
      <c r="AI457">
        <f>IFERROR(VLOOKUP($A457,koronahun!$A:$AM,35,FALSE),"")</f>
        <v>0</v>
      </c>
      <c r="AJ457">
        <f>IFERROR(VLOOKUP($A457,koronahun!$A:$AM,36,FALSE),"")</f>
        <v>0</v>
      </c>
      <c r="AK457">
        <f>IFERROR(VLOOKUP($A457,koronahun!$A:$AM,37,FALSE),"")</f>
        <v>0</v>
      </c>
      <c r="AL457">
        <f>IFERROR(VLOOKUP($A457,koronahun!$A:$AM,38,FALSE),"")</f>
        <v>0</v>
      </c>
      <c r="AM457" s="14">
        <f>IFERROR(VLOOKUP($A457,koronahun!$A:$AM,39,FALSE),"")</f>
        <v>1895.8571428571429</v>
      </c>
      <c r="AN457" s="11">
        <f ca="1">IFERROR(__xludf.DUMMYFUNCTION("""COMPUTED_VALUE"""),44349)</f>
        <v>44349</v>
      </c>
      <c r="AO457" s="12">
        <f ca="1">IFERROR(VLOOKUP(AN457,koronahun!A:B,2,FALSE),"")</f>
        <v>804987</v>
      </c>
      <c r="AP457" s="11">
        <f t="shared" ca="1" si="2"/>
        <v>44349</v>
      </c>
      <c r="AQ457" s="11">
        <f ca="1">IFERROR(__xludf.DUMMYFUNCTION("""COMPUTED_VALUE"""),44349)</f>
        <v>44349</v>
      </c>
      <c r="AR457" s="11">
        <v>44162</v>
      </c>
      <c r="AS457" s="11">
        <f t="shared" si="3"/>
        <v>44162</v>
      </c>
      <c r="AT457" s="11">
        <f ca="1">IFERROR(__xludf.DUMMYFUNCTION("""COMPUTED_VALUE"""),44161)</f>
        <v>44161</v>
      </c>
    </row>
    <row r="458" spans="1:46" ht="13">
      <c r="A458" s="11">
        <v>44160</v>
      </c>
      <c r="B458">
        <f>IFERROR(VLOOKUP($A458,koronahun!$A:$AM,2,FALSE),"")</f>
        <v>185687</v>
      </c>
      <c r="C458">
        <f>IFERROR(VLOOKUP($A458,koronahun!$A:$AM,3,FALSE),"")</f>
        <v>3806</v>
      </c>
      <c r="D458">
        <f>IFERROR(VLOOKUP($A458,koronahun!$A:$AM,4,FALSE),"")</f>
        <v>4114</v>
      </c>
      <c r="E458">
        <f>IFERROR(VLOOKUP($A458,koronahun!$A:$AM,5,FALSE),"")</f>
        <v>46818</v>
      </c>
      <c r="F458">
        <f>IFERROR(VLOOKUP($A458,koronahun!$A:$AM,6,FALSE),"")</f>
        <v>1548318</v>
      </c>
      <c r="G458" s="12">
        <f>IFERROR(VLOOKUP($A458,koronahun!$A:$AM,7,FALSE),"")</f>
        <v>157991.63265306121</v>
      </c>
      <c r="H458">
        <f>IFERROR(VLOOKUP($A458,koronahun!$A:$AM,8,FALSE),"")</f>
        <v>0</v>
      </c>
      <c r="I458" s="13">
        <f>IFERROR(VLOOKUP($A458,koronahun!$A:$AM,9,FALSE),"")</f>
        <v>2.0925770146414415E-2</v>
      </c>
      <c r="J458" s="13">
        <f>IFERROR(VLOOKUP($A458,koronahun!$A:$AM,10,FALSE),"")</f>
        <v>0.11992820596285776</v>
      </c>
      <c r="K458" s="13">
        <f>IFERROR(VLOOKUP($A458,koronahun!$A:$AM,11,FALSE),"")</f>
        <v>1.3096887918749044E-2</v>
      </c>
      <c r="L458">
        <f>IFERROR(VLOOKUP($A458,koronahun!$A:$AM,12,FALSE),"")</f>
        <v>137553</v>
      </c>
      <c r="M458" s="13">
        <f>IFERROR(VLOOKUP($A458,koronahun!$A:$AM,13,FALSE),"")</f>
        <v>2.2155562855773425E-2</v>
      </c>
      <c r="N458" s="13">
        <f>IFERROR(VLOOKUP($A458,koronahun!$A:$AM,14,FALSE),"")</f>
        <v>0.25213396737520666</v>
      </c>
      <c r="O458">
        <f>IFERROR(VLOOKUP($A458,koronahun!$A:$AM,15,FALSE),"")</f>
        <v>41558</v>
      </c>
      <c r="P458">
        <f>IFERROR(VLOOKUP($A458,koronahun!$A:$AM,16,FALSE),"")</f>
        <v>20016</v>
      </c>
      <c r="Q458" s="13">
        <f>IFERROR(VLOOKUP($A458,koronahun!$A:$AM,17,FALSE),"")</f>
        <v>0.19014788169464428</v>
      </c>
      <c r="R458">
        <f>IFERROR(VLOOKUP($A458,koronahun!$A:$AM,18,FALSE),"")</f>
        <v>106</v>
      </c>
      <c r="S458">
        <f>IFERROR(VLOOKUP($A458,koronahun!$A:$AM,19,FALSE),"")</f>
        <v>2798</v>
      </c>
      <c r="T458">
        <f>IFERROR(VLOOKUP($A458,koronahun!$A:$AM,20,FALSE),"")</f>
        <v>7718</v>
      </c>
      <c r="U458">
        <f>IFERROR(VLOOKUP($A458,koronahun!$A:$AM,21,FALSE),"")</f>
        <v>656</v>
      </c>
      <c r="V458" s="13">
        <f>IFERROR(VLOOKUP($A458,koronahun!$A:$AM,22,FALSE),"")</f>
        <v>0.74077883750612594</v>
      </c>
      <c r="W458">
        <f>IFERROR(VLOOKUP($A458,koronahun!$A:$AM,23,FALSE),"")</f>
        <v>120</v>
      </c>
      <c r="X458">
        <f>IFERROR(VLOOKUP($A458,koronahun!$A:$AM,24,FALSE),"")</f>
        <v>18</v>
      </c>
      <c r="Y458" s="14">
        <f>IFERROR(VLOOKUP($A458,koronahun!$A:$AM,25,FALSE),"")</f>
        <v>5.6109281513307595E-2</v>
      </c>
      <c r="Z458" s="14">
        <f>IFERROR(VLOOKUP($A458,koronahun!$A:$AM,26,FALSE),"")</f>
        <v>8.4996112982637984E-2</v>
      </c>
      <c r="AA458" s="14">
        <f>IFERROR(VLOOKUP($A458,koronahun!$A:$AM,27,FALSE),"")</f>
        <v>0.84310274012791175</v>
      </c>
      <c r="AB458" s="14">
        <f>IFERROR(VLOOKUP($A458,koronahun!$A:$AM,28,FALSE),"")</f>
        <v>0.98781385116523523</v>
      </c>
      <c r="AC458" s="14">
        <f>IFERROR(VLOOKUP($A458,koronahun!$A:$AM,29,FALSE),"")</f>
        <v>4105.4285714285716</v>
      </c>
      <c r="AD458" s="14">
        <f>IFERROR(VLOOKUP($A458,koronahun!$A:$AM,30,FALSE),"")</f>
        <v>104.85714285714286</v>
      </c>
      <c r="AE458" s="14">
        <f>IFERROR(VLOOKUP($A458,koronahun!$A:$AM,31,FALSE),"")</f>
        <v>19809.571428571428</v>
      </c>
      <c r="AF458" s="13">
        <f>IFERROR(VLOOKUP($A458,koronahun!$A:$AM,32,FALSE),"")</f>
        <v>0.22210152139263362</v>
      </c>
      <c r="AG458">
        <f>IFERROR(VLOOKUP($A458,koronahun!$A:$AM,33,FALSE),"")</f>
        <v>0</v>
      </c>
      <c r="AH458">
        <f>IFERROR(VLOOKUP($A458,koronahun!$A:$AM,34,FALSE),"")</f>
        <v>0</v>
      </c>
      <c r="AI458">
        <f>IFERROR(VLOOKUP($A458,koronahun!$A:$AM,35,FALSE),"")</f>
        <v>0</v>
      </c>
      <c r="AJ458">
        <f>IFERROR(VLOOKUP($A458,koronahun!$A:$AM,36,FALSE),"")</f>
        <v>0</v>
      </c>
      <c r="AK458">
        <f>IFERROR(VLOOKUP($A458,koronahun!$A:$AM,37,FALSE),"")</f>
        <v>0</v>
      </c>
      <c r="AL458">
        <f>IFERROR(VLOOKUP($A458,koronahun!$A:$AM,38,FALSE),"")</f>
        <v>0</v>
      </c>
      <c r="AM458" s="14">
        <f>IFERROR(VLOOKUP($A458,koronahun!$A:$AM,39,FALSE),"")</f>
        <v>1710.2857142857142</v>
      </c>
      <c r="AN458" s="11">
        <f ca="1">IFERROR(__xludf.DUMMYFUNCTION("""COMPUTED_VALUE"""),44350)</f>
        <v>44350</v>
      </c>
      <c r="AO458" s="12">
        <f ca="1">IFERROR(VLOOKUP(AN458,koronahun!A:B,2,FALSE),"")</f>
        <v>805302</v>
      </c>
      <c r="AP458" s="11">
        <f t="shared" ca="1" si="2"/>
        <v>44350</v>
      </c>
      <c r="AQ458" s="11">
        <f ca="1">IFERROR(__xludf.DUMMYFUNCTION("""COMPUTED_VALUE"""),44350)</f>
        <v>44350</v>
      </c>
      <c r="AR458" s="11">
        <v>44161</v>
      </c>
      <c r="AS458" s="11">
        <f t="shared" si="3"/>
        <v>44161</v>
      </c>
      <c r="AT458" s="11">
        <f ca="1">IFERROR(__xludf.DUMMYFUNCTION("""COMPUTED_VALUE"""),44160)</f>
        <v>44160</v>
      </c>
    </row>
    <row r="459" spans="1:46" ht="13">
      <c r="A459" s="11">
        <v>44159</v>
      </c>
      <c r="B459">
        <f>IFERROR(VLOOKUP($A459,koronahun!$A:$AM,2,FALSE),"")</f>
        <v>181881</v>
      </c>
      <c r="C459">
        <f>IFERROR(VLOOKUP($A459,koronahun!$A:$AM,3,FALSE),"")</f>
        <v>3929</v>
      </c>
      <c r="D459">
        <f>IFERROR(VLOOKUP($A459,koronahun!$A:$AM,4,FALSE),"")</f>
        <v>4008</v>
      </c>
      <c r="E459">
        <f>IFERROR(VLOOKUP($A459,koronahun!$A:$AM,5,FALSE),"")</f>
        <v>44020</v>
      </c>
      <c r="F459">
        <f>IFERROR(VLOOKUP($A459,koronahun!$A:$AM,6,FALSE),"")</f>
        <v>1528302</v>
      </c>
      <c r="G459" s="12">
        <f>IFERROR(VLOOKUP($A459,koronahun!$A:$AM,7,FALSE),"")</f>
        <v>155949.18367346938</v>
      </c>
      <c r="H459">
        <f>IFERROR(VLOOKUP($A459,koronahun!$A:$AM,8,FALSE),"")</f>
        <v>0</v>
      </c>
      <c r="I459" s="13">
        <f>IFERROR(VLOOKUP($A459,koronahun!$A:$AM,9,FALSE),"")</f>
        <v>2.2078987592159684E-2</v>
      </c>
      <c r="J459" s="13">
        <f>IFERROR(VLOOKUP($A459,koronahun!$A:$AM,10,FALSE),"")</f>
        <v>0.11900854674010765</v>
      </c>
      <c r="K459" s="13">
        <f>IFERROR(VLOOKUP($A459,koronahun!$A:$AM,11,FALSE),"")</f>
        <v>6.6817814746554707E-3</v>
      </c>
      <c r="L459">
        <f>IFERROR(VLOOKUP($A459,koronahun!$A:$AM,12,FALSE),"")</f>
        <v>133853</v>
      </c>
      <c r="M459" s="13">
        <f>IFERROR(VLOOKUP($A459,koronahun!$A:$AM,13,FALSE),"")</f>
        <v>2.2036386428488958E-2</v>
      </c>
      <c r="N459" s="13">
        <f>IFERROR(VLOOKUP($A459,koronahun!$A:$AM,14,FALSE),"")</f>
        <v>0.24202637988574946</v>
      </c>
      <c r="O459">
        <f>IFERROR(VLOOKUP($A459,koronahun!$A:$AM,15,FALSE),"")</f>
        <v>41557</v>
      </c>
      <c r="P459">
        <f>IFERROR(VLOOKUP($A459,koronahun!$A:$AM,16,FALSE),"")</f>
        <v>10144</v>
      </c>
      <c r="Q459" s="13">
        <f>IFERROR(VLOOKUP($A459,koronahun!$A:$AM,17,FALSE),"")</f>
        <v>0.38732255520504733</v>
      </c>
      <c r="R459">
        <f>IFERROR(VLOOKUP($A459,koronahun!$A:$AM,18,FALSE),"")</f>
        <v>117</v>
      </c>
      <c r="S459">
        <f>IFERROR(VLOOKUP($A459,koronahun!$A:$AM,19,FALSE),"")</f>
        <v>681</v>
      </c>
      <c r="T459">
        <f>IFERROR(VLOOKUP($A459,koronahun!$A:$AM,20,FALSE),"")</f>
        <v>7598</v>
      </c>
      <c r="U459">
        <f>IFERROR(VLOOKUP($A459,koronahun!$A:$AM,21,FALSE),"")</f>
        <v>638</v>
      </c>
      <c r="V459" s="13">
        <f>IFERROR(VLOOKUP($A459,koronahun!$A:$AM,22,FALSE),"")</f>
        <v>0.73593723368576158</v>
      </c>
      <c r="W459">
        <f>IFERROR(VLOOKUP($A459,koronahun!$A:$AM,23,FALSE),"")</f>
        <v>137</v>
      </c>
      <c r="X459">
        <f>IFERROR(VLOOKUP($A459,koronahun!$A:$AM,24,FALSE),"")</f>
        <v>11</v>
      </c>
      <c r="Y459" s="14">
        <f>IFERROR(VLOOKUP($A459,koronahun!$A:$AM,25,FALSE),"")</f>
        <v>5.6763763232800163E-2</v>
      </c>
      <c r="Z459" s="14">
        <f>IFERROR(VLOOKUP($A459,koronahun!$A:$AM,26,FALSE),"")</f>
        <v>8.3969465648854963E-2</v>
      </c>
      <c r="AA459" s="14">
        <f>IFERROR(VLOOKUP($A459,koronahun!$A:$AM,27,FALSE),"")</f>
        <v>0.86606798850063715</v>
      </c>
      <c r="AB459" s="14">
        <f>IFERROR(VLOOKUP($A459,koronahun!$A:$AM,28,FALSE),"")</f>
        <v>1.0201369891301553</v>
      </c>
      <c r="AC459" s="14">
        <f>IFERROR(VLOOKUP($A459,koronahun!$A:$AM,29,FALSE),"")</f>
        <v>4174.5714285714284</v>
      </c>
      <c r="AD459" s="14">
        <f>IFERROR(VLOOKUP($A459,koronahun!$A:$AM,30,FALSE),"")</f>
        <v>103.85714285714286</v>
      </c>
      <c r="AE459" s="14">
        <f>IFERROR(VLOOKUP($A459,koronahun!$A:$AM,31,FALSE),"")</f>
        <v>20024.285714285714</v>
      </c>
      <c r="AF459" s="13">
        <f>IFERROR(VLOOKUP($A459,koronahun!$A:$AM,32,FALSE),"")</f>
        <v>0.22341735347333933</v>
      </c>
      <c r="AG459">
        <f>IFERROR(VLOOKUP($A459,koronahun!$A:$AM,33,FALSE),"")</f>
        <v>0</v>
      </c>
      <c r="AH459">
        <f>IFERROR(VLOOKUP($A459,koronahun!$A:$AM,34,FALSE),"")</f>
        <v>0</v>
      </c>
      <c r="AI459">
        <f>IFERROR(VLOOKUP($A459,koronahun!$A:$AM,35,FALSE),"")</f>
        <v>0</v>
      </c>
      <c r="AJ459">
        <f>IFERROR(VLOOKUP($A459,koronahun!$A:$AM,36,FALSE),"")</f>
        <v>0</v>
      </c>
      <c r="AK459">
        <f>IFERROR(VLOOKUP($A459,koronahun!$A:$AM,37,FALSE),"")</f>
        <v>0</v>
      </c>
      <c r="AL459">
        <f>IFERROR(VLOOKUP($A459,koronahun!$A:$AM,38,FALSE),"")</f>
        <v>0</v>
      </c>
      <c r="AM459" s="14">
        <f>IFERROR(VLOOKUP($A459,koronahun!$A:$AM,39,FALSE),"")</f>
        <v>1405</v>
      </c>
      <c r="AN459" s="11">
        <f ca="1">IFERROR(__xludf.DUMMYFUNCTION("""COMPUTED_VALUE"""),44351)</f>
        <v>44351</v>
      </c>
      <c r="AO459" s="12">
        <f ca="1">IFERROR(VLOOKUP(AN459,koronahun!A:B,2,FALSE),"")</f>
        <v>805571</v>
      </c>
      <c r="AP459" s="11">
        <f t="shared" ca="1" si="2"/>
        <v>44351</v>
      </c>
      <c r="AQ459" s="11">
        <f ca="1">IFERROR(__xludf.DUMMYFUNCTION("""COMPUTED_VALUE"""),44351)</f>
        <v>44351</v>
      </c>
      <c r="AR459" s="11">
        <v>44160</v>
      </c>
      <c r="AS459" s="11">
        <f t="shared" si="3"/>
        <v>44160</v>
      </c>
      <c r="AT459" s="11">
        <f ca="1">IFERROR(__xludf.DUMMYFUNCTION("""COMPUTED_VALUE"""),44159)</f>
        <v>44159</v>
      </c>
    </row>
    <row r="460" spans="1:46" ht="13">
      <c r="A460" s="11">
        <v>44158</v>
      </c>
      <c r="B460">
        <f>IFERROR(VLOOKUP($A460,koronahun!$A:$AM,2,FALSE),"")</f>
        <v>177952</v>
      </c>
      <c r="C460">
        <f>IFERROR(VLOOKUP($A460,koronahun!$A:$AM,3,FALSE),"")</f>
        <v>3334</v>
      </c>
      <c r="D460">
        <f>IFERROR(VLOOKUP($A460,koronahun!$A:$AM,4,FALSE),"")</f>
        <v>3891</v>
      </c>
      <c r="E460">
        <f>IFERROR(VLOOKUP($A460,koronahun!$A:$AM,5,FALSE),"")</f>
        <v>43339</v>
      </c>
      <c r="F460">
        <f>IFERROR(VLOOKUP($A460,koronahun!$A:$AM,6,FALSE),"")</f>
        <v>1518158</v>
      </c>
      <c r="G460" s="12">
        <f>IFERROR(VLOOKUP($A460,koronahun!$A:$AM,7,FALSE),"")</f>
        <v>154914.08163265305</v>
      </c>
      <c r="H460">
        <f>IFERROR(VLOOKUP($A460,koronahun!$A:$AM,8,FALSE),"")</f>
        <v>0</v>
      </c>
      <c r="I460" s="13">
        <f>IFERROR(VLOOKUP($A460,koronahun!$A:$AM,9,FALSE),"")</f>
        <v>1.9093106094446161E-2</v>
      </c>
      <c r="J460" s="13">
        <f>IFERROR(VLOOKUP($A460,koronahun!$A:$AM,10,FALSE),"")</f>
        <v>0.11721573116895606</v>
      </c>
      <c r="K460" s="13">
        <f>IFERROR(VLOOKUP($A460,koronahun!$A:$AM,11,FALSE),"")</f>
        <v>1.0187996515946068E-2</v>
      </c>
      <c r="L460">
        <f>IFERROR(VLOOKUP($A460,koronahun!$A:$AM,12,FALSE),"")</f>
        <v>130722</v>
      </c>
      <c r="M460" s="13">
        <f>IFERROR(VLOOKUP($A460,koronahun!$A:$AM,13,FALSE),"")</f>
        <v>2.1865446862075165E-2</v>
      </c>
      <c r="N460" s="13">
        <f>IFERROR(VLOOKUP($A460,koronahun!$A:$AM,14,FALSE),"")</f>
        <v>0.24354320266139184</v>
      </c>
      <c r="O460">
        <f>IFERROR(VLOOKUP($A460,koronahun!$A:$AM,15,FALSE),"")</f>
        <v>42071</v>
      </c>
      <c r="P460">
        <f>IFERROR(VLOOKUP($A460,koronahun!$A:$AM,16,FALSE),"")</f>
        <v>15311</v>
      </c>
      <c r="Q460" s="13">
        <f>IFERROR(VLOOKUP($A460,koronahun!$A:$AM,17,FALSE),"")</f>
        <v>0.21775194304748222</v>
      </c>
      <c r="R460">
        <f>IFERROR(VLOOKUP($A460,koronahun!$A:$AM,18,FALSE),"")</f>
        <v>91</v>
      </c>
      <c r="S460">
        <f>IFERROR(VLOOKUP($A460,koronahun!$A:$AM,19,FALSE),"")</f>
        <v>424</v>
      </c>
      <c r="T460">
        <f>IFERROR(VLOOKUP($A460,koronahun!$A:$AM,20,FALSE),"")</f>
        <v>7461</v>
      </c>
      <c r="U460">
        <f>IFERROR(VLOOKUP($A460,koronahun!$A:$AM,21,FALSE),"")</f>
        <v>627</v>
      </c>
      <c r="V460" s="13">
        <f>IFERROR(VLOOKUP($A460,koronahun!$A:$AM,22,FALSE),"")</f>
        <v>0.73459135047653301</v>
      </c>
      <c r="W460">
        <f>IFERROR(VLOOKUP($A460,koronahun!$A:$AM,23,FALSE),"")</f>
        <v>183</v>
      </c>
      <c r="X460">
        <f>IFERROR(VLOOKUP($A460,koronahun!$A:$AM,24,FALSE),"")</f>
        <v>9</v>
      </c>
      <c r="Y460" s="14">
        <f>IFERROR(VLOOKUP($A460,koronahun!$A:$AM,25,FALSE),"")</f>
        <v>5.7075320145040617E-2</v>
      </c>
      <c r="Z460" s="14">
        <f>IFERROR(VLOOKUP($A460,koronahun!$A:$AM,26,FALSE),"")</f>
        <v>8.4036992360273427E-2</v>
      </c>
      <c r="AA460" s="14">
        <f>IFERROR(VLOOKUP($A460,koronahun!$A:$AM,27,FALSE),"")</f>
        <v>0.9332272476895771</v>
      </c>
      <c r="AB460" s="14">
        <f>IFERROR(VLOOKUP($A460,koronahun!$A:$AM,28,FALSE),"")</f>
        <v>1.0463443372267103</v>
      </c>
      <c r="AC460" s="14">
        <f>IFERROR(VLOOKUP($A460,koronahun!$A:$AM,29,FALSE),"")</f>
        <v>4356.5714285714284</v>
      </c>
      <c r="AD460" s="14">
        <f>IFERROR(VLOOKUP($A460,koronahun!$A:$AM,30,FALSE),"")</f>
        <v>100.14285714285714</v>
      </c>
      <c r="AE460" s="14">
        <f>IFERROR(VLOOKUP($A460,koronahun!$A:$AM,31,FALSE),"")</f>
        <v>22474</v>
      </c>
      <c r="AF460" s="13">
        <f>IFERROR(VLOOKUP($A460,koronahun!$A:$AM,32,FALSE),"")</f>
        <v>0.19532012363803358</v>
      </c>
      <c r="AG460">
        <f>IFERROR(VLOOKUP($A460,koronahun!$A:$AM,33,FALSE),"")</f>
        <v>0</v>
      </c>
      <c r="AH460">
        <f>IFERROR(VLOOKUP($A460,koronahun!$A:$AM,34,FALSE),"")</f>
        <v>0</v>
      </c>
      <c r="AI460">
        <f>IFERROR(VLOOKUP($A460,koronahun!$A:$AM,35,FALSE),"")</f>
        <v>0</v>
      </c>
      <c r="AJ460">
        <f>IFERROR(VLOOKUP($A460,koronahun!$A:$AM,36,FALSE),"")</f>
        <v>0</v>
      </c>
      <c r="AK460">
        <f>IFERROR(VLOOKUP($A460,koronahun!$A:$AM,37,FALSE),"")</f>
        <v>0</v>
      </c>
      <c r="AL460">
        <f>IFERROR(VLOOKUP($A460,koronahun!$A:$AM,38,FALSE),"")</f>
        <v>0</v>
      </c>
      <c r="AM460" s="14">
        <f>IFERROR(VLOOKUP($A460,koronahun!$A:$AM,39,FALSE),"")</f>
        <v>1332.7142857142858</v>
      </c>
      <c r="AN460" s="11">
        <f ca="1">IFERROR(__xludf.DUMMYFUNCTION("""COMPUTED_VALUE"""),44352)</f>
        <v>44352</v>
      </c>
      <c r="AO460" s="12">
        <f ca="1">IFERROR(VLOOKUP(AN460,koronahun!A:B,2,FALSE),"")</f>
        <v>805871</v>
      </c>
      <c r="AP460" s="11">
        <f t="shared" ca="1" si="2"/>
        <v>44352</v>
      </c>
      <c r="AQ460" s="11">
        <f ca="1">IFERROR(__xludf.DUMMYFUNCTION("""COMPUTED_VALUE"""),44352)</f>
        <v>44352</v>
      </c>
      <c r="AR460" s="11">
        <v>44159</v>
      </c>
      <c r="AS460" s="11">
        <f t="shared" si="3"/>
        <v>44159</v>
      </c>
      <c r="AT460" s="11">
        <f ca="1">IFERROR(__xludf.DUMMYFUNCTION("""COMPUTED_VALUE"""),44158)</f>
        <v>44158</v>
      </c>
    </row>
    <row r="461" spans="1:46" ht="13">
      <c r="A461" s="11">
        <v>44157</v>
      </c>
      <c r="B461">
        <f>IFERROR(VLOOKUP($A461,koronahun!$A:$AM,2,FALSE),"")</f>
        <v>174618</v>
      </c>
      <c r="C461">
        <f>IFERROR(VLOOKUP($A461,koronahun!$A:$AM,3,FALSE),"")</f>
        <v>4320</v>
      </c>
      <c r="D461">
        <f>IFERROR(VLOOKUP($A461,koronahun!$A:$AM,4,FALSE),"")</f>
        <v>3800</v>
      </c>
      <c r="E461">
        <f>IFERROR(VLOOKUP($A461,koronahun!$A:$AM,5,FALSE),"")</f>
        <v>42915</v>
      </c>
      <c r="F461">
        <f>IFERROR(VLOOKUP($A461,koronahun!$A:$AM,6,FALSE),"")</f>
        <v>1502847</v>
      </c>
      <c r="G461" s="12">
        <f>IFERROR(VLOOKUP($A461,koronahun!$A:$AM,7,FALSE),"")</f>
        <v>153351.73469387754</v>
      </c>
      <c r="H461">
        <f>IFERROR(VLOOKUP($A461,koronahun!$A:$AM,8,FALSE),"")</f>
        <v>0</v>
      </c>
      <c r="I461" s="13">
        <f>IFERROR(VLOOKUP($A461,koronahun!$A:$AM,9,FALSE),"")</f>
        <v>2.5367297325864072E-2</v>
      </c>
      <c r="J461" s="13">
        <f>IFERROR(VLOOKUP($A461,koronahun!$A:$AM,10,FALSE),"")</f>
        <v>0.11619146859261123</v>
      </c>
      <c r="K461" s="13">
        <f>IFERROR(VLOOKUP($A461,koronahun!$A:$AM,11,FALSE),"")</f>
        <v>1.497493708946061E-2</v>
      </c>
      <c r="L461">
        <f>IFERROR(VLOOKUP($A461,koronahun!$A:$AM,12,FALSE),"")</f>
        <v>127903</v>
      </c>
      <c r="M461" s="13">
        <f>IFERROR(VLOOKUP($A461,koronahun!$A:$AM,13,FALSE),"")</f>
        <v>2.1761788589950634E-2</v>
      </c>
      <c r="N461" s="13">
        <f>IFERROR(VLOOKUP($A461,koronahun!$A:$AM,14,FALSE),"")</f>
        <v>0.24576504140466618</v>
      </c>
      <c r="O461">
        <f>IFERROR(VLOOKUP($A461,koronahun!$A:$AM,15,FALSE),"")</f>
        <v>42370</v>
      </c>
      <c r="P461">
        <f>IFERROR(VLOOKUP($A461,koronahun!$A:$AM,16,FALSE),"")</f>
        <v>22173</v>
      </c>
      <c r="Q461" s="13">
        <f>IFERROR(VLOOKUP($A461,koronahun!$A:$AM,17,FALSE),"")</f>
        <v>0.19483155188743065</v>
      </c>
      <c r="R461">
        <f>IFERROR(VLOOKUP($A461,koronahun!$A:$AM,18,FALSE),"")</f>
        <v>111</v>
      </c>
      <c r="S461">
        <f>IFERROR(VLOOKUP($A461,koronahun!$A:$AM,19,FALSE),"")</f>
        <v>2095</v>
      </c>
      <c r="T461">
        <f>IFERROR(VLOOKUP($A461,koronahun!$A:$AM,20,FALSE),"")</f>
        <v>7278</v>
      </c>
      <c r="U461">
        <f>IFERROR(VLOOKUP($A461,koronahun!$A:$AM,21,FALSE),"")</f>
        <v>618</v>
      </c>
      <c r="V461" s="13">
        <f>IFERROR(VLOOKUP($A461,koronahun!$A:$AM,22,FALSE),"")</f>
        <v>0.73247317000538315</v>
      </c>
      <c r="W461">
        <f>IFERROR(VLOOKUP($A461,koronahun!$A:$AM,23,FALSE),"")</f>
        <v>-80</v>
      </c>
      <c r="X461">
        <f>IFERROR(VLOOKUP($A461,koronahun!$A:$AM,24,FALSE),"")</f>
        <v>19</v>
      </c>
      <c r="Y461" s="14">
        <f>IFERROR(VLOOKUP($A461,koronahun!$A:$AM,25,FALSE),"")</f>
        <v>5.690249642307061E-2</v>
      </c>
      <c r="Z461" s="14">
        <f>IFERROR(VLOOKUP($A461,koronahun!$A:$AM,26,FALSE),"")</f>
        <v>8.491343775762572E-2</v>
      </c>
      <c r="AA461" s="14">
        <f>IFERROR(VLOOKUP($A461,koronahun!$A:$AM,27,FALSE),"")</f>
        <v>1.0737597702982933</v>
      </c>
      <c r="AB461" s="14">
        <f>IFERROR(VLOOKUP($A461,koronahun!$A:$AM,28,FALSE),"")</f>
        <v>1.0589192058722012</v>
      </c>
      <c r="AC461" s="14">
        <f>IFERROR(VLOOKUP($A461,koronahun!$A:$AM,29,FALSE),"")</f>
        <v>4808.1428571428569</v>
      </c>
      <c r="AD461" s="14">
        <f>IFERROR(VLOOKUP($A461,koronahun!$A:$AM,30,FALSE),"")</f>
        <v>100.42857142857143</v>
      </c>
      <c r="AE461" s="14">
        <f>IFERROR(VLOOKUP($A461,koronahun!$A:$AM,31,FALSE),"")</f>
        <v>21157.857142857141</v>
      </c>
      <c r="AF461" s="13">
        <f>IFERROR(VLOOKUP($A461,koronahun!$A:$AM,32,FALSE),"")</f>
        <v>0.164212703202679</v>
      </c>
      <c r="AG461">
        <f>IFERROR(VLOOKUP($A461,koronahun!$A:$AM,33,FALSE),"")</f>
        <v>0</v>
      </c>
      <c r="AH461">
        <f>IFERROR(VLOOKUP($A461,koronahun!$A:$AM,34,FALSE),"")</f>
        <v>0</v>
      </c>
      <c r="AI461">
        <f>IFERROR(VLOOKUP($A461,koronahun!$A:$AM,35,FALSE),"")</f>
        <v>0</v>
      </c>
      <c r="AJ461">
        <f>IFERROR(VLOOKUP($A461,koronahun!$A:$AM,36,FALSE),"")</f>
        <v>0</v>
      </c>
      <c r="AK461">
        <f>IFERROR(VLOOKUP($A461,koronahun!$A:$AM,37,FALSE),"")</f>
        <v>0</v>
      </c>
      <c r="AL461">
        <f>IFERROR(VLOOKUP($A461,koronahun!$A:$AM,38,FALSE),"")</f>
        <v>0</v>
      </c>
      <c r="AM461" s="14">
        <f>IFERROR(VLOOKUP($A461,koronahun!$A:$AM,39,FALSE),"")</f>
        <v>1616.5714285714287</v>
      </c>
      <c r="AN461" s="11">
        <f ca="1">IFERROR(__xludf.DUMMYFUNCTION("""COMPUTED_VALUE"""),44353)</f>
        <v>44353</v>
      </c>
      <c r="AO461" s="12">
        <f ca="1">IFERROR(VLOOKUP(AN461,koronahun!A:B,2,FALSE),"")</f>
        <v>806008</v>
      </c>
      <c r="AP461" s="11">
        <f t="shared" ca="1" si="2"/>
        <v>44353</v>
      </c>
      <c r="AQ461" s="11">
        <f ca="1">IFERROR(__xludf.DUMMYFUNCTION("""COMPUTED_VALUE"""),44353)</f>
        <v>44353</v>
      </c>
      <c r="AR461" s="11">
        <v>44158</v>
      </c>
      <c r="AS461" s="11">
        <f t="shared" si="3"/>
        <v>44158</v>
      </c>
      <c r="AT461" s="11">
        <f ca="1">IFERROR(__xludf.DUMMYFUNCTION("""COMPUTED_VALUE"""),44157)</f>
        <v>44157</v>
      </c>
    </row>
    <row r="462" spans="1:46" ht="13">
      <c r="A462" s="11">
        <v>44156</v>
      </c>
      <c r="B462">
        <f>IFERROR(VLOOKUP($A462,koronahun!$A:$AM,2,FALSE),"")</f>
        <v>170298</v>
      </c>
      <c r="C462">
        <f>IFERROR(VLOOKUP($A462,koronahun!$A:$AM,3,FALSE),"")</f>
        <v>4397</v>
      </c>
      <c r="D462">
        <f>IFERROR(VLOOKUP($A462,koronahun!$A:$AM,4,FALSE),"")</f>
        <v>3689</v>
      </c>
      <c r="E462">
        <f>IFERROR(VLOOKUP($A462,koronahun!$A:$AM,5,FALSE),"")</f>
        <v>40820</v>
      </c>
      <c r="F462">
        <f>IFERROR(VLOOKUP($A462,koronahun!$A:$AM,6,FALSE),"")</f>
        <v>1480674</v>
      </c>
      <c r="G462" s="12">
        <f>IFERROR(VLOOKUP($A462,koronahun!$A:$AM,7,FALSE),"")</f>
        <v>151089.18367346938</v>
      </c>
      <c r="H462">
        <f>IFERROR(VLOOKUP($A462,koronahun!$A:$AM,8,FALSE),"")</f>
        <v>0</v>
      </c>
      <c r="I462" s="13">
        <f>IFERROR(VLOOKUP($A462,koronahun!$A:$AM,9,FALSE),"")</f>
        <v>2.6503758265471578E-2</v>
      </c>
      <c r="J462" s="13">
        <f>IFERROR(VLOOKUP($A462,koronahun!$A:$AM,10,FALSE),"")</f>
        <v>0.11501383829256136</v>
      </c>
      <c r="K462" s="13">
        <f>IFERROR(VLOOKUP($A462,koronahun!$A:$AM,11,FALSE),"")</f>
        <v>1.7038632623287277E-2</v>
      </c>
      <c r="L462">
        <f>IFERROR(VLOOKUP($A462,koronahun!$A:$AM,12,FALSE),"")</f>
        <v>125789</v>
      </c>
      <c r="M462" s="13">
        <f>IFERROR(VLOOKUP($A462,koronahun!$A:$AM,13,FALSE),"")</f>
        <v>2.1662027739609391E-2</v>
      </c>
      <c r="N462" s="13">
        <f>IFERROR(VLOOKUP($A462,koronahun!$A:$AM,14,FALSE),"")</f>
        <v>0.23969747149115081</v>
      </c>
      <c r="O462">
        <f>IFERROR(VLOOKUP($A462,koronahun!$A:$AM,15,FALSE),"")</f>
        <v>40359</v>
      </c>
      <c r="P462">
        <f>IFERROR(VLOOKUP($A462,koronahun!$A:$AM,16,FALSE),"")</f>
        <v>24806</v>
      </c>
      <c r="Q462" s="13">
        <f>IFERROR(VLOOKUP($A462,koronahun!$A:$AM,17,FALSE),"")</f>
        <v>0.17725550270095944</v>
      </c>
      <c r="R462">
        <f>IFERROR(VLOOKUP($A462,koronahun!$A:$AM,18,FALSE),"")</f>
        <v>121</v>
      </c>
      <c r="S462">
        <f>IFERROR(VLOOKUP($A462,koronahun!$A:$AM,19,FALSE),"")</f>
        <v>2746</v>
      </c>
      <c r="T462">
        <f>IFERROR(VLOOKUP($A462,koronahun!$A:$AM,20,FALSE),"")</f>
        <v>7358</v>
      </c>
      <c r="U462">
        <f>IFERROR(VLOOKUP($A462,koronahun!$A:$AM,21,FALSE),"")</f>
        <v>599</v>
      </c>
      <c r="V462" s="13">
        <f>IFERROR(VLOOKUP($A462,koronahun!$A:$AM,22,FALSE),"")</f>
        <v>0.73864050076923982</v>
      </c>
      <c r="W462">
        <f>IFERROR(VLOOKUP($A462,koronahun!$A:$AM,23,FALSE),"")</f>
        <v>-154</v>
      </c>
      <c r="X462">
        <f>IFERROR(VLOOKUP($A462,koronahun!$A:$AM,24,FALSE),"")</f>
        <v>-5</v>
      </c>
      <c r="Y462" s="14">
        <f>IFERROR(VLOOKUP($A462,koronahun!$A:$AM,25,FALSE),"")</f>
        <v>5.8494780942689742E-2</v>
      </c>
      <c r="Z462" s="14">
        <f>IFERROR(VLOOKUP($A462,koronahun!$A:$AM,26,FALSE),"")</f>
        <v>8.1407991301984228E-2</v>
      </c>
      <c r="AA462" s="14">
        <f>IFERROR(VLOOKUP($A462,koronahun!$A:$AM,27,FALSE),"")</f>
        <v>1.0564820641913153</v>
      </c>
      <c r="AB462" s="14">
        <f>IFERROR(VLOOKUP($A462,koronahun!$A:$AM,28,FALSE),"")</f>
        <v>1.0527405607857447</v>
      </c>
      <c r="AC462" s="14">
        <f>IFERROR(VLOOKUP($A462,koronahun!$A:$AM,29,FALSE),"")</f>
        <v>4796.4285714285716</v>
      </c>
      <c r="AD462" s="14">
        <f>IFERROR(VLOOKUP($A462,koronahun!$A:$AM,30,FALSE),"")</f>
        <v>99.857142857142861</v>
      </c>
      <c r="AE462" s="14">
        <f>IFERROR(VLOOKUP($A462,koronahun!$A:$AM,31,FALSE),"")</f>
        <v>22092.428571428572</v>
      </c>
      <c r="AF462" s="13">
        <f>IFERROR(VLOOKUP($A462,koronahun!$A:$AM,32,FALSE),"")</f>
        <v>0.15746367699712405</v>
      </c>
      <c r="AG462">
        <f>IFERROR(VLOOKUP($A462,koronahun!$A:$AM,33,FALSE),"")</f>
        <v>0</v>
      </c>
      <c r="AH462">
        <f>IFERROR(VLOOKUP($A462,koronahun!$A:$AM,34,FALSE),"")</f>
        <v>0</v>
      </c>
      <c r="AI462">
        <f>IFERROR(VLOOKUP($A462,koronahun!$A:$AM,35,FALSE),"")</f>
        <v>0</v>
      </c>
      <c r="AJ462">
        <f>IFERROR(VLOOKUP($A462,koronahun!$A:$AM,36,FALSE),"")</f>
        <v>0</v>
      </c>
      <c r="AK462">
        <f>IFERROR(VLOOKUP($A462,koronahun!$A:$AM,37,FALSE),"")</f>
        <v>0</v>
      </c>
      <c r="AL462">
        <f>IFERROR(VLOOKUP($A462,koronahun!$A:$AM,38,FALSE),"")</f>
        <v>0</v>
      </c>
      <c r="AM462" s="14">
        <f>IFERROR(VLOOKUP($A462,koronahun!$A:$AM,39,FALSE),"")</f>
        <v>1384.8571428571429</v>
      </c>
      <c r="AN462" s="11">
        <f ca="1">IFERROR(__xludf.DUMMYFUNCTION("""COMPUTED_VALUE"""),44354)</f>
        <v>44354</v>
      </c>
      <c r="AO462" s="12">
        <f ca="1">IFERROR(VLOOKUP(AN462,koronahun!A:B,2,FALSE),"")</f>
        <v>806089</v>
      </c>
      <c r="AP462" s="11">
        <f t="shared" ca="1" si="2"/>
        <v>44354</v>
      </c>
      <c r="AQ462" s="11">
        <f ca="1">IFERROR(__xludf.DUMMYFUNCTION("""COMPUTED_VALUE"""),44354)</f>
        <v>44354</v>
      </c>
      <c r="AR462" s="11">
        <v>44157</v>
      </c>
      <c r="AS462" s="11">
        <f t="shared" si="3"/>
        <v>44157</v>
      </c>
      <c r="AT462" s="11">
        <f ca="1">IFERROR(__xludf.DUMMYFUNCTION("""COMPUTED_VALUE"""),44156)</f>
        <v>44156</v>
      </c>
    </row>
    <row r="463" spans="1:46" ht="13">
      <c r="A463" s="11">
        <v>44155</v>
      </c>
      <c r="B463">
        <f>IFERROR(VLOOKUP($A463,koronahun!$A:$AM,2,FALSE),"")</f>
        <v>165901</v>
      </c>
      <c r="C463">
        <f>IFERROR(VLOOKUP($A463,koronahun!$A:$AM,3,FALSE),"")</f>
        <v>4440</v>
      </c>
      <c r="D463">
        <f>IFERROR(VLOOKUP($A463,koronahun!$A:$AM,4,FALSE),"")</f>
        <v>3568</v>
      </c>
      <c r="E463">
        <f>IFERROR(VLOOKUP($A463,koronahun!$A:$AM,5,FALSE),"")</f>
        <v>38074</v>
      </c>
      <c r="F463">
        <f>IFERROR(VLOOKUP($A463,koronahun!$A:$AM,6,FALSE),"")</f>
        <v>1455868</v>
      </c>
      <c r="G463" s="12">
        <f>IFERROR(VLOOKUP($A463,koronahun!$A:$AM,7,FALSE),"")</f>
        <v>148557.95918367346</v>
      </c>
      <c r="H463">
        <f>IFERROR(VLOOKUP($A463,koronahun!$A:$AM,8,FALSE),"")</f>
        <v>0</v>
      </c>
      <c r="I463" s="13">
        <f>IFERROR(VLOOKUP($A463,koronahun!$A:$AM,9,FALSE),"")</f>
        <v>2.7498900663318077E-2</v>
      </c>
      <c r="J463" s="13">
        <f>IFERROR(VLOOKUP($A463,koronahun!$A:$AM,10,FALSE),"")</f>
        <v>0.11395332543884473</v>
      </c>
      <c r="K463" s="13">
        <f>IFERROR(VLOOKUP($A463,koronahun!$A:$AM,11,FALSE),"")</f>
        <v>1.5952458046291439E-2</v>
      </c>
      <c r="L463">
        <f>IFERROR(VLOOKUP($A463,koronahun!$A:$AM,12,FALSE),"")</f>
        <v>124259</v>
      </c>
      <c r="M463" s="13">
        <f>IFERROR(VLOOKUP($A463,koronahun!$A:$AM,13,FALSE),"")</f>
        <v>2.150680224953436E-2</v>
      </c>
      <c r="N463" s="13">
        <f>IFERROR(VLOOKUP($A463,koronahun!$A:$AM,14,FALSE),"")</f>
        <v>0.22949831526030584</v>
      </c>
      <c r="O463">
        <f>IFERROR(VLOOKUP($A463,koronahun!$A:$AM,15,FALSE),"")</f>
        <v>42241</v>
      </c>
      <c r="P463">
        <f>IFERROR(VLOOKUP($A463,koronahun!$A:$AM,16,FALSE),"")</f>
        <v>22860</v>
      </c>
      <c r="Q463" s="13">
        <f>IFERROR(VLOOKUP($A463,koronahun!$A:$AM,17,FALSE),"")</f>
        <v>0.1942257217847769</v>
      </c>
      <c r="R463">
        <f>IFERROR(VLOOKUP($A463,koronahun!$A:$AM,18,FALSE),"")</f>
        <v>96</v>
      </c>
      <c r="S463">
        <f>IFERROR(VLOOKUP($A463,koronahun!$A:$AM,19,FALSE),"")</f>
        <v>1729</v>
      </c>
      <c r="T463">
        <f>IFERROR(VLOOKUP($A463,koronahun!$A:$AM,20,FALSE),"")</f>
        <v>7512</v>
      </c>
      <c r="U463">
        <f>IFERROR(VLOOKUP($A463,koronahun!$A:$AM,21,FALSE),"")</f>
        <v>604</v>
      </c>
      <c r="V463" s="13">
        <f>IFERROR(VLOOKUP($A463,koronahun!$A:$AM,22,FALSE),"")</f>
        <v>0.74899488249015977</v>
      </c>
      <c r="W463">
        <f>IFERROR(VLOOKUP($A463,koronahun!$A:$AM,23,FALSE),"")</f>
        <v>-20</v>
      </c>
      <c r="X463">
        <f>IFERROR(VLOOKUP($A463,koronahun!$A:$AM,24,FALSE),"")</f>
        <v>24</v>
      </c>
      <c r="Y463" s="14">
        <f>IFERROR(VLOOKUP($A463,koronahun!$A:$AM,25,FALSE),"")</f>
        <v>6.0454373526263691E-2</v>
      </c>
      <c r="Z463" s="14">
        <f>IFERROR(VLOOKUP($A463,koronahun!$A:$AM,26,FALSE),"")</f>
        <v>8.0404685835995734E-2</v>
      </c>
      <c r="AA463" s="14">
        <f>IFERROR(VLOOKUP($A463,koronahun!$A:$AM,27,FALSE),"")</f>
        <v>1.0543053747442812</v>
      </c>
      <c r="AB463" s="14">
        <f>IFERROR(VLOOKUP($A463,koronahun!$A:$AM,28,FALSE),"")</f>
        <v>1.0550790172154489</v>
      </c>
      <c r="AC463" s="14">
        <f>IFERROR(VLOOKUP($A463,koronahun!$A:$AM,29,FALSE),"")</f>
        <v>4859.1428571428569</v>
      </c>
      <c r="AD463" s="14">
        <f>IFERROR(VLOOKUP($A463,koronahun!$A:$AM,30,FALSE),"")</f>
        <v>97.857142857142861</v>
      </c>
      <c r="AE463" s="14">
        <f>IFERROR(VLOOKUP($A463,koronahun!$A:$AM,31,FALSE),"")</f>
        <v>21283</v>
      </c>
      <c r="AF463" s="13">
        <f>IFERROR(VLOOKUP($A463,koronahun!$A:$AM,32,FALSE),"")</f>
        <v>0.16823640186877381</v>
      </c>
      <c r="AG463">
        <f>IFERROR(VLOOKUP($A463,koronahun!$A:$AM,33,FALSE),"")</f>
        <v>0</v>
      </c>
      <c r="AH463">
        <f>IFERROR(VLOOKUP($A463,koronahun!$A:$AM,34,FALSE),"")</f>
        <v>0</v>
      </c>
      <c r="AI463">
        <f>IFERROR(VLOOKUP($A463,koronahun!$A:$AM,35,FALSE),"")</f>
        <v>0</v>
      </c>
      <c r="AJ463">
        <f>IFERROR(VLOOKUP($A463,koronahun!$A:$AM,36,FALSE),"")</f>
        <v>0</v>
      </c>
      <c r="AK463">
        <f>IFERROR(VLOOKUP($A463,koronahun!$A:$AM,37,FALSE),"")</f>
        <v>0</v>
      </c>
      <c r="AL463">
        <f>IFERROR(VLOOKUP($A463,koronahun!$A:$AM,38,FALSE),"")</f>
        <v>0</v>
      </c>
      <c r="AM463" s="14">
        <f>IFERROR(VLOOKUP($A463,koronahun!$A:$AM,39,FALSE),"")</f>
        <v>1181.7142857142858</v>
      </c>
      <c r="AN463" s="11">
        <f ca="1">IFERROR(__xludf.DUMMYFUNCTION("""COMPUTED_VALUE"""),44355)</f>
        <v>44355</v>
      </c>
      <c r="AO463" s="12">
        <f ca="1">IFERROR(VLOOKUP(AN463,koronahun!A:B,2,FALSE),"")</f>
        <v>806206</v>
      </c>
      <c r="AP463" s="11">
        <f t="shared" ca="1" si="2"/>
        <v>44355</v>
      </c>
      <c r="AQ463" s="11">
        <f ca="1">IFERROR(__xludf.DUMMYFUNCTION("""COMPUTED_VALUE"""),44355)</f>
        <v>44355</v>
      </c>
      <c r="AR463" s="11">
        <v>44156</v>
      </c>
      <c r="AS463" s="11">
        <f t="shared" si="3"/>
        <v>44156</v>
      </c>
      <c r="AT463" s="11">
        <f ca="1">IFERROR(__xludf.DUMMYFUNCTION("""COMPUTED_VALUE"""),44155)</f>
        <v>44155</v>
      </c>
    </row>
    <row r="464" spans="1:46" ht="13">
      <c r="A464" s="11">
        <v>44154</v>
      </c>
      <c r="B464">
        <f>IFERROR(VLOOKUP($A464,koronahun!$A:$AM,2,FALSE),"")</f>
        <v>161461</v>
      </c>
      <c r="C464">
        <f>IFERROR(VLOOKUP($A464,koronahun!$A:$AM,3,FALSE),"")</f>
        <v>4512</v>
      </c>
      <c r="D464">
        <f>IFERROR(VLOOKUP($A464,koronahun!$A:$AM,4,FALSE),"")</f>
        <v>3472</v>
      </c>
      <c r="E464">
        <f>IFERROR(VLOOKUP($A464,koronahun!$A:$AM,5,FALSE),"")</f>
        <v>36345</v>
      </c>
      <c r="F464">
        <f>IFERROR(VLOOKUP($A464,koronahun!$A:$AM,6,FALSE),"")</f>
        <v>1433008</v>
      </c>
      <c r="G464" s="12">
        <f>IFERROR(VLOOKUP($A464,koronahun!$A:$AM,7,FALSE),"")</f>
        <v>146225.30612244896</v>
      </c>
      <c r="H464">
        <f>IFERROR(VLOOKUP($A464,koronahun!$A:$AM,8,FALSE),"")</f>
        <v>0</v>
      </c>
      <c r="I464" s="13">
        <f>IFERROR(VLOOKUP($A464,koronahun!$A:$AM,9,FALSE),"")</f>
        <v>2.8748192087875678E-2</v>
      </c>
      <c r="J464" s="13">
        <f>IFERROR(VLOOKUP($A464,koronahun!$A:$AM,10,FALSE),"")</f>
        <v>0.11267278340386097</v>
      </c>
      <c r="K464" s="13">
        <f>IFERROR(VLOOKUP($A464,koronahun!$A:$AM,11,FALSE),"")</f>
        <v>1.6569349434718238E-2</v>
      </c>
      <c r="L464">
        <f>IFERROR(VLOOKUP($A464,koronahun!$A:$AM,12,FALSE),"")</f>
        <v>121644</v>
      </c>
      <c r="M464" s="13">
        <f>IFERROR(VLOOKUP($A464,koronahun!$A:$AM,13,FALSE),"")</f>
        <v>2.1503644843027109E-2</v>
      </c>
      <c r="N464" s="13">
        <f>IFERROR(VLOOKUP($A464,koronahun!$A:$AM,14,FALSE),"")</f>
        <v>0.22510079833520169</v>
      </c>
      <c r="O464">
        <f>IFERROR(VLOOKUP($A464,koronahun!$A:$AM,15,FALSE),"")</f>
        <v>38610</v>
      </c>
      <c r="P464">
        <f>IFERROR(VLOOKUP($A464,koronahun!$A:$AM,16,FALSE),"")</f>
        <v>23357</v>
      </c>
      <c r="Q464" s="13">
        <f>IFERROR(VLOOKUP($A464,koronahun!$A:$AM,17,FALSE),"")</f>
        <v>0.19317549342809437</v>
      </c>
      <c r="R464">
        <f>IFERROR(VLOOKUP($A464,koronahun!$A:$AM,18,FALSE),"")</f>
        <v>92</v>
      </c>
      <c r="S464">
        <f>IFERROR(VLOOKUP($A464,koronahun!$A:$AM,19,FALSE),"")</f>
        <v>1499</v>
      </c>
      <c r="T464">
        <f>IFERROR(VLOOKUP($A464,koronahun!$A:$AM,20,FALSE),"")</f>
        <v>7532</v>
      </c>
      <c r="U464">
        <f>IFERROR(VLOOKUP($A464,koronahun!$A:$AM,21,FALSE),"")</f>
        <v>580</v>
      </c>
      <c r="V464" s="13">
        <f>IFERROR(VLOOKUP($A464,koronahun!$A:$AM,22,FALSE),"")</f>
        <v>0.75339555682177117</v>
      </c>
      <c r="W464">
        <f>IFERROR(VLOOKUP($A464,koronahun!$A:$AM,23,FALSE),"")</f>
        <v>33</v>
      </c>
      <c r="X464">
        <f>IFERROR(VLOOKUP($A464,koronahun!$A:$AM,24,FALSE),"")</f>
        <v>-1</v>
      </c>
      <c r="Y464" s="14">
        <f>IFERROR(VLOOKUP($A464,koronahun!$A:$AM,25,FALSE),"")</f>
        <v>6.1918384794975502E-2</v>
      </c>
      <c r="Z464" s="14">
        <f>IFERROR(VLOOKUP($A464,koronahun!$A:$AM,26,FALSE),"")</f>
        <v>7.700477960701009E-2</v>
      </c>
      <c r="AA464" s="14">
        <f>IFERROR(VLOOKUP($A464,koronahun!$A:$AM,27,FALSE),"")</f>
        <v>1.0877517726046306</v>
      </c>
      <c r="AB464" s="14">
        <f>IFERROR(VLOOKUP($A464,koronahun!$A:$AM,28,FALSE),"")</f>
        <v>1.0678290970584456</v>
      </c>
      <c r="AC464" s="14">
        <f>IFERROR(VLOOKUP($A464,koronahun!$A:$AM,29,FALSE),"")</f>
        <v>4953</v>
      </c>
      <c r="AD464" s="14">
        <f>IFERROR(VLOOKUP($A464,koronahun!$A:$AM,30,FALSE),"")</f>
        <v>98.285714285714292</v>
      </c>
      <c r="AE464" s="14">
        <f>IFERROR(VLOOKUP($A464,koronahun!$A:$AM,31,FALSE),"")</f>
        <v>21433.285714285714</v>
      </c>
      <c r="AF464" s="13">
        <f>IFERROR(VLOOKUP($A464,koronahun!$A:$AM,32,FALSE),"")</f>
        <v>0.17094080934309883</v>
      </c>
      <c r="AG464">
        <f>IFERROR(VLOOKUP($A464,koronahun!$A:$AM,33,FALSE),"")</f>
        <v>0</v>
      </c>
      <c r="AH464">
        <f>IFERROR(VLOOKUP($A464,koronahun!$A:$AM,34,FALSE),"")</f>
        <v>0</v>
      </c>
      <c r="AI464">
        <f>IFERROR(VLOOKUP($A464,koronahun!$A:$AM,35,FALSE),"")</f>
        <v>0</v>
      </c>
      <c r="AJ464">
        <f>IFERROR(VLOOKUP($A464,koronahun!$A:$AM,36,FALSE),"")</f>
        <v>0</v>
      </c>
      <c r="AK464">
        <f>IFERROR(VLOOKUP($A464,koronahun!$A:$AM,37,FALSE),"")</f>
        <v>0</v>
      </c>
      <c r="AL464">
        <f>IFERROR(VLOOKUP($A464,koronahun!$A:$AM,38,FALSE),"")</f>
        <v>0</v>
      </c>
      <c r="AM464" s="14">
        <f>IFERROR(VLOOKUP($A464,koronahun!$A:$AM,39,FALSE),"")</f>
        <v>1006.1428571428571</v>
      </c>
      <c r="AN464" s="11">
        <f ca="1">IFERROR(__xludf.DUMMYFUNCTION("""COMPUTED_VALUE"""),44356)</f>
        <v>44356</v>
      </c>
      <c r="AO464" s="12">
        <f ca="1">IFERROR(VLOOKUP(AN464,koronahun!A:B,2,FALSE),"")</f>
        <v>806385</v>
      </c>
      <c r="AP464" s="11">
        <f t="shared" ca="1" si="2"/>
        <v>44356</v>
      </c>
      <c r="AQ464" s="11">
        <f ca="1">IFERROR(__xludf.DUMMYFUNCTION("""COMPUTED_VALUE"""),44356)</f>
        <v>44356</v>
      </c>
      <c r="AR464" s="11">
        <v>44155</v>
      </c>
      <c r="AS464" s="11">
        <f t="shared" si="3"/>
        <v>44155</v>
      </c>
      <c r="AT464" s="11">
        <f ca="1">IFERROR(__xludf.DUMMYFUNCTION("""COMPUTED_VALUE"""),44154)</f>
        <v>44154</v>
      </c>
    </row>
    <row r="465" spans="1:46" ht="13">
      <c r="A465" s="11">
        <v>44153</v>
      </c>
      <c r="B465">
        <f>IFERROR(VLOOKUP($A465,koronahun!$A:$AM,2,FALSE),"")</f>
        <v>156949</v>
      </c>
      <c r="C465">
        <f>IFERROR(VLOOKUP($A465,koronahun!$A:$AM,3,FALSE),"")</f>
        <v>4290</v>
      </c>
      <c r="D465">
        <f>IFERROR(VLOOKUP($A465,koronahun!$A:$AM,4,FALSE),"")</f>
        <v>3380</v>
      </c>
      <c r="E465">
        <f>IFERROR(VLOOKUP($A465,koronahun!$A:$AM,5,FALSE),"")</f>
        <v>34846</v>
      </c>
      <c r="F465">
        <f>IFERROR(VLOOKUP($A465,koronahun!$A:$AM,6,FALSE),"")</f>
        <v>1409651</v>
      </c>
      <c r="G465" s="12">
        <f>IFERROR(VLOOKUP($A465,koronahun!$A:$AM,7,FALSE),"")</f>
        <v>143841.93877551021</v>
      </c>
      <c r="H465">
        <f>IFERROR(VLOOKUP($A465,koronahun!$A:$AM,8,FALSE),"")</f>
        <v>0</v>
      </c>
      <c r="I465" s="13">
        <f>IFERROR(VLOOKUP($A465,koronahun!$A:$AM,9,FALSE),"")</f>
        <v>2.8101847909392831E-2</v>
      </c>
      <c r="J465" s="13">
        <f>IFERROR(VLOOKUP($A465,koronahun!$A:$AM,10,FALSE),"")</f>
        <v>0.11133890587102765</v>
      </c>
      <c r="K465" s="13">
        <f>IFERROR(VLOOKUP($A465,koronahun!$A:$AM,11,FALSE),"")</f>
        <v>1.5502128039696514E-2</v>
      </c>
      <c r="L465">
        <f>IFERROR(VLOOKUP($A465,koronahun!$A:$AM,12,FALSE),"")</f>
        <v>118723</v>
      </c>
      <c r="M465" s="13">
        <f>IFERROR(VLOOKUP($A465,koronahun!$A:$AM,13,FALSE),"")</f>
        <v>2.1535658080013252E-2</v>
      </c>
      <c r="N465" s="13">
        <f>IFERROR(VLOOKUP($A465,koronahun!$A:$AM,14,FALSE),"")</f>
        <v>0.22202116611128456</v>
      </c>
      <c r="O465">
        <f>IFERROR(VLOOKUP($A465,koronahun!$A:$AM,15,FALSE),"")</f>
        <v>35042</v>
      </c>
      <c r="P465">
        <f>IFERROR(VLOOKUP($A465,koronahun!$A:$AM,16,FALSE),"")</f>
        <v>21519</v>
      </c>
      <c r="Q465" s="13">
        <f>IFERROR(VLOOKUP($A465,koronahun!$A:$AM,17,FALSE),"")</f>
        <v>0.19935870625958454</v>
      </c>
      <c r="R465">
        <f>IFERROR(VLOOKUP($A465,koronahun!$A:$AM,18,FALSE),"")</f>
        <v>99</v>
      </c>
      <c r="S465">
        <f>IFERROR(VLOOKUP($A465,koronahun!$A:$AM,19,FALSE),"")</f>
        <v>661</v>
      </c>
      <c r="T465">
        <f>IFERROR(VLOOKUP($A465,koronahun!$A:$AM,20,FALSE),"")</f>
        <v>7499</v>
      </c>
      <c r="U465">
        <f>IFERROR(VLOOKUP($A465,koronahun!$A:$AM,21,FALSE),"")</f>
        <v>581</v>
      </c>
      <c r="V465" s="13">
        <f>IFERROR(VLOOKUP($A465,koronahun!$A:$AM,22,FALSE),"")</f>
        <v>0.75644317580870224</v>
      </c>
      <c r="W465">
        <f>IFERROR(VLOOKUP($A465,koronahun!$A:$AM,23,FALSE),"")</f>
        <v>22</v>
      </c>
      <c r="X465">
        <f>IFERROR(VLOOKUP($A465,koronahun!$A:$AM,24,FALSE),"")</f>
        <v>5</v>
      </c>
      <c r="Y465" s="14">
        <f>IFERROR(VLOOKUP($A465,koronahun!$A:$AM,25,FALSE),"")</f>
        <v>6.3163835145675223E-2</v>
      </c>
      <c r="Z465" s="14">
        <f>IFERROR(VLOOKUP($A465,koronahun!$A:$AM,26,FALSE),"")</f>
        <v>7.7476996932924397E-2</v>
      </c>
      <c r="AA465" s="14">
        <f>IFERROR(VLOOKUP($A465,koronahun!$A:$AM,27,FALSE),"")</f>
        <v>1.069364705882353</v>
      </c>
      <c r="AB465" s="14">
        <f>IFERROR(VLOOKUP($A465,koronahun!$A:$AM,28,FALSE),"")</f>
        <v>1.0824098032315259</v>
      </c>
      <c r="AC465" s="14">
        <f>IFERROR(VLOOKUP($A465,koronahun!$A:$AM,29,FALSE),"")</f>
        <v>4869.4285714285716</v>
      </c>
      <c r="AD465" s="14">
        <f>IFERROR(VLOOKUP($A465,koronahun!$A:$AM,30,FALSE),"")</f>
        <v>97.571428571428569</v>
      </c>
      <c r="AE465" s="14">
        <f>IFERROR(VLOOKUP($A465,koronahun!$A:$AM,31,FALSE),"")</f>
        <v>21456.714285714286</v>
      </c>
      <c r="AF465" s="13">
        <f>IFERROR(VLOOKUP($A465,koronahun!$A:$AM,32,FALSE),"")</f>
        <v>0.16719533702400274</v>
      </c>
      <c r="AG465">
        <f>IFERROR(VLOOKUP($A465,koronahun!$A:$AM,33,FALSE),"")</f>
        <v>0</v>
      </c>
      <c r="AH465">
        <f>IFERROR(VLOOKUP($A465,koronahun!$A:$AM,34,FALSE),"")</f>
        <v>0</v>
      </c>
      <c r="AI465">
        <f>IFERROR(VLOOKUP($A465,koronahun!$A:$AM,35,FALSE),"")</f>
        <v>0</v>
      </c>
      <c r="AJ465">
        <f>IFERROR(VLOOKUP($A465,koronahun!$A:$AM,36,FALSE),"")</f>
        <v>0</v>
      </c>
      <c r="AK465">
        <f>IFERROR(VLOOKUP($A465,koronahun!$A:$AM,37,FALSE),"")</f>
        <v>0</v>
      </c>
      <c r="AL465">
        <f>IFERROR(VLOOKUP($A465,koronahun!$A:$AM,38,FALSE),"")</f>
        <v>0</v>
      </c>
      <c r="AM465" s="14">
        <f>IFERROR(VLOOKUP($A465,koronahun!$A:$AM,39,FALSE),"")</f>
        <v>862.57142857142856</v>
      </c>
      <c r="AN465" s="11">
        <f ca="1">IFERROR(__xludf.DUMMYFUNCTION("""COMPUTED_VALUE"""),44357)</f>
        <v>44357</v>
      </c>
      <c r="AO465" s="12">
        <f ca="1">IFERROR(VLOOKUP(AN465,koronahun!A:B,2,FALSE),"")</f>
        <v>806591</v>
      </c>
      <c r="AP465" s="11">
        <f t="shared" ca="1" si="2"/>
        <v>44357</v>
      </c>
      <c r="AQ465" s="11">
        <f ca="1">IFERROR(__xludf.DUMMYFUNCTION("""COMPUTED_VALUE"""),44357)</f>
        <v>44357</v>
      </c>
      <c r="AR465" s="11">
        <v>44154</v>
      </c>
      <c r="AS465" s="11">
        <f t="shared" si="3"/>
        <v>44154</v>
      </c>
      <c r="AT465" s="11">
        <f ca="1">IFERROR(__xludf.DUMMYFUNCTION("""COMPUTED_VALUE"""),44153)</f>
        <v>44153</v>
      </c>
    </row>
    <row r="466" spans="1:46" ht="13">
      <c r="A466" s="11">
        <v>44152</v>
      </c>
      <c r="B466">
        <f>IFERROR(VLOOKUP($A466,koronahun!$A:$AM,2,FALSE),"")</f>
        <v>152659</v>
      </c>
      <c r="C466">
        <f>IFERROR(VLOOKUP($A466,koronahun!$A:$AM,3,FALSE),"")</f>
        <v>5203</v>
      </c>
      <c r="D466">
        <f>IFERROR(VLOOKUP($A466,koronahun!$A:$AM,4,FALSE),"")</f>
        <v>3281</v>
      </c>
      <c r="E466">
        <f>IFERROR(VLOOKUP($A466,koronahun!$A:$AM,5,FALSE),"")</f>
        <v>34185</v>
      </c>
      <c r="F466">
        <f>IFERROR(VLOOKUP($A466,koronahun!$A:$AM,6,FALSE),"")</f>
        <v>1388132</v>
      </c>
      <c r="G466" s="12">
        <f>IFERROR(VLOOKUP($A466,koronahun!$A:$AM,7,FALSE),"")</f>
        <v>141646.12244897959</v>
      </c>
      <c r="H466">
        <f>IFERROR(VLOOKUP($A466,koronahun!$A:$AM,8,FALSE),"")</f>
        <v>0</v>
      </c>
      <c r="I466" s="13">
        <f>IFERROR(VLOOKUP($A466,koronahun!$A:$AM,9,FALSE),"")</f>
        <v>3.5285101996527776E-2</v>
      </c>
      <c r="J466" s="13">
        <f>IFERROR(VLOOKUP($A466,koronahun!$A:$AM,10,FALSE),"")</f>
        <v>0.10997441165537572</v>
      </c>
      <c r="K466" s="13">
        <f>IFERROR(VLOOKUP($A466,koronahun!$A:$AM,11,FALSE),"")</f>
        <v>2.0055259986478939E-2</v>
      </c>
      <c r="L466">
        <f>IFERROR(VLOOKUP($A466,koronahun!$A:$AM,12,FALSE),"")</f>
        <v>115193</v>
      </c>
      <c r="M466" s="13">
        <f>IFERROR(VLOOKUP($A466,koronahun!$A:$AM,13,FALSE),"")</f>
        <v>2.1492345685482021E-2</v>
      </c>
      <c r="N466" s="13">
        <f>IFERROR(VLOOKUP($A466,koronahun!$A:$AM,14,FALSE),"")</f>
        <v>0.22393045938988201</v>
      </c>
      <c r="O466">
        <f>IFERROR(VLOOKUP($A466,koronahun!$A:$AM,15,FALSE),"")</f>
        <v>35042</v>
      </c>
      <c r="P466">
        <f>IFERROR(VLOOKUP($A466,koronahun!$A:$AM,16,FALSE),"")</f>
        <v>27292</v>
      </c>
      <c r="Q466" s="13">
        <f>IFERROR(VLOOKUP($A466,koronahun!$A:$AM,17,FALSE),"")</f>
        <v>0.19064194635790707</v>
      </c>
      <c r="R466">
        <f>IFERROR(VLOOKUP($A466,koronahun!$A:$AM,18,FALSE),"")</f>
        <v>91</v>
      </c>
      <c r="S466">
        <f>IFERROR(VLOOKUP($A466,koronahun!$A:$AM,19,FALSE),"")</f>
        <v>175</v>
      </c>
      <c r="T466">
        <f>IFERROR(VLOOKUP($A466,koronahun!$A:$AM,20,FALSE),"")</f>
        <v>7477</v>
      </c>
      <c r="U466">
        <f>IFERROR(VLOOKUP($A466,koronahun!$A:$AM,21,FALSE),"")</f>
        <v>576</v>
      </c>
      <c r="V466" s="13">
        <f>IFERROR(VLOOKUP($A466,koronahun!$A:$AM,22,FALSE),"")</f>
        <v>0.75457719492463593</v>
      </c>
      <c r="W466">
        <f>IFERROR(VLOOKUP($A466,koronahun!$A:$AM,23,FALSE),"")</f>
        <v>241</v>
      </c>
      <c r="X466">
        <f>IFERROR(VLOOKUP($A466,koronahun!$A:$AM,24,FALSE),"")</f>
        <v>-6</v>
      </c>
      <c r="Y466" s="14">
        <f>IFERROR(VLOOKUP($A466,koronahun!$A:$AM,25,FALSE),"")</f>
        <v>6.4908457979217488E-2</v>
      </c>
      <c r="Z466" s="14">
        <f>IFERROR(VLOOKUP($A466,koronahun!$A:$AM,26,FALSE),"")</f>
        <v>7.7036244483081454E-2</v>
      </c>
      <c r="AA466" s="14">
        <f>IFERROR(VLOOKUP($A466,koronahun!$A:$AM,27,FALSE),"")</f>
        <v>1.0495194251765219</v>
      </c>
      <c r="AB466" s="14">
        <f>IFERROR(VLOOKUP($A466,koronahun!$A:$AM,28,FALSE),"")</f>
        <v>1.1113864391702759</v>
      </c>
      <c r="AC466" s="14">
        <f>IFERROR(VLOOKUP($A466,koronahun!$A:$AM,29,FALSE),"")</f>
        <v>4820.1428571428569</v>
      </c>
      <c r="AD466" s="14">
        <f>IFERROR(VLOOKUP($A466,koronahun!$A:$AM,30,FALSE),"")</f>
        <v>97.857142857142861</v>
      </c>
      <c r="AE466" s="14">
        <f>IFERROR(VLOOKUP($A466,koronahun!$A:$AM,31,FALSE),"")</f>
        <v>21380.714285714286</v>
      </c>
      <c r="AF466" s="13">
        <f>IFERROR(VLOOKUP($A466,koronahun!$A:$AM,32,FALSE),"")</f>
        <v>0.16556888004539763</v>
      </c>
      <c r="AG466">
        <f>IFERROR(VLOOKUP($A466,koronahun!$A:$AM,33,FALSE),"")</f>
        <v>0</v>
      </c>
      <c r="AH466">
        <f>IFERROR(VLOOKUP($A466,koronahun!$A:$AM,34,FALSE),"")</f>
        <v>0</v>
      </c>
      <c r="AI466">
        <f>IFERROR(VLOOKUP($A466,koronahun!$A:$AM,35,FALSE),"")</f>
        <v>0</v>
      </c>
      <c r="AJ466">
        <f>IFERROR(VLOOKUP($A466,koronahun!$A:$AM,36,FALSE),"")</f>
        <v>0</v>
      </c>
      <c r="AK466">
        <f>IFERROR(VLOOKUP($A466,koronahun!$A:$AM,37,FALSE),"")</f>
        <v>0</v>
      </c>
      <c r="AL466">
        <f>IFERROR(VLOOKUP($A466,koronahun!$A:$AM,38,FALSE),"")</f>
        <v>0</v>
      </c>
      <c r="AM466" s="14">
        <f>IFERROR(VLOOKUP($A466,koronahun!$A:$AM,39,FALSE),"")</f>
        <v>942.85714285714289</v>
      </c>
      <c r="AN466" s="11">
        <f ca="1">IFERROR(__xludf.DUMMYFUNCTION("""COMPUTED_VALUE"""),44358)</f>
        <v>44358</v>
      </c>
      <c r="AO466" s="12">
        <f ca="1">IFERROR(VLOOKUP(AN466,koronahun!A:B,2,FALSE),"")</f>
        <v>806790</v>
      </c>
      <c r="AP466" s="11">
        <f t="shared" ca="1" si="2"/>
        <v>44358</v>
      </c>
      <c r="AQ466" s="11">
        <f ca="1">IFERROR(__xludf.DUMMYFUNCTION("""COMPUTED_VALUE"""),44358)</f>
        <v>44358</v>
      </c>
      <c r="AR466" s="11">
        <v>44153</v>
      </c>
      <c r="AS466" s="11">
        <f t="shared" si="3"/>
        <v>44153</v>
      </c>
      <c r="AT466" s="11">
        <f ca="1">IFERROR(__xludf.DUMMYFUNCTION("""COMPUTED_VALUE"""),44152)</f>
        <v>44152</v>
      </c>
    </row>
    <row r="467" spans="1:46" ht="13">
      <c r="A467" s="11">
        <v>44151</v>
      </c>
      <c r="B467">
        <f>IFERROR(VLOOKUP($A467,koronahun!$A:$AM,2,FALSE),"")</f>
        <v>147456</v>
      </c>
      <c r="C467">
        <f>IFERROR(VLOOKUP($A467,koronahun!$A:$AM,3,FALSE),"")</f>
        <v>6495</v>
      </c>
      <c r="D467">
        <f>IFERROR(VLOOKUP($A467,koronahun!$A:$AM,4,FALSE),"")</f>
        <v>3190</v>
      </c>
      <c r="E467">
        <f>IFERROR(VLOOKUP($A467,koronahun!$A:$AM,5,FALSE),"")</f>
        <v>34010</v>
      </c>
      <c r="F467">
        <f>IFERROR(VLOOKUP($A467,koronahun!$A:$AM,6,FALSE),"")</f>
        <v>1360840</v>
      </c>
      <c r="G467" s="12">
        <f>IFERROR(VLOOKUP($A467,koronahun!$A:$AM,7,FALSE),"")</f>
        <v>138861.22448979592</v>
      </c>
      <c r="H467">
        <f>IFERROR(VLOOKUP($A467,koronahun!$A:$AM,8,FALSE),"")</f>
        <v>0</v>
      </c>
      <c r="I467" s="13">
        <f>IFERROR(VLOOKUP($A467,koronahun!$A:$AM,9,FALSE),"")</f>
        <v>4.6076574371634704E-2</v>
      </c>
      <c r="J467" s="13">
        <f>IFERROR(VLOOKUP($A467,koronahun!$A:$AM,10,FALSE),"")</f>
        <v>0.10835660327444814</v>
      </c>
      <c r="K467" s="13">
        <f>IFERROR(VLOOKUP($A467,koronahun!$A:$AM,11,FALSE),"")</f>
        <v>4.5012260637080715E-3</v>
      </c>
      <c r="L467">
        <f>IFERROR(VLOOKUP($A467,koronahun!$A:$AM,12,FALSE),"")</f>
        <v>110256</v>
      </c>
      <c r="M467" s="13">
        <f>IFERROR(VLOOKUP($A467,koronahun!$A:$AM,13,FALSE),"")</f>
        <v>2.1633572048611112E-2</v>
      </c>
      <c r="N467" s="13">
        <f>IFERROR(VLOOKUP($A467,koronahun!$A:$AM,14,FALSE),"")</f>
        <v>0.23064507378472221</v>
      </c>
      <c r="O467">
        <f>IFERROR(VLOOKUP($A467,koronahun!$A:$AM,15,FALSE),"")</f>
        <v>35090</v>
      </c>
      <c r="P467">
        <f>IFERROR(VLOOKUP($A467,koronahun!$A:$AM,16,FALSE),"")</f>
        <v>6098</v>
      </c>
      <c r="Q467" s="13">
        <f>IFERROR(VLOOKUP($A467,koronahun!$A:$AM,17,FALSE),"")</f>
        <v>0</v>
      </c>
      <c r="R467">
        <f>IFERROR(VLOOKUP($A467,koronahun!$A:$AM,18,FALSE),"")</f>
        <v>93</v>
      </c>
      <c r="S467">
        <f>IFERROR(VLOOKUP($A467,koronahun!$A:$AM,19,FALSE),"")</f>
        <v>2411</v>
      </c>
      <c r="T467">
        <f>IFERROR(VLOOKUP($A467,koronahun!$A:$AM,20,FALSE),"")</f>
        <v>7236</v>
      </c>
      <c r="U467">
        <f>IFERROR(VLOOKUP($A467,koronahun!$A:$AM,21,FALSE),"")</f>
        <v>582</v>
      </c>
      <c r="V467" s="13">
        <f>IFERROR(VLOOKUP($A467,koronahun!$A:$AM,22,FALSE),"")</f>
        <v>0.74772135416666663</v>
      </c>
      <c r="W467">
        <f>IFERROR(VLOOKUP($A467,koronahun!$A:$AM,23,FALSE),"")</f>
        <v>223</v>
      </c>
      <c r="X467">
        <f>IFERROR(VLOOKUP($A467,koronahun!$A:$AM,24,FALSE),"")</f>
        <v>13</v>
      </c>
      <c r="Y467" s="14">
        <f>IFERROR(VLOOKUP($A467,koronahun!$A:$AM,25,FALSE),"")</f>
        <v>6.5629081410535486E-2</v>
      </c>
      <c r="Z467" s="14">
        <f>IFERROR(VLOOKUP($A467,koronahun!$A:$AM,26,FALSE),"")</f>
        <v>8.0431177446102814E-2</v>
      </c>
      <c r="AA467" s="14">
        <f>IFERROR(VLOOKUP($A467,koronahun!$A:$AM,27,FALSE),"")</f>
        <v>1.0212513282080129</v>
      </c>
      <c r="AB467" s="14">
        <f>IFERROR(VLOOKUP($A467,koronahun!$A:$AM,28,FALSE),"")</f>
        <v>1.1600417786556181</v>
      </c>
      <c r="AC467" s="14">
        <f>IFERROR(VLOOKUP($A467,koronahun!$A:$AM,29,FALSE),"")</f>
        <v>4668.2857142857147</v>
      </c>
      <c r="AD467" s="14">
        <f>IFERROR(VLOOKUP($A467,koronahun!$A:$AM,30,FALSE),"")</f>
        <v>99.571428571428569</v>
      </c>
      <c r="AE467" s="14">
        <f>IFERROR(VLOOKUP($A467,koronahun!$A:$AM,31,FALSE),"")</f>
        <v>19348.714285714286</v>
      </c>
      <c r="AF467" s="13">
        <f>IFERROR(VLOOKUP($A467,koronahun!$A:$AM,32,FALSE),"")</f>
        <v>0.18359208881048211</v>
      </c>
      <c r="AG467">
        <f>IFERROR(VLOOKUP($A467,koronahun!$A:$AM,33,FALSE),"")</f>
        <v>0</v>
      </c>
      <c r="AH467">
        <f>IFERROR(VLOOKUP($A467,koronahun!$A:$AM,34,FALSE),"")</f>
        <v>0</v>
      </c>
      <c r="AI467">
        <f>IFERROR(VLOOKUP($A467,koronahun!$A:$AM,35,FALSE),"")</f>
        <v>0</v>
      </c>
      <c r="AJ467">
        <f>IFERROR(VLOOKUP($A467,koronahun!$A:$AM,36,FALSE),"")</f>
        <v>0</v>
      </c>
      <c r="AK467">
        <f>IFERROR(VLOOKUP($A467,koronahun!$A:$AM,37,FALSE),"")</f>
        <v>0</v>
      </c>
      <c r="AL467">
        <f>IFERROR(VLOOKUP($A467,koronahun!$A:$AM,38,FALSE),"")</f>
        <v>0</v>
      </c>
      <c r="AM467" s="14">
        <f>IFERROR(VLOOKUP($A467,koronahun!$A:$AM,39,FALSE),"")</f>
        <v>1121.2857142857142</v>
      </c>
      <c r="AN467" s="11">
        <f ca="1">IFERROR(__xludf.DUMMYFUNCTION("""COMPUTED_VALUE"""),44359)</f>
        <v>44359</v>
      </c>
      <c r="AO467" s="12">
        <f ca="1">IFERROR(VLOOKUP(AN467,koronahun!A:B,2,FALSE),"")</f>
        <v>0</v>
      </c>
      <c r="AP467" s="11">
        <f t="shared" ca="1" si="2"/>
        <v>44359</v>
      </c>
      <c r="AQ467" s="11" t="str">
        <f ca="1">IFERROR(__xludf.DUMMYFUNCTION("""COMPUTED_VALUE"""),"")</f>
        <v/>
      </c>
      <c r="AR467" s="11">
        <v>44152</v>
      </c>
      <c r="AS467" s="11">
        <f t="shared" si="3"/>
        <v>44152</v>
      </c>
      <c r="AT467" s="11">
        <f ca="1">IFERROR(__xludf.DUMMYFUNCTION("""COMPUTED_VALUE"""),44151)</f>
        <v>44151</v>
      </c>
    </row>
    <row r="468" spans="1:46" ht="13">
      <c r="A468" s="11">
        <v>44150</v>
      </c>
      <c r="B468">
        <f>IFERROR(VLOOKUP($A468,koronahun!$A:$AM,2,FALSE),"")</f>
        <v>140961</v>
      </c>
      <c r="C468">
        <f>IFERROR(VLOOKUP($A468,koronahun!$A:$AM,3,FALSE),"")</f>
        <v>4238</v>
      </c>
      <c r="D468">
        <f>IFERROR(VLOOKUP($A468,koronahun!$A:$AM,4,FALSE),"")</f>
        <v>3097</v>
      </c>
      <c r="E468">
        <f>IFERROR(VLOOKUP($A468,koronahun!$A:$AM,5,FALSE),"")</f>
        <v>31599</v>
      </c>
      <c r="F468">
        <f>IFERROR(VLOOKUP($A468,koronahun!$A:$AM,6,FALSE),"")</f>
        <v>1354742</v>
      </c>
      <c r="G468" s="12">
        <f>IFERROR(VLOOKUP($A468,koronahun!$A:$AM,7,FALSE),"")</f>
        <v>138238.97959183672</v>
      </c>
      <c r="H468">
        <f>IFERROR(VLOOKUP($A468,koronahun!$A:$AM,8,FALSE),"")</f>
        <v>0</v>
      </c>
      <c r="I468" s="13">
        <f>IFERROR(VLOOKUP($A468,koronahun!$A:$AM,9,FALSE),"")</f>
        <v>3.0996979293900807E-2</v>
      </c>
      <c r="J468" s="13">
        <f>IFERROR(VLOOKUP($A468,koronahun!$A:$AM,10,FALSE),"")</f>
        <v>0.10405007005023835</v>
      </c>
      <c r="K468" s="13">
        <f>IFERROR(VLOOKUP($A468,koronahun!$A:$AM,11,FALSE),"")</f>
        <v>2.1654913512319129E-2</v>
      </c>
      <c r="L468">
        <f>IFERROR(VLOOKUP($A468,koronahun!$A:$AM,12,FALSE),"")</f>
        <v>106265</v>
      </c>
      <c r="M468" s="13">
        <f>IFERROR(VLOOKUP($A468,koronahun!$A:$AM,13,FALSE),"")</f>
        <v>2.1970615985981937E-2</v>
      </c>
      <c r="N468" s="13">
        <f>IFERROR(VLOOKUP($A468,koronahun!$A:$AM,14,FALSE),"")</f>
        <v>0.22416838700065975</v>
      </c>
      <c r="O468">
        <f>IFERROR(VLOOKUP($A468,koronahun!$A:$AM,15,FALSE),"")</f>
        <v>36411</v>
      </c>
      <c r="P468">
        <f>IFERROR(VLOOKUP($A468,koronahun!$A:$AM,16,FALSE),"")</f>
        <v>28715</v>
      </c>
      <c r="Q468" s="13">
        <f>IFERROR(VLOOKUP($A468,koronahun!$A:$AM,17,FALSE),"")</f>
        <v>0.14758836844854606</v>
      </c>
      <c r="R468">
        <f>IFERROR(VLOOKUP($A468,koronahun!$A:$AM,18,FALSE),"")</f>
        <v>107</v>
      </c>
      <c r="S468">
        <f>IFERROR(VLOOKUP($A468,koronahun!$A:$AM,19,FALSE),"")</f>
        <v>473</v>
      </c>
      <c r="T468">
        <f>IFERROR(VLOOKUP($A468,koronahun!$A:$AM,20,FALSE),"")</f>
        <v>7013</v>
      </c>
      <c r="U468">
        <f>IFERROR(VLOOKUP($A468,koronahun!$A:$AM,21,FALSE),"")</f>
        <v>569</v>
      </c>
      <c r="V468" s="13">
        <f>IFERROR(VLOOKUP($A468,koronahun!$A:$AM,22,FALSE),"")</f>
        <v>0.75386099701335829</v>
      </c>
      <c r="W468">
        <f>IFERROR(VLOOKUP($A468,koronahun!$A:$AM,23,FALSE),"")</f>
        <v>-16</v>
      </c>
      <c r="X468">
        <f>IFERROR(VLOOKUP($A468,koronahun!$A:$AM,24,FALSE),"")</f>
        <v>38</v>
      </c>
      <c r="Y468" s="14">
        <f>IFERROR(VLOOKUP($A468,koronahun!$A:$AM,25,FALSE),"")</f>
        <v>6.5995388886274875E-2</v>
      </c>
      <c r="Z468" s="14">
        <f>IFERROR(VLOOKUP($A468,koronahun!$A:$AM,26,FALSE),"")</f>
        <v>8.113503493512049E-2</v>
      </c>
      <c r="AA468" s="14">
        <f>IFERROR(VLOOKUP($A468,koronahun!$A:$AM,27,FALSE),"")</f>
        <v>1.0305092546930992</v>
      </c>
      <c r="AB468" s="14">
        <f>IFERROR(VLOOKUP($A468,koronahun!$A:$AM,28,FALSE),"")</f>
        <v>1.229595913610813</v>
      </c>
      <c r="AC468" s="14">
        <f>IFERROR(VLOOKUP($A468,koronahun!$A:$AM,29,FALSE),"")</f>
        <v>4477.8571428571431</v>
      </c>
      <c r="AD468" s="14">
        <f>IFERROR(VLOOKUP($A468,koronahun!$A:$AM,30,FALSE),"")</f>
        <v>94.142857142857139</v>
      </c>
      <c r="AE468" s="14">
        <f>IFERROR(VLOOKUP($A468,koronahun!$A:$AM,31,FALSE),"")</f>
        <v>20798.714285714286</v>
      </c>
      <c r="AF468" s="13">
        <f>IFERROR(VLOOKUP($A468,koronahun!$A:$AM,32,FALSE),"")</f>
        <v>0.22897789453602199</v>
      </c>
      <c r="AG468">
        <f>IFERROR(VLOOKUP($A468,koronahun!$A:$AM,33,FALSE),"")</f>
        <v>0</v>
      </c>
      <c r="AH468">
        <f>IFERROR(VLOOKUP($A468,koronahun!$A:$AM,34,FALSE),"")</f>
        <v>0</v>
      </c>
      <c r="AI468">
        <f>IFERROR(VLOOKUP($A468,koronahun!$A:$AM,35,FALSE),"")</f>
        <v>0</v>
      </c>
      <c r="AJ468">
        <f>IFERROR(VLOOKUP($A468,koronahun!$A:$AM,36,FALSE),"")</f>
        <v>0</v>
      </c>
      <c r="AK468">
        <f>IFERROR(VLOOKUP($A468,koronahun!$A:$AM,37,FALSE),"")</f>
        <v>0</v>
      </c>
      <c r="AL468">
        <f>IFERROR(VLOOKUP($A468,koronahun!$A:$AM,38,FALSE),"")</f>
        <v>0</v>
      </c>
      <c r="AM468" s="14">
        <f>IFERROR(VLOOKUP($A468,koronahun!$A:$AM,39,FALSE),"")</f>
        <v>932.71428571428567</v>
      </c>
      <c r="AN468" s="11">
        <f ca="1">IFERROR(__xludf.DUMMYFUNCTION("""COMPUTED_VALUE"""),44360)</f>
        <v>44360</v>
      </c>
      <c r="AO468" s="12">
        <f ca="1">IFERROR(VLOOKUP(AN468,koronahun!A:B,2,FALSE),"")</f>
        <v>0</v>
      </c>
      <c r="AP468" s="11">
        <f t="shared" ca="1" si="2"/>
        <v>44360</v>
      </c>
      <c r="AQ468" s="11">
        <f ca="1">IFERROR(__xludf.DUMMYFUNCTION("""COMPUTED_VALUE"""),44361)</f>
        <v>44361</v>
      </c>
      <c r="AR468" s="11">
        <v>44151</v>
      </c>
      <c r="AS468" s="11">
        <f t="shared" si="3"/>
        <v>44151</v>
      </c>
      <c r="AT468" s="11">
        <f ca="1">IFERROR(__xludf.DUMMYFUNCTION("""COMPUTED_VALUE"""),44150)</f>
        <v>44150</v>
      </c>
    </row>
    <row r="469" spans="1:46" ht="13">
      <c r="A469" s="11">
        <v>44149</v>
      </c>
      <c r="B469">
        <f>IFERROR(VLOOKUP($A469,koronahun!$A:$AM,2,FALSE),"")</f>
        <v>136723</v>
      </c>
      <c r="C469">
        <f>IFERROR(VLOOKUP($A469,koronahun!$A:$AM,3,FALSE),"")</f>
        <v>4836</v>
      </c>
      <c r="D469">
        <f>IFERROR(VLOOKUP($A469,koronahun!$A:$AM,4,FALSE),"")</f>
        <v>2990</v>
      </c>
      <c r="E469">
        <f>IFERROR(VLOOKUP($A469,koronahun!$A:$AM,5,FALSE),"")</f>
        <v>31126</v>
      </c>
      <c r="F469">
        <f>IFERROR(VLOOKUP($A469,koronahun!$A:$AM,6,FALSE),"")</f>
        <v>1326027</v>
      </c>
      <c r="G469" s="12">
        <f>IFERROR(VLOOKUP($A469,koronahun!$A:$AM,7,FALSE),"")</f>
        <v>135308.87755102038</v>
      </c>
      <c r="H469">
        <f>IFERROR(VLOOKUP($A469,koronahun!$A:$AM,8,FALSE),"")</f>
        <v>0</v>
      </c>
      <c r="I469" s="13">
        <f>IFERROR(VLOOKUP($A469,koronahun!$A:$AM,9,FALSE),"")</f>
        <v>3.6667753455609728E-2</v>
      </c>
      <c r="J469" s="13">
        <f>IFERROR(VLOOKUP($A469,koronahun!$A:$AM,10,FALSE),"")</f>
        <v>0.10310725196394946</v>
      </c>
      <c r="K469" s="13">
        <f>IFERROR(VLOOKUP($A469,koronahun!$A:$AM,11,FALSE),"")</f>
        <v>1.4645489625346338E-2</v>
      </c>
      <c r="L469">
        <f>IFERROR(VLOOKUP($A469,koronahun!$A:$AM,12,FALSE),"")</f>
        <v>102607</v>
      </c>
      <c r="M469" s="13">
        <f>IFERROR(VLOOKUP($A469,koronahun!$A:$AM,13,FALSE),"")</f>
        <v>2.1869034471157012E-2</v>
      </c>
      <c r="N469" s="13">
        <f>IFERROR(VLOOKUP($A469,koronahun!$A:$AM,14,FALSE),"")</f>
        <v>0.22765738025057963</v>
      </c>
      <c r="O469">
        <f>IFERROR(VLOOKUP($A469,koronahun!$A:$AM,15,FALSE),"")</f>
        <v>36166</v>
      </c>
      <c r="P469">
        <f>IFERROR(VLOOKUP($A469,koronahun!$A:$AM,16,FALSE),"")</f>
        <v>19140</v>
      </c>
      <c r="Q469" s="13">
        <f>IFERROR(VLOOKUP($A469,koronahun!$A:$AM,17,FALSE),"")</f>
        <v>0.25266457680250781</v>
      </c>
      <c r="R469">
        <f>IFERROR(VLOOKUP($A469,koronahun!$A:$AM,18,FALSE),"")</f>
        <v>107</v>
      </c>
      <c r="S469">
        <f>IFERROR(VLOOKUP($A469,koronahun!$A:$AM,19,FALSE),"")</f>
        <v>1324</v>
      </c>
      <c r="T469">
        <f>IFERROR(VLOOKUP($A469,koronahun!$A:$AM,20,FALSE),"")</f>
        <v>7029</v>
      </c>
      <c r="U469">
        <f>IFERROR(VLOOKUP($A469,koronahun!$A:$AM,21,FALSE),"")</f>
        <v>531</v>
      </c>
      <c r="V469" s="13">
        <f>IFERROR(VLOOKUP($A469,koronahun!$A:$AM,22,FALSE),"")</f>
        <v>0.75047358527826336</v>
      </c>
      <c r="W469">
        <f>IFERROR(VLOOKUP($A469,koronahun!$A:$AM,23,FALSE),"")</f>
        <v>339</v>
      </c>
      <c r="X469">
        <f>IFERROR(VLOOKUP($A469,koronahun!$A:$AM,24,FALSE),"")</f>
        <v>13</v>
      </c>
      <c r="Y469" s="14">
        <f>IFERROR(VLOOKUP($A469,koronahun!$A:$AM,25,FALSE),"")</f>
        <v>6.8504098160944188E-2</v>
      </c>
      <c r="Z469" s="14">
        <f>IFERROR(VLOOKUP($A469,koronahun!$A:$AM,26,FALSE),"")</f>
        <v>7.5544174135723438E-2</v>
      </c>
      <c r="AA469" s="14">
        <f>IFERROR(VLOOKUP($A469,koronahun!$A:$AM,27,FALSE),"")</f>
        <v>1.0728512591992438</v>
      </c>
      <c r="AB469" s="14">
        <f>IFERROR(VLOOKUP($A469,koronahun!$A:$AM,28,FALSE),"")</f>
        <v>1.300167280250486</v>
      </c>
      <c r="AC469" s="14">
        <f>IFERROR(VLOOKUP($A469,koronahun!$A:$AM,29,FALSE),"")</f>
        <v>4540</v>
      </c>
      <c r="AD469" s="14">
        <f>IFERROR(VLOOKUP($A469,koronahun!$A:$AM,30,FALSE),"")</f>
        <v>90.428571428571431</v>
      </c>
      <c r="AE469" s="14">
        <f>IFERROR(VLOOKUP($A469,koronahun!$A:$AM,31,FALSE),"")</f>
        <v>19437.857142857141</v>
      </c>
      <c r="AF469" s="13">
        <f>IFERROR(VLOOKUP($A469,koronahun!$A:$AM,32,FALSE),"")</f>
        <v>0.24268311849499288</v>
      </c>
      <c r="AG469">
        <f>IFERROR(VLOOKUP($A469,koronahun!$A:$AM,33,FALSE),"")</f>
        <v>0</v>
      </c>
      <c r="AH469">
        <f>IFERROR(VLOOKUP($A469,koronahun!$A:$AM,34,FALSE),"")</f>
        <v>0</v>
      </c>
      <c r="AI469">
        <f>IFERROR(VLOOKUP($A469,koronahun!$A:$AM,35,FALSE),"")</f>
        <v>0</v>
      </c>
      <c r="AJ469">
        <f>IFERROR(VLOOKUP($A469,koronahun!$A:$AM,36,FALSE),"")</f>
        <v>0</v>
      </c>
      <c r="AK469">
        <f>IFERROR(VLOOKUP($A469,koronahun!$A:$AM,37,FALSE),"")</f>
        <v>0</v>
      </c>
      <c r="AL469">
        <f>IFERROR(VLOOKUP($A469,koronahun!$A:$AM,38,FALSE),"")</f>
        <v>0</v>
      </c>
      <c r="AM469" s="14">
        <f>IFERROR(VLOOKUP($A469,koronahun!$A:$AM,39,FALSE),"")</f>
        <v>897</v>
      </c>
      <c r="AN469" s="11">
        <f ca="1">IFERROR(__xludf.DUMMYFUNCTION("""COMPUTED_VALUE"""),44361)</f>
        <v>44361</v>
      </c>
      <c r="AO469" s="12">
        <f ca="1">IFERROR(VLOOKUP(AN469,koronahun!A:B,2,FALSE),"")</f>
        <v>807045</v>
      </c>
      <c r="AP469" s="11">
        <f t="shared" ca="1" si="2"/>
        <v>44361</v>
      </c>
      <c r="AQ469" s="11">
        <f ca="1">IFERROR(__xludf.DUMMYFUNCTION("""COMPUTED_VALUE"""),44362)</f>
        <v>44362</v>
      </c>
      <c r="AR469" s="11">
        <v>44150</v>
      </c>
      <c r="AS469" s="11">
        <f t="shared" si="3"/>
        <v>44150</v>
      </c>
      <c r="AT469" s="11">
        <f ca="1">IFERROR(__xludf.DUMMYFUNCTION("""COMPUTED_VALUE"""),44149)</f>
        <v>44149</v>
      </c>
    </row>
    <row r="470" spans="1:46" ht="13">
      <c r="A470" s="11">
        <v>44148</v>
      </c>
      <c r="B470">
        <f>IFERROR(VLOOKUP($A470,koronahun!$A:$AM,2,FALSE),"")</f>
        <v>131887</v>
      </c>
      <c r="C470">
        <f>IFERROR(VLOOKUP($A470,koronahun!$A:$AM,3,FALSE),"")</f>
        <v>5097</v>
      </c>
      <c r="D470">
        <f>IFERROR(VLOOKUP($A470,koronahun!$A:$AM,4,FALSE),"")</f>
        <v>2883</v>
      </c>
      <c r="E470">
        <f>IFERROR(VLOOKUP($A470,koronahun!$A:$AM,5,FALSE),"")</f>
        <v>29802</v>
      </c>
      <c r="F470">
        <f>IFERROR(VLOOKUP($A470,koronahun!$A:$AM,6,FALSE),"")</f>
        <v>1306887</v>
      </c>
      <c r="G470" s="12">
        <f>IFERROR(VLOOKUP($A470,koronahun!$A:$AM,7,FALSE),"")</f>
        <v>133355.81632653059</v>
      </c>
      <c r="H470">
        <f>IFERROR(VLOOKUP($A470,koronahun!$A:$AM,8,FALSE),"")</f>
        <v>0</v>
      </c>
      <c r="I470" s="13">
        <f>IFERROR(VLOOKUP($A470,koronahun!$A:$AM,9,FALSE),"")</f>
        <v>4.0200331256408234E-2</v>
      </c>
      <c r="J470" s="13">
        <f>IFERROR(VLOOKUP($A470,koronahun!$A:$AM,10,FALSE),"")</f>
        <v>0.1009169117146318</v>
      </c>
      <c r="K470" s="13">
        <f>IFERROR(VLOOKUP($A470,koronahun!$A:$AM,11,FALSE),"")</f>
        <v>1.8637931370447593E-2</v>
      </c>
      <c r="L470">
        <f>IFERROR(VLOOKUP($A470,koronahun!$A:$AM,12,FALSE),"")</f>
        <v>99202</v>
      </c>
      <c r="M470" s="13">
        <f>IFERROR(VLOOKUP($A470,koronahun!$A:$AM,13,FALSE),"")</f>
        <v>2.1859622252382721E-2</v>
      </c>
      <c r="N470" s="13">
        <f>IFERROR(VLOOKUP($A470,koronahun!$A:$AM,14,FALSE),"")</f>
        <v>0.22596616800746094</v>
      </c>
      <c r="O470">
        <f>IFERROR(VLOOKUP($A470,koronahun!$A:$AM,15,FALSE),"")</f>
        <v>36166</v>
      </c>
      <c r="P470">
        <f>IFERROR(VLOOKUP($A470,koronahun!$A:$AM,16,FALSE),"")</f>
        <v>23912</v>
      </c>
      <c r="Q470" s="13">
        <f>IFERROR(VLOOKUP($A470,koronahun!$A:$AM,17,FALSE),"")</f>
        <v>0.21315657410505184</v>
      </c>
      <c r="R470">
        <f>IFERROR(VLOOKUP($A470,koronahun!$A:$AM,18,FALSE),"")</f>
        <v>99</v>
      </c>
      <c r="S470">
        <f>IFERROR(VLOOKUP($A470,koronahun!$A:$AM,19,FALSE),"")</f>
        <v>500</v>
      </c>
      <c r="T470">
        <f>IFERROR(VLOOKUP($A470,koronahun!$A:$AM,20,FALSE),"")</f>
        <v>6690</v>
      </c>
      <c r="U470">
        <f>IFERROR(VLOOKUP($A470,koronahun!$A:$AM,21,FALSE),"")</f>
        <v>518</v>
      </c>
      <c r="V470" s="13">
        <f>IFERROR(VLOOKUP($A470,koronahun!$A:$AM,22,FALSE),"")</f>
        <v>0.75217420974015636</v>
      </c>
      <c r="W470">
        <f>IFERROR(VLOOKUP($A470,koronahun!$A:$AM,23,FALSE),"")</f>
        <v>264</v>
      </c>
      <c r="X470">
        <f>IFERROR(VLOOKUP($A470,koronahun!$A:$AM,24,FALSE),"")</f>
        <v>32</v>
      </c>
      <c r="Y470" s="14">
        <f>IFERROR(VLOOKUP($A470,koronahun!$A:$AM,25,FALSE),"")</f>
        <v>6.7438156488780474E-2</v>
      </c>
      <c r="Z470" s="14">
        <f>IFERROR(VLOOKUP($A470,koronahun!$A:$AM,26,FALSE),"")</f>
        <v>7.7428998505231689E-2</v>
      </c>
      <c r="AA470" s="14">
        <f>IFERROR(VLOOKUP($A470,koronahun!$A:$AM,27,FALSE),"")</f>
        <v>1.1435559336452574</v>
      </c>
      <c r="AB470" s="14">
        <f>IFERROR(VLOOKUP($A470,koronahun!$A:$AM,28,FALSE),"")</f>
        <v>1.3670408932915077</v>
      </c>
      <c r="AC470" s="14">
        <f>IFERROR(VLOOKUP($A470,koronahun!$A:$AM,29,FALSE),"")</f>
        <v>4608.8571428571431</v>
      </c>
      <c r="AD470" s="14">
        <f>IFERROR(VLOOKUP($A470,koronahun!$A:$AM,30,FALSE),"")</f>
        <v>90.428571428571431</v>
      </c>
      <c r="AE470" s="14">
        <f>IFERROR(VLOOKUP($A470,koronahun!$A:$AM,31,FALSE),"")</f>
        <v>19892.285714285714</v>
      </c>
      <c r="AF470" s="13">
        <f>IFERROR(VLOOKUP($A470,koronahun!$A:$AM,32,FALSE),"")</f>
        <v>0.24062403244016448</v>
      </c>
      <c r="AG470">
        <f>IFERROR(VLOOKUP($A470,koronahun!$A:$AM,33,FALSE),"")</f>
        <v>0</v>
      </c>
      <c r="AH470">
        <f>IFERROR(VLOOKUP($A470,koronahun!$A:$AM,34,FALSE),"")</f>
        <v>0</v>
      </c>
      <c r="AI470">
        <f>IFERROR(VLOOKUP($A470,koronahun!$A:$AM,35,FALSE),"")</f>
        <v>0</v>
      </c>
      <c r="AJ470">
        <f>IFERROR(VLOOKUP($A470,koronahun!$A:$AM,36,FALSE),"")</f>
        <v>0</v>
      </c>
      <c r="AK470">
        <f>IFERROR(VLOOKUP($A470,koronahun!$A:$AM,37,FALSE),"")</f>
        <v>0</v>
      </c>
      <c r="AL470">
        <f>IFERROR(VLOOKUP($A470,koronahun!$A:$AM,38,FALSE),"")</f>
        <v>0</v>
      </c>
      <c r="AM470" s="14">
        <f>IFERROR(VLOOKUP($A470,koronahun!$A:$AM,39,FALSE),"")</f>
        <v>941.28571428571433</v>
      </c>
      <c r="AN470" s="11">
        <f ca="1">IFERROR(__xludf.DUMMYFUNCTION("""COMPUTED_VALUE"""),44362)</f>
        <v>44362</v>
      </c>
      <c r="AO470" s="12">
        <f ca="1">IFERROR(VLOOKUP(AN470,koronahun!A:B,2,FALSE),"")</f>
        <v>807102</v>
      </c>
      <c r="AP470" s="11">
        <f t="shared" ca="1" si="2"/>
        <v>44362</v>
      </c>
      <c r="AQ470" s="11">
        <f ca="1">IFERROR(__xludf.DUMMYFUNCTION("""COMPUTED_VALUE"""),44363)</f>
        <v>44363</v>
      </c>
      <c r="AR470" s="11">
        <v>44149</v>
      </c>
      <c r="AS470" s="11">
        <f t="shared" si="3"/>
        <v>44149</v>
      </c>
      <c r="AT470" s="11">
        <f ca="1">IFERROR(__xludf.DUMMYFUNCTION("""COMPUTED_VALUE"""),44148)</f>
        <v>44148</v>
      </c>
    </row>
    <row r="471" spans="1:46" ht="13">
      <c r="A471" s="11">
        <v>44147</v>
      </c>
      <c r="B471">
        <f>IFERROR(VLOOKUP($A471,koronahun!$A:$AM,2,FALSE),"")</f>
        <v>126790</v>
      </c>
      <c r="C471">
        <f>IFERROR(VLOOKUP($A471,koronahun!$A:$AM,3,FALSE),"")</f>
        <v>3927</v>
      </c>
      <c r="D471">
        <f>IFERROR(VLOOKUP($A471,koronahun!$A:$AM,4,FALSE),"")</f>
        <v>2784</v>
      </c>
      <c r="E471">
        <f>IFERROR(VLOOKUP($A471,koronahun!$A:$AM,5,FALSE),"")</f>
        <v>29302</v>
      </c>
      <c r="F471">
        <f>IFERROR(VLOOKUP($A471,koronahun!$A:$AM,6,FALSE),"")</f>
        <v>1282975</v>
      </c>
      <c r="G471" s="12">
        <f>IFERROR(VLOOKUP($A471,koronahun!$A:$AM,7,FALSE),"")</f>
        <v>130915.81632653061</v>
      </c>
      <c r="H471">
        <f>IFERROR(VLOOKUP($A471,koronahun!$A:$AM,8,FALSE),"")</f>
        <v>0</v>
      </c>
      <c r="I471" s="13">
        <f>IFERROR(VLOOKUP($A471,koronahun!$A:$AM,9,FALSE),"")</f>
        <v>3.1962429698119042E-2</v>
      </c>
      <c r="J471" s="13">
        <f>IFERROR(VLOOKUP($A471,koronahun!$A:$AM,10,FALSE),"")</f>
        <v>9.8824996589956943E-2</v>
      </c>
      <c r="K471" s="13">
        <f>IFERROR(VLOOKUP($A471,koronahun!$A:$AM,11,FALSE),"")</f>
        <v>1.8675553057118401E-2</v>
      </c>
      <c r="L471">
        <f>IFERROR(VLOOKUP($A471,koronahun!$A:$AM,12,FALSE),"")</f>
        <v>94704</v>
      </c>
      <c r="M471" s="13">
        <f>IFERROR(VLOOKUP($A471,koronahun!$A:$AM,13,FALSE),"")</f>
        <v>2.195756763151668E-2</v>
      </c>
      <c r="N471" s="13">
        <f>IFERROR(VLOOKUP($A471,koronahun!$A:$AM,14,FALSE),"")</f>
        <v>0.23110655414464862</v>
      </c>
      <c r="O471">
        <f>IFERROR(VLOOKUP($A471,koronahun!$A:$AM,15,FALSE),"")</f>
        <v>34040</v>
      </c>
      <c r="P471">
        <f>IFERROR(VLOOKUP($A471,koronahun!$A:$AM,16,FALSE),"")</f>
        <v>23521</v>
      </c>
      <c r="Q471" s="13">
        <f>IFERROR(VLOOKUP($A471,koronahun!$A:$AM,17,FALSE),"")</f>
        <v>0.16695718719442201</v>
      </c>
      <c r="R471">
        <f>IFERROR(VLOOKUP($A471,koronahun!$A:$AM,18,FALSE),"")</f>
        <v>87</v>
      </c>
      <c r="S471">
        <f>IFERROR(VLOOKUP($A471,koronahun!$A:$AM,19,FALSE),"")</f>
        <v>494</v>
      </c>
      <c r="T471">
        <f>IFERROR(VLOOKUP($A471,koronahun!$A:$AM,20,FALSE),"")</f>
        <v>6426</v>
      </c>
      <c r="U471">
        <f>IFERROR(VLOOKUP($A471,koronahun!$A:$AM,21,FALSE),"")</f>
        <v>486</v>
      </c>
      <c r="V471" s="13">
        <f>IFERROR(VLOOKUP($A471,koronahun!$A:$AM,22,FALSE),"")</f>
        <v>0.74693587822383467</v>
      </c>
      <c r="W471">
        <f>IFERROR(VLOOKUP($A471,koronahun!$A:$AM,23,FALSE),"")</f>
        <v>74</v>
      </c>
      <c r="X471">
        <f>IFERROR(VLOOKUP($A471,koronahun!$A:$AM,24,FALSE),"")</f>
        <v>13</v>
      </c>
      <c r="Y471" s="14">
        <f>IFERROR(VLOOKUP($A471,koronahun!$A:$AM,25,FALSE),"")</f>
        <v>6.7853522554485554E-2</v>
      </c>
      <c r="Z471" s="14">
        <f>IFERROR(VLOOKUP($A471,koronahun!$A:$AM,26,FALSE),"")</f>
        <v>7.5630252100840331E-2</v>
      </c>
      <c r="AA471" s="14">
        <f>IFERROR(VLOOKUP($A471,koronahun!$A:$AM,27,FALSE),"")</f>
        <v>1.1898167158161932</v>
      </c>
      <c r="AB471" s="14">
        <f>IFERROR(VLOOKUP($A471,koronahun!$A:$AM,28,FALSE),"")</f>
        <v>1.438883563490253</v>
      </c>
      <c r="AC471" s="14">
        <f>IFERROR(VLOOKUP($A471,koronahun!$A:$AM,29,FALSE),"")</f>
        <v>4553.4285714285716</v>
      </c>
      <c r="AD471" s="14">
        <f>IFERROR(VLOOKUP($A471,koronahun!$A:$AM,30,FALSE),"")</f>
        <v>91</v>
      </c>
      <c r="AE471" s="14">
        <f>IFERROR(VLOOKUP($A471,koronahun!$A:$AM,31,FALSE),"")</f>
        <v>19337</v>
      </c>
      <c r="AF471" s="13">
        <f>IFERROR(VLOOKUP($A471,koronahun!$A:$AM,32,FALSE),"")</f>
        <v>0.24376681541534789</v>
      </c>
      <c r="AG471">
        <f>IFERROR(VLOOKUP($A471,koronahun!$A:$AM,33,FALSE),"")</f>
        <v>0</v>
      </c>
      <c r="AH471">
        <f>IFERROR(VLOOKUP($A471,koronahun!$A:$AM,34,FALSE),"")</f>
        <v>0</v>
      </c>
      <c r="AI471">
        <f>IFERROR(VLOOKUP($A471,koronahun!$A:$AM,35,FALSE),"")</f>
        <v>0</v>
      </c>
      <c r="AJ471">
        <f>IFERROR(VLOOKUP($A471,koronahun!$A:$AM,36,FALSE),"")</f>
        <v>0</v>
      </c>
      <c r="AK471">
        <f>IFERROR(VLOOKUP($A471,koronahun!$A:$AM,37,FALSE),"")</f>
        <v>0</v>
      </c>
      <c r="AL471">
        <f>IFERROR(VLOOKUP($A471,koronahun!$A:$AM,38,FALSE),"")</f>
        <v>0</v>
      </c>
      <c r="AM471" s="14">
        <f>IFERROR(VLOOKUP($A471,koronahun!$A:$AM,39,FALSE),"")</f>
        <v>925.57142857142856</v>
      </c>
      <c r="AN471" s="11">
        <f ca="1">IFERROR(__xludf.DUMMYFUNCTION("""COMPUTED_VALUE"""),44363)</f>
        <v>44363</v>
      </c>
      <c r="AO471" s="12">
        <f ca="1">IFERROR(VLOOKUP(AN471,koronahun!A:B,2,FALSE),"")</f>
        <v>807209</v>
      </c>
      <c r="AP471" s="11">
        <f t="shared" ca="1" si="2"/>
        <v>44363</v>
      </c>
      <c r="AQ471" s="11">
        <f ca="1">IFERROR(__xludf.DUMMYFUNCTION("""COMPUTED_VALUE"""),44364)</f>
        <v>44364</v>
      </c>
      <c r="AR471" s="11">
        <v>44148</v>
      </c>
      <c r="AS471" s="11">
        <f t="shared" si="3"/>
        <v>44148</v>
      </c>
      <c r="AT471" s="11">
        <f ca="1">IFERROR(__xludf.DUMMYFUNCTION("""COMPUTED_VALUE"""),44147)</f>
        <v>44147</v>
      </c>
    </row>
    <row r="472" spans="1:46" ht="13">
      <c r="A472" s="11">
        <v>44146</v>
      </c>
      <c r="B472">
        <f>IFERROR(VLOOKUP($A472,koronahun!$A:$AM,2,FALSE),"")</f>
        <v>122863</v>
      </c>
      <c r="C472">
        <f>IFERROR(VLOOKUP($A472,koronahun!$A:$AM,3,FALSE),"")</f>
        <v>3945</v>
      </c>
      <c r="D472">
        <f>IFERROR(VLOOKUP($A472,koronahun!$A:$AM,4,FALSE),"")</f>
        <v>2697</v>
      </c>
      <c r="E472">
        <f>IFERROR(VLOOKUP($A472,koronahun!$A:$AM,5,FALSE),"")</f>
        <v>28808</v>
      </c>
      <c r="F472">
        <f>IFERROR(VLOOKUP($A472,koronahun!$A:$AM,6,FALSE),"")</f>
        <v>1259454</v>
      </c>
      <c r="G472" s="12">
        <f>IFERROR(VLOOKUP($A472,koronahun!$A:$AM,7,FALSE),"")</f>
        <v>128515.71428571428</v>
      </c>
      <c r="H472">
        <f>IFERROR(VLOOKUP($A472,koronahun!$A:$AM,8,FALSE),"")</f>
        <v>0</v>
      </c>
      <c r="I472" s="13">
        <f>IFERROR(VLOOKUP($A472,koronahun!$A:$AM,9,FALSE),"")</f>
        <v>3.3174119981836225E-2</v>
      </c>
      <c r="J472" s="13">
        <f>IFERROR(VLOOKUP($A472,koronahun!$A:$AM,10,FALSE),"")</f>
        <v>9.7552590249425544E-2</v>
      </c>
      <c r="K472" s="13">
        <f>IFERROR(VLOOKUP($A472,koronahun!$A:$AM,11,FALSE),"")</f>
        <v>1.6945950114133038E-2</v>
      </c>
      <c r="L472">
        <f>IFERROR(VLOOKUP($A472,koronahun!$A:$AM,12,FALSE),"")</f>
        <v>91358</v>
      </c>
      <c r="M472" s="13">
        <f>IFERROR(VLOOKUP($A472,koronahun!$A:$AM,13,FALSE),"")</f>
        <v>2.1951279066928203E-2</v>
      </c>
      <c r="N472" s="13">
        <f>IFERROR(VLOOKUP($A472,koronahun!$A:$AM,14,FALSE),"")</f>
        <v>0.23447254258808592</v>
      </c>
      <c r="O472">
        <f>IFERROR(VLOOKUP($A472,koronahun!$A:$AM,15,FALSE),"")</f>
        <v>36492</v>
      </c>
      <c r="P472">
        <f>IFERROR(VLOOKUP($A472,koronahun!$A:$AM,16,FALSE),"")</f>
        <v>20987</v>
      </c>
      <c r="Q472" s="13">
        <f>IFERROR(VLOOKUP($A472,koronahun!$A:$AM,17,FALSE),"")</f>
        <v>0.18797350740934865</v>
      </c>
      <c r="R472">
        <f>IFERROR(VLOOKUP($A472,koronahun!$A:$AM,18,FALSE),"")</f>
        <v>101</v>
      </c>
      <c r="S472">
        <f>IFERROR(VLOOKUP($A472,koronahun!$A:$AM,19,FALSE),"")</f>
        <v>1223</v>
      </c>
      <c r="T472">
        <f>IFERROR(VLOOKUP($A472,koronahun!$A:$AM,20,FALSE),"")</f>
        <v>6352</v>
      </c>
      <c r="U472">
        <f>IFERROR(VLOOKUP($A472,koronahun!$A:$AM,21,FALSE),"")</f>
        <v>473</v>
      </c>
      <c r="V472" s="13">
        <f>IFERROR(VLOOKUP($A472,koronahun!$A:$AM,22,FALSE),"")</f>
        <v>0.74357617834498591</v>
      </c>
      <c r="W472">
        <f>IFERROR(VLOOKUP($A472,koronahun!$A:$AM,23,FALSE),"")</f>
        <v>199</v>
      </c>
      <c r="X472">
        <f>IFERROR(VLOOKUP($A472,koronahun!$A:$AM,24,FALSE),"")</f>
        <v>12</v>
      </c>
      <c r="Y472" s="14">
        <f>IFERROR(VLOOKUP($A472,koronahun!$A:$AM,25,FALSE),"")</f>
        <v>6.9528667440180394E-2</v>
      </c>
      <c r="Z472" s="14">
        <f>IFERROR(VLOOKUP($A472,koronahun!$A:$AM,26,FALSE),"")</f>
        <v>7.4464735516372796E-2</v>
      </c>
      <c r="AA472" s="14">
        <f>IFERROR(VLOOKUP($A472,koronahun!$A:$AM,27,FALSE),"")</f>
        <v>1.2722011574536021</v>
      </c>
      <c r="AB472" s="14">
        <f>IFERROR(VLOOKUP($A472,koronahun!$A:$AM,28,FALSE),"")</f>
        <v>1.5093747170990253</v>
      </c>
      <c r="AC472" s="14">
        <f>IFERROR(VLOOKUP($A472,koronahun!$A:$AM,29,FALSE),"")</f>
        <v>4553.5714285714284</v>
      </c>
      <c r="AD472" s="14">
        <f>IFERROR(VLOOKUP($A472,koronahun!$A:$AM,30,FALSE),"")</f>
        <v>90.571428571428569</v>
      </c>
      <c r="AE472" s="14">
        <f>IFERROR(VLOOKUP($A472,koronahun!$A:$AM,31,FALSE),"")</f>
        <v>18543.714285714286</v>
      </c>
      <c r="AF472" s="13">
        <f>IFERROR(VLOOKUP($A472,koronahun!$A:$AM,32,FALSE),"")</f>
        <v>0.25114591206725784</v>
      </c>
      <c r="AG472">
        <f>IFERROR(VLOOKUP($A472,koronahun!$A:$AM,33,FALSE),"")</f>
        <v>0</v>
      </c>
      <c r="AH472">
        <f>IFERROR(VLOOKUP($A472,koronahun!$A:$AM,34,FALSE),"")</f>
        <v>0</v>
      </c>
      <c r="AI472">
        <f>IFERROR(VLOOKUP($A472,koronahun!$A:$AM,35,FALSE),"")</f>
        <v>0</v>
      </c>
      <c r="AJ472">
        <f>IFERROR(VLOOKUP($A472,koronahun!$A:$AM,36,FALSE),"")</f>
        <v>0</v>
      </c>
      <c r="AK472">
        <f>IFERROR(VLOOKUP($A472,koronahun!$A:$AM,37,FALSE),"")</f>
        <v>0</v>
      </c>
      <c r="AL472">
        <f>IFERROR(VLOOKUP($A472,koronahun!$A:$AM,38,FALSE),"")</f>
        <v>0</v>
      </c>
      <c r="AM472" s="14">
        <f>IFERROR(VLOOKUP($A472,koronahun!$A:$AM,39,FALSE),"")</f>
        <v>1082.2857142857142</v>
      </c>
      <c r="AN472" s="11">
        <f ca="1">IFERROR(__xludf.DUMMYFUNCTION("""COMPUTED_VALUE"""),44364)</f>
        <v>44364</v>
      </c>
      <c r="AO472" s="12">
        <f ca="1">IFERROR(VLOOKUP(AN472,koronahun!A:B,2,FALSE),"")</f>
        <v>807322</v>
      </c>
      <c r="AP472" s="11">
        <f t="shared" ca="1" si="2"/>
        <v>44364</v>
      </c>
      <c r="AQ472" s="11">
        <f ca="1">IFERROR(__xludf.DUMMYFUNCTION("""COMPUTED_VALUE"""),44365)</f>
        <v>44365</v>
      </c>
      <c r="AR472" s="11">
        <v>44147</v>
      </c>
      <c r="AS472" s="11">
        <f t="shared" si="3"/>
        <v>44147</v>
      </c>
      <c r="AT472" s="11">
        <f ca="1">IFERROR(__xludf.DUMMYFUNCTION("""COMPUTED_VALUE"""),44146)</f>
        <v>44146</v>
      </c>
    </row>
    <row r="473" spans="1:46" ht="13">
      <c r="A473" s="11">
        <v>44145</v>
      </c>
      <c r="B473">
        <f>IFERROR(VLOOKUP($A473,koronahun!$A:$AM,2,FALSE),"")</f>
        <v>118918</v>
      </c>
      <c r="C473">
        <f>IFERROR(VLOOKUP($A473,koronahun!$A:$AM,3,FALSE),"")</f>
        <v>4140</v>
      </c>
      <c r="D473">
        <f>IFERROR(VLOOKUP($A473,koronahun!$A:$AM,4,FALSE),"")</f>
        <v>2596</v>
      </c>
      <c r="E473">
        <f>IFERROR(VLOOKUP($A473,koronahun!$A:$AM,5,FALSE),"")</f>
        <v>27585</v>
      </c>
      <c r="F473">
        <f>IFERROR(VLOOKUP($A473,koronahun!$A:$AM,6,FALSE),"")</f>
        <v>1238467</v>
      </c>
      <c r="G473" s="12">
        <f>IFERROR(VLOOKUP($A473,koronahun!$A:$AM,7,FALSE),"")</f>
        <v>126374.18367346938</v>
      </c>
      <c r="H473">
        <f>IFERROR(VLOOKUP($A473,koronahun!$A:$AM,8,FALSE),"")</f>
        <v>0</v>
      </c>
      <c r="I473" s="13">
        <f>IFERROR(VLOOKUP($A473,koronahun!$A:$AM,9,FALSE),"")</f>
        <v>3.6069630068480026E-2</v>
      </c>
      <c r="J473" s="13">
        <f>IFERROR(VLOOKUP($A473,koronahun!$A:$AM,10,FALSE),"")</f>
        <v>9.6020321897959338E-2</v>
      </c>
      <c r="K473" s="13">
        <f>IFERROR(VLOOKUP($A473,koronahun!$A:$AM,11,FALSE),"")</f>
        <v>1.0664281593179038E-2</v>
      </c>
      <c r="L473">
        <f>IFERROR(VLOOKUP($A473,koronahun!$A:$AM,12,FALSE),"")</f>
        <v>88737</v>
      </c>
      <c r="M473" s="13">
        <f>IFERROR(VLOOKUP($A473,koronahun!$A:$AM,13,FALSE),"")</f>
        <v>2.1830168687667132E-2</v>
      </c>
      <c r="N473" s="13">
        <f>IFERROR(VLOOKUP($A473,koronahun!$A:$AM,14,FALSE),"")</f>
        <v>0.23196656519618561</v>
      </c>
      <c r="O473">
        <f>IFERROR(VLOOKUP($A473,koronahun!$A:$AM,15,FALSE),"")</f>
        <v>36078</v>
      </c>
      <c r="P473">
        <f>IFERROR(VLOOKUP($A473,koronahun!$A:$AM,16,FALSE),"")</f>
        <v>13068</v>
      </c>
      <c r="Q473" s="13">
        <f>IFERROR(VLOOKUP($A473,koronahun!$A:$AM,17,FALSE),"")</f>
        <v>0.3168044077134986</v>
      </c>
      <c r="R473">
        <f>IFERROR(VLOOKUP($A473,koronahun!$A:$AM,18,FALSE),"")</f>
        <v>103</v>
      </c>
      <c r="S473">
        <f>IFERROR(VLOOKUP($A473,koronahun!$A:$AM,19,FALSE),"")</f>
        <v>1424</v>
      </c>
      <c r="T473">
        <f>IFERROR(VLOOKUP($A473,koronahun!$A:$AM,20,FALSE),"")</f>
        <v>6153</v>
      </c>
      <c r="U473">
        <f>IFERROR(VLOOKUP($A473,koronahun!$A:$AM,21,FALSE),"")</f>
        <v>461</v>
      </c>
      <c r="V473" s="13">
        <f>IFERROR(VLOOKUP($A473,koronahun!$A:$AM,22,FALSE),"")</f>
        <v>0.74620326611614729</v>
      </c>
      <c r="W473">
        <f>IFERROR(VLOOKUP($A473,koronahun!$A:$AM,23,FALSE),"")</f>
        <v>92</v>
      </c>
      <c r="X473">
        <f>IFERROR(VLOOKUP($A473,koronahun!$A:$AM,24,FALSE),"")</f>
        <v>46</v>
      </c>
      <c r="Y473" s="14">
        <f>IFERROR(VLOOKUP($A473,koronahun!$A:$AM,25,FALSE),"")</f>
        <v>6.9339734270935455E-2</v>
      </c>
      <c r="Z473" s="14">
        <f>IFERROR(VLOOKUP($A473,koronahun!$A:$AM,26,FALSE),"")</f>
        <v>7.4922801885259224E-2</v>
      </c>
      <c r="AA473" s="14">
        <f>IFERROR(VLOOKUP($A473,koronahun!$A:$AM,27,FALSE),"")</f>
        <v>1.390106801573918</v>
      </c>
      <c r="AB473" s="14">
        <f>IFERROR(VLOOKUP($A473,koronahun!$A:$AM,28,FALSE),"")</f>
        <v>1.5548446517748098</v>
      </c>
      <c r="AC473" s="14">
        <f>IFERROR(VLOOKUP($A473,koronahun!$A:$AM,29,FALSE),"")</f>
        <v>4592.7142857142853</v>
      </c>
      <c r="AD473" s="14">
        <f>IFERROR(VLOOKUP($A473,koronahun!$A:$AM,30,FALSE),"")</f>
        <v>89</v>
      </c>
      <c r="AE473" s="14">
        <f>IFERROR(VLOOKUP($A473,koronahun!$A:$AM,31,FALSE),"")</f>
        <v>18068</v>
      </c>
      <c r="AF473" s="13">
        <f>IFERROR(VLOOKUP($A473,koronahun!$A:$AM,32,FALSE),"")</f>
        <v>0.25842713424278624</v>
      </c>
      <c r="AG473">
        <f>IFERROR(VLOOKUP($A473,koronahun!$A:$AM,33,FALSE),"")</f>
        <v>0</v>
      </c>
      <c r="AH473">
        <f>IFERROR(VLOOKUP($A473,koronahun!$A:$AM,34,FALSE),"")</f>
        <v>0</v>
      </c>
      <c r="AI473">
        <f>IFERROR(VLOOKUP($A473,koronahun!$A:$AM,35,FALSE),"")</f>
        <v>0</v>
      </c>
      <c r="AJ473">
        <f>IFERROR(VLOOKUP($A473,koronahun!$A:$AM,36,FALSE),"")</f>
        <v>0</v>
      </c>
      <c r="AK473">
        <f>IFERROR(VLOOKUP($A473,koronahun!$A:$AM,37,FALSE),"")</f>
        <v>0</v>
      </c>
      <c r="AL473">
        <f>IFERROR(VLOOKUP($A473,koronahun!$A:$AM,38,FALSE),"")</f>
        <v>0</v>
      </c>
      <c r="AM473" s="14">
        <f>IFERROR(VLOOKUP($A473,koronahun!$A:$AM,39,FALSE),"")</f>
        <v>961.28571428571433</v>
      </c>
      <c r="AN473" s="11">
        <f ca="1">IFERROR(__xludf.DUMMYFUNCTION("""COMPUTED_VALUE"""),44365)</f>
        <v>44365</v>
      </c>
      <c r="AO473" s="12">
        <f ca="1">IFERROR(VLOOKUP(AN473,koronahun!A:B,2,FALSE),"")</f>
        <v>807428</v>
      </c>
      <c r="AP473" s="11">
        <f t="shared" ca="1" si="2"/>
        <v>44365</v>
      </c>
      <c r="AQ473" s="11">
        <f ca="1">IFERROR(__xludf.DUMMYFUNCTION("""COMPUTED_VALUE"""),44368)</f>
        <v>44368</v>
      </c>
      <c r="AR473" s="11">
        <v>44146</v>
      </c>
      <c r="AS473" s="11">
        <f t="shared" si="3"/>
        <v>44146</v>
      </c>
      <c r="AT473" s="11">
        <f ca="1">IFERROR(__xludf.DUMMYFUNCTION("""COMPUTED_VALUE"""),44145)</f>
        <v>44145</v>
      </c>
    </row>
    <row r="474" spans="1:46" ht="13">
      <c r="A474" s="11">
        <v>44144</v>
      </c>
      <c r="B474">
        <f>IFERROR(VLOOKUP($A474,koronahun!$A:$AM,2,FALSE),"")</f>
        <v>114778</v>
      </c>
      <c r="C474">
        <f>IFERROR(VLOOKUP($A474,koronahun!$A:$AM,3,FALSE),"")</f>
        <v>5162</v>
      </c>
      <c r="D474">
        <f>IFERROR(VLOOKUP($A474,koronahun!$A:$AM,4,FALSE),"")</f>
        <v>2493</v>
      </c>
      <c r="E474">
        <f>IFERROR(VLOOKUP($A474,koronahun!$A:$AM,5,FALSE),"")</f>
        <v>26161</v>
      </c>
      <c r="F474">
        <f>IFERROR(VLOOKUP($A474,koronahun!$A:$AM,6,FALSE),"")</f>
        <v>1225399</v>
      </c>
      <c r="G474" s="12">
        <f>IFERROR(VLOOKUP($A474,koronahun!$A:$AM,7,FALSE),"")</f>
        <v>125040.71428571428</v>
      </c>
      <c r="H474">
        <f>IFERROR(VLOOKUP($A474,koronahun!$A:$AM,8,FALSE),"")</f>
        <v>0</v>
      </c>
      <c r="I474" s="13">
        <f>IFERROR(VLOOKUP($A474,koronahun!$A:$AM,9,FALSE),"")</f>
        <v>4.7091665450299226E-2</v>
      </c>
      <c r="J474" s="13">
        <f>IFERROR(VLOOKUP($A474,koronahun!$A:$AM,10,FALSE),"")</f>
        <v>9.3665818235529816E-2</v>
      </c>
      <c r="K474" s="13">
        <f>IFERROR(VLOOKUP($A474,koronahun!$A:$AM,11,FALSE),"")</f>
        <v>1.343752765370082E-2</v>
      </c>
      <c r="L474">
        <f>IFERROR(VLOOKUP($A474,koronahun!$A:$AM,12,FALSE),"")</f>
        <v>86134</v>
      </c>
      <c r="M474" s="13">
        <f>IFERROR(VLOOKUP($A474,koronahun!$A:$AM,13,FALSE),"")</f>
        <v>2.1720190280367316E-2</v>
      </c>
      <c r="N474" s="13">
        <f>IFERROR(VLOOKUP($A474,koronahun!$A:$AM,14,FALSE),"")</f>
        <v>0.22792695464287582</v>
      </c>
      <c r="O474">
        <f>IFERROR(VLOOKUP($A474,koronahun!$A:$AM,15,FALSE),"")</f>
        <v>36356</v>
      </c>
      <c r="P474">
        <f>IFERROR(VLOOKUP($A474,koronahun!$A:$AM,16,FALSE),"")</f>
        <v>16248</v>
      </c>
      <c r="Q474" s="13">
        <f>IFERROR(VLOOKUP($A474,koronahun!$A:$AM,17,FALSE),"")</f>
        <v>0.31770064007877891</v>
      </c>
      <c r="R474">
        <f>IFERROR(VLOOKUP($A474,koronahun!$A:$AM,18,FALSE),"")</f>
        <v>55</v>
      </c>
      <c r="S474">
        <f>IFERROR(VLOOKUP($A474,koronahun!$A:$AM,19,FALSE),"")</f>
        <v>1091</v>
      </c>
      <c r="T474">
        <f>IFERROR(VLOOKUP($A474,koronahun!$A:$AM,20,FALSE),"")</f>
        <v>6061</v>
      </c>
      <c r="U474">
        <f>IFERROR(VLOOKUP($A474,koronahun!$A:$AM,21,FALSE),"")</f>
        <v>415</v>
      </c>
      <c r="V474" s="13">
        <f>IFERROR(VLOOKUP($A474,koronahun!$A:$AM,22,FALSE),"")</f>
        <v>0.75043997978706722</v>
      </c>
      <c r="W474">
        <f>IFERROR(VLOOKUP($A474,koronahun!$A:$AM,23,FALSE),"")</f>
        <v>258</v>
      </c>
      <c r="X474">
        <f>IFERROR(VLOOKUP($A474,koronahun!$A:$AM,24,FALSE),"")</f>
        <v>-2</v>
      </c>
      <c r="Y474" s="14">
        <f>IFERROR(VLOOKUP($A474,koronahun!$A:$AM,25,FALSE),"")</f>
        <v>7.0367102421807881E-2</v>
      </c>
      <c r="Z474" s="14">
        <f>IFERROR(VLOOKUP($A474,koronahun!$A:$AM,26,FALSE),"")</f>
        <v>6.8470549414288068E-2</v>
      </c>
      <c r="AA474" s="14">
        <f>IFERROR(VLOOKUP($A474,koronahun!$A:$AM,27,FALSE),"")</f>
        <v>1.5081302728943771</v>
      </c>
      <c r="AB474" s="14">
        <f>IFERROR(VLOOKUP($A474,koronahun!$A:$AM,28,FALSE),"")</f>
        <v>1.5782167930346807</v>
      </c>
      <c r="AC474" s="14">
        <f>IFERROR(VLOOKUP($A474,koronahun!$A:$AM,29,FALSE),"")</f>
        <v>4571.1428571428569</v>
      </c>
      <c r="AD474" s="14">
        <f>IFERROR(VLOOKUP($A474,koronahun!$A:$AM,30,FALSE),"")</f>
        <v>86.285714285714292</v>
      </c>
      <c r="AE474" s="14">
        <f>IFERROR(VLOOKUP($A474,koronahun!$A:$AM,31,FALSE),"")</f>
        <v>18289.714285714286</v>
      </c>
      <c r="AF474" s="13">
        <f>IFERROR(VLOOKUP($A474,koronahun!$A:$AM,32,FALSE),"")</f>
        <v>0.25214727846038099</v>
      </c>
      <c r="AG474">
        <f>IFERROR(VLOOKUP($A474,koronahun!$A:$AM,33,FALSE),"")</f>
        <v>0</v>
      </c>
      <c r="AH474">
        <f>IFERROR(VLOOKUP($A474,koronahun!$A:$AM,34,FALSE),"")</f>
        <v>0</v>
      </c>
      <c r="AI474">
        <f>IFERROR(VLOOKUP($A474,koronahun!$A:$AM,35,FALSE),"")</f>
        <v>0</v>
      </c>
      <c r="AJ474">
        <f>IFERROR(VLOOKUP($A474,koronahun!$A:$AM,36,FALSE),"")</f>
        <v>0</v>
      </c>
      <c r="AK474">
        <f>IFERROR(VLOOKUP($A474,koronahun!$A:$AM,37,FALSE),"")</f>
        <v>0</v>
      </c>
      <c r="AL474">
        <f>IFERROR(VLOOKUP($A474,koronahun!$A:$AM,38,FALSE),"")</f>
        <v>0</v>
      </c>
      <c r="AM474" s="14">
        <f>IFERROR(VLOOKUP($A474,koronahun!$A:$AM,39,FALSE),"")</f>
        <v>812.14285714285711</v>
      </c>
      <c r="AN474" s="11">
        <f ca="1">IFERROR(__xludf.DUMMYFUNCTION("""COMPUTED_VALUE"""),44366)</f>
        <v>44366</v>
      </c>
      <c r="AO474" s="12">
        <f ca="1">IFERROR(VLOOKUP(AN474,koronahun!A:B,2,FALSE),"")</f>
        <v>0</v>
      </c>
      <c r="AP474" s="11">
        <f t="shared" ca="1" si="2"/>
        <v>44366</v>
      </c>
      <c r="AQ474" s="11">
        <f ca="1">IFERROR(__xludf.DUMMYFUNCTION("""COMPUTED_VALUE"""),44369)</f>
        <v>44369</v>
      </c>
      <c r="AR474" s="11">
        <v>44145</v>
      </c>
      <c r="AS474" s="11">
        <f t="shared" si="3"/>
        <v>44145</v>
      </c>
      <c r="AT474" s="11">
        <f ca="1">IFERROR(__xludf.DUMMYFUNCTION("""COMPUTED_VALUE"""),44144)</f>
        <v>44144</v>
      </c>
    </row>
    <row r="475" spans="1:46" ht="13">
      <c r="A475" s="11">
        <v>44143</v>
      </c>
      <c r="B475">
        <f>IFERROR(VLOOKUP($A475,koronahun!$A:$AM,2,FALSE),"")</f>
        <v>109616</v>
      </c>
      <c r="C475">
        <f>IFERROR(VLOOKUP($A475,koronahun!$A:$AM,3,FALSE),"")</f>
        <v>4673</v>
      </c>
      <c r="D475">
        <f>IFERROR(VLOOKUP($A475,koronahun!$A:$AM,4,FALSE),"")</f>
        <v>2438</v>
      </c>
      <c r="E475">
        <f>IFERROR(VLOOKUP($A475,koronahun!$A:$AM,5,FALSE),"")</f>
        <v>25070</v>
      </c>
      <c r="F475">
        <f>IFERROR(VLOOKUP($A475,koronahun!$A:$AM,6,FALSE),"")</f>
        <v>1209151</v>
      </c>
      <c r="G475" s="12">
        <f>IFERROR(VLOOKUP($A475,koronahun!$A:$AM,7,FALSE),"")</f>
        <v>123382.75510204081</v>
      </c>
      <c r="H475">
        <f>IFERROR(VLOOKUP($A475,koronahun!$A:$AM,8,FALSE),"")</f>
        <v>0</v>
      </c>
      <c r="I475" s="13">
        <f>IFERROR(VLOOKUP($A475,koronahun!$A:$AM,9,FALSE),"")</f>
        <v>4.4528934755057509E-2</v>
      </c>
      <c r="J475" s="13">
        <f>IFERROR(VLOOKUP($A475,koronahun!$A:$AM,10,FALSE),"")</f>
        <v>9.0655344121619214E-2</v>
      </c>
      <c r="K475" s="13">
        <f>IFERROR(VLOOKUP($A475,koronahun!$A:$AM,11,FALSE),"")</f>
        <v>1.6125725023151998E-2</v>
      </c>
      <c r="L475">
        <f>IFERROR(VLOOKUP($A475,koronahun!$A:$AM,12,FALSE),"")</f>
        <v>82108</v>
      </c>
      <c r="M475" s="13">
        <f>IFERROR(VLOOKUP($A475,koronahun!$A:$AM,13,FALSE),"")</f>
        <v>2.2241278645453218E-2</v>
      </c>
      <c r="N475" s="13">
        <f>IFERROR(VLOOKUP($A475,koronahun!$A:$AM,14,FALSE),"")</f>
        <v>0.22870748795796234</v>
      </c>
      <c r="O475">
        <f>IFERROR(VLOOKUP($A475,koronahun!$A:$AM,15,FALSE),"")</f>
        <v>34287</v>
      </c>
      <c r="P475">
        <f>IFERROR(VLOOKUP($A475,koronahun!$A:$AM,16,FALSE),"")</f>
        <v>19189</v>
      </c>
      <c r="Q475" s="13">
        <f>IFERROR(VLOOKUP($A475,koronahun!$A:$AM,17,FALSE),"")</f>
        <v>0.24352493616134244</v>
      </c>
      <c r="R475">
        <f>IFERROR(VLOOKUP($A475,koronahun!$A:$AM,18,FALSE),"")</f>
        <v>81</v>
      </c>
      <c r="S475">
        <f>IFERROR(VLOOKUP($A475,koronahun!$A:$AM,19,FALSE),"")</f>
        <v>223</v>
      </c>
      <c r="T475">
        <f>IFERROR(VLOOKUP($A475,koronahun!$A:$AM,20,FALSE),"")</f>
        <v>5803</v>
      </c>
      <c r="U475">
        <f>IFERROR(VLOOKUP($A475,koronahun!$A:$AM,21,FALSE),"")</f>
        <v>417</v>
      </c>
      <c r="V475" s="13">
        <f>IFERROR(VLOOKUP($A475,koronahun!$A:$AM,22,FALSE),"")</f>
        <v>0.74905123339658441</v>
      </c>
      <c r="W475">
        <f>IFERROR(VLOOKUP($A475,koronahun!$A:$AM,23,FALSE),"")</f>
        <v>191</v>
      </c>
      <c r="X475">
        <f>IFERROR(VLOOKUP($A475,koronahun!$A:$AM,24,FALSE),"")</f>
        <v>12</v>
      </c>
      <c r="Y475" s="14">
        <f>IFERROR(VLOOKUP($A475,koronahun!$A:$AM,25,FALSE),"")</f>
        <v>7.0675208262288694E-2</v>
      </c>
      <c r="Z475" s="14">
        <f>IFERROR(VLOOKUP($A475,koronahun!$A:$AM,26,FALSE),"")</f>
        <v>7.1859383077718428E-2</v>
      </c>
      <c r="AA475" s="14">
        <f>IFERROR(VLOOKUP($A475,koronahun!$A:$AM,27,FALSE),"")</f>
        <v>1.52450882117081</v>
      </c>
      <c r="AB475" s="14">
        <f>IFERROR(VLOOKUP($A475,koronahun!$A:$AM,28,FALSE),"")</f>
        <v>1.5824869000654067</v>
      </c>
      <c r="AC475" s="14">
        <f>IFERROR(VLOOKUP($A475,koronahun!$A:$AM,29,FALSE),"")</f>
        <v>4345.2857142857147</v>
      </c>
      <c r="AD475" s="14">
        <f>IFERROR(VLOOKUP($A475,koronahun!$A:$AM,30,FALSE),"")</f>
        <v>88.428571428571431</v>
      </c>
      <c r="AE475" s="14">
        <f>IFERROR(VLOOKUP($A475,koronahun!$A:$AM,31,FALSE),"")</f>
        <v>17915.428571428572</v>
      </c>
      <c r="AF475" s="13">
        <f>IFERROR(VLOOKUP($A475,koronahun!$A:$AM,32,FALSE),"")</f>
        <v>0.24429973429717083</v>
      </c>
      <c r="AG475">
        <f>IFERROR(VLOOKUP($A475,koronahun!$A:$AM,33,FALSE),"")</f>
        <v>0</v>
      </c>
      <c r="AH475">
        <f>IFERROR(VLOOKUP($A475,koronahun!$A:$AM,34,FALSE),"")</f>
        <v>0</v>
      </c>
      <c r="AI475">
        <f>IFERROR(VLOOKUP($A475,koronahun!$A:$AM,35,FALSE),"")</f>
        <v>0</v>
      </c>
      <c r="AJ475">
        <f>IFERROR(VLOOKUP($A475,koronahun!$A:$AM,36,FALSE),"")</f>
        <v>0</v>
      </c>
      <c r="AK475">
        <f>IFERROR(VLOOKUP($A475,koronahun!$A:$AM,37,FALSE),"")</f>
        <v>0</v>
      </c>
      <c r="AL475">
        <f>IFERROR(VLOOKUP($A475,koronahun!$A:$AM,38,FALSE),"")</f>
        <v>0</v>
      </c>
      <c r="AM475" s="14">
        <f>IFERROR(VLOOKUP($A475,koronahun!$A:$AM,39,FALSE),"")</f>
        <v>713.14285714285711</v>
      </c>
      <c r="AN475" s="11">
        <f ca="1">IFERROR(__xludf.DUMMYFUNCTION("""COMPUTED_VALUE"""),44367)</f>
        <v>44367</v>
      </c>
      <c r="AO475" s="12">
        <f ca="1">IFERROR(VLOOKUP(AN475,koronahun!A:B,2,FALSE),"")</f>
        <v>0</v>
      </c>
      <c r="AP475" s="11">
        <f t="shared" ca="1" si="2"/>
        <v>44367</v>
      </c>
      <c r="AQ475" s="11">
        <f ca="1">IFERROR(__xludf.DUMMYFUNCTION("""COMPUTED_VALUE"""),44370)</f>
        <v>44370</v>
      </c>
      <c r="AR475" s="11">
        <v>44144</v>
      </c>
      <c r="AS475" s="11">
        <f t="shared" si="3"/>
        <v>44144</v>
      </c>
      <c r="AT475" s="11">
        <f ca="1">IFERROR(__xludf.DUMMYFUNCTION("""COMPUTED_VALUE"""),44143)</f>
        <v>44143</v>
      </c>
    </row>
    <row r="476" spans="1:46" ht="13">
      <c r="A476" s="11">
        <v>44142</v>
      </c>
      <c r="B476">
        <f>IFERROR(VLOOKUP($A476,koronahun!$A:$AM,2,FALSE),"")</f>
        <v>104943</v>
      </c>
      <c r="C476">
        <f>IFERROR(VLOOKUP($A476,koronahun!$A:$AM,3,FALSE),"")</f>
        <v>5318</v>
      </c>
      <c r="D476">
        <f>IFERROR(VLOOKUP($A476,koronahun!$A:$AM,4,FALSE),"")</f>
        <v>2357</v>
      </c>
      <c r="E476">
        <f>IFERROR(VLOOKUP($A476,koronahun!$A:$AM,5,FALSE),"")</f>
        <v>24847</v>
      </c>
      <c r="F476">
        <f>IFERROR(VLOOKUP($A476,koronahun!$A:$AM,6,FALSE),"")</f>
        <v>1189962</v>
      </c>
      <c r="G476" s="12">
        <f>IFERROR(VLOOKUP($A476,koronahun!$A:$AM,7,FALSE),"")</f>
        <v>121424.69387755101</v>
      </c>
      <c r="H476">
        <f>IFERROR(VLOOKUP($A476,koronahun!$A:$AM,8,FALSE),"")</f>
        <v>0</v>
      </c>
      <c r="I476" s="13">
        <f>IFERROR(VLOOKUP($A476,koronahun!$A:$AM,9,FALSE),"")</f>
        <v>5.3380175658720198E-2</v>
      </c>
      <c r="J476" s="13">
        <f>IFERROR(VLOOKUP($A476,koronahun!$A:$AM,10,FALSE),"")</f>
        <v>8.8190211115985212E-2</v>
      </c>
      <c r="K476" s="13">
        <f>IFERROR(VLOOKUP($A476,koronahun!$A:$AM,11,FALSE),"")</f>
        <v>1.9116320855468417E-2</v>
      </c>
      <c r="L476">
        <f>IFERROR(VLOOKUP($A476,koronahun!$A:$AM,12,FALSE),"")</f>
        <v>77739</v>
      </c>
      <c r="M476" s="13">
        <f>IFERROR(VLOOKUP($A476,koronahun!$A:$AM,13,FALSE),"")</f>
        <v>2.2459811516728129E-2</v>
      </c>
      <c r="N476" s="13">
        <f>IFERROR(VLOOKUP($A476,koronahun!$A:$AM,14,FALSE),"")</f>
        <v>0.23676662569204235</v>
      </c>
      <c r="O476">
        <f>IFERROR(VLOOKUP($A476,koronahun!$A:$AM,15,FALSE),"")</f>
        <v>36911</v>
      </c>
      <c r="P476">
        <f>IFERROR(VLOOKUP($A476,koronahun!$A:$AM,16,FALSE),"")</f>
        <v>22321</v>
      </c>
      <c r="Q476" s="13">
        <f>IFERROR(VLOOKUP($A476,koronahun!$A:$AM,17,FALSE),"")</f>
        <v>0.23825097441870885</v>
      </c>
      <c r="R476">
        <f>IFERROR(VLOOKUP($A476,koronahun!$A:$AM,18,FALSE),"")</f>
        <v>107</v>
      </c>
      <c r="S476">
        <f>IFERROR(VLOOKUP($A476,koronahun!$A:$AM,19,FALSE),"")</f>
        <v>1634</v>
      </c>
      <c r="T476">
        <f>IFERROR(VLOOKUP($A476,koronahun!$A:$AM,20,FALSE),"")</f>
        <v>5612</v>
      </c>
      <c r="U476">
        <f>IFERROR(VLOOKUP($A476,koronahun!$A:$AM,21,FALSE),"")</f>
        <v>405</v>
      </c>
      <c r="V476" s="13">
        <f>IFERROR(VLOOKUP($A476,koronahun!$A:$AM,22,FALSE),"")</f>
        <v>0.74077356279122952</v>
      </c>
      <c r="W476">
        <f>IFERROR(VLOOKUP($A476,koronahun!$A:$AM,23,FALSE),"")</f>
        <v>123</v>
      </c>
      <c r="X476">
        <f>IFERROR(VLOOKUP($A476,koronahun!$A:$AM,24,FALSE),"")</f>
        <v>14</v>
      </c>
      <c r="Y476" s="14">
        <f>IFERROR(VLOOKUP($A476,koronahun!$A:$AM,25,FALSE),"")</f>
        <v>7.219027772417963E-2</v>
      </c>
      <c r="Z476" s="14">
        <f>IFERROR(VLOOKUP($A476,koronahun!$A:$AM,26,FALSE),"")</f>
        <v>7.2166785459729155E-2</v>
      </c>
      <c r="AA476" s="14">
        <f>IFERROR(VLOOKUP($A476,koronahun!$A:$AM,27,FALSE),"")</f>
        <v>1.5409665504863965</v>
      </c>
      <c r="AB476" s="14">
        <f>IFERROR(VLOOKUP($A476,koronahun!$A:$AM,28,FALSE),"")</f>
        <v>1.5846803002582404</v>
      </c>
      <c r="AC476" s="14">
        <f>IFERROR(VLOOKUP($A476,koronahun!$A:$AM,29,FALSE),"")</f>
        <v>4231.7142857142853</v>
      </c>
      <c r="AD476" s="14">
        <f>IFERROR(VLOOKUP($A476,koronahun!$A:$AM,30,FALSE),"")</f>
        <v>86.714285714285708</v>
      </c>
      <c r="AE476" s="14">
        <f>IFERROR(VLOOKUP($A476,koronahun!$A:$AM,31,FALSE),"")</f>
        <v>17831.285714285714</v>
      </c>
      <c r="AF476" s="13">
        <f>IFERROR(VLOOKUP($A476,koronahun!$A:$AM,32,FALSE),"")</f>
        <v>0.2392954039392525</v>
      </c>
      <c r="AG476">
        <f>IFERROR(VLOOKUP($A476,koronahun!$A:$AM,33,FALSE),"")</f>
        <v>0</v>
      </c>
      <c r="AH476">
        <f>IFERROR(VLOOKUP($A476,koronahun!$A:$AM,34,FALSE),"")</f>
        <v>0</v>
      </c>
      <c r="AI476">
        <f>IFERROR(VLOOKUP($A476,koronahun!$A:$AM,35,FALSE),"")</f>
        <v>0</v>
      </c>
      <c r="AJ476">
        <f>IFERROR(VLOOKUP($A476,koronahun!$A:$AM,36,FALSE),"")</f>
        <v>0</v>
      </c>
      <c r="AK476">
        <f>IFERROR(VLOOKUP($A476,koronahun!$A:$AM,37,FALSE),"")</f>
        <v>0</v>
      </c>
      <c r="AL476">
        <f>IFERROR(VLOOKUP($A476,koronahun!$A:$AM,38,FALSE),"")</f>
        <v>0</v>
      </c>
      <c r="AM476" s="14">
        <f>IFERROR(VLOOKUP($A476,koronahun!$A:$AM,39,FALSE),"")</f>
        <v>830.71428571428567</v>
      </c>
      <c r="AN476" s="11">
        <f ca="1">IFERROR(__xludf.DUMMYFUNCTION("""COMPUTED_VALUE"""),44368)</f>
        <v>44368</v>
      </c>
      <c r="AO476" s="12">
        <f ca="1">IFERROR(VLOOKUP(AN476,koronahun!A:B,2,FALSE),"")</f>
        <v>807630</v>
      </c>
      <c r="AP476" s="11">
        <f t="shared" ca="1" si="2"/>
        <v>44368</v>
      </c>
      <c r="AQ476" s="11">
        <f ca="1">IFERROR(__xludf.DUMMYFUNCTION("""COMPUTED_VALUE"""),44371)</f>
        <v>44371</v>
      </c>
      <c r="AR476" s="11">
        <v>44143</v>
      </c>
      <c r="AS476" s="11">
        <f t="shared" si="3"/>
        <v>44143</v>
      </c>
      <c r="AT476" s="11">
        <f ca="1">IFERROR(__xludf.DUMMYFUNCTION("""COMPUTED_VALUE"""),44142)</f>
        <v>44142</v>
      </c>
    </row>
    <row r="477" spans="1:46" ht="13">
      <c r="A477" s="11">
        <v>44141</v>
      </c>
      <c r="B477">
        <f>IFERROR(VLOOKUP($A477,koronahun!$A:$AM,2,FALSE),"")</f>
        <v>99625</v>
      </c>
      <c r="C477">
        <f>IFERROR(VLOOKUP($A477,koronahun!$A:$AM,3,FALSE),"")</f>
        <v>4709</v>
      </c>
      <c r="D477">
        <f>IFERROR(VLOOKUP($A477,koronahun!$A:$AM,4,FALSE),"")</f>
        <v>2250</v>
      </c>
      <c r="E477">
        <f>IFERROR(VLOOKUP($A477,koronahun!$A:$AM,5,FALSE),"")</f>
        <v>23213</v>
      </c>
      <c r="F477">
        <f>IFERROR(VLOOKUP($A477,koronahun!$A:$AM,6,FALSE),"")</f>
        <v>1167641</v>
      </c>
      <c r="G477" s="12">
        <f>IFERROR(VLOOKUP($A477,koronahun!$A:$AM,7,FALSE),"")</f>
        <v>119147.04081632652</v>
      </c>
      <c r="H477">
        <f>IFERROR(VLOOKUP($A477,koronahun!$A:$AM,8,FALSE),"")</f>
        <v>0</v>
      </c>
      <c r="I477" s="13">
        <f>IFERROR(VLOOKUP($A477,koronahun!$A:$AM,9,FALSE),"")</f>
        <v>4.9612288760588312E-2</v>
      </c>
      <c r="J477" s="13">
        <f>IFERROR(VLOOKUP($A477,koronahun!$A:$AM,10,FALSE),"")</f>
        <v>8.5321601416873852E-2</v>
      </c>
      <c r="K477" s="13">
        <f>IFERROR(VLOOKUP($A477,koronahun!$A:$AM,11,FALSE),"")</f>
        <v>1.7449216462649526E-2</v>
      </c>
      <c r="L477">
        <f>IFERROR(VLOOKUP($A477,koronahun!$A:$AM,12,FALSE),"")</f>
        <v>74162</v>
      </c>
      <c r="M477" s="13">
        <f>IFERROR(VLOOKUP($A477,koronahun!$A:$AM,13,FALSE),"")</f>
        <v>2.258469259723965E-2</v>
      </c>
      <c r="N477" s="13">
        <f>IFERROR(VLOOKUP($A477,koronahun!$A:$AM,14,FALSE),"")</f>
        <v>0.23300376411543286</v>
      </c>
      <c r="O477">
        <f>IFERROR(VLOOKUP($A477,koronahun!$A:$AM,15,FALSE),"")</f>
        <v>34603</v>
      </c>
      <c r="P477">
        <f>IFERROR(VLOOKUP($A477,koronahun!$A:$AM,16,FALSE),"")</f>
        <v>20025</v>
      </c>
      <c r="Q477" s="13">
        <f>IFERROR(VLOOKUP($A477,koronahun!$A:$AM,17,FALSE),"")</f>
        <v>0.23515605493133582</v>
      </c>
      <c r="R477">
        <f>IFERROR(VLOOKUP($A477,koronahun!$A:$AM,18,FALSE),"")</f>
        <v>103</v>
      </c>
      <c r="S477">
        <f>IFERROR(VLOOKUP($A477,koronahun!$A:$AM,19,FALSE),"")</f>
        <v>390</v>
      </c>
      <c r="T477">
        <f>IFERROR(VLOOKUP($A477,koronahun!$A:$AM,20,FALSE),"")</f>
        <v>5489</v>
      </c>
      <c r="U477">
        <f>IFERROR(VLOOKUP($A477,koronahun!$A:$AM,21,FALSE),"")</f>
        <v>391</v>
      </c>
      <c r="V477" s="13">
        <f>IFERROR(VLOOKUP($A477,koronahun!$A:$AM,22,FALSE),"")</f>
        <v>0.7444115432873275</v>
      </c>
      <c r="W477">
        <f>IFERROR(VLOOKUP($A477,koronahun!$A:$AM,23,FALSE),"")</f>
        <v>306</v>
      </c>
      <c r="X477">
        <f>IFERROR(VLOOKUP($A477,koronahun!$A:$AM,24,FALSE),"")</f>
        <v>13</v>
      </c>
      <c r="Y477" s="14">
        <f>IFERROR(VLOOKUP($A477,koronahun!$A:$AM,25,FALSE),"")</f>
        <v>7.4013645802432512E-2</v>
      </c>
      <c r="Z477" s="14">
        <f>IFERROR(VLOOKUP($A477,koronahun!$A:$AM,26,FALSE),"")</f>
        <v>7.1233375842594274E-2</v>
      </c>
      <c r="AA477" s="14">
        <f>IFERROR(VLOOKUP($A477,koronahun!$A:$AM,27,FALSE),"")</f>
        <v>1.6464546250364751</v>
      </c>
      <c r="AB477" s="14">
        <f>IFERROR(VLOOKUP($A477,koronahun!$A:$AM,28,FALSE),"")</f>
        <v>1.6079514449060037</v>
      </c>
      <c r="AC477" s="14">
        <f>IFERROR(VLOOKUP($A477,koronahun!$A:$AM,29,FALSE),"")</f>
        <v>4030.2857142857142</v>
      </c>
      <c r="AD477" s="14">
        <f>IFERROR(VLOOKUP($A477,koronahun!$A:$AM,30,FALSE),"")</f>
        <v>78.714285714285708</v>
      </c>
      <c r="AE477" s="14">
        <f>IFERROR(VLOOKUP($A477,koronahun!$A:$AM,31,FALSE),"")</f>
        <v>17008.714285714286</v>
      </c>
      <c r="AF477" s="13">
        <f>IFERROR(VLOOKUP($A477,koronahun!$A:$AM,32,FALSE),"")</f>
        <v>0.23896634959870794</v>
      </c>
      <c r="AG477">
        <f>IFERROR(VLOOKUP($A477,koronahun!$A:$AM,33,FALSE),"")</f>
        <v>0</v>
      </c>
      <c r="AH477">
        <f>IFERROR(VLOOKUP($A477,koronahun!$A:$AM,34,FALSE),"")</f>
        <v>0</v>
      </c>
      <c r="AI477">
        <f>IFERROR(VLOOKUP($A477,koronahun!$A:$AM,35,FALSE),"")</f>
        <v>0</v>
      </c>
      <c r="AJ477">
        <f>IFERROR(VLOOKUP($A477,koronahun!$A:$AM,36,FALSE),"")</f>
        <v>0</v>
      </c>
      <c r="AK477">
        <f>IFERROR(VLOOKUP($A477,koronahun!$A:$AM,37,FALSE),"")</f>
        <v>0</v>
      </c>
      <c r="AL477">
        <f>IFERROR(VLOOKUP($A477,koronahun!$A:$AM,38,FALSE),"")</f>
        <v>0</v>
      </c>
      <c r="AM477" s="14">
        <f>IFERROR(VLOOKUP($A477,koronahun!$A:$AM,39,FALSE),"")</f>
        <v>751.42857142857144</v>
      </c>
      <c r="AN477" s="11">
        <f ca="1">IFERROR(__xludf.DUMMYFUNCTION("""COMPUTED_VALUE"""),44369)</f>
        <v>44369</v>
      </c>
      <c r="AO477" s="12">
        <f ca="1">IFERROR(VLOOKUP(AN477,koronahun!A:B,2,FALSE),"")</f>
        <v>807684</v>
      </c>
      <c r="AP477" s="11">
        <f t="shared" ca="1" si="2"/>
        <v>44369</v>
      </c>
      <c r="AQ477" s="11">
        <f ca="1">IFERROR(__xludf.DUMMYFUNCTION("""COMPUTED_VALUE"""),44372)</f>
        <v>44372</v>
      </c>
      <c r="AR477" s="11">
        <v>44142</v>
      </c>
      <c r="AS477" s="11">
        <f t="shared" si="3"/>
        <v>44142</v>
      </c>
      <c r="AT477" s="11">
        <f ca="1">IFERROR(__xludf.DUMMYFUNCTION("""COMPUTED_VALUE"""),44141)</f>
        <v>44141</v>
      </c>
    </row>
    <row r="478" spans="1:46" ht="13">
      <c r="A478" s="11">
        <v>44140</v>
      </c>
      <c r="B478">
        <f>IFERROR(VLOOKUP($A478,koronahun!$A:$AM,2,FALSE),"")</f>
        <v>94916</v>
      </c>
      <c r="C478">
        <f>IFERROR(VLOOKUP($A478,koronahun!$A:$AM,3,FALSE),"")</f>
        <v>3928</v>
      </c>
      <c r="D478">
        <f>IFERROR(VLOOKUP($A478,koronahun!$A:$AM,4,FALSE),"")</f>
        <v>2147</v>
      </c>
      <c r="E478">
        <f>IFERROR(VLOOKUP($A478,koronahun!$A:$AM,5,FALSE),"")</f>
        <v>22823</v>
      </c>
      <c r="F478">
        <f>IFERROR(VLOOKUP($A478,koronahun!$A:$AM,6,FALSE),"")</f>
        <v>1147616</v>
      </c>
      <c r="G478" s="12">
        <f>IFERROR(VLOOKUP($A478,koronahun!$A:$AM,7,FALSE),"")</f>
        <v>117103.67346938775</v>
      </c>
      <c r="H478">
        <f>IFERROR(VLOOKUP($A478,koronahun!$A:$AM,8,FALSE),"")</f>
        <v>0</v>
      </c>
      <c r="I478" s="13">
        <f>IFERROR(VLOOKUP($A478,koronahun!$A:$AM,9,FALSE),"")</f>
        <v>4.3170527981711872E-2</v>
      </c>
      <c r="J478" s="13">
        <f>IFERROR(VLOOKUP($A478,koronahun!$A:$AM,10,FALSE),"")</f>
        <v>8.2707107603937208E-2</v>
      </c>
      <c r="K478" s="13">
        <f>IFERROR(VLOOKUP($A478,koronahun!$A:$AM,11,FALSE),"")</f>
        <v>1.5905839695197089E-2</v>
      </c>
      <c r="L478">
        <f>IFERROR(VLOOKUP($A478,koronahun!$A:$AM,12,FALSE),"")</f>
        <v>69946</v>
      </c>
      <c r="M478" s="13">
        <f>IFERROR(VLOOKUP($A478,koronahun!$A:$AM,13,FALSE),"")</f>
        <v>2.262000084285052E-2</v>
      </c>
      <c r="N478" s="13">
        <f>IFERROR(VLOOKUP($A478,koronahun!$A:$AM,14,FALSE),"")</f>
        <v>0.24045471785578829</v>
      </c>
      <c r="O478">
        <f>IFERROR(VLOOKUP($A478,koronahun!$A:$AM,15,FALSE),"")</f>
        <v>34603</v>
      </c>
      <c r="P478">
        <f>IFERROR(VLOOKUP($A478,koronahun!$A:$AM,16,FALSE),"")</f>
        <v>17968</v>
      </c>
      <c r="Q478" s="13">
        <f>IFERROR(VLOOKUP($A478,koronahun!$A:$AM,17,FALSE),"")</f>
        <v>0.21861086375779162</v>
      </c>
      <c r="R478">
        <f>IFERROR(VLOOKUP($A478,koronahun!$A:$AM,18,FALSE),"")</f>
        <v>84</v>
      </c>
      <c r="S478">
        <f>IFERROR(VLOOKUP($A478,koronahun!$A:$AM,19,FALSE),"")</f>
        <v>1591</v>
      </c>
      <c r="T478">
        <f>IFERROR(VLOOKUP($A478,koronahun!$A:$AM,20,FALSE),"")</f>
        <v>5183</v>
      </c>
      <c r="U478">
        <f>IFERROR(VLOOKUP($A478,koronahun!$A:$AM,21,FALSE),"")</f>
        <v>378</v>
      </c>
      <c r="V478" s="13">
        <f>IFERROR(VLOOKUP($A478,koronahun!$A:$AM,22,FALSE),"")</f>
        <v>0.73692528130136126</v>
      </c>
      <c r="W478">
        <f>IFERROR(VLOOKUP($A478,koronahun!$A:$AM,23,FALSE),"")</f>
        <v>312</v>
      </c>
      <c r="X478">
        <f>IFERROR(VLOOKUP($A478,koronahun!$A:$AM,24,FALSE),"")</f>
        <v>23</v>
      </c>
      <c r="Y478" s="14">
        <f>IFERROR(VLOOKUP($A478,koronahun!$A:$AM,25,FALSE),"")</f>
        <v>7.4100020015440485E-2</v>
      </c>
      <c r="Z478" s="14">
        <f>IFERROR(VLOOKUP($A478,koronahun!$A:$AM,26,FALSE),"")</f>
        <v>7.2930735095504531E-2</v>
      </c>
      <c r="AA478" s="14">
        <f>IFERROR(VLOOKUP($A478,koronahun!$A:$AM,27,FALSE),"")</f>
        <v>1.6832547910775997</v>
      </c>
      <c r="AB478" s="14">
        <f>IFERROR(VLOOKUP($A478,koronahun!$A:$AM,28,FALSE),"")</f>
        <v>1.5902729351049927</v>
      </c>
      <c r="AC478" s="14">
        <f>IFERROR(VLOOKUP($A478,koronahun!$A:$AM,29,FALSE),"")</f>
        <v>3827</v>
      </c>
      <c r="AD478" s="14">
        <f>IFERROR(VLOOKUP($A478,koronahun!$A:$AM,30,FALSE),"")</f>
        <v>73.285714285714292</v>
      </c>
      <c r="AE478" s="14">
        <f>IFERROR(VLOOKUP($A478,koronahun!$A:$AM,31,FALSE),"")</f>
        <v>16382</v>
      </c>
      <c r="AF478" s="13">
        <f>IFERROR(VLOOKUP($A478,koronahun!$A:$AM,32,FALSE),"")</f>
        <v>0.23539108068401088</v>
      </c>
      <c r="AG478">
        <f>IFERROR(VLOOKUP($A478,koronahun!$A:$AM,33,FALSE),"")</f>
        <v>0</v>
      </c>
      <c r="AH478">
        <f>IFERROR(VLOOKUP($A478,koronahun!$A:$AM,34,FALSE),"")</f>
        <v>0</v>
      </c>
      <c r="AI478">
        <f>IFERROR(VLOOKUP($A478,koronahun!$A:$AM,35,FALSE),"")</f>
        <v>0</v>
      </c>
      <c r="AJ478">
        <f>IFERROR(VLOOKUP($A478,koronahun!$A:$AM,36,FALSE),"")</f>
        <v>0</v>
      </c>
      <c r="AK478">
        <f>IFERROR(VLOOKUP($A478,koronahun!$A:$AM,37,FALSE),"")</f>
        <v>0</v>
      </c>
      <c r="AL478">
        <f>IFERROR(VLOOKUP($A478,koronahun!$A:$AM,38,FALSE),"")</f>
        <v>0</v>
      </c>
      <c r="AM478" s="14">
        <f>IFERROR(VLOOKUP($A478,koronahun!$A:$AM,39,FALSE),"")</f>
        <v>764.85714285714289</v>
      </c>
      <c r="AN478" s="11">
        <f ca="1">IFERROR(__xludf.DUMMYFUNCTION("""COMPUTED_VALUE"""),44370)</f>
        <v>44370</v>
      </c>
      <c r="AO478" s="12">
        <f ca="1">IFERROR(VLOOKUP(AN478,koronahun!A:B,2,FALSE),"")</f>
        <v>807775</v>
      </c>
      <c r="AP478" s="11">
        <f t="shared" ca="1" si="2"/>
        <v>44370</v>
      </c>
      <c r="AQ478" s="11">
        <f ca="1">IFERROR(__xludf.DUMMYFUNCTION("""COMPUTED_VALUE"""),44375)</f>
        <v>44375</v>
      </c>
      <c r="AR478" s="11">
        <v>44141</v>
      </c>
      <c r="AS478" s="11">
        <f t="shared" si="3"/>
        <v>44141</v>
      </c>
      <c r="AT478" s="11">
        <f ca="1">IFERROR(__xludf.DUMMYFUNCTION("""COMPUTED_VALUE"""),44140)</f>
        <v>44140</v>
      </c>
    </row>
    <row r="479" spans="1:46" ht="13">
      <c r="A479" s="11">
        <v>44139</v>
      </c>
      <c r="B479">
        <f>IFERROR(VLOOKUP($A479,koronahun!$A:$AM,2,FALSE),"")</f>
        <v>90988</v>
      </c>
      <c r="C479">
        <f>IFERROR(VLOOKUP($A479,koronahun!$A:$AM,3,FALSE),"")</f>
        <v>4219</v>
      </c>
      <c r="D479">
        <f>IFERROR(VLOOKUP($A479,koronahun!$A:$AM,4,FALSE),"")</f>
        <v>2063</v>
      </c>
      <c r="E479">
        <f>IFERROR(VLOOKUP($A479,koronahun!$A:$AM,5,FALSE),"")</f>
        <v>21232</v>
      </c>
      <c r="F479">
        <f>IFERROR(VLOOKUP($A479,koronahun!$A:$AM,6,FALSE),"")</f>
        <v>1129648</v>
      </c>
      <c r="G479" s="12">
        <f>IFERROR(VLOOKUP($A479,koronahun!$A:$AM,7,FALSE),"")</f>
        <v>115270.20408163265</v>
      </c>
      <c r="H479">
        <f>IFERROR(VLOOKUP($A479,koronahun!$A:$AM,8,FALSE),"")</f>
        <v>0</v>
      </c>
      <c r="I479" s="13">
        <f>IFERROR(VLOOKUP($A479,koronahun!$A:$AM,9,FALSE),"")</f>
        <v>4.862335626779149E-2</v>
      </c>
      <c r="J479" s="13">
        <f>IFERROR(VLOOKUP($A479,koronahun!$A:$AM,10,FALSE),"")</f>
        <v>8.0545444244578837E-2</v>
      </c>
      <c r="K479" s="13">
        <f>IFERROR(VLOOKUP($A479,koronahun!$A:$AM,11,FALSE),"")</f>
        <v>1.5878725637167926E-2</v>
      </c>
      <c r="L479">
        <f>IFERROR(VLOOKUP($A479,koronahun!$A:$AM,12,FALSE),"")</f>
        <v>67693</v>
      </c>
      <c r="M479" s="13">
        <f>IFERROR(VLOOKUP($A479,koronahun!$A:$AM,13,FALSE),"")</f>
        <v>2.2673319558623114E-2</v>
      </c>
      <c r="N479" s="13">
        <f>IFERROR(VLOOKUP($A479,koronahun!$A:$AM,14,FALSE),"")</f>
        <v>0.23334945267507803</v>
      </c>
      <c r="O479">
        <f>IFERROR(VLOOKUP($A479,koronahun!$A:$AM,15,FALSE),"")</f>
        <v>32743</v>
      </c>
      <c r="P479">
        <f>IFERROR(VLOOKUP($A479,koronahun!$A:$AM,16,FALSE),"")</f>
        <v>17657</v>
      </c>
      <c r="Q479" s="13">
        <f>IFERROR(VLOOKUP($A479,koronahun!$A:$AM,17,FALSE),"")</f>
        <v>0.23894206263804724</v>
      </c>
      <c r="R479">
        <f>IFERROR(VLOOKUP($A479,koronahun!$A:$AM,18,FALSE),"")</f>
        <v>90</v>
      </c>
      <c r="S479">
        <f>IFERROR(VLOOKUP($A479,koronahun!$A:$AM,19,FALSE),"")</f>
        <v>376</v>
      </c>
      <c r="T479">
        <f>IFERROR(VLOOKUP($A479,koronahun!$A:$AM,20,FALSE),"")</f>
        <v>4871</v>
      </c>
      <c r="U479">
        <f>IFERROR(VLOOKUP($A479,koronahun!$A:$AM,21,FALSE),"")</f>
        <v>355</v>
      </c>
      <c r="V479" s="13">
        <f>IFERROR(VLOOKUP($A479,koronahun!$A:$AM,22,FALSE),"")</f>
        <v>0.74397722776629882</v>
      </c>
      <c r="W479">
        <f>IFERROR(VLOOKUP($A479,koronahun!$A:$AM,23,FALSE),"")</f>
        <v>104</v>
      </c>
      <c r="X479">
        <f>IFERROR(VLOOKUP($A479,koronahun!$A:$AM,24,FALSE),"")</f>
        <v>7</v>
      </c>
      <c r="Y479" s="14">
        <f>IFERROR(VLOOKUP($A479,koronahun!$A:$AM,25,FALSE),"")</f>
        <v>7.1957218619355029E-2</v>
      </c>
      <c r="Z479" s="14">
        <f>IFERROR(VLOOKUP($A479,koronahun!$A:$AM,26,FALSE),"")</f>
        <v>7.2880312050913568E-2</v>
      </c>
      <c r="AA479" s="14">
        <f>IFERROR(VLOOKUP($A479,koronahun!$A:$AM,27,FALSE),"")</f>
        <v>1.590490700184092</v>
      </c>
      <c r="AB479" s="14">
        <f>IFERROR(VLOOKUP($A479,koronahun!$A:$AM,28,FALSE),"")</f>
        <v>1.5667518035551937</v>
      </c>
      <c r="AC479" s="14">
        <f>IFERROR(VLOOKUP($A479,koronahun!$A:$AM,29,FALSE),"")</f>
        <v>3579.2857142857142</v>
      </c>
      <c r="AD479" s="14">
        <f>IFERROR(VLOOKUP($A479,koronahun!$A:$AM,30,FALSE),"")</f>
        <v>69.285714285714292</v>
      </c>
      <c r="AE479" s="14">
        <f>IFERROR(VLOOKUP($A479,koronahun!$A:$AM,31,FALSE),"")</f>
        <v>15994.142857142857</v>
      </c>
      <c r="AF479" s="13">
        <f>IFERROR(VLOOKUP($A479,koronahun!$A:$AM,32,FALSE),"")</f>
        <v>0.22470960814092708</v>
      </c>
      <c r="AG479">
        <f>IFERROR(VLOOKUP($A479,koronahun!$A:$AM,33,FALSE),"")</f>
        <v>0</v>
      </c>
      <c r="AH479">
        <f>IFERROR(VLOOKUP($A479,koronahun!$A:$AM,34,FALSE),"")</f>
        <v>0</v>
      </c>
      <c r="AI479">
        <f>IFERROR(VLOOKUP($A479,koronahun!$A:$AM,35,FALSE),"")</f>
        <v>0</v>
      </c>
      <c r="AJ479">
        <f>IFERROR(VLOOKUP($A479,koronahun!$A:$AM,36,FALSE),"")</f>
        <v>0</v>
      </c>
      <c r="AK479">
        <f>IFERROR(VLOOKUP($A479,koronahun!$A:$AM,37,FALSE),"")</f>
        <v>0</v>
      </c>
      <c r="AL479">
        <f>IFERROR(VLOOKUP($A479,koronahun!$A:$AM,38,FALSE),"")</f>
        <v>0</v>
      </c>
      <c r="AM479" s="14">
        <f>IFERROR(VLOOKUP($A479,koronahun!$A:$AM,39,FALSE),"")</f>
        <v>590.57142857142856</v>
      </c>
      <c r="AN479" s="11">
        <f ca="1">IFERROR(__xludf.DUMMYFUNCTION("""COMPUTED_VALUE"""),44371)</f>
        <v>44371</v>
      </c>
      <c r="AO479" s="12">
        <f ca="1">IFERROR(VLOOKUP(AN479,koronahun!A:B,2,FALSE),"")</f>
        <v>807844</v>
      </c>
      <c r="AP479" s="11">
        <f t="shared" ca="1" si="2"/>
        <v>44371</v>
      </c>
      <c r="AQ479" s="11">
        <f ca="1">IFERROR(__xludf.DUMMYFUNCTION("""COMPUTED_VALUE"""),44376)</f>
        <v>44376</v>
      </c>
      <c r="AR479" s="11">
        <v>44140</v>
      </c>
      <c r="AS479" s="11">
        <f t="shared" si="3"/>
        <v>44140</v>
      </c>
      <c r="AT479" s="11">
        <f ca="1">IFERROR(__xludf.DUMMYFUNCTION("""COMPUTED_VALUE"""),44139)</f>
        <v>44139</v>
      </c>
    </row>
    <row r="480" spans="1:46" ht="13">
      <c r="A480" s="11">
        <v>44138</v>
      </c>
      <c r="B480">
        <f>IFERROR(VLOOKUP($A480,koronahun!$A:$AM,2,FALSE),"")</f>
        <v>86769</v>
      </c>
      <c r="C480">
        <f>IFERROR(VLOOKUP($A480,koronahun!$A:$AM,3,FALSE),"")</f>
        <v>3989</v>
      </c>
      <c r="D480">
        <f>IFERROR(VLOOKUP($A480,koronahun!$A:$AM,4,FALSE),"")</f>
        <v>1973</v>
      </c>
      <c r="E480">
        <f>IFERROR(VLOOKUP($A480,koronahun!$A:$AM,5,FALSE),"")</f>
        <v>20856</v>
      </c>
      <c r="F480">
        <f>IFERROR(VLOOKUP($A480,koronahun!$A:$AM,6,FALSE),"")</f>
        <v>1111991</v>
      </c>
      <c r="G480" s="12">
        <f>IFERROR(VLOOKUP($A480,koronahun!$A:$AM,7,FALSE),"")</f>
        <v>113468.46938775509</v>
      </c>
      <c r="H480">
        <f>IFERROR(VLOOKUP($A480,koronahun!$A:$AM,8,FALSE),"")</f>
        <v>0</v>
      </c>
      <c r="I480" s="13">
        <f>IFERROR(VLOOKUP($A480,koronahun!$A:$AM,9,FALSE),"")</f>
        <v>4.8187968108238707E-2</v>
      </c>
      <c r="J480" s="13">
        <f>IFERROR(VLOOKUP($A480,koronahun!$A:$AM,10,FALSE),"")</f>
        <v>7.8030307799253767E-2</v>
      </c>
      <c r="K480" s="13">
        <f>IFERROR(VLOOKUP($A480,koronahun!$A:$AM,11,FALSE),"")</f>
        <v>1.3322750464519292E-2</v>
      </c>
      <c r="L480">
        <f>IFERROR(VLOOKUP($A480,koronahun!$A:$AM,12,FALSE),"")</f>
        <v>63940</v>
      </c>
      <c r="M480" s="13">
        <f>IFERROR(VLOOKUP($A480,koronahun!$A:$AM,13,FALSE),"")</f>
        <v>2.2738535652133827E-2</v>
      </c>
      <c r="N480" s="13">
        <f>IFERROR(VLOOKUP($A480,koronahun!$A:$AM,14,FALSE),"")</f>
        <v>0.24036234138920581</v>
      </c>
      <c r="O480">
        <f>IFERROR(VLOOKUP($A480,koronahun!$A:$AM,15,FALSE),"")</f>
        <v>30984</v>
      </c>
      <c r="P480">
        <f>IFERROR(VLOOKUP($A480,koronahun!$A:$AM,16,FALSE),"")</f>
        <v>14620</v>
      </c>
      <c r="Q480" s="13">
        <f>IFERROR(VLOOKUP($A480,koronahun!$A:$AM,17,FALSE),"")</f>
        <v>0.27284541723666211</v>
      </c>
      <c r="R480">
        <f>IFERROR(VLOOKUP($A480,koronahun!$A:$AM,18,FALSE),"")</f>
        <v>84</v>
      </c>
      <c r="S480">
        <f>IFERROR(VLOOKUP($A480,koronahun!$A:$AM,19,FALSE),"")</f>
        <v>380</v>
      </c>
      <c r="T480">
        <f>IFERROR(VLOOKUP($A480,koronahun!$A:$AM,20,FALSE),"")</f>
        <v>4767</v>
      </c>
      <c r="U480">
        <f>IFERROR(VLOOKUP($A480,koronahun!$A:$AM,21,FALSE),"")</f>
        <v>348</v>
      </c>
      <c r="V480" s="13">
        <f>IFERROR(VLOOKUP($A480,koronahun!$A:$AM,22,FALSE),"")</f>
        <v>0.73689912295866034</v>
      </c>
      <c r="W480">
        <f>IFERROR(VLOOKUP($A480,koronahun!$A:$AM,23,FALSE),"")</f>
        <v>350</v>
      </c>
      <c r="X480">
        <f>IFERROR(VLOOKUP($A480,koronahun!$A:$AM,24,FALSE),"")</f>
        <v>35</v>
      </c>
      <c r="Y480" s="14">
        <f>IFERROR(VLOOKUP($A480,koronahun!$A:$AM,25,FALSE),"")</f>
        <v>7.4554269627776046E-2</v>
      </c>
      <c r="Z480" s="14">
        <f>IFERROR(VLOOKUP($A480,koronahun!$A:$AM,26,FALSE),"")</f>
        <v>7.3001887979861554E-2</v>
      </c>
      <c r="AA480" s="14">
        <f>IFERROR(VLOOKUP($A480,koronahun!$A:$AM,27,FALSE),"")</f>
        <v>1.5537117903930131</v>
      </c>
      <c r="AB480" s="14">
        <f>IFERROR(VLOOKUP($A480,koronahun!$A:$AM,28,FALSE),"")</f>
        <v>1.5789970897812891</v>
      </c>
      <c r="AC480" s="14">
        <f>IFERROR(VLOOKUP($A480,koronahun!$A:$AM,29,FALSE),"")</f>
        <v>3303.8571428571427</v>
      </c>
      <c r="AD480" s="14">
        <f>IFERROR(VLOOKUP($A480,koronahun!$A:$AM,30,FALSE),"")</f>
        <v>62.571428571428569</v>
      </c>
      <c r="AE480" s="14">
        <f>IFERROR(VLOOKUP($A480,koronahun!$A:$AM,31,FALSE),"")</f>
        <v>15699.714285714286</v>
      </c>
      <c r="AF480" s="13">
        <f>IFERROR(VLOOKUP($A480,koronahun!$A:$AM,32,FALSE),"")</f>
        <v>0.21156026207322673</v>
      </c>
      <c r="AG480">
        <f>IFERROR(VLOOKUP($A480,koronahun!$A:$AM,33,FALSE),"")</f>
        <v>0</v>
      </c>
      <c r="AH480">
        <f>IFERROR(VLOOKUP($A480,koronahun!$A:$AM,34,FALSE),"")</f>
        <v>0</v>
      </c>
      <c r="AI480">
        <f>IFERROR(VLOOKUP($A480,koronahun!$A:$AM,35,FALSE),"")</f>
        <v>0</v>
      </c>
      <c r="AJ480">
        <f>IFERROR(VLOOKUP($A480,koronahun!$A:$AM,36,FALSE),"")</f>
        <v>0</v>
      </c>
      <c r="AK480">
        <f>IFERROR(VLOOKUP($A480,koronahun!$A:$AM,37,FALSE),"")</f>
        <v>0</v>
      </c>
      <c r="AL480">
        <f>IFERROR(VLOOKUP($A480,koronahun!$A:$AM,38,FALSE),"")</f>
        <v>0</v>
      </c>
      <c r="AM480" s="14">
        <f>IFERROR(VLOOKUP($A480,koronahun!$A:$AM,39,FALSE),"")</f>
        <v>601.42857142857144</v>
      </c>
      <c r="AN480" s="11">
        <f ca="1">IFERROR(__xludf.DUMMYFUNCTION("""COMPUTED_VALUE"""),44372)</f>
        <v>44372</v>
      </c>
      <c r="AO480" s="12">
        <f ca="1">IFERROR(VLOOKUP(AN480,koronahun!A:B,2,FALSE),"")</f>
        <v>807910</v>
      </c>
      <c r="AP480" s="11">
        <f t="shared" ca="1" si="2"/>
        <v>44372</v>
      </c>
      <c r="AQ480" s="11">
        <f ca="1">IFERROR(__xludf.DUMMYFUNCTION("""COMPUTED_VALUE"""),44377)</f>
        <v>44377</v>
      </c>
      <c r="AR480" s="11">
        <v>44139</v>
      </c>
      <c r="AS480" s="11">
        <f t="shared" si="3"/>
        <v>44139</v>
      </c>
      <c r="AT480" s="11">
        <f ca="1">IFERROR(__xludf.DUMMYFUNCTION("""COMPUTED_VALUE"""),44138)</f>
        <v>44138</v>
      </c>
    </row>
    <row r="481" spans="1:46" ht="13">
      <c r="A481" s="11">
        <v>44137</v>
      </c>
      <c r="B481">
        <f>IFERROR(VLOOKUP($A481,koronahun!$A:$AM,2,FALSE),"")</f>
        <v>82780</v>
      </c>
      <c r="C481">
        <f>IFERROR(VLOOKUP($A481,koronahun!$A:$AM,3,FALSE),"")</f>
        <v>3581</v>
      </c>
      <c r="D481">
        <f>IFERROR(VLOOKUP($A481,koronahun!$A:$AM,4,FALSE),"")</f>
        <v>1889</v>
      </c>
      <c r="E481">
        <f>IFERROR(VLOOKUP($A481,koronahun!$A:$AM,5,FALSE),"")</f>
        <v>20476</v>
      </c>
      <c r="F481">
        <f>IFERROR(VLOOKUP($A481,koronahun!$A:$AM,6,FALSE),"")</f>
        <v>1097371</v>
      </c>
      <c r="G481" s="12">
        <f>IFERROR(VLOOKUP($A481,koronahun!$A:$AM,7,FALSE),"")</f>
        <v>111976.63265306121</v>
      </c>
      <c r="H481">
        <f>IFERROR(VLOOKUP($A481,koronahun!$A:$AM,8,FALSE),"")</f>
        <v>0</v>
      </c>
      <c r="I481" s="13">
        <f>IFERROR(VLOOKUP($A481,koronahun!$A:$AM,9,FALSE),"")</f>
        <v>4.5215217363855607E-2</v>
      </c>
      <c r="J481" s="13">
        <f>IFERROR(VLOOKUP($A481,koronahun!$A:$AM,10,FALSE),"")</f>
        <v>7.5434834709501158E-2</v>
      </c>
      <c r="K481" s="13">
        <f>IFERROR(VLOOKUP($A481,koronahun!$A:$AM,11,FALSE),"")</f>
        <v>1.2574937046882886E-2</v>
      </c>
      <c r="L481">
        <f>IFERROR(VLOOKUP($A481,koronahun!$A:$AM,12,FALSE),"")</f>
        <v>60415</v>
      </c>
      <c r="M481" s="13">
        <f>IFERROR(VLOOKUP($A481,koronahun!$A:$AM,13,FALSE),"")</f>
        <v>2.2819521623580575E-2</v>
      </c>
      <c r="N481" s="13">
        <f>IFERROR(VLOOKUP($A481,koronahun!$A:$AM,14,FALSE),"")</f>
        <v>0.24735443343802851</v>
      </c>
      <c r="O481">
        <f>IFERROR(VLOOKUP($A481,koronahun!$A:$AM,15,FALSE),"")</f>
        <v>29750</v>
      </c>
      <c r="P481">
        <f>IFERROR(VLOOKUP($A481,koronahun!$A:$AM,16,FALSE),"")</f>
        <v>13628</v>
      </c>
      <c r="Q481" s="13">
        <f>IFERROR(VLOOKUP($A481,koronahun!$A:$AM,17,FALSE),"")</f>
        <v>0.26276783093630762</v>
      </c>
      <c r="R481">
        <f>IFERROR(VLOOKUP($A481,koronahun!$A:$AM,18,FALSE),"")</f>
        <v>70</v>
      </c>
      <c r="S481">
        <f>IFERROR(VLOOKUP($A481,koronahun!$A:$AM,19,FALSE),"")</f>
        <v>398</v>
      </c>
      <c r="T481">
        <f>IFERROR(VLOOKUP($A481,koronahun!$A:$AM,20,FALSE),"")</f>
        <v>4417</v>
      </c>
      <c r="U481">
        <f>IFERROR(VLOOKUP($A481,koronahun!$A:$AM,21,FALSE),"")</f>
        <v>313</v>
      </c>
      <c r="V481" s="13">
        <f>IFERROR(VLOOKUP($A481,koronahun!$A:$AM,22,FALSE),"")</f>
        <v>0.72982604493839087</v>
      </c>
      <c r="W481">
        <f>IFERROR(VLOOKUP($A481,koronahun!$A:$AM,23,FALSE),"")</f>
        <v>212</v>
      </c>
      <c r="X481">
        <f>IFERROR(VLOOKUP($A481,koronahun!$A:$AM,24,FALSE),"")</f>
        <v>7</v>
      </c>
      <c r="Y481" s="14">
        <f>IFERROR(VLOOKUP($A481,koronahun!$A:$AM,25,FALSE),"")</f>
        <v>7.3110982371927508E-2</v>
      </c>
      <c r="Z481" s="14">
        <f>IFERROR(VLOOKUP($A481,koronahun!$A:$AM,26,FALSE),"")</f>
        <v>7.0862576409327596E-2</v>
      </c>
      <c r="AA481" s="14">
        <f>IFERROR(VLOOKUP($A481,koronahun!$A:$AM,27,FALSE),"")</f>
        <v>1.5380210221094599</v>
      </c>
      <c r="AB481" s="14">
        <f>IFERROR(VLOOKUP($A481,koronahun!$A:$AM,28,FALSE),"")</f>
        <v>1.5960971239008448</v>
      </c>
      <c r="AC481" s="14">
        <f>IFERROR(VLOOKUP($A481,koronahun!$A:$AM,29,FALSE),"")</f>
        <v>3031</v>
      </c>
      <c r="AD481" s="14">
        <f>IFERROR(VLOOKUP($A481,koronahun!$A:$AM,30,FALSE),"")</f>
        <v>59.571428571428569</v>
      </c>
      <c r="AE481" s="14">
        <f>IFERROR(VLOOKUP($A481,koronahun!$A:$AM,31,FALSE),"")</f>
        <v>15284</v>
      </c>
      <c r="AF481" s="13">
        <f>IFERROR(VLOOKUP($A481,koronahun!$A:$AM,32,FALSE),"")</f>
        <v>0.19794528298525169</v>
      </c>
      <c r="AG481">
        <f>IFERROR(VLOOKUP($A481,koronahun!$A:$AM,33,FALSE),"")</f>
        <v>0</v>
      </c>
      <c r="AH481">
        <f>IFERROR(VLOOKUP($A481,koronahun!$A:$AM,34,FALSE),"")</f>
        <v>0</v>
      </c>
      <c r="AI481">
        <f>IFERROR(VLOOKUP($A481,koronahun!$A:$AM,35,FALSE),"")</f>
        <v>0</v>
      </c>
      <c r="AJ481">
        <f>IFERROR(VLOOKUP($A481,koronahun!$A:$AM,36,FALSE),"")</f>
        <v>0</v>
      </c>
      <c r="AK481">
        <f>IFERROR(VLOOKUP($A481,koronahun!$A:$AM,37,FALSE),"")</f>
        <v>0</v>
      </c>
      <c r="AL481">
        <f>IFERROR(VLOOKUP($A481,koronahun!$A:$AM,38,FALSE),"")</f>
        <v>0</v>
      </c>
      <c r="AM481" s="14">
        <f>IFERROR(VLOOKUP($A481,koronahun!$A:$AM,39,FALSE),"")</f>
        <v>569.28571428571433</v>
      </c>
      <c r="AN481" s="11">
        <f ca="1">IFERROR(__xludf.DUMMYFUNCTION("""COMPUTED_VALUE"""),44373)</f>
        <v>44373</v>
      </c>
      <c r="AO481" s="12">
        <f ca="1">IFERROR(VLOOKUP(AN481,koronahun!A:B,2,FALSE),"")</f>
        <v>0</v>
      </c>
      <c r="AP481" s="11">
        <f t="shared" ca="1" si="2"/>
        <v>44373</v>
      </c>
      <c r="AQ481" s="11">
        <f ca="1">IFERROR(__xludf.DUMMYFUNCTION("""COMPUTED_VALUE"""),44378)</f>
        <v>44378</v>
      </c>
      <c r="AR481" s="11">
        <v>44138</v>
      </c>
      <c r="AS481" s="11">
        <f t="shared" si="3"/>
        <v>44138</v>
      </c>
      <c r="AT481" s="11">
        <f ca="1">IFERROR(__xludf.DUMMYFUNCTION("""COMPUTED_VALUE"""),44137)</f>
        <v>44137</v>
      </c>
    </row>
    <row r="482" spans="1:46" ht="13">
      <c r="A482" s="11">
        <v>44136</v>
      </c>
      <c r="B482">
        <f>IFERROR(VLOOKUP($A482,koronahun!$A:$AM,2,FALSE),"")</f>
        <v>79199</v>
      </c>
      <c r="C482">
        <f>IFERROR(VLOOKUP($A482,koronahun!$A:$AM,3,FALSE),"")</f>
        <v>3878</v>
      </c>
      <c r="D482">
        <f>IFERROR(VLOOKUP($A482,koronahun!$A:$AM,4,FALSE),"")</f>
        <v>1819</v>
      </c>
      <c r="E482">
        <f>IFERROR(VLOOKUP($A482,koronahun!$A:$AM,5,FALSE),"")</f>
        <v>20078</v>
      </c>
      <c r="F482">
        <f>IFERROR(VLOOKUP($A482,koronahun!$A:$AM,6,FALSE),"")</f>
        <v>1083743</v>
      </c>
      <c r="G482" s="12">
        <f>IFERROR(VLOOKUP($A482,koronahun!$A:$AM,7,FALSE),"")</f>
        <v>110586.02040816325</v>
      </c>
      <c r="H482">
        <f>IFERROR(VLOOKUP($A482,koronahun!$A:$AM,8,FALSE),"")</f>
        <v>0</v>
      </c>
      <c r="I482" s="13">
        <f>IFERROR(VLOOKUP($A482,koronahun!$A:$AM,9,FALSE),"")</f>
        <v>5.1486305280067979E-2</v>
      </c>
      <c r="J482" s="13">
        <f>IFERROR(VLOOKUP($A482,koronahun!$A:$AM,10,FALSE),"")</f>
        <v>7.3079134075145116E-2</v>
      </c>
      <c r="K482" s="13">
        <f>IFERROR(VLOOKUP($A482,koronahun!$A:$AM,11,FALSE),"")</f>
        <v>1.7462444009865342E-2</v>
      </c>
      <c r="L482">
        <f>IFERROR(VLOOKUP($A482,koronahun!$A:$AM,12,FALSE),"")</f>
        <v>57302</v>
      </c>
      <c r="M482" s="13">
        <f>IFERROR(VLOOKUP($A482,koronahun!$A:$AM,13,FALSE),"")</f>
        <v>2.2967461710375132E-2</v>
      </c>
      <c r="N482" s="13">
        <f>IFERROR(VLOOKUP($A482,koronahun!$A:$AM,14,FALSE),"")</f>
        <v>0.25351330193563049</v>
      </c>
      <c r="O482">
        <f>IFERROR(VLOOKUP($A482,koronahun!$A:$AM,15,FALSE),"")</f>
        <v>29635</v>
      </c>
      <c r="P482">
        <f>IFERROR(VLOOKUP($A482,koronahun!$A:$AM,16,FALSE),"")</f>
        <v>18600</v>
      </c>
      <c r="Q482" s="13">
        <f>IFERROR(VLOOKUP($A482,koronahun!$A:$AM,17,FALSE),"")</f>
        <v>0.20849462365591398</v>
      </c>
      <c r="R482">
        <f>IFERROR(VLOOKUP($A482,koronahun!$A:$AM,18,FALSE),"")</f>
        <v>69</v>
      </c>
      <c r="S482">
        <f>IFERROR(VLOOKUP($A482,koronahun!$A:$AM,19,FALSE),"")</f>
        <v>1046</v>
      </c>
      <c r="T482">
        <f>IFERROR(VLOOKUP($A482,koronahun!$A:$AM,20,FALSE),"")</f>
        <v>4205</v>
      </c>
      <c r="U482">
        <f>IFERROR(VLOOKUP($A482,koronahun!$A:$AM,21,FALSE),"")</f>
        <v>306</v>
      </c>
      <c r="V482" s="13">
        <f>IFERROR(VLOOKUP($A482,koronahun!$A:$AM,22,FALSE),"")</f>
        <v>0.7235192363539944</v>
      </c>
      <c r="W482">
        <f>IFERROR(VLOOKUP($A482,koronahun!$A:$AM,23,FALSE),"")</f>
        <v>157</v>
      </c>
      <c r="X482">
        <f>IFERROR(VLOOKUP($A482,koronahun!$A:$AM,24,FALSE),"")</f>
        <v>25</v>
      </c>
      <c r="Y482" s="14">
        <f>IFERROR(VLOOKUP($A482,koronahun!$A:$AM,25,FALSE),"")</f>
        <v>7.3383127988551886E-2</v>
      </c>
      <c r="Z482" s="14">
        <f>IFERROR(VLOOKUP($A482,koronahun!$A:$AM,26,FALSE),"")</f>
        <v>7.2770511296076104E-2</v>
      </c>
      <c r="AA482" s="14">
        <f>IFERROR(VLOOKUP($A482,koronahun!$A:$AM,27,FALSE),"")</f>
        <v>1.5398626225206453</v>
      </c>
      <c r="AB482" s="14">
        <f>IFERROR(VLOOKUP($A482,koronahun!$A:$AM,28,FALSE),"")</f>
        <v>1.5970398155133727</v>
      </c>
      <c r="AC482" s="14">
        <f>IFERROR(VLOOKUP($A482,koronahun!$A:$AM,29,FALSE),"")</f>
        <v>2850.2857142857142</v>
      </c>
      <c r="AD482" s="14">
        <f>IFERROR(VLOOKUP($A482,koronahun!$A:$AM,30,FALSE),"")</f>
        <v>56.285714285714285</v>
      </c>
      <c r="AE482" s="14">
        <f>IFERROR(VLOOKUP($A482,koronahun!$A:$AM,31,FALSE),"")</f>
        <v>14767.142857142857</v>
      </c>
      <c r="AF482" s="13">
        <f>IFERROR(VLOOKUP($A482,koronahun!$A:$AM,32,FALSE),"")</f>
        <v>0.19345968304701225</v>
      </c>
      <c r="AG482">
        <f>IFERROR(VLOOKUP($A482,koronahun!$A:$AM,33,FALSE),"")</f>
        <v>0</v>
      </c>
      <c r="AH482">
        <f>IFERROR(VLOOKUP($A482,koronahun!$A:$AM,34,FALSE),"")</f>
        <v>0</v>
      </c>
      <c r="AI482">
        <f>IFERROR(VLOOKUP($A482,koronahun!$A:$AM,35,FALSE),"")</f>
        <v>0</v>
      </c>
      <c r="AJ482">
        <f>IFERROR(VLOOKUP($A482,koronahun!$A:$AM,36,FALSE),"")</f>
        <v>0</v>
      </c>
      <c r="AK482">
        <f>IFERROR(VLOOKUP($A482,koronahun!$A:$AM,37,FALSE),"")</f>
        <v>0</v>
      </c>
      <c r="AL482">
        <f>IFERROR(VLOOKUP($A482,koronahun!$A:$AM,38,FALSE),"")</f>
        <v>0</v>
      </c>
      <c r="AM482" s="14">
        <f>IFERROR(VLOOKUP($A482,koronahun!$A:$AM,39,FALSE),"")</f>
        <v>548</v>
      </c>
      <c r="AN482" s="11">
        <f ca="1">IFERROR(__xludf.DUMMYFUNCTION("""COMPUTED_VALUE"""),44374)</f>
        <v>44374</v>
      </c>
      <c r="AO482" s="12">
        <f ca="1">IFERROR(VLOOKUP(AN482,koronahun!A:B,2,FALSE),"")</f>
        <v>0</v>
      </c>
      <c r="AP482" s="11">
        <f t="shared" ca="1" si="2"/>
        <v>44374</v>
      </c>
      <c r="AQ482" s="11">
        <f ca="1">IFERROR(__xludf.DUMMYFUNCTION("""COMPUTED_VALUE"""),44379)</f>
        <v>44379</v>
      </c>
      <c r="AR482" s="11">
        <v>44137</v>
      </c>
      <c r="AS482" s="11">
        <f t="shared" si="3"/>
        <v>44137</v>
      </c>
      <c r="AT482" s="11">
        <f ca="1">IFERROR(__xludf.DUMMYFUNCTION("""COMPUTED_VALUE"""),44136)</f>
        <v>44136</v>
      </c>
    </row>
    <row r="483" spans="1:46" ht="13">
      <c r="A483" s="11">
        <v>44135</v>
      </c>
      <c r="B483">
        <f>IFERROR(VLOOKUP($A483,koronahun!$A:$AM,2,FALSE),"")</f>
        <v>75321</v>
      </c>
      <c r="C483">
        <f>IFERROR(VLOOKUP($A483,koronahun!$A:$AM,3,FALSE),"")</f>
        <v>3908</v>
      </c>
      <c r="D483">
        <f>IFERROR(VLOOKUP($A483,koronahun!$A:$AM,4,FALSE),"")</f>
        <v>1750</v>
      </c>
      <c r="E483">
        <f>IFERROR(VLOOKUP($A483,koronahun!$A:$AM,5,FALSE),"")</f>
        <v>19032</v>
      </c>
      <c r="F483">
        <f>IFERROR(VLOOKUP($A483,koronahun!$A:$AM,6,FALSE),"")</f>
        <v>1065143</v>
      </c>
      <c r="G483" s="12">
        <f>IFERROR(VLOOKUP($A483,koronahun!$A:$AM,7,FALSE),"")</f>
        <v>108688.06122448979</v>
      </c>
      <c r="H483">
        <f>IFERROR(VLOOKUP($A483,koronahun!$A:$AM,8,FALSE),"")</f>
        <v>0</v>
      </c>
      <c r="I483" s="13">
        <f>IFERROR(VLOOKUP($A483,koronahun!$A:$AM,9,FALSE),"")</f>
        <v>5.4723929816700038E-2</v>
      </c>
      <c r="J483" s="13">
        <f>IFERROR(VLOOKUP($A483,koronahun!$A:$AM,10,FALSE),"")</f>
        <v>7.0714448670272448E-2</v>
      </c>
      <c r="K483" s="13">
        <f>IFERROR(VLOOKUP($A483,koronahun!$A:$AM,11,FALSE),"")</f>
        <v>1.5795647447023595E-2</v>
      </c>
      <c r="L483">
        <f>IFERROR(VLOOKUP($A483,koronahun!$A:$AM,12,FALSE),"")</f>
        <v>54539</v>
      </c>
      <c r="M483" s="13">
        <f>IFERROR(VLOOKUP($A483,koronahun!$A:$AM,13,FALSE),"")</f>
        <v>2.3233892274398905E-2</v>
      </c>
      <c r="N483" s="13">
        <f>IFERROR(VLOOKUP($A483,koronahun!$A:$AM,14,FALSE),"")</f>
        <v>0.25267853586649142</v>
      </c>
      <c r="O483">
        <f>IFERROR(VLOOKUP($A483,koronahun!$A:$AM,15,FALSE),"")</f>
        <v>28596</v>
      </c>
      <c r="P483">
        <f>IFERROR(VLOOKUP($A483,koronahun!$A:$AM,16,FALSE),"")</f>
        <v>16563</v>
      </c>
      <c r="Q483" s="13">
        <f>IFERROR(VLOOKUP($A483,koronahun!$A:$AM,17,FALSE),"")</f>
        <v>0.23594759403489707</v>
      </c>
      <c r="R483">
        <f>IFERROR(VLOOKUP($A483,koronahun!$A:$AM,18,FALSE),"")</f>
        <v>51</v>
      </c>
      <c r="S483">
        <f>IFERROR(VLOOKUP($A483,koronahun!$A:$AM,19,FALSE),"")</f>
        <v>1079</v>
      </c>
      <c r="T483">
        <f>IFERROR(VLOOKUP($A483,koronahun!$A:$AM,20,FALSE),"")</f>
        <v>4048</v>
      </c>
      <c r="U483">
        <f>IFERROR(VLOOKUP($A483,koronahun!$A:$AM,21,FALSE),"")</f>
        <v>281</v>
      </c>
      <c r="V483" s="13">
        <f>IFERROR(VLOOKUP($A483,koronahun!$A:$AM,22,FALSE),"")</f>
        <v>0.72408757185910966</v>
      </c>
      <c r="W483">
        <f>IFERROR(VLOOKUP($A483,koronahun!$A:$AM,23,FALSE),"")</f>
        <v>295</v>
      </c>
      <c r="X483">
        <f>IFERROR(VLOOKUP($A483,koronahun!$A:$AM,24,FALSE),"")</f>
        <v>14</v>
      </c>
      <c r="Y483" s="14">
        <f>IFERROR(VLOOKUP($A483,koronahun!$A:$AM,25,FALSE),"")</f>
        <v>7.4222116283760242E-2</v>
      </c>
      <c r="Z483" s="14">
        <f>IFERROR(VLOOKUP($A483,koronahun!$A:$AM,26,FALSE),"")</f>
        <v>6.9416996047430832E-2</v>
      </c>
      <c r="AA483" s="14">
        <f>IFERROR(VLOOKUP($A483,koronahun!$A:$AM,27,FALSE),"")</f>
        <v>1.703864563020741</v>
      </c>
      <c r="AB483" s="14">
        <f>IFERROR(VLOOKUP($A483,koronahun!$A:$AM,28,FALSE),"")</f>
        <v>1.5916432572366828</v>
      </c>
      <c r="AC483" s="14">
        <f>IFERROR(VLOOKUP($A483,koronahun!$A:$AM,29,FALSE),"")</f>
        <v>2746.1428571428573</v>
      </c>
      <c r="AD483" s="14">
        <f>IFERROR(VLOOKUP($A483,koronahun!$A:$AM,30,FALSE),"")</f>
        <v>51.428571428571431</v>
      </c>
      <c r="AE483" s="14">
        <f>IFERROR(VLOOKUP($A483,koronahun!$A:$AM,31,FALSE),"")</f>
        <v>14814.571428571429</v>
      </c>
      <c r="AF483" s="13">
        <f>IFERROR(VLOOKUP($A483,koronahun!$A:$AM,32,FALSE),"")</f>
        <v>0.18743647053415596</v>
      </c>
      <c r="AG483">
        <f>IFERROR(VLOOKUP($A483,koronahun!$A:$AM,33,FALSE),"")</f>
        <v>0</v>
      </c>
      <c r="AH483">
        <f>IFERROR(VLOOKUP($A483,koronahun!$A:$AM,34,FALSE),"")</f>
        <v>0</v>
      </c>
      <c r="AI483">
        <f>IFERROR(VLOOKUP($A483,koronahun!$A:$AM,35,FALSE),"")</f>
        <v>0</v>
      </c>
      <c r="AJ483">
        <f>IFERROR(VLOOKUP($A483,koronahun!$A:$AM,36,FALSE),"")</f>
        <v>0</v>
      </c>
      <c r="AK483">
        <f>IFERROR(VLOOKUP($A483,koronahun!$A:$AM,37,FALSE),"")</f>
        <v>0</v>
      </c>
      <c r="AL483">
        <f>IFERROR(VLOOKUP($A483,koronahun!$A:$AM,38,FALSE),"")</f>
        <v>0</v>
      </c>
      <c r="AM483" s="14">
        <f>IFERROR(VLOOKUP($A483,koronahun!$A:$AM,39,FALSE),"")</f>
        <v>432.14285714285717</v>
      </c>
      <c r="AN483" s="11">
        <f ca="1">IFERROR(__xludf.DUMMYFUNCTION("""COMPUTED_VALUE"""),44375)</f>
        <v>44375</v>
      </c>
      <c r="AO483" s="12">
        <f ca="1">IFERROR(VLOOKUP(AN483,koronahun!A:B,2,FALSE),"")</f>
        <v>808042</v>
      </c>
      <c r="AP483" s="11">
        <f t="shared" ca="1" si="2"/>
        <v>44375</v>
      </c>
      <c r="AQ483" s="11">
        <f ca="1">IFERROR(__xludf.DUMMYFUNCTION("""COMPUTED_VALUE"""),44382)</f>
        <v>44382</v>
      </c>
      <c r="AR483" s="11">
        <v>44136</v>
      </c>
      <c r="AS483" s="11">
        <f t="shared" si="3"/>
        <v>44136</v>
      </c>
      <c r="AT483" s="11">
        <f ca="1">IFERROR(__xludf.DUMMYFUNCTION("""COMPUTED_VALUE"""),44135)</f>
        <v>44135</v>
      </c>
    </row>
    <row r="484" spans="1:46" ht="13">
      <c r="A484" s="11">
        <v>44134</v>
      </c>
      <c r="B484">
        <f>IFERROR(VLOOKUP($A484,koronahun!$A:$AM,2,FALSE),"")</f>
        <v>71413</v>
      </c>
      <c r="C484">
        <f>IFERROR(VLOOKUP($A484,koronahun!$A:$AM,3,FALSE),"")</f>
        <v>3286</v>
      </c>
      <c r="D484">
        <f>IFERROR(VLOOKUP($A484,koronahun!$A:$AM,4,FALSE),"")</f>
        <v>1699</v>
      </c>
      <c r="E484">
        <f>IFERROR(VLOOKUP($A484,koronahun!$A:$AM,5,FALSE),"")</f>
        <v>17953</v>
      </c>
      <c r="F484">
        <f>IFERROR(VLOOKUP($A484,koronahun!$A:$AM,6,FALSE),"")</f>
        <v>1048580</v>
      </c>
      <c r="G484" s="12">
        <f>IFERROR(VLOOKUP($A484,koronahun!$A:$AM,7,FALSE),"")</f>
        <v>106997.95918367346</v>
      </c>
      <c r="H484">
        <f>IFERROR(VLOOKUP($A484,koronahun!$A:$AM,8,FALSE),"")</f>
        <v>0</v>
      </c>
      <c r="I484" s="13">
        <f>IFERROR(VLOOKUP($A484,koronahun!$A:$AM,9,FALSE),"")</f>
        <v>4.823344635753813E-2</v>
      </c>
      <c r="J484" s="13">
        <f>IFERROR(VLOOKUP($A484,koronahun!$A:$AM,10,FALSE),"")</f>
        <v>6.8104484159530035E-2</v>
      </c>
      <c r="K484" s="13">
        <f>IFERROR(VLOOKUP($A484,koronahun!$A:$AM,11,FALSE),"")</f>
        <v>1.5139281779615894E-2</v>
      </c>
      <c r="L484">
        <f>IFERROR(VLOOKUP($A484,koronahun!$A:$AM,12,FALSE),"")</f>
        <v>51761</v>
      </c>
      <c r="M484" s="13">
        <f>IFERROR(VLOOKUP($A484,koronahun!$A:$AM,13,FALSE),"")</f>
        <v>2.3791186478652346E-2</v>
      </c>
      <c r="N484" s="13">
        <f>IFERROR(VLOOKUP($A484,koronahun!$A:$AM,14,FALSE),"")</f>
        <v>0.25139680450338175</v>
      </c>
      <c r="O484">
        <f>IFERROR(VLOOKUP($A484,koronahun!$A:$AM,15,FALSE),"")</f>
        <v>26396</v>
      </c>
      <c r="P484">
        <f>IFERROR(VLOOKUP($A484,koronahun!$A:$AM,16,FALSE),"")</f>
        <v>15638</v>
      </c>
      <c r="Q484" s="13">
        <f>IFERROR(VLOOKUP($A484,koronahun!$A:$AM,17,FALSE),"")</f>
        <v>0.21012917252845634</v>
      </c>
      <c r="R484">
        <f>IFERROR(VLOOKUP($A484,koronahun!$A:$AM,18,FALSE),"")</f>
        <v>65</v>
      </c>
      <c r="S484">
        <f>IFERROR(VLOOKUP($A484,koronahun!$A:$AM,19,FALSE),"")</f>
        <v>484</v>
      </c>
      <c r="T484">
        <f>IFERROR(VLOOKUP($A484,koronahun!$A:$AM,20,FALSE),"")</f>
        <v>3753</v>
      </c>
      <c r="U484">
        <f>IFERROR(VLOOKUP($A484,koronahun!$A:$AM,21,FALSE),"")</f>
        <v>267</v>
      </c>
      <c r="V484" s="13">
        <f>IFERROR(VLOOKUP($A484,koronahun!$A:$AM,22,FALSE),"")</f>
        <v>0.72481200901796594</v>
      </c>
      <c r="W484">
        <f>IFERROR(VLOOKUP($A484,koronahun!$A:$AM,23,FALSE),"")</f>
        <v>556</v>
      </c>
      <c r="X484">
        <f>IFERROR(VLOOKUP($A484,koronahun!$A:$AM,24,FALSE),"")</f>
        <v>12</v>
      </c>
      <c r="Y484" s="14">
        <f>IFERROR(VLOOKUP($A484,koronahun!$A:$AM,25,FALSE),"")</f>
        <v>7.2506327157512415E-2</v>
      </c>
      <c r="Z484" s="14">
        <f>IFERROR(VLOOKUP($A484,koronahun!$A:$AM,26,FALSE),"")</f>
        <v>7.1143085531574737E-2</v>
      </c>
      <c r="AA484" s="14">
        <f>IFERROR(VLOOKUP($A484,koronahun!$A:$AM,27,FALSE),"")</f>
        <v>1.5227050564293967</v>
      </c>
      <c r="AB484" s="14">
        <f>IFERROR(VLOOKUP($A484,koronahun!$A:$AM,28,FALSE),"")</f>
        <v>1.5443063314801573</v>
      </c>
      <c r="AC484" s="14">
        <f>IFERROR(VLOOKUP($A484,koronahun!$A:$AM,29,FALSE),"")</f>
        <v>2447.8571428571427</v>
      </c>
      <c r="AD484" s="14">
        <f>IFERROR(VLOOKUP($A484,koronahun!$A:$AM,30,FALSE),"")</f>
        <v>49.571428571428569</v>
      </c>
      <c r="AE484" s="14">
        <f>IFERROR(VLOOKUP($A484,koronahun!$A:$AM,31,FALSE),"")</f>
        <v>14158.571428571429</v>
      </c>
      <c r="AF484" s="13">
        <f>IFERROR(VLOOKUP($A484,koronahun!$A:$AM,32,FALSE),"")</f>
        <v>0.1754488260099874</v>
      </c>
      <c r="AG484">
        <f>IFERROR(VLOOKUP($A484,koronahun!$A:$AM,33,FALSE),"")</f>
        <v>0</v>
      </c>
      <c r="AH484">
        <f>IFERROR(VLOOKUP($A484,koronahun!$A:$AM,34,FALSE),"")</f>
        <v>0</v>
      </c>
      <c r="AI484">
        <f>IFERROR(VLOOKUP($A484,koronahun!$A:$AM,35,FALSE),"")</f>
        <v>0</v>
      </c>
      <c r="AJ484">
        <f>IFERROR(VLOOKUP($A484,koronahun!$A:$AM,36,FALSE),"")</f>
        <v>0</v>
      </c>
      <c r="AK484">
        <f>IFERROR(VLOOKUP($A484,koronahun!$A:$AM,37,FALSE),"")</f>
        <v>0</v>
      </c>
      <c r="AL484">
        <f>IFERROR(VLOOKUP($A484,koronahun!$A:$AM,38,FALSE),"")</f>
        <v>0</v>
      </c>
      <c r="AM484" s="14">
        <f>IFERROR(VLOOKUP($A484,koronahun!$A:$AM,39,FALSE),"")</f>
        <v>328.28571428571428</v>
      </c>
      <c r="AN484" s="11">
        <f ca="1">IFERROR(__xludf.DUMMYFUNCTION("""COMPUTED_VALUE"""),44376)</f>
        <v>44376</v>
      </c>
      <c r="AO484" s="12">
        <f ca="1">IFERROR(VLOOKUP(AN484,koronahun!A:B,2,FALSE),"")</f>
        <v>808076</v>
      </c>
      <c r="AP484" s="11">
        <f t="shared" ca="1" si="2"/>
        <v>44376</v>
      </c>
      <c r="AQ484" s="11">
        <f ca="1">IFERROR(__xludf.DUMMYFUNCTION("""COMPUTED_VALUE"""),44383)</f>
        <v>44383</v>
      </c>
      <c r="AR484" s="11">
        <v>44135</v>
      </c>
      <c r="AS484" s="11">
        <f t="shared" si="3"/>
        <v>44135</v>
      </c>
      <c r="AT484" s="11">
        <f ca="1">IFERROR(__xludf.DUMMYFUNCTION("""COMPUTED_VALUE"""),44134)</f>
        <v>44134</v>
      </c>
    </row>
    <row r="485" spans="1:46" ht="13">
      <c r="A485" s="11">
        <v>44133</v>
      </c>
      <c r="B485">
        <f>IFERROR(VLOOKUP($A485,koronahun!$A:$AM,2,FALSE),"")</f>
        <v>68127</v>
      </c>
      <c r="C485">
        <f>IFERROR(VLOOKUP($A485,koronahun!$A:$AM,3,FALSE),"")</f>
        <v>2194</v>
      </c>
      <c r="D485">
        <f>IFERROR(VLOOKUP($A485,koronahun!$A:$AM,4,FALSE),"")</f>
        <v>1634</v>
      </c>
      <c r="E485">
        <f>IFERROR(VLOOKUP($A485,koronahun!$A:$AM,5,FALSE),"")</f>
        <v>17469</v>
      </c>
      <c r="F485">
        <f>IFERROR(VLOOKUP($A485,koronahun!$A:$AM,6,FALSE),"")</f>
        <v>1032942</v>
      </c>
      <c r="G485" s="12">
        <f>IFERROR(VLOOKUP($A485,koronahun!$A:$AM,7,FALSE),"")</f>
        <v>105402.24489795917</v>
      </c>
      <c r="H485">
        <f>IFERROR(VLOOKUP($A485,koronahun!$A:$AM,8,FALSE),"")</f>
        <v>0</v>
      </c>
      <c r="I485" s="13">
        <f>IFERROR(VLOOKUP($A485,koronahun!$A:$AM,9,FALSE),"")</f>
        <v>3.3276204631974886E-2</v>
      </c>
      <c r="J485" s="13">
        <f>IFERROR(VLOOKUP($A485,koronahun!$A:$AM,10,FALSE),"")</f>
        <v>6.5954332382650721E-2</v>
      </c>
      <c r="K485" s="13">
        <f>IFERROR(VLOOKUP($A485,koronahun!$A:$AM,11,FALSE),"")</f>
        <v>1.4987879401270918E-2</v>
      </c>
      <c r="L485">
        <f>IFERROR(VLOOKUP($A485,koronahun!$A:$AM,12,FALSE),"")</f>
        <v>49024</v>
      </c>
      <c r="M485" s="13">
        <f>IFERROR(VLOOKUP($A485,koronahun!$A:$AM,13,FALSE),"")</f>
        <v>2.3984616965373493E-2</v>
      </c>
      <c r="N485" s="13">
        <f>IFERROR(VLOOKUP($A485,koronahun!$A:$AM,14,FALSE),"")</f>
        <v>0.25641816020080144</v>
      </c>
      <c r="O485">
        <f>IFERROR(VLOOKUP($A485,koronahun!$A:$AM,15,FALSE),"")</f>
        <v>25585</v>
      </c>
      <c r="P485">
        <f>IFERROR(VLOOKUP($A485,koronahun!$A:$AM,16,FALSE),"")</f>
        <v>15253</v>
      </c>
      <c r="Q485" s="13">
        <f>IFERROR(VLOOKUP($A485,koronahun!$A:$AM,17,FALSE),"")</f>
        <v>0.14384055595620535</v>
      </c>
      <c r="R485">
        <f>IFERROR(VLOOKUP($A485,koronahun!$A:$AM,18,FALSE),"")</f>
        <v>56</v>
      </c>
      <c r="S485">
        <f>IFERROR(VLOOKUP($A485,koronahun!$A:$AM,19,FALSE),"")</f>
        <v>371</v>
      </c>
      <c r="T485">
        <f>IFERROR(VLOOKUP($A485,koronahun!$A:$AM,20,FALSE),"")</f>
        <v>3197</v>
      </c>
      <c r="U485">
        <f>IFERROR(VLOOKUP($A485,koronahun!$A:$AM,21,FALSE),"")</f>
        <v>255</v>
      </c>
      <c r="V485" s="13">
        <f>IFERROR(VLOOKUP($A485,koronahun!$A:$AM,22,FALSE),"")</f>
        <v>0.7195972228338251</v>
      </c>
      <c r="W485">
        <f>IFERROR(VLOOKUP($A485,koronahun!$A:$AM,23,FALSE),"")</f>
        <v>31</v>
      </c>
      <c r="X485">
        <f>IFERROR(VLOOKUP($A485,koronahun!$A:$AM,24,FALSE),"")</f>
        <v>-8</v>
      </c>
      <c r="Y485" s="14">
        <f>IFERROR(VLOOKUP($A485,koronahun!$A:$AM,25,FALSE),"")</f>
        <v>6.5212956919060053E-2</v>
      </c>
      <c r="Z485" s="14">
        <f>IFERROR(VLOOKUP($A485,koronahun!$A:$AM,26,FALSE),"")</f>
        <v>7.9762277134813889E-2</v>
      </c>
      <c r="AA485" s="14">
        <f>IFERROR(VLOOKUP($A485,koronahun!$A:$AM,27,FALSE),"")</f>
        <v>1.5186068702290076</v>
      </c>
      <c r="AB485" s="14">
        <f>IFERROR(VLOOKUP($A485,koronahun!$A:$AM,28,FALSE),"")</f>
        <v>1.5327967004715966</v>
      </c>
      <c r="AC485" s="14">
        <f>IFERROR(VLOOKUP($A485,koronahun!$A:$AM,29,FALSE),"")</f>
        <v>2273.5714285714284</v>
      </c>
      <c r="AD485" s="14">
        <f>IFERROR(VLOOKUP($A485,koronahun!$A:$AM,30,FALSE),"")</f>
        <v>47</v>
      </c>
      <c r="AE485" s="14">
        <f>IFERROR(VLOOKUP($A485,koronahun!$A:$AM,31,FALSE),"")</f>
        <v>13871.428571428571</v>
      </c>
      <c r="AF485" s="13">
        <f>IFERROR(VLOOKUP($A485,koronahun!$A:$AM,32,FALSE),"")</f>
        <v>0.16708746533220425</v>
      </c>
      <c r="AG485">
        <f>IFERROR(VLOOKUP($A485,koronahun!$A:$AM,33,FALSE),"")</f>
        <v>0</v>
      </c>
      <c r="AH485">
        <f>IFERROR(VLOOKUP($A485,koronahun!$A:$AM,34,FALSE),"")</f>
        <v>0</v>
      </c>
      <c r="AI485">
        <f>IFERROR(VLOOKUP($A485,koronahun!$A:$AM,35,FALSE),"")</f>
        <v>0</v>
      </c>
      <c r="AJ485">
        <f>IFERROR(VLOOKUP($A485,koronahun!$A:$AM,36,FALSE),"")</f>
        <v>0</v>
      </c>
      <c r="AK485">
        <f>IFERROR(VLOOKUP($A485,koronahun!$A:$AM,37,FALSE),"")</f>
        <v>0</v>
      </c>
      <c r="AL485">
        <f>IFERROR(VLOOKUP($A485,koronahun!$A:$AM,38,FALSE),"")</f>
        <v>0</v>
      </c>
      <c r="AM485" s="14">
        <f>IFERROR(VLOOKUP($A485,koronahun!$A:$AM,39,FALSE),"")</f>
        <v>316.42857142857144</v>
      </c>
      <c r="AN485" s="11">
        <f ca="1">IFERROR(__xludf.DUMMYFUNCTION("""COMPUTED_VALUE"""),44377)</f>
        <v>44377</v>
      </c>
      <c r="AO485" s="12">
        <f ca="1">IFERROR(VLOOKUP(AN485,koronahun!A:B,2,FALSE),"")</f>
        <v>808128</v>
      </c>
      <c r="AP485" s="11">
        <f t="shared" ca="1" si="2"/>
        <v>44377</v>
      </c>
      <c r="AQ485" s="11">
        <f ca="1">IFERROR(__xludf.DUMMYFUNCTION("""COMPUTED_VALUE"""),44384)</f>
        <v>44384</v>
      </c>
      <c r="AR485" s="11">
        <v>44134</v>
      </c>
      <c r="AS485" s="11">
        <f t="shared" si="3"/>
        <v>44134</v>
      </c>
      <c r="AT485" s="11">
        <f ca="1">IFERROR(__xludf.DUMMYFUNCTION("""COMPUTED_VALUE"""),44133)</f>
        <v>44133</v>
      </c>
    </row>
    <row r="486" spans="1:46" ht="13">
      <c r="A486" s="11">
        <v>44132</v>
      </c>
      <c r="B486">
        <f>IFERROR(VLOOKUP($A486,koronahun!$A:$AM,2,FALSE),"")</f>
        <v>65933</v>
      </c>
      <c r="C486">
        <f>IFERROR(VLOOKUP($A486,koronahun!$A:$AM,3,FALSE),"")</f>
        <v>2291</v>
      </c>
      <c r="D486">
        <f>IFERROR(VLOOKUP($A486,koronahun!$A:$AM,4,FALSE),"")</f>
        <v>1578</v>
      </c>
      <c r="E486">
        <f>IFERROR(VLOOKUP($A486,koronahun!$A:$AM,5,FALSE),"")</f>
        <v>17098</v>
      </c>
      <c r="F486">
        <f>IFERROR(VLOOKUP($A486,koronahun!$A:$AM,6,FALSE),"")</f>
        <v>1017689</v>
      </c>
      <c r="G486" s="12">
        <f>IFERROR(VLOOKUP($A486,koronahun!$A:$AM,7,FALSE),"")</f>
        <v>103845.81632653061</v>
      </c>
      <c r="H486">
        <f>IFERROR(VLOOKUP($A486,koronahun!$A:$AM,8,FALSE),"")</f>
        <v>0</v>
      </c>
      <c r="I486" s="13">
        <f>IFERROR(VLOOKUP($A486,koronahun!$A:$AM,9,FALSE),"")</f>
        <v>3.5998240155871906E-2</v>
      </c>
      <c r="J486" s="13">
        <f>IFERROR(VLOOKUP($A486,koronahun!$A:$AM,10,FALSE),"")</f>
        <v>6.4786983056709865E-2</v>
      </c>
      <c r="K486" s="13">
        <f>IFERROR(VLOOKUP($A486,koronahun!$A:$AM,11,FALSE),"")</f>
        <v>1.5563425749905447E-2</v>
      </c>
      <c r="L486">
        <f>IFERROR(VLOOKUP($A486,koronahun!$A:$AM,12,FALSE),"")</f>
        <v>47257</v>
      </c>
      <c r="M486" s="13">
        <f>IFERROR(VLOOKUP($A486,koronahun!$A:$AM,13,FALSE),"")</f>
        <v>2.3933386923088589E-2</v>
      </c>
      <c r="N486" s="13">
        <f>IFERROR(VLOOKUP($A486,koronahun!$A:$AM,14,FALSE),"")</f>
        <v>0.25932385906905497</v>
      </c>
      <c r="O486">
        <f>IFERROR(VLOOKUP($A486,koronahun!$A:$AM,15,FALSE),"")</f>
        <v>36678</v>
      </c>
      <c r="P486">
        <f>IFERROR(VLOOKUP($A486,koronahun!$A:$AM,16,FALSE),"")</f>
        <v>15596</v>
      </c>
      <c r="Q486" s="13">
        <f>IFERROR(VLOOKUP($A486,koronahun!$A:$AM,17,FALSE),"")</f>
        <v>0.14689664016414467</v>
      </c>
      <c r="R486">
        <f>IFERROR(VLOOKUP($A486,koronahun!$A:$AM,18,FALSE),"")</f>
        <v>43</v>
      </c>
      <c r="S486">
        <f>IFERROR(VLOOKUP($A486,koronahun!$A:$AM,19,FALSE),"")</f>
        <v>452</v>
      </c>
      <c r="T486">
        <f>IFERROR(VLOOKUP($A486,koronahun!$A:$AM,20,FALSE),"")</f>
        <v>3166</v>
      </c>
      <c r="U486">
        <f>IFERROR(VLOOKUP($A486,koronahun!$A:$AM,21,FALSE),"")</f>
        <v>263</v>
      </c>
      <c r="V486" s="13">
        <f>IFERROR(VLOOKUP($A486,koronahun!$A:$AM,22,FALSE),"")</f>
        <v>0.71674275400785648</v>
      </c>
      <c r="W486">
        <f>IFERROR(VLOOKUP($A486,koronahun!$A:$AM,23,FALSE),"")</f>
        <v>275</v>
      </c>
      <c r="X486">
        <f>IFERROR(VLOOKUP($A486,koronahun!$A:$AM,24,FALSE),"")</f>
        <v>20</v>
      </c>
      <c r="Y486" s="14">
        <f>IFERROR(VLOOKUP($A486,koronahun!$A:$AM,25,FALSE),"")</f>
        <v>6.6995365765918274E-2</v>
      </c>
      <c r="Z486" s="14">
        <f>IFERROR(VLOOKUP($A486,koronahun!$A:$AM,26,FALSE),"")</f>
        <v>8.3070120025268479E-2</v>
      </c>
      <c r="AA486" s="14">
        <f>IFERROR(VLOOKUP($A486,koronahun!$A:$AM,27,FALSE),"")</f>
        <v>1.6762077037667589</v>
      </c>
      <c r="AB486" s="14">
        <f>IFERROR(VLOOKUP($A486,koronahun!$A:$AM,28,FALSE),"")</f>
        <v>1.5106411597002471</v>
      </c>
      <c r="AC486" s="14">
        <f>IFERROR(VLOOKUP($A486,koronahun!$A:$AM,29,FALSE),"")</f>
        <v>2250.4285714285716</v>
      </c>
      <c r="AD486" s="14">
        <f>IFERROR(VLOOKUP($A486,koronahun!$A:$AM,30,FALSE),"")</f>
        <v>45.571428571428569</v>
      </c>
      <c r="AE486" s="14">
        <f>IFERROR(VLOOKUP($A486,koronahun!$A:$AM,31,FALSE),"")</f>
        <v>14029.714285714286</v>
      </c>
      <c r="AF486" s="13">
        <f>IFERROR(VLOOKUP($A486,koronahun!$A:$AM,32,FALSE),"")</f>
        <v>0.16428135554150444</v>
      </c>
      <c r="AG486">
        <f>IFERROR(VLOOKUP($A486,koronahun!$A:$AM,33,FALSE),"")</f>
        <v>0</v>
      </c>
      <c r="AH486">
        <f>IFERROR(VLOOKUP($A486,koronahun!$A:$AM,34,FALSE),"")</f>
        <v>0</v>
      </c>
      <c r="AI486">
        <f>IFERROR(VLOOKUP($A486,koronahun!$A:$AM,35,FALSE),"")</f>
        <v>0</v>
      </c>
      <c r="AJ486">
        <f>IFERROR(VLOOKUP($A486,koronahun!$A:$AM,36,FALSE),"")</f>
        <v>0</v>
      </c>
      <c r="AK486">
        <f>IFERROR(VLOOKUP($A486,koronahun!$A:$AM,37,FALSE),"")</f>
        <v>0</v>
      </c>
      <c r="AL486">
        <f>IFERROR(VLOOKUP($A486,koronahun!$A:$AM,38,FALSE),"")</f>
        <v>0</v>
      </c>
      <c r="AM486" s="14">
        <f>IFERROR(VLOOKUP($A486,koronahun!$A:$AM,39,FALSE),"")</f>
        <v>313.28571428571428</v>
      </c>
      <c r="AN486" s="11">
        <f ca="1">IFERROR(__xludf.DUMMYFUNCTION("""COMPUTED_VALUE"""),44378)</f>
        <v>44378</v>
      </c>
      <c r="AO486" s="12">
        <f ca="1">IFERROR(VLOOKUP(AN486,koronahun!A:B,2,FALSE),"")</f>
        <v>808160</v>
      </c>
      <c r="AP486" s="11">
        <f t="shared" ca="1" si="2"/>
        <v>44378</v>
      </c>
      <c r="AQ486" s="11">
        <f ca="1">IFERROR(__xludf.DUMMYFUNCTION("""COMPUTED_VALUE"""),44385)</f>
        <v>44385</v>
      </c>
      <c r="AR486" s="11">
        <v>44133</v>
      </c>
      <c r="AS486" s="11">
        <f t="shared" si="3"/>
        <v>44133</v>
      </c>
      <c r="AT486" s="11">
        <f ca="1">IFERROR(__xludf.DUMMYFUNCTION("""COMPUTED_VALUE"""),44132)</f>
        <v>44132</v>
      </c>
    </row>
    <row r="487" spans="1:46" ht="13">
      <c r="A487" s="11">
        <v>44131</v>
      </c>
      <c r="B487">
        <f>IFERROR(VLOOKUP($A487,koronahun!$A:$AM,2,FALSE),"")</f>
        <v>63642</v>
      </c>
      <c r="C487">
        <f>IFERROR(VLOOKUP($A487,koronahun!$A:$AM,3,FALSE),"")</f>
        <v>2079</v>
      </c>
      <c r="D487">
        <f>IFERROR(VLOOKUP($A487,koronahun!$A:$AM,4,FALSE),"")</f>
        <v>1535</v>
      </c>
      <c r="E487">
        <f>IFERROR(VLOOKUP($A487,koronahun!$A:$AM,5,FALSE),"")</f>
        <v>16646</v>
      </c>
      <c r="F487">
        <f>IFERROR(VLOOKUP($A487,koronahun!$A:$AM,6,FALSE),"")</f>
        <v>1002093</v>
      </c>
      <c r="G487" s="12">
        <f>IFERROR(VLOOKUP($A487,koronahun!$A:$AM,7,FALSE),"")</f>
        <v>102254.38775510203</v>
      </c>
      <c r="H487">
        <f>IFERROR(VLOOKUP($A487,koronahun!$A:$AM,8,FALSE),"")</f>
        <v>0</v>
      </c>
      <c r="I487" s="13">
        <f>IFERROR(VLOOKUP($A487,koronahun!$A:$AM,9,FALSE),"")</f>
        <v>3.3770284099215439E-2</v>
      </c>
      <c r="J487" s="13">
        <f>IFERROR(VLOOKUP($A487,koronahun!$A:$AM,10,FALSE),"")</f>
        <v>6.3509075504968107E-2</v>
      </c>
      <c r="K487" s="13">
        <f>IFERROR(VLOOKUP($A487,koronahun!$A:$AM,11,FALSE),"")</f>
        <v>1.1823708605660638E-2</v>
      </c>
      <c r="L487">
        <f>IFERROR(VLOOKUP($A487,koronahun!$A:$AM,12,FALSE),"")</f>
        <v>45461</v>
      </c>
      <c r="M487" s="13">
        <f>IFERROR(VLOOKUP($A487,koronahun!$A:$AM,13,FALSE),"")</f>
        <v>2.4119292291254202E-2</v>
      </c>
      <c r="N487" s="13">
        <f>IFERROR(VLOOKUP($A487,koronahun!$A:$AM,14,FALSE),"")</f>
        <v>0.26155683353760095</v>
      </c>
      <c r="O487">
        <f>IFERROR(VLOOKUP($A487,koronahun!$A:$AM,15,FALSE),"")</f>
        <v>27050</v>
      </c>
      <c r="P487">
        <f>IFERROR(VLOOKUP($A487,koronahun!$A:$AM,16,FALSE),"")</f>
        <v>11710</v>
      </c>
      <c r="Q487" s="13">
        <f>IFERROR(VLOOKUP($A487,koronahun!$A:$AM,17,FALSE),"")</f>
        <v>0.17754056362083689</v>
      </c>
      <c r="R487">
        <f>IFERROR(VLOOKUP($A487,koronahun!$A:$AM,18,FALSE),"")</f>
        <v>63</v>
      </c>
      <c r="S487">
        <f>IFERROR(VLOOKUP($A487,koronahun!$A:$AM,19,FALSE),"")</f>
        <v>155</v>
      </c>
      <c r="T487">
        <f>IFERROR(VLOOKUP($A487,koronahun!$A:$AM,20,FALSE),"")</f>
        <v>2891</v>
      </c>
      <c r="U487">
        <f>IFERROR(VLOOKUP($A487,koronahun!$A:$AM,21,FALSE),"")</f>
        <v>243</v>
      </c>
      <c r="V487" s="13">
        <f>IFERROR(VLOOKUP($A487,koronahun!$A:$AM,22,FALSE),"")</f>
        <v>0.71432387417114485</v>
      </c>
      <c r="W487">
        <f>IFERROR(VLOOKUP($A487,koronahun!$A:$AM,23,FALSE),"")</f>
        <v>289</v>
      </c>
      <c r="X487">
        <f>IFERROR(VLOOKUP($A487,koronahun!$A:$AM,24,FALSE),"")</f>
        <v>10</v>
      </c>
      <c r="Y487" s="14">
        <f>IFERROR(VLOOKUP($A487,koronahun!$A:$AM,25,FALSE),"")</f>
        <v>6.3592969798288643E-2</v>
      </c>
      <c r="Z487" s="14">
        <f>IFERROR(VLOOKUP($A487,koronahun!$A:$AM,26,FALSE),"")</f>
        <v>8.4053960567277763E-2</v>
      </c>
      <c r="AA487" s="14">
        <f>IFERROR(VLOOKUP($A487,koronahun!$A:$AM,27,FALSE),"")</f>
        <v>1.6734120292299044</v>
      </c>
      <c r="AB487" s="14">
        <f>IFERROR(VLOOKUP($A487,koronahun!$A:$AM,28,FALSE),"")</f>
        <v>1.4462704787165019</v>
      </c>
      <c r="AC487" s="14">
        <f>IFERROR(VLOOKUP($A487,koronahun!$A:$AM,29,FALSE),"")</f>
        <v>2126.4285714285716</v>
      </c>
      <c r="AD487" s="14">
        <f>IFERROR(VLOOKUP($A487,koronahun!$A:$AM,30,FALSE),"")</f>
        <v>46.285714285714285</v>
      </c>
      <c r="AE487" s="14">
        <f>IFERROR(VLOOKUP($A487,koronahun!$A:$AM,31,FALSE),"")</f>
        <v>13103.571428571429</v>
      </c>
      <c r="AF487" s="13">
        <f>IFERROR(VLOOKUP($A487,koronahun!$A:$AM,32,FALSE),"")</f>
        <v>0.16560334325425624</v>
      </c>
      <c r="AG487">
        <f>IFERROR(VLOOKUP($A487,koronahun!$A:$AM,33,FALSE),"")</f>
        <v>0</v>
      </c>
      <c r="AH487">
        <f>IFERROR(VLOOKUP($A487,koronahun!$A:$AM,34,FALSE),"")</f>
        <v>0</v>
      </c>
      <c r="AI487">
        <f>IFERROR(VLOOKUP($A487,koronahun!$A:$AM,35,FALSE),"")</f>
        <v>0</v>
      </c>
      <c r="AJ487">
        <f>IFERROR(VLOOKUP($A487,koronahun!$A:$AM,36,FALSE),"")</f>
        <v>0</v>
      </c>
      <c r="AK487">
        <f>IFERROR(VLOOKUP($A487,koronahun!$A:$AM,37,FALSE),"")</f>
        <v>0</v>
      </c>
      <c r="AL487">
        <f>IFERROR(VLOOKUP($A487,koronahun!$A:$AM,38,FALSE),"")</f>
        <v>0</v>
      </c>
      <c r="AM487" s="14">
        <f>IFERROR(VLOOKUP($A487,koronahun!$A:$AM,39,FALSE),"")</f>
        <v>287</v>
      </c>
      <c r="AN487" s="11">
        <f ca="1">IFERROR(__xludf.DUMMYFUNCTION("""COMPUTED_VALUE"""),44379)</f>
        <v>44379</v>
      </c>
      <c r="AO487" s="12">
        <f ca="1">IFERROR(VLOOKUP(AN487,koronahun!A:B,2,FALSE),"")</f>
        <v>808197</v>
      </c>
      <c r="AP487" s="11">
        <f t="shared" ca="1" si="2"/>
        <v>44379</v>
      </c>
      <c r="AQ487" s="11">
        <f ca="1">IFERROR(__xludf.DUMMYFUNCTION("""COMPUTED_VALUE"""),44386)</f>
        <v>44386</v>
      </c>
      <c r="AR487" s="11">
        <v>44132</v>
      </c>
      <c r="AS487" s="11">
        <f t="shared" si="3"/>
        <v>44132</v>
      </c>
      <c r="AT487" s="11">
        <f ca="1">IFERROR(__xludf.DUMMYFUNCTION("""COMPUTED_VALUE"""),44131)</f>
        <v>44131</v>
      </c>
    </row>
    <row r="488" spans="1:46" ht="13">
      <c r="A488" s="11">
        <v>44130</v>
      </c>
      <c r="B488">
        <f>IFERROR(VLOOKUP($A488,koronahun!$A:$AM,2,FALSE),"")</f>
        <v>61563</v>
      </c>
      <c r="C488">
        <f>IFERROR(VLOOKUP($A488,koronahun!$A:$AM,3,FALSE),"")</f>
        <v>2316</v>
      </c>
      <c r="D488">
        <f>IFERROR(VLOOKUP($A488,koronahun!$A:$AM,4,FALSE),"")</f>
        <v>1472</v>
      </c>
      <c r="E488">
        <f>IFERROR(VLOOKUP($A488,koronahun!$A:$AM,5,FALSE),"")</f>
        <v>16491</v>
      </c>
      <c r="F488">
        <f>IFERROR(VLOOKUP($A488,koronahun!$A:$AM,6,FALSE),"")</f>
        <v>990383</v>
      </c>
      <c r="G488" s="12">
        <f>IFERROR(VLOOKUP($A488,koronahun!$A:$AM,7,FALSE),"")</f>
        <v>101059.48979591836</v>
      </c>
      <c r="H488">
        <f>IFERROR(VLOOKUP($A488,koronahun!$A:$AM,8,FALSE),"")</f>
        <v>0</v>
      </c>
      <c r="I488" s="13">
        <f>IFERROR(VLOOKUP($A488,koronahun!$A:$AM,9,FALSE),"")</f>
        <v>3.9090586865157727E-2</v>
      </c>
      <c r="J488" s="13">
        <f>IFERROR(VLOOKUP($A488,koronahun!$A:$AM,10,FALSE),"")</f>
        <v>6.2160800417616215E-2</v>
      </c>
      <c r="K488" s="13">
        <f>IFERROR(VLOOKUP($A488,koronahun!$A:$AM,11,FALSE),"")</f>
        <v>1.0210399511206449E-2</v>
      </c>
      <c r="L488">
        <f>IFERROR(VLOOKUP($A488,koronahun!$A:$AM,12,FALSE),"")</f>
        <v>43600</v>
      </c>
      <c r="M488" s="13">
        <f>IFERROR(VLOOKUP($A488,koronahun!$A:$AM,13,FALSE),"")</f>
        <v>2.3910465701801407E-2</v>
      </c>
      <c r="N488" s="13">
        <f>IFERROR(VLOOKUP($A488,koronahun!$A:$AM,14,FALSE),"")</f>
        <v>0.26787193606549387</v>
      </c>
      <c r="O488">
        <f>IFERROR(VLOOKUP($A488,koronahun!$A:$AM,15,FALSE),"")</f>
        <v>28070</v>
      </c>
      <c r="P488">
        <f>IFERROR(VLOOKUP($A488,koronahun!$A:$AM,16,FALSE),"")</f>
        <v>10010</v>
      </c>
      <c r="Q488" s="13">
        <f>IFERROR(VLOOKUP($A488,koronahun!$A:$AM,17,FALSE),"")</f>
        <v>0.23136863136863137</v>
      </c>
      <c r="R488">
        <f>IFERROR(VLOOKUP($A488,koronahun!$A:$AM,18,FALSE),"")</f>
        <v>47</v>
      </c>
      <c r="S488">
        <f>IFERROR(VLOOKUP($A488,koronahun!$A:$AM,19,FALSE),"")</f>
        <v>249</v>
      </c>
      <c r="T488">
        <f>IFERROR(VLOOKUP($A488,koronahun!$A:$AM,20,FALSE),"")</f>
        <v>2602</v>
      </c>
      <c r="U488">
        <f>IFERROR(VLOOKUP($A488,koronahun!$A:$AM,21,FALSE),"")</f>
        <v>233</v>
      </c>
      <c r="V488" s="13">
        <f>IFERROR(VLOOKUP($A488,koronahun!$A:$AM,22,FALSE),"")</f>
        <v>0.70821759823270469</v>
      </c>
      <c r="W488">
        <f>IFERROR(VLOOKUP($A488,koronahun!$A:$AM,23,FALSE),"")</f>
        <v>153</v>
      </c>
      <c r="X488">
        <f>IFERROR(VLOOKUP($A488,koronahun!$A:$AM,24,FALSE),"")</f>
        <v>12</v>
      </c>
      <c r="Y488" s="14">
        <f>IFERROR(VLOOKUP($A488,koronahun!$A:$AM,25,FALSE),"")</f>
        <v>5.9678899082568806E-2</v>
      </c>
      <c r="Z488" s="14">
        <f>IFERROR(VLOOKUP($A488,koronahun!$A:$AM,26,FALSE),"")</f>
        <v>8.9546502690238283E-2</v>
      </c>
      <c r="AA488" s="14">
        <f>IFERROR(VLOOKUP($A488,koronahun!$A:$AM,27,FALSE),"")</f>
        <v>1.544619863397156</v>
      </c>
      <c r="AB488" s="14">
        <f>IFERROR(VLOOKUP($A488,koronahun!$A:$AM,28,FALSE),"")</f>
        <v>1.3752066313739206</v>
      </c>
      <c r="AC488" s="14">
        <f>IFERROR(VLOOKUP($A488,koronahun!$A:$AM,29,FALSE),"")</f>
        <v>1970.7142857142858</v>
      </c>
      <c r="AD488" s="14">
        <f>IFERROR(VLOOKUP($A488,koronahun!$A:$AM,30,FALSE),"")</f>
        <v>42.714285714285715</v>
      </c>
      <c r="AE488" s="14">
        <f>IFERROR(VLOOKUP($A488,koronahun!$A:$AM,31,FALSE),"")</f>
        <v>12335.285714285714</v>
      </c>
      <c r="AF488" s="13">
        <f>IFERROR(VLOOKUP($A488,koronahun!$A:$AM,32,FALSE),"")</f>
        <v>0.16255337373780601</v>
      </c>
      <c r="AG488">
        <f>IFERROR(VLOOKUP($A488,koronahun!$A:$AM,33,FALSE),"")</f>
        <v>0</v>
      </c>
      <c r="AH488">
        <f>IFERROR(VLOOKUP($A488,koronahun!$A:$AM,34,FALSE),"")</f>
        <v>0</v>
      </c>
      <c r="AI488">
        <f>IFERROR(VLOOKUP($A488,koronahun!$A:$AM,35,FALSE),"")</f>
        <v>0</v>
      </c>
      <c r="AJ488">
        <f>IFERROR(VLOOKUP($A488,koronahun!$A:$AM,36,FALSE),"")</f>
        <v>0</v>
      </c>
      <c r="AK488">
        <f>IFERROR(VLOOKUP($A488,koronahun!$A:$AM,37,FALSE),"")</f>
        <v>0</v>
      </c>
      <c r="AL488">
        <f>IFERROR(VLOOKUP($A488,koronahun!$A:$AM,38,FALSE),"")</f>
        <v>0</v>
      </c>
      <c r="AM488" s="14">
        <f>IFERROR(VLOOKUP($A488,koronahun!$A:$AM,39,FALSE),"")</f>
        <v>311.28571428571428</v>
      </c>
      <c r="AN488" s="11">
        <f ca="1">IFERROR(__xludf.DUMMYFUNCTION("""COMPUTED_VALUE"""),44380)</f>
        <v>44380</v>
      </c>
      <c r="AO488" s="12">
        <f ca="1">IFERROR(VLOOKUP(AN488,koronahun!A:B,2,FALSE),"")</f>
        <v>0</v>
      </c>
      <c r="AP488" s="11">
        <f t="shared" ca="1" si="2"/>
        <v>44380</v>
      </c>
      <c r="AQ488" s="11">
        <f ca="1">IFERROR(__xludf.DUMMYFUNCTION("""COMPUTED_VALUE"""),44389)</f>
        <v>44389</v>
      </c>
      <c r="AR488" s="11">
        <v>44131</v>
      </c>
      <c r="AS488" s="11">
        <f t="shared" si="3"/>
        <v>44131</v>
      </c>
      <c r="AT488" s="11">
        <f ca="1">IFERROR(__xludf.DUMMYFUNCTION("""COMPUTED_VALUE"""),44130)</f>
        <v>44130</v>
      </c>
    </row>
    <row r="489" spans="1:46" ht="13">
      <c r="A489" s="11">
        <v>44129</v>
      </c>
      <c r="B489">
        <f>IFERROR(VLOOKUP($A489,koronahun!$A:$AM,2,FALSE),"")</f>
        <v>59247</v>
      </c>
      <c r="C489">
        <f>IFERROR(VLOOKUP($A489,koronahun!$A:$AM,3,FALSE),"")</f>
        <v>3149</v>
      </c>
      <c r="D489">
        <f>IFERROR(VLOOKUP($A489,koronahun!$A:$AM,4,FALSE),"")</f>
        <v>1425</v>
      </c>
      <c r="E489">
        <f>IFERROR(VLOOKUP($A489,koronahun!$A:$AM,5,FALSE),"")</f>
        <v>16242</v>
      </c>
      <c r="F489">
        <f>IFERROR(VLOOKUP($A489,koronahun!$A:$AM,6,FALSE),"")</f>
        <v>980373</v>
      </c>
      <c r="G489" s="12">
        <f>IFERROR(VLOOKUP($A489,koronahun!$A:$AM,7,FALSE),"")</f>
        <v>100038.06122448979</v>
      </c>
      <c r="H489">
        <f>IFERROR(VLOOKUP($A489,koronahun!$A:$AM,8,FALSE),"")</f>
        <v>0</v>
      </c>
      <c r="I489" s="13">
        <f>IFERROR(VLOOKUP($A489,koronahun!$A:$AM,9,FALSE),"")</f>
        <v>5.6133908517237693E-2</v>
      </c>
      <c r="J489" s="13">
        <f>IFERROR(VLOOKUP($A489,koronahun!$A:$AM,10,FALSE),"")</f>
        <v>6.0433120863181665E-2</v>
      </c>
      <c r="K489" s="13">
        <f>IFERROR(VLOOKUP($A489,koronahun!$A:$AM,11,FALSE),"")</f>
        <v>1.9691275907726007E-2</v>
      </c>
      <c r="L489">
        <f>IFERROR(VLOOKUP($A489,koronahun!$A:$AM,12,FALSE),"")</f>
        <v>41580</v>
      </c>
      <c r="M489" s="13">
        <f>IFERROR(VLOOKUP($A489,koronahun!$A:$AM,13,FALSE),"")</f>
        <v>2.405185072661907E-2</v>
      </c>
      <c r="N489" s="13">
        <f>IFERROR(VLOOKUP($A489,koronahun!$A:$AM,14,FALSE),"")</f>
        <v>0.27414046280824345</v>
      </c>
      <c r="O489">
        <f>IFERROR(VLOOKUP($A489,koronahun!$A:$AM,15,FALSE),"")</f>
        <v>27883</v>
      </c>
      <c r="P489">
        <f>IFERROR(VLOOKUP($A489,koronahun!$A:$AM,16,FALSE),"")</f>
        <v>18932</v>
      </c>
      <c r="Q489" s="13">
        <f>IFERROR(VLOOKUP($A489,koronahun!$A:$AM,17,FALSE),"")</f>
        <v>0.16633213606592012</v>
      </c>
      <c r="R489">
        <f>IFERROR(VLOOKUP($A489,koronahun!$A:$AM,18,FALSE),"")</f>
        <v>35</v>
      </c>
      <c r="S489">
        <f>IFERROR(VLOOKUP($A489,koronahun!$A:$AM,19,FALSE),"")</f>
        <v>235</v>
      </c>
      <c r="T489">
        <f>IFERROR(VLOOKUP($A489,koronahun!$A:$AM,20,FALSE),"")</f>
        <v>2449</v>
      </c>
      <c r="U489">
        <f>IFERROR(VLOOKUP($A489,koronahun!$A:$AM,21,FALSE),"")</f>
        <v>221</v>
      </c>
      <c r="V489" s="13">
        <f>IFERROR(VLOOKUP($A489,koronahun!$A:$AM,22,FALSE),"")</f>
        <v>0.70180768646513747</v>
      </c>
      <c r="W489">
        <f>IFERROR(VLOOKUP($A489,koronahun!$A:$AM,23,FALSE),"")</f>
        <v>204</v>
      </c>
      <c r="X489">
        <f>IFERROR(VLOOKUP($A489,koronahun!$A:$AM,24,FALSE),"")</f>
        <v>16</v>
      </c>
      <c r="Y489" s="14">
        <f>IFERROR(VLOOKUP($A489,koronahun!$A:$AM,25,FALSE),"")</f>
        <v>5.8898508898508901E-2</v>
      </c>
      <c r="Z489" s="14">
        <f>IFERROR(VLOOKUP($A489,koronahun!$A:$AM,26,FALSE),"")</f>
        <v>9.0240914659044505E-2</v>
      </c>
      <c r="AA489" s="14">
        <f>IFERROR(VLOOKUP($A489,koronahun!$A:$AM,27,FALSE),"")</f>
        <v>1.5020867145838164</v>
      </c>
      <c r="AB489" s="14">
        <f>IFERROR(VLOOKUP($A489,koronahun!$A:$AM,28,FALSE),"")</f>
        <v>1.32796749401178</v>
      </c>
      <c r="AC489" s="14">
        <f>IFERROR(VLOOKUP($A489,koronahun!$A:$AM,29,FALSE),"")</f>
        <v>1851</v>
      </c>
      <c r="AD489" s="14">
        <f>IFERROR(VLOOKUP($A489,koronahun!$A:$AM,30,FALSE),"")</f>
        <v>40.428571428571431</v>
      </c>
      <c r="AE489" s="14">
        <f>IFERROR(VLOOKUP($A489,koronahun!$A:$AM,31,FALSE),"")</f>
        <v>12284</v>
      </c>
      <c r="AF489" s="13">
        <f>IFERROR(VLOOKUP($A489,koronahun!$A:$AM,32,FALSE),"")</f>
        <v>0.15137853380502836</v>
      </c>
      <c r="AG489">
        <f>IFERROR(VLOOKUP($A489,koronahun!$A:$AM,33,FALSE),"")</f>
        <v>0</v>
      </c>
      <c r="AH489">
        <f>IFERROR(VLOOKUP($A489,koronahun!$A:$AM,34,FALSE),"")</f>
        <v>0</v>
      </c>
      <c r="AI489">
        <f>IFERROR(VLOOKUP($A489,koronahun!$A:$AM,35,FALSE),"")</f>
        <v>0</v>
      </c>
      <c r="AJ489">
        <f>IFERROR(VLOOKUP($A489,koronahun!$A:$AM,36,FALSE),"")</f>
        <v>0</v>
      </c>
      <c r="AK489">
        <f>IFERROR(VLOOKUP($A489,koronahun!$A:$AM,37,FALSE),"")</f>
        <v>0</v>
      </c>
      <c r="AL489">
        <f>IFERROR(VLOOKUP($A489,koronahun!$A:$AM,38,FALSE),"")</f>
        <v>0</v>
      </c>
      <c r="AM489" s="14">
        <f>IFERROR(VLOOKUP($A489,koronahun!$A:$AM,39,FALSE),"")</f>
        <v>307.71428571428572</v>
      </c>
      <c r="AN489" s="11">
        <f ca="1">IFERROR(__xludf.DUMMYFUNCTION("""COMPUTED_VALUE"""),44381)</f>
        <v>44381</v>
      </c>
      <c r="AO489" s="12">
        <f ca="1">IFERROR(VLOOKUP(AN489,koronahun!A:B,2,FALSE),"")</f>
        <v>0</v>
      </c>
      <c r="AP489" s="11">
        <f t="shared" ca="1" si="2"/>
        <v>44381</v>
      </c>
      <c r="AQ489" s="11">
        <f ca="1">IFERROR(__xludf.DUMMYFUNCTION("""COMPUTED_VALUE"""),44390)</f>
        <v>44390</v>
      </c>
      <c r="AR489" s="11">
        <v>44130</v>
      </c>
      <c r="AS489" s="11">
        <f t="shared" si="3"/>
        <v>44130</v>
      </c>
      <c r="AT489" s="11">
        <f ca="1">IFERROR(__xludf.DUMMYFUNCTION("""COMPUTED_VALUE"""),44129)</f>
        <v>44129</v>
      </c>
    </row>
    <row r="490" spans="1:46" ht="13">
      <c r="A490" s="11">
        <v>44128</v>
      </c>
      <c r="B490">
        <f>IFERROR(VLOOKUP($A490,koronahun!$A:$AM,2,FALSE),"")</f>
        <v>56098</v>
      </c>
      <c r="C490">
        <f>IFERROR(VLOOKUP($A490,koronahun!$A:$AM,3,FALSE),"")</f>
        <v>1820</v>
      </c>
      <c r="D490">
        <f>IFERROR(VLOOKUP($A490,koronahun!$A:$AM,4,FALSE),"")</f>
        <v>1390</v>
      </c>
      <c r="E490">
        <f>IFERROR(VLOOKUP($A490,koronahun!$A:$AM,5,FALSE),"")</f>
        <v>16007</v>
      </c>
      <c r="F490">
        <f>IFERROR(VLOOKUP($A490,koronahun!$A:$AM,6,FALSE),"")</f>
        <v>961441</v>
      </c>
      <c r="G490" s="12">
        <f>IFERROR(VLOOKUP($A490,koronahun!$A:$AM,7,FALSE),"")</f>
        <v>98106.224489795917</v>
      </c>
      <c r="H490">
        <f>IFERROR(VLOOKUP($A490,koronahun!$A:$AM,8,FALSE),"")</f>
        <v>0</v>
      </c>
      <c r="I490" s="13">
        <f>IFERROR(VLOOKUP($A490,koronahun!$A:$AM,9,FALSE),"")</f>
        <v>3.3531080732525149E-2</v>
      </c>
      <c r="J490" s="13">
        <f>IFERROR(VLOOKUP($A490,koronahun!$A:$AM,10,FALSE),"")</f>
        <v>5.8347834136468074E-2</v>
      </c>
      <c r="K490" s="13">
        <f>IFERROR(VLOOKUP($A490,koronahun!$A:$AM,11,FALSE),"")</f>
        <v>1.2608086616744079E-2</v>
      </c>
      <c r="L490">
        <f>IFERROR(VLOOKUP($A490,koronahun!$A:$AM,12,FALSE),"")</f>
        <v>38701</v>
      </c>
      <c r="M490" s="13">
        <f>IFERROR(VLOOKUP($A490,koronahun!$A:$AM,13,FALSE),"")</f>
        <v>2.4778066954258618E-2</v>
      </c>
      <c r="N490" s="13">
        <f>IFERROR(VLOOKUP($A490,koronahun!$A:$AM,14,FALSE),"")</f>
        <v>0.28533994081785446</v>
      </c>
      <c r="O490">
        <f>IFERROR(VLOOKUP($A490,koronahun!$A:$AM,15,FALSE),"")</f>
        <v>27859</v>
      </c>
      <c r="P490">
        <f>IFERROR(VLOOKUP($A490,koronahun!$A:$AM,16,FALSE),"")</f>
        <v>11971</v>
      </c>
      <c r="Q490" s="13">
        <f>IFERROR(VLOOKUP($A490,koronahun!$A:$AM,17,FALSE),"")</f>
        <v>0.15203408236571714</v>
      </c>
      <c r="R490">
        <f>IFERROR(VLOOKUP($A490,koronahun!$A:$AM,18,FALSE),"")</f>
        <v>38</v>
      </c>
      <c r="S490">
        <f>IFERROR(VLOOKUP($A490,koronahun!$A:$AM,19,FALSE),"")</f>
        <v>352</v>
      </c>
      <c r="T490">
        <f>IFERROR(VLOOKUP($A490,koronahun!$A:$AM,20,FALSE),"")</f>
        <v>2245</v>
      </c>
      <c r="U490">
        <f>IFERROR(VLOOKUP($A490,koronahun!$A:$AM,21,FALSE),"")</f>
        <v>205</v>
      </c>
      <c r="V490" s="13">
        <f>IFERROR(VLOOKUP($A490,koronahun!$A:$AM,22,FALSE),"")</f>
        <v>0.68988199222788693</v>
      </c>
      <c r="W490">
        <f>IFERROR(VLOOKUP($A490,koronahun!$A:$AM,23,FALSE),"")</f>
        <v>36</v>
      </c>
      <c r="X490">
        <f>IFERROR(VLOOKUP($A490,koronahun!$A:$AM,24,FALSE),"")</f>
        <v>5</v>
      </c>
      <c r="Y490" s="14">
        <f>IFERROR(VLOOKUP($A490,koronahun!$A:$AM,25,FALSE),"")</f>
        <v>5.8008836980956567E-2</v>
      </c>
      <c r="Z490" s="14">
        <f>IFERROR(VLOOKUP($A490,koronahun!$A:$AM,26,FALSE),"")</f>
        <v>9.1314031180400893E-2</v>
      </c>
      <c r="AA490" s="14">
        <f>IFERROR(VLOOKUP($A490,koronahun!$A:$AM,27,FALSE),"")</f>
        <v>1.3725060827250608</v>
      </c>
      <c r="AB490" s="14">
        <f>IFERROR(VLOOKUP($A490,koronahun!$A:$AM,28,FALSE),"")</f>
        <v>1.2872143609951412</v>
      </c>
      <c r="AC490" s="14">
        <f>IFERROR(VLOOKUP($A490,koronahun!$A:$AM,29,FALSE),"")</f>
        <v>1611.7142857142858</v>
      </c>
      <c r="AD490" s="14">
        <f>IFERROR(VLOOKUP($A490,koronahun!$A:$AM,30,FALSE),"")</f>
        <v>40.142857142857146</v>
      </c>
      <c r="AE490" s="14">
        <f>IFERROR(VLOOKUP($A490,koronahun!$A:$AM,31,FALSE),"")</f>
        <v>11007.571428571429</v>
      </c>
      <c r="AF490" s="13">
        <f>IFERROR(VLOOKUP($A490,koronahun!$A:$AM,32,FALSE),"")</f>
        <v>0.14868026197703704</v>
      </c>
      <c r="AG490">
        <f>IFERROR(VLOOKUP($A490,koronahun!$A:$AM,33,FALSE),"")</f>
        <v>0</v>
      </c>
      <c r="AH490">
        <f>IFERROR(VLOOKUP($A490,koronahun!$A:$AM,34,FALSE),"")</f>
        <v>0</v>
      </c>
      <c r="AI490">
        <f>IFERROR(VLOOKUP($A490,koronahun!$A:$AM,35,FALSE),"")</f>
        <v>0</v>
      </c>
      <c r="AJ490">
        <f>IFERROR(VLOOKUP($A490,koronahun!$A:$AM,36,FALSE),"")</f>
        <v>0</v>
      </c>
      <c r="AK490">
        <f>IFERROR(VLOOKUP($A490,koronahun!$A:$AM,37,FALSE),"")</f>
        <v>0</v>
      </c>
      <c r="AL490">
        <f>IFERROR(VLOOKUP($A490,koronahun!$A:$AM,38,FALSE),"")</f>
        <v>0</v>
      </c>
      <c r="AM490" s="14">
        <f>IFERROR(VLOOKUP($A490,koronahun!$A:$AM,39,FALSE),"")</f>
        <v>346.71428571428572</v>
      </c>
      <c r="AN490" s="11">
        <f ca="1">IFERROR(__xludf.DUMMYFUNCTION("""COMPUTED_VALUE"""),44382)</f>
        <v>44382</v>
      </c>
      <c r="AO490" s="12">
        <f ca="1">IFERROR(VLOOKUP(AN490,koronahun!A:B,2,FALSE),"")</f>
        <v>808262</v>
      </c>
      <c r="AP490" s="11">
        <f t="shared" ca="1" si="2"/>
        <v>44382</v>
      </c>
      <c r="AQ490" s="11">
        <f ca="1">IFERROR(__xludf.DUMMYFUNCTION("""COMPUTED_VALUE"""),44391)</f>
        <v>44391</v>
      </c>
      <c r="AR490" s="11">
        <v>44129</v>
      </c>
      <c r="AS490" s="11">
        <f t="shared" si="3"/>
        <v>44129</v>
      </c>
      <c r="AT490" s="11">
        <f ca="1">IFERROR(__xludf.DUMMYFUNCTION("""COMPUTED_VALUE"""),44128)</f>
        <v>44128</v>
      </c>
    </row>
    <row r="491" spans="1:46" ht="13">
      <c r="A491" s="11">
        <v>44127</v>
      </c>
      <c r="B491">
        <f>IFERROR(VLOOKUP($A491,koronahun!$A:$AM,2,FALSE),"")</f>
        <v>54278</v>
      </c>
      <c r="C491">
        <f>IFERROR(VLOOKUP($A491,koronahun!$A:$AM,3,FALSE),"")</f>
        <v>2066</v>
      </c>
      <c r="D491">
        <f>IFERROR(VLOOKUP($A491,koronahun!$A:$AM,4,FALSE),"")</f>
        <v>1352</v>
      </c>
      <c r="E491">
        <f>IFERROR(VLOOKUP($A491,koronahun!$A:$AM,5,FALSE),"")</f>
        <v>15655</v>
      </c>
      <c r="F491">
        <f>IFERROR(VLOOKUP($A491,koronahun!$A:$AM,6,FALSE),"")</f>
        <v>949470</v>
      </c>
      <c r="G491" s="12">
        <f>IFERROR(VLOOKUP($A491,koronahun!$A:$AM,7,FALSE),"")</f>
        <v>96884.693877551006</v>
      </c>
      <c r="H491">
        <f>IFERROR(VLOOKUP($A491,koronahun!$A:$AM,8,FALSE),"")</f>
        <v>0</v>
      </c>
      <c r="I491" s="13">
        <f>IFERROR(VLOOKUP($A491,koronahun!$A:$AM,9,FALSE),"")</f>
        <v>3.9569447636558647E-2</v>
      </c>
      <c r="J491" s="13">
        <f>IFERROR(VLOOKUP($A491,koronahun!$A:$AM,10,FALSE),"")</f>
        <v>5.7166629803995915E-2</v>
      </c>
      <c r="K491" s="13">
        <f>IFERROR(VLOOKUP($A491,koronahun!$A:$AM,11,FALSE),"")</f>
        <v>1.4562287223698017E-2</v>
      </c>
      <c r="L491">
        <f>IFERROR(VLOOKUP($A491,koronahun!$A:$AM,12,FALSE),"")</f>
        <v>37272</v>
      </c>
      <c r="M491" s="13">
        <f>IFERROR(VLOOKUP($A491,koronahun!$A:$AM,13,FALSE),"")</f>
        <v>2.4908802829875825E-2</v>
      </c>
      <c r="N491" s="13">
        <f>IFERROR(VLOOKUP($A491,koronahun!$A:$AM,14,FALSE),"")</f>
        <v>0.28842256531191274</v>
      </c>
      <c r="O491">
        <f>IFERROR(VLOOKUP($A491,koronahun!$A:$AM,15,FALSE),"")</f>
        <v>28261</v>
      </c>
      <c r="P491">
        <f>IFERROR(VLOOKUP($A491,koronahun!$A:$AM,16,FALSE),"")</f>
        <v>13628</v>
      </c>
      <c r="Q491" s="13">
        <f>IFERROR(VLOOKUP($A491,koronahun!$A:$AM,17,FALSE),"")</f>
        <v>0.15159964778397417</v>
      </c>
      <c r="R491">
        <f>IFERROR(VLOOKUP($A491,koronahun!$A:$AM,18,FALSE),"")</f>
        <v>47</v>
      </c>
      <c r="S491">
        <f>IFERROR(VLOOKUP($A491,koronahun!$A:$AM,19,FALSE),"")</f>
        <v>401</v>
      </c>
      <c r="T491">
        <f>IFERROR(VLOOKUP($A491,koronahun!$A:$AM,20,FALSE),"")</f>
        <v>2209</v>
      </c>
      <c r="U491">
        <f>IFERROR(VLOOKUP($A491,koronahun!$A:$AM,21,FALSE),"")</f>
        <v>200</v>
      </c>
      <c r="V491" s="13">
        <f>IFERROR(VLOOKUP($A491,koronahun!$A:$AM,22,FALSE),"")</f>
        <v>0.6866870555289436</v>
      </c>
      <c r="W491">
        <f>IFERROR(VLOOKUP($A491,koronahun!$A:$AM,23,FALSE),"")</f>
        <v>77</v>
      </c>
      <c r="X491">
        <f>IFERROR(VLOOKUP($A491,koronahun!$A:$AM,24,FALSE),"")</f>
        <v>3</v>
      </c>
      <c r="Y491" s="14">
        <f>IFERROR(VLOOKUP($A491,koronahun!$A:$AM,25,FALSE),"")</f>
        <v>5.9267010088001719E-2</v>
      </c>
      <c r="Z491" s="14">
        <f>IFERROR(VLOOKUP($A491,koronahun!$A:$AM,26,FALSE),"")</f>
        <v>9.0538705296514255E-2</v>
      </c>
      <c r="AA491" s="14">
        <f>IFERROR(VLOOKUP($A491,koronahun!$A:$AM,27,FALSE),"")</f>
        <v>1.4421376393694734</v>
      </c>
      <c r="AB491" s="14">
        <f>IFERROR(VLOOKUP($A491,koronahun!$A:$AM,28,FALSE),"")</f>
        <v>1.2618479384863526</v>
      </c>
      <c r="AC491" s="14">
        <f>IFERROR(VLOOKUP($A491,koronahun!$A:$AM,29,FALSE),"")</f>
        <v>1607.5714285714287</v>
      </c>
      <c r="AD491" s="14">
        <f>IFERROR(VLOOKUP($A491,koronahun!$A:$AM,30,FALSE),"")</f>
        <v>38.142857142857146</v>
      </c>
      <c r="AE491" s="14">
        <f>IFERROR(VLOOKUP($A491,koronahun!$A:$AM,31,FALSE),"")</f>
        <v>11150.428571428571</v>
      </c>
      <c r="AF491" s="13">
        <f>IFERROR(VLOOKUP($A491,koronahun!$A:$AM,32,FALSE),"")</f>
        <v>0.14668642867455217</v>
      </c>
      <c r="AG491">
        <f>IFERROR(VLOOKUP($A491,koronahun!$A:$AM,33,FALSE),"")</f>
        <v>0</v>
      </c>
      <c r="AH491">
        <f>IFERROR(VLOOKUP($A491,koronahun!$A:$AM,34,FALSE),"")</f>
        <v>0</v>
      </c>
      <c r="AI491">
        <f>IFERROR(VLOOKUP($A491,koronahun!$A:$AM,35,FALSE),"")</f>
        <v>0</v>
      </c>
      <c r="AJ491">
        <f>IFERROR(VLOOKUP($A491,koronahun!$A:$AM,36,FALSE),"")</f>
        <v>0</v>
      </c>
      <c r="AK491">
        <f>IFERROR(VLOOKUP($A491,koronahun!$A:$AM,37,FALSE),"")</f>
        <v>0</v>
      </c>
      <c r="AL491">
        <f>IFERROR(VLOOKUP($A491,koronahun!$A:$AM,38,FALSE),"")</f>
        <v>0</v>
      </c>
      <c r="AM491" s="14">
        <f>IFERROR(VLOOKUP($A491,koronahun!$A:$AM,39,FALSE),"")</f>
        <v>360.14285714285717</v>
      </c>
      <c r="AN491" s="11">
        <f ca="1">IFERROR(__xludf.DUMMYFUNCTION("""COMPUTED_VALUE"""),44383)</f>
        <v>44383</v>
      </c>
      <c r="AO491" s="12">
        <f ca="1">IFERROR(VLOOKUP(AN491,koronahun!A:B,2,FALSE),"")</f>
        <v>808294</v>
      </c>
      <c r="AP491" s="11">
        <f t="shared" ca="1" si="2"/>
        <v>44383</v>
      </c>
      <c r="AQ491" s="11">
        <f ca="1">IFERROR(__xludf.DUMMYFUNCTION("""COMPUTED_VALUE"""),44392)</f>
        <v>44392</v>
      </c>
      <c r="AR491" s="11">
        <v>44128</v>
      </c>
      <c r="AS491" s="11">
        <f t="shared" si="3"/>
        <v>44128</v>
      </c>
      <c r="AT491" s="11">
        <f ca="1">IFERROR(__xludf.DUMMYFUNCTION("""COMPUTED_VALUE"""),44127)</f>
        <v>44127</v>
      </c>
    </row>
    <row r="492" spans="1:46" ht="13">
      <c r="A492" s="11">
        <v>44126</v>
      </c>
      <c r="B492">
        <f>IFERROR(VLOOKUP($A492,koronahun!$A:$AM,2,FALSE),"")</f>
        <v>52212</v>
      </c>
      <c r="C492">
        <f>IFERROR(VLOOKUP($A492,koronahun!$A:$AM,3,FALSE),"")</f>
        <v>2032</v>
      </c>
      <c r="D492">
        <f>IFERROR(VLOOKUP($A492,koronahun!$A:$AM,4,FALSE),"")</f>
        <v>1305</v>
      </c>
      <c r="E492">
        <f>IFERROR(VLOOKUP($A492,koronahun!$A:$AM,5,FALSE),"")</f>
        <v>15254</v>
      </c>
      <c r="F492">
        <f>IFERROR(VLOOKUP($A492,koronahun!$A:$AM,6,FALSE),"")</f>
        <v>935842</v>
      </c>
      <c r="G492" s="12">
        <f>IFERROR(VLOOKUP($A492,koronahun!$A:$AM,7,FALSE),"")</f>
        <v>95494.081632653048</v>
      </c>
      <c r="H492">
        <f>IFERROR(VLOOKUP($A492,koronahun!$A:$AM,8,FALSE),"")</f>
        <v>0</v>
      </c>
      <c r="I492" s="13">
        <f>IFERROR(VLOOKUP($A492,koronahun!$A:$AM,9,FALSE),"")</f>
        <v>4.0494220805101636E-2</v>
      </c>
      <c r="J492" s="13">
        <f>IFERROR(VLOOKUP($A492,koronahun!$A:$AM,10,FALSE),"")</f>
        <v>5.5791469072770834E-2</v>
      </c>
      <c r="K492" s="13">
        <f>IFERROR(VLOOKUP($A492,koronahun!$A:$AM,11,FALSE),"")</f>
        <v>1.7793733638868013E-2</v>
      </c>
      <c r="L492">
        <f>IFERROR(VLOOKUP($A492,koronahun!$A:$AM,12,FALSE),"")</f>
        <v>35653</v>
      </c>
      <c r="M492" s="13">
        <f>IFERROR(VLOOKUP($A492,koronahun!$A:$AM,13,FALSE),"")</f>
        <v>2.499425419443806E-2</v>
      </c>
      <c r="N492" s="13">
        <f>IFERROR(VLOOKUP($A492,koronahun!$A:$AM,14,FALSE),"")</f>
        <v>0.29215506013943154</v>
      </c>
      <c r="O492">
        <f>IFERROR(VLOOKUP($A492,koronahun!$A:$AM,15,FALSE),"")</f>
        <v>24764</v>
      </c>
      <c r="P492">
        <f>IFERROR(VLOOKUP($A492,koronahun!$A:$AM,16,FALSE),"")</f>
        <v>16361</v>
      </c>
      <c r="Q492" s="13">
        <f>IFERROR(VLOOKUP($A492,koronahun!$A:$AM,17,FALSE),"")</f>
        <v>0.12419778742130677</v>
      </c>
      <c r="R492">
        <f>IFERROR(VLOOKUP($A492,koronahun!$A:$AM,18,FALSE),"")</f>
        <v>46</v>
      </c>
      <c r="S492">
        <f>IFERROR(VLOOKUP($A492,koronahun!$A:$AM,19,FALSE),"")</f>
        <v>349</v>
      </c>
      <c r="T492">
        <f>IFERROR(VLOOKUP($A492,koronahun!$A:$AM,20,FALSE),"")</f>
        <v>2132</v>
      </c>
      <c r="U492">
        <f>IFERROR(VLOOKUP($A492,koronahun!$A:$AM,21,FALSE),"")</f>
        <v>197</v>
      </c>
      <c r="V492" s="13">
        <f>IFERROR(VLOOKUP($A492,koronahun!$A:$AM,22,FALSE),"")</f>
        <v>0.68285068566613039</v>
      </c>
      <c r="W492">
        <f>IFERROR(VLOOKUP($A492,koronahun!$A:$AM,23,FALSE),"")</f>
        <v>109</v>
      </c>
      <c r="X492">
        <f>IFERROR(VLOOKUP($A492,koronahun!$A:$AM,24,FALSE),"")</f>
        <v>-4</v>
      </c>
      <c r="Y492" s="14">
        <f>IFERROR(VLOOKUP($A492,koronahun!$A:$AM,25,FALSE),"")</f>
        <v>5.9798614422348753E-2</v>
      </c>
      <c r="Z492" s="14">
        <f>IFERROR(VLOOKUP($A492,koronahun!$A:$AM,26,FALSE),"")</f>
        <v>9.2401500938086301E-2</v>
      </c>
      <c r="AA492" s="14">
        <f>IFERROR(VLOOKUP($A492,koronahun!$A:$AM,27,FALSE),"")</f>
        <v>1.3635180848295603</v>
      </c>
      <c r="AB492" s="14">
        <f>IFERROR(VLOOKUP($A492,koronahun!$A:$AM,28,FALSE),"")</f>
        <v>1.2249550069761936</v>
      </c>
      <c r="AC492" s="14">
        <f>IFERROR(VLOOKUP($A492,koronahun!$A:$AM,29,FALSE),"")</f>
        <v>1497.1428571428571</v>
      </c>
      <c r="AD492" s="14">
        <f>IFERROR(VLOOKUP($A492,koronahun!$A:$AM,30,FALSE),"")</f>
        <v>36.142857142857146</v>
      </c>
      <c r="AE492" s="14">
        <f>IFERROR(VLOOKUP($A492,koronahun!$A:$AM,31,FALSE),"")</f>
        <v>10603.142857142857</v>
      </c>
      <c r="AF492" s="13">
        <f>IFERROR(VLOOKUP($A492,koronahun!$A:$AM,32,FALSE),"")</f>
        <v>0.14388350431958061</v>
      </c>
      <c r="AG492">
        <f>IFERROR(VLOOKUP($A492,koronahun!$A:$AM,33,FALSE),"")</f>
        <v>0</v>
      </c>
      <c r="AH492">
        <f>IFERROR(VLOOKUP($A492,koronahun!$A:$AM,34,FALSE),"")</f>
        <v>0</v>
      </c>
      <c r="AI492">
        <f>IFERROR(VLOOKUP($A492,koronahun!$A:$AM,35,FALSE),"")</f>
        <v>0</v>
      </c>
      <c r="AJ492">
        <f>IFERROR(VLOOKUP($A492,koronahun!$A:$AM,36,FALSE),"")</f>
        <v>0</v>
      </c>
      <c r="AK492">
        <f>IFERROR(VLOOKUP($A492,koronahun!$A:$AM,37,FALSE),"")</f>
        <v>0</v>
      </c>
      <c r="AL492">
        <f>IFERROR(VLOOKUP($A492,koronahun!$A:$AM,38,FALSE),"")</f>
        <v>0</v>
      </c>
      <c r="AM492" s="14">
        <f>IFERROR(VLOOKUP($A492,koronahun!$A:$AM,39,FALSE),"")</f>
        <v>375.14285714285717</v>
      </c>
      <c r="AN492" s="11">
        <f ca="1">IFERROR(__xludf.DUMMYFUNCTION("""COMPUTED_VALUE"""),44384)</f>
        <v>44384</v>
      </c>
      <c r="AO492" s="12">
        <f ca="1">IFERROR(VLOOKUP(AN492,koronahun!A:B,2,FALSE),"")</f>
        <v>808338</v>
      </c>
      <c r="AP492" s="11">
        <f t="shared" ca="1" si="2"/>
        <v>44384</v>
      </c>
      <c r="AQ492" s="11">
        <f ca="1">IFERROR(__xludf.DUMMYFUNCTION("""COMPUTED_VALUE"""),44393)</f>
        <v>44393</v>
      </c>
      <c r="AR492" s="11">
        <v>44127</v>
      </c>
      <c r="AS492" s="11">
        <f t="shared" si="3"/>
        <v>44127</v>
      </c>
      <c r="AT492" s="11">
        <f ca="1">IFERROR(__xludf.DUMMYFUNCTION("""COMPUTED_VALUE"""),44126)</f>
        <v>44126</v>
      </c>
    </row>
    <row r="493" spans="1:46" ht="13">
      <c r="A493" s="11">
        <v>44125</v>
      </c>
      <c r="B493">
        <f>IFERROR(VLOOKUP($A493,koronahun!$A:$AM,2,FALSE),"")</f>
        <v>50180</v>
      </c>
      <c r="C493">
        <f>IFERROR(VLOOKUP($A493,koronahun!$A:$AM,3,FALSE),"")</f>
        <v>1423</v>
      </c>
      <c r="D493">
        <f>IFERROR(VLOOKUP($A493,koronahun!$A:$AM,4,FALSE),"")</f>
        <v>1259</v>
      </c>
      <c r="E493">
        <f>IFERROR(VLOOKUP($A493,koronahun!$A:$AM,5,FALSE),"")</f>
        <v>14905</v>
      </c>
      <c r="F493">
        <f>IFERROR(VLOOKUP($A493,koronahun!$A:$AM,6,FALSE),"")</f>
        <v>919481</v>
      </c>
      <c r="G493" s="12">
        <f>IFERROR(VLOOKUP($A493,koronahun!$A:$AM,7,FALSE),"")</f>
        <v>93824.591836734689</v>
      </c>
      <c r="H493">
        <f>IFERROR(VLOOKUP($A493,koronahun!$A:$AM,8,FALSE),"")</f>
        <v>0</v>
      </c>
      <c r="I493" s="13">
        <f>IFERROR(VLOOKUP($A493,koronahun!$A:$AM,9,FALSE),"")</f>
        <v>2.9185552843694239E-2</v>
      </c>
      <c r="J493" s="13">
        <f>IFERROR(VLOOKUP($A493,koronahun!$A:$AM,10,FALSE),"")</f>
        <v>5.4574265264861373E-2</v>
      </c>
      <c r="K493" s="13">
        <f>IFERROR(VLOOKUP($A493,koronahun!$A:$AM,11,FALSE),"")</f>
        <v>1.0010237618193961E-2</v>
      </c>
      <c r="L493">
        <f>IFERROR(VLOOKUP($A493,koronahun!$A:$AM,12,FALSE),"")</f>
        <v>34016</v>
      </c>
      <c r="M493" s="13">
        <f>IFERROR(VLOOKUP($A493,koronahun!$A:$AM,13,FALSE),"")</f>
        <v>2.5089677162216023E-2</v>
      </c>
      <c r="N493" s="13">
        <f>IFERROR(VLOOKUP($A493,koronahun!$A:$AM,14,FALSE),"")</f>
        <v>0.29703068951773615</v>
      </c>
      <c r="O493">
        <f>IFERROR(VLOOKUP($A493,koronahun!$A:$AM,15,FALSE),"")</f>
        <v>25203</v>
      </c>
      <c r="P493">
        <f>IFERROR(VLOOKUP($A493,koronahun!$A:$AM,16,FALSE),"")</f>
        <v>9113</v>
      </c>
      <c r="Q493" s="13">
        <f>IFERROR(VLOOKUP($A493,koronahun!$A:$AM,17,FALSE),"")</f>
        <v>0.15615055415340723</v>
      </c>
      <c r="R493">
        <f>IFERROR(VLOOKUP($A493,koronahun!$A:$AM,18,FALSE),"")</f>
        <v>48</v>
      </c>
      <c r="S493">
        <f>IFERROR(VLOOKUP($A493,koronahun!$A:$AM,19,FALSE),"")</f>
        <v>268</v>
      </c>
      <c r="T493">
        <f>IFERROR(VLOOKUP($A493,koronahun!$A:$AM,20,FALSE),"")</f>
        <v>2023</v>
      </c>
      <c r="U493">
        <f>IFERROR(VLOOKUP($A493,koronahun!$A:$AM,21,FALSE),"")</f>
        <v>201</v>
      </c>
      <c r="V493" s="13">
        <f>IFERROR(VLOOKUP($A493,koronahun!$A:$AM,22,FALSE),"")</f>
        <v>0.67787963332004786</v>
      </c>
      <c r="W493">
        <f>IFERROR(VLOOKUP($A493,koronahun!$A:$AM,23,FALSE),"")</f>
        <v>63</v>
      </c>
      <c r="X493">
        <f>IFERROR(VLOOKUP($A493,koronahun!$A:$AM,24,FALSE),"")</f>
        <v>4</v>
      </c>
      <c r="Y493" s="14">
        <f>IFERROR(VLOOKUP($A493,koronahun!$A:$AM,25,FALSE),"")</f>
        <v>5.9472013170272814E-2</v>
      </c>
      <c r="Z493" s="14">
        <f>IFERROR(VLOOKUP($A493,koronahun!$A:$AM,26,FALSE),"")</f>
        <v>9.9357390014829461E-2</v>
      </c>
      <c r="AA493" s="14">
        <f>IFERROR(VLOOKUP($A493,koronahun!$A:$AM,27,FALSE),"")</f>
        <v>1.2256129368805426</v>
      </c>
      <c r="AB493" s="14">
        <f>IFERROR(VLOOKUP($A493,koronahun!$A:$AM,28,FALSE),"")</f>
        <v>1.1931472642866383</v>
      </c>
      <c r="AC493" s="14">
        <f>IFERROR(VLOOKUP($A493,koronahun!$A:$AM,29,FALSE),"")</f>
        <v>1342.5714285714287</v>
      </c>
      <c r="AD493" s="14">
        <f>IFERROR(VLOOKUP($A493,koronahun!$A:$AM,30,FALSE),"")</f>
        <v>33.714285714285715</v>
      </c>
      <c r="AE493" s="14">
        <f>IFERROR(VLOOKUP($A493,koronahun!$A:$AM,31,FALSE),"")</f>
        <v>9800.4285714285706</v>
      </c>
      <c r="AF493" s="13">
        <f>IFERROR(VLOOKUP($A493,koronahun!$A:$AM,32,FALSE),"")</f>
        <v>0.13877495001365628</v>
      </c>
      <c r="AG493">
        <f>IFERROR(VLOOKUP($A493,koronahun!$A:$AM,33,FALSE),"")</f>
        <v>0</v>
      </c>
      <c r="AH493">
        <f>IFERROR(VLOOKUP($A493,koronahun!$A:$AM,34,FALSE),"")</f>
        <v>0</v>
      </c>
      <c r="AI493">
        <f>IFERROR(VLOOKUP($A493,koronahun!$A:$AM,35,FALSE),"")</f>
        <v>0</v>
      </c>
      <c r="AJ493">
        <f>IFERROR(VLOOKUP($A493,koronahun!$A:$AM,36,FALSE),"")</f>
        <v>0</v>
      </c>
      <c r="AK493">
        <f>IFERROR(VLOOKUP($A493,koronahun!$A:$AM,37,FALSE),"")</f>
        <v>0</v>
      </c>
      <c r="AL493">
        <f>IFERROR(VLOOKUP($A493,koronahun!$A:$AM,38,FALSE),"")</f>
        <v>0</v>
      </c>
      <c r="AM493" s="14">
        <f>IFERROR(VLOOKUP($A493,koronahun!$A:$AM,39,FALSE),"")</f>
        <v>391.57142857142856</v>
      </c>
      <c r="AN493" s="11">
        <f ca="1">IFERROR(__xludf.DUMMYFUNCTION("""COMPUTED_VALUE"""),44385)</f>
        <v>44385</v>
      </c>
      <c r="AO493" s="12">
        <f ca="1">IFERROR(VLOOKUP(AN493,koronahun!A:B,2,FALSE),"")</f>
        <v>808393</v>
      </c>
      <c r="AP493" s="11">
        <f t="shared" ca="1" si="2"/>
        <v>44385</v>
      </c>
      <c r="AQ493" s="11">
        <f ca="1">IFERROR(__xludf.DUMMYFUNCTION("""COMPUTED_VALUE"""),44396)</f>
        <v>44396</v>
      </c>
      <c r="AR493" s="11">
        <v>44126</v>
      </c>
      <c r="AS493" s="11">
        <f t="shared" si="3"/>
        <v>44126</v>
      </c>
      <c r="AT493" s="11">
        <f ca="1">IFERROR(__xludf.DUMMYFUNCTION("""COMPUTED_VALUE"""),44125)</f>
        <v>44125</v>
      </c>
    </row>
    <row r="494" spans="1:46" ht="13">
      <c r="A494" s="11">
        <v>44124</v>
      </c>
      <c r="B494">
        <f>IFERROR(VLOOKUP($A494,koronahun!$A:$AM,2,FALSE),"")</f>
        <v>48757</v>
      </c>
      <c r="C494">
        <f>IFERROR(VLOOKUP($A494,koronahun!$A:$AM,3,FALSE),"")</f>
        <v>989</v>
      </c>
      <c r="D494">
        <f>IFERROR(VLOOKUP($A494,koronahun!$A:$AM,4,FALSE),"")</f>
        <v>1211</v>
      </c>
      <c r="E494">
        <f>IFERROR(VLOOKUP($A494,koronahun!$A:$AM,5,FALSE),"")</f>
        <v>14637</v>
      </c>
      <c r="F494">
        <f>IFERROR(VLOOKUP($A494,koronahun!$A:$AM,6,FALSE),"")</f>
        <v>910368</v>
      </c>
      <c r="G494" s="12">
        <f>IFERROR(VLOOKUP($A494,koronahun!$A:$AM,7,FALSE),"")</f>
        <v>92894.693877551021</v>
      </c>
      <c r="H494">
        <f>IFERROR(VLOOKUP($A494,koronahun!$A:$AM,8,FALSE),"")</f>
        <v>0</v>
      </c>
      <c r="I494" s="13">
        <f>IFERROR(VLOOKUP($A494,koronahun!$A:$AM,9,FALSE),"")</f>
        <v>2.0704237146206665E-2</v>
      </c>
      <c r="J494" s="13">
        <f>IFERROR(VLOOKUP($A494,koronahun!$A:$AM,10,FALSE),"")</f>
        <v>5.3557462476712711E-2</v>
      </c>
      <c r="K494" s="13">
        <f>IFERROR(VLOOKUP($A494,koronahun!$A:$AM,11,FALSE),"")</f>
        <v>7.00414585259879E-3</v>
      </c>
      <c r="L494">
        <f>IFERROR(VLOOKUP($A494,koronahun!$A:$AM,12,FALSE),"")</f>
        <v>32909</v>
      </c>
      <c r="M494" s="13">
        <f>IFERROR(VLOOKUP($A494,koronahun!$A:$AM,13,FALSE),"")</f>
        <v>2.4837459236622433E-2</v>
      </c>
      <c r="N494" s="13">
        <f>IFERROR(VLOOKUP($A494,koronahun!$A:$AM,14,FALSE),"")</f>
        <v>0.30020304776750006</v>
      </c>
      <c r="O494">
        <f>IFERROR(VLOOKUP($A494,koronahun!$A:$AM,15,FALSE),"")</f>
        <v>24780</v>
      </c>
      <c r="P494">
        <f>IFERROR(VLOOKUP($A494,koronahun!$A:$AM,16,FALSE),"")</f>
        <v>6332</v>
      </c>
      <c r="Q494" s="13">
        <f>IFERROR(VLOOKUP($A494,koronahun!$A:$AM,17,FALSE),"")</f>
        <v>0.1561907770056854</v>
      </c>
      <c r="R494">
        <f>IFERROR(VLOOKUP($A494,koronahun!$A:$AM,18,FALSE),"")</f>
        <v>38</v>
      </c>
      <c r="S494">
        <f>IFERROR(VLOOKUP($A494,koronahun!$A:$AM,19,FALSE),"")</f>
        <v>325</v>
      </c>
      <c r="T494">
        <f>IFERROR(VLOOKUP($A494,koronahun!$A:$AM,20,FALSE),"")</f>
        <v>1960</v>
      </c>
      <c r="U494">
        <f>IFERROR(VLOOKUP($A494,koronahun!$A:$AM,21,FALSE),"")</f>
        <v>197</v>
      </c>
      <c r="V494" s="13">
        <f>IFERROR(VLOOKUP($A494,koronahun!$A:$AM,22,FALSE),"")</f>
        <v>0.67495949299587754</v>
      </c>
      <c r="W494">
        <f>IFERROR(VLOOKUP($A494,koronahun!$A:$AM,23,FALSE),"")</f>
        <v>64</v>
      </c>
      <c r="X494">
        <f>IFERROR(VLOOKUP($A494,koronahun!$A:$AM,24,FALSE),"")</f>
        <v>9</v>
      </c>
      <c r="Y494" s="14">
        <f>IFERROR(VLOOKUP($A494,koronahun!$A:$AM,25,FALSE),"")</f>
        <v>5.9558175575070649E-2</v>
      </c>
      <c r="Z494" s="14">
        <f>IFERROR(VLOOKUP($A494,koronahun!$A:$AM,26,FALSE),"")</f>
        <v>0.10051020408163265</v>
      </c>
      <c r="AA494" s="14">
        <f>IFERROR(VLOOKUP($A494,koronahun!$A:$AM,27,FALSE),"")</f>
        <v>1.175965097831835</v>
      </c>
      <c r="AB494" s="14">
        <f>IFERROR(VLOOKUP($A494,koronahun!$A:$AM,28,FALSE),"")</f>
        <v>1.1827115238244141</v>
      </c>
      <c r="AC494" s="14">
        <f>IFERROR(VLOOKUP($A494,koronahun!$A:$AM,29,FALSE),"")</f>
        <v>1270.7142857142858</v>
      </c>
      <c r="AD494" s="14">
        <f>IFERROR(VLOOKUP($A494,koronahun!$A:$AM,30,FALSE),"")</f>
        <v>30.714285714285715</v>
      </c>
      <c r="AE494" s="14">
        <f>IFERROR(VLOOKUP($A494,koronahun!$A:$AM,31,FALSE),"")</f>
        <v>9878.2857142857138</v>
      </c>
      <c r="AF494" s="13">
        <f>IFERROR(VLOOKUP($A494,koronahun!$A:$AM,32,FALSE),"")</f>
        <v>0.13007598761366798</v>
      </c>
      <c r="AG494">
        <f>IFERROR(VLOOKUP($A494,koronahun!$A:$AM,33,FALSE),"")</f>
        <v>0</v>
      </c>
      <c r="AH494">
        <f>IFERROR(VLOOKUP($A494,koronahun!$A:$AM,34,FALSE),"")</f>
        <v>0</v>
      </c>
      <c r="AI494">
        <f>IFERROR(VLOOKUP($A494,koronahun!$A:$AM,35,FALSE),"")</f>
        <v>0</v>
      </c>
      <c r="AJ494">
        <f>IFERROR(VLOOKUP($A494,koronahun!$A:$AM,36,FALSE),"")</f>
        <v>0</v>
      </c>
      <c r="AK494">
        <f>IFERROR(VLOOKUP($A494,koronahun!$A:$AM,37,FALSE),"")</f>
        <v>0</v>
      </c>
      <c r="AL494">
        <f>IFERROR(VLOOKUP($A494,koronahun!$A:$AM,38,FALSE),"")</f>
        <v>0</v>
      </c>
      <c r="AM494" s="14">
        <f>IFERROR(VLOOKUP($A494,koronahun!$A:$AM,39,FALSE),"")</f>
        <v>412</v>
      </c>
      <c r="AN494" s="11">
        <f ca="1">IFERROR(__xludf.DUMMYFUNCTION("""COMPUTED_VALUE"""),44386)</f>
        <v>44386</v>
      </c>
      <c r="AO494" s="12">
        <f ca="1">IFERROR(VLOOKUP(AN494,koronahun!A:B,2,FALSE),"")</f>
        <v>808437</v>
      </c>
      <c r="AP494" s="11">
        <f t="shared" ca="1" si="2"/>
        <v>44386</v>
      </c>
      <c r="AQ494" s="11">
        <f ca="1">IFERROR(__xludf.DUMMYFUNCTION("""COMPUTED_VALUE"""),44397)</f>
        <v>44397</v>
      </c>
      <c r="AR494" s="11">
        <v>44125</v>
      </c>
      <c r="AS494" s="11">
        <f t="shared" si="3"/>
        <v>44125</v>
      </c>
      <c r="AT494" s="11">
        <f ca="1">IFERROR(__xludf.DUMMYFUNCTION("""COMPUTED_VALUE"""),44124)</f>
        <v>44124</v>
      </c>
    </row>
    <row r="495" spans="1:46" ht="13">
      <c r="A495" s="11">
        <v>44123</v>
      </c>
      <c r="B495">
        <f>IFERROR(VLOOKUP($A495,koronahun!$A:$AM,2,FALSE),"")</f>
        <v>47768</v>
      </c>
      <c r="C495">
        <f>IFERROR(VLOOKUP($A495,koronahun!$A:$AM,3,FALSE),"")</f>
        <v>1478</v>
      </c>
      <c r="D495">
        <f>IFERROR(VLOOKUP($A495,koronahun!$A:$AM,4,FALSE),"")</f>
        <v>1173</v>
      </c>
      <c r="E495">
        <f>IFERROR(VLOOKUP($A495,koronahun!$A:$AM,5,FALSE),"")</f>
        <v>14312</v>
      </c>
      <c r="F495">
        <f>IFERROR(VLOOKUP($A495,koronahun!$A:$AM,6,FALSE),"")</f>
        <v>904036</v>
      </c>
      <c r="G495" s="12">
        <f>IFERROR(VLOOKUP($A495,koronahun!$A:$AM,7,FALSE),"")</f>
        <v>92248.57142857142</v>
      </c>
      <c r="H495">
        <f>IFERROR(VLOOKUP($A495,koronahun!$A:$AM,8,FALSE),"")</f>
        <v>0</v>
      </c>
      <c r="I495" s="13">
        <f>IFERROR(VLOOKUP($A495,koronahun!$A:$AM,9,FALSE),"")</f>
        <v>3.1929142363361418E-2</v>
      </c>
      <c r="J495" s="13">
        <f>IFERROR(VLOOKUP($A495,koronahun!$A:$AM,10,FALSE),"")</f>
        <v>5.2838603772416143E-2</v>
      </c>
      <c r="K495" s="13">
        <f>IFERROR(VLOOKUP($A495,koronahun!$A:$AM,11,FALSE),"")</f>
        <v>1.0790655031110763E-2</v>
      </c>
      <c r="L495">
        <f>IFERROR(VLOOKUP($A495,koronahun!$A:$AM,12,FALSE),"")</f>
        <v>32283</v>
      </c>
      <c r="M495" s="13">
        <f>IFERROR(VLOOKUP($A495,koronahun!$A:$AM,13,FALSE),"")</f>
        <v>2.4556188243175348E-2</v>
      </c>
      <c r="N495" s="13">
        <f>IFERROR(VLOOKUP($A495,koronahun!$A:$AM,14,FALSE),"")</f>
        <v>0.29961480489030312</v>
      </c>
      <c r="O495">
        <f>IFERROR(VLOOKUP($A495,koronahun!$A:$AM,15,FALSE),"")</f>
        <v>24929</v>
      </c>
      <c r="P495">
        <f>IFERROR(VLOOKUP($A495,koronahun!$A:$AM,16,FALSE),"")</f>
        <v>9651</v>
      </c>
      <c r="Q495" s="13">
        <f>IFERROR(VLOOKUP($A495,koronahun!$A:$AM,17,FALSE),"")</f>
        <v>0.15314475183918766</v>
      </c>
      <c r="R495">
        <f>IFERROR(VLOOKUP($A495,koronahun!$A:$AM,18,FALSE),"")</f>
        <v>31</v>
      </c>
      <c r="S495">
        <f>IFERROR(VLOOKUP($A495,koronahun!$A:$AM,19,FALSE),"")</f>
        <v>224</v>
      </c>
      <c r="T495">
        <f>IFERROR(VLOOKUP($A495,koronahun!$A:$AM,20,FALSE),"")</f>
        <v>1896</v>
      </c>
      <c r="U495">
        <f>IFERROR(VLOOKUP($A495,koronahun!$A:$AM,21,FALSE),"")</f>
        <v>188</v>
      </c>
      <c r="V495" s="13">
        <f>IFERROR(VLOOKUP($A495,koronahun!$A:$AM,22,FALSE),"")</f>
        <v>0.67582900686652148</v>
      </c>
      <c r="W495">
        <f>IFERROR(VLOOKUP($A495,koronahun!$A:$AM,23,FALSE),"")</f>
        <v>184</v>
      </c>
      <c r="X495">
        <f>IFERROR(VLOOKUP($A495,koronahun!$A:$AM,24,FALSE),"")</f>
        <v>9</v>
      </c>
      <c r="Y495" s="14">
        <f>IFERROR(VLOOKUP($A495,koronahun!$A:$AM,25,FALSE),"")</f>
        <v>5.8730601245237435E-2</v>
      </c>
      <c r="Z495" s="14">
        <f>IFERROR(VLOOKUP($A495,koronahun!$A:$AM,26,FALSE),"")</f>
        <v>9.9156118143459912E-2</v>
      </c>
      <c r="AA495" s="14">
        <f>IFERROR(VLOOKUP($A495,koronahun!$A:$AM,27,FALSE),"")</f>
        <v>1.2139459018621721</v>
      </c>
      <c r="AB495" s="14">
        <f>IFERROR(VLOOKUP($A495,koronahun!$A:$AM,28,FALSE),"")</f>
        <v>1.175253046554934</v>
      </c>
      <c r="AC495" s="14">
        <f>IFERROR(VLOOKUP($A495,koronahun!$A:$AM,29,FALSE),"")</f>
        <v>1275.8571428571429</v>
      </c>
      <c r="AD495" s="14">
        <f>IFERROR(VLOOKUP($A495,koronahun!$A:$AM,30,FALSE),"")</f>
        <v>29.285714285714285</v>
      </c>
      <c r="AE495" s="14">
        <f>IFERROR(VLOOKUP($A495,koronahun!$A:$AM,31,FALSE),"")</f>
        <v>9991.2857142857138</v>
      </c>
      <c r="AF495" s="13">
        <f>IFERROR(VLOOKUP($A495,koronahun!$A:$AM,32,FALSE),"")</f>
        <v>0.128320168343868</v>
      </c>
      <c r="AG495">
        <f>IFERROR(VLOOKUP($A495,koronahun!$A:$AM,33,FALSE),"")</f>
        <v>0</v>
      </c>
      <c r="AH495">
        <f>IFERROR(VLOOKUP($A495,koronahun!$A:$AM,34,FALSE),"")</f>
        <v>0</v>
      </c>
      <c r="AI495">
        <f>IFERROR(VLOOKUP($A495,koronahun!$A:$AM,35,FALSE),"")</f>
        <v>0</v>
      </c>
      <c r="AJ495">
        <f>IFERROR(VLOOKUP($A495,koronahun!$A:$AM,36,FALSE),"")</f>
        <v>0</v>
      </c>
      <c r="AK495">
        <f>IFERROR(VLOOKUP($A495,koronahun!$A:$AM,37,FALSE),"")</f>
        <v>0</v>
      </c>
      <c r="AL495">
        <f>IFERROR(VLOOKUP($A495,koronahun!$A:$AM,38,FALSE),"")</f>
        <v>0</v>
      </c>
      <c r="AM495" s="14">
        <f>IFERROR(VLOOKUP($A495,koronahun!$A:$AM,39,FALSE),"")</f>
        <v>467.85714285714283</v>
      </c>
      <c r="AN495" s="11">
        <f ca="1">IFERROR(__xludf.DUMMYFUNCTION("""COMPUTED_VALUE"""),44387)</f>
        <v>44387</v>
      </c>
      <c r="AO495" s="12">
        <f ca="1">IFERROR(VLOOKUP(AN495,koronahun!A:B,2,FALSE),"")</f>
        <v>0</v>
      </c>
      <c r="AP495" s="11">
        <f t="shared" ca="1" si="2"/>
        <v>44387</v>
      </c>
      <c r="AQ495" s="11">
        <f ca="1">IFERROR(__xludf.DUMMYFUNCTION("""COMPUTED_VALUE"""),44398)</f>
        <v>44398</v>
      </c>
      <c r="AR495" s="11">
        <v>44124</v>
      </c>
      <c r="AS495" s="11">
        <f t="shared" si="3"/>
        <v>44124</v>
      </c>
      <c r="AT495" s="11">
        <f ca="1">IFERROR(__xludf.DUMMYFUNCTION("""COMPUTED_VALUE"""),44123)</f>
        <v>44123</v>
      </c>
    </row>
    <row r="496" spans="1:46" ht="13">
      <c r="A496" s="11">
        <v>44122</v>
      </c>
      <c r="B496">
        <f>IFERROR(VLOOKUP($A496,koronahun!$A:$AM,2,FALSE),"")</f>
        <v>46290</v>
      </c>
      <c r="C496">
        <f>IFERROR(VLOOKUP($A496,koronahun!$A:$AM,3,FALSE),"")</f>
        <v>1474</v>
      </c>
      <c r="D496">
        <f>IFERROR(VLOOKUP($A496,koronahun!$A:$AM,4,FALSE),"")</f>
        <v>1142</v>
      </c>
      <c r="E496">
        <f>IFERROR(VLOOKUP($A496,koronahun!$A:$AM,5,FALSE),"")</f>
        <v>14088</v>
      </c>
      <c r="F496">
        <f>IFERROR(VLOOKUP($A496,koronahun!$A:$AM,6,FALSE),"")</f>
        <v>894385</v>
      </c>
      <c r="G496" s="12">
        <f>IFERROR(VLOOKUP($A496,koronahun!$A:$AM,7,FALSE),"")</f>
        <v>91263.775510204068</v>
      </c>
      <c r="H496">
        <f>IFERROR(VLOOKUP($A496,koronahun!$A:$AM,8,FALSE),"")</f>
        <v>0</v>
      </c>
      <c r="I496" s="13">
        <f>IFERROR(VLOOKUP($A496,koronahun!$A:$AM,9,FALSE),"")</f>
        <v>3.2890039271688681E-2</v>
      </c>
      <c r="J496" s="13">
        <f>IFERROR(VLOOKUP($A496,koronahun!$A:$AM,10,FALSE),"")</f>
        <v>5.1756234731128094E-2</v>
      </c>
      <c r="K496" s="13">
        <f>IFERROR(VLOOKUP($A496,koronahun!$A:$AM,11,FALSE),"")</f>
        <v>1.130386210577258E-2</v>
      </c>
      <c r="L496">
        <f>IFERROR(VLOOKUP($A496,koronahun!$A:$AM,12,FALSE),"")</f>
        <v>31060</v>
      </c>
      <c r="M496" s="13">
        <f>IFERROR(VLOOKUP($A496,koronahun!$A:$AM,13,FALSE),"")</f>
        <v>2.467055519550659E-2</v>
      </c>
      <c r="N496" s="13">
        <f>IFERROR(VLOOKUP($A496,koronahun!$A:$AM,14,FALSE),"")</f>
        <v>0.30434219053791317</v>
      </c>
      <c r="O496">
        <f>IFERROR(VLOOKUP($A496,koronahun!$A:$AM,15,FALSE),"")</f>
        <v>25734</v>
      </c>
      <c r="P496">
        <f>IFERROR(VLOOKUP($A496,koronahun!$A:$AM,16,FALSE),"")</f>
        <v>9997</v>
      </c>
      <c r="Q496" s="13">
        <f>IFERROR(VLOOKUP($A496,koronahun!$A:$AM,17,FALSE),"")</f>
        <v>0.14744423326998099</v>
      </c>
      <c r="R496">
        <f>IFERROR(VLOOKUP($A496,koronahun!$A:$AM,18,FALSE),"")</f>
        <v>33</v>
      </c>
      <c r="S496">
        <f>IFERROR(VLOOKUP($A496,koronahun!$A:$AM,19,FALSE),"")</f>
        <v>508</v>
      </c>
      <c r="T496">
        <f>IFERROR(VLOOKUP($A496,koronahun!$A:$AM,20,FALSE),"")</f>
        <v>1712</v>
      </c>
      <c r="U496">
        <f>IFERROR(VLOOKUP($A496,koronahun!$A:$AM,21,FALSE),"")</f>
        <v>179</v>
      </c>
      <c r="V496" s="13">
        <f>IFERROR(VLOOKUP($A496,koronahun!$A:$AM,22,FALSE),"")</f>
        <v>0.67098725426658024</v>
      </c>
      <c r="W496">
        <f>IFERROR(VLOOKUP($A496,koronahun!$A:$AM,23,FALSE),"")</f>
        <v>19</v>
      </c>
      <c r="X496">
        <f>IFERROR(VLOOKUP($A496,koronahun!$A:$AM,24,FALSE),"")</f>
        <v>-6</v>
      </c>
      <c r="Y496" s="14">
        <f>IFERROR(VLOOKUP($A496,koronahun!$A:$AM,25,FALSE),"")</f>
        <v>5.5119124275595621E-2</v>
      </c>
      <c r="Z496" s="14">
        <f>IFERROR(VLOOKUP($A496,koronahun!$A:$AM,26,FALSE),"")</f>
        <v>0.10455607476635514</v>
      </c>
      <c r="AA496" s="14">
        <f>IFERROR(VLOOKUP($A496,koronahun!$A:$AM,27,FALSE),"")</f>
        <v>1.2168147834673437</v>
      </c>
      <c r="AB496" s="14">
        <f>IFERROR(VLOOKUP($A496,koronahun!$A:$AM,28,FALSE),"")</f>
        <v>1.1572136345376212</v>
      </c>
      <c r="AC496" s="14">
        <f>IFERROR(VLOOKUP($A496,koronahun!$A:$AM,29,FALSE),"")</f>
        <v>1232.2857142857142</v>
      </c>
      <c r="AD496" s="14">
        <f>IFERROR(VLOOKUP($A496,koronahun!$A:$AM,30,FALSE),"")</f>
        <v>26.857142857142858</v>
      </c>
      <c r="AE496" s="14">
        <f>IFERROR(VLOOKUP($A496,koronahun!$A:$AM,31,FALSE),"")</f>
        <v>9830.7142857142862</v>
      </c>
      <c r="AF496" s="13">
        <f>IFERROR(VLOOKUP($A496,koronahun!$A:$AM,32,FALSE),"")</f>
        <v>0.12609420880471084</v>
      </c>
      <c r="AG496">
        <f>IFERROR(VLOOKUP($A496,koronahun!$A:$AM,33,FALSE),"")</f>
        <v>0</v>
      </c>
      <c r="AH496">
        <f>IFERROR(VLOOKUP($A496,koronahun!$A:$AM,34,FALSE),"")</f>
        <v>0</v>
      </c>
      <c r="AI496">
        <f>IFERROR(VLOOKUP($A496,koronahun!$A:$AM,35,FALSE),"")</f>
        <v>0</v>
      </c>
      <c r="AJ496">
        <f>IFERROR(VLOOKUP($A496,koronahun!$A:$AM,36,FALSE),"")</f>
        <v>0</v>
      </c>
      <c r="AK496">
        <f>IFERROR(VLOOKUP($A496,koronahun!$A:$AM,37,FALSE),"")</f>
        <v>0</v>
      </c>
      <c r="AL496">
        <f>IFERROR(VLOOKUP($A496,koronahun!$A:$AM,38,FALSE),"")</f>
        <v>0</v>
      </c>
      <c r="AM496" s="14">
        <f>IFERROR(VLOOKUP($A496,koronahun!$A:$AM,39,FALSE),"")</f>
        <v>462.85714285714283</v>
      </c>
      <c r="AN496" s="11">
        <f ca="1">IFERROR(__xludf.DUMMYFUNCTION("""COMPUTED_VALUE"""),44388)</f>
        <v>44388</v>
      </c>
      <c r="AO496" s="12">
        <f ca="1">IFERROR(VLOOKUP(AN496,koronahun!A:B,2,FALSE),"")</f>
        <v>0</v>
      </c>
      <c r="AP496" s="11">
        <f t="shared" ca="1" si="2"/>
        <v>44388</v>
      </c>
      <c r="AQ496" s="11">
        <f ca="1">IFERROR(__xludf.DUMMYFUNCTION("""COMPUTED_VALUE"""),44399)</f>
        <v>44399</v>
      </c>
      <c r="AR496" s="11">
        <v>44123</v>
      </c>
      <c r="AS496" s="11">
        <f t="shared" si="3"/>
        <v>44123</v>
      </c>
      <c r="AT496" s="11">
        <f ca="1">IFERROR(__xludf.DUMMYFUNCTION("""COMPUTED_VALUE"""),44122)</f>
        <v>44122</v>
      </c>
    </row>
    <row r="497" spans="1:46" ht="13">
      <c r="A497" s="11">
        <v>44121</v>
      </c>
      <c r="B497">
        <f>IFERROR(VLOOKUP($A497,koronahun!$A:$AM,2,FALSE),"")</f>
        <v>44816</v>
      </c>
      <c r="C497">
        <f>IFERROR(VLOOKUP($A497,koronahun!$A:$AM,3,FALSE),"")</f>
        <v>1791</v>
      </c>
      <c r="D497">
        <f>IFERROR(VLOOKUP($A497,koronahun!$A:$AM,4,FALSE),"")</f>
        <v>1109</v>
      </c>
      <c r="E497">
        <f>IFERROR(VLOOKUP($A497,koronahun!$A:$AM,5,FALSE),"")</f>
        <v>13580</v>
      </c>
      <c r="F497">
        <f>IFERROR(VLOOKUP($A497,koronahun!$A:$AM,6,FALSE),"")</f>
        <v>884388</v>
      </c>
      <c r="G497" s="12">
        <f>IFERROR(VLOOKUP($A497,koronahun!$A:$AM,7,FALSE),"")</f>
        <v>90243.673469387752</v>
      </c>
      <c r="H497">
        <f>IFERROR(VLOOKUP($A497,koronahun!$A:$AM,8,FALSE),"")</f>
        <v>0</v>
      </c>
      <c r="I497" s="13">
        <f>IFERROR(VLOOKUP($A497,koronahun!$A:$AM,9,FALSE),"")</f>
        <v>4.1626961069145846E-2</v>
      </c>
      <c r="J497" s="13">
        <f>IFERROR(VLOOKUP($A497,koronahun!$A:$AM,10,FALSE),"")</f>
        <v>5.067459079046753E-2</v>
      </c>
      <c r="K497" s="13">
        <f>IFERROR(VLOOKUP($A497,koronahun!$A:$AM,11,FALSE),"")</f>
        <v>1.4884951750998661E-2</v>
      </c>
      <c r="L497">
        <f>IFERROR(VLOOKUP($A497,koronahun!$A:$AM,12,FALSE),"")</f>
        <v>30127</v>
      </c>
      <c r="M497" s="13">
        <f>IFERROR(VLOOKUP($A497,koronahun!$A:$AM,13,FALSE),"")</f>
        <v>2.4745626561942163E-2</v>
      </c>
      <c r="N497" s="13">
        <f>IFERROR(VLOOKUP($A497,koronahun!$A:$AM,14,FALSE),"")</f>
        <v>0.30301677972152802</v>
      </c>
      <c r="O497">
        <f>IFERROR(VLOOKUP($A497,koronahun!$A:$AM,15,FALSE),"")</f>
        <v>25647</v>
      </c>
      <c r="P497">
        <f>IFERROR(VLOOKUP($A497,koronahun!$A:$AM,16,FALSE),"")</f>
        <v>12971</v>
      </c>
      <c r="Q497" s="13">
        <f>IFERROR(VLOOKUP($A497,koronahun!$A:$AM,17,FALSE),"")</f>
        <v>0.13807724924832318</v>
      </c>
      <c r="R497">
        <f>IFERROR(VLOOKUP($A497,koronahun!$A:$AM,18,FALSE),"")</f>
        <v>24</v>
      </c>
      <c r="S497">
        <f>IFERROR(VLOOKUP($A497,koronahun!$A:$AM,19,FALSE),"")</f>
        <v>446</v>
      </c>
      <c r="T497">
        <f>IFERROR(VLOOKUP($A497,koronahun!$A:$AM,20,FALSE),"")</f>
        <v>1693</v>
      </c>
      <c r="U497">
        <f>IFERROR(VLOOKUP($A497,koronahun!$A:$AM,21,FALSE),"")</f>
        <v>185</v>
      </c>
      <c r="V497" s="13">
        <f>IFERROR(VLOOKUP($A497,koronahun!$A:$AM,22,FALSE),"")</f>
        <v>0.6722375937165298</v>
      </c>
      <c r="W497">
        <f>IFERROR(VLOOKUP($A497,koronahun!$A:$AM,23,FALSE),"")</f>
        <v>51</v>
      </c>
      <c r="X497">
        <f>IFERROR(VLOOKUP($A497,koronahun!$A:$AM,24,FALSE),"")</f>
        <v>14</v>
      </c>
      <c r="Y497" s="14">
        <f>IFERROR(VLOOKUP($A497,koronahun!$A:$AM,25,FALSE),"")</f>
        <v>5.6195439306933978E-2</v>
      </c>
      <c r="Z497" s="14">
        <f>IFERROR(VLOOKUP($A497,koronahun!$A:$AM,26,FALSE),"")</f>
        <v>0.10927347903130538</v>
      </c>
      <c r="AA497" s="14">
        <f>IFERROR(VLOOKUP($A497,koronahun!$A:$AM,27,FALSE),"")</f>
        <v>1.1949411251635411</v>
      </c>
      <c r="AB497" s="14">
        <f>IFERROR(VLOOKUP($A497,koronahun!$A:$AM,28,FALSE),"")</f>
        <v>1.1377365993659521</v>
      </c>
      <c r="AC497" s="14">
        <f>IFERROR(VLOOKUP($A497,koronahun!$A:$AM,29,FALSE),"")</f>
        <v>1174.2857142857142</v>
      </c>
      <c r="AD497" s="14">
        <f>IFERROR(VLOOKUP($A497,koronahun!$A:$AM,30,FALSE),"")</f>
        <v>25.142857142857142</v>
      </c>
      <c r="AE497" s="14">
        <f>IFERROR(VLOOKUP($A497,koronahun!$A:$AM,31,FALSE),"")</f>
        <v>9860.1428571428569</v>
      </c>
      <c r="AF497" s="13">
        <f>IFERROR(VLOOKUP($A497,koronahun!$A:$AM,32,FALSE),"")</f>
        <v>0.11998433198901773</v>
      </c>
      <c r="AG497">
        <f>IFERROR(VLOOKUP($A497,koronahun!$A:$AM,33,FALSE),"")</f>
        <v>0</v>
      </c>
      <c r="AH497">
        <f>IFERROR(VLOOKUP($A497,koronahun!$A:$AM,34,FALSE),"")</f>
        <v>0</v>
      </c>
      <c r="AI497">
        <f>IFERROR(VLOOKUP($A497,koronahun!$A:$AM,35,FALSE),"")</f>
        <v>0</v>
      </c>
      <c r="AJ497">
        <f>IFERROR(VLOOKUP($A497,koronahun!$A:$AM,36,FALSE),"")</f>
        <v>0</v>
      </c>
      <c r="AK497">
        <f>IFERROR(VLOOKUP($A497,koronahun!$A:$AM,37,FALSE),"")</f>
        <v>0</v>
      </c>
      <c r="AL497">
        <f>IFERROR(VLOOKUP($A497,koronahun!$A:$AM,38,FALSE),"")</f>
        <v>0</v>
      </c>
      <c r="AM497" s="14">
        <f>IFERROR(VLOOKUP($A497,koronahun!$A:$AM,39,FALSE),"")</f>
        <v>556.71428571428567</v>
      </c>
      <c r="AN497" s="11">
        <f ca="1">IFERROR(__xludf.DUMMYFUNCTION("""COMPUTED_VALUE"""),44389)</f>
        <v>44389</v>
      </c>
      <c r="AO497" s="12">
        <f ca="1">IFERROR(VLOOKUP(AN497,koronahun!A:B,2,FALSE),"")</f>
        <v>808539</v>
      </c>
      <c r="AP497" s="11">
        <f t="shared" ca="1" si="2"/>
        <v>44389</v>
      </c>
      <c r="AQ497" s="11">
        <f ca="1">IFERROR(__xludf.DUMMYFUNCTION("""COMPUTED_VALUE"""),44400)</f>
        <v>44400</v>
      </c>
      <c r="AR497" s="11">
        <v>44122</v>
      </c>
      <c r="AS497" s="11">
        <f t="shared" si="3"/>
        <v>44122</v>
      </c>
      <c r="AT497" s="11">
        <f ca="1">IFERROR(__xludf.DUMMYFUNCTION("""COMPUTED_VALUE"""),44121)</f>
        <v>44121</v>
      </c>
    </row>
    <row r="498" spans="1:46" ht="13">
      <c r="A498" s="11">
        <v>44120</v>
      </c>
      <c r="B498">
        <f>IFERROR(VLOOKUP($A498,koronahun!$A:$AM,2,FALSE),"")</f>
        <v>43025</v>
      </c>
      <c r="C498">
        <f>IFERROR(VLOOKUP($A498,koronahun!$A:$AM,3,FALSE),"")</f>
        <v>1293</v>
      </c>
      <c r="D498">
        <f>IFERROR(VLOOKUP($A498,koronahun!$A:$AM,4,FALSE),"")</f>
        <v>1085</v>
      </c>
      <c r="E498">
        <f>IFERROR(VLOOKUP($A498,koronahun!$A:$AM,5,FALSE),"")</f>
        <v>13134</v>
      </c>
      <c r="F498">
        <f>IFERROR(VLOOKUP($A498,koronahun!$A:$AM,6,FALSE),"")</f>
        <v>871417</v>
      </c>
      <c r="G498" s="12">
        <f>IFERROR(VLOOKUP($A498,koronahun!$A:$AM,7,FALSE),"")</f>
        <v>88920.102040816317</v>
      </c>
      <c r="H498">
        <f>IFERROR(VLOOKUP($A498,koronahun!$A:$AM,8,FALSE),"")</f>
        <v>0</v>
      </c>
      <c r="I498" s="13">
        <f>IFERROR(VLOOKUP($A498,koronahun!$A:$AM,9,FALSE),"")</f>
        <v>3.0983418000575098E-2</v>
      </c>
      <c r="J498" s="13">
        <f>IFERROR(VLOOKUP($A498,koronahun!$A:$AM,10,FALSE),"")</f>
        <v>4.9373606436413336E-2</v>
      </c>
      <c r="K498" s="13">
        <f>IFERROR(VLOOKUP($A498,koronahun!$A:$AM,11,FALSE),"")</f>
        <v>1.1370441726050928E-2</v>
      </c>
      <c r="L498">
        <f>IFERROR(VLOOKUP($A498,koronahun!$A:$AM,12,FALSE),"")</f>
        <v>28806</v>
      </c>
      <c r="M498" s="13">
        <f>IFERROR(VLOOKUP($A498,koronahun!$A:$AM,13,FALSE),"")</f>
        <v>2.5217896571760604E-2</v>
      </c>
      <c r="N498" s="13">
        <f>IFERROR(VLOOKUP($A498,koronahun!$A:$AM,14,FALSE),"")</f>
        <v>0.30526438117373622</v>
      </c>
      <c r="O498">
        <f>IFERROR(VLOOKUP($A498,koronahun!$A:$AM,15,FALSE),"")</f>
        <v>22656</v>
      </c>
      <c r="P498">
        <f>IFERROR(VLOOKUP($A498,koronahun!$A:$AM,16,FALSE),"")</f>
        <v>9797</v>
      </c>
      <c r="Q498" s="13">
        <f>IFERROR(VLOOKUP($A498,koronahun!$A:$AM,17,FALSE),"")</f>
        <v>0.13197917729917322</v>
      </c>
      <c r="R498">
        <f>IFERROR(VLOOKUP($A498,koronahun!$A:$AM,18,FALSE),"")</f>
        <v>33</v>
      </c>
      <c r="S498">
        <f>IFERROR(VLOOKUP($A498,koronahun!$A:$AM,19,FALSE),"")</f>
        <v>506</v>
      </c>
      <c r="T498">
        <f>IFERROR(VLOOKUP($A498,koronahun!$A:$AM,20,FALSE),"")</f>
        <v>1642</v>
      </c>
      <c r="U498">
        <f>IFERROR(VLOOKUP($A498,koronahun!$A:$AM,21,FALSE),"")</f>
        <v>171</v>
      </c>
      <c r="V498" s="13">
        <f>IFERROR(VLOOKUP($A498,koronahun!$A:$AM,22,FALSE),"")</f>
        <v>0.66951772225450323</v>
      </c>
      <c r="W498">
        <f>IFERROR(VLOOKUP($A498,koronahun!$A:$AM,23,FALSE),"")</f>
        <v>87</v>
      </c>
      <c r="X498">
        <f>IFERROR(VLOOKUP($A498,koronahun!$A:$AM,24,FALSE),"")</f>
        <v>4</v>
      </c>
      <c r="Y498" s="14">
        <f>IFERROR(VLOOKUP($A498,koronahun!$A:$AM,25,FALSE),"")</f>
        <v>5.7002013469416093E-2</v>
      </c>
      <c r="Z498" s="14">
        <f>IFERROR(VLOOKUP($A498,koronahun!$A:$AM,26,FALSE),"")</f>
        <v>0.10414129110840438</v>
      </c>
      <c r="AA498" s="14">
        <f>IFERROR(VLOOKUP($A498,koronahun!$A:$AM,27,FALSE),"")</f>
        <v>1.1838871187983615</v>
      </c>
      <c r="AB498" s="14">
        <f>IFERROR(VLOOKUP($A498,koronahun!$A:$AM,28,FALSE),"")</f>
        <v>1.1150298637573912</v>
      </c>
      <c r="AC498" s="14">
        <f>IFERROR(VLOOKUP($A498,koronahun!$A:$AM,29,FALSE),"")</f>
        <v>1114.7142857142858</v>
      </c>
      <c r="AD498" s="14">
        <f>IFERROR(VLOOKUP($A498,koronahun!$A:$AM,30,FALSE),"")</f>
        <v>24.571428571428573</v>
      </c>
      <c r="AE498" s="14">
        <f>IFERROR(VLOOKUP($A498,koronahun!$A:$AM,31,FALSE),"")</f>
        <v>9681.2857142857138</v>
      </c>
      <c r="AF498" s="13">
        <f>IFERROR(VLOOKUP($A498,koronahun!$A:$AM,32,FALSE),"")</f>
        <v>0.11700836763392772</v>
      </c>
      <c r="AG498">
        <f>IFERROR(VLOOKUP($A498,koronahun!$A:$AM,33,FALSE),"")</f>
        <v>0</v>
      </c>
      <c r="AH498">
        <f>IFERROR(VLOOKUP($A498,koronahun!$A:$AM,34,FALSE),"")</f>
        <v>0</v>
      </c>
      <c r="AI498">
        <f>IFERROR(VLOOKUP($A498,koronahun!$A:$AM,35,FALSE),"")</f>
        <v>0</v>
      </c>
      <c r="AJ498">
        <f>IFERROR(VLOOKUP($A498,koronahun!$A:$AM,36,FALSE),"")</f>
        <v>0</v>
      </c>
      <c r="AK498">
        <f>IFERROR(VLOOKUP($A498,koronahun!$A:$AM,37,FALSE),"")</f>
        <v>0</v>
      </c>
      <c r="AL498">
        <f>IFERROR(VLOOKUP($A498,koronahun!$A:$AM,38,FALSE),"")</f>
        <v>0</v>
      </c>
      <c r="AM498" s="14">
        <f>IFERROR(VLOOKUP($A498,koronahun!$A:$AM,39,FALSE),"")</f>
        <v>561.71428571428567</v>
      </c>
      <c r="AN498" s="11">
        <f ca="1">IFERROR(__xludf.DUMMYFUNCTION("""COMPUTED_VALUE"""),44390)</f>
        <v>44390</v>
      </c>
      <c r="AO498" s="12">
        <f ca="1">IFERROR(VLOOKUP(AN498,koronahun!A:B,2,FALSE),"")</f>
        <v>808556</v>
      </c>
      <c r="AP498" s="11">
        <f t="shared" ca="1" si="2"/>
        <v>44390</v>
      </c>
      <c r="AQ498" s="11">
        <f ca="1">IFERROR(__xludf.DUMMYFUNCTION("""COMPUTED_VALUE"""),44403)</f>
        <v>44403</v>
      </c>
      <c r="AR498" s="11">
        <v>44121</v>
      </c>
      <c r="AS498" s="11">
        <f t="shared" si="3"/>
        <v>44121</v>
      </c>
      <c r="AT498" s="11">
        <f ca="1">IFERROR(__xludf.DUMMYFUNCTION("""COMPUTED_VALUE"""),44120)</f>
        <v>44120</v>
      </c>
    </row>
    <row r="499" spans="1:46" ht="13">
      <c r="A499" s="11">
        <v>44119</v>
      </c>
      <c r="B499">
        <f>IFERROR(VLOOKUP($A499,koronahun!$A:$AM,2,FALSE),"")</f>
        <v>41732</v>
      </c>
      <c r="C499">
        <f>IFERROR(VLOOKUP($A499,koronahun!$A:$AM,3,FALSE),"")</f>
        <v>950</v>
      </c>
      <c r="D499">
        <f>IFERROR(VLOOKUP($A499,koronahun!$A:$AM,4,FALSE),"")</f>
        <v>1052</v>
      </c>
      <c r="E499">
        <f>IFERROR(VLOOKUP($A499,koronahun!$A:$AM,5,FALSE),"")</f>
        <v>12628</v>
      </c>
      <c r="F499">
        <f>IFERROR(VLOOKUP($A499,koronahun!$A:$AM,6,FALSE),"")</f>
        <v>861620</v>
      </c>
      <c r="G499" s="12">
        <f>IFERROR(VLOOKUP($A499,koronahun!$A:$AM,7,FALSE),"")</f>
        <v>87920.408163265296</v>
      </c>
      <c r="H499">
        <f>IFERROR(VLOOKUP($A499,koronahun!$A:$AM,8,FALSE),"")</f>
        <v>0</v>
      </c>
      <c r="I499" s="13">
        <f>IFERROR(VLOOKUP($A499,koronahun!$A:$AM,9,FALSE),"")</f>
        <v>2.329459075082144E-2</v>
      </c>
      <c r="J499" s="13">
        <f>IFERROR(VLOOKUP($A499,koronahun!$A:$AM,10,FALSE),"")</f>
        <v>4.8434344606671155E-2</v>
      </c>
      <c r="K499" s="13">
        <f>IFERROR(VLOOKUP($A499,koronahun!$A:$AM,11,FALSE),"")</f>
        <v>1.2624606582847364E-2</v>
      </c>
      <c r="L499">
        <f>IFERROR(VLOOKUP($A499,koronahun!$A:$AM,12,FALSE),"")</f>
        <v>28052</v>
      </c>
      <c r="M499" s="13">
        <f>IFERROR(VLOOKUP($A499,koronahun!$A:$AM,13,FALSE),"")</f>
        <v>2.5208473114157002E-2</v>
      </c>
      <c r="N499" s="13">
        <f>IFERROR(VLOOKUP($A499,koronahun!$A:$AM,14,FALSE),"")</f>
        <v>0.30259752707754239</v>
      </c>
      <c r="O499">
        <f>IFERROR(VLOOKUP($A499,koronahun!$A:$AM,15,FALSE),"")</f>
        <v>24710</v>
      </c>
      <c r="P499">
        <f>IFERROR(VLOOKUP($A499,koronahun!$A:$AM,16,FALSE),"")</f>
        <v>10742</v>
      </c>
      <c r="Q499" s="13">
        <f>IFERROR(VLOOKUP($A499,koronahun!$A:$AM,17,FALSE),"")</f>
        <v>8.843790727983615E-2</v>
      </c>
      <c r="R499">
        <f>IFERROR(VLOOKUP($A499,koronahun!$A:$AM,18,FALSE),"")</f>
        <v>29</v>
      </c>
      <c r="S499">
        <f>IFERROR(VLOOKUP($A499,koronahun!$A:$AM,19,FALSE),"")</f>
        <v>464</v>
      </c>
      <c r="T499">
        <f>IFERROR(VLOOKUP($A499,koronahun!$A:$AM,20,FALSE),"")</f>
        <v>1555</v>
      </c>
      <c r="U499">
        <f>IFERROR(VLOOKUP($A499,koronahun!$A:$AM,21,FALSE),"")</f>
        <v>167</v>
      </c>
      <c r="V499" s="13">
        <f>IFERROR(VLOOKUP($A499,koronahun!$A:$AM,22,FALSE),"")</f>
        <v>0.67219399980830064</v>
      </c>
      <c r="W499">
        <f>IFERROR(VLOOKUP($A499,koronahun!$A:$AM,23,FALSE),"")</f>
        <v>17</v>
      </c>
      <c r="X499">
        <f>IFERROR(VLOOKUP($A499,koronahun!$A:$AM,24,FALSE),"")</f>
        <v>11</v>
      </c>
      <c r="Y499" s="14">
        <f>IFERROR(VLOOKUP($A499,koronahun!$A:$AM,25,FALSE),"")</f>
        <v>5.543276771709682E-2</v>
      </c>
      <c r="Z499" s="14">
        <f>IFERROR(VLOOKUP($A499,koronahun!$A:$AM,26,FALSE),"")</f>
        <v>0.10739549839228296</v>
      </c>
      <c r="AA499" s="14">
        <f>IFERROR(VLOOKUP($A499,koronahun!$A:$AM,27,FALSE),"")</f>
        <v>1.1408638860026719</v>
      </c>
      <c r="AB499" s="14">
        <f>IFERROR(VLOOKUP($A499,koronahun!$A:$AM,28,FALSE),"")</f>
        <v>1.0906711873238879</v>
      </c>
      <c r="AC499" s="14">
        <f>IFERROR(VLOOKUP($A499,koronahun!$A:$AM,29,FALSE),"")</f>
        <v>1098</v>
      </c>
      <c r="AD499" s="14">
        <f>IFERROR(VLOOKUP($A499,koronahun!$A:$AM,30,FALSE),"")</f>
        <v>22</v>
      </c>
      <c r="AE499" s="14">
        <f>IFERROR(VLOOKUP($A499,koronahun!$A:$AM,31,FALSE),"")</f>
        <v>9876.4285714285706</v>
      </c>
      <c r="AF499" s="13">
        <f>IFERROR(VLOOKUP($A499,koronahun!$A:$AM,32,FALSE),"")</f>
        <v>0.11320391726612246</v>
      </c>
      <c r="AG499">
        <f>IFERROR(VLOOKUP($A499,koronahun!$A:$AM,33,FALSE),"")</f>
        <v>0</v>
      </c>
      <c r="AH499">
        <f>IFERROR(VLOOKUP($A499,koronahun!$A:$AM,34,FALSE),"")</f>
        <v>0</v>
      </c>
      <c r="AI499">
        <f>IFERROR(VLOOKUP($A499,koronahun!$A:$AM,35,FALSE),"")</f>
        <v>0</v>
      </c>
      <c r="AJ499">
        <f>IFERROR(VLOOKUP($A499,koronahun!$A:$AM,36,FALSE),"")</f>
        <v>0</v>
      </c>
      <c r="AK499">
        <f>IFERROR(VLOOKUP($A499,koronahun!$A:$AM,37,FALSE),"")</f>
        <v>0</v>
      </c>
      <c r="AL499">
        <f>IFERROR(VLOOKUP($A499,koronahun!$A:$AM,38,FALSE),"")</f>
        <v>0</v>
      </c>
      <c r="AM499" s="14">
        <f>IFERROR(VLOOKUP($A499,koronahun!$A:$AM,39,FALSE),"")</f>
        <v>491.57142857142856</v>
      </c>
      <c r="AN499" s="11">
        <f ca="1">IFERROR(__xludf.DUMMYFUNCTION("""COMPUTED_VALUE"""),44391)</f>
        <v>44391</v>
      </c>
      <c r="AO499" s="12">
        <f ca="1">IFERROR(VLOOKUP(AN499,koronahun!A:B,2,FALSE),"")</f>
        <v>808612</v>
      </c>
      <c r="AP499" s="11">
        <f t="shared" ca="1" si="2"/>
        <v>44391</v>
      </c>
      <c r="AQ499" s="11">
        <f ca="1">IFERROR(__xludf.DUMMYFUNCTION("""COMPUTED_VALUE"""),44404)</f>
        <v>44404</v>
      </c>
      <c r="AR499" s="11">
        <v>44120</v>
      </c>
      <c r="AS499" s="11">
        <f t="shared" si="3"/>
        <v>44120</v>
      </c>
      <c r="AT499" s="11">
        <f ca="1">IFERROR(__xludf.DUMMYFUNCTION("""COMPUTED_VALUE"""),44119)</f>
        <v>44119</v>
      </c>
    </row>
    <row r="500" spans="1:46" ht="13">
      <c r="A500" s="11">
        <v>44118</v>
      </c>
      <c r="B500">
        <f>IFERROR(VLOOKUP($A500,koronahun!$A:$AM,2,FALSE),"")</f>
        <v>40782</v>
      </c>
      <c r="C500">
        <f>IFERROR(VLOOKUP($A500,koronahun!$A:$AM,3,FALSE),"")</f>
        <v>920</v>
      </c>
      <c r="D500">
        <f>IFERROR(VLOOKUP($A500,koronahun!$A:$AM,4,FALSE),"")</f>
        <v>1023</v>
      </c>
      <c r="E500">
        <f>IFERROR(VLOOKUP($A500,koronahun!$A:$AM,5,FALSE),"")</f>
        <v>12164</v>
      </c>
      <c r="F500">
        <f>IFERROR(VLOOKUP($A500,koronahun!$A:$AM,6,FALSE),"")</f>
        <v>850878</v>
      </c>
      <c r="G500" s="12">
        <f>IFERROR(VLOOKUP($A500,koronahun!$A:$AM,7,FALSE),"")</f>
        <v>86824.28571428571</v>
      </c>
      <c r="H500">
        <f>IFERROR(VLOOKUP($A500,koronahun!$A:$AM,8,FALSE),"")</f>
        <v>0</v>
      </c>
      <c r="I500" s="13">
        <f>IFERROR(VLOOKUP($A500,koronahun!$A:$AM,9,FALSE),"")</f>
        <v>2.3079624705233052E-2</v>
      </c>
      <c r="J500" s="13">
        <f>IFERROR(VLOOKUP($A500,koronahun!$A:$AM,10,FALSE),"")</f>
        <v>4.7929315366010167E-2</v>
      </c>
      <c r="K500" s="13">
        <f>IFERROR(VLOOKUP($A500,koronahun!$A:$AM,11,FALSE),"")</f>
        <v>1.1480944342740306E-2</v>
      </c>
      <c r="L500">
        <f>IFERROR(VLOOKUP($A500,koronahun!$A:$AM,12,FALSE),"")</f>
        <v>27595</v>
      </c>
      <c r="M500" s="13">
        <f>IFERROR(VLOOKUP($A500,koronahun!$A:$AM,13,FALSE),"")</f>
        <v>2.5084596145358247E-2</v>
      </c>
      <c r="N500" s="13">
        <f>IFERROR(VLOOKUP($A500,koronahun!$A:$AM,14,FALSE),"")</f>
        <v>0.29826884409788634</v>
      </c>
      <c r="O500">
        <f>IFERROR(VLOOKUP($A500,koronahun!$A:$AM,15,FALSE),"")</f>
        <v>23815</v>
      </c>
      <c r="P500">
        <f>IFERROR(VLOOKUP($A500,koronahun!$A:$AM,16,FALSE),"")</f>
        <v>9658</v>
      </c>
      <c r="Q500" s="13">
        <f>IFERROR(VLOOKUP($A500,koronahun!$A:$AM,17,FALSE),"")</f>
        <v>9.525781735348933E-2</v>
      </c>
      <c r="R500">
        <f>IFERROR(VLOOKUP($A500,koronahun!$A:$AM,18,FALSE),"")</f>
        <v>27</v>
      </c>
      <c r="S500">
        <f>IFERROR(VLOOKUP($A500,koronahun!$A:$AM,19,FALSE),"")</f>
        <v>411</v>
      </c>
      <c r="T500">
        <f>IFERROR(VLOOKUP($A500,koronahun!$A:$AM,20,FALSE),"")</f>
        <v>1538</v>
      </c>
      <c r="U500">
        <f>IFERROR(VLOOKUP($A500,koronahun!$A:$AM,21,FALSE),"")</f>
        <v>156</v>
      </c>
      <c r="V500" s="13">
        <f>IFERROR(VLOOKUP($A500,koronahun!$A:$AM,22,FALSE),"")</f>
        <v>0.67664655975675547</v>
      </c>
      <c r="W500">
        <f>IFERROR(VLOOKUP($A500,koronahun!$A:$AM,23,FALSE),"")</f>
        <v>19</v>
      </c>
      <c r="X500">
        <f>IFERROR(VLOOKUP($A500,koronahun!$A:$AM,24,FALSE),"")</f>
        <v>-4</v>
      </c>
      <c r="Y500" s="14">
        <f>IFERROR(VLOOKUP($A500,koronahun!$A:$AM,25,FALSE),"")</f>
        <v>5.5734734553361115E-2</v>
      </c>
      <c r="Z500" s="14">
        <f>IFERROR(VLOOKUP($A500,koronahun!$A:$AM,26,FALSE),"")</f>
        <v>0.10143042912873862</v>
      </c>
      <c r="AA500" s="14">
        <f>IFERROR(VLOOKUP($A500,koronahun!$A:$AM,27,FALSE),"")</f>
        <v>1.1525627536449723</v>
      </c>
      <c r="AB500" s="14">
        <f>IFERROR(VLOOKUP($A500,koronahun!$A:$AM,28,FALSE),"")</f>
        <v>1.0852333677230572</v>
      </c>
      <c r="AC500" s="14">
        <f>IFERROR(VLOOKUP($A500,koronahun!$A:$AM,29,FALSE),"")</f>
        <v>1095.4285714285713</v>
      </c>
      <c r="AD500" s="14">
        <f>IFERROR(VLOOKUP($A500,koronahun!$A:$AM,30,FALSE),"")</f>
        <v>20.857142857142858</v>
      </c>
      <c r="AE500" s="14">
        <f>IFERROR(VLOOKUP($A500,koronahun!$A:$AM,31,FALSE),"")</f>
        <v>9979.2857142857138</v>
      </c>
      <c r="AF500" s="13">
        <f>IFERROR(VLOOKUP($A500,koronahun!$A:$AM,32,FALSE),"")</f>
        <v>0.11218595364419807</v>
      </c>
      <c r="AG500">
        <f>IFERROR(VLOOKUP($A500,koronahun!$A:$AM,33,FALSE),"")</f>
        <v>0</v>
      </c>
      <c r="AH500">
        <f>IFERROR(VLOOKUP($A500,koronahun!$A:$AM,34,FALSE),"")</f>
        <v>0</v>
      </c>
      <c r="AI500">
        <f>IFERROR(VLOOKUP($A500,koronahun!$A:$AM,35,FALSE),"")</f>
        <v>0</v>
      </c>
      <c r="AJ500">
        <f>IFERROR(VLOOKUP($A500,koronahun!$A:$AM,36,FALSE),"")</f>
        <v>0</v>
      </c>
      <c r="AK500">
        <f>IFERROR(VLOOKUP($A500,koronahun!$A:$AM,37,FALSE),"")</f>
        <v>0</v>
      </c>
      <c r="AL500">
        <f>IFERROR(VLOOKUP($A500,koronahun!$A:$AM,38,FALSE),"")</f>
        <v>0</v>
      </c>
      <c r="AM500" s="14">
        <f>IFERROR(VLOOKUP($A500,koronahun!$A:$AM,39,FALSE),"")</f>
        <v>430.71428571428572</v>
      </c>
      <c r="AN500" s="11">
        <f ca="1">IFERROR(__xludf.DUMMYFUNCTION("""COMPUTED_VALUE"""),44392)</f>
        <v>44392</v>
      </c>
      <c r="AO500" s="12">
        <f ca="1">IFERROR(VLOOKUP(AN500,koronahun!A:B,2,FALSE),"")</f>
        <v>808661</v>
      </c>
      <c r="AP500" s="11">
        <f t="shared" ca="1" si="2"/>
        <v>44392</v>
      </c>
      <c r="AQ500" s="11">
        <f ca="1">IFERROR(__xludf.DUMMYFUNCTION("""COMPUTED_VALUE"""),44405)</f>
        <v>44405</v>
      </c>
      <c r="AR500" s="11">
        <v>44119</v>
      </c>
      <c r="AS500" s="11">
        <f t="shared" si="3"/>
        <v>44119</v>
      </c>
      <c r="AT500" s="11">
        <f ca="1">IFERROR(__xludf.DUMMYFUNCTION("""COMPUTED_VALUE"""),44118)</f>
        <v>44118</v>
      </c>
    </row>
    <row r="501" spans="1:46" ht="13">
      <c r="A501" s="11">
        <v>44117</v>
      </c>
      <c r="B501">
        <f>IFERROR(VLOOKUP($A501,koronahun!$A:$AM,2,FALSE),"")</f>
        <v>39862</v>
      </c>
      <c r="C501">
        <f>IFERROR(VLOOKUP($A501,koronahun!$A:$AM,3,FALSE),"")</f>
        <v>1025</v>
      </c>
      <c r="D501">
        <f>IFERROR(VLOOKUP($A501,koronahun!$A:$AM,4,FALSE),"")</f>
        <v>996</v>
      </c>
      <c r="E501">
        <f>IFERROR(VLOOKUP($A501,koronahun!$A:$AM,5,FALSE),"")</f>
        <v>11753</v>
      </c>
      <c r="F501">
        <f>IFERROR(VLOOKUP($A501,koronahun!$A:$AM,6,FALSE),"")</f>
        <v>841220</v>
      </c>
      <c r="G501" s="12">
        <f>IFERROR(VLOOKUP($A501,koronahun!$A:$AM,7,FALSE),"")</f>
        <v>85838.775510204068</v>
      </c>
      <c r="H501">
        <f>IFERROR(VLOOKUP($A501,koronahun!$A:$AM,8,FALSE),"")</f>
        <v>0</v>
      </c>
      <c r="I501" s="13">
        <f>IFERROR(VLOOKUP($A501,koronahun!$A:$AM,9,FALSE),"")</f>
        <v>2.6392357803125883E-2</v>
      </c>
      <c r="J501" s="13">
        <f>IFERROR(VLOOKUP($A501,koronahun!$A:$AM,10,FALSE),"")</f>
        <v>4.7385939468866649E-2</v>
      </c>
      <c r="K501" s="13">
        <f>IFERROR(VLOOKUP($A501,koronahun!$A:$AM,11,FALSE),"")</f>
        <v>8.5397741509680523E-3</v>
      </c>
      <c r="L501">
        <f>IFERROR(VLOOKUP($A501,koronahun!$A:$AM,12,FALSE),"")</f>
        <v>27113</v>
      </c>
      <c r="M501" s="13">
        <f>IFERROR(VLOOKUP($A501,koronahun!$A:$AM,13,FALSE),"")</f>
        <v>2.4986202398274045E-2</v>
      </c>
      <c r="N501" s="13">
        <f>IFERROR(VLOOKUP($A501,koronahun!$A:$AM,14,FALSE),"")</f>
        <v>0.29484220560935226</v>
      </c>
      <c r="O501">
        <f>IFERROR(VLOOKUP($A501,koronahun!$A:$AM,15,FALSE),"")</f>
        <v>21990</v>
      </c>
      <c r="P501">
        <f>IFERROR(VLOOKUP($A501,koronahun!$A:$AM,16,FALSE),"")</f>
        <v>7123</v>
      </c>
      <c r="Q501" s="13">
        <f>IFERROR(VLOOKUP($A501,koronahun!$A:$AM,17,FALSE),"")</f>
        <v>0.14390004211708549</v>
      </c>
      <c r="R501">
        <f>IFERROR(VLOOKUP($A501,koronahun!$A:$AM,18,FALSE),"")</f>
        <v>28</v>
      </c>
      <c r="S501">
        <f>IFERROR(VLOOKUP($A501,koronahun!$A:$AM,19,FALSE),"")</f>
        <v>716</v>
      </c>
      <c r="T501">
        <f>IFERROR(VLOOKUP($A501,koronahun!$A:$AM,20,FALSE),"")</f>
        <v>1519</v>
      </c>
      <c r="U501">
        <f>IFERROR(VLOOKUP($A501,koronahun!$A:$AM,21,FALSE),"")</f>
        <v>160</v>
      </c>
      <c r="V501" s="13">
        <f>IFERROR(VLOOKUP($A501,koronahun!$A:$AM,22,FALSE),"")</f>
        <v>0.68017159199237365</v>
      </c>
      <c r="W501">
        <f>IFERROR(VLOOKUP($A501,koronahun!$A:$AM,23,FALSE),"")</f>
        <v>101</v>
      </c>
      <c r="X501">
        <f>IFERROR(VLOOKUP($A501,koronahun!$A:$AM,24,FALSE),"")</f>
        <v>6</v>
      </c>
      <c r="Y501" s="14">
        <f>IFERROR(VLOOKUP($A501,koronahun!$A:$AM,25,FALSE),"")</f>
        <v>5.6024785158411097E-2</v>
      </c>
      <c r="Z501" s="14">
        <f>IFERROR(VLOOKUP($A501,koronahun!$A:$AM,26,FALSE),"")</f>
        <v>0.10533245556287031</v>
      </c>
      <c r="AA501" s="14">
        <f>IFERROR(VLOOKUP($A501,koronahun!$A:$AM,27,FALSE),"")</f>
        <v>1.1237557569454761</v>
      </c>
      <c r="AB501" s="14">
        <f>IFERROR(VLOOKUP($A501,koronahun!$A:$AM,28,FALSE),"")</f>
        <v>1.0786964303900741</v>
      </c>
      <c r="AC501" s="14">
        <f>IFERROR(VLOOKUP($A501,koronahun!$A:$AM,29,FALSE),"")</f>
        <v>1080.5714285714287</v>
      </c>
      <c r="AD501" s="14">
        <f>IFERROR(VLOOKUP($A501,koronahun!$A:$AM,30,FALSE),"")</f>
        <v>20.428571428571427</v>
      </c>
      <c r="AE501" s="14">
        <f>IFERROR(VLOOKUP($A501,koronahun!$A:$AM,31,FALSE),"")</f>
        <v>9989</v>
      </c>
      <c r="AF501" s="13">
        <f>IFERROR(VLOOKUP($A501,koronahun!$A:$AM,32,FALSE),"")</f>
        <v>0.11056324086284564</v>
      </c>
      <c r="AG501">
        <f>IFERROR(VLOOKUP($A501,koronahun!$A:$AM,33,FALSE),"")</f>
        <v>0</v>
      </c>
      <c r="AH501">
        <f>IFERROR(VLOOKUP($A501,koronahun!$A:$AM,34,FALSE),"")</f>
        <v>0</v>
      </c>
      <c r="AI501">
        <f>IFERROR(VLOOKUP($A501,koronahun!$A:$AM,35,FALSE),"")</f>
        <v>0</v>
      </c>
      <c r="AJ501">
        <f>IFERROR(VLOOKUP($A501,koronahun!$A:$AM,36,FALSE),"")</f>
        <v>0</v>
      </c>
      <c r="AK501">
        <f>IFERROR(VLOOKUP($A501,koronahun!$A:$AM,37,FALSE),"")</f>
        <v>0</v>
      </c>
      <c r="AL501">
        <f>IFERROR(VLOOKUP($A501,koronahun!$A:$AM,38,FALSE),"")</f>
        <v>0</v>
      </c>
      <c r="AM501" s="14">
        <f>IFERROR(VLOOKUP($A501,koronahun!$A:$AM,39,FALSE),"")</f>
        <v>432.85714285714283</v>
      </c>
      <c r="AN501" s="11">
        <f ca="1">IFERROR(__xludf.DUMMYFUNCTION("""COMPUTED_VALUE"""),44393)</f>
        <v>44393</v>
      </c>
      <c r="AO501" s="12">
        <f ca="1">IFERROR(VLOOKUP(AN501,koronahun!A:B,2,FALSE),"")</f>
        <v>808725</v>
      </c>
      <c r="AP501" s="11">
        <f t="shared" ca="1" si="2"/>
        <v>44393</v>
      </c>
      <c r="AQ501" s="11">
        <f ca="1">IFERROR(__xludf.DUMMYFUNCTION("""COMPUTED_VALUE"""),44406)</f>
        <v>44406</v>
      </c>
      <c r="AR501" s="11">
        <v>44118</v>
      </c>
      <c r="AS501" s="11">
        <f t="shared" si="3"/>
        <v>44118</v>
      </c>
      <c r="AT501" s="11">
        <f ca="1">IFERROR(__xludf.DUMMYFUNCTION("""COMPUTED_VALUE"""),44117)</f>
        <v>44117</v>
      </c>
    </row>
    <row r="502" spans="1:46" ht="13">
      <c r="A502" s="11">
        <v>44116</v>
      </c>
      <c r="B502">
        <f>IFERROR(VLOOKUP($A502,koronahun!$A:$AM,2,FALSE),"")</f>
        <v>38837</v>
      </c>
      <c r="C502">
        <f>IFERROR(VLOOKUP($A502,koronahun!$A:$AM,3,FALSE),"")</f>
        <v>1173</v>
      </c>
      <c r="D502">
        <f>IFERROR(VLOOKUP($A502,koronahun!$A:$AM,4,FALSE),"")</f>
        <v>968</v>
      </c>
      <c r="E502">
        <f>IFERROR(VLOOKUP($A502,koronahun!$A:$AM,5,FALSE),"")</f>
        <v>11037</v>
      </c>
      <c r="F502">
        <f>IFERROR(VLOOKUP($A502,koronahun!$A:$AM,6,FALSE),"")</f>
        <v>834097</v>
      </c>
      <c r="G502" s="12">
        <f>IFERROR(VLOOKUP($A502,koronahun!$A:$AM,7,FALSE),"")</f>
        <v>85111.938775510192</v>
      </c>
      <c r="H502">
        <f>IFERROR(VLOOKUP($A502,koronahun!$A:$AM,8,FALSE),"")</f>
        <v>0</v>
      </c>
      <c r="I502" s="13">
        <f>IFERROR(VLOOKUP($A502,koronahun!$A:$AM,9,FALSE),"")</f>
        <v>3.1143797790994052E-2</v>
      </c>
      <c r="J502" s="13">
        <f>IFERROR(VLOOKUP($A502,koronahun!$A:$AM,10,FALSE),"")</f>
        <v>4.6561730829867511E-2</v>
      </c>
      <c r="K502" s="13">
        <f>IFERROR(VLOOKUP($A502,koronahun!$A:$AM,11,FALSE),"")</f>
        <v>1.032862143730998E-2</v>
      </c>
      <c r="L502">
        <f>IFERROR(VLOOKUP($A502,koronahun!$A:$AM,12,FALSE),"")</f>
        <v>26832</v>
      </c>
      <c r="M502" s="13">
        <f>IFERROR(VLOOKUP($A502,koronahun!$A:$AM,13,FALSE),"")</f>
        <v>2.4924685222854494E-2</v>
      </c>
      <c r="N502" s="13">
        <f>IFERROR(VLOOKUP($A502,koronahun!$A:$AM,14,FALSE),"")</f>
        <v>0.2841877590957077</v>
      </c>
      <c r="O502">
        <f>IFERROR(VLOOKUP($A502,koronahun!$A:$AM,15,FALSE),"")</f>
        <v>21491</v>
      </c>
      <c r="P502">
        <f>IFERROR(VLOOKUP($A502,koronahun!$A:$AM,16,FALSE),"")</f>
        <v>8527</v>
      </c>
      <c r="Q502" s="13">
        <f>IFERROR(VLOOKUP($A502,koronahun!$A:$AM,17,FALSE),"")</f>
        <v>0.13756303506508738</v>
      </c>
      <c r="R502">
        <f>IFERROR(VLOOKUP($A502,koronahun!$A:$AM,18,FALSE),"")</f>
        <v>14</v>
      </c>
      <c r="S502">
        <f>IFERROR(VLOOKUP($A502,koronahun!$A:$AM,19,FALSE),"")</f>
        <v>189</v>
      </c>
      <c r="T502">
        <f>IFERROR(VLOOKUP($A502,koronahun!$A:$AM,20,FALSE),"")</f>
        <v>1418</v>
      </c>
      <c r="U502">
        <f>IFERROR(VLOOKUP($A502,koronahun!$A:$AM,21,FALSE),"")</f>
        <v>154</v>
      </c>
      <c r="V502" s="13">
        <f>IFERROR(VLOOKUP($A502,koronahun!$A:$AM,22,FALSE),"")</f>
        <v>0.69088755568143778</v>
      </c>
      <c r="W502">
        <f>IFERROR(VLOOKUP($A502,koronahun!$A:$AM,23,FALSE),"")</f>
        <v>166</v>
      </c>
      <c r="X502">
        <f>IFERROR(VLOOKUP($A502,koronahun!$A:$AM,24,FALSE),"")</f>
        <v>16</v>
      </c>
      <c r="Y502" s="14">
        <f>IFERROR(VLOOKUP($A502,koronahun!$A:$AM,25,FALSE),"")</f>
        <v>5.2847346451997616E-2</v>
      </c>
      <c r="Z502" s="14">
        <f>IFERROR(VLOOKUP($A502,koronahun!$A:$AM,26,FALSE),"")</f>
        <v>0.10860366713681241</v>
      </c>
      <c r="AA502" s="14">
        <f>IFERROR(VLOOKUP($A502,koronahun!$A:$AM,27,FALSE),"")</f>
        <v>1.0876700177409817</v>
      </c>
      <c r="AB502" s="14">
        <f>IFERROR(VLOOKUP($A502,koronahun!$A:$AM,28,FALSE),"")</f>
        <v>1.0766258509300226</v>
      </c>
      <c r="AC502" s="14">
        <f>IFERROR(VLOOKUP($A502,koronahun!$A:$AM,29,FALSE),"")</f>
        <v>1051</v>
      </c>
      <c r="AD502" s="14">
        <f>IFERROR(VLOOKUP($A502,koronahun!$A:$AM,30,FALSE),"")</f>
        <v>19.285714285714285</v>
      </c>
      <c r="AE502" s="14">
        <f>IFERROR(VLOOKUP($A502,koronahun!$A:$AM,31,FALSE),"")</f>
        <v>9785.5714285714294</v>
      </c>
      <c r="AF502" s="13">
        <f>IFERROR(VLOOKUP($A502,koronahun!$A:$AM,32,FALSE),"")</f>
        <v>0.11050609198897625</v>
      </c>
      <c r="AG502">
        <f>IFERROR(VLOOKUP($A502,koronahun!$A:$AM,33,FALSE),"")</f>
        <v>0</v>
      </c>
      <c r="AH502">
        <f>IFERROR(VLOOKUP($A502,koronahun!$A:$AM,34,FALSE),"")</f>
        <v>0</v>
      </c>
      <c r="AI502">
        <f>IFERROR(VLOOKUP($A502,koronahun!$A:$AM,35,FALSE),"")</f>
        <v>0</v>
      </c>
      <c r="AJ502">
        <f>IFERROR(VLOOKUP($A502,koronahun!$A:$AM,36,FALSE),"")</f>
        <v>0</v>
      </c>
      <c r="AK502">
        <f>IFERROR(VLOOKUP($A502,koronahun!$A:$AM,37,FALSE),"")</f>
        <v>0</v>
      </c>
      <c r="AL502">
        <f>IFERROR(VLOOKUP($A502,koronahun!$A:$AM,38,FALSE),"")</f>
        <v>0</v>
      </c>
      <c r="AM502" s="14">
        <f>IFERROR(VLOOKUP($A502,koronahun!$A:$AM,39,FALSE),"")</f>
        <v>410.28571428571428</v>
      </c>
      <c r="AN502" s="11">
        <f ca="1">IFERROR(__xludf.DUMMYFUNCTION("""COMPUTED_VALUE"""),44394)</f>
        <v>44394</v>
      </c>
      <c r="AO502" s="12">
        <f ca="1">IFERROR(VLOOKUP(AN502,koronahun!A:B,2,FALSE),"")</f>
        <v>0</v>
      </c>
      <c r="AP502" s="11">
        <f t="shared" ca="1" si="2"/>
        <v>44394</v>
      </c>
      <c r="AQ502" s="11">
        <f ca="1">IFERROR(__xludf.DUMMYFUNCTION("""COMPUTED_VALUE"""),44407)</f>
        <v>44407</v>
      </c>
      <c r="AR502" s="11">
        <v>44117</v>
      </c>
      <c r="AS502" s="11">
        <f t="shared" si="3"/>
        <v>44117</v>
      </c>
      <c r="AT502" s="11">
        <f ca="1">IFERROR(__xludf.DUMMYFUNCTION("""COMPUTED_VALUE"""),44116)</f>
        <v>44116</v>
      </c>
    </row>
    <row r="503" spans="1:46" ht="13">
      <c r="A503" s="11">
        <v>44115</v>
      </c>
      <c r="B503">
        <f>IFERROR(VLOOKUP($A503,koronahun!$A:$AM,2,FALSE),"")</f>
        <v>37664</v>
      </c>
      <c r="C503">
        <f>IFERROR(VLOOKUP($A503,koronahun!$A:$AM,3,FALSE),"")</f>
        <v>1068</v>
      </c>
      <c r="D503">
        <f>IFERROR(VLOOKUP($A503,koronahun!$A:$AM,4,FALSE),"")</f>
        <v>954</v>
      </c>
      <c r="E503">
        <f>IFERROR(VLOOKUP($A503,koronahun!$A:$AM,5,FALSE),"")</f>
        <v>10848</v>
      </c>
      <c r="F503">
        <f>IFERROR(VLOOKUP($A503,koronahun!$A:$AM,6,FALSE),"")</f>
        <v>825570</v>
      </c>
      <c r="G503" s="12">
        <f>IFERROR(VLOOKUP($A503,koronahun!$A:$AM,7,FALSE),"")</f>
        <v>84241.836734693876</v>
      </c>
      <c r="H503">
        <f>IFERROR(VLOOKUP($A503,koronahun!$A:$AM,8,FALSE),"")</f>
        <v>0</v>
      </c>
      <c r="I503" s="13">
        <f>IFERROR(VLOOKUP($A503,koronahun!$A:$AM,9,FALSE),"")</f>
        <v>2.9183517324297737E-2</v>
      </c>
      <c r="J503" s="13">
        <f>IFERROR(VLOOKUP($A503,koronahun!$A:$AM,10,FALSE),"")</f>
        <v>4.562181280812045E-2</v>
      </c>
      <c r="K503" s="13">
        <f>IFERROR(VLOOKUP($A503,koronahun!$A:$AM,11,FALSE),"")</f>
        <v>1.2513383543852032E-2</v>
      </c>
      <c r="L503">
        <f>IFERROR(VLOOKUP($A503,koronahun!$A:$AM,12,FALSE),"")</f>
        <v>25862</v>
      </c>
      <c r="M503" s="13">
        <f>IFERROR(VLOOKUP($A503,koronahun!$A:$AM,13,FALSE),"")</f>
        <v>2.5329226847918437E-2</v>
      </c>
      <c r="N503" s="13">
        <f>IFERROR(VLOOKUP($A503,koronahun!$A:$AM,14,FALSE),"")</f>
        <v>0.28802039082412917</v>
      </c>
      <c r="O503">
        <f>IFERROR(VLOOKUP($A503,koronahun!$A:$AM,15,FALSE),"")</f>
        <v>22215</v>
      </c>
      <c r="P503">
        <f>IFERROR(VLOOKUP($A503,koronahun!$A:$AM,16,FALSE),"")</f>
        <v>10203</v>
      </c>
      <c r="Q503" s="13">
        <f>IFERROR(VLOOKUP($A503,koronahun!$A:$AM,17,FALSE),"")</f>
        <v>0.10467509556012937</v>
      </c>
      <c r="R503">
        <f>IFERROR(VLOOKUP($A503,koronahun!$A:$AM,18,FALSE),"")</f>
        <v>21</v>
      </c>
      <c r="S503">
        <f>IFERROR(VLOOKUP($A503,koronahun!$A:$AM,19,FALSE),"")</f>
        <v>1165</v>
      </c>
      <c r="T503">
        <f>IFERROR(VLOOKUP($A503,koronahun!$A:$AM,20,FALSE),"")</f>
        <v>1252</v>
      </c>
      <c r="U503">
        <f>IFERROR(VLOOKUP($A503,koronahun!$A:$AM,21,FALSE),"")</f>
        <v>138</v>
      </c>
      <c r="V503" s="13">
        <f>IFERROR(VLOOKUP($A503,koronahun!$A:$AM,22,FALSE),"")</f>
        <v>0.68665038232795239</v>
      </c>
      <c r="W503">
        <f>IFERROR(VLOOKUP($A503,koronahun!$A:$AM,23,FALSE),"")</f>
        <v>78</v>
      </c>
      <c r="X503">
        <f>IFERROR(VLOOKUP($A503,koronahun!$A:$AM,24,FALSE),"")</f>
        <v>28</v>
      </c>
      <c r="Y503" s="14">
        <f>IFERROR(VLOOKUP($A503,koronahun!$A:$AM,25,FALSE),"")</f>
        <v>4.8410795762122032E-2</v>
      </c>
      <c r="Z503" s="14">
        <f>IFERROR(VLOOKUP($A503,koronahun!$A:$AM,26,FALSE),"")</f>
        <v>0.11022364217252396</v>
      </c>
      <c r="AA503" s="14">
        <f>IFERROR(VLOOKUP($A503,koronahun!$A:$AM,27,FALSE),"")</f>
        <v>1.0804755372656607</v>
      </c>
      <c r="AB503" s="14">
        <f>IFERROR(VLOOKUP($A503,koronahun!$A:$AM,28,FALSE),"")</f>
        <v>1.0864214650012129</v>
      </c>
      <c r="AC503" s="14">
        <f>IFERROR(VLOOKUP($A503,koronahun!$A:$AM,29,FALSE),"")</f>
        <v>1012.7142857142857</v>
      </c>
      <c r="AD503" s="14">
        <f>IFERROR(VLOOKUP($A503,koronahun!$A:$AM,30,FALSE),"")</f>
        <v>18.857142857142858</v>
      </c>
      <c r="AE503" s="14">
        <f>IFERROR(VLOOKUP($A503,koronahun!$A:$AM,31,FALSE),"")</f>
        <v>9485.1428571428569</v>
      </c>
      <c r="AF503" s="13">
        <f>IFERROR(VLOOKUP($A503,koronahun!$A:$AM,32,FALSE),"")</f>
        <v>0.11098280126539233</v>
      </c>
      <c r="AG503">
        <f>IFERROR(VLOOKUP($A503,koronahun!$A:$AM,33,FALSE),"")</f>
        <v>0</v>
      </c>
      <c r="AH503">
        <f>IFERROR(VLOOKUP($A503,koronahun!$A:$AM,34,FALSE),"")</f>
        <v>0</v>
      </c>
      <c r="AI503">
        <f>IFERROR(VLOOKUP($A503,koronahun!$A:$AM,35,FALSE),"")</f>
        <v>0</v>
      </c>
      <c r="AJ503">
        <f>IFERROR(VLOOKUP($A503,koronahun!$A:$AM,36,FALSE),"")</f>
        <v>0</v>
      </c>
      <c r="AK503">
        <f>IFERROR(VLOOKUP($A503,koronahun!$A:$AM,37,FALSE),"")</f>
        <v>0</v>
      </c>
      <c r="AL503">
        <f>IFERROR(VLOOKUP($A503,koronahun!$A:$AM,38,FALSE),"")</f>
        <v>0</v>
      </c>
      <c r="AM503" s="14">
        <f>IFERROR(VLOOKUP($A503,koronahun!$A:$AM,39,FALSE),"")</f>
        <v>482.57142857142856</v>
      </c>
      <c r="AN503" s="11">
        <f ca="1">IFERROR(__xludf.DUMMYFUNCTION("""COMPUTED_VALUE"""),44395)</f>
        <v>44395</v>
      </c>
      <c r="AO503" s="12">
        <f ca="1">IFERROR(VLOOKUP(AN503,koronahun!A:B,2,FALSE),"")</f>
        <v>0</v>
      </c>
      <c r="AP503" s="11">
        <f t="shared" ca="1" si="2"/>
        <v>44395</v>
      </c>
      <c r="AQ503" s="11">
        <f ca="1">IFERROR(__xludf.DUMMYFUNCTION("""COMPUTED_VALUE"""),44410)</f>
        <v>44410</v>
      </c>
      <c r="AR503" s="11">
        <v>44116</v>
      </c>
      <c r="AS503" s="11">
        <f t="shared" si="3"/>
        <v>44116</v>
      </c>
      <c r="AT503" s="11">
        <f ca="1">IFERROR(__xludf.DUMMYFUNCTION("""COMPUTED_VALUE"""),44115)</f>
        <v>44115</v>
      </c>
    </row>
    <row r="504" spans="1:46" ht="13">
      <c r="A504" s="11">
        <v>44114</v>
      </c>
      <c r="B504">
        <f>IFERROR(VLOOKUP($A504,koronahun!$A:$AM,2,FALSE),"")</f>
        <v>36596</v>
      </c>
      <c r="C504">
        <f>IFERROR(VLOOKUP($A504,koronahun!$A:$AM,3,FALSE),"")</f>
        <v>1374</v>
      </c>
      <c r="D504">
        <f>IFERROR(VLOOKUP($A504,koronahun!$A:$AM,4,FALSE),"")</f>
        <v>933</v>
      </c>
      <c r="E504">
        <f>IFERROR(VLOOKUP($A504,koronahun!$A:$AM,5,FALSE),"")</f>
        <v>9683</v>
      </c>
      <c r="F504">
        <f>IFERROR(VLOOKUP($A504,koronahun!$A:$AM,6,FALSE),"")</f>
        <v>815367</v>
      </c>
      <c r="G504" s="12">
        <f>IFERROR(VLOOKUP($A504,koronahun!$A:$AM,7,FALSE),"")</f>
        <v>83200.714285714275</v>
      </c>
      <c r="H504">
        <f>IFERROR(VLOOKUP($A504,koronahun!$A:$AM,8,FALSE),"")</f>
        <v>0</v>
      </c>
      <c r="I504" s="13">
        <f>IFERROR(VLOOKUP($A504,koronahun!$A:$AM,9,FALSE),"")</f>
        <v>3.900970984044063E-2</v>
      </c>
      <c r="J504" s="13">
        <f>IFERROR(VLOOKUP($A504,koronahun!$A:$AM,10,FALSE),"")</f>
        <v>4.4882856431521019E-2</v>
      </c>
      <c r="K504" s="13">
        <f>IFERROR(VLOOKUP($A504,koronahun!$A:$AM,11,FALSE),"")</f>
        <v>1.4582254917575855E-2</v>
      </c>
      <c r="L504">
        <f>IFERROR(VLOOKUP($A504,koronahun!$A:$AM,12,FALSE),"")</f>
        <v>25980</v>
      </c>
      <c r="M504" s="13">
        <f>IFERROR(VLOOKUP($A504,koronahun!$A:$AM,13,FALSE),"")</f>
        <v>2.5494589572630889E-2</v>
      </c>
      <c r="N504" s="13">
        <f>IFERROR(VLOOKUP($A504,koronahun!$A:$AM,14,FALSE),"")</f>
        <v>0.26459175866214885</v>
      </c>
      <c r="O504">
        <f>IFERROR(VLOOKUP($A504,koronahun!$A:$AM,15,FALSE),"")</f>
        <v>22780</v>
      </c>
      <c r="P504">
        <f>IFERROR(VLOOKUP($A504,koronahun!$A:$AM,16,FALSE),"")</f>
        <v>11719</v>
      </c>
      <c r="Q504" s="13">
        <f>IFERROR(VLOOKUP($A504,koronahun!$A:$AM,17,FALSE),"")</f>
        <v>0.11724549876269307</v>
      </c>
      <c r="R504">
        <f>IFERROR(VLOOKUP($A504,koronahun!$A:$AM,18,FALSE),"")</f>
        <v>20</v>
      </c>
      <c r="S504">
        <f>IFERROR(VLOOKUP($A504,koronahun!$A:$AM,19,FALSE),"")</f>
        <v>481</v>
      </c>
      <c r="T504">
        <f>IFERROR(VLOOKUP($A504,koronahun!$A:$AM,20,FALSE),"")</f>
        <v>1174</v>
      </c>
      <c r="U504">
        <f>IFERROR(VLOOKUP($A504,koronahun!$A:$AM,21,FALSE),"")</f>
        <v>110</v>
      </c>
      <c r="V504" s="13">
        <f>IFERROR(VLOOKUP($A504,koronahun!$A:$AM,22,FALSE),"")</f>
        <v>0.70991365176522025</v>
      </c>
      <c r="W504">
        <f>IFERROR(VLOOKUP($A504,koronahun!$A:$AM,23,FALSE),"")</f>
        <v>181</v>
      </c>
      <c r="X504">
        <f>IFERROR(VLOOKUP($A504,koronahun!$A:$AM,24,FALSE),"")</f>
        <v>28</v>
      </c>
      <c r="Y504" s="14">
        <f>IFERROR(VLOOKUP($A504,koronahun!$A:$AM,25,FALSE),"")</f>
        <v>4.5188606620477287E-2</v>
      </c>
      <c r="Z504" s="14">
        <f>IFERROR(VLOOKUP($A504,koronahun!$A:$AM,26,FALSE),"")</f>
        <v>9.3696763202725727E-2</v>
      </c>
      <c r="AA504" s="14">
        <f>IFERROR(VLOOKUP($A504,koronahun!$A:$AM,27,FALSE),"")</f>
        <v>1.0359939759036145</v>
      </c>
      <c r="AB504" s="14">
        <f>IFERROR(VLOOKUP($A504,koronahun!$A:$AM,28,FALSE),"")</f>
        <v>1.0876597348625219</v>
      </c>
      <c r="AC504" s="14">
        <f>IFERROR(VLOOKUP($A504,koronahun!$A:$AM,29,FALSE),"")</f>
        <v>982.71428571428567</v>
      </c>
      <c r="AD504" s="14">
        <f>IFERROR(VLOOKUP($A504,koronahun!$A:$AM,30,FALSE),"")</f>
        <v>17.285714285714285</v>
      </c>
      <c r="AE504" s="14">
        <f>IFERROR(VLOOKUP($A504,koronahun!$A:$AM,31,FALSE),"")</f>
        <v>9164.2857142857138</v>
      </c>
      <c r="AF504" s="13">
        <f>IFERROR(VLOOKUP($A504,koronahun!$A:$AM,32,FALSE),"")</f>
        <v>0.11142921618537387</v>
      </c>
      <c r="AG504">
        <f>IFERROR(VLOOKUP($A504,koronahun!$A:$AM,33,FALSE),"")</f>
        <v>0</v>
      </c>
      <c r="AH504">
        <f>IFERROR(VLOOKUP($A504,koronahun!$A:$AM,34,FALSE),"")</f>
        <v>0</v>
      </c>
      <c r="AI504">
        <f>IFERROR(VLOOKUP($A504,koronahun!$A:$AM,35,FALSE),"")</f>
        <v>0</v>
      </c>
      <c r="AJ504">
        <f>IFERROR(VLOOKUP($A504,koronahun!$A:$AM,36,FALSE),"")</f>
        <v>0</v>
      </c>
      <c r="AK504">
        <f>IFERROR(VLOOKUP($A504,koronahun!$A:$AM,37,FALSE),"")</f>
        <v>0</v>
      </c>
      <c r="AL504">
        <f>IFERROR(VLOOKUP($A504,koronahun!$A:$AM,38,FALSE),"")</f>
        <v>0</v>
      </c>
      <c r="AM504" s="14">
        <f>IFERROR(VLOOKUP($A504,koronahun!$A:$AM,39,FALSE),"")</f>
        <v>408.42857142857144</v>
      </c>
      <c r="AN504" s="11">
        <f ca="1">IFERROR(__xludf.DUMMYFUNCTION("""COMPUTED_VALUE"""),44396)</f>
        <v>44396</v>
      </c>
      <c r="AO504" s="12">
        <f ca="1">IFERROR(VLOOKUP(AN504,koronahun!A:B,2,FALSE),"")</f>
        <v>808864</v>
      </c>
      <c r="AP504" s="11">
        <f t="shared" ca="1" si="2"/>
        <v>44396</v>
      </c>
      <c r="AQ504" s="11">
        <f ca="1">IFERROR(__xludf.DUMMYFUNCTION("""COMPUTED_VALUE"""),44411)</f>
        <v>44411</v>
      </c>
      <c r="AR504" s="11">
        <v>44115</v>
      </c>
      <c r="AS504" s="11">
        <f t="shared" si="3"/>
        <v>44115</v>
      </c>
      <c r="AT504" s="11">
        <f ca="1">IFERROR(__xludf.DUMMYFUNCTION("""COMPUTED_VALUE"""),44114)</f>
        <v>44114</v>
      </c>
    </row>
    <row r="505" spans="1:46" ht="13">
      <c r="A505" s="11">
        <v>44113</v>
      </c>
      <c r="B505">
        <f>IFERROR(VLOOKUP($A505,koronahun!$A:$AM,2,FALSE),"")</f>
        <v>35222</v>
      </c>
      <c r="C505">
        <f>IFERROR(VLOOKUP($A505,koronahun!$A:$AM,3,FALSE),"")</f>
        <v>1176</v>
      </c>
      <c r="D505">
        <f>IFERROR(VLOOKUP($A505,koronahun!$A:$AM,4,FALSE),"")</f>
        <v>913</v>
      </c>
      <c r="E505">
        <f>IFERROR(VLOOKUP($A505,koronahun!$A:$AM,5,FALSE),"")</f>
        <v>9202</v>
      </c>
      <c r="F505">
        <f>IFERROR(VLOOKUP($A505,koronahun!$A:$AM,6,FALSE),"")</f>
        <v>803648</v>
      </c>
      <c r="G505" s="12">
        <f>IFERROR(VLOOKUP($A505,koronahun!$A:$AM,7,FALSE),"")</f>
        <v>82004.897959183669</v>
      </c>
      <c r="H505">
        <f>IFERROR(VLOOKUP($A505,koronahun!$A:$AM,8,FALSE),"")</f>
        <v>0</v>
      </c>
      <c r="I505" s="13">
        <f>IFERROR(VLOOKUP($A505,koronahun!$A:$AM,9,FALSE),"")</f>
        <v>3.4541502672854371E-2</v>
      </c>
      <c r="J505" s="13">
        <f>IFERROR(VLOOKUP($A505,koronahun!$A:$AM,10,FALSE),"")</f>
        <v>4.3827645934538507E-2</v>
      </c>
      <c r="K505" s="13">
        <f>IFERROR(VLOOKUP($A505,koronahun!$A:$AM,11,FALSE),"")</f>
        <v>1.4086071029735579E-2</v>
      </c>
      <c r="L505">
        <f>IFERROR(VLOOKUP($A505,koronahun!$A:$AM,12,FALSE),"")</f>
        <v>25107</v>
      </c>
      <c r="M505" s="13">
        <f>IFERROR(VLOOKUP($A505,koronahun!$A:$AM,13,FALSE),"")</f>
        <v>2.5921299188007497E-2</v>
      </c>
      <c r="N505" s="13">
        <f>IFERROR(VLOOKUP($A505,koronahun!$A:$AM,14,FALSE),"")</f>
        <v>0.26125716881494521</v>
      </c>
      <c r="O505">
        <f>IFERROR(VLOOKUP($A505,koronahun!$A:$AM,15,FALSE),"")</f>
        <v>22385</v>
      </c>
      <c r="P505">
        <f>IFERROR(VLOOKUP($A505,koronahun!$A:$AM,16,FALSE),"")</f>
        <v>11163</v>
      </c>
      <c r="Q505" s="13">
        <f>IFERROR(VLOOKUP($A505,koronahun!$A:$AM,17,FALSE),"")</f>
        <v>0.10534802472453642</v>
      </c>
      <c r="R505">
        <f>IFERROR(VLOOKUP($A505,koronahun!$A:$AM,18,FALSE),"")</f>
        <v>15</v>
      </c>
      <c r="S505">
        <f>IFERROR(VLOOKUP($A505,koronahun!$A:$AM,19,FALSE),"")</f>
        <v>15</v>
      </c>
      <c r="T505">
        <f>IFERROR(VLOOKUP($A505,koronahun!$A:$AM,20,FALSE),"")</f>
        <v>993</v>
      </c>
      <c r="U505">
        <f>IFERROR(VLOOKUP($A505,koronahun!$A:$AM,21,FALSE),"")</f>
        <v>82</v>
      </c>
      <c r="V505" s="13">
        <f>IFERROR(VLOOKUP($A505,koronahun!$A:$AM,22,FALSE),"")</f>
        <v>0.71282153199704734</v>
      </c>
      <c r="W505">
        <f>IFERROR(VLOOKUP($A505,koronahun!$A:$AM,23,FALSE),"")</f>
        <v>189</v>
      </c>
      <c r="X505">
        <f>IFERROR(VLOOKUP($A505,koronahun!$A:$AM,24,FALSE),"")</f>
        <v>26</v>
      </c>
      <c r="Y505" s="14">
        <f>IFERROR(VLOOKUP($A505,koronahun!$A:$AM,25,FALSE),"")</f>
        <v>3.9550722905962482E-2</v>
      </c>
      <c r="Z505" s="14">
        <f>IFERROR(VLOOKUP($A505,koronahun!$A:$AM,26,FALSE),"")</f>
        <v>8.2578046324269891E-2</v>
      </c>
      <c r="AA505" s="14">
        <f>IFERROR(VLOOKUP($A505,koronahun!$A:$AM,27,FALSE),"")</f>
        <v>1.0133763837638377</v>
      </c>
      <c r="AB505" s="14">
        <f>IFERROR(VLOOKUP($A505,koronahun!$A:$AM,28,FALSE),"")</f>
        <v>1.0937244948421372</v>
      </c>
      <c r="AC505" s="14">
        <f>IFERROR(VLOOKUP($A505,koronahun!$A:$AM,29,FALSE),"")</f>
        <v>941.57142857142856</v>
      </c>
      <c r="AD505" s="14">
        <f>IFERROR(VLOOKUP($A505,koronahun!$A:$AM,30,FALSE),"")</f>
        <v>16.428571428571427</v>
      </c>
      <c r="AE505" s="14">
        <f>IFERROR(VLOOKUP($A505,koronahun!$A:$AM,31,FALSE),"")</f>
        <v>9086.4285714285706</v>
      </c>
      <c r="AF505" s="13">
        <f>IFERROR(VLOOKUP($A505,koronahun!$A:$AM,32,FALSE),"")</f>
        <v>0.10856557350498915</v>
      </c>
      <c r="AG505">
        <f>IFERROR(VLOOKUP($A505,koronahun!$A:$AM,33,FALSE),"")</f>
        <v>0</v>
      </c>
      <c r="AH505">
        <f>IFERROR(VLOOKUP($A505,koronahun!$A:$AM,34,FALSE),"")</f>
        <v>0</v>
      </c>
      <c r="AI505">
        <f>IFERROR(VLOOKUP($A505,koronahun!$A:$AM,35,FALSE),"")</f>
        <v>0</v>
      </c>
      <c r="AJ505">
        <f>IFERROR(VLOOKUP($A505,koronahun!$A:$AM,36,FALSE),"")</f>
        <v>0</v>
      </c>
      <c r="AK505">
        <f>IFERROR(VLOOKUP($A505,koronahun!$A:$AM,37,FALSE),"")</f>
        <v>0</v>
      </c>
      <c r="AL505">
        <f>IFERROR(VLOOKUP($A505,koronahun!$A:$AM,38,FALSE),"")</f>
        <v>0</v>
      </c>
      <c r="AM505" s="14">
        <f>IFERROR(VLOOKUP($A505,koronahun!$A:$AM,39,FALSE),"")</f>
        <v>407.57142857142856</v>
      </c>
      <c r="AN505" s="11">
        <f ca="1">IFERROR(__xludf.DUMMYFUNCTION("""COMPUTED_VALUE"""),44397)</f>
        <v>44397</v>
      </c>
      <c r="AO505" s="12">
        <f ca="1">IFERROR(VLOOKUP(AN505,koronahun!A:B,2,FALSE),"")</f>
        <v>808889</v>
      </c>
      <c r="AP505" s="11">
        <f t="shared" ca="1" si="2"/>
        <v>44397</v>
      </c>
      <c r="AQ505" s="11">
        <f ca="1">IFERROR(__xludf.DUMMYFUNCTION("""COMPUTED_VALUE"""),44412)</f>
        <v>44412</v>
      </c>
      <c r="AR505" s="11">
        <v>44114</v>
      </c>
      <c r="AS505" s="11">
        <f t="shared" si="3"/>
        <v>44114</v>
      </c>
      <c r="AT505" s="11">
        <f ca="1">IFERROR(__xludf.DUMMYFUNCTION("""COMPUTED_VALUE"""),44113)</f>
        <v>44113</v>
      </c>
    </row>
    <row r="506" spans="1:46" ht="13">
      <c r="A506" s="11">
        <v>44112</v>
      </c>
      <c r="B506">
        <f>IFERROR(VLOOKUP($A506,koronahun!$A:$AM,2,FALSE),"")</f>
        <v>34046</v>
      </c>
      <c r="C506">
        <f>IFERROR(VLOOKUP($A506,koronahun!$A:$AM,3,FALSE),"")</f>
        <v>932</v>
      </c>
      <c r="D506">
        <f>IFERROR(VLOOKUP($A506,koronahun!$A:$AM,4,FALSE),"")</f>
        <v>898</v>
      </c>
      <c r="E506">
        <f>IFERROR(VLOOKUP($A506,koronahun!$A:$AM,5,FALSE),"")</f>
        <v>9187</v>
      </c>
      <c r="F506">
        <f>IFERROR(VLOOKUP($A506,koronahun!$A:$AM,6,FALSE),"")</f>
        <v>792485</v>
      </c>
      <c r="G506" s="12">
        <f>IFERROR(VLOOKUP($A506,koronahun!$A:$AM,7,FALSE),"")</f>
        <v>80865.816326530607</v>
      </c>
      <c r="H506">
        <f>IFERROR(VLOOKUP($A506,koronahun!$A:$AM,8,FALSE),"")</f>
        <v>0</v>
      </c>
      <c r="I506" s="13">
        <f>IFERROR(VLOOKUP($A506,koronahun!$A:$AM,9,FALSE),"")</f>
        <v>2.8145195385637495E-2</v>
      </c>
      <c r="J506" s="13">
        <f>IFERROR(VLOOKUP($A506,koronahun!$A:$AM,10,FALSE),"")</f>
        <v>4.2961065509126359E-2</v>
      </c>
      <c r="K506" s="13">
        <f>IFERROR(VLOOKUP($A506,koronahun!$A:$AM,11,FALSE),"")</f>
        <v>1.4675624149352836E-2</v>
      </c>
      <c r="L506">
        <f>IFERROR(VLOOKUP($A506,koronahun!$A:$AM,12,FALSE),"")</f>
        <v>23961</v>
      </c>
      <c r="M506" s="13">
        <f>IFERROR(VLOOKUP($A506,koronahun!$A:$AM,13,FALSE),"")</f>
        <v>2.6376079421958527E-2</v>
      </c>
      <c r="N506" s="13">
        <f>IFERROR(VLOOKUP($A506,koronahun!$A:$AM,14,FALSE),"")</f>
        <v>0.26984080361863361</v>
      </c>
      <c r="O506">
        <f>IFERROR(VLOOKUP($A506,koronahun!$A:$AM,15,FALSE),"")</f>
        <v>20217</v>
      </c>
      <c r="P506">
        <f>IFERROR(VLOOKUP($A506,koronahun!$A:$AM,16,FALSE),"")</f>
        <v>11462</v>
      </c>
      <c r="Q506" s="13">
        <f>IFERROR(VLOOKUP($A506,koronahun!$A:$AM,17,FALSE),"")</f>
        <v>8.1312161926365381E-2</v>
      </c>
      <c r="R506">
        <f>IFERROR(VLOOKUP($A506,koronahun!$A:$AM,18,FALSE),"")</f>
        <v>21</v>
      </c>
      <c r="S506">
        <f>IFERROR(VLOOKUP($A506,koronahun!$A:$AM,19,FALSE),"")</f>
        <v>38</v>
      </c>
      <c r="T506">
        <f>IFERROR(VLOOKUP($A506,koronahun!$A:$AM,20,FALSE),"")</f>
        <v>804</v>
      </c>
      <c r="U506">
        <f>IFERROR(VLOOKUP($A506,koronahun!$A:$AM,21,FALSE),"")</f>
        <v>56</v>
      </c>
      <c r="V506" s="13">
        <f>IFERROR(VLOOKUP($A506,koronahun!$A:$AM,22,FALSE),"")</f>
        <v>0.70378311695940787</v>
      </c>
      <c r="W506">
        <f>IFERROR(VLOOKUP($A506,koronahun!$A:$AM,23,FALSE),"")</f>
        <v>148</v>
      </c>
      <c r="X506">
        <f>IFERROR(VLOOKUP($A506,koronahun!$A:$AM,24,FALSE),"")</f>
        <v>15</v>
      </c>
      <c r="Y506" s="14">
        <f>IFERROR(VLOOKUP($A506,koronahun!$A:$AM,25,FALSE),"")</f>
        <v>3.3554526104920497E-2</v>
      </c>
      <c r="Z506" s="14">
        <f>IFERROR(VLOOKUP($A506,koronahun!$A:$AM,26,FALSE),"")</f>
        <v>6.965174129353234E-2</v>
      </c>
      <c r="AA506" s="14">
        <f>IFERROR(VLOOKUP($A506,koronahun!$A:$AM,27,FALSE),"")</f>
        <v>1.1027991487968571</v>
      </c>
      <c r="AB506" s="14">
        <f>IFERROR(VLOOKUP($A506,koronahun!$A:$AM,28,FALSE),"")</f>
        <v>1.1034017287725313</v>
      </c>
      <c r="AC506" s="14">
        <f>IFERROR(VLOOKUP($A506,koronahun!$A:$AM,29,FALSE),"")</f>
        <v>962.42857142857144</v>
      </c>
      <c r="AD506" s="14">
        <f>IFERROR(VLOOKUP($A506,koronahun!$A:$AM,30,FALSE),"")</f>
        <v>16.714285714285715</v>
      </c>
      <c r="AE506" s="14">
        <f>IFERROR(VLOOKUP($A506,koronahun!$A:$AM,31,FALSE),"")</f>
        <v>9262.2857142857138</v>
      </c>
      <c r="AF506" s="13">
        <f>IFERROR(VLOOKUP($A506,koronahun!$A:$AM,32,FALSE),"")</f>
        <v>0.10875871283005537</v>
      </c>
      <c r="AG506">
        <f>IFERROR(VLOOKUP($A506,koronahun!$A:$AM,33,FALSE),"")</f>
        <v>0</v>
      </c>
      <c r="AH506">
        <f>IFERROR(VLOOKUP($A506,koronahun!$A:$AM,34,FALSE),"")</f>
        <v>0</v>
      </c>
      <c r="AI506">
        <f>IFERROR(VLOOKUP($A506,koronahun!$A:$AM,35,FALSE),"")</f>
        <v>0</v>
      </c>
      <c r="AJ506">
        <f>IFERROR(VLOOKUP($A506,koronahun!$A:$AM,36,FALSE),"")</f>
        <v>0</v>
      </c>
      <c r="AK506">
        <f>IFERROR(VLOOKUP($A506,koronahun!$A:$AM,37,FALSE),"")</f>
        <v>0</v>
      </c>
      <c r="AL506">
        <f>IFERROR(VLOOKUP($A506,koronahun!$A:$AM,38,FALSE),"")</f>
        <v>0</v>
      </c>
      <c r="AM506" s="14">
        <f>IFERROR(VLOOKUP($A506,koronahun!$A:$AM,39,FALSE),"")</f>
        <v>438.42857142857144</v>
      </c>
      <c r="AN506" s="11">
        <f ca="1">IFERROR(__xludf.DUMMYFUNCTION("""COMPUTED_VALUE"""),44398)</f>
        <v>44398</v>
      </c>
      <c r="AO506" s="12">
        <f ca="1">IFERROR(VLOOKUP(AN506,koronahun!A:B,2,FALSE),"")</f>
        <v>808945</v>
      </c>
      <c r="AP506" s="11">
        <f t="shared" ca="1" si="2"/>
        <v>44398</v>
      </c>
      <c r="AQ506" s="11">
        <f ca="1">IFERROR(__xludf.DUMMYFUNCTION("""COMPUTED_VALUE"""),44413)</f>
        <v>44413</v>
      </c>
      <c r="AR506" s="11">
        <v>44113</v>
      </c>
      <c r="AS506" s="11">
        <f t="shared" si="3"/>
        <v>44113</v>
      </c>
      <c r="AT506" s="11">
        <f ca="1">IFERROR(__xludf.DUMMYFUNCTION("""COMPUTED_VALUE"""),44112)</f>
        <v>44112</v>
      </c>
    </row>
    <row r="507" spans="1:46" ht="13">
      <c r="A507" s="11">
        <v>44111</v>
      </c>
      <c r="B507">
        <f>IFERROR(VLOOKUP($A507,koronahun!$A:$AM,2,FALSE),"")</f>
        <v>33114</v>
      </c>
      <c r="C507">
        <f>IFERROR(VLOOKUP($A507,koronahun!$A:$AM,3,FALSE),"")</f>
        <v>816</v>
      </c>
      <c r="D507">
        <f>IFERROR(VLOOKUP($A507,koronahun!$A:$AM,4,FALSE),"")</f>
        <v>877</v>
      </c>
      <c r="E507">
        <f>IFERROR(VLOOKUP($A507,koronahun!$A:$AM,5,FALSE),"")</f>
        <v>9149</v>
      </c>
      <c r="F507">
        <f>IFERROR(VLOOKUP($A507,koronahun!$A:$AM,6,FALSE),"")</f>
        <v>781023</v>
      </c>
      <c r="G507" s="12">
        <f>IFERROR(VLOOKUP($A507,koronahun!$A:$AM,7,FALSE),"")</f>
        <v>79696.224489795917</v>
      </c>
      <c r="H507">
        <f>IFERROR(VLOOKUP($A507,koronahun!$A:$AM,8,FALSE),"")</f>
        <v>0</v>
      </c>
      <c r="I507" s="13">
        <f>IFERROR(VLOOKUP($A507,koronahun!$A:$AM,9,FALSE),"")</f>
        <v>2.5264722273825004E-2</v>
      </c>
      <c r="J507" s="13">
        <f>IFERROR(VLOOKUP($A507,koronahun!$A:$AM,10,FALSE),"")</f>
        <v>4.239823923239136E-2</v>
      </c>
      <c r="K507" s="13">
        <f>IFERROR(VLOOKUP($A507,koronahun!$A:$AM,11,FALSE),"")</f>
        <v>1.2609928471133687E-2</v>
      </c>
      <c r="L507">
        <f>IFERROR(VLOOKUP($A507,koronahun!$A:$AM,12,FALSE),"")</f>
        <v>23088</v>
      </c>
      <c r="M507" s="13">
        <f>IFERROR(VLOOKUP($A507,koronahun!$A:$AM,13,FALSE),"")</f>
        <v>2.6484266473394937E-2</v>
      </c>
      <c r="N507" s="13">
        <f>IFERROR(VLOOKUP($A507,koronahun!$A:$AM,14,FALSE),"")</f>
        <v>0.27628797487467538</v>
      </c>
      <c r="O507">
        <f>IFERROR(VLOOKUP($A507,koronahun!$A:$AM,15,FALSE),"")</f>
        <v>20319</v>
      </c>
      <c r="P507">
        <f>IFERROR(VLOOKUP($A507,koronahun!$A:$AM,16,FALSE),"")</f>
        <v>9726</v>
      </c>
      <c r="Q507" s="13">
        <f>IFERROR(VLOOKUP($A507,koronahun!$A:$AM,17,FALSE),"")</f>
        <v>8.3898827884022212E-2</v>
      </c>
      <c r="R507">
        <f>IFERROR(VLOOKUP($A507,koronahun!$A:$AM,18,FALSE),"")</f>
        <v>24</v>
      </c>
      <c r="S507">
        <f>IFERROR(VLOOKUP($A507,koronahun!$A:$AM,19,FALSE),"")</f>
        <v>426</v>
      </c>
      <c r="T507">
        <f>IFERROR(VLOOKUP($A507,koronahun!$A:$AM,20,FALSE),"")</f>
        <v>656</v>
      </c>
      <c r="U507">
        <f>IFERROR(VLOOKUP($A507,koronahun!$A:$AM,21,FALSE),"")</f>
        <v>41</v>
      </c>
      <c r="V507" s="13">
        <f>IFERROR(VLOOKUP($A507,koronahun!$A:$AM,22,FALSE),"")</f>
        <v>0.69722775865192965</v>
      </c>
      <c r="W507">
        <f>IFERROR(VLOOKUP($A507,koronahun!$A:$AM,23,FALSE),"")</f>
        <v>29</v>
      </c>
      <c r="X507">
        <f>IFERROR(VLOOKUP($A507,koronahun!$A:$AM,24,FALSE),"")</f>
        <v>4</v>
      </c>
      <c r="Y507" s="14">
        <f>IFERROR(VLOOKUP($A507,koronahun!$A:$AM,25,FALSE),"")</f>
        <v>2.8413028413028413E-2</v>
      </c>
      <c r="Z507" s="14">
        <f>IFERROR(VLOOKUP($A507,koronahun!$A:$AM,26,FALSE),"")</f>
        <v>6.25E-2</v>
      </c>
      <c r="AA507" s="14">
        <f>IFERROR(VLOOKUP($A507,koronahun!$A:$AM,27,FALSE),"")</f>
        <v>1.1068041923140908</v>
      </c>
      <c r="AB507" s="14">
        <f>IFERROR(VLOOKUP($A507,koronahun!$A:$AM,28,FALSE),"")</f>
        <v>1.0905877304961737</v>
      </c>
      <c r="AC507" s="14">
        <f>IFERROR(VLOOKUP($A507,koronahun!$A:$AM,29,FALSE),"")</f>
        <v>950.42857142857144</v>
      </c>
      <c r="AD507" s="14">
        <f>IFERROR(VLOOKUP($A507,koronahun!$A:$AM,30,FALSE),"")</f>
        <v>16</v>
      </c>
      <c r="AE507" s="14">
        <f>IFERROR(VLOOKUP($A507,koronahun!$A:$AM,31,FALSE),"")</f>
        <v>9335.1428571428569</v>
      </c>
      <c r="AF507" s="13">
        <f>IFERROR(VLOOKUP($A507,koronahun!$A:$AM,32,FALSE),"")</f>
        <v>0.10725697541200317</v>
      </c>
      <c r="AG507">
        <f>IFERROR(VLOOKUP($A507,koronahun!$A:$AM,33,FALSE),"")</f>
        <v>0</v>
      </c>
      <c r="AH507">
        <f>IFERROR(VLOOKUP($A507,koronahun!$A:$AM,34,FALSE),"")</f>
        <v>0</v>
      </c>
      <c r="AI507">
        <f>IFERROR(VLOOKUP($A507,koronahun!$A:$AM,35,FALSE),"")</f>
        <v>0</v>
      </c>
      <c r="AJ507">
        <f>IFERROR(VLOOKUP($A507,koronahun!$A:$AM,36,FALSE),"")</f>
        <v>0</v>
      </c>
      <c r="AK507">
        <f>IFERROR(VLOOKUP($A507,koronahun!$A:$AM,37,FALSE),"")</f>
        <v>0</v>
      </c>
      <c r="AL507">
        <f>IFERROR(VLOOKUP($A507,koronahun!$A:$AM,38,FALSE),"")</f>
        <v>0</v>
      </c>
      <c r="AM507" s="14">
        <f>IFERROR(VLOOKUP($A507,koronahun!$A:$AM,39,FALSE),"")</f>
        <v>465.57142857142856</v>
      </c>
      <c r="AN507" s="11">
        <f ca="1">IFERROR(__xludf.DUMMYFUNCTION("""COMPUTED_VALUE"""),44399)</f>
        <v>44399</v>
      </c>
      <c r="AO507" s="12">
        <f ca="1">IFERROR(VLOOKUP(AN507,koronahun!A:B,2,FALSE),"")</f>
        <v>809016</v>
      </c>
      <c r="AP507" s="11">
        <f t="shared" ca="1" si="2"/>
        <v>44399</v>
      </c>
      <c r="AQ507" s="11">
        <f ca="1">IFERROR(__xludf.DUMMYFUNCTION("""COMPUTED_VALUE"""),44414)</f>
        <v>44414</v>
      </c>
      <c r="AR507" s="11">
        <v>44112</v>
      </c>
      <c r="AS507" s="11">
        <f t="shared" si="3"/>
        <v>44112</v>
      </c>
      <c r="AT507" s="11">
        <f ca="1">IFERROR(__xludf.DUMMYFUNCTION("""COMPUTED_VALUE"""),44111)</f>
        <v>44111</v>
      </c>
    </row>
    <row r="508" spans="1:46" ht="13">
      <c r="A508" s="11">
        <v>44110</v>
      </c>
      <c r="B508">
        <f>IFERROR(VLOOKUP($A508,koronahun!$A:$AM,2,FALSE),"")</f>
        <v>32298</v>
      </c>
      <c r="C508">
        <f>IFERROR(VLOOKUP($A508,koronahun!$A:$AM,3,FALSE),"")</f>
        <v>818</v>
      </c>
      <c r="D508">
        <f>IFERROR(VLOOKUP($A508,koronahun!$A:$AM,4,FALSE),"")</f>
        <v>853</v>
      </c>
      <c r="E508">
        <f>IFERROR(VLOOKUP($A508,koronahun!$A:$AM,5,FALSE),"")</f>
        <v>8723</v>
      </c>
      <c r="F508">
        <f>IFERROR(VLOOKUP($A508,koronahun!$A:$AM,6,FALSE),"")</f>
        <v>771297</v>
      </c>
      <c r="G508" s="12">
        <f>IFERROR(VLOOKUP($A508,koronahun!$A:$AM,7,FALSE),"")</f>
        <v>78703.775510204083</v>
      </c>
      <c r="H508">
        <f>IFERROR(VLOOKUP($A508,koronahun!$A:$AM,8,FALSE),"")</f>
        <v>0</v>
      </c>
      <c r="I508" s="13">
        <f>IFERROR(VLOOKUP($A508,koronahun!$A:$AM,9,FALSE),"")</f>
        <v>2.5999999999999999E-2</v>
      </c>
      <c r="J508" s="13">
        <f>IFERROR(VLOOKUP($A508,koronahun!$A:$AM,10,FALSE),"")</f>
        <v>4.1874919777984354E-2</v>
      </c>
      <c r="K508" s="13">
        <f>IFERROR(VLOOKUP($A508,koronahun!$A:$AM,11,FALSE),"")</f>
        <v>7.4438543465369551E-3</v>
      </c>
      <c r="L508">
        <f>IFERROR(VLOOKUP($A508,koronahun!$A:$AM,12,FALSE),"")</f>
        <v>22722</v>
      </c>
      <c r="M508" s="13">
        <f>IFERROR(VLOOKUP($A508,koronahun!$A:$AM,13,FALSE),"")</f>
        <v>2.64E-2</v>
      </c>
      <c r="N508" s="13">
        <f>IFERROR(VLOOKUP($A508,koronahun!$A:$AM,14,FALSE),"")</f>
        <v>0.27010000000000001</v>
      </c>
      <c r="O508">
        <f>IFERROR(VLOOKUP($A508,koronahun!$A:$AM,15,FALSE),"")</f>
        <v>20088</v>
      </c>
      <c r="P508">
        <f>IFERROR(VLOOKUP($A508,koronahun!$A:$AM,16,FALSE),"")</f>
        <v>5699</v>
      </c>
      <c r="Q508" s="13">
        <f>IFERROR(VLOOKUP($A508,koronahun!$A:$AM,17,FALSE),"")</f>
        <v>0.14349999999999999</v>
      </c>
      <c r="R508">
        <f>IFERROR(VLOOKUP($A508,koronahun!$A:$AM,18,FALSE),"")</f>
        <v>20</v>
      </c>
      <c r="S508">
        <f>IFERROR(VLOOKUP($A508,koronahun!$A:$AM,19,FALSE),"")</f>
        <v>558</v>
      </c>
      <c r="T508">
        <f>IFERROR(VLOOKUP($A508,koronahun!$A:$AM,20,FALSE),"")</f>
        <v>627</v>
      </c>
      <c r="U508">
        <f>IFERROR(VLOOKUP($A508,koronahun!$A:$AM,21,FALSE),"")</f>
        <v>37</v>
      </c>
      <c r="V508" s="13">
        <f>IFERROR(VLOOKUP($A508,koronahun!$A:$AM,22,FALSE),"")</f>
        <v>0.70351105331599484</v>
      </c>
      <c r="W508">
        <f>IFERROR(VLOOKUP($A508,koronahun!$A:$AM,23,FALSE),"")</f>
        <v>-22</v>
      </c>
      <c r="X508">
        <f>IFERROR(VLOOKUP($A508,koronahun!$A:$AM,24,FALSE),"")</f>
        <v>-3</v>
      </c>
      <c r="Y508" s="14">
        <f>IFERROR(VLOOKUP($A508,koronahun!$A:$AM,25,FALSE),"")</f>
        <v>2.7594401901241086E-2</v>
      </c>
      <c r="Z508" s="14">
        <f>IFERROR(VLOOKUP($A508,koronahun!$A:$AM,26,FALSE),"")</f>
        <v>5.9011164274322167E-2</v>
      </c>
      <c r="AA508" s="14">
        <f>IFERROR(VLOOKUP($A508,koronahun!$A:$AM,27,FALSE),"")</f>
        <v>1.1092617007251153</v>
      </c>
      <c r="AB508" s="14">
        <f>IFERROR(VLOOKUP($A508,koronahun!$A:$AM,28,FALSE),"")</f>
        <v>1.0758308234615588</v>
      </c>
      <c r="AC508" s="14">
        <f>IFERROR(VLOOKUP($A508,koronahun!$A:$AM,29,FALSE),"")</f>
        <v>961.57142857142856</v>
      </c>
      <c r="AD508" s="14">
        <f>IFERROR(VLOOKUP($A508,koronahun!$A:$AM,30,FALSE),"")</f>
        <v>13.714285714285714</v>
      </c>
      <c r="AE508" s="14">
        <f>IFERROR(VLOOKUP($A508,koronahun!$A:$AM,31,FALSE),"")</f>
        <v>9541</v>
      </c>
      <c r="AF508" s="13">
        <f>IFERROR(VLOOKUP($A508,koronahun!$A:$AM,32,FALSE),"")</f>
        <v>0.10671428571428572</v>
      </c>
      <c r="AG508">
        <f>IFERROR(VLOOKUP($A508,koronahun!$A:$AM,33,FALSE),"")</f>
        <v>0</v>
      </c>
      <c r="AH508">
        <f>IFERROR(VLOOKUP($A508,koronahun!$A:$AM,34,FALSE),"")</f>
        <v>0</v>
      </c>
      <c r="AI508">
        <f>IFERROR(VLOOKUP($A508,koronahun!$A:$AM,35,FALSE),"")</f>
        <v>0</v>
      </c>
      <c r="AJ508">
        <f>IFERROR(VLOOKUP($A508,koronahun!$A:$AM,36,FALSE),"")</f>
        <v>0</v>
      </c>
      <c r="AK508">
        <f>IFERROR(VLOOKUP($A508,koronahun!$A:$AM,37,FALSE),"")</f>
        <v>0</v>
      </c>
      <c r="AL508">
        <f>IFERROR(VLOOKUP($A508,koronahun!$A:$AM,38,FALSE),"")</f>
        <v>0</v>
      </c>
      <c r="AM508" s="14">
        <f>IFERROR(VLOOKUP($A508,koronahun!$A:$AM,39,FALSE),"")</f>
        <v>507.14285714285717</v>
      </c>
      <c r="AN508" s="11">
        <f ca="1">IFERROR(__xludf.DUMMYFUNCTION("""COMPUTED_VALUE"""),44400)</f>
        <v>44400</v>
      </c>
      <c r="AO508" s="12">
        <f ca="1">IFERROR(VLOOKUP(AN508,koronahun!A:B,2,FALSE),"")</f>
        <v>809101</v>
      </c>
      <c r="AP508" s="11">
        <f t="shared" ca="1" si="2"/>
        <v>44400</v>
      </c>
      <c r="AQ508" s="11">
        <f ca="1">IFERROR(__xludf.DUMMYFUNCTION("""COMPUTED_VALUE"""),44417)</f>
        <v>44417</v>
      </c>
      <c r="AR508" s="11">
        <v>44111</v>
      </c>
      <c r="AS508" s="11">
        <f t="shared" si="3"/>
        <v>44111</v>
      </c>
      <c r="AT508" s="11">
        <f ca="1">IFERROR(__xludf.DUMMYFUNCTION("""COMPUTED_VALUE"""),44110)</f>
        <v>44110</v>
      </c>
    </row>
    <row r="509" spans="1:46" ht="13">
      <c r="A509" s="11">
        <v>44109</v>
      </c>
      <c r="B509">
        <f>IFERROR(VLOOKUP($A509,koronahun!$A:$AM,2,FALSE),"")</f>
        <v>31480</v>
      </c>
      <c r="C509">
        <f>IFERROR(VLOOKUP($A509,koronahun!$A:$AM,3,FALSE),"")</f>
        <v>905</v>
      </c>
      <c r="D509">
        <f>IFERROR(VLOOKUP($A509,koronahun!$A:$AM,4,FALSE),"")</f>
        <v>833</v>
      </c>
      <c r="E509">
        <f>IFERROR(VLOOKUP($A509,koronahun!$A:$AM,5,FALSE),"")</f>
        <v>8165</v>
      </c>
      <c r="F509">
        <f>IFERROR(VLOOKUP($A509,koronahun!$A:$AM,6,FALSE),"")</f>
        <v>765598</v>
      </c>
      <c r="G509" s="12">
        <f>IFERROR(VLOOKUP($A509,koronahun!$A:$AM,7,FALSE),"")</f>
        <v>78122.244897959172</v>
      </c>
      <c r="H509">
        <f>IFERROR(VLOOKUP($A509,koronahun!$A:$AM,8,FALSE),"")</f>
        <v>0</v>
      </c>
      <c r="I509" s="13">
        <f>IFERROR(VLOOKUP($A509,koronahun!$A:$AM,9,FALSE),"")</f>
        <v>2.9600000000000001E-2</v>
      </c>
      <c r="J509" s="13">
        <f>IFERROR(VLOOKUP($A509,koronahun!$A:$AM,10,FALSE),"")</f>
        <v>4.1099999999999998E-2</v>
      </c>
      <c r="K509" s="13">
        <f>IFERROR(VLOOKUP($A509,koronahun!$A:$AM,11,FALSE),"")</f>
        <v>8.0000000000000002E-3</v>
      </c>
      <c r="L509">
        <f>IFERROR(VLOOKUP($A509,koronahun!$A:$AM,12,FALSE),"")</f>
        <v>22482</v>
      </c>
      <c r="M509" s="13">
        <f>IFERROR(VLOOKUP($A509,koronahun!$A:$AM,13,FALSE),"")</f>
        <v>2.6499999999999999E-2</v>
      </c>
      <c r="N509" s="13">
        <f>IFERROR(VLOOKUP($A509,koronahun!$A:$AM,14,FALSE),"")</f>
        <v>0.25940000000000002</v>
      </c>
      <c r="O509">
        <f>IFERROR(VLOOKUP($A509,koronahun!$A:$AM,15,FALSE),"")</f>
        <v>20199</v>
      </c>
      <c r="P509">
        <f>IFERROR(VLOOKUP($A509,koronahun!$A:$AM,16,FALSE),"")</f>
        <v>6424</v>
      </c>
      <c r="Q509" s="13">
        <f>IFERROR(VLOOKUP($A509,koronahun!$A:$AM,17,FALSE),"")</f>
        <v>0.1409</v>
      </c>
      <c r="R509">
        <f>IFERROR(VLOOKUP($A509,koronahun!$A:$AM,18,FALSE),"")</f>
        <v>11</v>
      </c>
      <c r="S509">
        <f>IFERROR(VLOOKUP($A509,koronahun!$A:$AM,19,FALSE),"")</f>
        <v>695</v>
      </c>
      <c r="T509">
        <f>IFERROR(VLOOKUP($A509,koronahun!$A:$AM,20,FALSE),"")</f>
        <v>649</v>
      </c>
      <c r="U509">
        <f>IFERROR(VLOOKUP($A509,koronahun!$A:$AM,21,FALSE),"")</f>
        <v>40</v>
      </c>
      <c r="V509" s="13">
        <f>IFERROR(VLOOKUP($A509,koronahun!$A:$AM,22,FALSE),"")</f>
        <v>0.71416772554002539</v>
      </c>
      <c r="W509">
        <f>IFERROR(VLOOKUP($A509,koronahun!$A:$AM,23,FALSE),"")</f>
        <v>-36</v>
      </c>
      <c r="X509">
        <f>IFERROR(VLOOKUP($A509,koronahun!$A:$AM,24,FALSE),"")</f>
        <v>-2</v>
      </c>
      <c r="Y509" s="14">
        <f>IFERROR(VLOOKUP($A509,koronahun!$A:$AM,25,FALSE),"")</f>
        <v>2.8867538475224625E-2</v>
      </c>
      <c r="Z509" s="14">
        <f>IFERROR(VLOOKUP($A509,koronahun!$A:$AM,26,FALSE),"")</f>
        <v>6.1633281972265024E-2</v>
      </c>
      <c r="AA509" s="14">
        <f>IFERROR(VLOOKUP($A509,koronahun!$A:$AM,27,FALSE),"")</f>
        <v>1.1562393162393163</v>
      </c>
      <c r="AB509" s="14">
        <f>IFERROR(VLOOKUP($A509,koronahun!$A:$AM,28,FALSE),"")</f>
        <v>1.0716099094281284</v>
      </c>
      <c r="AC509" s="14">
        <f>IFERROR(VLOOKUP($A509,koronahun!$A:$AM,29,FALSE),"")</f>
        <v>966.28571428571433</v>
      </c>
      <c r="AD509" s="14">
        <f>IFERROR(VLOOKUP($A509,koronahun!$A:$AM,30,FALSE),"")</f>
        <v>12</v>
      </c>
      <c r="AE509" s="14">
        <f>IFERROR(VLOOKUP($A509,koronahun!$A:$AM,31,FALSE),"")</f>
        <v>9732.1428571428569</v>
      </c>
      <c r="AF509" s="13">
        <f>IFERROR(VLOOKUP($A509,koronahun!$A:$AM,32,FALSE),"")</f>
        <v>0.10348571428571431</v>
      </c>
      <c r="AG509">
        <f>IFERROR(VLOOKUP($A509,koronahun!$A:$AM,33,FALSE),"")</f>
        <v>0</v>
      </c>
      <c r="AH509">
        <f>IFERROR(VLOOKUP($A509,koronahun!$A:$AM,34,FALSE),"")</f>
        <v>0</v>
      </c>
      <c r="AI509">
        <f>IFERROR(VLOOKUP($A509,koronahun!$A:$AM,35,FALSE),"")</f>
        <v>0</v>
      </c>
      <c r="AJ509">
        <f>IFERROR(VLOOKUP($A509,koronahun!$A:$AM,36,FALSE),"")</f>
        <v>0</v>
      </c>
      <c r="AK509">
        <f>IFERROR(VLOOKUP($A509,koronahun!$A:$AM,37,FALSE),"")</f>
        <v>0</v>
      </c>
      <c r="AL509">
        <f>IFERROR(VLOOKUP($A509,koronahun!$A:$AM,38,FALSE),"")</f>
        <v>0</v>
      </c>
      <c r="AM509" s="14">
        <f>IFERROR(VLOOKUP($A509,koronahun!$A:$AM,39,FALSE),"")</f>
        <v>430.42857142857144</v>
      </c>
      <c r="AN509" s="11">
        <f ca="1">IFERROR(__xludf.DUMMYFUNCTION("""COMPUTED_VALUE"""),44401)</f>
        <v>44401</v>
      </c>
      <c r="AO509" s="12">
        <f ca="1">IFERROR(VLOOKUP(AN509,koronahun!A:B,2,FALSE),"")</f>
        <v>0</v>
      </c>
      <c r="AP509" s="11">
        <f t="shared" ca="1" si="2"/>
        <v>44401</v>
      </c>
      <c r="AQ509" s="11">
        <f ca="1">IFERROR(__xludf.DUMMYFUNCTION("""COMPUTED_VALUE"""),44418)</f>
        <v>44418</v>
      </c>
      <c r="AR509" s="11">
        <v>44110</v>
      </c>
      <c r="AS509" s="11">
        <f t="shared" si="3"/>
        <v>44110</v>
      </c>
      <c r="AT509" s="11">
        <f ca="1">IFERROR(__xludf.DUMMYFUNCTION("""COMPUTED_VALUE"""),44109)</f>
        <v>44109</v>
      </c>
    </row>
    <row r="510" spans="1:46" ht="13">
      <c r="A510" s="11">
        <v>44108</v>
      </c>
      <c r="B510">
        <f>IFERROR(VLOOKUP($A510,koronahun!$A:$AM,2,FALSE),"")</f>
        <v>30575</v>
      </c>
      <c r="C510">
        <f>IFERROR(VLOOKUP($A510,koronahun!$A:$AM,3,FALSE),"")</f>
        <v>858</v>
      </c>
      <c r="D510">
        <f>IFERROR(VLOOKUP($A510,koronahun!$A:$AM,4,FALSE),"")</f>
        <v>822</v>
      </c>
      <c r="E510">
        <f>IFERROR(VLOOKUP($A510,koronahun!$A:$AM,5,FALSE),"")</f>
        <v>7470</v>
      </c>
      <c r="F510">
        <f>IFERROR(VLOOKUP($A510,koronahun!$A:$AM,6,FALSE),"")</f>
        <v>759174</v>
      </c>
      <c r="G510" s="12">
        <f>IFERROR(VLOOKUP($A510,koronahun!$A:$AM,7,FALSE),"")</f>
        <v>77466.734693877544</v>
      </c>
      <c r="H510">
        <f>IFERROR(VLOOKUP($A510,koronahun!$A:$AM,8,FALSE),"")</f>
        <v>0</v>
      </c>
      <c r="I510" s="13">
        <f>IFERROR(VLOOKUP($A510,koronahun!$A:$AM,9,FALSE),"")</f>
        <v>2.8899999999999999E-2</v>
      </c>
      <c r="J510" s="13">
        <f>IFERROR(VLOOKUP($A510,koronahun!$A:$AM,10,FALSE),"")</f>
        <v>4.0300000000000002E-2</v>
      </c>
      <c r="K510" s="13">
        <f>IFERROR(VLOOKUP($A510,koronahun!$A:$AM,11,FALSE),"")</f>
        <v>0.01</v>
      </c>
      <c r="L510">
        <f>IFERROR(VLOOKUP($A510,koronahun!$A:$AM,12,FALSE),"")</f>
        <v>22283</v>
      </c>
      <c r="M510" s="13">
        <f>IFERROR(VLOOKUP($A510,koronahun!$A:$AM,13,FALSE),"")</f>
        <v>2.69E-2</v>
      </c>
      <c r="N510" s="13">
        <f>IFERROR(VLOOKUP($A510,koronahun!$A:$AM,14,FALSE),"")</f>
        <v>0.24429999999999999</v>
      </c>
      <c r="O510">
        <f>IFERROR(VLOOKUP($A510,koronahun!$A:$AM,15,FALSE),"")</f>
        <v>19923</v>
      </c>
      <c r="P510">
        <f>IFERROR(VLOOKUP($A510,koronahun!$A:$AM,16,FALSE),"")</f>
        <v>7957</v>
      </c>
      <c r="Q510" s="13">
        <f>IFERROR(VLOOKUP($A510,koronahun!$A:$AM,17,FALSE),"")</f>
        <v>0.10780000000000001</v>
      </c>
      <c r="R510">
        <f>IFERROR(VLOOKUP($A510,koronahun!$A:$AM,18,FALSE),"")</f>
        <v>10</v>
      </c>
      <c r="S510">
        <f>IFERROR(VLOOKUP($A510,koronahun!$A:$AM,19,FALSE),"")</f>
        <v>646</v>
      </c>
      <c r="T510">
        <f>IFERROR(VLOOKUP($A510,koronahun!$A:$AM,20,FALSE),"")</f>
        <v>685</v>
      </c>
      <c r="U510">
        <f>IFERROR(VLOOKUP($A510,koronahun!$A:$AM,21,FALSE),"")</f>
        <v>42</v>
      </c>
      <c r="V510" s="13">
        <f>IFERROR(VLOOKUP($A510,koronahun!$A:$AM,22,FALSE),"")</f>
        <v>0.72879803761242845</v>
      </c>
      <c r="W510">
        <f>IFERROR(VLOOKUP($A510,koronahun!$A:$AM,23,FALSE),"")</f>
        <v>-19</v>
      </c>
      <c r="X510">
        <f>IFERROR(VLOOKUP($A510,koronahun!$A:$AM,24,FALSE),"")</f>
        <v>-1</v>
      </c>
      <c r="Y510" s="14">
        <f>IFERROR(VLOOKUP($A510,koronahun!$A:$AM,25,FALSE),"")</f>
        <v>3.0740923574025043E-2</v>
      </c>
      <c r="Z510" s="14">
        <f>IFERROR(VLOOKUP($A510,koronahun!$A:$AM,26,FALSE),"")</f>
        <v>6.1313868613138686E-2</v>
      </c>
      <c r="AA510" s="14">
        <f>IFERROR(VLOOKUP($A510,koronahun!$A:$AM,27,FALSE),"")</f>
        <v>1.0891434262948207</v>
      </c>
      <c r="AB510" s="14">
        <f>IFERROR(VLOOKUP($A510,koronahun!$A:$AM,28,FALSE),"")</f>
        <v>1.0527157779066558</v>
      </c>
      <c r="AC510" s="14">
        <f>IFERROR(VLOOKUP($A510,koronahun!$A:$AM,29,FALSE),"")</f>
        <v>937.28571428571433</v>
      </c>
      <c r="AD510" s="14">
        <f>IFERROR(VLOOKUP($A510,koronahun!$A:$AM,30,FALSE),"")</f>
        <v>12.285714285714286</v>
      </c>
      <c r="AE510" s="14">
        <f>IFERROR(VLOOKUP($A510,koronahun!$A:$AM,31,FALSE),"")</f>
        <v>9823.7142857142862</v>
      </c>
      <c r="AF510" s="13">
        <f>IFERROR(VLOOKUP($A510,koronahun!$A:$AM,32,FALSE),"")</f>
        <v>9.7557142857142856E-2</v>
      </c>
      <c r="AG510">
        <f>IFERROR(VLOOKUP($A510,koronahun!$A:$AM,33,FALSE),"")</f>
        <v>0</v>
      </c>
      <c r="AH510">
        <f>IFERROR(VLOOKUP($A510,koronahun!$A:$AM,34,FALSE),"")</f>
        <v>0</v>
      </c>
      <c r="AI510">
        <f>IFERROR(VLOOKUP($A510,koronahun!$A:$AM,35,FALSE),"")</f>
        <v>0</v>
      </c>
      <c r="AJ510">
        <f>IFERROR(VLOOKUP($A510,koronahun!$A:$AM,36,FALSE),"")</f>
        <v>0</v>
      </c>
      <c r="AK510">
        <f>IFERROR(VLOOKUP($A510,koronahun!$A:$AM,37,FALSE),"")</f>
        <v>0</v>
      </c>
      <c r="AL510">
        <f>IFERROR(VLOOKUP($A510,koronahun!$A:$AM,38,FALSE),"")</f>
        <v>0</v>
      </c>
      <c r="AM510" s="14">
        <f>IFERROR(VLOOKUP($A510,koronahun!$A:$AM,39,FALSE),"")</f>
        <v>332.71428571428572</v>
      </c>
      <c r="AN510" s="11">
        <f ca="1">IFERROR(__xludf.DUMMYFUNCTION("""COMPUTED_VALUE"""),44402)</f>
        <v>44402</v>
      </c>
      <c r="AO510" s="12">
        <f ca="1">IFERROR(VLOOKUP(AN510,koronahun!A:B,2,FALSE),"")</f>
        <v>0</v>
      </c>
      <c r="AP510" s="11">
        <f t="shared" ca="1" si="2"/>
        <v>44402</v>
      </c>
      <c r="AQ510" s="11">
        <f ca="1">IFERROR(__xludf.DUMMYFUNCTION("""COMPUTED_VALUE"""),44419)</f>
        <v>44419</v>
      </c>
      <c r="AR510" s="11">
        <v>44109</v>
      </c>
      <c r="AS510" s="11">
        <f t="shared" si="3"/>
        <v>44109</v>
      </c>
      <c r="AT510" s="11">
        <f ca="1">IFERROR(__xludf.DUMMYFUNCTION("""COMPUTED_VALUE"""),44108)</f>
        <v>44108</v>
      </c>
    </row>
    <row r="511" spans="1:46" ht="13">
      <c r="A511" s="11">
        <v>44107</v>
      </c>
      <c r="B511">
        <f>IFERROR(VLOOKUP($A511,koronahun!$A:$AM,2,FALSE),"")</f>
        <v>29717</v>
      </c>
      <c r="C511">
        <f>IFERROR(VLOOKUP($A511,koronahun!$A:$AM,3,FALSE),"")</f>
        <v>1086</v>
      </c>
      <c r="D511">
        <f>IFERROR(VLOOKUP($A511,koronahun!$A:$AM,4,FALSE),"")</f>
        <v>812</v>
      </c>
      <c r="E511">
        <f>IFERROR(VLOOKUP($A511,koronahun!$A:$AM,5,FALSE),"")</f>
        <v>6824</v>
      </c>
      <c r="F511">
        <f>IFERROR(VLOOKUP($A511,koronahun!$A:$AM,6,FALSE),"")</f>
        <v>751217</v>
      </c>
      <c r="G511" s="12">
        <f>IFERROR(VLOOKUP($A511,koronahun!$A:$AM,7,FALSE),"")</f>
        <v>76654.795918367337</v>
      </c>
      <c r="H511">
        <f>IFERROR(VLOOKUP($A511,koronahun!$A:$AM,8,FALSE),"")</f>
        <v>0</v>
      </c>
      <c r="I511" s="13">
        <f>IFERROR(VLOOKUP($A511,koronahun!$A:$AM,9,FALSE),"")</f>
        <v>3.7900000000000003E-2</v>
      </c>
      <c r="J511" s="13">
        <f>IFERROR(VLOOKUP($A511,koronahun!$A:$AM,10,FALSE),"")</f>
        <v>3.9600000000000003E-2</v>
      </c>
      <c r="K511" s="13">
        <f>IFERROR(VLOOKUP($A511,koronahun!$A:$AM,11,FALSE),"")</f>
        <v>1.4999999999999999E-2</v>
      </c>
      <c r="L511">
        <f>IFERROR(VLOOKUP($A511,koronahun!$A:$AM,12,FALSE),"")</f>
        <v>22081</v>
      </c>
      <c r="M511" s="13">
        <f>IFERROR(VLOOKUP($A511,koronahun!$A:$AM,13,FALSE),"")</f>
        <v>2.7300000000000001E-2</v>
      </c>
      <c r="N511" s="13">
        <f>IFERROR(VLOOKUP($A511,koronahun!$A:$AM,14,FALSE),"")</f>
        <v>0.2296</v>
      </c>
      <c r="O511">
        <f>IFERROR(VLOOKUP($A511,koronahun!$A:$AM,15,FALSE),"")</f>
        <v>22749</v>
      </c>
      <c r="P511">
        <f>IFERROR(VLOOKUP($A511,koronahun!$A:$AM,16,FALSE),"")</f>
        <v>11174</v>
      </c>
      <c r="Q511" s="13">
        <f>IFERROR(VLOOKUP($A511,koronahun!$A:$AM,17,FALSE),"")</f>
        <v>9.7199999999999995E-2</v>
      </c>
      <c r="R511">
        <f>IFERROR(VLOOKUP($A511,koronahun!$A:$AM,18,FALSE),"")</f>
        <v>14</v>
      </c>
      <c r="S511">
        <f>IFERROR(VLOOKUP($A511,koronahun!$A:$AM,19,FALSE),"")</f>
        <v>475</v>
      </c>
      <c r="T511">
        <f>IFERROR(VLOOKUP($A511,koronahun!$A:$AM,20,FALSE),"")</f>
        <v>704</v>
      </c>
      <c r="U511">
        <f>IFERROR(VLOOKUP($A511,koronahun!$A:$AM,21,FALSE),"")</f>
        <v>43</v>
      </c>
      <c r="V511" s="13">
        <f>IFERROR(VLOOKUP($A511,koronahun!$A:$AM,22,FALSE),"")</f>
        <v>0.74304270283002993</v>
      </c>
      <c r="W511">
        <f>IFERROR(VLOOKUP($A511,koronahun!$A:$AM,23,FALSE),"")</f>
        <v>-36</v>
      </c>
      <c r="X511">
        <f>IFERROR(VLOOKUP($A511,koronahun!$A:$AM,24,FALSE),"")</f>
        <v>-4</v>
      </c>
      <c r="Y511" s="14">
        <f>IFERROR(VLOOKUP($A511,koronahun!$A:$AM,25,FALSE),"")</f>
        <v>3.1882614012046555E-2</v>
      </c>
      <c r="Z511" s="14">
        <f>IFERROR(VLOOKUP($A511,koronahun!$A:$AM,26,FALSE),"")</f>
        <v>6.1079545454545456E-2</v>
      </c>
      <c r="AA511" s="14">
        <f>IFERROR(VLOOKUP($A511,koronahun!$A:$AM,27,FALSE),"")</f>
        <v>1.0784472957609226</v>
      </c>
      <c r="AB511" s="14">
        <f>IFERROR(VLOOKUP($A511,koronahun!$A:$AM,28,FALSE),"")</f>
        <v>1.0486062447565343</v>
      </c>
      <c r="AC511" s="14">
        <f>IFERROR(VLOOKUP($A511,koronahun!$A:$AM,29,FALSE),"")</f>
        <v>948.57142857142856</v>
      </c>
      <c r="AD511" s="14">
        <f>IFERROR(VLOOKUP($A511,koronahun!$A:$AM,30,FALSE),"")</f>
        <v>11.714285714285714</v>
      </c>
      <c r="AE511" s="14">
        <f>IFERROR(VLOOKUP($A511,koronahun!$A:$AM,31,FALSE),"")</f>
        <v>10126</v>
      </c>
      <c r="AF511" s="13">
        <f>IFERROR(VLOOKUP($A511,koronahun!$A:$AM,32,FALSE),"")</f>
        <v>9.5442857142857149E-2</v>
      </c>
      <c r="AG511">
        <f>IFERROR(VLOOKUP($A511,koronahun!$A:$AM,33,FALSE),"")</f>
        <v>0</v>
      </c>
      <c r="AH511">
        <f>IFERROR(VLOOKUP($A511,koronahun!$A:$AM,34,FALSE),"")</f>
        <v>0</v>
      </c>
      <c r="AI511">
        <f>IFERROR(VLOOKUP($A511,koronahun!$A:$AM,35,FALSE),"")</f>
        <v>0</v>
      </c>
      <c r="AJ511">
        <f>IFERROR(VLOOKUP($A511,koronahun!$A:$AM,36,FALSE),"")</f>
        <v>0</v>
      </c>
      <c r="AK511">
        <f>IFERROR(VLOOKUP($A511,koronahun!$A:$AM,37,FALSE),"")</f>
        <v>0</v>
      </c>
      <c r="AL511">
        <f>IFERROR(VLOOKUP($A511,koronahun!$A:$AM,38,FALSE),"")</f>
        <v>0</v>
      </c>
      <c r="AM511" s="14">
        <f>IFERROR(VLOOKUP($A511,koronahun!$A:$AM,39,FALSE),"")</f>
        <v>246.42857142857142</v>
      </c>
      <c r="AN511" s="11">
        <f ca="1">IFERROR(__xludf.DUMMYFUNCTION("""COMPUTED_VALUE"""),44403)</f>
        <v>44403</v>
      </c>
      <c r="AO511" s="12">
        <f ca="1">IFERROR(VLOOKUP(AN511,koronahun!A:B,2,FALSE),"")</f>
        <v>809262</v>
      </c>
      <c r="AP511" s="11">
        <f t="shared" ca="1" si="2"/>
        <v>44403</v>
      </c>
      <c r="AQ511" s="11">
        <f ca="1">IFERROR(__xludf.DUMMYFUNCTION("""COMPUTED_VALUE"""),44420)</f>
        <v>44420</v>
      </c>
      <c r="AR511" s="11">
        <v>44108</v>
      </c>
      <c r="AS511" s="11">
        <f t="shared" si="3"/>
        <v>44108</v>
      </c>
      <c r="AT511" s="11">
        <f ca="1">IFERROR(__xludf.DUMMYFUNCTION("""COMPUTED_VALUE"""),44107)</f>
        <v>44107</v>
      </c>
    </row>
    <row r="512" spans="1:46" ht="13">
      <c r="A512" s="11">
        <v>44106</v>
      </c>
      <c r="B512">
        <f>IFERROR(VLOOKUP($A512,koronahun!$A:$AM,2,FALSE),"")</f>
        <v>28631</v>
      </c>
      <c r="C512">
        <f>IFERROR(VLOOKUP($A512,koronahun!$A:$AM,3,FALSE),"")</f>
        <v>1322</v>
      </c>
      <c r="D512">
        <f>IFERROR(VLOOKUP($A512,koronahun!$A:$AM,4,FALSE),"")</f>
        <v>798</v>
      </c>
      <c r="E512">
        <f>IFERROR(VLOOKUP($A512,koronahun!$A:$AM,5,FALSE),"")</f>
        <v>6349</v>
      </c>
      <c r="F512">
        <f>IFERROR(VLOOKUP($A512,koronahun!$A:$AM,6,FALSE),"")</f>
        <v>740043</v>
      </c>
      <c r="G512" s="12">
        <f>IFERROR(VLOOKUP($A512,koronahun!$A:$AM,7,FALSE),"")</f>
        <v>75514.591836734689</v>
      </c>
      <c r="H512">
        <f>IFERROR(VLOOKUP($A512,koronahun!$A:$AM,8,FALSE),"")</f>
        <v>0</v>
      </c>
      <c r="I512" s="13">
        <f>IFERROR(VLOOKUP($A512,koronahun!$A:$AM,9,FALSE),"")</f>
        <v>4.8399999999999999E-2</v>
      </c>
      <c r="J512" s="13">
        <f>IFERROR(VLOOKUP($A512,koronahun!$A:$AM,10,FALSE),"")</f>
        <v>3.8699999999999998E-2</v>
      </c>
      <c r="K512" s="13">
        <f>IFERROR(VLOOKUP($A512,koronahun!$A:$AM,11,FALSE),"")</f>
        <v>1.7000000000000001E-2</v>
      </c>
      <c r="L512">
        <f>IFERROR(VLOOKUP($A512,koronahun!$A:$AM,12,FALSE),"")</f>
        <v>21484</v>
      </c>
      <c r="M512" s="13">
        <f>IFERROR(VLOOKUP($A512,koronahun!$A:$AM,13,FALSE),"")</f>
        <v>2.7900000000000001E-2</v>
      </c>
      <c r="N512" s="13">
        <f>IFERROR(VLOOKUP($A512,koronahun!$A:$AM,14,FALSE),"")</f>
        <v>0.2218</v>
      </c>
      <c r="O512">
        <f>IFERROR(VLOOKUP($A512,koronahun!$A:$AM,15,FALSE),"")</f>
        <v>22906</v>
      </c>
      <c r="P512">
        <f>IFERROR(VLOOKUP($A512,koronahun!$A:$AM,16,FALSE),"")</f>
        <v>12394</v>
      </c>
      <c r="Q512" s="13">
        <f>IFERROR(VLOOKUP($A512,koronahun!$A:$AM,17,FALSE),"")</f>
        <v>0.1067</v>
      </c>
      <c r="R512">
        <f>IFERROR(VLOOKUP($A512,koronahun!$A:$AM,18,FALSE),"")</f>
        <v>17</v>
      </c>
      <c r="S512">
        <f>IFERROR(VLOOKUP($A512,koronahun!$A:$AM,19,FALSE),"")</f>
        <v>231</v>
      </c>
      <c r="T512">
        <f>IFERROR(VLOOKUP($A512,koronahun!$A:$AM,20,FALSE),"")</f>
        <v>740</v>
      </c>
      <c r="U512">
        <f>IFERROR(VLOOKUP($A512,koronahun!$A:$AM,21,FALSE),"")</f>
        <v>47</v>
      </c>
      <c r="V512" s="13">
        <f>IFERROR(VLOOKUP($A512,koronahun!$A:$AM,22,FALSE),"")</f>
        <v>0.75037546715099024</v>
      </c>
      <c r="W512">
        <f>IFERROR(VLOOKUP($A512,koronahun!$A:$AM,23,FALSE),"")</f>
        <v>-17</v>
      </c>
      <c r="X512">
        <f>IFERROR(VLOOKUP($A512,koronahun!$A:$AM,24,FALSE),"")</f>
        <v>-5</v>
      </c>
      <c r="Y512" s="14">
        <f>IFERROR(VLOOKUP($A512,koronahun!$A:$AM,25,FALSE),"")</f>
        <v>3.4444237572146714E-2</v>
      </c>
      <c r="Z512" s="14">
        <f>IFERROR(VLOOKUP($A512,koronahun!$A:$AM,26,FALSE),"")</f>
        <v>6.3513513513513517E-2</v>
      </c>
      <c r="AA512" s="14">
        <f>IFERROR(VLOOKUP($A512,koronahun!$A:$AM,27,FALSE),"")</f>
        <v>1.0811170212765957</v>
      </c>
      <c r="AB512" s="14">
        <f>IFERROR(VLOOKUP($A512,koronahun!$A:$AM,28,FALSE),"")</f>
        <v>1.0671765806067544</v>
      </c>
      <c r="AC512" s="14">
        <f>IFERROR(VLOOKUP($A512,koronahun!$A:$AM,29,FALSE),"")</f>
        <v>929.14285714285711</v>
      </c>
      <c r="AD512" s="14">
        <f>IFERROR(VLOOKUP($A512,koronahun!$A:$AM,30,FALSE),"")</f>
        <v>11.428571428571429</v>
      </c>
      <c r="AE512" s="14">
        <f>IFERROR(VLOOKUP($A512,koronahun!$A:$AM,31,FALSE),"")</f>
        <v>10212.857142857143</v>
      </c>
      <c r="AF512" s="13">
        <f>IFERROR(VLOOKUP($A512,koronahun!$A:$AM,32,FALSE),"")</f>
        <v>9.3071428571428583E-2</v>
      </c>
      <c r="AG512">
        <f>IFERROR(VLOOKUP($A512,koronahun!$A:$AM,33,FALSE),"")</f>
        <v>0</v>
      </c>
      <c r="AH512">
        <f>IFERROR(VLOOKUP($A512,koronahun!$A:$AM,34,FALSE),"")</f>
        <v>0</v>
      </c>
      <c r="AI512">
        <f>IFERROR(VLOOKUP($A512,koronahun!$A:$AM,35,FALSE),"")</f>
        <v>0</v>
      </c>
      <c r="AJ512">
        <f>IFERROR(VLOOKUP($A512,koronahun!$A:$AM,36,FALSE),"")</f>
        <v>0</v>
      </c>
      <c r="AK512">
        <f>IFERROR(VLOOKUP($A512,koronahun!$A:$AM,37,FALSE),"")</f>
        <v>0</v>
      </c>
      <c r="AL512">
        <f>IFERROR(VLOOKUP($A512,koronahun!$A:$AM,38,FALSE),"")</f>
        <v>0</v>
      </c>
      <c r="AM512" s="14">
        <f>IFERROR(VLOOKUP($A512,koronahun!$A:$AM,39,FALSE),"")</f>
        <v>200.57142857142858</v>
      </c>
      <c r="AN512" s="11">
        <f ca="1">IFERROR(__xludf.DUMMYFUNCTION("""COMPUTED_VALUE"""),44404)</f>
        <v>44404</v>
      </c>
      <c r="AO512" s="12">
        <f ca="1">IFERROR(VLOOKUP(AN512,koronahun!A:B,2,FALSE),"")</f>
        <v>809288</v>
      </c>
      <c r="AP512" s="11">
        <f t="shared" ref="AP512:AP766" ca="1" si="4">IF(AO512="","",AN512)</f>
        <v>44404</v>
      </c>
      <c r="AQ512" s="11">
        <f ca="1">IFERROR(__xludf.DUMMYFUNCTION("""COMPUTED_VALUE"""),44421)</f>
        <v>44421</v>
      </c>
      <c r="AR512" s="11">
        <v>44107</v>
      </c>
      <c r="AS512" s="11">
        <f t="shared" ref="AS512:AS725" si="5">IF(AR512="",AR513,AR512)</f>
        <v>44107</v>
      </c>
      <c r="AT512" s="11">
        <f ca="1">IFERROR(__xludf.DUMMYFUNCTION("""COMPUTED_VALUE"""),44106)</f>
        <v>44106</v>
      </c>
    </row>
    <row r="513" spans="1:46" ht="13">
      <c r="A513" s="11">
        <v>44105</v>
      </c>
      <c r="B513">
        <f>IFERROR(VLOOKUP($A513,koronahun!$A:$AM,2,FALSE),"")</f>
        <v>27309</v>
      </c>
      <c r="C513">
        <f>IFERROR(VLOOKUP($A513,koronahun!$A:$AM,3,FALSE),"")</f>
        <v>848</v>
      </c>
      <c r="D513">
        <f>IFERROR(VLOOKUP($A513,koronahun!$A:$AM,4,FALSE),"")</f>
        <v>781</v>
      </c>
      <c r="E513">
        <f>IFERROR(VLOOKUP($A513,koronahun!$A:$AM,5,FALSE),"")</f>
        <v>6118</v>
      </c>
      <c r="F513">
        <f>IFERROR(VLOOKUP($A513,koronahun!$A:$AM,6,FALSE),"")</f>
        <v>727649</v>
      </c>
      <c r="G513" s="12">
        <f>IFERROR(VLOOKUP($A513,koronahun!$A:$AM,7,FALSE),"")</f>
        <v>74249.897959183669</v>
      </c>
      <c r="H513">
        <f>IFERROR(VLOOKUP($A513,koronahun!$A:$AM,8,FALSE),"")</f>
        <v>0</v>
      </c>
      <c r="I513" s="13">
        <f>IFERROR(VLOOKUP($A513,koronahun!$A:$AM,9,FALSE),"")</f>
        <v>3.2000000000000001E-2</v>
      </c>
      <c r="J513" s="13">
        <f>IFERROR(VLOOKUP($A513,koronahun!$A:$AM,10,FALSE),"")</f>
        <v>3.7499999999999999E-2</v>
      </c>
      <c r="K513" s="13">
        <f>IFERROR(VLOOKUP($A513,koronahun!$A:$AM,11,FALSE),"")</f>
        <v>1.6E-2</v>
      </c>
      <c r="L513">
        <f>IFERROR(VLOOKUP($A513,koronahun!$A:$AM,12,FALSE),"")</f>
        <v>20410</v>
      </c>
      <c r="M513" s="13">
        <f>IFERROR(VLOOKUP($A513,koronahun!$A:$AM,13,FALSE),"")</f>
        <v>2.86E-2</v>
      </c>
      <c r="N513" s="13">
        <f>IFERROR(VLOOKUP($A513,koronahun!$A:$AM,14,FALSE),"")</f>
        <v>0.224</v>
      </c>
      <c r="O513">
        <f>IFERROR(VLOOKUP($A513,koronahun!$A:$AM,15,FALSE),"")</f>
        <v>21930</v>
      </c>
      <c r="P513">
        <f>IFERROR(VLOOKUP($A513,koronahun!$A:$AM,16,FALSE),"")</f>
        <v>11972</v>
      </c>
      <c r="Q513" s="13">
        <f>IFERROR(VLOOKUP($A513,koronahun!$A:$AM,17,FALSE),"")</f>
        <v>7.0800000000000002E-2</v>
      </c>
      <c r="R513">
        <f>IFERROR(VLOOKUP($A513,koronahun!$A:$AM,18,FALSE),"")</f>
        <v>16</v>
      </c>
      <c r="S513">
        <f>IFERROR(VLOOKUP($A513,koronahun!$A:$AM,19,FALSE),"")</f>
        <v>228</v>
      </c>
      <c r="T513">
        <f>IFERROR(VLOOKUP($A513,koronahun!$A:$AM,20,FALSE),"")</f>
        <v>757</v>
      </c>
      <c r="U513">
        <f>IFERROR(VLOOKUP($A513,koronahun!$A:$AM,21,FALSE),"")</f>
        <v>52</v>
      </c>
      <c r="V513" s="13">
        <f>IFERROR(VLOOKUP($A513,koronahun!$A:$AM,22,FALSE),"")</f>
        <v>0.74737266102750011</v>
      </c>
      <c r="W513">
        <f>IFERROR(VLOOKUP($A513,koronahun!$A:$AM,23,FALSE),"")</f>
        <v>-16</v>
      </c>
      <c r="X513">
        <f>IFERROR(VLOOKUP($A513,koronahun!$A:$AM,24,FALSE),"")</f>
        <v>-2</v>
      </c>
      <c r="Y513" s="14">
        <f>IFERROR(VLOOKUP($A513,koronahun!$A:$AM,25,FALSE),"")</f>
        <v>3.708966193042626E-2</v>
      </c>
      <c r="Z513" s="14">
        <f>IFERROR(VLOOKUP($A513,koronahun!$A:$AM,26,FALSE),"")</f>
        <v>6.8692206076618231E-2</v>
      </c>
      <c r="AA513" s="14">
        <f>IFERROR(VLOOKUP($A513,koronahun!$A:$AM,27,FALSE),"")</f>
        <v>1.0131011608623548</v>
      </c>
      <c r="AB513" s="14">
        <f>IFERROR(VLOOKUP($A513,koronahun!$A:$AM,28,FALSE),"")</f>
        <v>1.077942474365176</v>
      </c>
      <c r="AC513" s="14">
        <f>IFERROR(VLOOKUP($A513,koronahun!$A:$AM,29,FALSE),"")</f>
        <v>872.71428571428567</v>
      </c>
      <c r="AD513" s="14">
        <f>IFERROR(VLOOKUP($A513,koronahun!$A:$AM,30,FALSE),"")</f>
        <v>10.285714285714286</v>
      </c>
      <c r="AE513" s="14">
        <f>IFERROR(VLOOKUP($A513,koronahun!$A:$AM,31,FALSE),"")</f>
        <v>10030.285714285714</v>
      </c>
      <c r="AF513" s="13">
        <f>IFERROR(VLOOKUP($A513,koronahun!$A:$AM,32,FALSE),"")</f>
        <v>8.9742857142857138E-2</v>
      </c>
      <c r="AG513">
        <f>IFERROR(VLOOKUP($A513,koronahun!$A:$AM,33,FALSE),"")</f>
        <v>0</v>
      </c>
      <c r="AH513">
        <f>IFERROR(VLOOKUP($A513,koronahun!$A:$AM,34,FALSE),"")</f>
        <v>0</v>
      </c>
      <c r="AI513">
        <f>IFERROR(VLOOKUP($A513,koronahun!$A:$AM,35,FALSE),"")</f>
        <v>0</v>
      </c>
      <c r="AJ513">
        <f>IFERROR(VLOOKUP($A513,koronahun!$A:$AM,36,FALSE),"")</f>
        <v>0</v>
      </c>
      <c r="AK513">
        <f>IFERROR(VLOOKUP($A513,koronahun!$A:$AM,37,FALSE),"")</f>
        <v>0</v>
      </c>
      <c r="AL513">
        <f>IFERROR(VLOOKUP($A513,koronahun!$A:$AM,38,FALSE),"")</f>
        <v>0</v>
      </c>
      <c r="AM513" s="14">
        <f>IFERROR(VLOOKUP($A513,koronahun!$A:$AM,39,FALSE),"")</f>
        <v>185.71428571428572</v>
      </c>
      <c r="AN513" s="11">
        <f ca="1">IFERROR(__xludf.DUMMYFUNCTION("""COMPUTED_VALUE"""),44405)</f>
        <v>44405</v>
      </c>
      <c r="AO513" s="12">
        <f ca="1">IFERROR(VLOOKUP(AN513,koronahun!A:B,2,FALSE),"")</f>
        <v>809362</v>
      </c>
      <c r="AP513" s="11">
        <f t="shared" ca="1" si="4"/>
        <v>44405</v>
      </c>
      <c r="AQ513" s="11">
        <f ca="1">IFERROR(__xludf.DUMMYFUNCTION("""COMPUTED_VALUE"""),44424)</f>
        <v>44424</v>
      </c>
      <c r="AR513" s="11">
        <v>44106</v>
      </c>
      <c r="AS513" s="11">
        <f t="shared" si="5"/>
        <v>44106</v>
      </c>
      <c r="AT513" s="11">
        <f ca="1">IFERROR(__xludf.DUMMYFUNCTION("""COMPUTED_VALUE"""),44105)</f>
        <v>44105</v>
      </c>
    </row>
    <row r="514" spans="1:46" ht="13">
      <c r="A514" s="11">
        <v>44104</v>
      </c>
      <c r="B514">
        <f>IFERROR(VLOOKUP($A514,koronahun!$A:$AM,2,FALSE),"")</f>
        <v>26461</v>
      </c>
      <c r="C514">
        <f>IFERROR(VLOOKUP($A514,koronahun!$A:$AM,3,FALSE),"")</f>
        <v>894</v>
      </c>
      <c r="D514">
        <f>IFERROR(VLOOKUP($A514,koronahun!$A:$AM,4,FALSE),"")</f>
        <v>765</v>
      </c>
      <c r="E514">
        <f>IFERROR(VLOOKUP($A514,koronahun!$A:$AM,5,FALSE),"")</f>
        <v>5890</v>
      </c>
      <c r="F514">
        <f>IFERROR(VLOOKUP($A514,koronahun!$A:$AM,6,FALSE),"")</f>
        <v>715677</v>
      </c>
      <c r="G514" s="12">
        <f>IFERROR(VLOOKUP($A514,koronahun!$A:$AM,7,FALSE),"")</f>
        <v>73028.265306122441</v>
      </c>
      <c r="H514">
        <f>IFERROR(VLOOKUP($A514,koronahun!$A:$AM,8,FALSE),"")</f>
        <v>0</v>
      </c>
      <c r="I514" s="13">
        <f>IFERROR(VLOOKUP($A514,koronahun!$A:$AM,9,FALSE),"")</f>
        <v>3.5000000000000003E-2</v>
      </c>
      <c r="J514" s="13">
        <f>IFERROR(VLOOKUP($A514,koronahun!$A:$AM,10,FALSE),"")</f>
        <v>3.6999999999999998E-2</v>
      </c>
      <c r="K514" s="13">
        <f>IFERROR(VLOOKUP($A514,koronahun!$A:$AM,11,FALSE),"")</f>
        <v>1.6E-2</v>
      </c>
      <c r="L514">
        <f>IFERROR(VLOOKUP($A514,koronahun!$A:$AM,12,FALSE),"")</f>
        <v>19806</v>
      </c>
      <c r="M514" s="13">
        <f>IFERROR(VLOOKUP($A514,koronahun!$A:$AM,13,FALSE),"")</f>
        <v>2.8899999999999999E-2</v>
      </c>
      <c r="N514" s="13">
        <f>IFERROR(VLOOKUP($A514,koronahun!$A:$AM,14,FALSE),"")</f>
        <v>0.22259999999999999</v>
      </c>
      <c r="O514">
        <f>IFERROR(VLOOKUP($A514,koronahun!$A:$AM,15,FALSE),"")</f>
        <v>24121</v>
      </c>
      <c r="P514">
        <f>IFERROR(VLOOKUP($A514,koronahun!$A:$AM,16,FALSE),"")</f>
        <v>11167</v>
      </c>
      <c r="Q514" s="13">
        <f>IFERROR(VLOOKUP($A514,koronahun!$A:$AM,17,FALSE),"")</f>
        <v>8.0100000000000005E-2</v>
      </c>
      <c r="R514">
        <f>IFERROR(VLOOKUP($A514,koronahun!$A:$AM,18,FALSE),"")</f>
        <v>8</v>
      </c>
      <c r="S514">
        <f>IFERROR(VLOOKUP($A514,koronahun!$A:$AM,19,FALSE),"")</f>
        <v>717</v>
      </c>
      <c r="T514">
        <f>IFERROR(VLOOKUP($A514,koronahun!$A:$AM,20,FALSE),"")</f>
        <v>773</v>
      </c>
      <c r="U514">
        <f>IFERROR(VLOOKUP($A514,koronahun!$A:$AM,21,FALSE),"")</f>
        <v>54</v>
      </c>
      <c r="V514" s="13">
        <f>IFERROR(VLOOKUP($A514,koronahun!$A:$AM,22,FALSE),"")</f>
        <v>0.74849778919919885</v>
      </c>
      <c r="W514">
        <f>IFERROR(VLOOKUP($A514,koronahun!$A:$AM,23,FALSE),"")</f>
        <v>18</v>
      </c>
      <c r="X514">
        <f>IFERROR(VLOOKUP($A514,koronahun!$A:$AM,24,FALSE),"")</f>
        <v>3</v>
      </c>
      <c r="Y514" s="14">
        <f>IFERROR(VLOOKUP($A514,koronahun!$A:$AM,25,FALSE),"")</f>
        <v>3.9028577198828636E-2</v>
      </c>
      <c r="Z514" s="14">
        <f>IFERROR(VLOOKUP($A514,koronahun!$A:$AM,26,FALSE),"")</f>
        <v>6.9857697283311773E-2</v>
      </c>
      <c r="AA514" s="14">
        <f>IFERROR(VLOOKUP($A514,koronahun!$A:$AM,27,FALSE),"")</f>
        <v>1.0035058430717863</v>
      </c>
      <c r="AB514" s="14">
        <f>IFERROR(VLOOKUP($A514,koronahun!$A:$AM,28,FALSE),"")</f>
        <v>1.1062261033229797</v>
      </c>
      <c r="AC514" s="14">
        <f>IFERROR(VLOOKUP($A514,koronahun!$A:$AM,29,FALSE),"")</f>
        <v>858.71428571428567</v>
      </c>
      <c r="AD514" s="14">
        <f>IFERROR(VLOOKUP($A514,koronahun!$A:$AM,30,FALSE),"")</f>
        <v>9</v>
      </c>
      <c r="AE514" s="14">
        <f>IFERROR(VLOOKUP($A514,koronahun!$A:$AM,31,FALSE),"")</f>
        <v>10026.428571428571</v>
      </c>
      <c r="AF514" s="13">
        <f>IFERROR(VLOOKUP($A514,koronahun!$A:$AM,32,FALSE),"")</f>
        <v>8.8599999999999984E-2</v>
      </c>
      <c r="AG514">
        <f>IFERROR(VLOOKUP($A514,koronahun!$A:$AM,33,FALSE),"")</f>
        <v>0</v>
      </c>
      <c r="AH514">
        <f>IFERROR(VLOOKUP($A514,koronahun!$A:$AM,34,FALSE),"")</f>
        <v>0</v>
      </c>
      <c r="AI514">
        <f>IFERROR(VLOOKUP($A514,koronahun!$A:$AM,35,FALSE),"")</f>
        <v>0</v>
      </c>
      <c r="AJ514">
        <f>IFERROR(VLOOKUP($A514,koronahun!$A:$AM,36,FALSE),"")</f>
        <v>0</v>
      </c>
      <c r="AK514">
        <f>IFERROR(VLOOKUP($A514,koronahun!$A:$AM,37,FALSE),"")</f>
        <v>0</v>
      </c>
      <c r="AL514">
        <f>IFERROR(VLOOKUP($A514,koronahun!$A:$AM,38,FALSE),"")</f>
        <v>0</v>
      </c>
      <c r="AM514" s="14">
        <f>IFERROR(VLOOKUP($A514,koronahun!$A:$AM,39,FALSE),"")</f>
        <v>178</v>
      </c>
      <c r="AN514" s="11">
        <f ca="1">IFERROR(__xludf.DUMMYFUNCTION("""COMPUTED_VALUE"""),44406)</f>
        <v>44406</v>
      </c>
      <c r="AO514" s="12">
        <f ca="1">IFERROR(VLOOKUP(AN514,koronahun!A:B,2,FALSE),"")</f>
        <v>809427</v>
      </c>
      <c r="AP514" s="11">
        <f t="shared" ca="1" si="4"/>
        <v>44406</v>
      </c>
      <c r="AQ514" s="11">
        <f ca="1">IFERROR(__xludf.DUMMYFUNCTION("""COMPUTED_VALUE"""),44425)</f>
        <v>44425</v>
      </c>
      <c r="AR514" s="11">
        <v>44105</v>
      </c>
      <c r="AS514" s="11">
        <f t="shared" si="5"/>
        <v>44105</v>
      </c>
      <c r="AT514" s="11">
        <f ca="1">IFERROR(__xludf.DUMMYFUNCTION("""COMPUTED_VALUE"""),44104)</f>
        <v>44104</v>
      </c>
    </row>
    <row r="515" spans="1:46" ht="13">
      <c r="A515" s="11">
        <v>44103</v>
      </c>
      <c r="B515">
        <f>IFERROR(VLOOKUP($A515,koronahun!$A:$AM,2,FALSE),"")</f>
        <v>25567</v>
      </c>
      <c r="C515">
        <f>IFERROR(VLOOKUP($A515,koronahun!$A:$AM,3,FALSE),"")</f>
        <v>851</v>
      </c>
      <c r="D515">
        <f>IFERROR(VLOOKUP($A515,koronahun!$A:$AM,4,FALSE),"")</f>
        <v>757</v>
      </c>
      <c r="E515">
        <f>IFERROR(VLOOKUP($A515,koronahun!$A:$AM,5,FALSE),"")</f>
        <v>5173</v>
      </c>
      <c r="F515">
        <f>IFERROR(VLOOKUP($A515,koronahun!$A:$AM,6,FALSE),"")</f>
        <v>704510</v>
      </c>
      <c r="G515" s="12">
        <f>IFERROR(VLOOKUP($A515,koronahun!$A:$AM,7,FALSE),"")</f>
        <v>71888.775510204083</v>
      </c>
      <c r="H515">
        <f>IFERROR(VLOOKUP($A515,koronahun!$A:$AM,8,FALSE),"")</f>
        <v>0</v>
      </c>
      <c r="I515" s="13">
        <f>IFERROR(VLOOKUP($A515,koronahun!$A:$AM,9,FALSE),"")</f>
        <v>3.44E-2</v>
      </c>
      <c r="J515" s="13">
        <f>IFERROR(VLOOKUP($A515,koronahun!$A:$AM,10,FALSE),"")</f>
        <v>3.6299999999999999E-2</v>
      </c>
      <c r="K515" s="13">
        <f>IFERROR(VLOOKUP($A515,koronahun!$A:$AM,11,FALSE),"")</f>
        <v>0.01</v>
      </c>
      <c r="L515">
        <f>IFERROR(VLOOKUP($A515,koronahun!$A:$AM,12,FALSE),"")</f>
        <v>19637</v>
      </c>
      <c r="M515" s="13">
        <f>IFERROR(VLOOKUP($A515,koronahun!$A:$AM,13,FALSE),"")</f>
        <v>2.9600000000000001E-2</v>
      </c>
      <c r="N515" s="13">
        <f>IFERROR(VLOOKUP($A515,koronahun!$A:$AM,14,FALSE),"")</f>
        <v>0.20230000000000001</v>
      </c>
      <c r="O515">
        <f>IFERROR(VLOOKUP($A515,koronahun!$A:$AM,15,FALSE),"")</f>
        <v>23740</v>
      </c>
      <c r="P515">
        <f>IFERROR(VLOOKUP($A515,koronahun!$A:$AM,16,FALSE),"")</f>
        <v>7037</v>
      </c>
      <c r="Q515" s="13">
        <f>IFERROR(VLOOKUP($A515,koronahun!$A:$AM,17,FALSE),"")</f>
        <v>0.12089999999999999</v>
      </c>
      <c r="R515">
        <f>IFERROR(VLOOKUP($A515,koronahun!$A:$AM,18,FALSE),"")</f>
        <v>8</v>
      </c>
      <c r="S515">
        <f>IFERROR(VLOOKUP($A515,koronahun!$A:$AM,19,FALSE),"")</f>
        <v>21</v>
      </c>
      <c r="T515">
        <f>IFERROR(VLOOKUP($A515,koronahun!$A:$AM,20,FALSE),"")</f>
        <v>755</v>
      </c>
      <c r="U515">
        <f>IFERROR(VLOOKUP($A515,koronahun!$A:$AM,21,FALSE),"")</f>
        <v>51</v>
      </c>
      <c r="V515" s="13">
        <f>IFERROR(VLOOKUP($A515,koronahun!$A:$AM,22,FALSE),"")</f>
        <v>0.76806039034693163</v>
      </c>
      <c r="W515">
        <f>IFERROR(VLOOKUP($A515,koronahun!$A:$AM,23,FALSE),"")</f>
        <v>62</v>
      </c>
      <c r="X515">
        <f>IFERROR(VLOOKUP($A515,koronahun!$A:$AM,24,FALSE),"")</f>
        <v>7</v>
      </c>
      <c r="Y515" s="14">
        <f>IFERROR(VLOOKUP($A515,koronahun!$A:$AM,25,FALSE),"")</f>
        <v>3.8447828079645564E-2</v>
      </c>
      <c r="Z515" s="14">
        <f>IFERROR(VLOOKUP($A515,koronahun!$A:$AM,26,FALSE),"")</f>
        <v>6.7549668874172186E-2</v>
      </c>
      <c r="AA515" s="14">
        <f>IFERROR(VLOOKUP($A515,koronahun!$A:$AM,27,FALSE),"")</f>
        <v>1.0797153024911033</v>
      </c>
      <c r="AB515" s="14">
        <f>IFERROR(VLOOKUP($A515,koronahun!$A:$AM,28,FALSE),"")</f>
        <v>1.1432083334787639</v>
      </c>
      <c r="AC515" s="14">
        <f>IFERROR(VLOOKUP($A515,koronahun!$A:$AM,29,FALSE),"")</f>
        <v>866.85714285714289</v>
      </c>
      <c r="AD515" s="14">
        <f>IFERROR(VLOOKUP($A515,koronahun!$A:$AM,30,FALSE),"")</f>
        <v>9</v>
      </c>
      <c r="AE515" s="14">
        <f>IFERROR(VLOOKUP($A515,koronahun!$A:$AM,31,FALSE),"")</f>
        <v>10354.142857142857</v>
      </c>
      <c r="AF515" s="13">
        <f>IFERROR(VLOOKUP($A515,koronahun!$A:$AM,32,FALSE),"")</f>
        <v>8.7242857142857136E-2</v>
      </c>
      <c r="AG515">
        <f>IFERROR(VLOOKUP($A515,koronahun!$A:$AM,33,FALSE),"")</f>
        <v>0</v>
      </c>
      <c r="AH515">
        <f>IFERROR(VLOOKUP($A515,koronahun!$A:$AM,34,FALSE),"")</f>
        <v>0</v>
      </c>
      <c r="AI515">
        <f>IFERROR(VLOOKUP($A515,koronahun!$A:$AM,35,FALSE),"")</f>
        <v>0</v>
      </c>
      <c r="AJ515">
        <f>IFERROR(VLOOKUP($A515,koronahun!$A:$AM,36,FALSE),"")</f>
        <v>0</v>
      </c>
      <c r="AK515">
        <f>IFERROR(VLOOKUP($A515,koronahun!$A:$AM,37,FALSE),"")</f>
        <v>0</v>
      </c>
      <c r="AL515">
        <f>IFERROR(VLOOKUP($A515,koronahun!$A:$AM,38,FALSE),"")</f>
        <v>0</v>
      </c>
      <c r="AM515" s="14">
        <f>IFERROR(VLOOKUP($A515,koronahun!$A:$AM,39,FALSE),"")</f>
        <v>87.714285714285708</v>
      </c>
      <c r="AN515" s="11">
        <f ca="1">IFERROR(__xludf.DUMMYFUNCTION("""COMPUTED_VALUE"""),44407)</f>
        <v>44407</v>
      </c>
      <c r="AO515" s="12">
        <f ca="1">IFERROR(VLOOKUP(AN515,koronahun!A:B,2,FALSE),"")</f>
        <v>809491</v>
      </c>
      <c r="AP515" s="11">
        <f t="shared" ca="1" si="4"/>
        <v>44407</v>
      </c>
      <c r="AQ515" s="11">
        <f ca="1">IFERROR(__xludf.DUMMYFUNCTION("""COMPUTED_VALUE"""),44426)</f>
        <v>44426</v>
      </c>
      <c r="AR515" s="11">
        <v>44104</v>
      </c>
      <c r="AS515" s="11">
        <f t="shared" si="5"/>
        <v>44104</v>
      </c>
      <c r="AT515" s="11">
        <f ca="1">IFERROR(__xludf.DUMMYFUNCTION("""COMPUTED_VALUE"""),44103)</f>
        <v>44103</v>
      </c>
    </row>
    <row r="516" spans="1:46" ht="13">
      <c r="A516" s="11">
        <v>44102</v>
      </c>
      <c r="B516">
        <f>IFERROR(VLOOKUP($A516,koronahun!$A:$AM,2,FALSE),"")</f>
        <v>24716</v>
      </c>
      <c r="C516">
        <f>IFERROR(VLOOKUP($A516,koronahun!$A:$AM,3,FALSE),"")</f>
        <v>702</v>
      </c>
      <c r="D516">
        <f>IFERROR(VLOOKUP($A516,koronahun!$A:$AM,4,FALSE),"")</f>
        <v>749</v>
      </c>
      <c r="E516">
        <f>IFERROR(VLOOKUP($A516,koronahun!$A:$AM,5,FALSE),"")</f>
        <v>5152</v>
      </c>
      <c r="F516">
        <f>IFERROR(VLOOKUP($A516,koronahun!$A:$AM,6,FALSE),"")</f>
        <v>697473</v>
      </c>
      <c r="G516" s="12">
        <f>IFERROR(VLOOKUP($A516,koronahun!$A:$AM,7,FALSE),"")</f>
        <v>71170.714285714275</v>
      </c>
      <c r="H516">
        <f>IFERROR(VLOOKUP($A516,koronahun!$A:$AM,8,FALSE),"")</f>
        <v>0</v>
      </c>
      <c r="I516" s="13">
        <f>IFERROR(VLOOKUP($A516,koronahun!$A:$AM,9,FALSE),"")</f>
        <v>2.92E-2</v>
      </c>
      <c r="J516" s="13">
        <f>IFERROR(VLOOKUP($A516,koronahun!$A:$AM,10,FALSE),"")</f>
        <v>3.5400000000000001E-2</v>
      </c>
      <c r="K516" s="13">
        <f>IFERROR(VLOOKUP($A516,koronahun!$A:$AM,11,FALSE),"")</f>
        <v>0.01</v>
      </c>
      <c r="L516">
        <f>IFERROR(VLOOKUP($A516,koronahun!$A:$AM,12,FALSE),"")</f>
        <v>18815</v>
      </c>
      <c r="M516" s="13">
        <f>IFERROR(VLOOKUP($A516,koronahun!$A:$AM,13,FALSE),"")</f>
        <v>3.0300000000000001E-2</v>
      </c>
      <c r="N516" s="13">
        <f>IFERROR(VLOOKUP($A516,koronahun!$A:$AM,14,FALSE),"")</f>
        <v>0.2084</v>
      </c>
      <c r="O516">
        <f>IFERROR(VLOOKUP($A516,koronahun!$A:$AM,15,FALSE),"")</f>
        <v>24017</v>
      </c>
      <c r="P516">
        <f>IFERROR(VLOOKUP($A516,koronahun!$A:$AM,16,FALSE),"")</f>
        <v>7065</v>
      </c>
      <c r="Q516" s="13">
        <f>IFERROR(VLOOKUP($A516,koronahun!$A:$AM,17,FALSE),"")</f>
        <v>9.9400000000000002E-2</v>
      </c>
      <c r="R516">
        <f>IFERROR(VLOOKUP($A516,koronahun!$A:$AM,18,FALSE),"")</f>
        <v>13</v>
      </c>
      <c r="S516">
        <f>IFERROR(VLOOKUP($A516,koronahun!$A:$AM,19,FALSE),"")</f>
        <v>11</v>
      </c>
      <c r="T516">
        <f>IFERROR(VLOOKUP($A516,koronahun!$A:$AM,20,FALSE),"")</f>
        <v>693</v>
      </c>
      <c r="U516">
        <f>IFERROR(VLOOKUP($A516,koronahun!$A:$AM,21,FALSE),"")</f>
        <v>44</v>
      </c>
      <c r="V516" s="13">
        <f>IFERROR(VLOOKUP($A516,koronahun!$A:$AM,22,FALSE),"")</f>
        <v>0.76124777472082861</v>
      </c>
      <c r="W516">
        <f>IFERROR(VLOOKUP($A516,koronahun!$A:$AM,23,FALSE),"")</f>
        <v>73</v>
      </c>
      <c r="X516">
        <f>IFERROR(VLOOKUP($A516,koronahun!$A:$AM,24,FALSE),"")</f>
        <v>6</v>
      </c>
      <c r="Y516" s="14">
        <f>IFERROR(VLOOKUP($A516,koronahun!$A:$AM,25,FALSE),"")</f>
        <v>3.6832314642572417E-2</v>
      </c>
      <c r="Z516" s="14">
        <f>IFERROR(VLOOKUP($A516,koronahun!$A:$AM,26,FALSE),"")</f>
        <v>6.3492063492063489E-2</v>
      </c>
      <c r="AA516" s="14">
        <f>IFERROR(VLOOKUP($A516,koronahun!$A:$AM,27,FALSE),"")</f>
        <v>1.0239803955890074</v>
      </c>
      <c r="AB516" s="14">
        <f>IFERROR(VLOOKUP($A516,koronahun!$A:$AM,28,FALSE),"")</f>
        <v>1.1644511903438131</v>
      </c>
      <c r="AC516" s="14">
        <f>IFERROR(VLOOKUP($A516,koronahun!$A:$AM,29,FALSE),"")</f>
        <v>835.71428571428567</v>
      </c>
      <c r="AD516" s="14">
        <f>IFERROR(VLOOKUP($A516,koronahun!$A:$AM,30,FALSE),"")</f>
        <v>9</v>
      </c>
      <c r="AE516" s="14">
        <f>IFERROR(VLOOKUP($A516,koronahun!$A:$AM,31,FALSE),"")</f>
        <v>10207.428571428571</v>
      </c>
      <c r="AF516" s="13">
        <f>IFERROR(VLOOKUP($A516,koronahun!$A:$AM,32,FALSE),"")</f>
        <v>8.5014285714285723E-2</v>
      </c>
      <c r="AG516">
        <f>IFERROR(VLOOKUP($A516,koronahun!$A:$AM,33,FALSE),"")</f>
        <v>0</v>
      </c>
      <c r="AH516">
        <f>IFERROR(VLOOKUP($A516,koronahun!$A:$AM,34,FALSE),"")</f>
        <v>0</v>
      </c>
      <c r="AI516">
        <f>IFERROR(VLOOKUP($A516,koronahun!$A:$AM,35,FALSE),"")</f>
        <v>0</v>
      </c>
      <c r="AJ516">
        <f>IFERROR(VLOOKUP($A516,koronahun!$A:$AM,36,FALSE),"")</f>
        <v>0</v>
      </c>
      <c r="AK516">
        <f>IFERROR(VLOOKUP($A516,koronahun!$A:$AM,37,FALSE),"")</f>
        <v>0</v>
      </c>
      <c r="AL516">
        <f>IFERROR(VLOOKUP($A516,koronahun!$A:$AM,38,FALSE),"")</f>
        <v>0</v>
      </c>
      <c r="AM516" s="14">
        <f>IFERROR(VLOOKUP($A516,koronahun!$A:$AM,39,FALSE),"")</f>
        <v>107.28571428571429</v>
      </c>
      <c r="AN516" s="11">
        <f ca="1">IFERROR(__xludf.DUMMYFUNCTION("""COMPUTED_VALUE"""),44408)</f>
        <v>44408</v>
      </c>
      <c r="AO516" s="12">
        <f ca="1">IFERROR(VLOOKUP(AN516,koronahun!A:B,2,FALSE),"")</f>
        <v>0</v>
      </c>
      <c r="AP516" s="11">
        <f t="shared" ca="1" si="4"/>
        <v>44408</v>
      </c>
      <c r="AQ516" s="11">
        <f ca="1">IFERROR(__xludf.DUMMYFUNCTION("""COMPUTED_VALUE"""),44427)</f>
        <v>44427</v>
      </c>
      <c r="AR516" s="11">
        <v>44103</v>
      </c>
      <c r="AS516" s="11">
        <f t="shared" si="5"/>
        <v>44103</v>
      </c>
      <c r="AT516" s="11">
        <f ca="1">IFERROR(__xludf.DUMMYFUNCTION("""COMPUTED_VALUE"""),44102)</f>
        <v>44102</v>
      </c>
    </row>
    <row r="517" spans="1:46" ht="13">
      <c r="A517" s="11">
        <v>44101</v>
      </c>
      <c r="B517">
        <f>IFERROR(VLOOKUP($A517,koronahun!$A:$AM,2,FALSE),"")</f>
        <v>24014</v>
      </c>
      <c r="C517">
        <f>IFERROR(VLOOKUP($A517,koronahun!$A:$AM,3,FALSE),"")</f>
        <v>937</v>
      </c>
      <c r="D517">
        <f>IFERROR(VLOOKUP($A517,koronahun!$A:$AM,4,FALSE),"")</f>
        <v>736</v>
      </c>
      <c r="E517">
        <f>IFERROR(VLOOKUP($A517,koronahun!$A:$AM,5,FALSE),"")</f>
        <v>5141</v>
      </c>
      <c r="F517">
        <f>IFERROR(VLOOKUP($A517,koronahun!$A:$AM,6,FALSE),"")</f>
        <v>690408</v>
      </c>
      <c r="G517" s="12">
        <f>IFERROR(VLOOKUP($A517,koronahun!$A:$AM,7,FALSE),"")</f>
        <v>70449.795918367337</v>
      </c>
      <c r="H517">
        <f>IFERROR(VLOOKUP($A517,koronahun!$A:$AM,8,FALSE),"")</f>
        <v>0</v>
      </c>
      <c r="I517" s="13">
        <f>IFERROR(VLOOKUP($A517,koronahun!$A:$AM,9,FALSE),"")</f>
        <v>4.0599999999999997E-2</v>
      </c>
      <c r="J517" s="13">
        <f>IFERROR(VLOOKUP($A517,koronahun!$A:$AM,10,FALSE),"")</f>
        <v>3.4799999999999998E-2</v>
      </c>
      <c r="K517" s="13">
        <f>IFERROR(VLOOKUP($A517,koronahun!$A:$AM,11,FALSE),"")</f>
        <v>1.4999999999999999E-2</v>
      </c>
      <c r="L517">
        <f>IFERROR(VLOOKUP($A517,koronahun!$A:$AM,12,FALSE),"")</f>
        <v>18137</v>
      </c>
      <c r="M517" s="13">
        <f>IFERROR(VLOOKUP($A517,koronahun!$A:$AM,13,FALSE),"")</f>
        <v>3.0599999999999999E-2</v>
      </c>
      <c r="N517" s="13">
        <f>IFERROR(VLOOKUP($A517,koronahun!$A:$AM,14,FALSE),"")</f>
        <v>0.21410000000000001</v>
      </c>
      <c r="O517">
        <f>IFERROR(VLOOKUP($A517,koronahun!$A:$AM,15,FALSE),"")</f>
        <v>24538</v>
      </c>
      <c r="P517">
        <f>IFERROR(VLOOKUP($A517,koronahun!$A:$AM,16,FALSE),"")</f>
        <v>10073</v>
      </c>
      <c r="Q517" s="13">
        <f>IFERROR(VLOOKUP($A517,koronahun!$A:$AM,17,FALSE),"")</f>
        <v>9.2999999999999999E-2</v>
      </c>
      <c r="R517">
        <f>IFERROR(VLOOKUP($A517,koronahun!$A:$AM,18,FALSE),"")</f>
        <v>6</v>
      </c>
      <c r="S517">
        <f>IFERROR(VLOOKUP($A517,koronahun!$A:$AM,19,FALSE),"")</f>
        <v>42</v>
      </c>
      <c r="T517">
        <f>IFERROR(VLOOKUP($A517,koronahun!$A:$AM,20,FALSE),"")</f>
        <v>620</v>
      </c>
      <c r="U517">
        <f>IFERROR(VLOOKUP($A517,koronahun!$A:$AM,21,FALSE),"")</f>
        <v>38</v>
      </c>
      <c r="V517" s="13">
        <f>IFERROR(VLOOKUP($A517,koronahun!$A:$AM,22,FALSE),"")</f>
        <v>0.75526776047305744</v>
      </c>
      <c r="W517">
        <f>IFERROR(VLOOKUP($A517,koronahun!$A:$AM,23,FALSE),"")</f>
        <v>31</v>
      </c>
      <c r="X517">
        <f>IFERROR(VLOOKUP($A517,koronahun!$A:$AM,24,FALSE),"")</f>
        <v>2</v>
      </c>
      <c r="Y517" s="14">
        <f>IFERROR(VLOOKUP($A517,koronahun!$A:$AM,25,FALSE),"")</f>
        <v>3.4184264211280804E-2</v>
      </c>
      <c r="Z517" s="14">
        <f>IFERROR(VLOOKUP($A517,koronahun!$A:$AM,26,FALSE),"")</f>
        <v>6.1290322580645158E-2</v>
      </c>
      <c r="AA517" s="14">
        <f>IFERROR(VLOOKUP($A517,koronahun!$A:$AM,27,FALSE),"")</f>
        <v>1.0603766942439712</v>
      </c>
      <c r="AB517" s="14">
        <f>IFERROR(VLOOKUP($A517,koronahun!$A:$AM,28,FALSE),"")</f>
        <v>1.2129517748130276</v>
      </c>
      <c r="AC517" s="14">
        <f>IFERROR(VLOOKUP($A517,koronahun!$A:$AM,29,FALSE),"")</f>
        <v>860.57142857142856</v>
      </c>
      <c r="AD517" s="14">
        <f>IFERROR(VLOOKUP($A517,koronahun!$A:$AM,30,FALSE),"")</f>
        <v>7.5714285714285712</v>
      </c>
      <c r="AE517" s="14">
        <f>IFERROR(VLOOKUP($A517,koronahun!$A:$AM,31,FALSE),"")</f>
        <v>10629.857142857143</v>
      </c>
      <c r="AF517" s="13">
        <f>IFERROR(VLOOKUP($A517,koronahun!$A:$AM,32,FALSE),"")</f>
        <v>8.3299999999999999E-2</v>
      </c>
      <c r="AG517">
        <f>IFERROR(VLOOKUP($A517,koronahun!$A:$AM,33,FALSE),"")</f>
        <v>0</v>
      </c>
      <c r="AH517">
        <f>IFERROR(VLOOKUP($A517,koronahun!$A:$AM,34,FALSE),"")</f>
        <v>0</v>
      </c>
      <c r="AI517">
        <f>IFERROR(VLOOKUP($A517,koronahun!$A:$AM,35,FALSE),"")</f>
        <v>0</v>
      </c>
      <c r="AJ517">
        <f>IFERROR(VLOOKUP($A517,koronahun!$A:$AM,36,FALSE),"")</f>
        <v>0</v>
      </c>
      <c r="AK517">
        <f>IFERROR(VLOOKUP($A517,koronahun!$A:$AM,37,FALSE),"")</f>
        <v>0</v>
      </c>
      <c r="AL517">
        <f>IFERROR(VLOOKUP($A517,koronahun!$A:$AM,38,FALSE),"")</f>
        <v>0</v>
      </c>
      <c r="AM517" s="14">
        <f>IFERROR(VLOOKUP($A517,koronahun!$A:$AM,39,FALSE),"")</f>
        <v>107.14285714285714</v>
      </c>
      <c r="AN517" s="11">
        <f ca="1">IFERROR(__xludf.DUMMYFUNCTION("""COMPUTED_VALUE"""),44409)</f>
        <v>44409</v>
      </c>
      <c r="AO517" s="12">
        <f ca="1">IFERROR(VLOOKUP(AN517,koronahun!A:B,2,FALSE),"")</f>
        <v>0</v>
      </c>
      <c r="AP517" s="11">
        <f t="shared" ca="1" si="4"/>
        <v>44409</v>
      </c>
      <c r="AQ517" s="11">
        <f ca="1">IFERROR(__xludf.DUMMYFUNCTION("""COMPUTED_VALUE"""),44431)</f>
        <v>44431</v>
      </c>
      <c r="AR517" s="11">
        <v>44102</v>
      </c>
      <c r="AS517" s="11">
        <f t="shared" si="5"/>
        <v>44102</v>
      </c>
      <c r="AT517" s="11">
        <f ca="1">IFERROR(__xludf.DUMMYFUNCTION("""COMPUTED_VALUE"""),44101)</f>
        <v>44101</v>
      </c>
    </row>
    <row r="518" spans="1:46" ht="13">
      <c r="A518" s="11">
        <v>44100</v>
      </c>
      <c r="B518">
        <f>IFERROR(VLOOKUP($A518,koronahun!$A:$AM,2,FALSE),"")</f>
        <v>23077</v>
      </c>
      <c r="C518">
        <f>IFERROR(VLOOKUP($A518,koronahun!$A:$AM,3,FALSE),"")</f>
        <v>950</v>
      </c>
      <c r="D518">
        <f>IFERROR(VLOOKUP($A518,koronahun!$A:$AM,4,FALSE),"")</f>
        <v>730</v>
      </c>
      <c r="E518">
        <f>IFERROR(VLOOKUP($A518,koronahun!$A:$AM,5,FALSE),"")</f>
        <v>5099</v>
      </c>
      <c r="F518">
        <f>IFERROR(VLOOKUP($A518,koronahun!$A:$AM,6,FALSE),"")</f>
        <v>680335</v>
      </c>
      <c r="G518" s="12">
        <f>IFERROR(VLOOKUP($A518,koronahun!$A:$AM,7,FALSE),"")</f>
        <v>69421.938775510192</v>
      </c>
      <c r="H518">
        <f>IFERROR(VLOOKUP($A518,koronahun!$A:$AM,8,FALSE),"")</f>
        <v>0</v>
      </c>
      <c r="I518" s="13">
        <f>IFERROR(VLOOKUP($A518,koronahun!$A:$AM,9,FALSE),"")</f>
        <v>4.2900000000000001E-2</v>
      </c>
      <c r="J518" s="13">
        <f>IFERROR(VLOOKUP($A518,koronahun!$A:$AM,10,FALSE),"")</f>
        <v>3.39E-2</v>
      </c>
      <c r="K518" s="13">
        <f>IFERROR(VLOOKUP($A518,koronahun!$A:$AM,11,FALSE),"")</f>
        <v>1.7000000000000001E-2</v>
      </c>
      <c r="L518">
        <f>IFERROR(VLOOKUP($A518,koronahun!$A:$AM,12,FALSE),"")</f>
        <v>17248</v>
      </c>
      <c r="M518" s="13">
        <f>IFERROR(VLOOKUP($A518,koronahun!$A:$AM,13,FALSE),"")</f>
        <v>3.1600000000000003E-2</v>
      </c>
      <c r="N518" s="13">
        <f>IFERROR(VLOOKUP($A518,koronahun!$A:$AM,14,FALSE),"")</f>
        <v>0.221</v>
      </c>
      <c r="O518">
        <f>IFERROR(VLOOKUP($A518,koronahun!$A:$AM,15,FALSE),"")</f>
        <v>25017</v>
      </c>
      <c r="P518">
        <f>IFERROR(VLOOKUP($A518,koronahun!$A:$AM,16,FALSE),"")</f>
        <v>11782</v>
      </c>
      <c r="Q518" s="13">
        <f>IFERROR(VLOOKUP($A518,koronahun!$A:$AM,17,FALSE),"")</f>
        <v>8.0600000000000005E-2</v>
      </c>
      <c r="R518">
        <f>IFERROR(VLOOKUP($A518,koronahun!$A:$AM,18,FALSE),"")</f>
        <v>12</v>
      </c>
      <c r="S518">
        <f>IFERROR(VLOOKUP($A518,koronahun!$A:$AM,19,FALSE),"")</f>
        <v>154</v>
      </c>
      <c r="T518">
        <f>IFERROR(VLOOKUP($A518,koronahun!$A:$AM,20,FALSE),"")</f>
        <v>589</v>
      </c>
      <c r="U518">
        <f>IFERROR(VLOOKUP($A518,koronahun!$A:$AM,21,FALSE),"")</f>
        <v>36</v>
      </c>
      <c r="V518" s="13">
        <f>IFERROR(VLOOKUP($A518,koronahun!$A:$AM,22,FALSE),"")</f>
        <v>0.7474108419638601</v>
      </c>
      <c r="W518">
        <f>IFERROR(VLOOKUP($A518,koronahun!$A:$AM,23,FALSE),"")</f>
        <v>12</v>
      </c>
      <c r="X518">
        <f>IFERROR(VLOOKUP($A518,koronahun!$A:$AM,24,FALSE),"")</f>
        <v>6</v>
      </c>
      <c r="Y518" s="14">
        <f>IFERROR(VLOOKUP($A518,koronahun!$A:$AM,25,FALSE),"")</f>
        <v>3.4148886827458258E-2</v>
      </c>
      <c r="Z518" s="14">
        <f>IFERROR(VLOOKUP($A518,koronahun!$A:$AM,26,FALSE),"")</f>
        <v>6.1120543293718167E-2</v>
      </c>
      <c r="AA518" s="14">
        <f>IFERROR(VLOOKUP($A518,koronahun!$A:$AM,27,FALSE),"")</f>
        <v>1.2084396467124632</v>
      </c>
      <c r="AB518" s="14">
        <f>IFERROR(VLOOKUP($A518,koronahun!$A:$AM,28,FALSE),"")</f>
        <v>1.2683973421320027</v>
      </c>
      <c r="AC518" s="14">
        <f>IFERROR(VLOOKUP($A518,koronahun!$A:$AM,29,FALSE),"")</f>
        <v>879.57142857142856</v>
      </c>
      <c r="AD518" s="14">
        <f>IFERROR(VLOOKUP($A518,koronahun!$A:$AM,30,FALSE),"")</f>
        <v>7.8571428571428568</v>
      </c>
      <c r="AE518" s="14">
        <f>IFERROR(VLOOKUP($A518,koronahun!$A:$AM,31,FALSE),"")</f>
        <v>10887.571428571429</v>
      </c>
      <c r="AF518" s="13">
        <f>IFERROR(VLOOKUP($A518,koronahun!$A:$AM,32,FALSE),"")</f>
        <v>8.2885714285714299E-2</v>
      </c>
      <c r="AG518">
        <f>IFERROR(VLOOKUP($A518,koronahun!$A:$AM,33,FALSE),"")</f>
        <v>0</v>
      </c>
      <c r="AH518">
        <f>IFERROR(VLOOKUP($A518,koronahun!$A:$AM,34,FALSE),"")</f>
        <v>0</v>
      </c>
      <c r="AI518">
        <f>IFERROR(VLOOKUP($A518,koronahun!$A:$AM,35,FALSE),"")</f>
        <v>0</v>
      </c>
      <c r="AJ518">
        <f>IFERROR(VLOOKUP($A518,koronahun!$A:$AM,36,FALSE),"")</f>
        <v>0</v>
      </c>
      <c r="AK518">
        <f>IFERROR(VLOOKUP($A518,koronahun!$A:$AM,37,FALSE),"")</f>
        <v>0</v>
      </c>
      <c r="AL518">
        <f>IFERROR(VLOOKUP($A518,koronahun!$A:$AM,38,FALSE),"")</f>
        <v>0</v>
      </c>
      <c r="AM518" s="14">
        <f>IFERROR(VLOOKUP($A518,koronahun!$A:$AM,39,FALSE),"")</f>
        <v>102.42857142857143</v>
      </c>
      <c r="AN518" s="11">
        <f ca="1">IFERROR(__xludf.DUMMYFUNCTION("""COMPUTED_VALUE"""),44410)</f>
        <v>44410</v>
      </c>
      <c r="AO518" s="12">
        <f ca="1">IFERROR(VLOOKUP(AN518,koronahun!A:B,2,FALSE),"")</f>
        <v>809646</v>
      </c>
      <c r="AP518" s="11">
        <f t="shared" ca="1" si="4"/>
        <v>44410</v>
      </c>
      <c r="AQ518" s="11">
        <f ca="1">IFERROR(__xludf.DUMMYFUNCTION("""COMPUTED_VALUE"""),44432)</f>
        <v>44432</v>
      </c>
      <c r="AR518" s="11">
        <v>44101</v>
      </c>
      <c r="AS518" s="11">
        <f t="shared" si="5"/>
        <v>44101</v>
      </c>
      <c r="AT518" s="11">
        <f ca="1">IFERROR(__xludf.DUMMYFUNCTION("""COMPUTED_VALUE"""),44100)</f>
        <v>44100</v>
      </c>
    </row>
    <row r="519" spans="1:46" ht="13">
      <c r="A519" s="11">
        <v>44099</v>
      </c>
      <c r="B519">
        <f>IFERROR(VLOOKUP($A519,koronahun!$A:$AM,2,FALSE),"")</f>
        <v>22127</v>
      </c>
      <c r="C519">
        <f>IFERROR(VLOOKUP($A519,koronahun!$A:$AM,3,FALSE),"")</f>
        <v>927</v>
      </c>
      <c r="D519">
        <f>IFERROR(VLOOKUP($A519,koronahun!$A:$AM,4,FALSE),"")</f>
        <v>718</v>
      </c>
      <c r="E519">
        <f>IFERROR(VLOOKUP($A519,koronahun!$A:$AM,5,FALSE),"")</f>
        <v>4945</v>
      </c>
      <c r="F519">
        <f>IFERROR(VLOOKUP($A519,koronahun!$A:$AM,6,FALSE),"")</f>
        <v>668553</v>
      </c>
      <c r="G519" s="12">
        <f>IFERROR(VLOOKUP($A519,koronahun!$A:$AM,7,FALSE),"")</f>
        <v>68219.693877551021</v>
      </c>
      <c r="H519">
        <f>IFERROR(VLOOKUP($A519,koronahun!$A:$AM,8,FALSE),"")</f>
        <v>0</v>
      </c>
      <c r="I519" s="13">
        <f>IFERROR(VLOOKUP($A519,koronahun!$A:$AM,9,FALSE),"")</f>
        <v>4.3700000000000003E-2</v>
      </c>
      <c r="J519" s="13">
        <f>IFERROR(VLOOKUP($A519,koronahun!$A:$AM,10,FALSE),"")</f>
        <v>3.3099999999999997E-2</v>
      </c>
      <c r="K519" s="13">
        <f>IFERROR(VLOOKUP($A519,koronahun!$A:$AM,11,FALSE),"")</f>
        <v>1.7000000000000001E-2</v>
      </c>
      <c r="L519">
        <f>IFERROR(VLOOKUP($A519,koronahun!$A:$AM,12,FALSE),"")</f>
        <v>16464</v>
      </c>
      <c r="M519" s="13">
        <f>IFERROR(VLOOKUP($A519,koronahun!$A:$AM,13,FALSE),"")</f>
        <v>3.2399999999999998E-2</v>
      </c>
      <c r="N519" s="13">
        <f>IFERROR(VLOOKUP($A519,koronahun!$A:$AM,14,FALSE),"")</f>
        <v>0.2235</v>
      </c>
      <c r="O519">
        <f>IFERROR(VLOOKUP($A519,koronahun!$A:$AM,15,FALSE),"")</f>
        <v>25374</v>
      </c>
      <c r="P519">
        <f>IFERROR(VLOOKUP($A519,koronahun!$A:$AM,16,FALSE),"")</f>
        <v>11116</v>
      </c>
      <c r="Q519" s="13">
        <f>IFERROR(VLOOKUP($A519,koronahun!$A:$AM,17,FALSE),"")</f>
        <v>8.3400000000000002E-2</v>
      </c>
      <c r="R519">
        <f>IFERROR(VLOOKUP($A519,koronahun!$A:$AM,18,FALSE),"")</f>
        <v>9</v>
      </c>
      <c r="S519">
        <f>IFERROR(VLOOKUP($A519,koronahun!$A:$AM,19,FALSE),"")</f>
        <v>127</v>
      </c>
      <c r="T519">
        <f>IFERROR(VLOOKUP($A519,koronahun!$A:$AM,20,FALSE),"")</f>
        <v>577</v>
      </c>
      <c r="U519">
        <f>IFERROR(VLOOKUP($A519,koronahun!$A:$AM,21,FALSE),"")</f>
        <v>30</v>
      </c>
      <c r="V519" s="13">
        <f>IFERROR(VLOOKUP($A519,koronahun!$A:$AM,22,FALSE),"")</f>
        <v>0.74406833280607398</v>
      </c>
      <c r="W519">
        <f>IFERROR(VLOOKUP($A519,koronahun!$A:$AM,23,FALSE),"")</f>
        <v>28</v>
      </c>
      <c r="X519">
        <f>IFERROR(VLOOKUP($A519,koronahun!$A:$AM,24,FALSE),"")</f>
        <v>-2</v>
      </c>
      <c r="Y519" s="14">
        <f>IFERROR(VLOOKUP($A519,koronahun!$A:$AM,25,FALSE),"")</f>
        <v>3.5046161321671529E-2</v>
      </c>
      <c r="Z519" s="14">
        <f>IFERROR(VLOOKUP($A519,koronahun!$A:$AM,26,FALSE),"")</f>
        <v>5.1993067590987867E-2</v>
      </c>
      <c r="AA519" s="14">
        <f>IFERROR(VLOOKUP($A519,koronahun!$A:$AM,27,FALSE),"")</f>
        <v>1.156478277585544</v>
      </c>
      <c r="AB519" s="14">
        <f>IFERROR(VLOOKUP($A519,koronahun!$A:$AM,28,FALSE),"")</f>
        <v>1.2808272164366006</v>
      </c>
      <c r="AC519" s="14">
        <f>IFERROR(VLOOKUP($A519,koronahun!$A:$AM,29,FALSE),"")</f>
        <v>859.42857142857144</v>
      </c>
      <c r="AD519" s="14">
        <f>IFERROR(VLOOKUP($A519,koronahun!$A:$AM,30,FALSE),"")</f>
        <v>7</v>
      </c>
      <c r="AE519" s="14">
        <f>IFERROR(VLOOKUP($A519,koronahun!$A:$AM,31,FALSE),"")</f>
        <v>10990.714285714286</v>
      </c>
      <c r="AF519" s="13">
        <f>IFERROR(VLOOKUP($A519,koronahun!$A:$AM,32,FALSE),"")</f>
        <v>8.0614285714285722E-2</v>
      </c>
      <c r="AG519">
        <f>IFERROR(VLOOKUP($A519,koronahun!$A:$AM,33,FALSE),"")</f>
        <v>0</v>
      </c>
      <c r="AH519">
        <f>IFERROR(VLOOKUP($A519,koronahun!$A:$AM,34,FALSE),"")</f>
        <v>0</v>
      </c>
      <c r="AI519">
        <f>IFERROR(VLOOKUP($A519,koronahun!$A:$AM,35,FALSE),"")</f>
        <v>0</v>
      </c>
      <c r="AJ519">
        <f>IFERROR(VLOOKUP($A519,koronahun!$A:$AM,36,FALSE),"")</f>
        <v>0</v>
      </c>
      <c r="AK519">
        <f>IFERROR(VLOOKUP($A519,koronahun!$A:$AM,37,FALSE),"")</f>
        <v>0</v>
      </c>
      <c r="AL519">
        <f>IFERROR(VLOOKUP($A519,koronahun!$A:$AM,38,FALSE),"")</f>
        <v>0</v>
      </c>
      <c r="AM519" s="14">
        <f>IFERROR(VLOOKUP($A519,koronahun!$A:$AM,39,FALSE),"")</f>
        <v>100.71428571428571</v>
      </c>
      <c r="AN519" s="11">
        <f ca="1">IFERROR(__xludf.DUMMYFUNCTION("""COMPUTED_VALUE"""),44411)</f>
        <v>44411</v>
      </c>
      <c r="AO519" s="12">
        <f ca="1">IFERROR(VLOOKUP(AN519,koronahun!A:B,2,FALSE),"")</f>
        <v>809672</v>
      </c>
      <c r="AP519" s="11">
        <f t="shared" ca="1" si="4"/>
        <v>44411</v>
      </c>
      <c r="AQ519" s="11">
        <f ca="1">IFERROR(__xludf.DUMMYFUNCTION("""COMPUTED_VALUE"""),44433)</f>
        <v>44433</v>
      </c>
      <c r="AR519" s="11">
        <v>44100</v>
      </c>
      <c r="AS519" s="11">
        <f t="shared" si="5"/>
        <v>44100</v>
      </c>
      <c r="AT519" s="11">
        <f ca="1">IFERROR(__xludf.DUMMYFUNCTION("""COMPUTED_VALUE"""),44099)</f>
        <v>44099</v>
      </c>
    </row>
    <row r="520" spans="1:46" ht="13">
      <c r="A520" s="11">
        <v>44098</v>
      </c>
      <c r="B520">
        <f>IFERROR(VLOOKUP($A520,koronahun!$A:$AM,2,FALSE),"")</f>
        <v>21200</v>
      </c>
      <c r="C520">
        <f>IFERROR(VLOOKUP($A520,koronahun!$A:$AM,3,FALSE),"")</f>
        <v>750</v>
      </c>
      <c r="D520">
        <f>IFERROR(VLOOKUP($A520,koronahun!$A:$AM,4,FALSE),"")</f>
        <v>709</v>
      </c>
      <c r="E520">
        <f>IFERROR(VLOOKUP($A520,koronahun!$A:$AM,5,FALSE),"")</f>
        <v>4818</v>
      </c>
      <c r="F520">
        <f>IFERROR(VLOOKUP($A520,koronahun!$A:$AM,6,FALSE),"")</f>
        <v>657437</v>
      </c>
      <c r="G520" s="12">
        <f>IFERROR(VLOOKUP($A520,koronahun!$A:$AM,7,FALSE),"")</f>
        <v>67085.408163265296</v>
      </c>
      <c r="H520">
        <f>IFERROR(VLOOKUP($A520,koronahun!$A:$AM,8,FALSE),"")</f>
        <v>0</v>
      </c>
      <c r="I520" s="13">
        <f>IFERROR(VLOOKUP($A520,koronahun!$A:$AM,9,FALSE),"")</f>
        <v>3.6700000000000003E-2</v>
      </c>
      <c r="J520" s="13">
        <f>IFERROR(VLOOKUP($A520,koronahun!$A:$AM,10,FALSE),"")</f>
        <v>3.2199999999999999E-2</v>
      </c>
      <c r="K520" s="13">
        <f>IFERROR(VLOOKUP($A520,koronahun!$A:$AM,11,FALSE),"")</f>
        <v>1.7999999999999999E-2</v>
      </c>
      <c r="L520">
        <f>IFERROR(VLOOKUP($A520,koronahun!$A:$AM,12,FALSE),"")</f>
        <v>15673</v>
      </c>
      <c r="M520" s="13">
        <f>IFERROR(VLOOKUP($A520,koronahun!$A:$AM,13,FALSE),"")</f>
        <v>3.3399999999999999E-2</v>
      </c>
      <c r="N520" s="13">
        <f>IFERROR(VLOOKUP($A520,koronahun!$A:$AM,14,FALSE),"")</f>
        <v>0.2273</v>
      </c>
      <c r="O520">
        <f>IFERROR(VLOOKUP($A520,koronahun!$A:$AM,15,FALSE),"")</f>
        <v>27403</v>
      </c>
      <c r="P520">
        <f>IFERROR(VLOOKUP($A520,koronahun!$A:$AM,16,FALSE),"")</f>
        <v>11945</v>
      </c>
      <c r="Q520" s="13">
        <f>IFERROR(VLOOKUP($A520,koronahun!$A:$AM,17,FALSE),"")</f>
        <v>6.2799999999999995E-2</v>
      </c>
      <c r="R520">
        <f>IFERROR(VLOOKUP($A520,koronahun!$A:$AM,18,FALSE),"")</f>
        <v>7</v>
      </c>
      <c r="S520">
        <f>IFERROR(VLOOKUP($A520,koronahun!$A:$AM,19,FALSE),"")</f>
        <v>174</v>
      </c>
      <c r="T520">
        <f>IFERROR(VLOOKUP($A520,koronahun!$A:$AM,20,FALSE),"")</f>
        <v>549</v>
      </c>
      <c r="U520">
        <f>IFERROR(VLOOKUP($A520,koronahun!$A:$AM,21,FALSE),"")</f>
        <v>32</v>
      </c>
      <c r="V520" s="13">
        <f>IFERROR(VLOOKUP($A520,koronahun!$A:$AM,22,FALSE),"")</f>
        <v>0.73929245283018863</v>
      </c>
      <c r="W520">
        <f>IFERROR(VLOOKUP($A520,koronahun!$A:$AM,23,FALSE),"")</f>
        <v>-9</v>
      </c>
      <c r="X520">
        <f>IFERROR(VLOOKUP($A520,koronahun!$A:$AM,24,FALSE),"")</f>
        <v>-3</v>
      </c>
      <c r="Y520" s="14">
        <f>IFERROR(VLOOKUP($A520,koronahun!$A:$AM,25,FALSE),"")</f>
        <v>3.5028392777387868E-2</v>
      </c>
      <c r="Z520" s="14">
        <f>IFERROR(VLOOKUP($A520,koronahun!$A:$AM,26,FALSE),"")</f>
        <v>5.8287795992714025E-2</v>
      </c>
      <c r="AA520" s="14">
        <f>IFERROR(VLOOKUP($A520,koronahun!$A:$AM,27,FALSE),"")</f>
        <v>1.2110865635669814</v>
      </c>
      <c r="AB520" s="14">
        <f>IFERROR(VLOOKUP($A520,koronahun!$A:$AM,28,FALSE),"")</f>
        <v>1.326317155881527</v>
      </c>
      <c r="AC520" s="14">
        <f>IFERROR(VLOOKUP($A520,koronahun!$A:$AM,29,FALSE),"")</f>
        <v>861.42857142857144</v>
      </c>
      <c r="AD520" s="14">
        <f>IFERROR(VLOOKUP($A520,koronahun!$A:$AM,30,FALSE),"")</f>
        <v>6.5714285714285712</v>
      </c>
      <c r="AE520" s="14">
        <f>IFERROR(VLOOKUP($A520,koronahun!$A:$AM,31,FALSE),"")</f>
        <v>11052.142857142857</v>
      </c>
      <c r="AF520" s="13">
        <f>IFERROR(VLOOKUP($A520,koronahun!$A:$AM,32,FALSE),"")</f>
        <v>8.0342857142857146E-2</v>
      </c>
      <c r="AG520">
        <f>IFERROR(VLOOKUP($A520,koronahun!$A:$AM,33,FALSE),"")</f>
        <v>0</v>
      </c>
      <c r="AH520">
        <f>IFERROR(VLOOKUP($A520,koronahun!$A:$AM,34,FALSE),"")</f>
        <v>0</v>
      </c>
      <c r="AI520">
        <f>IFERROR(VLOOKUP($A520,koronahun!$A:$AM,35,FALSE),"")</f>
        <v>0</v>
      </c>
      <c r="AJ520">
        <f>IFERROR(VLOOKUP($A520,koronahun!$A:$AM,36,FALSE),"")</f>
        <v>0</v>
      </c>
      <c r="AK520">
        <f>IFERROR(VLOOKUP($A520,koronahun!$A:$AM,37,FALSE),"")</f>
        <v>0</v>
      </c>
      <c r="AL520">
        <f>IFERROR(VLOOKUP($A520,koronahun!$A:$AM,38,FALSE),"")</f>
        <v>0</v>
      </c>
      <c r="AM520" s="14">
        <f>IFERROR(VLOOKUP($A520,koronahun!$A:$AM,39,FALSE),"")</f>
        <v>84.428571428571431</v>
      </c>
      <c r="AN520" s="11">
        <f ca="1">IFERROR(__xludf.DUMMYFUNCTION("""COMPUTED_VALUE"""),44412)</f>
        <v>44412</v>
      </c>
      <c r="AO520" s="12">
        <f ca="1">IFERROR(VLOOKUP(AN520,koronahun!A:B,2,FALSE),"")</f>
        <v>809731</v>
      </c>
      <c r="AP520" s="11">
        <f t="shared" ca="1" si="4"/>
        <v>44412</v>
      </c>
      <c r="AQ520" s="11">
        <f ca="1">IFERROR(__xludf.DUMMYFUNCTION("""COMPUTED_VALUE"""),44434)</f>
        <v>44434</v>
      </c>
      <c r="AR520" s="11">
        <v>44099</v>
      </c>
      <c r="AS520" s="11">
        <f t="shared" si="5"/>
        <v>44099</v>
      </c>
      <c r="AT520" s="11">
        <f ca="1">IFERROR(__xludf.DUMMYFUNCTION("""COMPUTED_VALUE"""),44098)</f>
        <v>44098</v>
      </c>
    </row>
    <row r="521" spans="1:46" ht="13">
      <c r="A521" s="11">
        <v>44097</v>
      </c>
      <c r="B521">
        <f>IFERROR(VLOOKUP($A521,koronahun!$A:$AM,2,FALSE),"")</f>
        <v>20450</v>
      </c>
      <c r="C521">
        <f>IFERROR(VLOOKUP($A521,koronahun!$A:$AM,3,FALSE),"")</f>
        <v>951</v>
      </c>
      <c r="D521">
        <f>IFERROR(VLOOKUP($A521,koronahun!$A:$AM,4,FALSE),"")</f>
        <v>702</v>
      </c>
      <c r="E521">
        <f>IFERROR(VLOOKUP($A521,koronahun!$A:$AM,5,FALSE),"")</f>
        <v>4644</v>
      </c>
      <c r="F521">
        <f>IFERROR(VLOOKUP($A521,koronahun!$A:$AM,6,FALSE),"")</f>
        <v>645492</v>
      </c>
      <c r="G521" s="12">
        <f>IFERROR(VLOOKUP($A521,koronahun!$A:$AM,7,FALSE),"")</f>
        <v>65866.530612244896</v>
      </c>
      <c r="H521">
        <f>IFERROR(VLOOKUP($A521,koronahun!$A:$AM,8,FALSE),"")</f>
        <v>0</v>
      </c>
      <c r="I521" s="13">
        <f>IFERROR(VLOOKUP($A521,koronahun!$A:$AM,9,FALSE),"")</f>
        <v>4.8800000000000003E-2</v>
      </c>
      <c r="J521" s="13">
        <f>IFERROR(VLOOKUP($A521,koronahun!$A:$AM,10,FALSE),"")</f>
        <v>3.1699999999999999E-2</v>
      </c>
      <c r="K521" s="13">
        <f>IFERROR(VLOOKUP($A521,koronahun!$A:$AM,11,FALSE),"")</f>
        <v>2.1000000000000001E-2</v>
      </c>
      <c r="L521">
        <f>IFERROR(VLOOKUP($A521,koronahun!$A:$AM,12,FALSE),"")</f>
        <v>15104</v>
      </c>
      <c r="M521" s="13">
        <f>IFERROR(VLOOKUP($A521,koronahun!$A:$AM,13,FALSE),"")</f>
        <v>3.4299999999999997E-2</v>
      </c>
      <c r="N521" s="13">
        <f>IFERROR(VLOOKUP($A521,koronahun!$A:$AM,14,FALSE),"")</f>
        <v>0.2271</v>
      </c>
      <c r="O521">
        <f>IFERROR(VLOOKUP($A521,koronahun!$A:$AM,15,FALSE),"")</f>
        <v>27449</v>
      </c>
      <c r="P521">
        <f>IFERROR(VLOOKUP($A521,koronahun!$A:$AM,16,FALSE),"")</f>
        <v>13461</v>
      </c>
      <c r="Q521" s="13">
        <f>IFERROR(VLOOKUP($A521,koronahun!$A:$AM,17,FALSE),"")</f>
        <v>7.0599999999999996E-2</v>
      </c>
      <c r="R521">
        <f>IFERROR(VLOOKUP($A521,koronahun!$A:$AM,18,FALSE),"")</f>
        <v>8</v>
      </c>
      <c r="S521">
        <f>IFERROR(VLOOKUP($A521,koronahun!$A:$AM,19,FALSE),"")</f>
        <v>85</v>
      </c>
      <c r="T521">
        <f>IFERROR(VLOOKUP($A521,koronahun!$A:$AM,20,FALSE),"")</f>
        <v>558</v>
      </c>
      <c r="U521">
        <f>IFERROR(VLOOKUP($A521,koronahun!$A:$AM,21,FALSE),"")</f>
        <v>35</v>
      </c>
      <c r="V521" s="13">
        <f>IFERROR(VLOOKUP($A521,koronahun!$A:$AM,22,FALSE),"")</f>
        <v>0.73858190709046456</v>
      </c>
      <c r="W521">
        <f>IFERROR(VLOOKUP($A521,koronahun!$A:$AM,23,FALSE),"")</f>
        <v>24</v>
      </c>
      <c r="X521">
        <f>IFERROR(VLOOKUP($A521,koronahun!$A:$AM,24,FALSE),"")</f>
        <v>-1</v>
      </c>
      <c r="Y521" s="14">
        <f>IFERROR(VLOOKUP($A521,koronahun!$A:$AM,25,FALSE),"")</f>
        <v>3.6943855932203389E-2</v>
      </c>
      <c r="Z521" s="14">
        <f>IFERROR(VLOOKUP($A521,koronahun!$A:$AM,26,FALSE),"")</f>
        <v>6.2724014336917558E-2</v>
      </c>
      <c r="AA521" s="14">
        <f>IFERROR(VLOOKUP($A521,koronahun!$A:$AM,27,FALSE),"")</f>
        <v>1.262381454162276</v>
      </c>
      <c r="AB521" s="14">
        <f>IFERROR(VLOOKUP($A521,koronahun!$A:$AM,28,FALSE),"")</f>
        <v>1.3709564770156017</v>
      </c>
      <c r="AC521" s="14">
        <f>IFERROR(VLOOKUP($A521,koronahun!$A:$AM,29,FALSE),"")</f>
        <v>855.71428571428567</v>
      </c>
      <c r="AD521" s="14">
        <f>IFERROR(VLOOKUP($A521,koronahun!$A:$AM,30,FALSE),"")</f>
        <v>6.8571428571428568</v>
      </c>
      <c r="AE521" s="14">
        <f>IFERROR(VLOOKUP($A521,koronahun!$A:$AM,31,FALSE),"")</f>
        <v>11114.428571428571</v>
      </c>
      <c r="AF521" s="13">
        <f>IFERROR(VLOOKUP($A521,koronahun!$A:$AM,32,FALSE),"")</f>
        <v>7.9557142857142854E-2</v>
      </c>
      <c r="AG521">
        <f>IFERROR(VLOOKUP($A521,koronahun!$A:$AM,33,FALSE),"")</f>
        <v>0</v>
      </c>
      <c r="AH521">
        <f>IFERROR(VLOOKUP($A521,koronahun!$A:$AM,34,FALSE),"")</f>
        <v>0</v>
      </c>
      <c r="AI521">
        <f>IFERROR(VLOOKUP($A521,koronahun!$A:$AM,35,FALSE),"")</f>
        <v>0</v>
      </c>
      <c r="AJ521">
        <f>IFERROR(VLOOKUP($A521,koronahun!$A:$AM,36,FALSE),"")</f>
        <v>0</v>
      </c>
      <c r="AK521">
        <f>IFERROR(VLOOKUP($A521,koronahun!$A:$AM,37,FALSE),"")</f>
        <v>0</v>
      </c>
      <c r="AL521">
        <f>IFERROR(VLOOKUP($A521,koronahun!$A:$AM,38,FALSE),"")</f>
        <v>0</v>
      </c>
      <c r="AM521" s="14">
        <f>IFERROR(VLOOKUP($A521,koronahun!$A:$AM,39,FALSE),"")</f>
        <v>70.142857142857139</v>
      </c>
      <c r="AN521" s="11">
        <f ca="1">IFERROR(__xludf.DUMMYFUNCTION("""COMPUTED_VALUE"""),44413)</f>
        <v>44413</v>
      </c>
      <c r="AO521" s="12">
        <f ca="1">IFERROR(VLOOKUP(AN521,koronahun!A:B,2,FALSE),"")</f>
        <v>809803</v>
      </c>
      <c r="AP521" s="11">
        <f t="shared" ca="1" si="4"/>
        <v>44413</v>
      </c>
      <c r="AQ521" s="11">
        <f ca="1">IFERROR(__xludf.DUMMYFUNCTION("""COMPUTED_VALUE"""),44435)</f>
        <v>44435</v>
      </c>
      <c r="AR521" s="11">
        <v>44098</v>
      </c>
      <c r="AS521" s="11">
        <f t="shared" si="5"/>
        <v>44098</v>
      </c>
      <c r="AT521" s="11">
        <f ca="1">IFERROR(__xludf.DUMMYFUNCTION("""COMPUTED_VALUE"""),44097)</f>
        <v>44097</v>
      </c>
    </row>
    <row r="522" spans="1:46" ht="13">
      <c r="A522" s="11">
        <v>44096</v>
      </c>
      <c r="B522">
        <f>IFERROR(VLOOKUP($A522,koronahun!$A:$AM,2,FALSE),"")</f>
        <v>19499</v>
      </c>
      <c r="C522">
        <f>IFERROR(VLOOKUP($A522,koronahun!$A:$AM,3,FALSE),"")</f>
        <v>633</v>
      </c>
      <c r="D522">
        <f>IFERROR(VLOOKUP($A522,koronahun!$A:$AM,4,FALSE),"")</f>
        <v>694</v>
      </c>
      <c r="E522">
        <f>IFERROR(VLOOKUP($A522,koronahun!$A:$AM,5,FALSE),"")</f>
        <v>4559</v>
      </c>
      <c r="F522">
        <f>IFERROR(VLOOKUP($A522,koronahun!$A:$AM,6,FALSE),"")</f>
        <v>632031</v>
      </c>
      <c r="G522" s="12">
        <f>IFERROR(VLOOKUP($A522,koronahun!$A:$AM,7,FALSE),"")</f>
        <v>64492.959183673462</v>
      </c>
      <c r="H522">
        <f>IFERROR(VLOOKUP($A522,koronahun!$A:$AM,8,FALSE),"")</f>
        <v>0</v>
      </c>
      <c r="I522" s="13">
        <f>IFERROR(VLOOKUP($A522,koronahun!$A:$AM,9,FALSE),"")</f>
        <v>3.3599999999999998E-2</v>
      </c>
      <c r="J522" s="13">
        <f>IFERROR(VLOOKUP($A522,koronahun!$A:$AM,10,FALSE),"")</f>
        <v>3.09E-2</v>
      </c>
      <c r="K522" s="13">
        <f>IFERROR(VLOOKUP($A522,koronahun!$A:$AM,11,FALSE),"")</f>
        <v>0.01</v>
      </c>
      <c r="L522">
        <f>IFERROR(VLOOKUP($A522,koronahun!$A:$AM,12,FALSE),"")</f>
        <v>14246</v>
      </c>
      <c r="M522" s="13">
        <f>IFERROR(VLOOKUP($A522,koronahun!$A:$AM,13,FALSE),"")</f>
        <v>3.56E-2</v>
      </c>
      <c r="N522" s="13">
        <f>IFERROR(VLOOKUP($A522,koronahun!$A:$AM,14,FALSE),"")</f>
        <v>0.23380000000000001</v>
      </c>
      <c r="O522">
        <f>IFERROR(VLOOKUP($A522,koronahun!$A:$AM,15,FALSE),"")</f>
        <v>25212</v>
      </c>
      <c r="P522">
        <f>IFERROR(VLOOKUP($A522,koronahun!$A:$AM,16,FALSE),"")</f>
        <v>6010</v>
      </c>
      <c r="Q522" s="13">
        <f>IFERROR(VLOOKUP($A522,koronahun!$A:$AM,17,FALSE),"")</f>
        <v>0.1053</v>
      </c>
      <c r="R522">
        <f>IFERROR(VLOOKUP($A522,koronahun!$A:$AM,18,FALSE),"")</f>
        <v>8</v>
      </c>
      <c r="S522">
        <f>IFERROR(VLOOKUP($A522,koronahun!$A:$AM,19,FALSE),"")</f>
        <v>158</v>
      </c>
      <c r="T522">
        <f>IFERROR(VLOOKUP($A522,koronahun!$A:$AM,20,FALSE),"")</f>
        <v>534</v>
      </c>
      <c r="U522">
        <f>IFERROR(VLOOKUP($A522,koronahun!$A:$AM,21,FALSE),"")</f>
        <v>36</v>
      </c>
      <c r="V522" s="13">
        <f>IFERROR(VLOOKUP($A522,koronahun!$A:$AM,22,FALSE),"")</f>
        <v>0.73060156931124676</v>
      </c>
      <c r="W522">
        <f>IFERROR(VLOOKUP($A522,koronahun!$A:$AM,23,FALSE),"")</f>
        <v>71</v>
      </c>
      <c r="X522">
        <f>IFERROR(VLOOKUP($A522,koronahun!$A:$AM,24,FALSE),"")</f>
        <v>1</v>
      </c>
      <c r="Y522" s="14">
        <f>IFERROR(VLOOKUP($A522,koronahun!$A:$AM,25,FALSE),"")</f>
        <v>3.7484206092938371E-2</v>
      </c>
      <c r="Z522" s="14">
        <f>IFERROR(VLOOKUP($A522,koronahun!$A:$AM,26,FALSE),"")</f>
        <v>6.741573033707865E-2</v>
      </c>
      <c r="AA522" s="14">
        <f>IFERROR(VLOOKUP($A522,koronahun!$A:$AM,27,FALSE),"")</f>
        <v>1.228415300546448</v>
      </c>
      <c r="AB522" s="14">
        <f>IFERROR(VLOOKUP($A522,koronahun!$A:$AM,28,FALSE),"")</f>
        <v>1.4097747377091534</v>
      </c>
      <c r="AC522" s="14">
        <f>IFERROR(VLOOKUP($A522,koronahun!$A:$AM,29,FALSE),"")</f>
        <v>802.85714285714289</v>
      </c>
      <c r="AD522" s="14">
        <f>IFERROR(VLOOKUP($A522,koronahun!$A:$AM,30,FALSE),"")</f>
        <v>6.8571428571428568</v>
      </c>
      <c r="AE522" s="14">
        <f>IFERROR(VLOOKUP($A522,koronahun!$A:$AM,31,FALSE),"")</f>
        <v>10595.285714285714</v>
      </c>
      <c r="AF522" s="13">
        <f>IFERROR(VLOOKUP($A522,koronahun!$A:$AM,32,FALSE),"")</f>
        <v>7.7914285714285728E-2</v>
      </c>
      <c r="AG522">
        <f>IFERROR(VLOOKUP($A522,koronahun!$A:$AM,33,FALSE),"")</f>
        <v>0</v>
      </c>
      <c r="AH522">
        <f>IFERROR(VLOOKUP($A522,koronahun!$A:$AM,34,FALSE),"")</f>
        <v>0</v>
      </c>
      <c r="AI522">
        <f>IFERROR(VLOOKUP($A522,koronahun!$A:$AM,35,FALSE),"")</f>
        <v>0</v>
      </c>
      <c r="AJ522">
        <f>IFERROR(VLOOKUP($A522,koronahun!$A:$AM,36,FALSE),"")</f>
        <v>0</v>
      </c>
      <c r="AK522">
        <f>IFERROR(VLOOKUP($A522,koronahun!$A:$AM,37,FALSE),"")</f>
        <v>0</v>
      </c>
      <c r="AL522">
        <f>IFERROR(VLOOKUP($A522,koronahun!$A:$AM,38,FALSE),"")</f>
        <v>0</v>
      </c>
      <c r="AM522" s="14">
        <f>IFERROR(VLOOKUP($A522,koronahun!$A:$AM,39,FALSE),"")</f>
        <v>61.285714285714285</v>
      </c>
      <c r="AN522" s="11">
        <f ca="1">IFERROR(__xludf.DUMMYFUNCTION("""COMPUTED_VALUE"""),44414)</f>
        <v>44414</v>
      </c>
      <c r="AO522" s="12">
        <f ca="1">IFERROR(VLOOKUP(AN522,koronahun!A:B,2,FALSE),"")</f>
        <v>809855</v>
      </c>
      <c r="AP522" s="11">
        <f t="shared" ca="1" si="4"/>
        <v>44414</v>
      </c>
      <c r="AQ522" s="11">
        <f ca="1">IFERROR(__xludf.DUMMYFUNCTION("""COMPUTED_VALUE"""),44438)</f>
        <v>44438</v>
      </c>
      <c r="AR522" s="11">
        <v>44097</v>
      </c>
      <c r="AS522" s="11">
        <f t="shared" si="5"/>
        <v>44097</v>
      </c>
      <c r="AT522" s="11">
        <f ca="1">IFERROR(__xludf.DUMMYFUNCTION("""COMPUTED_VALUE"""),44096)</f>
        <v>44096</v>
      </c>
    </row>
    <row r="523" spans="1:46" ht="13">
      <c r="A523" s="11">
        <v>44095</v>
      </c>
      <c r="B523">
        <f>IFERROR(VLOOKUP($A523,koronahun!$A:$AM,2,FALSE),"")</f>
        <v>18866</v>
      </c>
      <c r="C523">
        <f>IFERROR(VLOOKUP($A523,koronahun!$A:$AM,3,FALSE),"")</f>
        <v>876</v>
      </c>
      <c r="D523">
        <f>IFERROR(VLOOKUP($A523,koronahun!$A:$AM,4,FALSE),"")</f>
        <v>686</v>
      </c>
      <c r="E523">
        <f>IFERROR(VLOOKUP($A523,koronahun!$A:$AM,5,FALSE),"")</f>
        <v>4401</v>
      </c>
      <c r="F523">
        <f>IFERROR(VLOOKUP($A523,koronahun!$A:$AM,6,FALSE),"")</f>
        <v>626021</v>
      </c>
      <c r="G523" s="12">
        <f>IFERROR(VLOOKUP($A523,koronahun!$A:$AM,7,FALSE),"")</f>
        <v>63879.693877551013</v>
      </c>
      <c r="H523">
        <f>IFERROR(VLOOKUP($A523,koronahun!$A:$AM,8,FALSE),"")</f>
        <v>0</v>
      </c>
      <c r="I523" s="13">
        <f>IFERROR(VLOOKUP($A523,koronahun!$A:$AM,9,FALSE),"")</f>
        <v>4.87E-2</v>
      </c>
      <c r="J523" s="13">
        <f>IFERROR(VLOOKUP($A523,koronahun!$A:$AM,10,FALSE),"")</f>
        <v>3.0099999999999998E-2</v>
      </c>
      <c r="K523" s="13">
        <f>IFERROR(VLOOKUP($A523,koronahun!$A:$AM,11,FALSE),"")</f>
        <v>1.6E-2</v>
      </c>
      <c r="L523">
        <f>IFERROR(VLOOKUP($A523,koronahun!$A:$AM,12,FALSE),"")</f>
        <v>13779</v>
      </c>
      <c r="M523" s="13">
        <f>IFERROR(VLOOKUP($A523,koronahun!$A:$AM,13,FALSE),"")</f>
        <v>3.6400000000000002E-2</v>
      </c>
      <c r="N523" s="13">
        <f>IFERROR(VLOOKUP($A523,koronahun!$A:$AM,14,FALSE),"")</f>
        <v>0.23330000000000001</v>
      </c>
      <c r="O523">
        <f>IFERROR(VLOOKUP($A523,koronahun!$A:$AM,15,FALSE),"")</f>
        <v>26750</v>
      </c>
      <c r="P523">
        <f>IFERROR(VLOOKUP($A523,koronahun!$A:$AM,16,FALSE),"")</f>
        <v>10022</v>
      </c>
      <c r="Q523" s="13">
        <f>IFERROR(VLOOKUP($A523,koronahun!$A:$AM,17,FALSE),"")</f>
        <v>8.7400000000000005E-2</v>
      </c>
      <c r="R523">
        <f>IFERROR(VLOOKUP($A523,koronahun!$A:$AM,18,FALSE),"")</f>
        <v>3</v>
      </c>
      <c r="S523">
        <f>IFERROR(VLOOKUP($A523,koronahun!$A:$AM,19,FALSE),"")</f>
        <v>10</v>
      </c>
      <c r="T523">
        <f>IFERROR(VLOOKUP($A523,koronahun!$A:$AM,20,FALSE),"")</f>
        <v>463</v>
      </c>
      <c r="U523">
        <f>IFERROR(VLOOKUP($A523,koronahun!$A:$AM,21,FALSE),"")</f>
        <v>35</v>
      </c>
      <c r="V523" s="13">
        <f>IFERROR(VLOOKUP($A523,koronahun!$A:$AM,22,FALSE),"")</f>
        <v>0.73036149687268104</v>
      </c>
      <c r="W523">
        <f>IFERROR(VLOOKUP($A523,koronahun!$A:$AM,23,FALSE),"")</f>
        <v>59</v>
      </c>
      <c r="X523">
        <f>IFERROR(VLOOKUP($A523,koronahun!$A:$AM,24,FALSE),"")</f>
        <v>3</v>
      </c>
      <c r="Y523" s="14">
        <f>IFERROR(VLOOKUP($A523,koronahun!$A:$AM,25,FALSE),"")</f>
        <v>3.3601857899702443E-2</v>
      </c>
      <c r="Z523" s="14">
        <f>IFERROR(VLOOKUP($A523,koronahun!$A:$AM,26,FALSE),"")</f>
        <v>7.5593952483801297E-2</v>
      </c>
      <c r="AA523" s="14">
        <f>IFERROR(VLOOKUP($A523,koronahun!$A:$AM,27,FALSE),"")</f>
        <v>1.3634844868735083</v>
      </c>
      <c r="AB523" s="14">
        <f>IFERROR(VLOOKUP($A523,koronahun!$A:$AM,28,FALSE),"")</f>
        <v>1.4487835322721883</v>
      </c>
      <c r="AC523" s="14">
        <f>IFERROR(VLOOKUP($A523,koronahun!$A:$AM,29,FALSE),"")</f>
        <v>816.14285714285711</v>
      </c>
      <c r="AD523" s="14">
        <f>IFERROR(VLOOKUP($A523,koronahun!$A:$AM,30,FALSE),"")</f>
        <v>6.2857142857142856</v>
      </c>
      <c r="AE523" s="14">
        <f>IFERROR(VLOOKUP($A523,koronahun!$A:$AM,31,FALSE),"")</f>
        <v>10972.857142857143</v>
      </c>
      <c r="AF523" s="13">
        <f>IFERROR(VLOOKUP($A523,koronahun!$A:$AM,32,FALSE),"")</f>
        <v>7.4857142857142858E-2</v>
      </c>
      <c r="AG523">
        <f>IFERROR(VLOOKUP($A523,koronahun!$A:$AM,33,FALSE),"")</f>
        <v>0</v>
      </c>
      <c r="AH523">
        <f>IFERROR(VLOOKUP($A523,koronahun!$A:$AM,34,FALSE),"")</f>
        <v>0</v>
      </c>
      <c r="AI523">
        <f>IFERROR(VLOOKUP($A523,koronahun!$A:$AM,35,FALSE),"")</f>
        <v>0</v>
      </c>
      <c r="AJ523">
        <f>IFERROR(VLOOKUP($A523,koronahun!$A:$AM,36,FALSE),"")</f>
        <v>0</v>
      </c>
      <c r="AK523">
        <f>IFERROR(VLOOKUP($A523,koronahun!$A:$AM,37,FALSE),"")</f>
        <v>0</v>
      </c>
      <c r="AL523">
        <f>IFERROR(VLOOKUP($A523,koronahun!$A:$AM,38,FALSE),"")</f>
        <v>0</v>
      </c>
      <c r="AM523" s="14">
        <f>IFERROR(VLOOKUP($A523,koronahun!$A:$AM,39,FALSE),"")</f>
        <v>40.571428571428569</v>
      </c>
      <c r="AN523" s="11">
        <f ca="1">IFERROR(__xludf.DUMMYFUNCTION("""COMPUTED_VALUE"""),44415)</f>
        <v>44415</v>
      </c>
      <c r="AO523" s="12">
        <f ca="1">IFERROR(VLOOKUP(AN523,koronahun!A:B,2,FALSE),"")</f>
        <v>0</v>
      </c>
      <c r="AP523" s="11">
        <f t="shared" ca="1" si="4"/>
        <v>44415</v>
      </c>
      <c r="AQ523" s="11">
        <f ca="1">IFERROR(__xludf.DUMMYFUNCTION("""COMPUTED_VALUE"""),44439)</f>
        <v>44439</v>
      </c>
      <c r="AR523" s="11">
        <v>44096</v>
      </c>
      <c r="AS523" s="11">
        <f t="shared" si="5"/>
        <v>44096</v>
      </c>
      <c r="AT523" s="11">
        <f ca="1">IFERROR(__xludf.DUMMYFUNCTION("""COMPUTED_VALUE"""),44095)</f>
        <v>44095</v>
      </c>
    </row>
    <row r="524" spans="1:46" ht="13">
      <c r="A524" s="11">
        <v>44094</v>
      </c>
      <c r="B524">
        <f>IFERROR(VLOOKUP($A524,koronahun!$A:$AM,2,FALSE),"")</f>
        <v>17990</v>
      </c>
      <c r="C524">
        <f>IFERROR(VLOOKUP($A524,koronahun!$A:$AM,3,FALSE),"")</f>
        <v>1070</v>
      </c>
      <c r="D524">
        <f>IFERROR(VLOOKUP($A524,koronahun!$A:$AM,4,FALSE),"")</f>
        <v>683</v>
      </c>
      <c r="E524">
        <f>IFERROR(VLOOKUP($A524,koronahun!$A:$AM,5,FALSE),"")</f>
        <v>4391</v>
      </c>
      <c r="F524">
        <f>IFERROR(VLOOKUP($A524,koronahun!$A:$AM,6,FALSE),"")</f>
        <v>615999</v>
      </c>
      <c r="G524" s="12">
        <f>IFERROR(VLOOKUP($A524,koronahun!$A:$AM,7,FALSE),"")</f>
        <v>62857.040816326524</v>
      </c>
      <c r="H524">
        <f>IFERROR(VLOOKUP($A524,koronahun!$A:$AM,8,FALSE),"")</f>
        <v>0</v>
      </c>
      <c r="I524" s="13">
        <f>IFERROR(VLOOKUP($A524,koronahun!$A:$AM,9,FALSE),"")</f>
        <v>6.3200000000000006E-2</v>
      </c>
      <c r="J524" s="13">
        <f>IFERROR(VLOOKUP($A524,koronahun!$A:$AM,10,FALSE),"")</f>
        <v>2.92E-2</v>
      </c>
      <c r="K524" s="13">
        <f>IFERROR(VLOOKUP($A524,koronahun!$A:$AM,11,FALSE),"")</f>
        <v>1.9E-2</v>
      </c>
      <c r="L524">
        <f>IFERROR(VLOOKUP($A524,koronahun!$A:$AM,12,FALSE),"")</f>
        <v>12916</v>
      </c>
      <c r="M524" s="13">
        <f>IFERROR(VLOOKUP($A524,koronahun!$A:$AM,13,FALSE),"")</f>
        <v>3.7999999999999999E-2</v>
      </c>
      <c r="N524" s="13">
        <f>IFERROR(VLOOKUP($A524,koronahun!$A:$AM,14,FALSE),"")</f>
        <v>0.24410000000000001</v>
      </c>
      <c r="O524">
        <f>IFERROR(VLOOKUP($A524,koronahun!$A:$AM,15,FALSE),"")</f>
        <v>25583</v>
      </c>
      <c r="P524">
        <f>IFERROR(VLOOKUP($A524,koronahun!$A:$AM,16,FALSE),"")</f>
        <v>11877</v>
      </c>
      <c r="Q524" s="13">
        <f>IFERROR(VLOOKUP($A524,koronahun!$A:$AM,17,FALSE),"")</f>
        <v>9.01E-2</v>
      </c>
      <c r="R524">
        <f>IFERROR(VLOOKUP($A524,koronahun!$A:$AM,18,FALSE),"")</f>
        <v>8</v>
      </c>
      <c r="S524">
        <f>IFERROR(VLOOKUP($A524,koronahun!$A:$AM,19,FALSE),"")</f>
        <v>9</v>
      </c>
      <c r="T524">
        <f>IFERROR(VLOOKUP($A524,koronahun!$A:$AM,20,FALSE),"")</f>
        <v>404</v>
      </c>
      <c r="U524">
        <f>IFERROR(VLOOKUP($A524,koronahun!$A:$AM,21,FALSE),"")</f>
        <v>32</v>
      </c>
      <c r="V524" s="13">
        <f>IFERROR(VLOOKUP($A524,koronahun!$A:$AM,22,FALSE),"")</f>
        <v>0.7179544191217343</v>
      </c>
      <c r="W524">
        <f>IFERROR(VLOOKUP($A524,koronahun!$A:$AM,23,FALSE),"")</f>
        <v>18</v>
      </c>
      <c r="X524">
        <f>IFERROR(VLOOKUP($A524,koronahun!$A:$AM,24,FALSE),"")</f>
        <v>2</v>
      </c>
      <c r="Y524" s="14">
        <f>IFERROR(VLOOKUP($A524,koronahun!$A:$AM,25,FALSE),"")</f>
        <v>3.1279033756580983E-2</v>
      </c>
      <c r="Z524" s="14">
        <f>IFERROR(VLOOKUP($A524,koronahun!$A:$AM,26,FALSE),"")</f>
        <v>7.9207920792079209E-2</v>
      </c>
      <c r="AA524" s="14">
        <f>IFERROR(VLOOKUP($A524,koronahun!$A:$AM,27,FALSE),"")</f>
        <v>1.4484956654767975</v>
      </c>
      <c r="AB524" s="14">
        <f>IFERROR(VLOOKUP($A524,koronahun!$A:$AM,28,FALSE),"")</f>
        <v>1.4659587553129216</v>
      </c>
      <c r="AC524" s="14">
        <f>IFERROR(VLOOKUP($A524,koronahun!$A:$AM,29,FALSE),"")</f>
        <v>811.57142857142856</v>
      </c>
      <c r="AD524" s="14">
        <f>IFERROR(VLOOKUP($A524,koronahun!$A:$AM,30,FALSE),"")</f>
        <v>6.5714285714285712</v>
      </c>
      <c r="AE524" s="14">
        <f>IFERROR(VLOOKUP($A524,koronahun!$A:$AM,31,FALSE),"")</f>
        <v>11157.428571428571</v>
      </c>
      <c r="AF524" s="13">
        <f>IFERROR(VLOOKUP($A524,koronahun!$A:$AM,32,FALSE),"")</f>
        <v>7.3028571428571429E-2</v>
      </c>
      <c r="AG524">
        <f>IFERROR(VLOOKUP($A524,koronahun!$A:$AM,33,FALSE),"")</f>
        <v>0</v>
      </c>
      <c r="AH524">
        <f>IFERROR(VLOOKUP($A524,koronahun!$A:$AM,34,FALSE),"")</f>
        <v>0</v>
      </c>
      <c r="AI524">
        <f>IFERROR(VLOOKUP($A524,koronahun!$A:$AM,35,FALSE),"")</f>
        <v>0</v>
      </c>
      <c r="AJ524">
        <f>IFERROR(VLOOKUP($A524,koronahun!$A:$AM,36,FALSE),"")</f>
        <v>0</v>
      </c>
      <c r="AK524">
        <f>IFERROR(VLOOKUP($A524,koronahun!$A:$AM,37,FALSE),"")</f>
        <v>0</v>
      </c>
      <c r="AL524">
        <f>IFERROR(VLOOKUP($A524,koronahun!$A:$AM,38,FALSE),"")</f>
        <v>0</v>
      </c>
      <c r="AM524" s="14">
        <f>IFERROR(VLOOKUP($A524,koronahun!$A:$AM,39,FALSE),"")</f>
        <v>46</v>
      </c>
      <c r="AN524" s="11">
        <f ca="1">IFERROR(__xludf.DUMMYFUNCTION("""COMPUTED_VALUE"""),44416)</f>
        <v>44416</v>
      </c>
      <c r="AO524" s="12">
        <f ca="1">IFERROR(VLOOKUP(AN524,koronahun!A:B,2,FALSE),"")</f>
        <v>0</v>
      </c>
      <c r="AP524" s="11">
        <f t="shared" ca="1" si="4"/>
        <v>44416</v>
      </c>
      <c r="AQ524" s="11">
        <f ca="1">IFERROR(__xludf.DUMMYFUNCTION("""COMPUTED_VALUE"""),44440)</f>
        <v>44440</v>
      </c>
      <c r="AR524" s="11">
        <v>44095</v>
      </c>
      <c r="AS524" s="11">
        <f t="shared" si="5"/>
        <v>44095</v>
      </c>
      <c r="AT524" s="11">
        <f ca="1">IFERROR(__xludf.DUMMYFUNCTION("""COMPUTED_VALUE"""),44094)</f>
        <v>44094</v>
      </c>
    </row>
    <row r="525" spans="1:46" ht="13">
      <c r="A525" s="11">
        <v>44093</v>
      </c>
      <c r="B525">
        <f>IFERROR(VLOOKUP($A525,koronahun!$A:$AM,2,FALSE),"")</f>
        <v>16920</v>
      </c>
      <c r="C525">
        <f>IFERROR(VLOOKUP($A525,koronahun!$A:$AM,3,FALSE),"")</f>
        <v>809</v>
      </c>
      <c r="D525">
        <f>IFERROR(VLOOKUP($A525,koronahun!$A:$AM,4,FALSE),"")</f>
        <v>675</v>
      </c>
      <c r="E525">
        <f>IFERROR(VLOOKUP($A525,koronahun!$A:$AM,5,FALSE),"")</f>
        <v>4382</v>
      </c>
      <c r="F525">
        <f>IFERROR(VLOOKUP($A525,koronahun!$A:$AM,6,FALSE),"")</f>
        <v>604122</v>
      </c>
      <c r="G525" s="12">
        <f>IFERROR(VLOOKUP($A525,koronahun!$A:$AM,7,FALSE),"")</f>
        <v>61645.102040816324</v>
      </c>
      <c r="H525">
        <f>IFERROR(VLOOKUP($A525,koronahun!$A:$AM,8,FALSE),"")</f>
        <v>0</v>
      </c>
      <c r="I525" s="13">
        <f>IFERROR(VLOOKUP($A525,koronahun!$A:$AM,9,FALSE),"")</f>
        <v>5.0200000000000002E-2</v>
      </c>
      <c r="J525" s="13">
        <f>IFERROR(VLOOKUP($A525,koronahun!$A:$AM,10,FALSE),"")</f>
        <v>2.8000000000000001E-2</v>
      </c>
      <c r="K525" s="13">
        <f>IFERROR(VLOOKUP($A525,koronahun!$A:$AM,11,FALSE),"")</f>
        <v>2.1000000000000001E-2</v>
      </c>
      <c r="L525">
        <f>IFERROR(VLOOKUP($A525,koronahun!$A:$AM,12,FALSE),"")</f>
        <v>11863</v>
      </c>
      <c r="M525" s="13">
        <f>IFERROR(VLOOKUP($A525,koronahun!$A:$AM,13,FALSE),"")</f>
        <v>3.9899999999999998E-2</v>
      </c>
      <c r="N525" s="13">
        <f>IFERROR(VLOOKUP($A525,koronahun!$A:$AM,14,FALSE),"")</f>
        <v>0.25900000000000001</v>
      </c>
      <c r="O525">
        <f>IFERROR(VLOOKUP($A525,koronahun!$A:$AM,15,FALSE),"")</f>
        <v>28527</v>
      </c>
      <c r="P525">
        <f>IFERROR(VLOOKUP($A525,koronahun!$A:$AM,16,FALSE),"")</f>
        <v>12504</v>
      </c>
      <c r="Q525" s="13">
        <f>IFERROR(VLOOKUP($A525,koronahun!$A:$AM,17,FALSE),"")</f>
        <v>6.4699999999999994E-2</v>
      </c>
      <c r="R525">
        <f>IFERROR(VLOOKUP($A525,koronahun!$A:$AM,18,FALSE),"")</f>
        <v>6</v>
      </c>
      <c r="S525">
        <f>IFERROR(VLOOKUP($A525,koronahun!$A:$AM,19,FALSE),"")</f>
        <v>142</v>
      </c>
      <c r="T525">
        <f>IFERROR(VLOOKUP($A525,koronahun!$A:$AM,20,FALSE),"")</f>
        <v>386</v>
      </c>
      <c r="U525">
        <f>IFERROR(VLOOKUP($A525,koronahun!$A:$AM,21,FALSE),"")</f>
        <v>30</v>
      </c>
      <c r="V525" s="13">
        <f>IFERROR(VLOOKUP($A525,koronahun!$A:$AM,22,FALSE),"")</f>
        <v>0.70112293144208038</v>
      </c>
      <c r="W525">
        <f>IFERROR(VLOOKUP($A525,koronahun!$A:$AM,23,FALSE),"")</f>
        <v>12</v>
      </c>
      <c r="X525">
        <f>IFERROR(VLOOKUP($A525,koronahun!$A:$AM,24,FALSE),"")</f>
        <v>1</v>
      </c>
      <c r="Y525" s="14">
        <f>IFERROR(VLOOKUP($A525,koronahun!$A:$AM,25,FALSE),"")</f>
        <v>3.2538143808480149E-2</v>
      </c>
      <c r="Z525" s="14">
        <f>IFERROR(VLOOKUP($A525,koronahun!$A:$AM,26,FALSE),"")</f>
        <v>7.7720207253886009E-2</v>
      </c>
      <c r="AA525" s="14">
        <f>IFERROR(VLOOKUP($A525,koronahun!$A:$AM,27,FALSE),"")</f>
        <v>1.2954487668446479</v>
      </c>
      <c r="AB525" s="14">
        <f>IFERROR(VLOOKUP($A525,koronahun!$A:$AM,28,FALSE),"")</f>
        <v>1.4899812211916927</v>
      </c>
      <c r="AC525" s="14">
        <f>IFERROR(VLOOKUP($A525,koronahun!$A:$AM,29,FALSE),"")</f>
        <v>727.85714285714289</v>
      </c>
      <c r="AD525" s="14">
        <f>IFERROR(VLOOKUP($A525,koronahun!$A:$AM,30,FALSE),"")</f>
        <v>6</v>
      </c>
      <c r="AE525" s="14">
        <f>IFERROR(VLOOKUP($A525,koronahun!$A:$AM,31,FALSE),"")</f>
        <v>10722.714285714286</v>
      </c>
      <c r="AF525" s="13">
        <f>IFERROR(VLOOKUP($A525,koronahun!$A:$AM,32,FALSE),"")</f>
        <v>6.7985714285714288E-2</v>
      </c>
      <c r="AG525">
        <f>IFERROR(VLOOKUP($A525,koronahun!$A:$AM,33,FALSE),"")</f>
        <v>0</v>
      </c>
      <c r="AH525">
        <f>IFERROR(VLOOKUP($A525,koronahun!$A:$AM,34,FALSE),"")</f>
        <v>0</v>
      </c>
      <c r="AI525">
        <f>IFERROR(VLOOKUP($A525,koronahun!$A:$AM,35,FALSE),"")</f>
        <v>0</v>
      </c>
      <c r="AJ525">
        <f>IFERROR(VLOOKUP($A525,koronahun!$A:$AM,36,FALSE),"")</f>
        <v>0</v>
      </c>
      <c r="AK525">
        <f>IFERROR(VLOOKUP($A525,koronahun!$A:$AM,37,FALSE),"")</f>
        <v>0</v>
      </c>
      <c r="AL525">
        <f>IFERROR(VLOOKUP($A525,koronahun!$A:$AM,38,FALSE),"")</f>
        <v>0</v>
      </c>
      <c r="AM525" s="14">
        <f>IFERROR(VLOOKUP($A525,koronahun!$A:$AM,39,FALSE),"")</f>
        <v>46.285714285714285</v>
      </c>
      <c r="AN525" s="11">
        <f ca="1">IFERROR(__xludf.DUMMYFUNCTION("""COMPUTED_VALUE"""),44417)</f>
        <v>44417</v>
      </c>
      <c r="AO525" s="12">
        <f ca="1">IFERROR(VLOOKUP(AN525,koronahun!A:B,2,FALSE),"")</f>
        <v>810011</v>
      </c>
      <c r="AP525" s="11">
        <f t="shared" ca="1" si="4"/>
        <v>44417</v>
      </c>
      <c r="AQ525" s="11">
        <f ca="1">IFERROR(__xludf.DUMMYFUNCTION("""COMPUTED_VALUE"""),44441)</f>
        <v>44441</v>
      </c>
      <c r="AR525" s="11">
        <v>44094</v>
      </c>
      <c r="AS525" s="11">
        <f t="shared" si="5"/>
        <v>44094</v>
      </c>
      <c r="AT525" s="11">
        <f ca="1">IFERROR(__xludf.DUMMYFUNCTION("""COMPUTED_VALUE"""),44093)</f>
        <v>44093</v>
      </c>
    </row>
    <row r="526" spans="1:46" ht="13">
      <c r="A526" s="11">
        <v>44092</v>
      </c>
      <c r="B526">
        <f>IFERROR(VLOOKUP($A526,koronahun!$A:$AM,2,FALSE),"")</f>
        <v>16111</v>
      </c>
      <c r="C526">
        <f>IFERROR(VLOOKUP($A526,koronahun!$A:$AM,3,FALSE),"")</f>
        <v>941</v>
      </c>
      <c r="D526">
        <f>IFERROR(VLOOKUP($A526,koronahun!$A:$AM,4,FALSE),"")</f>
        <v>669</v>
      </c>
      <c r="E526">
        <f>IFERROR(VLOOKUP($A526,koronahun!$A:$AM,5,FALSE),"")</f>
        <v>4240</v>
      </c>
      <c r="F526">
        <f>IFERROR(VLOOKUP($A526,koronahun!$A:$AM,6,FALSE),"")</f>
        <v>591618</v>
      </c>
      <c r="G526" s="12">
        <f>IFERROR(VLOOKUP($A526,koronahun!$A:$AM,7,FALSE),"")</f>
        <v>60369.183673469386</v>
      </c>
      <c r="H526">
        <f>IFERROR(VLOOKUP($A526,koronahun!$A:$AM,8,FALSE),"")</f>
        <v>0</v>
      </c>
      <c r="I526" s="13">
        <f>IFERROR(VLOOKUP($A526,koronahun!$A:$AM,9,FALSE),"")</f>
        <v>6.2E-2</v>
      </c>
      <c r="J526" s="13">
        <f>IFERROR(VLOOKUP($A526,koronahun!$A:$AM,10,FALSE),"")</f>
        <v>2.7199999999999998E-2</v>
      </c>
      <c r="K526" s="13">
        <f>IFERROR(VLOOKUP($A526,koronahun!$A:$AM,11,FALSE),"")</f>
        <v>0.02</v>
      </c>
      <c r="L526">
        <f>IFERROR(VLOOKUP($A526,koronahun!$A:$AM,12,FALSE),"")</f>
        <v>11202</v>
      </c>
      <c r="M526" s="13">
        <f>IFERROR(VLOOKUP($A526,koronahun!$A:$AM,13,FALSE),"")</f>
        <v>4.1500000000000002E-2</v>
      </c>
      <c r="N526" s="13">
        <f>IFERROR(VLOOKUP($A526,koronahun!$A:$AM,14,FALSE),"")</f>
        <v>0.26319999999999999</v>
      </c>
      <c r="O526">
        <f>IFERROR(VLOOKUP($A526,koronahun!$A:$AM,15,FALSE),"")</f>
        <v>27866</v>
      </c>
      <c r="P526">
        <f>IFERROR(VLOOKUP($A526,koronahun!$A:$AM,16,FALSE),"")</f>
        <v>11546</v>
      </c>
      <c r="Q526" s="13">
        <f>IFERROR(VLOOKUP($A526,koronahun!$A:$AM,17,FALSE),"")</f>
        <v>8.1500000000000003E-2</v>
      </c>
      <c r="R526">
        <f>IFERROR(VLOOKUP($A526,koronahun!$A:$AM,18,FALSE),"")</f>
        <v>6</v>
      </c>
      <c r="S526">
        <f>IFERROR(VLOOKUP($A526,koronahun!$A:$AM,19,FALSE),"")</f>
        <v>13</v>
      </c>
      <c r="T526">
        <f>IFERROR(VLOOKUP($A526,koronahun!$A:$AM,20,FALSE),"")</f>
        <v>374</v>
      </c>
      <c r="U526">
        <f>IFERROR(VLOOKUP($A526,koronahun!$A:$AM,21,FALSE),"")</f>
        <v>29</v>
      </c>
      <c r="V526" s="13">
        <f>IFERROR(VLOOKUP($A526,koronahun!$A:$AM,22,FALSE),"")</f>
        <v>0.69530134690584078</v>
      </c>
      <c r="W526">
        <f>IFERROR(VLOOKUP($A526,koronahun!$A:$AM,23,FALSE),"")</f>
        <v>46</v>
      </c>
      <c r="X526">
        <f>IFERROR(VLOOKUP($A526,koronahun!$A:$AM,24,FALSE),"")</f>
        <v>8</v>
      </c>
      <c r="Y526" s="14">
        <f>IFERROR(VLOOKUP($A526,koronahun!$A:$AM,25,FALSE),"")</f>
        <v>3.3386895197286201E-2</v>
      </c>
      <c r="Z526" s="14">
        <f>IFERROR(VLOOKUP($A526,koronahun!$A:$AM,26,FALSE),"")</f>
        <v>7.7540106951871662E-2</v>
      </c>
      <c r="AA526" s="14">
        <f>IFERROR(VLOOKUP($A526,koronahun!$A:$AM,27,FALSE),"")</f>
        <v>1.4749078537000284</v>
      </c>
      <c r="AB526" s="14">
        <f>IFERROR(VLOOKUP($A526,koronahun!$A:$AM,28,FALSE),"")</f>
        <v>1.5576643643897099</v>
      </c>
      <c r="AC526" s="14">
        <f>IFERROR(VLOOKUP($A526,koronahun!$A:$AM,29,FALSE),"")</f>
        <v>743.14285714285711</v>
      </c>
      <c r="AD526" s="14">
        <f>IFERROR(VLOOKUP($A526,koronahun!$A:$AM,30,FALSE),"")</f>
        <v>5.4285714285714288</v>
      </c>
      <c r="AE526" s="14">
        <f>IFERROR(VLOOKUP($A526,koronahun!$A:$AM,31,FALSE),"")</f>
        <v>10628</v>
      </c>
      <c r="AF526" s="13">
        <f>IFERROR(VLOOKUP($A526,koronahun!$A:$AM,32,FALSE),"")</f>
        <v>6.9800000000000001E-2</v>
      </c>
      <c r="AG526">
        <f>IFERROR(VLOOKUP($A526,koronahun!$A:$AM,33,FALSE),"")</f>
        <v>0</v>
      </c>
      <c r="AH526">
        <f>IFERROR(VLOOKUP($A526,koronahun!$A:$AM,34,FALSE),"")</f>
        <v>0</v>
      </c>
      <c r="AI526">
        <f>IFERROR(VLOOKUP($A526,koronahun!$A:$AM,35,FALSE),"")</f>
        <v>0</v>
      </c>
      <c r="AJ526">
        <f>IFERROR(VLOOKUP($A526,koronahun!$A:$AM,36,FALSE),"")</f>
        <v>0</v>
      </c>
      <c r="AK526">
        <f>IFERROR(VLOOKUP($A526,koronahun!$A:$AM,37,FALSE),"")</f>
        <v>0</v>
      </c>
      <c r="AL526">
        <f>IFERROR(VLOOKUP($A526,koronahun!$A:$AM,38,FALSE),"")</f>
        <v>0</v>
      </c>
      <c r="AM526" s="14">
        <f>IFERROR(VLOOKUP($A526,koronahun!$A:$AM,39,FALSE),"")</f>
        <v>32.285714285714285</v>
      </c>
      <c r="AN526" s="11">
        <f ca="1">IFERROR(__xludf.DUMMYFUNCTION("""COMPUTED_VALUE"""),44418)</f>
        <v>44418</v>
      </c>
      <c r="AO526" s="12">
        <f ca="1">IFERROR(VLOOKUP(AN526,koronahun!A:B,2,FALSE),"")</f>
        <v>810046</v>
      </c>
      <c r="AP526" s="11">
        <f t="shared" ca="1" si="4"/>
        <v>44418</v>
      </c>
      <c r="AQ526" s="11">
        <f ca="1">IFERROR(__xludf.DUMMYFUNCTION("""COMPUTED_VALUE"""),44442)</f>
        <v>44442</v>
      </c>
      <c r="AR526" s="11">
        <v>44093</v>
      </c>
      <c r="AS526" s="11">
        <f t="shared" si="5"/>
        <v>44093</v>
      </c>
      <c r="AT526" s="11">
        <f ca="1">IFERROR(__xludf.DUMMYFUNCTION("""COMPUTED_VALUE"""),44092)</f>
        <v>44092</v>
      </c>
    </row>
    <row r="527" spans="1:46" ht="13">
      <c r="A527" s="11">
        <v>44091</v>
      </c>
      <c r="B527">
        <f>IFERROR(VLOOKUP($A527,koronahun!$A:$AM,2,FALSE),"")</f>
        <v>15170</v>
      </c>
      <c r="C527">
        <f>IFERROR(VLOOKUP($A527,koronahun!$A:$AM,3,FALSE),"")</f>
        <v>710</v>
      </c>
      <c r="D527">
        <f>IFERROR(VLOOKUP($A527,koronahun!$A:$AM,4,FALSE),"")</f>
        <v>663</v>
      </c>
      <c r="E527">
        <f>IFERROR(VLOOKUP($A527,koronahun!$A:$AM,5,FALSE),"")</f>
        <v>4227</v>
      </c>
      <c r="F527">
        <f>IFERROR(VLOOKUP($A527,koronahun!$A:$AM,6,FALSE),"")</f>
        <v>580072</v>
      </c>
      <c r="G527" s="12">
        <f>IFERROR(VLOOKUP($A527,koronahun!$A:$AM,7,FALSE),"")</f>
        <v>59191.020408163262</v>
      </c>
      <c r="H527">
        <f>IFERROR(VLOOKUP($A527,koronahun!$A:$AM,8,FALSE),"")</f>
        <v>0</v>
      </c>
      <c r="I527" s="13">
        <f>IFERROR(VLOOKUP($A527,koronahun!$A:$AM,9,FALSE),"")</f>
        <v>4.9099999999999998E-2</v>
      </c>
      <c r="J527" s="13">
        <f>IFERROR(VLOOKUP($A527,koronahun!$A:$AM,10,FALSE),"")</f>
        <v>2.6200000000000001E-2</v>
      </c>
      <c r="K527" s="13">
        <f>IFERROR(VLOOKUP($A527,koronahun!$A:$AM,11,FALSE),"")</f>
        <v>2.1000000000000001E-2</v>
      </c>
      <c r="L527">
        <f>IFERROR(VLOOKUP($A527,koronahun!$A:$AM,12,FALSE),"")</f>
        <v>10280</v>
      </c>
      <c r="M527" s="13">
        <f>IFERROR(VLOOKUP($A527,koronahun!$A:$AM,13,FALSE),"")</f>
        <v>4.3700000000000003E-2</v>
      </c>
      <c r="N527" s="13">
        <f>IFERROR(VLOOKUP($A527,koronahun!$A:$AM,14,FALSE),"")</f>
        <v>0.27860000000000001</v>
      </c>
      <c r="O527">
        <f>IFERROR(VLOOKUP($A527,koronahun!$A:$AM,15,FALSE),"")</f>
        <v>28920</v>
      </c>
      <c r="P527">
        <f>IFERROR(VLOOKUP($A527,koronahun!$A:$AM,16,FALSE),"")</f>
        <v>12381</v>
      </c>
      <c r="Q527" s="13">
        <f>IFERROR(VLOOKUP($A527,koronahun!$A:$AM,17,FALSE),"")</f>
        <v>5.7299999999999997E-2</v>
      </c>
      <c r="R527">
        <f>IFERROR(VLOOKUP($A527,koronahun!$A:$AM,18,FALSE),"")</f>
        <v>9</v>
      </c>
      <c r="S527">
        <f>IFERROR(VLOOKUP($A527,koronahun!$A:$AM,19,FALSE),"")</f>
        <v>74</v>
      </c>
      <c r="T527">
        <f>IFERROR(VLOOKUP($A527,koronahun!$A:$AM,20,FALSE),"")</f>
        <v>328</v>
      </c>
      <c r="U527">
        <f>IFERROR(VLOOKUP($A527,koronahun!$A:$AM,21,FALSE),"")</f>
        <v>21</v>
      </c>
      <c r="V527" s="13">
        <f>IFERROR(VLOOKUP($A527,koronahun!$A:$AM,22,FALSE),"")</f>
        <v>0.67765326301911666</v>
      </c>
      <c r="W527">
        <f>IFERROR(VLOOKUP($A527,koronahun!$A:$AM,23,FALSE),"")</f>
        <v>4</v>
      </c>
      <c r="X527">
        <f>IFERROR(VLOOKUP($A527,koronahun!$A:$AM,24,FALSE),"")</f>
        <v>3</v>
      </c>
      <c r="Y527" s="14">
        <f>IFERROR(VLOOKUP($A527,koronahun!$A:$AM,25,FALSE),"")</f>
        <v>3.1906614785992216E-2</v>
      </c>
      <c r="Z527" s="14">
        <f>IFERROR(VLOOKUP($A527,koronahun!$A:$AM,26,FALSE),"")</f>
        <v>6.402439024390244E-2</v>
      </c>
      <c r="AA527" s="14">
        <f>IFERROR(VLOOKUP($A527,koronahun!$A:$AM,27,FALSE),"")</f>
        <v>1.5235618115055078</v>
      </c>
      <c r="AB527" s="14">
        <f>IFERROR(VLOOKUP($A527,koronahun!$A:$AM,28,FALSE),"")</f>
        <v>1.6162615550232324</v>
      </c>
      <c r="AC527" s="14">
        <f>IFERROR(VLOOKUP($A527,koronahun!$A:$AM,29,FALSE),"")</f>
        <v>711.28571428571433</v>
      </c>
      <c r="AD527" s="14">
        <f>IFERROR(VLOOKUP($A527,koronahun!$A:$AM,30,FALSE),"")</f>
        <v>4.7142857142857144</v>
      </c>
      <c r="AE527" s="14">
        <f>IFERROR(VLOOKUP($A527,koronahun!$A:$AM,31,FALSE),"")</f>
        <v>10641</v>
      </c>
      <c r="AF527" s="13">
        <f>IFERROR(VLOOKUP($A527,koronahun!$A:$AM,32,FALSE),"")</f>
        <v>6.6971428571428585E-2</v>
      </c>
      <c r="AG527">
        <f>IFERROR(VLOOKUP($A527,koronahun!$A:$AM,33,FALSE),"")</f>
        <v>0</v>
      </c>
      <c r="AH527">
        <f>IFERROR(VLOOKUP($A527,koronahun!$A:$AM,34,FALSE),"")</f>
        <v>0</v>
      </c>
      <c r="AI527">
        <f>IFERROR(VLOOKUP($A527,koronahun!$A:$AM,35,FALSE),"")</f>
        <v>0</v>
      </c>
      <c r="AJ527">
        <f>IFERROR(VLOOKUP($A527,koronahun!$A:$AM,36,FALSE),"")</f>
        <v>0</v>
      </c>
      <c r="AK527">
        <f>IFERROR(VLOOKUP($A527,koronahun!$A:$AM,37,FALSE),"")</f>
        <v>0</v>
      </c>
      <c r="AL527">
        <f>IFERROR(VLOOKUP($A527,koronahun!$A:$AM,38,FALSE),"")</f>
        <v>0</v>
      </c>
      <c r="AM527" s="14">
        <f>IFERROR(VLOOKUP($A527,koronahun!$A:$AM,39,FALSE),"")</f>
        <v>33.857142857142854</v>
      </c>
      <c r="AN527" s="11">
        <f ca="1">IFERROR(__xludf.DUMMYFUNCTION("""COMPUTED_VALUE"""),44419)</f>
        <v>44419</v>
      </c>
      <c r="AO527" s="12">
        <f ca="1">IFERROR(VLOOKUP(AN527,koronahun!A:B,2,FALSE),"")</f>
        <v>810126</v>
      </c>
      <c r="AP527" s="11">
        <f t="shared" ca="1" si="4"/>
        <v>44419</v>
      </c>
      <c r="AQ527" s="11">
        <f ca="1">IFERROR(__xludf.DUMMYFUNCTION("""COMPUTED_VALUE"""),44445)</f>
        <v>44445</v>
      </c>
      <c r="AR527" s="11">
        <v>44092</v>
      </c>
      <c r="AS527" s="11">
        <f t="shared" si="5"/>
        <v>44092</v>
      </c>
      <c r="AT527" s="11">
        <f ca="1">IFERROR(__xludf.DUMMYFUNCTION("""COMPUTED_VALUE"""),44091)</f>
        <v>44091</v>
      </c>
    </row>
    <row r="528" spans="1:46" ht="13">
      <c r="A528" s="11">
        <v>44090</v>
      </c>
      <c r="B528">
        <f>IFERROR(VLOOKUP($A528,koronahun!$A:$AM,2,FALSE),"")</f>
        <v>14460</v>
      </c>
      <c r="C528">
        <f>IFERROR(VLOOKUP($A528,koronahun!$A:$AM,3,FALSE),"")</f>
        <v>581</v>
      </c>
      <c r="D528">
        <f>IFERROR(VLOOKUP($A528,koronahun!$A:$AM,4,FALSE),"")</f>
        <v>654</v>
      </c>
      <c r="E528">
        <f>IFERROR(VLOOKUP($A528,koronahun!$A:$AM,5,FALSE),"")</f>
        <v>4153</v>
      </c>
      <c r="F528">
        <f>IFERROR(VLOOKUP($A528,koronahun!$A:$AM,6,FALSE),"")</f>
        <v>567691</v>
      </c>
      <c r="G528" s="12">
        <f>IFERROR(VLOOKUP($A528,koronahun!$A:$AM,7,FALSE),"")</f>
        <v>57927.653061224482</v>
      </c>
      <c r="H528">
        <f>IFERROR(VLOOKUP($A528,koronahun!$A:$AM,8,FALSE),"")</f>
        <v>0</v>
      </c>
      <c r="I528" s="13">
        <f>IFERROR(VLOOKUP($A528,koronahun!$A:$AM,9,FALSE),"")</f>
        <v>4.19E-2</v>
      </c>
      <c r="J528" s="13">
        <f>IFERROR(VLOOKUP($A528,koronahun!$A:$AM,10,FALSE),"")</f>
        <v>2.5499999999999998E-2</v>
      </c>
      <c r="K528" s="13">
        <f>IFERROR(VLOOKUP($A528,koronahun!$A:$AM,11,FALSE),"")</f>
        <v>1.7000000000000001E-2</v>
      </c>
      <c r="L528">
        <f>IFERROR(VLOOKUP($A528,koronahun!$A:$AM,12,FALSE),"")</f>
        <v>9653</v>
      </c>
      <c r="M528" s="13">
        <f>IFERROR(VLOOKUP($A528,koronahun!$A:$AM,13,FALSE),"")</f>
        <v>4.5199999999999997E-2</v>
      </c>
      <c r="N528" s="13">
        <f>IFERROR(VLOOKUP($A528,koronahun!$A:$AM,14,FALSE),"")</f>
        <v>0.28720000000000001</v>
      </c>
      <c r="O528">
        <f>IFERROR(VLOOKUP($A528,koronahun!$A:$AM,15,FALSE),"")</f>
        <v>29005</v>
      </c>
      <c r="P528">
        <f>IFERROR(VLOOKUP($A528,koronahun!$A:$AM,16,FALSE),"")</f>
        <v>9827</v>
      </c>
      <c r="Q528" s="13">
        <f>IFERROR(VLOOKUP($A528,koronahun!$A:$AM,17,FALSE),"")</f>
        <v>5.91E-2</v>
      </c>
      <c r="R528">
        <f>IFERROR(VLOOKUP($A528,koronahun!$A:$AM,18,FALSE),"")</f>
        <v>8</v>
      </c>
      <c r="S528">
        <f>IFERROR(VLOOKUP($A528,koronahun!$A:$AM,19,FALSE),"")</f>
        <v>23</v>
      </c>
      <c r="T528">
        <f>IFERROR(VLOOKUP($A528,koronahun!$A:$AM,20,FALSE),"")</f>
        <v>324</v>
      </c>
      <c r="U528">
        <f>IFERROR(VLOOKUP($A528,koronahun!$A:$AM,21,FALSE),"")</f>
        <v>18</v>
      </c>
      <c r="V528" s="13">
        <f>IFERROR(VLOOKUP($A528,koronahun!$A:$AM,22,FALSE),"")</f>
        <v>0.66756569847856151</v>
      </c>
      <c r="W528">
        <f>IFERROR(VLOOKUP($A528,koronahun!$A:$AM,23,FALSE),"")</f>
        <v>18</v>
      </c>
      <c r="X528">
        <f>IFERROR(VLOOKUP($A528,koronahun!$A:$AM,24,FALSE),"")</f>
        <v>1</v>
      </c>
      <c r="Y528" s="14">
        <f>IFERROR(VLOOKUP($A528,koronahun!$A:$AM,25,FALSE),"")</f>
        <v>3.3564694913498394E-2</v>
      </c>
      <c r="Z528" s="14">
        <f>IFERROR(VLOOKUP($A528,koronahun!$A:$AM,26,FALSE),"")</f>
        <v>5.5555555555555552E-2</v>
      </c>
      <c r="AA528" s="14">
        <f>IFERROR(VLOOKUP($A528,koronahun!$A:$AM,27,FALSE),"")</f>
        <v>1.5341092790171356</v>
      </c>
      <c r="AB528" s="14">
        <f>IFERROR(VLOOKUP($A528,koronahun!$A:$AM,28,FALSE),"")</f>
        <v>1.7009784835054211</v>
      </c>
      <c r="AC528" s="14">
        <f>IFERROR(VLOOKUP($A528,koronahun!$A:$AM,29,FALSE),"")</f>
        <v>677.85714285714289</v>
      </c>
      <c r="AD528" s="14">
        <f>IFERROR(VLOOKUP($A528,koronahun!$A:$AM,30,FALSE),"")</f>
        <v>3.7142857142857144</v>
      </c>
      <c r="AE528" s="14">
        <f>IFERROR(VLOOKUP($A528,koronahun!$A:$AM,31,FALSE),"")</f>
        <v>10315.714285714286</v>
      </c>
      <c r="AF528" s="13">
        <f>IFERROR(VLOOKUP($A528,koronahun!$A:$AM,32,FALSE),"")</f>
        <v>6.5514285714285705E-2</v>
      </c>
      <c r="AG528">
        <f>IFERROR(VLOOKUP($A528,koronahun!$A:$AM,33,FALSE),"")</f>
        <v>0</v>
      </c>
      <c r="AH528">
        <f>IFERROR(VLOOKUP($A528,koronahun!$A:$AM,34,FALSE),"")</f>
        <v>0</v>
      </c>
      <c r="AI528">
        <f>IFERROR(VLOOKUP($A528,koronahun!$A:$AM,35,FALSE),"")</f>
        <v>0</v>
      </c>
      <c r="AJ528">
        <f>IFERROR(VLOOKUP($A528,koronahun!$A:$AM,36,FALSE),"")</f>
        <v>0</v>
      </c>
      <c r="AK528">
        <f>IFERROR(VLOOKUP($A528,koronahun!$A:$AM,37,FALSE),"")</f>
        <v>0</v>
      </c>
      <c r="AL528">
        <f>IFERROR(VLOOKUP($A528,koronahun!$A:$AM,38,FALSE),"")</f>
        <v>0</v>
      </c>
      <c r="AM528" s="14">
        <f>IFERROR(VLOOKUP($A528,koronahun!$A:$AM,39,FALSE),"")</f>
        <v>24.142857142857142</v>
      </c>
      <c r="AN528" s="11">
        <f ca="1">IFERROR(__xludf.DUMMYFUNCTION("""COMPUTED_VALUE"""),44420)</f>
        <v>44420</v>
      </c>
      <c r="AO528" s="12">
        <f ca="1">IFERROR(VLOOKUP(AN528,koronahun!A:B,2,FALSE),"")</f>
        <v>810212</v>
      </c>
      <c r="AP528" s="11">
        <f t="shared" ca="1" si="4"/>
        <v>44420</v>
      </c>
      <c r="AQ528" s="11">
        <f ca="1">IFERROR(__xludf.DUMMYFUNCTION("""COMPUTED_VALUE"""),44446)</f>
        <v>44446</v>
      </c>
      <c r="AR528" s="11">
        <v>44091</v>
      </c>
      <c r="AS528" s="11">
        <f t="shared" si="5"/>
        <v>44091</v>
      </c>
      <c r="AT528" s="11">
        <f ca="1">IFERROR(__xludf.DUMMYFUNCTION("""COMPUTED_VALUE"""),44090)</f>
        <v>44090</v>
      </c>
    </row>
    <row r="529" spans="1:46" ht="13">
      <c r="A529" s="11">
        <v>44089</v>
      </c>
      <c r="B529">
        <f>IFERROR(VLOOKUP($A529,koronahun!$A:$AM,2,FALSE),"")</f>
        <v>13879</v>
      </c>
      <c r="C529">
        <f>IFERROR(VLOOKUP($A529,koronahun!$A:$AM,3,FALSE),"")</f>
        <v>726</v>
      </c>
      <c r="D529">
        <f>IFERROR(VLOOKUP($A529,koronahun!$A:$AM,4,FALSE),"")</f>
        <v>646</v>
      </c>
      <c r="E529">
        <f>IFERROR(VLOOKUP($A529,koronahun!$A:$AM,5,FALSE),"")</f>
        <v>4130</v>
      </c>
      <c r="F529">
        <f>IFERROR(VLOOKUP($A529,koronahun!$A:$AM,6,FALSE),"")</f>
        <v>557864</v>
      </c>
      <c r="G529" s="12">
        <f>IFERROR(VLOOKUP($A529,koronahun!$A:$AM,7,FALSE),"")</f>
        <v>56924.897959183669</v>
      </c>
      <c r="H529">
        <f>IFERROR(VLOOKUP($A529,koronahun!$A:$AM,8,FALSE),"")</f>
        <v>0</v>
      </c>
      <c r="I529" s="13">
        <f>IFERROR(VLOOKUP($A529,koronahun!$A:$AM,9,FALSE),"")</f>
        <v>5.5199999999999999E-2</v>
      </c>
      <c r="J529" s="13">
        <f>IFERROR(VLOOKUP($A529,koronahun!$A:$AM,10,FALSE),"")</f>
        <v>2.4899999999999999E-2</v>
      </c>
      <c r="K529" s="13">
        <f>IFERROR(VLOOKUP($A529,koronahun!$A:$AM,11,FALSE),"")</f>
        <v>1.6E-2</v>
      </c>
      <c r="L529">
        <f>IFERROR(VLOOKUP($A529,koronahun!$A:$AM,12,FALSE),"")</f>
        <v>9103</v>
      </c>
      <c r="M529" s="13">
        <f>IFERROR(VLOOKUP($A529,koronahun!$A:$AM,13,FALSE),"")</f>
        <v>4.65E-2</v>
      </c>
      <c r="N529" s="13">
        <f>IFERROR(VLOOKUP($A529,koronahun!$A:$AM,14,FALSE),"")</f>
        <v>0.29759999999999998</v>
      </c>
      <c r="O529">
        <f>IFERROR(VLOOKUP($A529,koronahun!$A:$AM,15,FALSE),"")</f>
        <v>28584</v>
      </c>
      <c r="P529">
        <f>IFERROR(VLOOKUP($A529,koronahun!$A:$AM,16,FALSE),"")</f>
        <v>8653</v>
      </c>
      <c r="Q529" s="13">
        <f>IFERROR(VLOOKUP($A529,koronahun!$A:$AM,17,FALSE),"")</f>
        <v>8.3900000000000002E-2</v>
      </c>
      <c r="R529">
        <f>IFERROR(VLOOKUP($A529,koronahun!$A:$AM,18,FALSE),"")</f>
        <v>4</v>
      </c>
      <c r="S529">
        <f>IFERROR(VLOOKUP($A529,koronahun!$A:$AM,19,FALSE),"")</f>
        <v>13</v>
      </c>
      <c r="T529">
        <f>IFERROR(VLOOKUP($A529,koronahun!$A:$AM,20,FALSE),"")</f>
        <v>306</v>
      </c>
      <c r="U529">
        <f>IFERROR(VLOOKUP($A529,koronahun!$A:$AM,21,FALSE),"")</f>
        <v>17</v>
      </c>
      <c r="V529" s="13">
        <f>IFERROR(VLOOKUP($A529,koronahun!$A:$AM,22,FALSE),"")</f>
        <v>0.65588298868794581</v>
      </c>
      <c r="W529">
        <f>IFERROR(VLOOKUP($A529,koronahun!$A:$AM,23,FALSE),"")</f>
        <v>19</v>
      </c>
      <c r="X529">
        <f>IFERROR(VLOOKUP($A529,koronahun!$A:$AM,24,FALSE),"")</f>
        <v>1</v>
      </c>
      <c r="Y529" s="14">
        <f>IFERROR(VLOOKUP($A529,koronahun!$A:$AM,25,FALSE),"")</f>
        <v>3.3615291662089423E-2</v>
      </c>
      <c r="Z529" s="14">
        <f>IFERROR(VLOOKUP($A529,koronahun!$A:$AM,26,FALSE),"")</f>
        <v>5.5555555555555552E-2</v>
      </c>
      <c r="AA529" s="14">
        <f>IFERROR(VLOOKUP($A529,koronahun!$A:$AM,27,FALSE),"")</f>
        <v>1.5014768624876929</v>
      </c>
      <c r="AB529" s="14">
        <f>IFERROR(VLOOKUP($A529,koronahun!$A:$AM,28,FALSE),"")</f>
        <v>1.8130472585954982</v>
      </c>
      <c r="AC529" s="14">
        <f>IFERROR(VLOOKUP($A529,koronahun!$A:$AM,29,FALSE),"")</f>
        <v>653.57142857142856</v>
      </c>
      <c r="AD529" s="14">
        <f>IFERROR(VLOOKUP($A529,koronahun!$A:$AM,30,FALSE),"")</f>
        <v>2.8571428571428572</v>
      </c>
      <c r="AE529" s="14">
        <f>IFERROR(VLOOKUP($A529,koronahun!$A:$AM,31,FALSE),"")</f>
        <v>10102.571428571429</v>
      </c>
      <c r="AF529" s="13">
        <f>IFERROR(VLOOKUP($A529,koronahun!$A:$AM,32,FALSE),"")</f>
        <v>6.4114285714285707E-2</v>
      </c>
      <c r="AG529">
        <f>IFERROR(VLOOKUP($A529,koronahun!$A:$AM,33,FALSE),"")</f>
        <v>0</v>
      </c>
      <c r="AH529">
        <f>IFERROR(VLOOKUP($A529,koronahun!$A:$AM,34,FALSE),"")</f>
        <v>0</v>
      </c>
      <c r="AI529">
        <f>IFERROR(VLOOKUP($A529,koronahun!$A:$AM,35,FALSE),"")</f>
        <v>0</v>
      </c>
      <c r="AJ529">
        <f>IFERROR(VLOOKUP($A529,koronahun!$A:$AM,36,FALSE),"")</f>
        <v>0</v>
      </c>
      <c r="AK529">
        <f>IFERROR(VLOOKUP($A529,koronahun!$A:$AM,37,FALSE),"")</f>
        <v>0</v>
      </c>
      <c r="AL529">
        <f>IFERROR(VLOOKUP($A529,koronahun!$A:$AM,38,FALSE),"")</f>
        <v>0</v>
      </c>
      <c r="AM529" s="14">
        <f>IFERROR(VLOOKUP($A529,koronahun!$A:$AM,39,FALSE),"")</f>
        <v>22.571428571428573</v>
      </c>
      <c r="AN529" s="11">
        <f ca="1">IFERROR(__xludf.DUMMYFUNCTION("""COMPUTED_VALUE"""),44421)</f>
        <v>44421</v>
      </c>
      <c r="AO529" s="12">
        <f ca="1">IFERROR(VLOOKUP(AN529,koronahun!A:B,2,FALSE),"")</f>
        <v>810316</v>
      </c>
      <c r="AP529" s="11">
        <f t="shared" ca="1" si="4"/>
        <v>44421</v>
      </c>
      <c r="AQ529" s="11">
        <f ca="1">IFERROR(__xludf.DUMMYFUNCTION("""COMPUTED_VALUE"""),44447)</f>
        <v>44447</v>
      </c>
      <c r="AR529" s="11">
        <v>44090</v>
      </c>
      <c r="AS529" s="11">
        <f t="shared" si="5"/>
        <v>44090</v>
      </c>
      <c r="AT529" s="11">
        <f ca="1">IFERROR(__xludf.DUMMYFUNCTION("""COMPUTED_VALUE"""),44089)</f>
        <v>44089</v>
      </c>
    </row>
    <row r="530" spans="1:46" ht="13">
      <c r="A530" s="11">
        <v>44088</v>
      </c>
      <c r="B530">
        <f>IFERROR(VLOOKUP($A530,koronahun!$A:$AM,2,FALSE),"")</f>
        <v>13153</v>
      </c>
      <c r="C530">
        <f>IFERROR(VLOOKUP($A530,koronahun!$A:$AM,3,FALSE),"")</f>
        <v>844</v>
      </c>
      <c r="D530">
        <f>IFERROR(VLOOKUP($A530,koronahun!$A:$AM,4,FALSE),"")</f>
        <v>642</v>
      </c>
      <c r="E530">
        <f>IFERROR(VLOOKUP($A530,koronahun!$A:$AM,5,FALSE),"")</f>
        <v>4117</v>
      </c>
      <c r="F530">
        <f>IFERROR(VLOOKUP($A530,koronahun!$A:$AM,6,FALSE),"")</f>
        <v>549211</v>
      </c>
      <c r="G530" s="12">
        <f>IFERROR(VLOOKUP($A530,koronahun!$A:$AM,7,FALSE),"")</f>
        <v>56041.9387755102</v>
      </c>
      <c r="H530">
        <f>IFERROR(VLOOKUP($A530,koronahun!$A:$AM,8,FALSE),"")</f>
        <v>0</v>
      </c>
      <c r="I530" s="13">
        <f>IFERROR(VLOOKUP($A530,koronahun!$A:$AM,9,FALSE),"")</f>
        <v>6.8599999999999994E-2</v>
      </c>
      <c r="J530" s="13">
        <f>IFERROR(VLOOKUP($A530,koronahun!$A:$AM,10,FALSE),"")</f>
        <v>2.3900000000000001E-2</v>
      </c>
      <c r="K530" s="13">
        <f>IFERROR(VLOOKUP($A530,koronahun!$A:$AM,11,FALSE),"")</f>
        <v>2.1000000000000001E-2</v>
      </c>
      <c r="L530">
        <f>IFERROR(VLOOKUP($A530,koronahun!$A:$AM,12,FALSE),"")</f>
        <v>8394</v>
      </c>
      <c r="M530" s="13">
        <f>IFERROR(VLOOKUP($A530,koronahun!$A:$AM,13,FALSE),"")</f>
        <v>4.8800000000000003E-2</v>
      </c>
      <c r="N530" s="13">
        <f>IFERROR(VLOOKUP($A530,koronahun!$A:$AM,14,FALSE),"")</f>
        <v>0.313</v>
      </c>
      <c r="O530">
        <f>IFERROR(VLOOKUP($A530,koronahun!$A:$AM,15,FALSE),"")</f>
        <v>26668</v>
      </c>
      <c r="P530">
        <f>IFERROR(VLOOKUP($A530,koronahun!$A:$AM,16,FALSE),"")</f>
        <v>11314</v>
      </c>
      <c r="Q530" s="13">
        <f>IFERROR(VLOOKUP($A530,koronahun!$A:$AM,17,FALSE),"")</f>
        <v>7.46E-2</v>
      </c>
      <c r="R530">
        <f>IFERROR(VLOOKUP($A530,koronahun!$A:$AM,18,FALSE),"")</f>
        <v>5</v>
      </c>
      <c r="S530">
        <f>IFERROR(VLOOKUP($A530,koronahun!$A:$AM,19,FALSE),"")</f>
        <v>48</v>
      </c>
      <c r="T530">
        <f>IFERROR(VLOOKUP($A530,koronahun!$A:$AM,20,FALSE),"")</f>
        <v>287</v>
      </c>
      <c r="U530">
        <f>IFERROR(VLOOKUP($A530,koronahun!$A:$AM,21,FALSE),"")</f>
        <v>16</v>
      </c>
      <c r="V530" s="13">
        <f>IFERROR(VLOOKUP($A530,koronahun!$A:$AM,22,FALSE),"")</f>
        <v>0.63818140348209529</v>
      </c>
      <c r="W530">
        <f>IFERROR(VLOOKUP($A530,koronahun!$A:$AM,23,FALSE),"")</f>
        <v>5</v>
      </c>
      <c r="X530">
        <f>IFERROR(VLOOKUP($A530,koronahun!$A:$AM,24,FALSE),"")</f>
        <v>0</v>
      </c>
      <c r="Y530" s="14">
        <f>IFERROR(VLOOKUP($A530,koronahun!$A:$AM,25,FALSE),"")</f>
        <v>3.4191088873004524E-2</v>
      </c>
      <c r="Z530" s="14">
        <f>IFERROR(VLOOKUP($A530,koronahun!$A:$AM,26,FALSE),"")</f>
        <v>5.5749128919860627E-2</v>
      </c>
      <c r="AA530" s="14">
        <f>IFERROR(VLOOKUP($A530,koronahun!$A:$AM,27,FALSE),"")</f>
        <v>1.4837110481586402</v>
      </c>
      <c r="AB530" s="14">
        <f>IFERROR(VLOOKUP($A530,koronahun!$A:$AM,28,FALSE),"")</f>
        <v>2.016291172673895</v>
      </c>
      <c r="AC530" s="14">
        <f>IFERROR(VLOOKUP($A530,koronahun!$A:$AM,29,FALSE),"")</f>
        <v>598.57142857142856</v>
      </c>
      <c r="AD530" s="14">
        <f>IFERROR(VLOOKUP($A530,koronahun!$A:$AM,30,FALSE),"")</f>
        <v>2.4285714285714284</v>
      </c>
      <c r="AE530" s="14">
        <f>IFERROR(VLOOKUP($A530,koronahun!$A:$AM,31,FALSE),"")</f>
        <v>9683.8571428571431</v>
      </c>
      <c r="AF530" s="13">
        <f>IFERROR(VLOOKUP($A530,koronahun!$A:$AM,32,FALSE),"")</f>
        <v>6.0642857142857151E-2</v>
      </c>
      <c r="AG530">
        <f>IFERROR(VLOOKUP($A530,koronahun!$A:$AM,33,FALSE),"")</f>
        <v>0</v>
      </c>
      <c r="AH530">
        <f>IFERROR(VLOOKUP($A530,koronahun!$A:$AM,34,FALSE),"")</f>
        <v>0</v>
      </c>
      <c r="AI530">
        <f>IFERROR(VLOOKUP($A530,koronahun!$A:$AM,35,FALSE),"")</f>
        <v>0</v>
      </c>
      <c r="AJ530">
        <f>IFERROR(VLOOKUP($A530,koronahun!$A:$AM,36,FALSE),"")</f>
        <v>0</v>
      </c>
      <c r="AK530">
        <f>IFERROR(VLOOKUP($A530,koronahun!$A:$AM,37,FALSE),"")</f>
        <v>0</v>
      </c>
      <c r="AL530">
        <f>IFERROR(VLOOKUP($A530,koronahun!$A:$AM,38,FALSE),"")</f>
        <v>0</v>
      </c>
      <c r="AM530" s="14">
        <f>IFERROR(VLOOKUP($A530,koronahun!$A:$AM,39,FALSE),"")</f>
        <v>22.285714285714285</v>
      </c>
      <c r="AN530" s="11">
        <f ca="1">IFERROR(__xludf.DUMMYFUNCTION("""COMPUTED_VALUE"""),44422)</f>
        <v>44422</v>
      </c>
      <c r="AO530" s="12">
        <f ca="1">IFERROR(VLOOKUP(AN530,koronahun!A:B,2,FALSE),"")</f>
        <v>0</v>
      </c>
      <c r="AP530" s="11">
        <f t="shared" ca="1" si="4"/>
        <v>44422</v>
      </c>
      <c r="AQ530" s="11">
        <f ca="1">IFERROR(__xludf.DUMMYFUNCTION("""COMPUTED_VALUE"""),44448)</f>
        <v>44448</v>
      </c>
      <c r="AR530" s="11">
        <v>44089</v>
      </c>
      <c r="AS530" s="11">
        <f t="shared" si="5"/>
        <v>44089</v>
      </c>
      <c r="AT530" s="11">
        <f ca="1">IFERROR(__xludf.DUMMYFUNCTION("""COMPUTED_VALUE"""),44088)</f>
        <v>44088</v>
      </c>
    </row>
    <row r="531" spans="1:46" ht="13">
      <c r="A531" s="11">
        <v>44087</v>
      </c>
      <c r="B531">
        <f>IFERROR(VLOOKUP($A531,koronahun!$A:$AM,2,FALSE),"")</f>
        <v>12309</v>
      </c>
      <c r="C531">
        <f>IFERROR(VLOOKUP($A531,koronahun!$A:$AM,3,FALSE),"")</f>
        <v>484</v>
      </c>
      <c r="D531">
        <f>IFERROR(VLOOKUP($A531,koronahun!$A:$AM,4,FALSE),"")</f>
        <v>637</v>
      </c>
      <c r="E531">
        <f>IFERROR(VLOOKUP($A531,koronahun!$A:$AM,5,FALSE),"")</f>
        <v>4069</v>
      </c>
      <c r="F531">
        <f>IFERROR(VLOOKUP($A531,koronahun!$A:$AM,6,FALSE),"")</f>
        <v>537897</v>
      </c>
      <c r="G531" s="12">
        <f>IFERROR(VLOOKUP($A531,koronahun!$A:$AM,7,FALSE),"")</f>
        <v>54887.448979591834</v>
      </c>
      <c r="H531">
        <f>IFERROR(VLOOKUP($A531,koronahun!$A:$AM,8,FALSE),"")</f>
        <v>0</v>
      </c>
      <c r="I531" s="13">
        <f>IFERROR(VLOOKUP($A531,koronahun!$A:$AM,9,FALSE),"")</f>
        <v>4.0899999999999999E-2</v>
      </c>
      <c r="J531" s="13">
        <f>IFERROR(VLOOKUP($A531,koronahun!$A:$AM,10,FALSE),"")</f>
        <v>2.29E-2</v>
      </c>
      <c r="K531" s="13">
        <f>IFERROR(VLOOKUP($A531,koronahun!$A:$AM,11,FALSE),"")</f>
        <v>1.6E-2</v>
      </c>
      <c r="L531">
        <f>IFERROR(VLOOKUP($A531,koronahun!$A:$AM,12,FALSE),"")</f>
        <v>7603</v>
      </c>
      <c r="M531" s="13">
        <f>IFERROR(VLOOKUP($A531,koronahun!$A:$AM,13,FALSE),"")</f>
        <v>5.1799999999999999E-2</v>
      </c>
      <c r="N531" s="13">
        <f>IFERROR(VLOOKUP($A531,koronahun!$A:$AM,14,FALSE),"")</f>
        <v>0.3306</v>
      </c>
      <c r="O531">
        <f>IFERROR(VLOOKUP($A531,koronahun!$A:$AM,15,FALSE),"")</f>
        <v>26531</v>
      </c>
      <c r="P531">
        <f>IFERROR(VLOOKUP($A531,koronahun!$A:$AM,16,FALSE),"")</f>
        <v>8834</v>
      </c>
      <c r="Q531" s="13">
        <f>IFERROR(VLOOKUP($A531,koronahun!$A:$AM,17,FALSE),"")</f>
        <v>5.4800000000000001E-2</v>
      </c>
      <c r="R531">
        <f>IFERROR(VLOOKUP($A531,koronahun!$A:$AM,18,FALSE),"")</f>
        <v>4</v>
      </c>
      <c r="S531">
        <f>IFERROR(VLOOKUP($A531,koronahun!$A:$AM,19,FALSE),"")</f>
        <v>11</v>
      </c>
      <c r="T531">
        <f>IFERROR(VLOOKUP($A531,koronahun!$A:$AM,20,FALSE),"")</f>
        <v>282</v>
      </c>
      <c r="U531">
        <f>IFERROR(VLOOKUP($A531,koronahun!$A:$AM,21,FALSE),"")</f>
        <v>16</v>
      </c>
      <c r="V531" s="13">
        <f>IFERROR(VLOOKUP($A531,koronahun!$A:$AM,22,FALSE),"")</f>
        <v>0.61767812169956937</v>
      </c>
      <c r="W531">
        <f>IFERROR(VLOOKUP($A531,koronahun!$A:$AM,23,FALSE),"")</f>
        <v>0</v>
      </c>
      <c r="X531">
        <f>IFERROR(VLOOKUP($A531,koronahun!$A:$AM,24,FALSE),"")</f>
        <v>1</v>
      </c>
      <c r="Y531" s="14">
        <f>IFERROR(VLOOKUP($A531,koronahun!$A:$AM,25,FALSE),"")</f>
        <v>3.7090622122846244E-2</v>
      </c>
      <c r="Z531" s="14">
        <f>IFERROR(VLOOKUP($A531,koronahun!$A:$AM,26,FALSE),"")</f>
        <v>5.6737588652482268E-2</v>
      </c>
      <c r="AA531" s="14">
        <f>IFERROR(VLOOKUP($A531,koronahun!$A:$AM,27,FALSE),"")</f>
        <v>1.6166529266281946</v>
      </c>
      <c r="AB531" s="14">
        <f>IFERROR(VLOOKUP($A531,koronahun!$A:$AM,28,FALSE),"")</f>
        <v>2.2298900163064461</v>
      </c>
      <c r="AC531" s="14">
        <f>IFERROR(VLOOKUP($A531,koronahun!$A:$AM,29,FALSE),"")</f>
        <v>560.28571428571433</v>
      </c>
      <c r="AD531" s="14">
        <f>IFERROR(VLOOKUP($A531,koronahun!$A:$AM,30,FALSE),"")</f>
        <v>1.8571428571428572</v>
      </c>
      <c r="AE531" s="14">
        <f>IFERROR(VLOOKUP($A531,koronahun!$A:$AM,31,FALSE),"")</f>
        <v>9699.5714285714294</v>
      </c>
      <c r="AF531" s="13">
        <f>IFERROR(VLOOKUP($A531,koronahun!$A:$AM,32,FALSE),"")</f>
        <v>5.7185714285714291E-2</v>
      </c>
      <c r="AG531">
        <f>IFERROR(VLOOKUP($A531,koronahun!$A:$AM,33,FALSE),"")</f>
        <v>0</v>
      </c>
      <c r="AH531">
        <f>IFERROR(VLOOKUP($A531,koronahun!$A:$AM,34,FALSE),"")</f>
        <v>0</v>
      </c>
      <c r="AI531">
        <f>IFERROR(VLOOKUP($A531,koronahun!$A:$AM,35,FALSE),"")</f>
        <v>0</v>
      </c>
      <c r="AJ531">
        <f>IFERROR(VLOOKUP($A531,koronahun!$A:$AM,36,FALSE),"")</f>
        <v>0</v>
      </c>
      <c r="AK531">
        <f>IFERROR(VLOOKUP($A531,koronahun!$A:$AM,37,FALSE),"")</f>
        <v>0</v>
      </c>
      <c r="AL531">
        <f>IFERROR(VLOOKUP($A531,koronahun!$A:$AM,38,FALSE),"")</f>
        <v>0</v>
      </c>
      <c r="AM531" s="14">
        <f>IFERROR(VLOOKUP($A531,koronahun!$A:$AM,39,FALSE),"")</f>
        <v>15.857142857142858</v>
      </c>
      <c r="AN531" s="11">
        <f ca="1">IFERROR(__xludf.DUMMYFUNCTION("""COMPUTED_VALUE"""),44423)</f>
        <v>44423</v>
      </c>
      <c r="AO531" s="12">
        <f ca="1">IFERROR(VLOOKUP(AN531,koronahun!A:B,2,FALSE),"")</f>
        <v>0</v>
      </c>
      <c r="AP531" s="11">
        <f t="shared" ca="1" si="4"/>
        <v>44423</v>
      </c>
      <c r="AQ531" s="11">
        <f ca="1">IFERROR(__xludf.DUMMYFUNCTION("""COMPUTED_VALUE"""),44449)</f>
        <v>44449</v>
      </c>
      <c r="AR531" s="11">
        <v>44088</v>
      </c>
      <c r="AS531" s="11">
        <f t="shared" si="5"/>
        <v>44088</v>
      </c>
      <c r="AT531" s="11">
        <f ca="1">IFERROR(__xludf.DUMMYFUNCTION("""COMPUTED_VALUE"""),44087)</f>
        <v>44087</v>
      </c>
    </row>
    <row r="532" spans="1:46" ht="13">
      <c r="A532" s="11">
        <v>44086</v>
      </c>
      <c r="B532">
        <f>IFERROR(VLOOKUP($A532,koronahun!$A:$AM,2,FALSE),"")</f>
        <v>11825</v>
      </c>
      <c r="C532">
        <f>IFERROR(VLOOKUP($A532,koronahun!$A:$AM,3,FALSE),"")</f>
        <v>916</v>
      </c>
      <c r="D532">
        <f>IFERROR(VLOOKUP($A532,koronahun!$A:$AM,4,FALSE),"")</f>
        <v>633</v>
      </c>
      <c r="E532">
        <f>IFERROR(VLOOKUP($A532,koronahun!$A:$AM,5,FALSE),"")</f>
        <v>4058</v>
      </c>
      <c r="F532">
        <f>IFERROR(VLOOKUP($A532,koronahun!$A:$AM,6,FALSE),"")</f>
        <v>529063</v>
      </c>
      <c r="G532" s="12">
        <f>IFERROR(VLOOKUP($A532,koronahun!$A:$AM,7,FALSE),"")</f>
        <v>53986.020408163262</v>
      </c>
      <c r="H532">
        <f>IFERROR(VLOOKUP($A532,koronahun!$A:$AM,8,FALSE),"")</f>
        <v>0</v>
      </c>
      <c r="I532" s="13">
        <f>IFERROR(VLOOKUP($A532,koronahun!$A:$AM,9,FALSE),"")</f>
        <v>8.4000000000000005E-2</v>
      </c>
      <c r="J532" s="13">
        <f>IFERROR(VLOOKUP($A532,koronahun!$A:$AM,10,FALSE),"")</f>
        <v>2.24E-2</v>
      </c>
      <c r="K532" s="13">
        <f>IFERROR(VLOOKUP($A532,koronahun!$A:$AM,11,FALSE),"")</f>
        <v>2.1999999999999999E-2</v>
      </c>
      <c r="L532">
        <f>IFERROR(VLOOKUP($A532,koronahun!$A:$AM,12,FALSE),"")</f>
        <v>7134</v>
      </c>
      <c r="M532" s="13">
        <f>IFERROR(VLOOKUP($A532,koronahun!$A:$AM,13,FALSE),"")</f>
        <v>5.3499999999999999E-2</v>
      </c>
      <c r="N532" s="13">
        <f>IFERROR(VLOOKUP($A532,koronahun!$A:$AM,14,FALSE),"")</f>
        <v>0.34320000000000001</v>
      </c>
      <c r="O532">
        <f>IFERROR(VLOOKUP($A532,koronahun!$A:$AM,15,FALSE),"")</f>
        <v>25569</v>
      </c>
      <c r="P532">
        <f>IFERROR(VLOOKUP($A532,koronahun!$A:$AM,16,FALSE),"")</f>
        <v>11841</v>
      </c>
      <c r="Q532" s="13">
        <f>IFERROR(VLOOKUP($A532,koronahun!$A:$AM,17,FALSE),"")</f>
        <v>7.7399999999999997E-2</v>
      </c>
      <c r="R532">
        <f>IFERROR(VLOOKUP($A532,koronahun!$A:$AM,18,FALSE),"")</f>
        <v>2</v>
      </c>
      <c r="S532">
        <f>IFERROR(VLOOKUP($A532,koronahun!$A:$AM,19,FALSE),"")</f>
        <v>44</v>
      </c>
      <c r="T532">
        <f>IFERROR(VLOOKUP($A532,koronahun!$A:$AM,20,FALSE),"")</f>
        <v>282</v>
      </c>
      <c r="U532">
        <f>IFERROR(VLOOKUP($A532,koronahun!$A:$AM,21,FALSE),"")</f>
        <v>15</v>
      </c>
      <c r="V532" s="13">
        <f>IFERROR(VLOOKUP($A532,koronahun!$A:$AM,22,FALSE),"")</f>
        <v>0.60329809725158567</v>
      </c>
      <c r="W532">
        <f>IFERROR(VLOOKUP($A532,koronahun!$A:$AM,23,FALSE),"")</f>
        <v>23</v>
      </c>
      <c r="X532">
        <f>IFERROR(VLOOKUP($A532,koronahun!$A:$AM,24,FALSE),"")</f>
        <v>3</v>
      </c>
      <c r="Y532" s="14">
        <f>IFERROR(VLOOKUP($A532,koronahun!$A:$AM,25,FALSE),"")</f>
        <v>3.9529015979814973E-2</v>
      </c>
      <c r="Z532" s="14">
        <f>IFERROR(VLOOKUP($A532,koronahun!$A:$AM,26,FALSE),"")</f>
        <v>5.3191489361702128E-2</v>
      </c>
      <c r="AA532" s="14">
        <f>IFERROR(VLOOKUP($A532,koronahun!$A:$AM,27,FALSE),"")</f>
        <v>1.7692307692307692</v>
      </c>
      <c r="AB532" s="14">
        <f>IFERROR(VLOOKUP($A532,koronahun!$A:$AM,28,FALSE),"")</f>
        <v>2.4289289636899407</v>
      </c>
      <c r="AC532" s="14">
        <f>IFERROR(VLOOKUP($A532,koronahun!$A:$AM,29,FALSE),"")</f>
        <v>561.85714285714289</v>
      </c>
      <c r="AD532" s="14">
        <f>IFERROR(VLOOKUP($A532,koronahun!$A:$AM,30,FALSE),"")</f>
        <v>1.2857142857142858</v>
      </c>
      <c r="AE532" s="14">
        <f>IFERROR(VLOOKUP($A532,koronahun!$A:$AM,31,FALSE),"")</f>
        <v>9832.5714285714294</v>
      </c>
      <c r="AF532" s="13">
        <f>IFERROR(VLOOKUP($A532,koronahun!$A:$AM,32,FALSE),"")</f>
        <v>5.6599999999999998E-2</v>
      </c>
      <c r="AG532">
        <f>IFERROR(VLOOKUP($A532,koronahun!$A:$AM,33,FALSE),"")</f>
        <v>0</v>
      </c>
      <c r="AH532">
        <f>IFERROR(VLOOKUP($A532,koronahun!$A:$AM,34,FALSE),"")</f>
        <v>0</v>
      </c>
      <c r="AI532">
        <f>IFERROR(VLOOKUP($A532,koronahun!$A:$AM,35,FALSE),"")</f>
        <v>0</v>
      </c>
      <c r="AJ532">
        <f>IFERROR(VLOOKUP($A532,koronahun!$A:$AM,36,FALSE),"")</f>
        <v>0</v>
      </c>
      <c r="AK532">
        <f>IFERROR(VLOOKUP($A532,koronahun!$A:$AM,37,FALSE),"")</f>
        <v>0</v>
      </c>
      <c r="AL532">
        <f>IFERROR(VLOOKUP($A532,koronahun!$A:$AM,38,FALSE),"")</f>
        <v>0</v>
      </c>
      <c r="AM532" s="14">
        <f>IFERROR(VLOOKUP($A532,koronahun!$A:$AM,39,FALSE),"")</f>
        <v>15.142857142857142</v>
      </c>
      <c r="AN532" s="11">
        <f ca="1">IFERROR(__xludf.DUMMYFUNCTION("""COMPUTED_VALUE"""),44424)</f>
        <v>44424</v>
      </c>
      <c r="AO532" s="12">
        <f ca="1">IFERROR(VLOOKUP(AN532,koronahun!A:B,2,FALSE),"")</f>
        <v>810504</v>
      </c>
      <c r="AP532" s="11">
        <f t="shared" ca="1" si="4"/>
        <v>44424</v>
      </c>
      <c r="AQ532" s="11">
        <f ca="1">IFERROR(__xludf.DUMMYFUNCTION("""COMPUTED_VALUE"""),44452)</f>
        <v>44452</v>
      </c>
      <c r="AR532" s="11">
        <v>44087</v>
      </c>
      <c r="AS532" s="11">
        <f t="shared" si="5"/>
        <v>44087</v>
      </c>
      <c r="AT532" s="11">
        <f ca="1">IFERROR(__xludf.DUMMYFUNCTION("""COMPUTED_VALUE"""),44086)</f>
        <v>44086</v>
      </c>
    </row>
    <row r="533" spans="1:46" ht="13">
      <c r="A533" s="11">
        <v>44085</v>
      </c>
      <c r="B533">
        <f>IFERROR(VLOOKUP($A533,koronahun!$A:$AM,2,FALSE),"")</f>
        <v>10909</v>
      </c>
      <c r="C533">
        <f>IFERROR(VLOOKUP($A533,koronahun!$A:$AM,3,FALSE),"")</f>
        <v>718</v>
      </c>
      <c r="D533">
        <f>IFERROR(VLOOKUP($A533,koronahun!$A:$AM,4,FALSE),"")</f>
        <v>631</v>
      </c>
      <c r="E533">
        <f>IFERROR(VLOOKUP($A533,koronahun!$A:$AM,5,FALSE),"")</f>
        <v>4014</v>
      </c>
      <c r="F533">
        <f>IFERROR(VLOOKUP($A533,koronahun!$A:$AM,6,FALSE),"")</f>
        <v>517222</v>
      </c>
      <c r="G533" s="12">
        <f>IFERROR(VLOOKUP($A533,koronahun!$A:$AM,7,FALSE),"")</f>
        <v>52777.755102040814</v>
      </c>
      <c r="H533">
        <f>IFERROR(VLOOKUP($A533,koronahun!$A:$AM,8,FALSE),"")</f>
        <v>0</v>
      </c>
      <c r="I533" s="13">
        <f>IFERROR(VLOOKUP($A533,koronahun!$A:$AM,9,FALSE),"")</f>
        <v>7.0499999999999993E-2</v>
      </c>
      <c r="J533" s="13">
        <f>IFERROR(VLOOKUP($A533,koronahun!$A:$AM,10,FALSE),"")</f>
        <v>2.1100000000000001E-2</v>
      </c>
      <c r="K533" s="13">
        <f>IFERROR(VLOOKUP($A533,koronahun!$A:$AM,11,FALSE),"")</f>
        <v>2.1999999999999999E-2</v>
      </c>
      <c r="L533">
        <f>IFERROR(VLOOKUP($A533,koronahun!$A:$AM,12,FALSE),"")</f>
        <v>6264</v>
      </c>
      <c r="M533" s="13">
        <f>IFERROR(VLOOKUP($A533,koronahun!$A:$AM,13,FALSE),"")</f>
        <v>5.7799999999999997E-2</v>
      </c>
      <c r="N533" s="13">
        <f>IFERROR(VLOOKUP($A533,koronahun!$A:$AM,14,FALSE),"")</f>
        <v>0.36799999999999999</v>
      </c>
      <c r="O533">
        <f>IFERROR(VLOOKUP($A533,koronahun!$A:$AM,15,FALSE),"")</f>
        <v>25117</v>
      </c>
      <c r="P533">
        <f>IFERROR(VLOOKUP($A533,koronahun!$A:$AM,16,FALSE),"")</f>
        <v>11637</v>
      </c>
      <c r="Q533" s="13">
        <f>IFERROR(VLOOKUP($A533,koronahun!$A:$AM,17,FALSE),"")</f>
        <v>6.1699999999999998E-2</v>
      </c>
      <c r="R533">
        <f>IFERROR(VLOOKUP($A533,koronahun!$A:$AM,18,FALSE),"")</f>
        <v>1</v>
      </c>
      <c r="S533">
        <f>IFERROR(VLOOKUP($A533,koronahun!$A:$AM,19,FALSE),"")</f>
        <v>24</v>
      </c>
      <c r="T533">
        <f>IFERROR(VLOOKUP($A533,koronahun!$A:$AM,20,FALSE),"")</f>
        <v>259</v>
      </c>
      <c r="U533">
        <f>IFERROR(VLOOKUP($A533,koronahun!$A:$AM,21,FALSE),"")</f>
        <v>12</v>
      </c>
      <c r="V533" s="13">
        <f>IFERROR(VLOOKUP($A533,koronahun!$A:$AM,22,FALSE),"")</f>
        <v>0.57420478503987538</v>
      </c>
      <c r="W533">
        <f>IFERROR(VLOOKUP($A533,koronahun!$A:$AM,23,FALSE),"")</f>
        <v>25</v>
      </c>
      <c r="X533">
        <f>IFERROR(VLOOKUP($A533,koronahun!$A:$AM,24,FALSE),"")</f>
        <v>1</v>
      </c>
      <c r="Y533" s="14">
        <f>IFERROR(VLOOKUP($A533,koronahun!$A:$AM,25,FALSE),"")</f>
        <v>4.1347381864623244E-2</v>
      </c>
      <c r="Z533" s="14">
        <f>IFERROR(VLOOKUP($A533,koronahun!$A:$AM,26,FALSE),"")</f>
        <v>4.633204633204633E-2</v>
      </c>
      <c r="AA533" s="14">
        <f>IFERROR(VLOOKUP($A533,koronahun!$A:$AM,27,FALSE),"")</f>
        <v>1.8850881881346873</v>
      </c>
      <c r="AB533" s="14">
        <f>IFERROR(VLOOKUP($A533,koronahun!$A:$AM,28,FALSE),"")</f>
        <v>2.7686657194714721</v>
      </c>
      <c r="AC533" s="14">
        <f>IFERROR(VLOOKUP($A533,koronahun!$A:$AM,29,FALSE),"")</f>
        <v>503.85714285714283</v>
      </c>
      <c r="AD533" s="14">
        <f>IFERROR(VLOOKUP($A533,koronahun!$A:$AM,30,FALSE),"")</f>
        <v>1.4285714285714286</v>
      </c>
      <c r="AE533" s="14">
        <f>IFERROR(VLOOKUP($A533,koronahun!$A:$AM,31,FALSE),"")</f>
        <v>9297.7142857142862</v>
      </c>
      <c r="AF533" s="13">
        <f>IFERROR(VLOOKUP($A533,koronahun!$A:$AM,32,FALSE),"")</f>
        <v>5.454285714285715E-2</v>
      </c>
      <c r="AG533">
        <f>IFERROR(VLOOKUP($A533,koronahun!$A:$AM,33,FALSE),"")</f>
        <v>0</v>
      </c>
      <c r="AH533">
        <f>IFERROR(VLOOKUP($A533,koronahun!$A:$AM,34,FALSE),"")</f>
        <v>0</v>
      </c>
      <c r="AI533">
        <f>IFERROR(VLOOKUP($A533,koronahun!$A:$AM,35,FALSE),"")</f>
        <v>0</v>
      </c>
      <c r="AJ533">
        <f>IFERROR(VLOOKUP($A533,koronahun!$A:$AM,36,FALSE),"")</f>
        <v>0</v>
      </c>
      <c r="AK533">
        <f>IFERROR(VLOOKUP($A533,koronahun!$A:$AM,37,FALSE),"")</f>
        <v>0</v>
      </c>
      <c r="AL533">
        <f>IFERROR(VLOOKUP($A533,koronahun!$A:$AM,38,FALSE),"")</f>
        <v>0</v>
      </c>
      <c r="AM533" s="14">
        <f>IFERROR(VLOOKUP($A533,koronahun!$A:$AM,39,FALSE),"")</f>
        <v>10</v>
      </c>
      <c r="AN533" s="11">
        <f ca="1">IFERROR(__xludf.DUMMYFUNCTION("""COMPUTED_VALUE"""),44425)</f>
        <v>44425</v>
      </c>
      <c r="AO533" s="12">
        <f ca="1">IFERROR(VLOOKUP(AN533,koronahun!A:B,2,FALSE),"")</f>
        <v>810549</v>
      </c>
      <c r="AP533" s="11">
        <f t="shared" ca="1" si="4"/>
        <v>44425</v>
      </c>
      <c r="AQ533" s="11">
        <f ca="1">IFERROR(__xludf.DUMMYFUNCTION("""COMPUTED_VALUE"""),44453)</f>
        <v>44453</v>
      </c>
      <c r="AR533" s="11">
        <v>44086</v>
      </c>
      <c r="AS533" s="11">
        <f t="shared" si="5"/>
        <v>44086</v>
      </c>
      <c r="AT533" s="11">
        <f ca="1">IFERROR(__xludf.DUMMYFUNCTION("""COMPUTED_VALUE"""),44085)</f>
        <v>44085</v>
      </c>
    </row>
    <row r="534" spans="1:46" ht="13">
      <c r="A534" s="11">
        <v>44084</v>
      </c>
      <c r="B534">
        <f>IFERROR(VLOOKUP($A534,koronahun!$A:$AM,2,FALSE),"")</f>
        <v>10191</v>
      </c>
      <c r="C534">
        <f>IFERROR(VLOOKUP($A534,koronahun!$A:$AM,3,FALSE),"")</f>
        <v>476</v>
      </c>
      <c r="D534">
        <f>IFERROR(VLOOKUP($A534,koronahun!$A:$AM,4,FALSE),"")</f>
        <v>630</v>
      </c>
      <c r="E534">
        <f>IFERROR(VLOOKUP($A534,koronahun!$A:$AM,5,FALSE),"")</f>
        <v>3990</v>
      </c>
      <c r="F534">
        <f>IFERROR(VLOOKUP($A534,koronahun!$A:$AM,6,FALSE),"")</f>
        <v>505585</v>
      </c>
      <c r="G534" s="12">
        <f>IFERROR(VLOOKUP($A534,koronahun!$A:$AM,7,FALSE),"")</f>
        <v>51590.306122448979</v>
      </c>
      <c r="H534">
        <f>IFERROR(VLOOKUP($A534,koronahun!$A:$AM,8,FALSE),"")</f>
        <v>0</v>
      </c>
      <c r="I534" s="13">
        <f>IFERROR(VLOOKUP($A534,koronahun!$A:$AM,9,FALSE),"")</f>
        <v>4.9000000000000002E-2</v>
      </c>
      <c r="J534" s="13">
        <f>IFERROR(VLOOKUP($A534,koronahun!$A:$AM,10,FALSE),"")</f>
        <v>2.0199999999999999E-2</v>
      </c>
      <c r="K534" s="13">
        <f>IFERROR(VLOOKUP($A534,koronahun!$A:$AM,11,FALSE),"")</f>
        <v>0.02</v>
      </c>
      <c r="L534">
        <f>IFERROR(VLOOKUP($A534,koronahun!$A:$AM,12,FALSE),"")</f>
        <v>5571</v>
      </c>
      <c r="M534" s="13">
        <f>IFERROR(VLOOKUP($A534,koronahun!$A:$AM,13,FALSE),"")</f>
        <v>6.1800000000000001E-2</v>
      </c>
      <c r="N534" s="13">
        <f>IFERROR(VLOOKUP($A534,koronahun!$A:$AM,14,FALSE),"")</f>
        <v>0.39150000000000001</v>
      </c>
      <c r="O534">
        <f>IFERROR(VLOOKUP($A534,koronahun!$A:$AM,15,FALSE),"")</f>
        <v>25043</v>
      </c>
      <c r="P534">
        <f>IFERROR(VLOOKUP($A534,koronahun!$A:$AM,16,FALSE),"")</f>
        <v>10104</v>
      </c>
      <c r="Q534" s="13">
        <f>IFERROR(VLOOKUP($A534,koronahun!$A:$AM,17,FALSE),"")</f>
        <v>4.7100000000000003E-2</v>
      </c>
      <c r="R534">
        <f>IFERROR(VLOOKUP($A534,koronahun!$A:$AM,18,FALSE),"")</f>
        <v>2</v>
      </c>
      <c r="S534">
        <f>IFERROR(VLOOKUP($A534,koronahun!$A:$AM,19,FALSE),"")</f>
        <v>6</v>
      </c>
      <c r="T534">
        <f>IFERROR(VLOOKUP($A534,koronahun!$A:$AM,20,FALSE),"")</f>
        <v>234</v>
      </c>
      <c r="U534">
        <f>IFERROR(VLOOKUP($A534,koronahun!$A:$AM,21,FALSE),"")</f>
        <v>11</v>
      </c>
      <c r="V534" s="13">
        <f>IFERROR(VLOOKUP($A534,koronahun!$A:$AM,22,FALSE),"")</f>
        <v>0.54665881660288485</v>
      </c>
      <c r="W534">
        <f>IFERROR(VLOOKUP($A534,koronahun!$A:$AM,23,FALSE),"")</f>
        <v>13</v>
      </c>
      <c r="X534">
        <f>IFERROR(VLOOKUP($A534,koronahun!$A:$AM,24,FALSE),"")</f>
        <v>-2</v>
      </c>
      <c r="Y534" s="14">
        <f>IFERROR(VLOOKUP($A534,koronahun!$A:$AM,25,FALSE),"")</f>
        <v>4.2003231017770599E-2</v>
      </c>
      <c r="Z534" s="14">
        <f>IFERROR(VLOOKUP($A534,koronahun!$A:$AM,26,FALSE),"")</f>
        <v>4.7008547008547008E-2</v>
      </c>
      <c r="AA534" s="14">
        <f>IFERROR(VLOOKUP($A534,koronahun!$A:$AM,27,FALSE),"")</f>
        <v>2.116580310880829</v>
      </c>
      <c r="AB534" s="14">
        <f>IFERROR(VLOOKUP($A534,koronahun!$A:$AM,28,FALSE),"")</f>
        <v>3.1465483131416119</v>
      </c>
      <c r="AC534" s="14">
        <f>IFERROR(VLOOKUP($A534,koronahun!$A:$AM,29,FALSE),"")</f>
        <v>466.85714285714283</v>
      </c>
      <c r="AD534" s="14">
        <f>IFERROR(VLOOKUP($A534,koronahun!$A:$AM,30,FALSE),"")</f>
        <v>1.4285714285714286</v>
      </c>
      <c r="AE534" s="14">
        <f>IFERROR(VLOOKUP($A534,koronahun!$A:$AM,31,FALSE),"")</f>
        <v>8648.2857142857138</v>
      </c>
      <c r="AF534" s="13">
        <f>IFERROR(VLOOKUP($A534,koronahun!$A:$AM,32,FALSE),"")</f>
        <v>5.4971428571428574E-2</v>
      </c>
      <c r="AG534">
        <f>IFERROR(VLOOKUP($A534,koronahun!$A:$AM,33,FALSE),"")</f>
        <v>0</v>
      </c>
      <c r="AH534">
        <f>IFERROR(VLOOKUP($A534,koronahun!$A:$AM,34,FALSE),"")</f>
        <v>0</v>
      </c>
      <c r="AI534">
        <f>IFERROR(VLOOKUP($A534,koronahun!$A:$AM,35,FALSE),"")</f>
        <v>0</v>
      </c>
      <c r="AJ534">
        <f>IFERROR(VLOOKUP($A534,koronahun!$A:$AM,36,FALSE),"")</f>
        <v>0</v>
      </c>
      <c r="AK534">
        <f>IFERROR(VLOOKUP($A534,koronahun!$A:$AM,37,FALSE),"")</f>
        <v>0</v>
      </c>
      <c r="AL534">
        <f>IFERROR(VLOOKUP($A534,koronahun!$A:$AM,38,FALSE),"")</f>
        <v>0</v>
      </c>
      <c r="AM534" s="14">
        <f>IFERROR(VLOOKUP($A534,koronahun!$A:$AM,39,FALSE),"")</f>
        <v>8.5714285714285712</v>
      </c>
      <c r="AN534" s="11">
        <f ca="1">IFERROR(__xludf.DUMMYFUNCTION("""COMPUTED_VALUE"""),44426)</f>
        <v>44426</v>
      </c>
      <c r="AO534" s="12">
        <f ca="1">IFERROR(VLOOKUP(AN534,koronahun!A:B,2,FALSE),"")</f>
        <v>810658</v>
      </c>
      <c r="AP534" s="11">
        <f t="shared" ca="1" si="4"/>
        <v>44426</v>
      </c>
      <c r="AQ534" s="11">
        <f ca="1">IFERROR(__xludf.DUMMYFUNCTION("""COMPUTED_VALUE"""),44454)</f>
        <v>44454</v>
      </c>
      <c r="AR534" s="11">
        <v>44085</v>
      </c>
      <c r="AS534" s="11">
        <f t="shared" si="5"/>
        <v>44085</v>
      </c>
      <c r="AT534" s="11">
        <f ca="1">IFERROR(__xludf.DUMMYFUNCTION("""COMPUTED_VALUE"""),44084)</f>
        <v>44084</v>
      </c>
    </row>
    <row r="535" spans="1:46" ht="13">
      <c r="A535" s="11">
        <v>44083</v>
      </c>
      <c r="B535">
        <f>IFERROR(VLOOKUP($A535,koronahun!$A:$AM,2,FALSE),"")</f>
        <v>9715</v>
      </c>
      <c r="C535">
        <f>IFERROR(VLOOKUP($A535,koronahun!$A:$AM,3,FALSE),"")</f>
        <v>411</v>
      </c>
      <c r="D535">
        <f>IFERROR(VLOOKUP($A535,koronahun!$A:$AM,4,FALSE),"")</f>
        <v>628</v>
      </c>
      <c r="E535">
        <f>IFERROR(VLOOKUP($A535,koronahun!$A:$AM,5,FALSE),"")</f>
        <v>3984</v>
      </c>
      <c r="F535">
        <f>IFERROR(VLOOKUP($A535,koronahun!$A:$AM,6,FALSE),"")</f>
        <v>495481</v>
      </c>
      <c r="G535" s="12">
        <f>IFERROR(VLOOKUP($A535,koronahun!$A:$AM,7,FALSE),"")</f>
        <v>50559</v>
      </c>
      <c r="H535">
        <f>IFERROR(VLOOKUP($A535,koronahun!$A:$AM,8,FALSE),"")</f>
        <v>0</v>
      </c>
      <c r="I535" s="13">
        <f>IFERROR(VLOOKUP($A535,koronahun!$A:$AM,9,FALSE),"")</f>
        <v>4.4200000000000003E-2</v>
      </c>
      <c r="J535" s="13">
        <f>IFERROR(VLOOKUP($A535,koronahun!$A:$AM,10,FALSE),"")</f>
        <v>1.9599999999999999E-2</v>
      </c>
      <c r="K535" s="13">
        <f>IFERROR(VLOOKUP($A535,koronahun!$A:$AM,11,FALSE),"")</f>
        <v>1.7000000000000001E-2</v>
      </c>
      <c r="L535">
        <f>IFERROR(VLOOKUP($A535,koronahun!$A:$AM,12,FALSE),"")</f>
        <v>5103</v>
      </c>
      <c r="M535" s="13">
        <f>IFERROR(VLOOKUP($A535,koronahun!$A:$AM,13,FALSE),"")</f>
        <v>6.4600000000000005E-2</v>
      </c>
      <c r="N535" s="13">
        <f>IFERROR(VLOOKUP($A535,koronahun!$A:$AM,14,FALSE),"")</f>
        <v>0.41010000000000002</v>
      </c>
      <c r="O535">
        <f>IFERROR(VLOOKUP($A535,koronahun!$A:$AM,15,FALSE),"")</f>
        <v>23461</v>
      </c>
      <c r="P535">
        <f>IFERROR(VLOOKUP($A535,koronahun!$A:$AM,16,FALSE),"")</f>
        <v>8335</v>
      </c>
      <c r="Q535" s="13">
        <f>IFERROR(VLOOKUP($A535,koronahun!$A:$AM,17,FALSE),"")</f>
        <v>4.9299999999999997E-2</v>
      </c>
      <c r="R535">
        <f>IFERROR(VLOOKUP($A535,koronahun!$A:$AM,18,FALSE),"")</f>
        <v>2</v>
      </c>
      <c r="S535">
        <f>IFERROR(VLOOKUP($A535,koronahun!$A:$AM,19,FALSE),"")</f>
        <v>12</v>
      </c>
      <c r="T535">
        <f>IFERROR(VLOOKUP($A535,koronahun!$A:$AM,20,FALSE),"")</f>
        <v>221</v>
      </c>
      <c r="U535">
        <f>IFERROR(VLOOKUP($A535,koronahun!$A:$AM,21,FALSE),"")</f>
        <v>13</v>
      </c>
      <c r="V535" s="13">
        <f>IFERROR(VLOOKUP($A535,koronahun!$A:$AM,22,FALSE),"")</f>
        <v>0.52527020072053521</v>
      </c>
      <c r="W535">
        <f>IFERROR(VLOOKUP($A535,koronahun!$A:$AM,23,FALSE),"")</f>
        <v>29</v>
      </c>
      <c r="X535">
        <f>IFERROR(VLOOKUP($A535,koronahun!$A:$AM,24,FALSE),"")</f>
        <v>1</v>
      </c>
      <c r="Y535" s="14">
        <f>IFERROR(VLOOKUP($A535,koronahun!$A:$AM,25,FALSE),"")</f>
        <v>4.3307858122672939E-2</v>
      </c>
      <c r="Z535" s="14">
        <f>IFERROR(VLOOKUP($A535,koronahun!$A:$AM,26,FALSE),"")</f>
        <v>5.8823529411764705E-2</v>
      </c>
      <c r="AA535" s="14">
        <f>IFERROR(VLOOKUP($A535,koronahun!$A:$AM,27,FALSE),"")</f>
        <v>2.3185907046476761</v>
      </c>
      <c r="AB535" s="14">
        <f>IFERROR(VLOOKUP($A535,koronahun!$A:$AM,28,FALSE),"")</f>
        <v>3.5065563596781564</v>
      </c>
      <c r="AC535" s="14">
        <f>IFERROR(VLOOKUP($A535,koronahun!$A:$AM,29,FALSE),"")</f>
        <v>441.85714285714283</v>
      </c>
      <c r="AD535" s="14">
        <f>IFERROR(VLOOKUP($A535,koronahun!$A:$AM,30,FALSE),"")</f>
        <v>1.2857142857142858</v>
      </c>
      <c r="AE535" s="14">
        <f>IFERROR(VLOOKUP($A535,koronahun!$A:$AM,31,FALSE),"")</f>
        <v>8278.5714285714294</v>
      </c>
      <c r="AF535" s="13">
        <f>IFERROR(VLOOKUP($A535,koronahun!$A:$AM,32,FALSE),"")</f>
        <v>5.3957142857142856E-2</v>
      </c>
      <c r="AG535">
        <f>IFERROR(VLOOKUP($A535,koronahun!$A:$AM,33,FALSE),"")</f>
        <v>0</v>
      </c>
      <c r="AH535">
        <f>IFERROR(VLOOKUP($A535,koronahun!$A:$AM,34,FALSE),"")</f>
        <v>0</v>
      </c>
      <c r="AI535">
        <f>IFERROR(VLOOKUP($A535,koronahun!$A:$AM,35,FALSE),"")</f>
        <v>0</v>
      </c>
      <c r="AJ535">
        <f>IFERROR(VLOOKUP($A535,koronahun!$A:$AM,36,FALSE),"")</f>
        <v>0</v>
      </c>
      <c r="AK535">
        <f>IFERROR(VLOOKUP($A535,koronahun!$A:$AM,37,FALSE),"")</f>
        <v>0</v>
      </c>
      <c r="AL535">
        <f>IFERROR(VLOOKUP($A535,koronahun!$A:$AM,38,FALSE),"")</f>
        <v>0</v>
      </c>
      <c r="AM535" s="14">
        <f>IFERROR(VLOOKUP($A535,koronahun!$A:$AM,39,FALSE),"")</f>
        <v>11.571428571428571</v>
      </c>
      <c r="AN535" s="11">
        <f ca="1">IFERROR(__xludf.DUMMYFUNCTION("""COMPUTED_VALUE"""),44427)</f>
        <v>44427</v>
      </c>
      <c r="AO535" s="12">
        <f ca="1">IFERROR(VLOOKUP(AN535,koronahun!A:B,2,FALSE),"")</f>
        <v>810781</v>
      </c>
      <c r="AP535" s="11">
        <f t="shared" ca="1" si="4"/>
        <v>44427</v>
      </c>
      <c r="AQ535" s="11">
        <f ca="1">IFERROR(__xludf.DUMMYFUNCTION("""COMPUTED_VALUE"""),44455)</f>
        <v>44455</v>
      </c>
      <c r="AR535" s="11">
        <v>44084</v>
      </c>
      <c r="AS535" s="11">
        <f t="shared" si="5"/>
        <v>44084</v>
      </c>
      <c r="AT535" s="11">
        <f ca="1">IFERROR(__xludf.DUMMYFUNCTION("""COMPUTED_VALUE"""),44083)</f>
        <v>44083</v>
      </c>
    </row>
    <row r="536" spans="1:46" ht="13">
      <c r="A536" s="11">
        <v>44082</v>
      </c>
      <c r="B536">
        <f>IFERROR(VLOOKUP($A536,koronahun!$A:$AM,2,FALSE),"")</f>
        <v>9304</v>
      </c>
      <c r="C536">
        <f>IFERROR(VLOOKUP($A536,koronahun!$A:$AM,3,FALSE),"")</f>
        <v>341</v>
      </c>
      <c r="D536">
        <f>IFERROR(VLOOKUP($A536,koronahun!$A:$AM,4,FALSE),"")</f>
        <v>626</v>
      </c>
      <c r="E536">
        <f>IFERROR(VLOOKUP($A536,koronahun!$A:$AM,5,FALSE),"")</f>
        <v>3972</v>
      </c>
      <c r="F536">
        <f>IFERROR(VLOOKUP($A536,koronahun!$A:$AM,6,FALSE),"")</f>
        <v>487146</v>
      </c>
      <c r="G536" s="12">
        <f>IFERROR(VLOOKUP($A536,koronahun!$A:$AM,7,FALSE),"")</f>
        <v>49709</v>
      </c>
      <c r="H536">
        <f>IFERROR(VLOOKUP($A536,koronahun!$A:$AM,8,FALSE),"")</f>
        <v>0</v>
      </c>
      <c r="I536" s="13">
        <f>IFERROR(VLOOKUP($A536,koronahun!$A:$AM,9,FALSE),"")</f>
        <v>3.7999999999999999E-2</v>
      </c>
      <c r="J536" s="13">
        <f>IFERROR(VLOOKUP($A536,koronahun!$A:$AM,10,FALSE),"")</f>
        <v>1.9099999999999999E-2</v>
      </c>
      <c r="K536" s="13">
        <f>IFERROR(VLOOKUP($A536,koronahun!$A:$AM,11,FALSE),"")</f>
        <v>1.2E-2</v>
      </c>
      <c r="L536">
        <f>IFERROR(VLOOKUP($A536,koronahun!$A:$AM,12,FALSE),"")</f>
        <v>4706</v>
      </c>
      <c r="M536" s="13">
        <f>IFERROR(VLOOKUP($A536,koronahun!$A:$AM,13,FALSE),"")</f>
        <v>6.7299999999999999E-2</v>
      </c>
      <c r="N536" s="13">
        <f>IFERROR(VLOOKUP($A536,koronahun!$A:$AM,14,FALSE),"")</f>
        <v>0.4269</v>
      </c>
      <c r="O536">
        <f>IFERROR(VLOOKUP($A536,koronahun!$A:$AM,15,FALSE),"")</f>
        <v>23318</v>
      </c>
      <c r="P536">
        <f>IFERROR(VLOOKUP($A536,koronahun!$A:$AM,16,FALSE),"")</f>
        <v>5722</v>
      </c>
      <c r="Q536" s="13">
        <f>IFERROR(VLOOKUP($A536,koronahun!$A:$AM,17,FALSE),"")</f>
        <v>5.96E-2</v>
      </c>
      <c r="R536">
        <f>IFERROR(VLOOKUP($A536,koronahun!$A:$AM,18,FALSE),"")</f>
        <v>1</v>
      </c>
      <c r="S536">
        <f>IFERROR(VLOOKUP($A536,koronahun!$A:$AM,19,FALSE),"")</f>
        <v>11</v>
      </c>
      <c r="T536">
        <f>IFERROR(VLOOKUP($A536,koronahun!$A:$AM,20,FALSE),"")</f>
        <v>192</v>
      </c>
      <c r="U536">
        <f>IFERROR(VLOOKUP($A536,koronahun!$A:$AM,21,FALSE),"")</f>
        <v>12</v>
      </c>
      <c r="V536" s="13">
        <f>IFERROR(VLOOKUP($A536,koronahun!$A:$AM,22,FALSE),"")</f>
        <v>0.50580395528804811</v>
      </c>
      <c r="W536">
        <f>IFERROR(VLOOKUP($A536,koronahun!$A:$AM,23,FALSE),"")</f>
        <v>28</v>
      </c>
      <c r="X536">
        <f>IFERROR(VLOOKUP($A536,koronahun!$A:$AM,24,FALSE),"")</f>
        <v>1</v>
      </c>
      <c r="Y536" s="14">
        <f>IFERROR(VLOOKUP($A536,koronahun!$A:$AM,25,FALSE),"")</f>
        <v>4.0798980025499365E-2</v>
      </c>
      <c r="Z536" s="14">
        <f>IFERROR(VLOOKUP($A536,koronahun!$A:$AM,26,FALSE),"")</f>
        <v>6.25E-2</v>
      </c>
      <c r="AA536" s="14">
        <f>IFERROR(VLOOKUP($A536,koronahun!$A:$AM,27,FALSE),"")</f>
        <v>2.9241842610364683</v>
      </c>
      <c r="AB536" s="14">
        <f>IFERROR(VLOOKUP($A536,koronahun!$A:$AM,28,FALSE),"")</f>
        <v>3.8416627824907263</v>
      </c>
      <c r="AC536" s="14">
        <f>IFERROR(VLOOKUP($A536,koronahun!$A:$AM,29,FALSE),"")</f>
        <v>435.28571428571428</v>
      </c>
      <c r="AD536" s="14">
        <f>IFERROR(VLOOKUP($A536,koronahun!$A:$AM,30,FALSE),"")</f>
        <v>1.4285714285714286</v>
      </c>
      <c r="AE536" s="14">
        <f>IFERROR(VLOOKUP($A536,koronahun!$A:$AM,31,FALSE),"")</f>
        <v>8172</v>
      </c>
      <c r="AF536" s="13">
        <f>IFERROR(VLOOKUP($A536,koronahun!$A:$AM,32,FALSE),"")</f>
        <v>5.3785714285714284E-2</v>
      </c>
      <c r="AG536">
        <f>IFERROR(VLOOKUP($A536,koronahun!$A:$AM,33,FALSE),"")</f>
        <v>0</v>
      </c>
      <c r="AH536">
        <f>IFERROR(VLOOKUP($A536,koronahun!$A:$AM,34,FALSE),"")</f>
        <v>0</v>
      </c>
      <c r="AI536">
        <f>IFERROR(VLOOKUP($A536,koronahun!$A:$AM,35,FALSE),"")</f>
        <v>0</v>
      </c>
      <c r="AJ536">
        <f>IFERROR(VLOOKUP($A536,koronahun!$A:$AM,36,FALSE),"")</f>
        <v>0</v>
      </c>
      <c r="AK536">
        <f>IFERROR(VLOOKUP($A536,koronahun!$A:$AM,37,FALSE),"")</f>
        <v>0</v>
      </c>
      <c r="AL536">
        <f>IFERROR(VLOOKUP($A536,koronahun!$A:$AM,38,FALSE),"")</f>
        <v>0</v>
      </c>
      <c r="AM536" s="14">
        <f>IFERROR(VLOOKUP($A536,koronahun!$A:$AM,39,FALSE),"")</f>
        <v>21.571428571428573</v>
      </c>
      <c r="AN536" s="11">
        <f ca="1">IFERROR(__xludf.DUMMYFUNCTION("""COMPUTED_VALUE"""),44428)</f>
        <v>44428</v>
      </c>
      <c r="AO536" s="12">
        <f ca="1">IFERROR(VLOOKUP(AN536,koronahun!A:B,2,FALSE),"")</f>
        <v>0</v>
      </c>
      <c r="AP536" s="11">
        <f t="shared" ca="1" si="4"/>
        <v>44428</v>
      </c>
      <c r="AQ536" s="11">
        <f ca="1">IFERROR(__xludf.DUMMYFUNCTION("""COMPUTED_VALUE"""),44456)</f>
        <v>44456</v>
      </c>
      <c r="AR536" s="11">
        <v>44083</v>
      </c>
      <c r="AS536" s="11">
        <f t="shared" si="5"/>
        <v>44083</v>
      </c>
      <c r="AT536" s="11">
        <f ca="1">IFERROR(__xludf.DUMMYFUNCTION("""COMPUTED_VALUE"""),44082)</f>
        <v>44082</v>
      </c>
    </row>
    <row r="537" spans="1:46" ht="13">
      <c r="A537" s="11">
        <v>44081</v>
      </c>
      <c r="B537">
        <f>IFERROR(VLOOKUP($A537,koronahun!$A:$AM,2,FALSE),"")</f>
        <v>8963</v>
      </c>
      <c r="C537">
        <f>IFERROR(VLOOKUP($A537,koronahun!$A:$AM,3,FALSE),"")</f>
        <v>576</v>
      </c>
      <c r="D537">
        <f>IFERROR(VLOOKUP($A537,koronahun!$A:$AM,4,FALSE),"")</f>
        <v>625</v>
      </c>
      <c r="E537">
        <f>IFERROR(VLOOKUP($A537,koronahun!$A:$AM,5,FALSE),"")</f>
        <v>3961</v>
      </c>
      <c r="F537">
        <f>IFERROR(VLOOKUP($A537,koronahun!$A:$AM,6,FALSE),"")</f>
        <v>481424</v>
      </c>
      <c r="G537" s="12">
        <f>IFERROR(VLOOKUP($A537,koronahun!$A:$AM,7,FALSE),"")</f>
        <v>49125</v>
      </c>
      <c r="H537">
        <f>IFERROR(VLOOKUP($A537,koronahun!$A:$AM,8,FALSE),"")</f>
        <v>0</v>
      </c>
      <c r="I537" s="13">
        <f>IFERROR(VLOOKUP($A537,koronahun!$A:$AM,9,FALSE),"")</f>
        <v>6.8699999999999997E-2</v>
      </c>
      <c r="J537" s="13">
        <f>IFERROR(VLOOKUP($A537,koronahun!$A:$AM,10,FALSE),"")</f>
        <v>1.8599999999999998E-2</v>
      </c>
      <c r="K537" s="13">
        <f>IFERROR(VLOOKUP($A537,koronahun!$A:$AM,11,FALSE),"")</f>
        <v>2.4E-2</v>
      </c>
      <c r="L537">
        <f>IFERROR(VLOOKUP($A537,koronahun!$A:$AM,12,FALSE),"")</f>
        <v>4377</v>
      </c>
      <c r="M537" s="13">
        <f>IFERROR(VLOOKUP($A537,koronahun!$A:$AM,13,FALSE),"")</f>
        <v>6.9699999999999998E-2</v>
      </c>
      <c r="N537" s="13">
        <f>IFERROR(VLOOKUP($A537,koronahun!$A:$AM,14,FALSE),"")</f>
        <v>0.44190000000000002</v>
      </c>
      <c r="O537">
        <f>IFERROR(VLOOKUP($A537,koronahun!$A:$AM,15,FALSE),"")</f>
        <v>21756</v>
      </c>
      <c r="P537">
        <f>IFERROR(VLOOKUP($A537,koronahun!$A:$AM,16,FALSE),"")</f>
        <v>11424</v>
      </c>
      <c r="Q537" s="13">
        <f>IFERROR(VLOOKUP($A537,koronahun!$A:$AM,17,FALSE),"")</f>
        <v>5.04E-2</v>
      </c>
      <c r="R537">
        <f>IFERROR(VLOOKUP($A537,koronahun!$A:$AM,18,FALSE),"")</f>
        <v>1</v>
      </c>
      <c r="S537">
        <f>IFERROR(VLOOKUP($A537,koronahun!$A:$AM,19,FALSE),"")</f>
        <v>3</v>
      </c>
      <c r="T537">
        <f>IFERROR(VLOOKUP($A537,koronahun!$A:$AM,20,FALSE),"")</f>
        <v>164</v>
      </c>
      <c r="U537">
        <f>IFERROR(VLOOKUP($A537,koronahun!$A:$AM,21,FALSE),"")</f>
        <v>11</v>
      </c>
      <c r="V537" s="13">
        <f>IFERROR(VLOOKUP($A537,koronahun!$A:$AM,22,FALSE),"")</f>
        <v>0.48834095726877164</v>
      </c>
      <c r="W537">
        <f>IFERROR(VLOOKUP($A537,koronahun!$A:$AM,23,FALSE),"")</f>
        <v>13</v>
      </c>
      <c r="X537">
        <f>IFERROR(VLOOKUP($A537,koronahun!$A:$AM,24,FALSE),"")</f>
        <v>0</v>
      </c>
      <c r="Y537" s="14">
        <f>IFERROR(VLOOKUP($A537,koronahun!$A:$AM,25,FALSE),"")</f>
        <v>3.7468585789353435E-2</v>
      </c>
      <c r="Z537" s="14">
        <f>IFERROR(VLOOKUP($A537,koronahun!$A:$AM,26,FALSE),"")</f>
        <v>6.7073170731707321E-2</v>
      </c>
      <c r="AA537" s="14">
        <f>IFERROR(VLOOKUP($A537,koronahun!$A:$AM,27,FALSE),"")</f>
        <v>2.9789029535864979</v>
      </c>
      <c r="AB537" s="14">
        <f>IFERROR(VLOOKUP($A537,koronahun!$A:$AM,28,FALSE),"")</f>
        <v>4.0315023486983446</v>
      </c>
      <c r="AC537" s="14">
        <f>IFERROR(VLOOKUP($A537,koronahun!$A:$AM,29,FALSE),"")</f>
        <v>403.42857142857144</v>
      </c>
      <c r="AD537" s="14">
        <f>IFERROR(VLOOKUP($A537,koronahun!$A:$AM,30,FALSE),"")</f>
        <v>1.4285714285714286</v>
      </c>
      <c r="AE537" s="14">
        <f>IFERROR(VLOOKUP($A537,koronahun!$A:$AM,31,FALSE),"")</f>
        <v>7610.5714285714284</v>
      </c>
      <c r="AF537" s="13">
        <f>IFERROR(VLOOKUP($A537,koronahun!$A:$AM,32,FALSE),"")</f>
        <v>5.4671428571428579E-2</v>
      </c>
      <c r="AG537">
        <f>IFERROR(VLOOKUP($A537,koronahun!$A:$AM,33,FALSE),"")</f>
        <v>0</v>
      </c>
      <c r="AH537">
        <f>IFERROR(VLOOKUP($A537,koronahun!$A:$AM,34,FALSE),"")</f>
        <v>0</v>
      </c>
      <c r="AI537">
        <f>IFERROR(VLOOKUP($A537,koronahun!$A:$AM,35,FALSE),"")</f>
        <v>0</v>
      </c>
      <c r="AJ537">
        <f>IFERROR(VLOOKUP($A537,koronahun!$A:$AM,36,FALSE),"")</f>
        <v>0</v>
      </c>
      <c r="AK537">
        <f>IFERROR(VLOOKUP($A537,koronahun!$A:$AM,37,FALSE),"")</f>
        <v>0</v>
      </c>
      <c r="AL537">
        <f>IFERROR(VLOOKUP($A537,koronahun!$A:$AM,38,FALSE),"")</f>
        <v>0</v>
      </c>
      <c r="AM537" s="14">
        <f>IFERROR(VLOOKUP($A537,koronahun!$A:$AM,39,FALSE),"")</f>
        <v>28.571428571428573</v>
      </c>
      <c r="AN537" s="11">
        <f ca="1">IFERROR(__xludf.DUMMYFUNCTION("""COMPUTED_VALUE"""),44429)</f>
        <v>44429</v>
      </c>
      <c r="AO537" s="12">
        <f ca="1">IFERROR(VLOOKUP(AN537,koronahun!A:B,2,FALSE),"")</f>
        <v>0</v>
      </c>
      <c r="AP537" s="11">
        <f t="shared" ca="1" si="4"/>
        <v>44429</v>
      </c>
      <c r="AQ537" s="11">
        <f ca="1">IFERROR(__xludf.DUMMYFUNCTION("""COMPUTED_VALUE"""),44459)</f>
        <v>44459</v>
      </c>
      <c r="AR537" s="11">
        <v>44082</v>
      </c>
      <c r="AS537" s="11">
        <f t="shared" si="5"/>
        <v>44082</v>
      </c>
      <c r="AT537" s="11">
        <f ca="1">IFERROR(__xludf.DUMMYFUNCTION("""COMPUTED_VALUE"""),44081)</f>
        <v>44081</v>
      </c>
    </row>
    <row r="538" spans="1:46" ht="13">
      <c r="A538" s="11">
        <v>44080</v>
      </c>
      <c r="B538">
        <f>IFERROR(VLOOKUP($A538,koronahun!$A:$AM,2,FALSE),"")</f>
        <v>8387</v>
      </c>
      <c r="C538">
        <f>IFERROR(VLOOKUP($A538,koronahun!$A:$AM,3,FALSE),"")</f>
        <v>495</v>
      </c>
      <c r="D538">
        <f>IFERROR(VLOOKUP($A538,koronahun!$A:$AM,4,FALSE),"")</f>
        <v>624</v>
      </c>
      <c r="E538">
        <f>IFERROR(VLOOKUP($A538,koronahun!$A:$AM,5,FALSE),"")</f>
        <v>3958</v>
      </c>
      <c r="F538">
        <f>IFERROR(VLOOKUP($A538,koronahun!$A:$AM,6,FALSE),"")</f>
        <v>470000</v>
      </c>
      <c r="G538" s="12">
        <f>IFERROR(VLOOKUP($A538,koronahun!$A:$AM,7,FALSE),"")</f>
        <v>47959</v>
      </c>
      <c r="H538">
        <f>IFERROR(VLOOKUP($A538,koronahun!$A:$AM,8,FALSE),"")</f>
        <v>0</v>
      </c>
      <c r="I538" s="13">
        <f>IFERROR(VLOOKUP($A538,koronahun!$A:$AM,9,FALSE),"")</f>
        <v>6.2700000000000006E-2</v>
      </c>
      <c r="J538" s="13">
        <f>IFERROR(VLOOKUP($A538,koronahun!$A:$AM,10,FALSE),"")</f>
        <v>1.78E-2</v>
      </c>
      <c r="K538" s="13">
        <f>IFERROR(VLOOKUP($A538,koronahun!$A:$AM,11,FALSE),"")</f>
        <v>2.1000000000000001E-2</v>
      </c>
      <c r="L538">
        <f>IFERROR(VLOOKUP($A538,koronahun!$A:$AM,12,FALSE),"")</f>
        <v>3805</v>
      </c>
      <c r="M538" s="13">
        <f>IFERROR(VLOOKUP($A538,koronahun!$A:$AM,13,FALSE),"")</f>
        <v>7.4399999999999994E-2</v>
      </c>
      <c r="N538" s="13">
        <f>IFERROR(VLOOKUP($A538,koronahun!$A:$AM,14,FALSE),"")</f>
        <v>0.47189999999999999</v>
      </c>
      <c r="O538">
        <f>IFERROR(VLOOKUP($A538,koronahun!$A:$AM,15,FALSE),"")</f>
        <v>18480</v>
      </c>
      <c r="P538">
        <f>IFERROR(VLOOKUP($A538,koronahun!$A:$AM,16,FALSE),"")</f>
        <v>9765</v>
      </c>
      <c r="Q538" s="13">
        <f>IFERROR(VLOOKUP($A538,koronahun!$A:$AM,17,FALSE),"")</f>
        <v>5.0700000000000002E-2</v>
      </c>
      <c r="R538">
        <f>IFERROR(VLOOKUP($A538,koronahun!$A:$AM,18,FALSE),"")</f>
        <v>0</v>
      </c>
      <c r="S538">
        <f>IFERROR(VLOOKUP($A538,koronahun!$A:$AM,19,FALSE),"")</f>
        <v>6</v>
      </c>
      <c r="T538">
        <f>IFERROR(VLOOKUP($A538,koronahun!$A:$AM,20,FALSE),"")</f>
        <v>151</v>
      </c>
      <c r="U538">
        <f>IFERROR(VLOOKUP($A538,koronahun!$A:$AM,21,FALSE),"")</f>
        <v>11</v>
      </c>
      <c r="V538" s="13">
        <f>IFERROR(VLOOKUP($A538,koronahun!$A:$AM,22,FALSE),"")</f>
        <v>0.45367831167282702</v>
      </c>
      <c r="W538">
        <f>IFERROR(VLOOKUP($A538,koronahun!$A:$AM,23,FALSE),"")</f>
        <v>12</v>
      </c>
      <c r="X538">
        <f>IFERROR(VLOOKUP($A538,koronahun!$A:$AM,24,FALSE),"")</f>
        <v>2</v>
      </c>
      <c r="Y538" s="14">
        <f>IFERROR(VLOOKUP($A538,koronahun!$A:$AM,25,FALSE),"")</f>
        <v>3.9684625492772664E-2</v>
      </c>
      <c r="Z538" s="14">
        <f>IFERROR(VLOOKUP($A538,koronahun!$A:$AM,26,FALSE),"")</f>
        <v>7.2847682119205295E-2</v>
      </c>
      <c r="AA538" s="14">
        <f>IFERROR(VLOOKUP($A538,koronahun!$A:$AM,27,FALSE),"")</f>
        <v>3.0099255583126552</v>
      </c>
      <c r="AB538" s="14">
        <f>IFERROR(VLOOKUP($A538,koronahun!$A:$AM,28,FALSE),"")</f>
        <v>4.1587144632005648</v>
      </c>
      <c r="AC538" s="14">
        <f>IFERROR(VLOOKUP($A538,koronahun!$A:$AM,29,FALSE),"")</f>
        <v>346.57142857142856</v>
      </c>
      <c r="AD538" s="14">
        <f>IFERROR(VLOOKUP($A538,koronahun!$A:$AM,30,FALSE),"")</f>
        <v>1.4285714285714286</v>
      </c>
      <c r="AE538" s="14">
        <f>IFERROR(VLOOKUP($A538,koronahun!$A:$AM,31,FALSE),"")</f>
        <v>6532.8571428571431</v>
      </c>
      <c r="AF538" s="13">
        <f>IFERROR(VLOOKUP($A538,koronahun!$A:$AM,32,FALSE),"")</f>
        <v>5.4028571428571433E-2</v>
      </c>
      <c r="AG538">
        <f>IFERROR(VLOOKUP($A538,koronahun!$A:$AM,33,FALSE),"")</f>
        <v>0</v>
      </c>
      <c r="AH538">
        <f>IFERROR(VLOOKUP($A538,koronahun!$A:$AM,34,FALSE),"")</f>
        <v>0</v>
      </c>
      <c r="AI538">
        <f>IFERROR(VLOOKUP($A538,koronahun!$A:$AM,35,FALSE),"")</f>
        <v>0</v>
      </c>
      <c r="AJ538">
        <f>IFERROR(VLOOKUP($A538,koronahun!$A:$AM,36,FALSE),"")</f>
        <v>0</v>
      </c>
      <c r="AK538">
        <f>IFERROR(VLOOKUP($A538,koronahun!$A:$AM,37,FALSE),"")</f>
        <v>0</v>
      </c>
      <c r="AL538">
        <f>IFERROR(VLOOKUP($A538,koronahun!$A:$AM,38,FALSE),"")</f>
        <v>0</v>
      </c>
      <c r="AM538" s="14">
        <f>IFERROR(VLOOKUP($A538,koronahun!$A:$AM,39,FALSE),"")</f>
        <v>28.428571428571427</v>
      </c>
      <c r="AN538" s="11">
        <f ca="1">IFERROR(__xludf.DUMMYFUNCTION("""COMPUTED_VALUE"""),44430)</f>
        <v>44430</v>
      </c>
      <c r="AO538" s="12">
        <f ca="1">IFERROR(VLOOKUP(AN538,koronahun!A:B,2,FALSE),"")</f>
        <v>0</v>
      </c>
      <c r="AP538" s="11">
        <f t="shared" ca="1" si="4"/>
        <v>44430</v>
      </c>
      <c r="AQ538" s="11">
        <f ca="1">IFERROR(__xludf.DUMMYFUNCTION("""COMPUTED_VALUE"""),44460)</f>
        <v>44460</v>
      </c>
      <c r="AR538" s="11">
        <v>44081</v>
      </c>
      <c r="AS538" s="11">
        <f t="shared" si="5"/>
        <v>44081</v>
      </c>
      <c r="AT538" s="11">
        <f ca="1">IFERROR(__xludf.DUMMYFUNCTION("""COMPUTED_VALUE"""),44080)</f>
        <v>44080</v>
      </c>
    </row>
    <row r="539" spans="1:46" ht="13">
      <c r="A539" s="11">
        <v>44079</v>
      </c>
      <c r="B539">
        <f>IFERROR(VLOOKUP($A539,koronahun!$A:$AM,2,FALSE),"")</f>
        <v>7892</v>
      </c>
      <c r="C539">
        <f>IFERROR(VLOOKUP($A539,koronahun!$A:$AM,3,FALSE),"")</f>
        <v>510</v>
      </c>
      <c r="D539">
        <f>IFERROR(VLOOKUP($A539,koronahun!$A:$AM,4,FALSE),"")</f>
        <v>624</v>
      </c>
      <c r="E539">
        <f>IFERROR(VLOOKUP($A539,koronahun!$A:$AM,5,FALSE),"")</f>
        <v>3952</v>
      </c>
      <c r="F539">
        <f>IFERROR(VLOOKUP($A539,koronahun!$A:$AM,6,FALSE),"")</f>
        <v>460235</v>
      </c>
      <c r="G539" s="12">
        <f>IFERROR(VLOOKUP($A539,koronahun!$A:$AM,7,FALSE),"")</f>
        <v>46963</v>
      </c>
      <c r="H539">
        <f>IFERROR(VLOOKUP($A539,koronahun!$A:$AM,8,FALSE),"")</f>
        <v>0</v>
      </c>
      <c r="I539" s="13">
        <f>IFERROR(VLOOKUP($A539,koronahun!$A:$AM,9,FALSE),"")</f>
        <v>6.9099999999999995E-2</v>
      </c>
      <c r="J539" s="13">
        <f>IFERROR(VLOOKUP($A539,koronahun!$A:$AM,10,FALSE),"")</f>
        <v>1.7100000000000001E-2</v>
      </c>
      <c r="K539" s="13">
        <f>IFERROR(VLOOKUP($A539,koronahun!$A:$AM,11,FALSE),"")</f>
        <v>1.7999999999999999E-2</v>
      </c>
      <c r="L539">
        <f>IFERROR(VLOOKUP($A539,koronahun!$A:$AM,12,FALSE),"")</f>
        <v>3316</v>
      </c>
      <c r="M539" s="13">
        <f>IFERROR(VLOOKUP($A539,koronahun!$A:$AM,13,FALSE),"")</f>
        <v>7.9100000000000004E-2</v>
      </c>
      <c r="N539" s="13">
        <f>IFERROR(VLOOKUP($A539,koronahun!$A:$AM,14,FALSE),"")</f>
        <v>0.50080000000000002</v>
      </c>
      <c r="O539">
        <f>IFERROR(VLOOKUP($A539,koronahun!$A:$AM,15,FALSE),"")</f>
        <v>16438</v>
      </c>
      <c r="P539">
        <f>IFERROR(VLOOKUP($A539,koronahun!$A:$AM,16,FALSE),"")</f>
        <v>8097</v>
      </c>
      <c r="Q539" s="13">
        <f>IFERROR(VLOOKUP($A539,koronahun!$A:$AM,17,FALSE),"")</f>
        <v>6.3E-2</v>
      </c>
      <c r="R539">
        <f>IFERROR(VLOOKUP($A539,koronahun!$A:$AM,18,FALSE),"")</f>
        <v>3</v>
      </c>
      <c r="S539">
        <f>IFERROR(VLOOKUP($A539,koronahun!$A:$AM,19,FALSE),"")</f>
        <v>8</v>
      </c>
      <c r="T539">
        <f>IFERROR(VLOOKUP($A539,koronahun!$A:$AM,20,FALSE),"")</f>
        <v>139</v>
      </c>
      <c r="U539">
        <f>IFERROR(VLOOKUP($A539,koronahun!$A:$AM,21,FALSE),"")</f>
        <v>9</v>
      </c>
      <c r="V539" s="13">
        <f>IFERROR(VLOOKUP($A539,koronahun!$A:$AM,22,FALSE),"")</f>
        <v>0.42017232640648761</v>
      </c>
      <c r="W539">
        <f>IFERROR(VLOOKUP($A539,koronahun!$A:$AM,23,FALSE),"")</f>
        <v>19</v>
      </c>
      <c r="X539">
        <f>IFERROR(VLOOKUP($A539,koronahun!$A:$AM,24,FALSE),"")</f>
        <v>1</v>
      </c>
      <c r="Y539" s="14">
        <f>IFERROR(VLOOKUP($A539,koronahun!$A:$AM,25,FALSE),"")</f>
        <v>4.1917973462002413E-2</v>
      </c>
      <c r="Z539" s="14">
        <f>IFERROR(VLOOKUP($A539,koronahun!$A:$AM,26,FALSE),"")</f>
        <v>6.4748201438848921E-2</v>
      </c>
      <c r="AA539" s="14">
        <f>IFERROR(VLOOKUP($A539,koronahun!$A:$AM,27,FALSE),"")</f>
        <v>4.1473880597014929</v>
      </c>
      <c r="AB539" s="14">
        <f>IFERROR(VLOOKUP($A539,koronahun!$A:$AM,28,FALSE),"")</f>
        <v>4.2104943744756849</v>
      </c>
      <c r="AC539" s="14">
        <f>IFERROR(VLOOKUP($A539,koronahun!$A:$AM,29,FALSE),"")</f>
        <v>317.57142857142856</v>
      </c>
      <c r="AD539" s="14">
        <f>IFERROR(VLOOKUP($A539,koronahun!$A:$AM,30,FALSE),"")</f>
        <v>1.4285714285714286</v>
      </c>
      <c r="AE539" s="14">
        <f>IFERROR(VLOOKUP($A539,koronahun!$A:$AM,31,FALSE),"")</f>
        <v>6049.2857142857147</v>
      </c>
      <c r="AF539" s="13">
        <f>IFERROR(VLOOKUP($A539,koronahun!$A:$AM,32,FALSE),"")</f>
        <v>5.3328571428571434E-2</v>
      </c>
      <c r="AG539">
        <f>IFERROR(VLOOKUP($A539,koronahun!$A:$AM,33,FALSE),"")</f>
        <v>0</v>
      </c>
      <c r="AH539">
        <f>IFERROR(VLOOKUP($A539,koronahun!$A:$AM,34,FALSE),"")</f>
        <v>0</v>
      </c>
      <c r="AI539">
        <f>IFERROR(VLOOKUP($A539,koronahun!$A:$AM,35,FALSE),"")</f>
        <v>0</v>
      </c>
      <c r="AJ539">
        <f>IFERROR(VLOOKUP($A539,koronahun!$A:$AM,36,FALSE),"")</f>
        <v>0</v>
      </c>
      <c r="AK539">
        <f>IFERROR(VLOOKUP($A539,koronahun!$A:$AM,37,FALSE),"")</f>
        <v>0</v>
      </c>
      <c r="AL539">
        <f>IFERROR(VLOOKUP($A539,koronahun!$A:$AM,38,FALSE),"")</f>
        <v>0</v>
      </c>
      <c r="AM539" s="14">
        <f>IFERROR(VLOOKUP($A539,koronahun!$A:$AM,39,FALSE),"")</f>
        <v>27.571428571428573</v>
      </c>
      <c r="AN539" s="11">
        <f ca="1">IFERROR(__xludf.DUMMYFUNCTION("""COMPUTED_VALUE"""),44431)</f>
        <v>44431</v>
      </c>
      <c r="AO539" s="12">
        <f ca="1">IFERROR(VLOOKUP(AN539,koronahun!A:B,2,FALSE),"")</f>
        <v>811121</v>
      </c>
      <c r="AP539" s="11">
        <f t="shared" ca="1" si="4"/>
        <v>44431</v>
      </c>
      <c r="AQ539" s="11">
        <f ca="1">IFERROR(__xludf.DUMMYFUNCTION("""COMPUTED_VALUE"""),44461)</f>
        <v>44461</v>
      </c>
      <c r="AR539" s="11">
        <v>44080</v>
      </c>
      <c r="AS539" s="11">
        <f t="shared" si="5"/>
        <v>44080</v>
      </c>
      <c r="AT539" s="11">
        <f ca="1">IFERROR(__xludf.DUMMYFUNCTION("""COMPUTED_VALUE"""),44079)</f>
        <v>44079</v>
      </c>
    </row>
    <row r="540" spans="1:46" ht="13">
      <c r="A540" s="11">
        <v>44078</v>
      </c>
      <c r="B540">
        <f>IFERROR(VLOOKUP($A540,koronahun!$A:$AM,2,FALSE),"")</f>
        <v>7382</v>
      </c>
      <c r="C540">
        <f>IFERROR(VLOOKUP($A540,koronahun!$A:$AM,3,FALSE),"")</f>
        <v>459</v>
      </c>
      <c r="D540">
        <f>IFERROR(VLOOKUP($A540,koronahun!$A:$AM,4,FALSE),"")</f>
        <v>621</v>
      </c>
      <c r="E540">
        <f>IFERROR(VLOOKUP($A540,koronahun!$A:$AM,5,FALSE),"")</f>
        <v>3944</v>
      </c>
      <c r="F540">
        <f>IFERROR(VLOOKUP($A540,koronahun!$A:$AM,6,FALSE),"")</f>
        <v>452138</v>
      </c>
      <c r="G540" s="12">
        <f>IFERROR(VLOOKUP($A540,koronahun!$A:$AM,7,FALSE),"")</f>
        <v>46137</v>
      </c>
      <c r="H540">
        <f>IFERROR(VLOOKUP($A540,koronahun!$A:$AM,8,FALSE),"")</f>
        <v>0</v>
      </c>
      <c r="I540" s="13">
        <f>IFERROR(VLOOKUP($A540,koronahun!$A:$AM,9,FALSE),"")</f>
        <v>6.6299999999999998E-2</v>
      </c>
      <c r="J540" s="13">
        <f>IFERROR(VLOOKUP($A540,koronahun!$A:$AM,10,FALSE),"")</f>
        <v>1.6299999999999999E-2</v>
      </c>
      <c r="K540" s="13">
        <f>IFERROR(VLOOKUP($A540,koronahun!$A:$AM,11,FALSE),"")</f>
        <v>1.6E-2</v>
      </c>
      <c r="L540">
        <f>IFERROR(VLOOKUP($A540,koronahun!$A:$AM,12,FALSE),"")</f>
        <v>2817</v>
      </c>
      <c r="M540" s="13">
        <f>IFERROR(VLOOKUP($A540,koronahun!$A:$AM,13,FALSE),"")</f>
        <v>8.4099999999999994E-2</v>
      </c>
      <c r="N540" s="13">
        <f>IFERROR(VLOOKUP($A540,koronahun!$A:$AM,14,FALSE),"")</f>
        <v>0.5343</v>
      </c>
      <c r="O540">
        <f>IFERROR(VLOOKUP($A540,koronahun!$A:$AM,15,FALSE),"")</f>
        <v>14619</v>
      </c>
      <c r="P540">
        <f>IFERROR(VLOOKUP($A540,koronahun!$A:$AM,16,FALSE),"")</f>
        <v>7091</v>
      </c>
      <c r="Q540" s="13">
        <f>IFERROR(VLOOKUP($A540,koronahun!$A:$AM,17,FALSE),"")</f>
        <v>6.4699999999999994E-2</v>
      </c>
      <c r="R540">
        <f>IFERROR(VLOOKUP($A540,koronahun!$A:$AM,18,FALSE),"")</f>
        <v>1</v>
      </c>
      <c r="S540">
        <f>IFERROR(VLOOKUP($A540,koronahun!$A:$AM,19,FALSE),"")</f>
        <v>14</v>
      </c>
      <c r="T540">
        <f>IFERROR(VLOOKUP($A540,koronahun!$A:$AM,20,FALSE),"")</f>
        <v>120</v>
      </c>
      <c r="U540">
        <f>IFERROR(VLOOKUP($A540,koronahun!$A:$AM,21,FALSE),"")</f>
        <v>8</v>
      </c>
      <c r="V540" s="13">
        <f>IFERROR(VLOOKUP($A540,koronahun!$A:$AM,22,FALSE),"")</f>
        <v>0.38160390138173939</v>
      </c>
      <c r="W540">
        <f>IFERROR(VLOOKUP($A540,koronahun!$A:$AM,23,FALSE),"")</f>
        <v>20</v>
      </c>
      <c r="X540">
        <f>IFERROR(VLOOKUP($A540,koronahun!$A:$AM,24,FALSE),"")</f>
        <v>1</v>
      </c>
      <c r="Y540" s="14">
        <f>IFERROR(VLOOKUP($A540,koronahun!$A:$AM,25,FALSE),"")</f>
        <v>4.2598509052183174E-2</v>
      </c>
      <c r="Z540" s="14">
        <f>IFERROR(VLOOKUP($A540,koronahun!$A:$AM,26,FALSE),"")</f>
        <v>6.6666666666666666E-2</v>
      </c>
      <c r="AA540" s="14">
        <f>IFERROR(VLOOKUP($A540,koronahun!$A:$AM,27,FALSE),"")</f>
        <v>4.5302663438256658</v>
      </c>
      <c r="AB540" s="14">
        <f>IFERROR(VLOOKUP($A540,koronahun!$A:$AM,28,FALSE),"")</f>
        <v>3.9171175088040426</v>
      </c>
      <c r="AC540" s="14">
        <f>IFERROR(VLOOKUP($A540,koronahun!$A:$AM,29,FALSE),"")</f>
        <v>267.28571428571428</v>
      </c>
      <c r="AD540" s="14">
        <f>IFERROR(VLOOKUP($A540,koronahun!$A:$AM,30,FALSE),"")</f>
        <v>1</v>
      </c>
      <c r="AE540" s="14">
        <f>IFERROR(VLOOKUP($A540,koronahun!$A:$AM,31,FALSE),"")</f>
        <v>5356.1428571428569</v>
      </c>
      <c r="AF540" s="13">
        <f>IFERROR(VLOOKUP($A540,koronahun!$A:$AM,32,FALSE),"")</f>
        <v>5.1285714285714275E-2</v>
      </c>
      <c r="AG540">
        <f>IFERROR(VLOOKUP($A540,koronahun!$A:$AM,33,FALSE),"")</f>
        <v>0</v>
      </c>
      <c r="AH540">
        <f>IFERROR(VLOOKUP($A540,koronahun!$A:$AM,34,FALSE),"")</f>
        <v>0</v>
      </c>
      <c r="AI540">
        <f>IFERROR(VLOOKUP($A540,koronahun!$A:$AM,35,FALSE),"")</f>
        <v>0</v>
      </c>
      <c r="AJ540">
        <f>IFERROR(VLOOKUP($A540,koronahun!$A:$AM,36,FALSE),"")</f>
        <v>0</v>
      </c>
      <c r="AK540">
        <f>IFERROR(VLOOKUP($A540,koronahun!$A:$AM,37,FALSE),"")</f>
        <v>0</v>
      </c>
      <c r="AL540">
        <f>IFERROR(VLOOKUP($A540,koronahun!$A:$AM,38,FALSE),"")</f>
        <v>0</v>
      </c>
      <c r="AM540" s="14">
        <f>IFERROR(VLOOKUP($A540,koronahun!$A:$AM,39,FALSE),"")</f>
        <v>26.428571428571427</v>
      </c>
      <c r="AN540" s="11">
        <f ca="1">IFERROR(__xludf.DUMMYFUNCTION("""COMPUTED_VALUE"""),44432)</f>
        <v>44432</v>
      </c>
      <c r="AO540" s="12">
        <f ca="1">IFERROR(VLOOKUP(AN540,koronahun!A:B,2,FALSE),"")</f>
        <v>811203</v>
      </c>
      <c r="AP540" s="11">
        <f t="shared" ca="1" si="4"/>
        <v>44432</v>
      </c>
      <c r="AQ540" s="11">
        <f ca="1">IFERROR(__xludf.DUMMYFUNCTION("""COMPUTED_VALUE"""),44462)</f>
        <v>44462</v>
      </c>
      <c r="AR540" s="11">
        <v>44079</v>
      </c>
      <c r="AS540" s="11">
        <f t="shared" si="5"/>
        <v>44079</v>
      </c>
      <c r="AT540" s="11">
        <f ca="1">IFERROR(__xludf.DUMMYFUNCTION("""COMPUTED_VALUE"""),44078)</f>
        <v>44078</v>
      </c>
    </row>
    <row r="541" spans="1:46" ht="13">
      <c r="A541" s="11">
        <v>44077</v>
      </c>
      <c r="B541">
        <f>IFERROR(VLOOKUP($A541,koronahun!$A:$AM,2,FALSE),"")</f>
        <v>6923</v>
      </c>
      <c r="C541">
        <f>IFERROR(VLOOKUP($A541,koronahun!$A:$AM,3,FALSE),"")</f>
        <v>301</v>
      </c>
      <c r="D541">
        <f>IFERROR(VLOOKUP($A541,koronahun!$A:$AM,4,FALSE),"")</f>
        <v>620</v>
      </c>
      <c r="E541">
        <f>IFERROR(VLOOKUP($A541,koronahun!$A:$AM,5,FALSE),"")</f>
        <v>3930</v>
      </c>
      <c r="F541">
        <f>IFERROR(VLOOKUP($A541,koronahun!$A:$AM,6,FALSE),"")</f>
        <v>445047</v>
      </c>
      <c r="G541" s="12">
        <f>IFERROR(VLOOKUP($A541,koronahun!$A:$AM,7,FALSE),"")</f>
        <v>45413</v>
      </c>
      <c r="H541">
        <f>IFERROR(VLOOKUP($A541,koronahun!$A:$AM,8,FALSE),"")</f>
        <v>0</v>
      </c>
      <c r="I541" s="13">
        <f>IFERROR(VLOOKUP($A541,koronahun!$A:$AM,9,FALSE),"")</f>
        <v>4.5499999999999999E-2</v>
      </c>
      <c r="J541" s="13">
        <f>IFERROR(VLOOKUP($A541,koronahun!$A:$AM,10,FALSE),"")</f>
        <v>1.5599999999999999E-2</v>
      </c>
      <c r="K541" s="13">
        <f>IFERROR(VLOOKUP($A541,koronahun!$A:$AM,11,FALSE),"")</f>
        <v>1.7000000000000001E-2</v>
      </c>
      <c r="L541">
        <f>IFERROR(VLOOKUP($A541,koronahun!$A:$AM,12,FALSE),"")</f>
        <v>2373</v>
      </c>
      <c r="M541" s="13">
        <f>IFERROR(VLOOKUP($A541,koronahun!$A:$AM,13,FALSE),"")</f>
        <v>8.9599999999999999E-2</v>
      </c>
      <c r="N541" s="13">
        <f>IFERROR(VLOOKUP($A541,koronahun!$A:$AM,14,FALSE),"")</f>
        <v>0.56769999999999998</v>
      </c>
      <c r="O541">
        <f>IFERROR(VLOOKUP($A541,koronahun!$A:$AM,15,FALSE),"")</f>
        <v>12608</v>
      </c>
      <c r="P541">
        <f>IFERROR(VLOOKUP($A541,koronahun!$A:$AM,16,FALSE),"")</f>
        <v>7516</v>
      </c>
      <c r="Q541" s="13">
        <f>IFERROR(VLOOKUP($A541,koronahun!$A:$AM,17,FALSE),"")</f>
        <v>0.04</v>
      </c>
      <c r="R541">
        <f>IFERROR(VLOOKUP($A541,koronahun!$A:$AM,18,FALSE),"")</f>
        <v>1</v>
      </c>
      <c r="S541">
        <f>IFERROR(VLOOKUP($A541,koronahun!$A:$AM,19,FALSE),"")</f>
        <v>27</v>
      </c>
      <c r="T541">
        <f>IFERROR(VLOOKUP($A541,koronahun!$A:$AM,20,FALSE),"")</f>
        <v>100</v>
      </c>
      <c r="U541">
        <f>IFERROR(VLOOKUP($A541,koronahun!$A:$AM,21,FALSE),"")</f>
        <v>7</v>
      </c>
      <c r="V541" s="13">
        <f>IFERROR(VLOOKUP($A541,koronahun!$A:$AM,22,FALSE),"")</f>
        <v>0.34277047522750254</v>
      </c>
      <c r="W541">
        <f>IFERROR(VLOOKUP($A541,koronahun!$A:$AM,23,FALSE),"")</f>
        <v>2</v>
      </c>
      <c r="X541">
        <f>IFERROR(VLOOKUP($A541,koronahun!$A:$AM,24,FALSE),"")</f>
        <v>0</v>
      </c>
      <c r="Y541" s="14">
        <f>IFERROR(VLOOKUP($A541,koronahun!$A:$AM,25,FALSE),"")</f>
        <v>4.2140750105351878E-2</v>
      </c>
      <c r="Z541" s="14">
        <f>IFERROR(VLOOKUP($A541,koronahun!$A:$AM,26,FALSE),"")</f>
        <v>7.0000000000000007E-2</v>
      </c>
      <c r="AA541" s="14">
        <f>IFERROR(VLOOKUP($A541,koronahun!$A:$AM,27,FALSE),"")</f>
        <v>4.6366366366366369</v>
      </c>
      <c r="AB541" s="14">
        <f>IFERROR(VLOOKUP($A541,koronahun!$A:$AM,28,FALSE),"")</f>
        <v>3.5107529290738455</v>
      </c>
      <c r="AC541" s="14">
        <f>IFERROR(VLOOKUP($A541,koronahun!$A:$AM,29,FALSE),"")</f>
        <v>220.57142857142858</v>
      </c>
      <c r="AD541" s="14">
        <f>IFERROR(VLOOKUP($A541,koronahun!$A:$AM,30,FALSE),"")</f>
        <v>0.8571428571428571</v>
      </c>
      <c r="AE541" s="14">
        <f>IFERROR(VLOOKUP($A541,koronahun!$A:$AM,31,FALSE),"")</f>
        <v>5178.2857142857147</v>
      </c>
      <c r="AF541" s="13">
        <f>IFERROR(VLOOKUP($A541,koronahun!$A:$AM,32,FALSE),"")</f>
        <v>4.5271428571428567E-2</v>
      </c>
      <c r="AG541">
        <f>IFERROR(VLOOKUP($A541,koronahun!$A:$AM,33,FALSE),"")</f>
        <v>0</v>
      </c>
      <c r="AH541">
        <f>IFERROR(VLOOKUP($A541,koronahun!$A:$AM,34,FALSE),"")</f>
        <v>0</v>
      </c>
      <c r="AI541">
        <f>IFERROR(VLOOKUP($A541,koronahun!$A:$AM,35,FALSE),"")</f>
        <v>0</v>
      </c>
      <c r="AJ541">
        <f>IFERROR(VLOOKUP($A541,koronahun!$A:$AM,36,FALSE),"")</f>
        <v>0</v>
      </c>
      <c r="AK541">
        <f>IFERROR(VLOOKUP($A541,koronahun!$A:$AM,37,FALSE),"")</f>
        <v>0</v>
      </c>
      <c r="AL541">
        <f>IFERROR(VLOOKUP($A541,koronahun!$A:$AM,38,FALSE),"")</f>
        <v>0</v>
      </c>
      <c r="AM541" s="14">
        <f>IFERROR(VLOOKUP($A541,koronahun!$A:$AM,39,FALSE),"")</f>
        <v>24.714285714285715</v>
      </c>
      <c r="AN541" s="11">
        <f ca="1">IFERROR(__xludf.DUMMYFUNCTION("""COMPUTED_VALUE"""),44433)</f>
        <v>44433</v>
      </c>
      <c r="AO541" s="12">
        <f ca="1">IFERROR(VLOOKUP(AN541,koronahun!A:B,2,FALSE),"")</f>
        <v>811337</v>
      </c>
      <c r="AP541" s="11">
        <f t="shared" ca="1" si="4"/>
        <v>44433</v>
      </c>
      <c r="AQ541" s="11">
        <f ca="1">IFERROR(__xludf.DUMMYFUNCTION("""COMPUTED_VALUE"""),44463)</f>
        <v>44463</v>
      </c>
      <c r="AR541" s="11">
        <v>44078</v>
      </c>
      <c r="AS541" s="11">
        <f t="shared" si="5"/>
        <v>44078</v>
      </c>
      <c r="AT541" s="11">
        <f ca="1">IFERROR(__xludf.DUMMYFUNCTION("""COMPUTED_VALUE"""),44077)</f>
        <v>44077</v>
      </c>
    </row>
    <row r="542" spans="1:46" ht="13">
      <c r="A542" s="11">
        <v>44076</v>
      </c>
      <c r="B542">
        <f>IFERROR(VLOOKUP($A542,koronahun!$A:$AM,2,FALSE),"")</f>
        <v>6622</v>
      </c>
      <c r="C542">
        <f>IFERROR(VLOOKUP($A542,koronahun!$A:$AM,3,FALSE),"")</f>
        <v>365</v>
      </c>
      <c r="D542">
        <f>IFERROR(VLOOKUP($A542,koronahun!$A:$AM,4,FALSE),"")</f>
        <v>619</v>
      </c>
      <c r="E542">
        <f>IFERROR(VLOOKUP($A542,koronahun!$A:$AM,5,FALSE),"")</f>
        <v>3903</v>
      </c>
      <c r="F542">
        <f>IFERROR(VLOOKUP($A542,koronahun!$A:$AM,6,FALSE),"")</f>
        <v>437531</v>
      </c>
      <c r="G542" s="12">
        <f>IFERROR(VLOOKUP($A542,koronahun!$A:$AM,7,FALSE),"")</f>
        <v>44646</v>
      </c>
      <c r="H542">
        <f>IFERROR(VLOOKUP($A542,koronahun!$A:$AM,8,FALSE),"")</f>
        <v>0</v>
      </c>
      <c r="I542" s="13">
        <f>IFERROR(VLOOKUP($A542,koronahun!$A:$AM,9,FALSE),"")</f>
        <v>5.8299999999999998E-2</v>
      </c>
      <c r="J542" s="13">
        <f>IFERROR(VLOOKUP($A542,koronahun!$A:$AM,10,FALSE),"")</f>
        <v>1.5100000000000001E-2</v>
      </c>
      <c r="K542" s="13">
        <f>IFERROR(VLOOKUP($A542,koronahun!$A:$AM,11,FALSE),"")</f>
        <v>1.7000000000000001E-2</v>
      </c>
      <c r="L542">
        <f>IFERROR(VLOOKUP($A542,koronahun!$A:$AM,12,FALSE),"")</f>
        <v>2100</v>
      </c>
      <c r="M542" s="13">
        <f>IFERROR(VLOOKUP($A542,koronahun!$A:$AM,13,FALSE),"")</f>
        <v>9.35E-2</v>
      </c>
      <c r="N542" s="13">
        <f>IFERROR(VLOOKUP($A542,koronahun!$A:$AM,14,FALSE),"")</f>
        <v>0.58940000000000003</v>
      </c>
      <c r="O542">
        <f>IFERROR(VLOOKUP($A542,koronahun!$A:$AM,15,FALSE),"")</f>
        <v>11485</v>
      </c>
      <c r="P542">
        <f>IFERROR(VLOOKUP($A542,koronahun!$A:$AM,16,FALSE),"")</f>
        <v>7589</v>
      </c>
      <c r="Q542" s="13">
        <f>IFERROR(VLOOKUP($A542,koronahun!$A:$AM,17,FALSE),"")</f>
        <v>4.8099999999999997E-2</v>
      </c>
      <c r="R542">
        <f>IFERROR(VLOOKUP($A542,koronahun!$A:$AM,18,FALSE),"")</f>
        <v>3</v>
      </c>
      <c r="S542">
        <f>IFERROR(VLOOKUP($A542,koronahun!$A:$AM,19,FALSE),"")</f>
        <v>82</v>
      </c>
      <c r="T542">
        <f>IFERROR(VLOOKUP($A542,koronahun!$A:$AM,20,FALSE),"")</f>
        <v>98</v>
      </c>
      <c r="U542">
        <f>IFERROR(VLOOKUP($A542,koronahun!$A:$AM,21,FALSE),"")</f>
        <v>7</v>
      </c>
      <c r="V542" s="13">
        <f>IFERROR(VLOOKUP($A542,koronahun!$A:$AM,22,FALSE),"")</f>
        <v>0.31712473572938688</v>
      </c>
      <c r="W542">
        <f>IFERROR(VLOOKUP($A542,koronahun!$A:$AM,23,FALSE),"")</f>
        <v>2</v>
      </c>
      <c r="X542">
        <f>IFERROR(VLOOKUP($A542,koronahun!$A:$AM,24,FALSE),"")</f>
        <v>0</v>
      </c>
      <c r="Y542" s="14">
        <f>IFERROR(VLOOKUP($A542,koronahun!$A:$AM,25,FALSE),"")</f>
        <v>4.6666666666666669E-2</v>
      </c>
      <c r="Z542" s="14">
        <f>IFERROR(VLOOKUP($A542,koronahun!$A:$AM,26,FALSE),"")</f>
        <v>7.1428571428571425E-2</v>
      </c>
      <c r="AA542" s="14">
        <f>IFERROR(VLOOKUP($A542,koronahun!$A:$AM,27,FALSE),"")</f>
        <v>4.6643356643356642</v>
      </c>
      <c r="AB542" s="14">
        <f>IFERROR(VLOOKUP($A542,koronahun!$A:$AM,28,FALSE),"")</f>
        <v>3.0525454880337861</v>
      </c>
      <c r="AC542" s="14">
        <f>IFERROR(VLOOKUP($A542,koronahun!$A:$AM,29,FALSE),"")</f>
        <v>190.57142857142858</v>
      </c>
      <c r="AD542" s="14">
        <f>IFERROR(VLOOKUP($A542,koronahun!$A:$AM,30,FALSE),"")</f>
        <v>0.7142857142857143</v>
      </c>
      <c r="AE542" s="14">
        <f>IFERROR(VLOOKUP($A542,koronahun!$A:$AM,31,FALSE),"")</f>
        <v>4637.7142857142853</v>
      </c>
      <c r="AF542" s="13">
        <f>IFERROR(VLOOKUP($A542,koronahun!$A:$AM,32,FALSE),"")</f>
        <v>4.304285714285714E-2</v>
      </c>
      <c r="AG542">
        <f>IFERROR(VLOOKUP($A542,koronahun!$A:$AM,33,FALSE),"")</f>
        <v>0</v>
      </c>
      <c r="AH542">
        <f>IFERROR(VLOOKUP($A542,koronahun!$A:$AM,34,FALSE),"")</f>
        <v>0</v>
      </c>
      <c r="AI542">
        <f>IFERROR(VLOOKUP($A542,koronahun!$A:$AM,35,FALSE),"")</f>
        <v>0</v>
      </c>
      <c r="AJ542">
        <f>IFERROR(VLOOKUP($A542,koronahun!$A:$AM,36,FALSE),"")</f>
        <v>0</v>
      </c>
      <c r="AK542">
        <f>IFERROR(VLOOKUP($A542,koronahun!$A:$AM,37,FALSE),"")</f>
        <v>0</v>
      </c>
      <c r="AL542">
        <f>IFERROR(VLOOKUP($A542,koronahun!$A:$AM,38,FALSE),"")</f>
        <v>0</v>
      </c>
      <c r="AM542" s="14">
        <f>IFERROR(VLOOKUP($A542,koronahun!$A:$AM,39,FALSE),"")</f>
        <v>24.142857142857142</v>
      </c>
      <c r="AN542" s="11">
        <f ca="1">IFERROR(__xludf.DUMMYFUNCTION("""COMPUTED_VALUE"""),44434)</f>
        <v>44434</v>
      </c>
      <c r="AO542" s="12">
        <f ca="1">IFERROR(VLOOKUP(AN542,koronahun!A:B,2,FALSE),"")</f>
        <v>811517</v>
      </c>
      <c r="AP542" s="11">
        <f t="shared" ca="1" si="4"/>
        <v>44434</v>
      </c>
      <c r="AQ542" s="11">
        <f ca="1">IFERROR(__xludf.DUMMYFUNCTION("""COMPUTED_VALUE"""),44466)</f>
        <v>44466</v>
      </c>
      <c r="AR542" s="11">
        <v>44077</v>
      </c>
      <c r="AS542" s="11">
        <f t="shared" si="5"/>
        <v>44077</v>
      </c>
      <c r="AT542" s="11">
        <f ca="1">IFERROR(__xludf.DUMMYFUNCTION("""COMPUTED_VALUE"""),44076)</f>
        <v>44076</v>
      </c>
    </row>
    <row r="543" spans="1:46" ht="13">
      <c r="A543" s="11">
        <v>44075</v>
      </c>
      <c r="B543">
        <f>IFERROR(VLOOKUP($A543,koronahun!$A:$AM,2,FALSE),"")</f>
        <v>6257</v>
      </c>
      <c r="C543">
        <f>IFERROR(VLOOKUP($A543,koronahun!$A:$AM,3,FALSE),"")</f>
        <v>118</v>
      </c>
      <c r="D543">
        <f>IFERROR(VLOOKUP($A543,koronahun!$A:$AM,4,FALSE),"")</f>
        <v>616</v>
      </c>
      <c r="E543">
        <f>IFERROR(VLOOKUP($A543,koronahun!$A:$AM,5,FALSE),"")</f>
        <v>3821</v>
      </c>
      <c r="F543">
        <f>IFERROR(VLOOKUP($A543,koronahun!$A:$AM,6,FALSE),"")</f>
        <v>429942</v>
      </c>
      <c r="G543" s="12">
        <f>IFERROR(VLOOKUP($A543,koronahun!$A:$AM,7,FALSE),"")</f>
        <v>43872</v>
      </c>
      <c r="H543">
        <f>IFERROR(VLOOKUP($A543,koronahun!$A:$AM,8,FALSE),"")</f>
        <v>0</v>
      </c>
      <c r="I543" s="13">
        <f>IFERROR(VLOOKUP($A543,koronahun!$A:$AM,9,FALSE),"")</f>
        <v>1.9199999999999998E-2</v>
      </c>
      <c r="J543" s="13">
        <f>IFERROR(VLOOKUP($A543,koronahun!$A:$AM,10,FALSE),"")</f>
        <v>1.46E-2</v>
      </c>
      <c r="K543" s="13">
        <f>IFERROR(VLOOKUP($A543,koronahun!$A:$AM,11,FALSE),"")</f>
        <v>4.0000000000000001E-3</v>
      </c>
      <c r="L543">
        <f>IFERROR(VLOOKUP($A543,koronahun!$A:$AM,12,FALSE),"")</f>
        <v>1820</v>
      </c>
      <c r="M543" s="13">
        <f>IFERROR(VLOOKUP($A543,koronahun!$A:$AM,13,FALSE),"")</f>
        <v>9.8400000000000001E-2</v>
      </c>
      <c r="N543" s="13">
        <f>IFERROR(VLOOKUP($A543,koronahun!$A:$AM,14,FALSE),"")</f>
        <v>0.61070000000000002</v>
      </c>
      <c r="O543">
        <f>IFERROR(VLOOKUP($A543,koronahun!$A:$AM,15,FALSE),"")</f>
        <v>10124</v>
      </c>
      <c r="P543">
        <f>IFERROR(VLOOKUP($A543,koronahun!$A:$AM,16,FALSE),"")</f>
        <v>1792</v>
      </c>
      <c r="Q543" s="13">
        <f>IFERROR(VLOOKUP($A543,koronahun!$A:$AM,17,FALSE),"")</f>
        <v>6.5799999999999997E-2</v>
      </c>
      <c r="R543">
        <f>IFERROR(VLOOKUP($A543,koronahun!$A:$AM,18,FALSE),"")</f>
        <v>1</v>
      </c>
      <c r="S543">
        <f>IFERROR(VLOOKUP($A543,koronahun!$A:$AM,19,FALSE),"")</f>
        <v>60</v>
      </c>
      <c r="T543">
        <f>IFERROR(VLOOKUP($A543,koronahun!$A:$AM,20,FALSE),"")</f>
        <v>96</v>
      </c>
      <c r="U543">
        <f>IFERROR(VLOOKUP($A543,koronahun!$A:$AM,21,FALSE),"")</f>
        <v>7</v>
      </c>
      <c r="V543" s="13">
        <f>IFERROR(VLOOKUP($A543,koronahun!$A:$AM,22,FALSE),"")</f>
        <v>0.29087422087262266</v>
      </c>
      <c r="W543">
        <f>IFERROR(VLOOKUP($A543,koronahun!$A:$AM,23,FALSE),"")</f>
        <v>-7</v>
      </c>
      <c r="X543">
        <f>IFERROR(VLOOKUP($A543,koronahun!$A:$AM,24,FALSE),"")</f>
        <v>0</v>
      </c>
      <c r="Y543" s="14">
        <f>IFERROR(VLOOKUP($A543,koronahun!$A:$AM,25,FALSE),"")</f>
        <v>5.2747252747252747E-2</v>
      </c>
      <c r="Z543" s="14">
        <f>IFERROR(VLOOKUP($A543,koronahun!$A:$AM,26,FALSE),"")</f>
        <v>7.2916666666666671E-2</v>
      </c>
      <c r="AA543" s="14">
        <f>IFERROR(VLOOKUP($A543,koronahun!$A:$AM,27,FALSE),"")</f>
        <v>4.2530612244897963</v>
      </c>
      <c r="AB543" s="14">
        <f>IFERROR(VLOOKUP($A543,koronahun!$A:$AM,28,FALSE),"")</f>
        <v>2.5608149963032951</v>
      </c>
      <c r="AC543" s="14">
        <f>IFERROR(VLOOKUP($A543,koronahun!$A:$AM,29,FALSE),"")</f>
        <v>148.85714285714286</v>
      </c>
      <c r="AD543" s="14">
        <f>IFERROR(VLOOKUP($A543,koronahun!$A:$AM,30,FALSE),"")</f>
        <v>0.2857142857142857</v>
      </c>
      <c r="AE543" s="14">
        <f>IFERROR(VLOOKUP($A543,koronahun!$A:$AM,31,FALSE),"")</f>
        <v>4214.2857142857147</v>
      </c>
      <c r="AF543" s="13">
        <f>IFERROR(VLOOKUP($A543,koronahun!$A:$AM,32,FALSE),"")</f>
        <v>3.842857142857143E-2</v>
      </c>
      <c r="AG543">
        <f>IFERROR(VLOOKUP($A543,koronahun!$A:$AM,33,FALSE),"")</f>
        <v>0</v>
      </c>
      <c r="AH543">
        <f>IFERROR(VLOOKUP($A543,koronahun!$A:$AM,34,FALSE),"")</f>
        <v>0</v>
      </c>
      <c r="AI543">
        <f>IFERROR(VLOOKUP($A543,koronahun!$A:$AM,35,FALSE),"")</f>
        <v>0</v>
      </c>
      <c r="AJ543">
        <f>IFERROR(VLOOKUP($A543,koronahun!$A:$AM,36,FALSE),"")</f>
        <v>0</v>
      </c>
      <c r="AK543">
        <f>IFERROR(VLOOKUP($A543,koronahun!$A:$AM,37,FALSE),"")</f>
        <v>0</v>
      </c>
      <c r="AL543">
        <f>IFERROR(VLOOKUP($A543,koronahun!$A:$AM,38,FALSE),"")</f>
        <v>0</v>
      </c>
      <c r="AM543" s="14">
        <f>IFERROR(VLOOKUP($A543,koronahun!$A:$AM,39,FALSE),"")</f>
        <v>15</v>
      </c>
      <c r="AN543" s="11">
        <f ca="1">IFERROR(__xludf.DUMMYFUNCTION("""COMPUTED_VALUE"""),44435)</f>
        <v>44435</v>
      </c>
      <c r="AO543" s="12">
        <f ca="1">IFERROR(VLOOKUP(AN543,koronahun!A:B,2,FALSE),"")</f>
        <v>811706</v>
      </c>
      <c r="AP543" s="11">
        <f t="shared" ca="1" si="4"/>
        <v>44435</v>
      </c>
      <c r="AQ543" s="11">
        <f ca="1">IFERROR(__xludf.DUMMYFUNCTION("""COMPUTED_VALUE"""),44467)</f>
        <v>44467</v>
      </c>
      <c r="AR543" s="11">
        <v>44076</v>
      </c>
      <c r="AS543" s="11">
        <f t="shared" si="5"/>
        <v>44076</v>
      </c>
      <c r="AT543" s="11">
        <f ca="1">IFERROR(__xludf.DUMMYFUNCTION("""COMPUTED_VALUE"""),44075)</f>
        <v>44075</v>
      </c>
    </row>
    <row r="544" spans="1:46" ht="13">
      <c r="A544" s="11">
        <v>44074</v>
      </c>
      <c r="B544">
        <f>IFERROR(VLOOKUP($A544,koronahun!$A:$AM,2,FALSE),"")</f>
        <v>6139</v>
      </c>
      <c r="C544">
        <f>IFERROR(VLOOKUP($A544,koronahun!$A:$AM,3,FALSE),"")</f>
        <v>178</v>
      </c>
      <c r="D544">
        <f>IFERROR(VLOOKUP($A544,koronahun!$A:$AM,4,FALSE),"")</f>
        <v>615</v>
      </c>
      <c r="E544">
        <f>IFERROR(VLOOKUP($A544,koronahun!$A:$AM,5,FALSE),"")</f>
        <v>3761</v>
      </c>
      <c r="F544">
        <f>IFERROR(VLOOKUP($A544,koronahun!$A:$AM,6,FALSE),"")</f>
        <v>428150</v>
      </c>
      <c r="G544" s="12">
        <f>IFERROR(VLOOKUP($A544,koronahun!$A:$AM,7,FALSE),"")</f>
        <v>43689</v>
      </c>
      <c r="H544">
        <f>IFERROR(VLOOKUP($A544,koronahun!$A:$AM,8,FALSE),"")</f>
        <v>0</v>
      </c>
      <c r="I544" s="13">
        <f>IFERROR(VLOOKUP($A544,koronahun!$A:$AM,9,FALSE),"")</f>
        <v>2.9899999999999999E-2</v>
      </c>
      <c r="J544" s="13">
        <f>IFERROR(VLOOKUP($A544,koronahun!$A:$AM,10,FALSE),"")</f>
        <v>1.43E-2</v>
      </c>
      <c r="K544" s="13">
        <f>IFERROR(VLOOKUP($A544,koronahun!$A:$AM,11,FALSE),"")</f>
        <v>8.9999999999999993E-3</v>
      </c>
      <c r="L544">
        <f>IFERROR(VLOOKUP($A544,koronahun!$A:$AM,12,FALSE),"")</f>
        <v>1763</v>
      </c>
      <c r="M544" s="13">
        <f>IFERROR(VLOOKUP($A544,koronahun!$A:$AM,13,FALSE),"")</f>
        <v>0.1002</v>
      </c>
      <c r="N544" s="13">
        <f>IFERROR(VLOOKUP($A544,koronahun!$A:$AM,14,FALSE),"")</f>
        <v>0.61260000000000003</v>
      </c>
      <c r="O544">
        <f>IFERROR(VLOOKUP($A544,koronahun!$A:$AM,15,FALSE),"")</f>
        <v>8982</v>
      </c>
      <c r="P544">
        <f>IFERROR(VLOOKUP($A544,koronahun!$A:$AM,16,FALSE),"")</f>
        <v>3880</v>
      </c>
      <c r="Q544" s="13">
        <f>IFERROR(VLOOKUP($A544,koronahun!$A:$AM,17,FALSE),"")</f>
        <v>4.5900000000000003E-2</v>
      </c>
      <c r="R544">
        <f>IFERROR(VLOOKUP($A544,koronahun!$A:$AM,18,FALSE),"")</f>
        <v>1</v>
      </c>
      <c r="S544">
        <f>IFERROR(VLOOKUP($A544,koronahun!$A:$AM,19,FALSE),"")</f>
        <v>2</v>
      </c>
      <c r="T544">
        <f>IFERROR(VLOOKUP($A544,koronahun!$A:$AM,20,FALSE),"")</f>
        <v>103</v>
      </c>
      <c r="U544">
        <f>IFERROR(VLOOKUP($A544,koronahun!$A:$AM,21,FALSE),"")</f>
        <v>7</v>
      </c>
      <c r="V544" s="13">
        <f>IFERROR(VLOOKUP($A544,koronahun!$A:$AM,22,FALSE),"")</f>
        <v>0.28718032252809905</v>
      </c>
      <c r="W544">
        <f>IFERROR(VLOOKUP($A544,koronahun!$A:$AM,23,FALSE),"")</f>
        <v>13</v>
      </c>
      <c r="X544">
        <f>IFERROR(VLOOKUP($A544,koronahun!$A:$AM,24,FALSE),"")</f>
        <v>0</v>
      </c>
      <c r="Y544" s="14">
        <f>IFERROR(VLOOKUP($A544,koronahun!$A:$AM,25,FALSE),"")</f>
        <v>5.8423142370958595E-2</v>
      </c>
      <c r="Z544" s="14">
        <f>IFERROR(VLOOKUP($A544,koronahun!$A:$AM,26,FALSE),"")</f>
        <v>6.7961165048543687E-2</v>
      </c>
      <c r="AA544" s="14">
        <f>IFERROR(VLOOKUP($A544,koronahun!$A:$AM,27,FALSE),"")</f>
        <v>3.869387755102041</v>
      </c>
      <c r="AB544" s="14">
        <f>IFERROR(VLOOKUP($A544,koronahun!$A:$AM,28,FALSE),"")</f>
        <v>2.109484821376181</v>
      </c>
      <c r="AC544" s="14">
        <f>IFERROR(VLOOKUP($A544,koronahun!$A:$AM,29,FALSE),"")</f>
        <v>135.42857142857142</v>
      </c>
      <c r="AD544" s="14">
        <f>IFERROR(VLOOKUP($A544,koronahun!$A:$AM,30,FALSE),"")</f>
        <v>0.2857142857142857</v>
      </c>
      <c r="AE544" s="14">
        <f>IFERROR(VLOOKUP($A544,koronahun!$A:$AM,31,FALSE),"")</f>
        <v>4228.5714285714284</v>
      </c>
      <c r="AF544" s="13">
        <f>IFERROR(VLOOKUP($A544,koronahun!$A:$AM,32,FALSE),"")</f>
        <v>3.0842857142857144E-2</v>
      </c>
      <c r="AG544">
        <f>IFERROR(VLOOKUP($A544,koronahun!$A:$AM,33,FALSE),"")</f>
        <v>0</v>
      </c>
      <c r="AH544">
        <f>IFERROR(VLOOKUP($A544,koronahun!$A:$AM,34,FALSE),"")</f>
        <v>0</v>
      </c>
      <c r="AI544">
        <f>IFERROR(VLOOKUP($A544,koronahun!$A:$AM,35,FALSE),"")</f>
        <v>0</v>
      </c>
      <c r="AJ544">
        <f>IFERROR(VLOOKUP($A544,koronahun!$A:$AM,36,FALSE),"")</f>
        <v>0</v>
      </c>
      <c r="AK544">
        <f>IFERROR(VLOOKUP($A544,koronahun!$A:$AM,37,FALSE),"")</f>
        <v>0</v>
      </c>
      <c r="AL544">
        <f>IFERROR(VLOOKUP($A544,koronahun!$A:$AM,38,FALSE),"")</f>
        <v>0</v>
      </c>
      <c r="AM544" s="14">
        <f>IFERROR(VLOOKUP($A544,koronahun!$A:$AM,39,FALSE),"")</f>
        <v>9.4285714285714288</v>
      </c>
      <c r="AN544" s="11">
        <f ca="1">IFERROR(__xludf.DUMMYFUNCTION("""COMPUTED_VALUE"""),44436)</f>
        <v>44436</v>
      </c>
      <c r="AO544" s="12">
        <f ca="1">IFERROR(VLOOKUP(AN544,koronahun!A:B,2,FALSE),"")</f>
        <v>0</v>
      </c>
      <c r="AP544" s="11">
        <f t="shared" ca="1" si="4"/>
        <v>44436</v>
      </c>
      <c r="AQ544" s="11">
        <f ca="1">IFERROR(__xludf.DUMMYFUNCTION("""COMPUTED_VALUE"""),44468)</f>
        <v>44468</v>
      </c>
      <c r="AR544" s="11">
        <v>44075</v>
      </c>
      <c r="AS544" s="11">
        <f t="shared" si="5"/>
        <v>44075</v>
      </c>
      <c r="AT544" s="11">
        <f ca="1">IFERROR(__xludf.DUMMYFUNCTION("""COMPUTED_VALUE"""),44074)</f>
        <v>44074</v>
      </c>
    </row>
    <row r="545" spans="1:46" ht="13">
      <c r="A545" s="11">
        <v>44073</v>
      </c>
      <c r="B545">
        <f>IFERROR(VLOOKUP($A545,koronahun!$A:$AM,2,FALSE),"")</f>
        <v>5961</v>
      </c>
      <c r="C545">
        <f>IFERROR(VLOOKUP($A545,koronahun!$A:$AM,3,FALSE),"")</f>
        <v>292</v>
      </c>
      <c r="D545">
        <f>IFERROR(VLOOKUP($A545,koronahun!$A:$AM,4,FALSE),"")</f>
        <v>614</v>
      </c>
      <c r="E545">
        <f>IFERROR(VLOOKUP($A545,koronahun!$A:$AM,5,FALSE),"")</f>
        <v>3759</v>
      </c>
      <c r="F545">
        <f>IFERROR(VLOOKUP($A545,koronahun!$A:$AM,6,FALSE),"")</f>
        <v>424270</v>
      </c>
      <c r="G545" s="12">
        <f>IFERROR(VLOOKUP($A545,koronahun!$A:$AM,7,FALSE),"")</f>
        <v>43293</v>
      </c>
      <c r="H545">
        <f>IFERROR(VLOOKUP($A545,koronahun!$A:$AM,8,FALSE),"")</f>
        <v>0</v>
      </c>
      <c r="I545" s="13">
        <f>IFERROR(VLOOKUP($A545,koronahun!$A:$AM,9,FALSE),"")</f>
        <v>5.1499999999999997E-2</v>
      </c>
      <c r="J545" s="13">
        <f>IFERROR(VLOOKUP($A545,koronahun!$A:$AM,10,FALSE),"")</f>
        <v>1.41E-2</v>
      </c>
      <c r="K545" s="13">
        <f>IFERROR(VLOOKUP($A545,koronahun!$A:$AM,11,FALSE),"")</f>
        <v>1.4999999999999999E-2</v>
      </c>
      <c r="L545">
        <f>IFERROR(VLOOKUP($A545,koronahun!$A:$AM,12,FALSE),"")</f>
        <v>1588</v>
      </c>
      <c r="M545" s="13">
        <f>IFERROR(VLOOKUP($A545,koronahun!$A:$AM,13,FALSE),"")</f>
        <v>0.10299999999999999</v>
      </c>
      <c r="N545" s="13">
        <f>IFERROR(VLOOKUP($A545,koronahun!$A:$AM,14,FALSE),"")</f>
        <v>0.63060000000000005</v>
      </c>
      <c r="O545">
        <f>IFERROR(VLOOKUP($A545,koronahun!$A:$AM,15,FALSE),"")</f>
        <v>8633</v>
      </c>
      <c r="P545">
        <f>IFERROR(VLOOKUP($A545,koronahun!$A:$AM,16,FALSE),"")</f>
        <v>6380</v>
      </c>
      <c r="Q545" s="13">
        <f>IFERROR(VLOOKUP($A545,koronahun!$A:$AM,17,FALSE),"")</f>
        <v>4.58E-2</v>
      </c>
      <c r="R545">
        <f>IFERROR(VLOOKUP($A545,koronahun!$A:$AM,18,FALSE),"")</f>
        <v>0</v>
      </c>
      <c r="S545">
        <f>IFERROR(VLOOKUP($A545,koronahun!$A:$AM,19,FALSE),"")</f>
        <v>0</v>
      </c>
      <c r="T545">
        <f>IFERROR(VLOOKUP($A545,koronahun!$A:$AM,20,FALSE),"")</f>
        <v>90</v>
      </c>
      <c r="U545">
        <f>IFERROR(VLOOKUP($A545,koronahun!$A:$AM,21,FALSE),"")</f>
        <v>7</v>
      </c>
      <c r="V545" s="13">
        <f>IFERROR(VLOOKUP($A545,koronahun!$A:$AM,22,FALSE),"")</f>
        <v>0.26639825532628753</v>
      </c>
      <c r="W545">
        <f>IFERROR(VLOOKUP($A545,koronahun!$A:$AM,23,FALSE),"")</f>
        <v>0</v>
      </c>
      <c r="X545">
        <f>IFERROR(VLOOKUP($A545,koronahun!$A:$AM,24,FALSE),"")</f>
        <v>0</v>
      </c>
      <c r="Y545" s="14">
        <f>IFERROR(VLOOKUP($A545,koronahun!$A:$AM,25,FALSE),"")</f>
        <v>5.6675062972292189E-2</v>
      </c>
      <c r="Z545" s="14">
        <f>IFERROR(VLOOKUP($A545,koronahun!$A:$AM,26,FALSE),"")</f>
        <v>7.7777777777777779E-2</v>
      </c>
      <c r="AA545" s="14">
        <f>IFERROR(VLOOKUP($A545,koronahun!$A:$AM,27,FALSE),"")</f>
        <v>3.3723849372384938</v>
      </c>
      <c r="AB545" s="14">
        <f>IFERROR(VLOOKUP($A545,koronahun!$A:$AM,28,FALSE),"")</f>
        <v>1.7195058397503078</v>
      </c>
      <c r="AC545" s="14">
        <f>IFERROR(VLOOKUP($A545,koronahun!$A:$AM,29,FALSE),"")</f>
        <v>115.14285714285714</v>
      </c>
      <c r="AD545" s="14">
        <f>IFERROR(VLOOKUP($A545,koronahun!$A:$AM,30,FALSE),"")</f>
        <v>0.14285714285714285</v>
      </c>
      <c r="AE545" s="14">
        <f>IFERROR(VLOOKUP($A545,koronahun!$A:$AM,31,FALSE),"")</f>
        <v>3882.5714285714284</v>
      </c>
      <c r="AF545" s="13">
        <f>IFERROR(VLOOKUP($A545,koronahun!$A:$AM,32,FALSE),"")</f>
        <v>2.7814285714285715E-2</v>
      </c>
      <c r="AG545">
        <f>IFERROR(VLOOKUP($A545,koronahun!$A:$AM,33,FALSE),"")</f>
        <v>0</v>
      </c>
      <c r="AH545">
        <f>IFERROR(VLOOKUP($A545,koronahun!$A:$AM,34,FALSE),"")</f>
        <v>0</v>
      </c>
      <c r="AI545">
        <f>IFERROR(VLOOKUP($A545,koronahun!$A:$AM,35,FALSE),"")</f>
        <v>0</v>
      </c>
      <c r="AJ545">
        <f>IFERROR(VLOOKUP($A545,koronahun!$A:$AM,36,FALSE),"")</f>
        <v>0</v>
      </c>
      <c r="AK545">
        <f>IFERROR(VLOOKUP($A545,koronahun!$A:$AM,37,FALSE),"")</f>
        <v>0</v>
      </c>
      <c r="AL545">
        <f>IFERROR(VLOOKUP($A545,koronahun!$A:$AM,38,FALSE),"")</f>
        <v>0</v>
      </c>
      <c r="AM545" s="14">
        <f>IFERROR(VLOOKUP($A545,koronahun!$A:$AM,39,FALSE),"")</f>
        <v>9.1428571428571423</v>
      </c>
      <c r="AN545" s="11">
        <f ca="1">IFERROR(__xludf.DUMMYFUNCTION("""COMPUTED_VALUE"""),44437)</f>
        <v>44437</v>
      </c>
      <c r="AO545" s="12">
        <f ca="1">IFERROR(VLOOKUP(AN545,koronahun!A:B,2,FALSE),"")</f>
        <v>0</v>
      </c>
      <c r="AP545" s="11">
        <f t="shared" ca="1" si="4"/>
        <v>44437</v>
      </c>
      <c r="AQ545" s="11">
        <f ca="1">IFERROR(__xludf.DUMMYFUNCTION("""COMPUTED_VALUE"""),44469)</f>
        <v>44469</v>
      </c>
      <c r="AR545" s="11">
        <v>44074</v>
      </c>
      <c r="AS545" s="11">
        <f t="shared" si="5"/>
        <v>44074</v>
      </c>
      <c r="AT545" s="11">
        <f ca="1">IFERROR(__xludf.DUMMYFUNCTION("""COMPUTED_VALUE"""),44073)</f>
        <v>44073</v>
      </c>
    </row>
    <row r="546" spans="1:46" ht="13">
      <c r="A546" s="11">
        <v>44072</v>
      </c>
      <c r="B546">
        <f>IFERROR(VLOOKUP($A546,koronahun!$A:$AM,2,FALSE),"")</f>
        <v>5669</v>
      </c>
      <c r="C546">
        <f>IFERROR(VLOOKUP($A546,koronahun!$A:$AM,3,FALSE),"")</f>
        <v>158</v>
      </c>
      <c r="D546">
        <f>IFERROR(VLOOKUP($A546,koronahun!$A:$AM,4,FALSE),"")</f>
        <v>614</v>
      </c>
      <c r="E546">
        <f>IFERROR(VLOOKUP($A546,koronahun!$A:$AM,5,FALSE),"")</f>
        <v>3759</v>
      </c>
      <c r="F546">
        <f>IFERROR(VLOOKUP($A546,koronahun!$A:$AM,6,FALSE),"")</f>
        <v>417890</v>
      </c>
      <c r="G546" s="12">
        <f>IFERROR(VLOOKUP($A546,koronahun!$A:$AM,7,FALSE),"")</f>
        <v>42642</v>
      </c>
      <c r="H546">
        <f>IFERROR(VLOOKUP($A546,koronahun!$A:$AM,8,FALSE),"")</f>
        <v>0</v>
      </c>
      <c r="I546" s="13">
        <f>IFERROR(VLOOKUP($A546,koronahun!$A:$AM,9,FALSE),"")</f>
        <v>2.87E-2</v>
      </c>
      <c r="J546" s="13">
        <f>IFERROR(VLOOKUP($A546,koronahun!$A:$AM,10,FALSE),"")</f>
        <v>1.3599999999999999E-2</v>
      </c>
      <c r="K546" s="13">
        <f>IFERROR(VLOOKUP($A546,koronahun!$A:$AM,11,FALSE),"")</f>
        <v>8.0000000000000002E-3</v>
      </c>
      <c r="L546">
        <f>IFERROR(VLOOKUP($A546,koronahun!$A:$AM,12,FALSE),"")</f>
        <v>1296</v>
      </c>
      <c r="M546" s="13">
        <f>IFERROR(VLOOKUP($A546,koronahun!$A:$AM,13,FALSE),"")</f>
        <v>0.10829999999999999</v>
      </c>
      <c r="N546" s="13">
        <f>IFERROR(VLOOKUP($A546,koronahun!$A:$AM,14,FALSE),"")</f>
        <v>0.66310000000000002</v>
      </c>
      <c r="O546">
        <f>IFERROR(VLOOKUP($A546,koronahun!$A:$AM,15,FALSE),"")</f>
        <v>8191</v>
      </c>
      <c r="P546">
        <f>IFERROR(VLOOKUP($A546,koronahun!$A:$AM,16,FALSE),"")</f>
        <v>3245</v>
      </c>
      <c r="Q546" s="13">
        <f>IFERROR(VLOOKUP($A546,koronahun!$A:$AM,17,FALSE),"")</f>
        <v>4.87E-2</v>
      </c>
      <c r="R546">
        <f>IFERROR(VLOOKUP($A546,koronahun!$A:$AM,18,FALSE),"")</f>
        <v>0</v>
      </c>
      <c r="S546">
        <f>IFERROR(VLOOKUP($A546,koronahun!$A:$AM,19,FALSE),"")</f>
        <v>0</v>
      </c>
      <c r="T546">
        <f>IFERROR(VLOOKUP($A546,koronahun!$A:$AM,20,FALSE),"")</f>
        <v>90</v>
      </c>
      <c r="U546">
        <f>IFERROR(VLOOKUP($A546,koronahun!$A:$AM,21,FALSE),"")</f>
        <v>7</v>
      </c>
      <c r="V546" s="13">
        <f>IFERROR(VLOOKUP($A546,koronahun!$A:$AM,22,FALSE),"")</f>
        <v>0.22861174810372201</v>
      </c>
      <c r="W546">
        <f>IFERROR(VLOOKUP($A546,koronahun!$A:$AM,23,FALSE),"")</f>
        <v>12</v>
      </c>
      <c r="X546">
        <f>IFERROR(VLOOKUP($A546,koronahun!$A:$AM,24,FALSE),"")</f>
        <v>0</v>
      </c>
      <c r="Y546" s="14">
        <f>IFERROR(VLOOKUP($A546,koronahun!$A:$AM,25,FALSE),"")</f>
        <v>6.9444444444444448E-2</v>
      </c>
      <c r="Z546" s="14">
        <f>IFERROR(VLOOKUP($A546,koronahun!$A:$AM,26,FALSE),"")</f>
        <v>7.7777777777777779E-2</v>
      </c>
      <c r="AA546" s="14">
        <f>IFERROR(VLOOKUP($A546,koronahun!$A:$AM,27,FALSE),"")</f>
        <v>2.09375</v>
      </c>
      <c r="AB546" s="14">
        <f>IFERROR(VLOOKUP($A546,koronahun!$A:$AM,28,FALSE),"")</f>
        <v>1.3929313681967568</v>
      </c>
      <c r="AC546" s="14">
        <f>IFERROR(VLOOKUP($A546,koronahun!$A:$AM,29,FALSE),"")</f>
        <v>76.571428571428569</v>
      </c>
      <c r="AD546" s="14">
        <f>IFERROR(VLOOKUP($A546,koronahun!$A:$AM,30,FALSE),"")</f>
        <v>0.42857142857142855</v>
      </c>
      <c r="AE546" s="14">
        <f>IFERROR(VLOOKUP($A546,koronahun!$A:$AM,31,FALSE),"")</f>
        <v>3282.7142857142858</v>
      </c>
      <c r="AF546" s="13">
        <f>IFERROR(VLOOKUP($A546,koronahun!$A:$AM,32,FALSE),"")</f>
        <v>2.2714285714285715E-2</v>
      </c>
      <c r="AG546">
        <f>IFERROR(VLOOKUP($A546,koronahun!$A:$AM,33,FALSE),"")</f>
        <v>0</v>
      </c>
      <c r="AH546">
        <f>IFERROR(VLOOKUP($A546,koronahun!$A:$AM,34,FALSE),"")</f>
        <v>0</v>
      </c>
      <c r="AI546">
        <f>IFERROR(VLOOKUP($A546,koronahun!$A:$AM,35,FALSE),"")</f>
        <v>0</v>
      </c>
      <c r="AJ546">
        <f>IFERROR(VLOOKUP($A546,koronahun!$A:$AM,36,FALSE),"")</f>
        <v>0</v>
      </c>
      <c r="AK546">
        <f>IFERROR(VLOOKUP($A546,koronahun!$A:$AM,37,FALSE),"")</f>
        <v>0</v>
      </c>
      <c r="AL546">
        <f>IFERROR(VLOOKUP($A546,koronahun!$A:$AM,38,FALSE),"")</f>
        <v>0</v>
      </c>
      <c r="AM546" s="14">
        <f>IFERROR(VLOOKUP($A546,koronahun!$A:$AM,39,FALSE),"")</f>
        <v>9.5714285714285712</v>
      </c>
      <c r="AN546" s="11">
        <f ca="1">IFERROR(__xludf.DUMMYFUNCTION("""COMPUTED_VALUE"""),44438)</f>
        <v>44438</v>
      </c>
      <c r="AO546" s="12">
        <f ca="1">IFERROR(VLOOKUP(AN546,koronahun!A:B,2,FALSE),"")</f>
        <v>812227</v>
      </c>
      <c r="AP546" s="11">
        <f t="shared" ca="1" si="4"/>
        <v>44438</v>
      </c>
      <c r="AQ546" s="11">
        <f ca="1">IFERROR(__xludf.DUMMYFUNCTION("""COMPUTED_VALUE"""),44470)</f>
        <v>44470</v>
      </c>
      <c r="AR546" s="11">
        <v>44073</v>
      </c>
      <c r="AS546" s="11">
        <f t="shared" si="5"/>
        <v>44073</v>
      </c>
      <c r="AT546" s="11">
        <f ca="1">IFERROR(__xludf.DUMMYFUNCTION("""COMPUTED_VALUE"""),44072)</f>
        <v>44072</v>
      </c>
    </row>
    <row r="547" spans="1:46" ht="13">
      <c r="A547" s="11">
        <v>44071</v>
      </c>
      <c r="B547">
        <f>IFERROR(VLOOKUP($A547,koronahun!$A:$AM,2,FALSE),"")</f>
        <v>5511</v>
      </c>
      <c r="C547">
        <f>IFERROR(VLOOKUP($A547,koronahun!$A:$AM,3,FALSE),"")</f>
        <v>132</v>
      </c>
      <c r="D547">
        <f>IFERROR(VLOOKUP($A547,koronahun!$A:$AM,4,FALSE),"")</f>
        <v>614</v>
      </c>
      <c r="E547">
        <f>IFERROR(VLOOKUP($A547,koronahun!$A:$AM,5,FALSE),"")</f>
        <v>3759</v>
      </c>
      <c r="F547">
        <f>IFERROR(VLOOKUP($A547,koronahun!$A:$AM,6,FALSE),"")</f>
        <v>414645</v>
      </c>
      <c r="G547" s="12">
        <f>IFERROR(VLOOKUP($A547,koronahun!$A:$AM,7,FALSE),"")</f>
        <v>42311</v>
      </c>
      <c r="H547">
        <f>IFERROR(VLOOKUP($A547,koronahun!$A:$AM,8,FALSE),"")</f>
        <v>0</v>
      </c>
      <c r="I547" s="13">
        <f>IFERROR(VLOOKUP($A547,koronahun!$A:$AM,9,FALSE),"")</f>
        <v>2.4500000000000001E-2</v>
      </c>
      <c r="J547" s="13">
        <f>IFERROR(VLOOKUP($A547,koronahun!$A:$AM,10,FALSE),"")</f>
        <v>1.3299999999999999E-2</v>
      </c>
      <c r="K547" s="13">
        <f>IFERROR(VLOOKUP($A547,koronahun!$A:$AM,11,FALSE),"")</f>
        <v>1.4E-2</v>
      </c>
      <c r="L547">
        <f>IFERROR(VLOOKUP($A547,koronahun!$A:$AM,12,FALSE),"")</f>
        <v>1138</v>
      </c>
      <c r="M547" s="13">
        <f>IFERROR(VLOOKUP($A547,koronahun!$A:$AM,13,FALSE),"")</f>
        <v>0.1114</v>
      </c>
      <c r="N547" s="13">
        <f>IFERROR(VLOOKUP($A547,koronahun!$A:$AM,14,FALSE),"")</f>
        <v>0.68210000000000004</v>
      </c>
      <c r="O547">
        <f>IFERROR(VLOOKUP($A547,koronahun!$A:$AM,15,FALSE),"")</f>
        <v>8008</v>
      </c>
      <c r="P547">
        <f>IFERROR(VLOOKUP($A547,koronahun!$A:$AM,16,FALSE),"")</f>
        <v>5846</v>
      </c>
      <c r="Q547" s="13">
        <f>IFERROR(VLOOKUP($A547,koronahun!$A:$AM,17,FALSE),"")</f>
        <v>2.2599999999999999E-2</v>
      </c>
      <c r="R547">
        <f>IFERROR(VLOOKUP($A547,koronahun!$A:$AM,18,FALSE),"")</f>
        <v>0</v>
      </c>
      <c r="S547">
        <f>IFERROR(VLOOKUP($A547,koronahun!$A:$AM,19,FALSE),"")</f>
        <v>2</v>
      </c>
      <c r="T547">
        <f>IFERROR(VLOOKUP($A547,koronahun!$A:$AM,20,FALSE),"")</f>
        <v>78</v>
      </c>
      <c r="U547">
        <f>IFERROR(VLOOKUP($A547,koronahun!$A:$AM,21,FALSE),"")</f>
        <v>7</v>
      </c>
      <c r="V547" s="13">
        <f>IFERROR(VLOOKUP($A547,koronahun!$A:$AM,22,FALSE),"")</f>
        <v>0.20649609871166758</v>
      </c>
      <c r="W547">
        <f>IFERROR(VLOOKUP($A547,koronahun!$A:$AM,23,FALSE),"")</f>
        <v>9</v>
      </c>
      <c r="X547">
        <f>IFERROR(VLOOKUP($A547,koronahun!$A:$AM,24,FALSE),"")</f>
        <v>-1</v>
      </c>
      <c r="Y547" s="14">
        <f>IFERROR(VLOOKUP($A547,koronahun!$A:$AM,25,FALSE),"")</f>
        <v>6.8541300527240778E-2</v>
      </c>
      <c r="Z547" s="14">
        <f>IFERROR(VLOOKUP($A547,koronahun!$A:$AM,26,FALSE),"")</f>
        <v>8.9743589743589744E-2</v>
      </c>
      <c r="AA547" s="14">
        <f>IFERROR(VLOOKUP($A547,koronahun!$A:$AM,27,FALSE),"")</f>
        <v>1.6857142857142857</v>
      </c>
      <c r="AB547" s="14">
        <f>IFERROR(VLOOKUP($A547,koronahun!$A:$AM,28,FALSE),"")</f>
        <v>1.2570895314620629</v>
      </c>
      <c r="AC547" s="14">
        <f>IFERROR(VLOOKUP($A547,koronahun!$A:$AM,29,FALSE),"")</f>
        <v>59</v>
      </c>
      <c r="AD547" s="14">
        <f>IFERROR(VLOOKUP($A547,koronahun!$A:$AM,30,FALSE),"")</f>
        <v>0.42857142857142855</v>
      </c>
      <c r="AE547" s="14">
        <f>IFERROR(VLOOKUP($A547,koronahun!$A:$AM,31,FALSE),"")</f>
        <v>3030.5714285714284</v>
      </c>
      <c r="AF547" s="13">
        <f>IFERROR(VLOOKUP($A547,koronahun!$A:$AM,32,FALSE),"")</f>
        <v>1.9128571428571432E-2</v>
      </c>
      <c r="AG547">
        <f>IFERROR(VLOOKUP($A547,koronahun!$A:$AM,33,FALSE),"")</f>
        <v>0</v>
      </c>
      <c r="AH547">
        <f>IFERROR(VLOOKUP($A547,koronahun!$A:$AM,34,FALSE),"")</f>
        <v>0</v>
      </c>
      <c r="AI547">
        <f>IFERROR(VLOOKUP($A547,koronahun!$A:$AM,35,FALSE),"")</f>
        <v>0</v>
      </c>
      <c r="AJ547">
        <f>IFERROR(VLOOKUP($A547,koronahun!$A:$AM,36,FALSE),"")</f>
        <v>0</v>
      </c>
      <c r="AK547">
        <f>IFERROR(VLOOKUP($A547,koronahun!$A:$AM,37,FALSE),"")</f>
        <v>0</v>
      </c>
      <c r="AL547">
        <f>IFERROR(VLOOKUP($A547,koronahun!$A:$AM,38,FALSE),"")</f>
        <v>0</v>
      </c>
      <c r="AM547" s="14">
        <f>IFERROR(VLOOKUP($A547,koronahun!$A:$AM,39,FALSE),"")</f>
        <v>11.142857142857142</v>
      </c>
      <c r="AN547" s="11">
        <f ca="1">IFERROR(__xludf.DUMMYFUNCTION("""COMPUTED_VALUE"""),44439)</f>
        <v>44439</v>
      </c>
      <c r="AO547" s="12">
        <f ca="1">IFERROR(VLOOKUP(AN547,koronahun!A:B,2,FALSE),"")</f>
        <v>812337</v>
      </c>
      <c r="AP547" s="11">
        <f t="shared" ca="1" si="4"/>
        <v>44439</v>
      </c>
      <c r="AQ547" s="11">
        <f ca="1">IFERROR(__xludf.DUMMYFUNCTION("""COMPUTED_VALUE"""),44473)</f>
        <v>44473</v>
      </c>
      <c r="AR547" s="11">
        <v>44072</v>
      </c>
      <c r="AS547" s="11">
        <f t="shared" si="5"/>
        <v>44072</v>
      </c>
      <c r="AT547" s="11">
        <f ca="1">IFERROR(__xludf.DUMMYFUNCTION("""COMPUTED_VALUE"""),44071)</f>
        <v>44071</v>
      </c>
    </row>
    <row r="548" spans="1:46" ht="13">
      <c r="A548" s="11">
        <v>44070</v>
      </c>
      <c r="B548">
        <f>IFERROR(VLOOKUP($A548,koronahun!$A:$AM,2,FALSE),"")</f>
        <v>5379</v>
      </c>
      <c r="C548">
        <f>IFERROR(VLOOKUP($A548,koronahun!$A:$AM,3,FALSE),"")</f>
        <v>91</v>
      </c>
      <c r="D548">
        <f>IFERROR(VLOOKUP($A548,koronahun!$A:$AM,4,FALSE),"")</f>
        <v>614</v>
      </c>
      <c r="E548">
        <f>IFERROR(VLOOKUP($A548,koronahun!$A:$AM,5,FALSE),"")</f>
        <v>3757</v>
      </c>
      <c r="F548">
        <f>IFERROR(VLOOKUP($A548,koronahun!$A:$AM,6,FALSE),"")</f>
        <v>408799</v>
      </c>
      <c r="G548" s="12">
        <f>IFERROR(VLOOKUP($A548,koronahun!$A:$AM,7,FALSE),"")</f>
        <v>41714</v>
      </c>
      <c r="H548">
        <f>IFERROR(VLOOKUP($A548,koronahun!$A:$AM,8,FALSE),"")</f>
        <v>0</v>
      </c>
      <c r="I548" s="13">
        <f>IFERROR(VLOOKUP($A548,koronahun!$A:$AM,9,FALSE),"")</f>
        <v>1.72E-2</v>
      </c>
      <c r="J548" s="13">
        <f>IFERROR(VLOOKUP($A548,koronahun!$A:$AM,10,FALSE),"")</f>
        <v>1.32E-2</v>
      </c>
      <c r="K548" s="13">
        <f>IFERROR(VLOOKUP($A548,koronahun!$A:$AM,11,FALSE),"")</f>
        <v>8.9999999999999993E-3</v>
      </c>
      <c r="L548">
        <f>IFERROR(VLOOKUP($A548,koronahun!$A:$AM,12,FALSE),"")</f>
        <v>1008</v>
      </c>
      <c r="M548" s="13">
        <f>IFERROR(VLOOKUP($A548,koronahun!$A:$AM,13,FALSE),"")</f>
        <v>0.11409999999999999</v>
      </c>
      <c r="N548" s="13">
        <f>IFERROR(VLOOKUP($A548,koronahun!$A:$AM,14,FALSE),"")</f>
        <v>0.69850000000000001</v>
      </c>
      <c r="O548">
        <f>IFERROR(VLOOKUP($A548,koronahun!$A:$AM,15,FALSE),"")</f>
        <v>0</v>
      </c>
      <c r="P548">
        <f>IFERROR(VLOOKUP($A548,koronahun!$A:$AM,16,FALSE),"")</f>
        <v>3732</v>
      </c>
      <c r="Q548" s="13">
        <f>IFERROR(VLOOKUP($A548,koronahun!$A:$AM,17,FALSE),"")</f>
        <v>2.4400000000000002E-2</v>
      </c>
      <c r="R548">
        <f>IFERROR(VLOOKUP($A548,koronahun!$A:$AM,18,FALSE),"")</f>
        <v>0</v>
      </c>
      <c r="S548">
        <f>IFERROR(VLOOKUP($A548,koronahun!$A:$AM,19,FALSE),"")</f>
        <v>23</v>
      </c>
      <c r="T548">
        <f>IFERROR(VLOOKUP($A548,koronahun!$A:$AM,20,FALSE),"")</f>
        <v>69</v>
      </c>
      <c r="U548">
        <f>IFERROR(VLOOKUP($A548,koronahun!$A:$AM,21,FALSE),"")</f>
        <v>8</v>
      </c>
      <c r="V548" s="13">
        <f>IFERROR(VLOOKUP($A548,koronahun!$A:$AM,22,FALSE),"")</f>
        <v>0.18739542665923034</v>
      </c>
      <c r="W548">
        <f>IFERROR(VLOOKUP($A548,koronahun!$A:$AM,23,FALSE),"")</f>
        <v>5</v>
      </c>
      <c r="X548">
        <f>IFERROR(VLOOKUP($A548,koronahun!$A:$AM,24,FALSE),"")</f>
        <v>1</v>
      </c>
      <c r="Y548" s="14">
        <f>IFERROR(VLOOKUP($A548,koronahun!$A:$AM,25,FALSE),"")</f>
        <v>6.8452380952380959E-2</v>
      </c>
      <c r="Z548" s="14">
        <f>IFERROR(VLOOKUP($A548,koronahun!$A:$AM,26,FALSE),"")</f>
        <v>0.11594202898550725</v>
      </c>
      <c r="AA548" s="14">
        <f>IFERROR(VLOOKUP($A548,koronahun!$A:$AM,27,FALSE),"")</f>
        <v>1.4291845493562232</v>
      </c>
      <c r="AB548" s="14">
        <f>IFERROR(VLOOKUP($A548,koronahun!$A:$AM,28,FALSE),"")</f>
        <v>1.1671352738969678</v>
      </c>
      <c r="AC548" s="14">
        <f>IFERROR(VLOOKUP($A548,koronahun!$A:$AM,29,FALSE),"")</f>
        <v>47.571428571428569</v>
      </c>
      <c r="AD548" s="14">
        <f>IFERROR(VLOOKUP($A548,koronahun!$A:$AM,30,FALSE),"")</f>
        <v>0.7142857142857143</v>
      </c>
      <c r="AE548" s="14">
        <f>IFERROR(VLOOKUP($A548,koronahun!$A:$AM,31,FALSE),"")</f>
        <v>2674.2857142857142</v>
      </c>
      <c r="AF548" s="13">
        <f>IFERROR(VLOOKUP($A548,koronahun!$A:$AM,32,FALSE),"")</f>
        <v>1.8114285714285715E-2</v>
      </c>
      <c r="AG548">
        <f>IFERROR(VLOOKUP($A548,koronahun!$A:$AM,33,FALSE),"")</f>
        <v>0</v>
      </c>
      <c r="AH548">
        <f>IFERROR(VLOOKUP($A548,koronahun!$A:$AM,34,FALSE),"")</f>
        <v>0</v>
      </c>
      <c r="AI548">
        <f>IFERROR(VLOOKUP($A548,koronahun!$A:$AM,35,FALSE),"")</f>
        <v>0</v>
      </c>
      <c r="AJ548">
        <f>IFERROR(VLOOKUP($A548,koronahun!$A:$AM,36,FALSE),"")</f>
        <v>0</v>
      </c>
      <c r="AK548">
        <f>IFERROR(VLOOKUP($A548,koronahun!$A:$AM,37,FALSE),"")</f>
        <v>0</v>
      </c>
      <c r="AL548">
        <f>IFERROR(VLOOKUP($A548,koronahun!$A:$AM,38,FALSE),"")</f>
        <v>0</v>
      </c>
      <c r="AM548" s="14">
        <f>IFERROR(VLOOKUP($A548,koronahun!$A:$AM,39,FALSE),"")</f>
        <v>11.285714285714286</v>
      </c>
      <c r="AN548" s="11">
        <f ca="1">IFERROR(__xludf.DUMMYFUNCTION("""COMPUTED_VALUE"""),44440)</f>
        <v>44440</v>
      </c>
      <c r="AO548" s="12">
        <f ca="1">IFERROR(VLOOKUP(AN548,koronahun!A:B,2,FALSE),"")</f>
        <v>812531</v>
      </c>
      <c r="AP548" s="11">
        <f t="shared" ca="1" si="4"/>
        <v>44440</v>
      </c>
      <c r="AQ548" s="11">
        <f ca="1">IFERROR(__xludf.DUMMYFUNCTION("""COMPUTED_VALUE"""),44474)</f>
        <v>44474</v>
      </c>
      <c r="AR548" s="11">
        <v>44071</v>
      </c>
      <c r="AS548" s="11">
        <f t="shared" si="5"/>
        <v>44071</v>
      </c>
      <c r="AT548" s="11">
        <f ca="1">IFERROR(__xludf.DUMMYFUNCTION("""COMPUTED_VALUE"""),44070)</f>
        <v>44070</v>
      </c>
    </row>
    <row r="549" spans="1:46" ht="13">
      <c r="A549" s="11">
        <v>44069</v>
      </c>
      <c r="B549">
        <f>IFERROR(VLOOKUP($A549,koronahun!$A:$AM,2,FALSE),"")</f>
        <v>5288</v>
      </c>
      <c r="C549">
        <f>IFERROR(VLOOKUP($A549,koronahun!$A:$AM,3,FALSE),"")</f>
        <v>73</v>
      </c>
      <c r="D549">
        <f>IFERROR(VLOOKUP($A549,koronahun!$A:$AM,4,FALSE),"")</f>
        <v>614</v>
      </c>
      <c r="E549">
        <f>IFERROR(VLOOKUP($A549,koronahun!$A:$AM,5,FALSE),"")</f>
        <v>3734</v>
      </c>
      <c r="F549">
        <f>IFERROR(VLOOKUP($A549,koronahun!$A:$AM,6,FALSE),"")</f>
        <v>405067</v>
      </c>
      <c r="G549" s="12">
        <f>IFERROR(VLOOKUP($A549,koronahun!$A:$AM,7,FALSE),"")</f>
        <v>41333</v>
      </c>
      <c r="H549">
        <f>IFERROR(VLOOKUP($A549,koronahun!$A:$AM,8,FALSE),"")</f>
        <v>0</v>
      </c>
      <c r="I549" s="13">
        <f>IFERROR(VLOOKUP($A549,koronahun!$A:$AM,9,FALSE),"")</f>
        <v>1.4E-2</v>
      </c>
      <c r="J549" s="13">
        <f>IFERROR(VLOOKUP($A549,koronahun!$A:$AM,10,FALSE),"")</f>
        <v>1.3100000000000001E-2</v>
      </c>
      <c r="K549" s="13">
        <f>IFERROR(VLOOKUP($A549,koronahun!$A:$AM,11,FALSE),"")</f>
        <v>1.0999999999999999E-2</v>
      </c>
      <c r="L549">
        <f>IFERROR(VLOOKUP($A549,koronahun!$A:$AM,12,FALSE),"")</f>
        <v>940</v>
      </c>
      <c r="M549" s="13">
        <f>IFERROR(VLOOKUP($A549,koronahun!$A:$AM,13,FALSE),"")</f>
        <v>0.11609999999999999</v>
      </c>
      <c r="N549" s="13">
        <f>IFERROR(VLOOKUP($A549,koronahun!$A:$AM,14,FALSE),"")</f>
        <v>0.70609999999999995</v>
      </c>
      <c r="O549">
        <f>IFERROR(VLOOKUP($A549,koronahun!$A:$AM,15,FALSE),"")</f>
        <v>7707</v>
      </c>
      <c r="P549">
        <f>IFERROR(VLOOKUP($A549,koronahun!$A:$AM,16,FALSE),"")</f>
        <v>4625</v>
      </c>
      <c r="Q549" s="13">
        <f>IFERROR(VLOOKUP($A549,koronahun!$A:$AM,17,FALSE),"")</f>
        <v>1.5800000000000002E-2</v>
      </c>
      <c r="R549">
        <f>IFERROR(VLOOKUP($A549,koronahun!$A:$AM,18,FALSE),"")</f>
        <v>0</v>
      </c>
      <c r="S549">
        <f>IFERROR(VLOOKUP($A549,koronahun!$A:$AM,19,FALSE),"")</f>
        <v>18</v>
      </c>
      <c r="T549">
        <f>IFERROR(VLOOKUP($A549,koronahun!$A:$AM,20,FALSE),"")</f>
        <v>64</v>
      </c>
      <c r="U549">
        <f>IFERROR(VLOOKUP($A549,koronahun!$A:$AM,21,FALSE),"")</f>
        <v>7</v>
      </c>
      <c r="V549" s="13">
        <f>IFERROR(VLOOKUP($A549,koronahun!$A:$AM,22,FALSE),"")</f>
        <v>0.1777609682299546</v>
      </c>
      <c r="W549">
        <f>IFERROR(VLOOKUP($A549,koronahun!$A:$AM,23,FALSE),"")</f>
        <v>7</v>
      </c>
      <c r="X549">
        <f>IFERROR(VLOOKUP($A549,koronahun!$A:$AM,24,FALSE),"")</f>
        <v>0</v>
      </c>
      <c r="Y549" s="14">
        <f>IFERROR(VLOOKUP($A549,koronahun!$A:$AM,25,FALSE),"")</f>
        <v>6.8085106382978725E-2</v>
      </c>
      <c r="Z549" s="14">
        <f>IFERROR(VLOOKUP($A549,koronahun!$A:$AM,26,FALSE),"")</f>
        <v>0.109375</v>
      </c>
      <c r="AA549" s="14">
        <f>IFERROR(VLOOKUP($A549,koronahun!$A:$AM,27,FALSE),"")</f>
        <v>1.2222222222222223</v>
      </c>
      <c r="AB549" s="14">
        <f>IFERROR(VLOOKUP($A549,koronahun!$A:$AM,28,FALSE),"")</f>
        <v>1.1170665816608938</v>
      </c>
      <c r="AC549" s="14">
        <f>IFERROR(VLOOKUP($A549,koronahun!$A:$AM,29,FALSE),"")</f>
        <v>40.857142857142854</v>
      </c>
      <c r="AD549" s="14">
        <f>IFERROR(VLOOKUP($A549,koronahun!$A:$AM,30,FALSE),"")</f>
        <v>0.7142857142857143</v>
      </c>
      <c r="AE549" s="14">
        <f>IFERROR(VLOOKUP($A549,koronahun!$A:$AM,31,FALSE),"")</f>
        <v>2565.1428571428573</v>
      </c>
      <c r="AF549" s="13">
        <f>IFERROR(VLOOKUP($A549,koronahun!$A:$AM,32,FALSE),"")</f>
        <v>1.6742857142857143E-2</v>
      </c>
      <c r="AG549">
        <f>IFERROR(VLOOKUP($A549,koronahun!$A:$AM,33,FALSE),"")</f>
        <v>0</v>
      </c>
      <c r="AH549">
        <f>IFERROR(VLOOKUP($A549,koronahun!$A:$AM,34,FALSE),"")</f>
        <v>0</v>
      </c>
      <c r="AI549">
        <f>IFERROR(VLOOKUP($A549,koronahun!$A:$AM,35,FALSE),"")</f>
        <v>0</v>
      </c>
      <c r="AJ549">
        <f>IFERROR(VLOOKUP($A549,koronahun!$A:$AM,36,FALSE),"")</f>
        <v>0</v>
      </c>
      <c r="AK549">
        <f>IFERROR(VLOOKUP($A549,koronahun!$A:$AM,37,FALSE),"")</f>
        <v>0</v>
      </c>
      <c r="AL549">
        <f>IFERROR(VLOOKUP($A549,koronahun!$A:$AM,38,FALSE),"")</f>
        <v>0</v>
      </c>
      <c r="AM549" s="14">
        <f>IFERROR(VLOOKUP($A549,koronahun!$A:$AM,39,FALSE),"")</f>
        <v>9.8571428571428577</v>
      </c>
      <c r="AN549" s="11">
        <f ca="1">IFERROR(__xludf.DUMMYFUNCTION("""COMPUTED_VALUE"""),44441)</f>
        <v>44441</v>
      </c>
      <c r="AO549" s="12">
        <f ca="1">IFERROR(VLOOKUP(AN549,koronahun!A:B,2,FALSE),"")</f>
        <v>812793</v>
      </c>
      <c r="AP549" s="11">
        <f t="shared" ca="1" si="4"/>
        <v>44441</v>
      </c>
      <c r="AQ549" s="11">
        <f ca="1">IFERROR(__xludf.DUMMYFUNCTION("""COMPUTED_VALUE"""),44475)</f>
        <v>44475</v>
      </c>
      <c r="AR549" s="11">
        <v>44070</v>
      </c>
      <c r="AS549" s="11">
        <f t="shared" si="5"/>
        <v>44070</v>
      </c>
      <c r="AT549" s="11">
        <f ca="1">IFERROR(__xludf.DUMMYFUNCTION("""COMPUTED_VALUE"""),44069)</f>
        <v>44069</v>
      </c>
    </row>
    <row r="550" spans="1:46" ht="13">
      <c r="A550" s="11">
        <v>44068</v>
      </c>
      <c r="B550">
        <f>IFERROR(VLOOKUP($A550,koronahun!$A:$AM,2,FALSE),"")</f>
        <v>5215</v>
      </c>
      <c r="C550">
        <f>IFERROR(VLOOKUP($A550,koronahun!$A:$AM,3,FALSE),"")</f>
        <v>24</v>
      </c>
      <c r="D550">
        <f>IFERROR(VLOOKUP($A550,koronahun!$A:$AM,4,FALSE),"")</f>
        <v>614</v>
      </c>
      <c r="E550">
        <f>IFERROR(VLOOKUP($A550,koronahun!$A:$AM,5,FALSE),"")</f>
        <v>3716</v>
      </c>
      <c r="F550">
        <f>IFERROR(VLOOKUP($A550,koronahun!$A:$AM,6,FALSE),"")</f>
        <v>400442</v>
      </c>
      <c r="G550" s="12">
        <f>IFERROR(VLOOKUP($A550,koronahun!$A:$AM,7,FALSE),"")</f>
        <v>40861</v>
      </c>
      <c r="H550">
        <f>IFERROR(VLOOKUP($A550,koronahun!$A:$AM,8,FALSE),"")</f>
        <v>0</v>
      </c>
      <c r="I550" s="13">
        <f>IFERROR(VLOOKUP($A550,koronahun!$A:$AM,9,FALSE),"")</f>
        <v>4.5999999999999999E-3</v>
      </c>
      <c r="J550" s="13">
        <f>IFERROR(VLOOKUP($A550,koronahun!$A:$AM,10,FALSE),"")</f>
        <v>1.2999999999999999E-2</v>
      </c>
      <c r="K550" s="13">
        <f>IFERROR(VLOOKUP($A550,koronahun!$A:$AM,11,FALSE),"")</f>
        <v>5.0000000000000001E-3</v>
      </c>
      <c r="L550">
        <f>IFERROR(VLOOKUP($A550,koronahun!$A:$AM,12,FALSE),"")</f>
        <v>885</v>
      </c>
      <c r="M550" s="13">
        <f>IFERROR(VLOOKUP($A550,koronahun!$A:$AM,13,FALSE),"")</f>
        <v>0.1177</v>
      </c>
      <c r="N550" s="13">
        <f>IFERROR(VLOOKUP($A550,koronahun!$A:$AM,14,FALSE),"")</f>
        <v>0.71260000000000001</v>
      </c>
      <c r="O550">
        <f>IFERROR(VLOOKUP($A550,koronahun!$A:$AM,15,FALSE),"")</f>
        <v>0</v>
      </c>
      <c r="P550">
        <f>IFERROR(VLOOKUP($A550,koronahun!$A:$AM,16,FALSE),"")</f>
        <v>1892</v>
      </c>
      <c r="Q550" s="13">
        <f>IFERROR(VLOOKUP($A550,koronahun!$A:$AM,17,FALSE),"")</f>
        <v>1.2699999999999999E-2</v>
      </c>
      <c r="R550">
        <f>IFERROR(VLOOKUP($A550,koronahun!$A:$AM,18,FALSE),"")</f>
        <v>1</v>
      </c>
      <c r="S550">
        <f>IFERROR(VLOOKUP($A550,koronahun!$A:$AM,19,FALSE),"")</f>
        <v>21</v>
      </c>
      <c r="T550">
        <f>IFERROR(VLOOKUP($A550,koronahun!$A:$AM,20,FALSE),"")</f>
        <v>57</v>
      </c>
      <c r="U550">
        <f>IFERROR(VLOOKUP($A550,koronahun!$A:$AM,21,FALSE),"")</f>
        <v>7</v>
      </c>
      <c r="V550" s="13">
        <f>IFERROR(VLOOKUP($A550,koronahun!$A:$AM,22,FALSE),"")</f>
        <v>0.16970278044103548</v>
      </c>
      <c r="W550">
        <f>IFERROR(VLOOKUP($A550,koronahun!$A:$AM,23,FALSE),"")</f>
        <v>-2</v>
      </c>
      <c r="X550">
        <f>IFERROR(VLOOKUP($A550,koronahun!$A:$AM,24,FALSE),"")</f>
        <v>-2</v>
      </c>
      <c r="Y550" s="14">
        <f>IFERROR(VLOOKUP($A550,koronahun!$A:$AM,25,FALSE),"")</f>
        <v>6.4406779661016947E-2</v>
      </c>
      <c r="Z550" s="14">
        <f>IFERROR(VLOOKUP($A550,koronahun!$A:$AM,26,FALSE),"")</f>
        <v>0.12280701754385964</v>
      </c>
      <c r="AA550" s="14">
        <f>IFERROR(VLOOKUP($A550,koronahun!$A:$AM,27,FALSE),"")</f>
        <v>1.09375</v>
      </c>
      <c r="AB550" s="14">
        <f>IFERROR(VLOOKUP($A550,koronahun!$A:$AM,28,FALSE),"")</f>
        <v>1.1063289532762064</v>
      </c>
      <c r="AC550" s="14">
        <f>IFERROR(VLOOKUP($A550,koronahun!$A:$AM,29,FALSE),"")</f>
        <v>35</v>
      </c>
      <c r="AD550" s="14">
        <f>IFERROR(VLOOKUP($A550,koronahun!$A:$AM,30,FALSE),"")</f>
        <v>0.7142857142857143</v>
      </c>
      <c r="AE550" s="14">
        <f>IFERROR(VLOOKUP($A550,koronahun!$A:$AM,31,FALSE),"")</f>
        <v>2433</v>
      </c>
      <c r="AF550" s="13">
        <f>IFERROR(VLOOKUP($A550,koronahun!$A:$AM,32,FALSE),"")</f>
        <v>1.5714285714285715E-2</v>
      </c>
      <c r="AG550">
        <f>IFERROR(VLOOKUP($A550,koronahun!$A:$AM,33,FALSE),"")</f>
        <v>0</v>
      </c>
      <c r="AH550">
        <f>IFERROR(VLOOKUP($A550,koronahun!$A:$AM,34,FALSE),"")</f>
        <v>0</v>
      </c>
      <c r="AI550">
        <f>IFERROR(VLOOKUP($A550,koronahun!$A:$AM,35,FALSE),"")</f>
        <v>0</v>
      </c>
      <c r="AJ550">
        <f>IFERROR(VLOOKUP($A550,koronahun!$A:$AM,36,FALSE),"")</f>
        <v>0</v>
      </c>
      <c r="AK550">
        <f>IFERROR(VLOOKUP($A550,koronahun!$A:$AM,37,FALSE),"")</f>
        <v>0</v>
      </c>
      <c r="AL550">
        <f>IFERROR(VLOOKUP($A550,koronahun!$A:$AM,38,FALSE),"")</f>
        <v>0</v>
      </c>
      <c r="AM550" s="14">
        <f>IFERROR(VLOOKUP($A550,koronahun!$A:$AM,39,FALSE),"")</f>
        <v>12.142857142857142</v>
      </c>
      <c r="AN550" s="11">
        <f ca="1">IFERROR(__xludf.DUMMYFUNCTION("""COMPUTED_VALUE"""),44442)</f>
        <v>44442</v>
      </c>
      <c r="AO550" s="12">
        <f ca="1">IFERROR(VLOOKUP(AN550,koronahun!A:B,2,FALSE),"")</f>
        <v>813040</v>
      </c>
      <c r="AP550" s="11">
        <f t="shared" ca="1" si="4"/>
        <v>44442</v>
      </c>
      <c r="AQ550" s="11">
        <f ca="1">IFERROR(__xludf.DUMMYFUNCTION("""COMPUTED_VALUE"""),44476)</f>
        <v>44476</v>
      </c>
      <c r="AR550" s="11">
        <v>44069</v>
      </c>
      <c r="AS550" s="11">
        <f t="shared" si="5"/>
        <v>44069</v>
      </c>
      <c r="AT550" s="11">
        <f ca="1">IFERROR(__xludf.DUMMYFUNCTION("""COMPUTED_VALUE"""),44068)</f>
        <v>44068</v>
      </c>
    </row>
    <row r="551" spans="1:46" ht="13">
      <c r="A551" s="11">
        <v>44067</v>
      </c>
      <c r="B551">
        <f>IFERROR(VLOOKUP($A551,koronahun!$A:$AM,2,FALSE),"")</f>
        <v>5191</v>
      </c>
      <c r="C551">
        <f>IFERROR(VLOOKUP($A551,koronahun!$A:$AM,3,FALSE),"")</f>
        <v>36</v>
      </c>
      <c r="D551">
        <f>IFERROR(VLOOKUP($A551,koronahun!$A:$AM,4,FALSE),"")</f>
        <v>613</v>
      </c>
      <c r="E551">
        <f>IFERROR(VLOOKUP($A551,koronahun!$A:$AM,5,FALSE),"")</f>
        <v>3695</v>
      </c>
      <c r="F551">
        <f>IFERROR(VLOOKUP($A551,koronahun!$A:$AM,6,FALSE),"")</f>
        <v>398550</v>
      </c>
      <c r="G551" s="12">
        <f>IFERROR(VLOOKUP($A551,koronahun!$A:$AM,7,FALSE),"")</f>
        <v>40668</v>
      </c>
      <c r="H551">
        <f>IFERROR(VLOOKUP($A551,koronahun!$A:$AM,8,FALSE),"")</f>
        <v>0</v>
      </c>
      <c r="I551" s="13">
        <f>IFERROR(VLOOKUP($A551,koronahun!$A:$AM,9,FALSE),"")</f>
        <v>7.0000000000000001E-3</v>
      </c>
      <c r="J551" s="13">
        <f>IFERROR(VLOOKUP($A551,koronahun!$A:$AM,10,FALSE),"")</f>
        <v>1.2999999999999999E-2</v>
      </c>
      <c r="K551" s="13">
        <f>IFERROR(VLOOKUP($A551,koronahun!$A:$AM,11,FALSE),"")</f>
        <v>4.0000000000000001E-3</v>
      </c>
      <c r="L551">
        <f>IFERROR(VLOOKUP($A551,koronahun!$A:$AM,12,FALSE),"")</f>
        <v>883</v>
      </c>
      <c r="M551" s="13">
        <f>IFERROR(VLOOKUP($A551,koronahun!$A:$AM,13,FALSE),"")</f>
        <v>0.1181</v>
      </c>
      <c r="N551" s="13">
        <f>IFERROR(VLOOKUP($A551,koronahun!$A:$AM,14,FALSE),"")</f>
        <v>0.71179999999999999</v>
      </c>
      <c r="O551">
        <f>IFERROR(VLOOKUP($A551,koronahun!$A:$AM,15,FALSE),"")</f>
        <v>7917</v>
      </c>
      <c r="P551">
        <f>IFERROR(VLOOKUP($A551,koronahun!$A:$AM,16,FALSE),"")</f>
        <v>1458</v>
      </c>
      <c r="Q551" s="13">
        <f>IFERROR(VLOOKUP($A551,koronahun!$A:$AM,17,FALSE),"")</f>
        <v>2.47E-2</v>
      </c>
      <c r="R551">
        <f>IFERROR(VLOOKUP($A551,koronahun!$A:$AM,18,FALSE),"")</f>
        <v>0</v>
      </c>
      <c r="S551">
        <f>IFERROR(VLOOKUP($A551,koronahun!$A:$AM,19,FALSE),"")</f>
        <v>0</v>
      </c>
      <c r="T551">
        <f>IFERROR(VLOOKUP($A551,koronahun!$A:$AM,20,FALSE),"")</f>
        <v>59</v>
      </c>
      <c r="U551">
        <f>IFERROR(VLOOKUP($A551,koronahun!$A:$AM,21,FALSE),"")</f>
        <v>9</v>
      </c>
      <c r="V551" s="13">
        <f>IFERROR(VLOOKUP($A551,koronahun!$A:$AM,22,FALSE),"")</f>
        <v>0.17010209978809479</v>
      </c>
      <c r="W551">
        <f>IFERROR(VLOOKUP($A551,koronahun!$A:$AM,23,FALSE),"")</f>
        <v>0</v>
      </c>
      <c r="X551">
        <f>IFERROR(VLOOKUP($A551,koronahun!$A:$AM,24,FALSE),"")</f>
        <v>2</v>
      </c>
      <c r="Y551" s="14">
        <f>IFERROR(VLOOKUP($A551,koronahun!$A:$AM,25,FALSE),"")</f>
        <v>6.6817667044167611E-2</v>
      </c>
      <c r="Z551" s="14">
        <f>IFERROR(VLOOKUP($A551,koronahun!$A:$AM,26,FALSE),"")</f>
        <v>0.15254237288135594</v>
      </c>
      <c r="AA551" s="14">
        <f>IFERROR(VLOOKUP($A551,koronahun!$A:$AM,27,FALSE),"")</f>
        <v>1.1395348837209303</v>
      </c>
      <c r="AB551" s="14">
        <f>IFERROR(VLOOKUP($A551,koronahun!$A:$AM,28,FALSE),"")</f>
        <v>1.1158820620844967</v>
      </c>
      <c r="AC551" s="14">
        <f>IFERROR(VLOOKUP($A551,koronahun!$A:$AM,29,FALSE),"")</f>
        <v>35</v>
      </c>
      <c r="AD551" s="14">
        <f>IFERROR(VLOOKUP($A551,koronahun!$A:$AM,30,FALSE),"")</f>
        <v>0.7142857142857143</v>
      </c>
      <c r="AE551" s="14">
        <f>IFERROR(VLOOKUP($A551,koronahun!$A:$AM,31,FALSE),"")</f>
        <v>2516.8571428571427</v>
      </c>
      <c r="AF551" s="13">
        <f>IFERROR(VLOOKUP($A551,koronahun!$A:$AM,32,FALSE),"")</f>
        <v>1.5285714285714286E-2</v>
      </c>
      <c r="AG551">
        <f>IFERROR(VLOOKUP($A551,koronahun!$A:$AM,33,FALSE),"")</f>
        <v>0</v>
      </c>
      <c r="AH551">
        <f>IFERROR(VLOOKUP($A551,koronahun!$A:$AM,34,FALSE),"")</f>
        <v>0</v>
      </c>
      <c r="AI551">
        <f>IFERROR(VLOOKUP($A551,koronahun!$A:$AM,35,FALSE),"")</f>
        <v>0</v>
      </c>
      <c r="AJ551">
        <f>IFERROR(VLOOKUP($A551,koronahun!$A:$AM,36,FALSE),"")</f>
        <v>0</v>
      </c>
      <c r="AK551">
        <f>IFERROR(VLOOKUP($A551,koronahun!$A:$AM,37,FALSE),"")</f>
        <v>0</v>
      </c>
      <c r="AL551">
        <f>IFERROR(VLOOKUP($A551,koronahun!$A:$AM,38,FALSE),"")</f>
        <v>0</v>
      </c>
      <c r="AM551" s="14">
        <f>IFERROR(VLOOKUP($A551,koronahun!$A:$AM,39,FALSE),"")</f>
        <v>9.2857142857142865</v>
      </c>
      <c r="AN551" s="11">
        <f ca="1">IFERROR(__xludf.DUMMYFUNCTION("""COMPUTED_VALUE"""),44443)</f>
        <v>44443</v>
      </c>
      <c r="AO551" s="12">
        <f ca="1">IFERROR(VLOOKUP(AN551,koronahun!A:B,2,FALSE),"")</f>
        <v>0</v>
      </c>
      <c r="AP551" s="11">
        <f t="shared" ca="1" si="4"/>
        <v>44443</v>
      </c>
      <c r="AQ551" s="11">
        <f ca="1">IFERROR(__xludf.DUMMYFUNCTION("""COMPUTED_VALUE"""),44477)</f>
        <v>44477</v>
      </c>
      <c r="AR551" s="11">
        <v>44068</v>
      </c>
      <c r="AS551" s="11">
        <f t="shared" si="5"/>
        <v>44068</v>
      </c>
      <c r="AT551" s="11">
        <f ca="1">IFERROR(__xludf.DUMMYFUNCTION("""COMPUTED_VALUE"""),44067)</f>
        <v>44067</v>
      </c>
    </row>
    <row r="552" spans="1:46" ht="13">
      <c r="A552" s="11">
        <v>44066</v>
      </c>
      <c r="B552">
        <f>IFERROR(VLOOKUP($A552,koronahun!$A:$AM,2,FALSE),"")</f>
        <v>5155</v>
      </c>
      <c r="C552">
        <f>IFERROR(VLOOKUP($A552,koronahun!$A:$AM,3,FALSE),"")</f>
        <v>22</v>
      </c>
      <c r="D552">
        <f>IFERROR(VLOOKUP($A552,koronahun!$A:$AM,4,FALSE),"")</f>
        <v>613</v>
      </c>
      <c r="E552">
        <f>IFERROR(VLOOKUP($A552,koronahun!$A:$AM,5,FALSE),"")</f>
        <v>3695</v>
      </c>
      <c r="F552">
        <f>IFERROR(VLOOKUP($A552,koronahun!$A:$AM,6,FALSE),"")</f>
        <v>397092</v>
      </c>
      <c r="G552" s="12">
        <f>IFERROR(VLOOKUP($A552,koronahun!$A:$AM,7,FALSE),"")</f>
        <v>40520</v>
      </c>
      <c r="H552">
        <f>IFERROR(VLOOKUP($A552,koronahun!$A:$AM,8,FALSE),"")</f>
        <v>0</v>
      </c>
      <c r="I552" s="13">
        <f>IFERROR(VLOOKUP($A552,koronahun!$A:$AM,9,FALSE),"")</f>
        <v>4.3E-3</v>
      </c>
      <c r="J552" s="13">
        <f>IFERROR(VLOOKUP($A552,koronahun!$A:$AM,10,FALSE),"")</f>
        <v>1.2999999999999999E-2</v>
      </c>
      <c r="K552" s="13">
        <f>IFERROR(VLOOKUP($A552,koronahun!$A:$AM,11,FALSE),"")</f>
        <v>5.0000000000000001E-3</v>
      </c>
      <c r="L552">
        <f>IFERROR(VLOOKUP($A552,koronahun!$A:$AM,12,FALSE),"")</f>
        <v>847</v>
      </c>
      <c r="M552" s="13">
        <f>IFERROR(VLOOKUP($A552,koronahun!$A:$AM,13,FALSE),"")</f>
        <v>0.11890000000000001</v>
      </c>
      <c r="N552" s="13">
        <f>IFERROR(VLOOKUP($A552,koronahun!$A:$AM,14,FALSE),"")</f>
        <v>0.71679999999999999</v>
      </c>
      <c r="O552">
        <f>IFERROR(VLOOKUP($A552,koronahun!$A:$AM,15,FALSE),"")</f>
        <v>7470</v>
      </c>
      <c r="P552">
        <f>IFERROR(VLOOKUP($A552,koronahun!$A:$AM,16,FALSE),"")</f>
        <v>2181</v>
      </c>
      <c r="Q552" s="13">
        <f>IFERROR(VLOOKUP($A552,koronahun!$A:$AM,17,FALSE),"")</f>
        <v>1.01E-2</v>
      </c>
      <c r="R552">
        <f>IFERROR(VLOOKUP($A552,koronahun!$A:$AM,18,FALSE),"")</f>
        <v>2</v>
      </c>
      <c r="S552">
        <f>IFERROR(VLOOKUP($A552,koronahun!$A:$AM,19,FALSE),"")</f>
        <v>3</v>
      </c>
      <c r="T552">
        <f>IFERROR(VLOOKUP($A552,koronahun!$A:$AM,20,FALSE),"")</f>
        <v>59</v>
      </c>
      <c r="U552">
        <f>IFERROR(VLOOKUP($A552,koronahun!$A:$AM,21,FALSE),"")</f>
        <v>7</v>
      </c>
      <c r="V552" s="13">
        <f>IFERROR(VLOOKUP($A552,koronahun!$A:$AM,22,FALSE),"")</f>
        <v>0.16430649854510185</v>
      </c>
      <c r="W552">
        <f>IFERROR(VLOOKUP($A552,koronahun!$A:$AM,23,FALSE),"")</f>
        <v>-1</v>
      </c>
      <c r="X552">
        <f>IFERROR(VLOOKUP($A552,koronahun!$A:$AM,24,FALSE),"")</f>
        <v>0</v>
      </c>
      <c r="Y552" s="14">
        <f>IFERROR(VLOOKUP($A552,koronahun!$A:$AM,25,FALSE),"")</f>
        <v>6.9657615112160565E-2</v>
      </c>
      <c r="Z552" s="14">
        <f>IFERROR(VLOOKUP($A552,koronahun!$A:$AM,26,FALSE),"")</f>
        <v>0.11864406779661017</v>
      </c>
      <c r="AA552" s="14">
        <f>IFERROR(VLOOKUP($A552,koronahun!$A:$AM,27,FALSE),"")</f>
        <v>1.0863636363636364</v>
      </c>
      <c r="AB552" s="14">
        <f>IFERROR(VLOOKUP($A552,koronahun!$A:$AM,28,FALSE),"")</f>
        <v>1.1173388815987715</v>
      </c>
      <c r="AC552" s="14">
        <f>IFERROR(VLOOKUP($A552,koronahun!$A:$AM,29,FALSE),"")</f>
        <v>34.142857142857146</v>
      </c>
      <c r="AD552" s="14">
        <f>IFERROR(VLOOKUP($A552,koronahun!$A:$AM,30,FALSE),"")</f>
        <v>0.7142857142857143</v>
      </c>
      <c r="AE552" s="14">
        <f>IFERROR(VLOOKUP($A552,koronahun!$A:$AM,31,FALSE),"")</f>
        <v>2640.5714285714284</v>
      </c>
      <c r="AF552" s="13">
        <f>IFERROR(VLOOKUP($A552,koronahun!$A:$AM,32,FALSE),"")</f>
        <v>1.3599999999999999E-2</v>
      </c>
      <c r="AG552">
        <f>IFERROR(VLOOKUP($A552,koronahun!$A:$AM,33,FALSE),"")</f>
        <v>0</v>
      </c>
      <c r="AH552">
        <f>IFERROR(VLOOKUP($A552,koronahun!$A:$AM,34,FALSE),"")</f>
        <v>0</v>
      </c>
      <c r="AI552">
        <f>IFERROR(VLOOKUP($A552,koronahun!$A:$AM,35,FALSE),"")</f>
        <v>0</v>
      </c>
      <c r="AJ552">
        <f>IFERROR(VLOOKUP($A552,koronahun!$A:$AM,36,FALSE),"")</f>
        <v>0</v>
      </c>
      <c r="AK552">
        <f>IFERROR(VLOOKUP($A552,koronahun!$A:$AM,37,FALSE),"")</f>
        <v>0</v>
      </c>
      <c r="AL552">
        <f>IFERROR(VLOOKUP($A552,koronahun!$A:$AM,38,FALSE),"")</f>
        <v>0</v>
      </c>
      <c r="AM552" s="14">
        <f>IFERROR(VLOOKUP($A552,koronahun!$A:$AM,39,FALSE),"")</f>
        <v>10.285714285714286</v>
      </c>
      <c r="AN552" s="11">
        <f ca="1">IFERROR(__xludf.DUMMYFUNCTION("""COMPUTED_VALUE"""),44444)</f>
        <v>44444</v>
      </c>
      <c r="AO552" s="12">
        <f ca="1">IFERROR(VLOOKUP(AN552,koronahun!A:B,2,FALSE),"")</f>
        <v>0</v>
      </c>
      <c r="AP552" s="11">
        <f t="shared" ca="1" si="4"/>
        <v>44444</v>
      </c>
      <c r="AQ552" s="11">
        <f ca="1">IFERROR(__xludf.DUMMYFUNCTION("""COMPUTED_VALUE"""),44480)</f>
        <v>44480</v>
      </c>
      <c r="AR552" s="11">
        <v>44067</v>
      </c>
      <c r="AS552" s="11">
        <f t="shared" si="5"/>
        <v>44067</v>
      </c>
      <c r="AT552" s="11">
        <f ca="1">IFERROR(__xludf.DUMMYFUNCTION("""COMPUTED_VALUE"""),44066)</f>
        <v>44066</v>
      </c>
    </row>
    <row r="553" spans="1:46" ht="13">
      <c r="A553" s="11">
        <v>44065</v>
      </c>
      <c r="B553">
        <f>IFERROR(VLOOKUP($A553,koronahun!$A:$AM,2,FALSE),"")</f>
        <v>5133</v>
      </c>
      <c r="C553">
        <f>IFERROR(VLOOKUP($A553,koronahun!$A:$AM,3,FALSE),"")</f>
        <v>35</v>
      </c>
      <c r="D553">
        <f>IFERROR(VLOOKUP($A553,koronahun!$A:$AM,4,FALSE),"")</f>
        <v>611</v>
      </c>
      <c r="E553">
        <f>IFERROR(VLOOKUP($A553,koronahun!$A:$AM,5,FALSE),"")</f>
        <v>3692</v>
      </c>
      <c r="F553">
        <f>IFERROR(VLOOKUP($A553,koronahun!$A:$AM,6,FALSE),"")</f>
        <v>394911</v>
      </c>
      <c r="G553" s="12">
        <f>IFERROR(VLOOKUP($A553,koronahun!$A:$AM,7,FALSE),"")</f>
        <v>40297.040816326531</v>
      </c>
      <c r="H553">
        <f>IFERROR(VLOOKUP($A553,koronahun!$A:$AM,8,FALSE),"")</f>
        <v>0</v>
      </c>
      <c r="I553" s="13">
        <f>IFERROR(VLOOKUP($A553,koronahun!$A:$AM,9,FALSE),"")</f>
        <v>6.8999999999999999E-3</v>
      </c>
      <c r="J553" s="13">
        <f>IFERROR(VLOOKUP($A553,koronahun!$A:$AM,10,FALSE),"")</f>
        <v>1.2999999999999999E-2</v>
      </c>
      <c r="K553" s="13">
        <f>IFERROR(VLOOKUP($A553,koronahun!$A:$AM,11,FALSE),"")</f>
        <v>4.0000000000000001E-3</v>
      </c>
      <c r="L553">
        <f>IFERROR(VLOOKUP($A553,koronahun!$A:$AM,12,FALSE),"")</f>
        <v>830</v>
      </c>
      <c r="M553" s="13">
        <f>IFERROR(VLOOKUP($A553,koronahun!$A:$AM,13,FALSE),"")</f>
        <v>0.11899999999999999</v>
      </c>
      <c r="N553" s="13">
        <f>IFERROR(VLOOKUP($A553,koronahun!$A:$AM,14,FALSE),"")</f>
        <v>0.71930000000000005</v>
      </c>
      <c r="O553">
        <f>IFERROR(VLOOKUP($A553,koronahun!$A:$AM,15,FALSE),"")</f>
        <v>0</v>
      </c>
      <c r="P553">
        <f>IFERROR(VLOOKUP($A553,koronahun!$A:$AM,16,FALSE),"")</f>
        <v>1480</v>
      </c>
      <c r="Q553" s="13">
        <f>IFERROR(VLOOKUP($A553,koronahun!$A:$AM,17,FALSE),"")</f>
        <v>2.3599999999999999E-2</v>
      </c>
      <c r="R553">
        <f>IFERROR(VLOOKUP($A553,koronahun!$A:$AM,18,FALSE),"")</f>
        <v>0</v>
      </c>
      <c r="S553">
        <f>IFERROR(VLOOKUP($A553,koronahun!$A:$AM,19,FALSE),"")</f>
        <v>11</v>
      </c>
      <c r="T553">
        <f>IFERROR(VLOOKUP($A553,koronahun!$A:$AM,20,FALSE),"")</f>
        <v>60</v>
      </c>
      <c r="U553">
        <f>IFERROR(VLOOKUP($A553,koronahun!$A:$AM,21,FALSE),"")</f>
        <v>7</v>
      </c>
      <c r="V553" s="13">
        <f>IFERROR(VLOOKUP($A553,koronahun!$A:$AM,22,FALSE),"")</f>
        <v>0.16169881161114358</v>
      </c>
      <c r="W553">
        <f>IFERROR(VLOOKUP($A553,koronahun!$A:$AM,23,FALSE),"")</f>
        <v>2</v>
      </c>
      <c r="X553">
        <f>IFERROR(VLOOKUP($A553,koronahun!$A:$AM,24,FALSE),"")</f>
        <v>1</v>
      </c>
      <c r="Y553" s="14">
        <f>IFERROR(VLOOKUP($A553,koronahun!$A:$AM,25,FALSE),"")</f>
        <v>7.2289156626506021E-2</v>
      </c>
      <c r="Z553" s="14">
        <f>IFERROR(VLOOKUP($A553,koronahun!$A:$AM,26,FALSE),"")</f>
        <v>0.11666666666666667</v>
      </c>
      <c r="AA553" s="14">
        <f>IFERROR(VLOOKUP($A553,koronahun!$A:$AM,27,FALSE),"")</f>
        <v>1.1428571428571428</v>
      </c>
      <c r="AB553" s="14">
        <f>IFERROR(VLOOKUP($A553,koronahun!$A:$AM,28,FALSE),"")</f>
        <v>1.1573525945938512</v>
      </c>
      <c r="AC553" s="14">
        <f>IFERROR(VLOOKUP($A553,koronahun!$A:$AM,29,FALSE),"")</f>
        <v>36.571428571428569</v>
      </c>
      <c r="AD553" s="14">
        <f>IFERROR(VLOOKUP($A553,koronahun!$A:$AM,30,FALSE),"")</f>
        <v>0.5714285714285714</v>
      </c>
      <c r="AE553" s="14">
        <f>IFERROR(VLOOKUP($A553,koronahun!$A:$AM,31,FALSE),"")</f>
        <v>2746.5714285714284</v>
      </c>
      <c r="AF553" s="13">
        <f>IFERROR(VLOOKUP($A553,koronahun!$A:$AM,32,FALSE),"")</f>
        <v>1.4057142857142857E-2</v>
      </c>
      <c r="AG553">
        <f>IFERROR(VLOOKUP($A553,koronahun!$A:$AM,33,FALSE),"")</f>
        <v>0</v>
      </c>
      <c r="AH553">
        <f>IFERROR(VLOOKUP($A553,koronahun!$A:$AM,34,FALSE),"")</f>
        <v>0</v>
      </c>
      <c r="AI553">
        <f>IFERROR(VLOOKUP($A553,koronahun!$A:$AM,35,FALSE),"")</f>
        <v>0</v>
      </c>
      <c r="AJ553">
        <f>IFERROR(VLOOKUP($A553,koronahun!$A:$AM,36,FALSE),"")</f>
        <v>0</v>
      </c>
      <c r="AK553">
        <f>IFERROR(VLOOKUP($A553,koronahun!$A:$AM,37,FALSE),"")</f>
        <v>0</v>
      </c>
      <c r="AL553">
        <f>IFERROR(VLOOKUP($A553,koronahun!$A:$AM,38,FALSE),"")</f>
        <v>0</v>
      </c>
      <c r="AM553" s="14">
        <f>IFERROR(VLOOKUP($A553,koronahun!$A:$AM,39,FALSE),"")</f>
        <v>12.285714285714286</v>
      </c>
      <c r="AN553" s="11">
        <f ca="1">IFERROR(__xludf.DUMMYFUNCTION("""COMPUTED_VALUE"""),44445)</f>
        <v>44445</v>
      </c>
      <c r="AO553" s="12">
        <f ca="1">IFERROR(VLOOKUP(AN553,koronahun!A:B,2,FALSE),"")</f>
        <v>813688</v>
      </c>
      <c r="AP553" s="11">
        <f t="shared" ca="1" si="4"/>
        <v>44445</v>
      </c>
      <c r="AQ553" s="11">
        <f ca="1">IFERROR(__xludf.DUMMYFUNCTION("""COMPUTED_VALUE"""),44481)</f>
        <v>44481</v>
      </c>
      <c r="AR553" s="11">
        <v>44066</v>
      </c>
      <c r="AS553" s="11">
        <f t="shared" si="5"/>
        <v>44066</v>
      </c>
      <c r="AT553" s="11">
        <f ca="1">IFERROR(__xludf.DUMMYFUNCTION("""COMPUTED_VALUE"""),44065)</f>
        <v>44065</v>
      </c>
    </row>
    <row r="554" spans="1:46" ht="13">
      <c r="A554" s="11">
        <v>44064</v>
      </c>
      <c r="B554">
        <f>IFERROR(VLOOKUP($A554,koronahun!$A:$AM,2,FALSE),"")</f>
        <v>5098</v>
      </c>
      <c r="C554">
        <f>IFERROR(VLOOKUP($A554,koronahun!$A:$AM,3,FALSE),"")</f>
        <v>52</v>
      </c>
      <c r="D554">
        <f>IFERROR(VLOOKUP($A554,koronahun!$A:$AM,4,FALSE),"")</f>
        <v>611</v>
      </c>
      <c r="E554">
        <f>IFERROR(VLOOKUP($A554,koronahun!$A:$AM,5,FALSE),"")</f>
        <v>3681</v>
      </c>
      <c r="F554">
        <f>IFERROR(VLOOKUP($A554,koronahun!$A:$AM,6,FALSE),"")</f>
        <v>393431</v>
      </c>
      <c r="G554" s="12">
        <f>IFERROR(VLOOKUP($A554,koronahun!$A:$AM,7,FALSE),"")</f>
        <v>40146.020408163262</v>
      </c>
      <c r="H554">
        <f>IFERROR(VLOOKUP($A554,koronahun!$A:$AM,8,FALSE),"")</f>
        <v>0</v>
      </c>
      <c r="I554" s="13">
        <f>IFERROR(VLOOKUP($A554,koronahun!$A:$AM,9,FALSE),"")</f>
        <v>1.03E-2</v>
      </c>
      <c r="J554" s="13">
        <f>IFERROR(VLOOKUP($A554,koronahun!$A:$AM,10,FALSE),"")</f>
        <v>1.2999999999999999E-2</v>
      </c>
      <c r="K554" s="13">
        <f>IFERROR(VLOOKUP($A554,koronahun!$A:$AM,11,FALSE),"")</f>
        <v>8.9999999999999993E-3</v>
      </c>
      <c r="L554">
        <f>IFERROR(VLOOKUP($A554,koronahun!$A:$AM,12,FALSE),"")</f>
        <v>806</v>
      </c>
      <c r="M554" s="13">
        <f>IFERROR(VLOOKUP($A554,koronahun!$A:$AM,13,FALSE),"")</f>
        <v>0.11990000000000001</v>
      </c>
      <c r="N554" s="13">
        <f>IFERROR(VLOOKUP($A554,koronahun!$A:$AM,14,FALSE),"")</f>
        <v>0.72199999999999998</v>
      </c>
      <c r="O554">
        <f>IFERROR(VLOOKUP($A554,koronahun!$A:$AM,15,FALSE),"")</f>
        <v>0</v>
      </c>
      <c r="P554">
        <f>IFERROR(VLOOKUP($A554,koronahun!$A:$AM,16,FALSE),"")</f>
        <v>3352</v>
      </c>
      <c r="Q554" s="13">
        <f>IFERROR(VLOOKUP($A554,koronahun!$A:$AM,17,FALSE),"")</f>
        <v>1.55E-2</v>
      </c>
      <c r="R554">
        <f>IFERROR(VLOOKUP($A554,koronahun!$A:$AM,18,FALSE),"")</f>
        <v>2</v>
      </c>
      <c r="S554">
        <f>IFERROR(VLOOKUP($A554,koronahun!$A:$AM,19,FALSE),"")</f>
        <v>3</v>
      </c>
      <c r="T554">
        <f>IFERROR(VLOOKUP($A554,koronahun!$A:$AM,20,FALSE),"")</f>
        <v>58</v>
      </c>
      <c r="U554">
        <f>IFERROR(VLOOKUP($A554,koronahun!$A:$AM,21,FALSE),"")</f>
        <v>6</v>
      </c>
      <c r="V554" s="13">
        <f>IFERROR(VLOOKUP($A554,koronahun!$A:$AM,22,FALSE),"")</f>
        <v>0.15810121616320125</v>
      </c>
      <c r="W554">
        <f>IFERROR(VLOOKUP($A554,koronahun!$A:$AM,23,FALSE),"")</f>
        <v>1</v>
      </c>
      <c r="X554">
        <f>IFERROR(VLOOKUP($A554,koronahun!$A:$AM,24,FALSE),"")</f>
        <v>-1</v>
      </c>
      <c r="Y554" s="14">
        <f>IFERROR(VLOOKUP($A554,koronahun!$A:$AM,25,FALSE),"")</f>
        <v>7.1960297766749379E-2</v>
      </c>
      <c r="Z554" s="14">
        <f>IFERROR(VLOOKUP($A554,koronahun!$A:$AM,26,FALSE),"")</f>
        <v>0.10344827586206896</v>
      </c>
      <c r="AA554" s="14">
        <f>IFERROR(VLOOKUP($A554,koronahun!$A:$AM,27,FALSE),"")</f>
        <v>1.0560344827586208</v>
      </c>
      <c r="AB554" s="14">
        <f>IFERROR(VLOOKUP($A554,koronahun!$A:$AM,28,FALSE),"")</f>
        <v>1.2460557924084099</v>
      </c>
      <c r="AC554" s="14">
        <f>IFERROR(VLOOKUP($A554,koronahun!$A:$AM,29,FALSE),"")</f>
        <v>35</v>
      </c>
      <c r="AD554" s="14">
        <f>IFERROR(VLOOKUP($A554,koronahun!$A:$AM,30,FALSE),"")</f>
        <v>0.5714285714285714</v>
      </c>
      <c r="AE554" s="14">
        <f>IFERROR(VLOOKUP($A554,koronahun!$A:$AM,31,FALSE),"")</f>
        <v>2963.4285714285716</v>
      </c>
      <c r="AF554" s="13">
        <f>IFERROR(VLOOKUP($A554,koronahun!$A:$AM,32,FALSE),"")</f>
        <v>1.1828571428571428E-2</v>
      </c>
      <c r="AG554">
        <f>IFERROR(VLOOKUP($A554,koronahun!$A:$AM,33,FALSE),"")</f>
        <v>0</v>
      </c>
      <c r="AH554">
        <f>IFERROR(VLOOKUP($A554,koronahun!$A:$AM,34,FALSE),"")</f>
        <v>0</v>
      </c>
      <c r="AI554">
        <f>IFERROR(VLOOKUP($A554,koronahun!$A:$AM,35,FALSE),"")</f>
        <v>0</v>
      </c>
      <c r="AJ554">
        <f>IFERROR(VLOOKUP($A554,koronahun!$A:$AM,36,FALSE),"")</f>
        <v>0</v>
      </c>
      <c r="AK554">
        <f>IFERROR(VLOOKUP($A554,koronahun!$A:$AM,37,FALSE),"")</f>
        <v>0</v>
      </c>
      <c r="AL554">
        <f>IFERROR(VLOOKUP($A554,koronahun!$A:$AM,38,FALSE),"")</f>
        <v>0</v>
      </c>
      <c r="AM554" s="14">
        <f>IFERROR(VLOOKUP($A554,koronahun!$A:$AM,39,FALSE),"")</f>
        <v>13</v>
      </c>
      <c r="AN554" s="11">
        <f ca="1">IFERROR(__xludf.DUMMYFUNCTION("""COMPUTED_VALUE"""),44446)</f>
        <v>44446</v>
      </c>
      <c r="AO554" s="12">
        <f ca="1">IFERROR(VLOOKUP(AN554,koronahun!A:B,2,FALSE),"")</f>
        <v>813818</v>
      </c>
      <c r="AP554" s="11">
        <f t="shared" ca="1" si="4"/>
        <v>44446</v>
      </c>
      <c r="AQ554" s="11">
        <f ca="1">IFERROR(__xludf.DUMMYFUNCTION("""COMPUTED_VALUE"""),44482)</f>
        <v>44482</v>
      </c>
      <c r="AR554" s="11">
        <v>44065</v>
      </c>
      <c r="AS554" s="11">
        <f t="shared" si="5"/>
        <v>44065</v>
      </c>
      <c r="AT554" s="11">
        <f ca="1">IFERROR(__xludf.DUMMYFUNCTION("""COMPUTED_VALUE"""),44064)</f>
        <v>44064</v>
      </c>
    </row>
    <row r="555" spans="1:46" ht="13">
      <c r="A555" s="11">
        <v>44063</v>
      </c>
      <c r="B555">
        <f>IFERROR(VLOOKUP($A555,koronahun!$A:$AM,2,FALSE),"")</f>
        <v>5046</v>
      </c>
      <c r="C555">
        <f>IFERROR(VLOOKUP($A555,koronahun!$A:$AM,3,FALSE),"")</f>
        <v>44</v>
      </c>
      <c r="D555">
        <f>IFERROR(VLOOKUP($A555,koronahun!$A:$AM,4,FALSE),"")</f>
        <v>609</v>
      </c>
      <c r="E555">
        <f>IFERROR(VLOOKUP($A555,koronahun!$A:$AM,5,FALSE),"")</f>
        <v>3678</v>
      </c>
      <c r="F555">
        <f>IFERROR(VLOOKUP($A555,koronahun!$A:$AM,6,FALSE),"")</f>
        <v>390079</v>
      </c>
      <c r="G555" s="12">
        <f>IFERROR(VLOOKUP($A555,koronahun!$A:$AM,7,FALSE),"")</f>
        <v>39803.979591836731</v>
      </c>
      <c r="H555">
        <f>IFERROR(VLOOKUP($A555,koronahun!$A:$AM,8,FALSE),"")</f>
        <v>0</v>
      </c>
      <c r="I555" s="13">
        <f>IFERROR(VLOOKUP($A555,koronahun!$A:$AM,9,FALSE),"")</f>
        <v>8.8000000000000005E-3</v>
      </c>
      <c r="J555" s="13">
        <f>IFERROR(VLOOKUP($A555,koronahun!$A:$AM,10,FALSE),"")</f>
        <v>1.29E-2</v>
      </c>
      <c r="K555" s="13">
        <f>IFERROR(VLOOKUP($A555,koronahun!$A:$AM,11,FALSE),"")</f>
        <v>8.0000000000000002E-3</v>
      </c>
      <c r="L555">
        <f>IFERROR(VLOOKUP($A555,koronahun!$A:$AM,12,FALSE),"")</f>
        <v>759</v>
      </c>
      <c r="M555" s="13">
        <f>IFERROR(VLOOKUP($A555,koronahun!$A:$AM,13,FALSE),"")</f>
        <v>0.1207</v>
      </c>
      <c r="N555" s="13">
        <f>IFERROR(VLOOKUP($A555,koronahun!$A:$AM,14,FALSE),"")</f>
        <v>0.72889999999999999</v>
      </c>
      <c r="O555">
        <f>IFERROR(VLOOKUP($A555,koronahun!$A:$AM,15,FALSE),"")</f>
        <v>0</v>
      </c>
      <c r="P555">
        <f>IFERROR(VLOOKUP($A555,koronahun!$A:$AM,16,FALSE),"")</f>
        <v>2968</v>
      </c>
      <c r="Q555" s="13">
        <f>IFERROR(VLOOKUP($A555,koronahun!$A:$AM,17,FALSE),"")</f>
        <v>1.4800000000000001E-2</v>
      </c>
      <c r="R555">
        <f>IFERROR(VLOOKUP($A555,koronahun!$A:$AM,18,FALSE),"")</f>
        <v>0</v>
      </c>
      <c r="S555">
        <f>IFERROR(VLOOKUP($A555,koronahun!$A:$AM,19,FALSE),"")</f>
        <v>13</v>
      </c>
      <c r="T555">
        <f>IFERROR(VLOOKUP($A555,koronahun!$A:$AM,20,FALSE),"")</f>
        <v>57</v>
      </c>
      <c r="U555">
        <f>IFERROR(VLOOKUP($A555,koronahun!$A:$AM,21,FALSE),"")</f>
        <v>7</v>
      </c>
      <c r="V555" s="13">
        <f>IFERROR(VLOOKUP($A555,koronahun!$A:$AM,22,FALSE),"")</f>
        <v>0.15041617122473247</v>
      </c>
      <c r="W555">
        <f>IFERROR(VLOOKUP($A555,koronahun!$A:$AM,23,FALSE),"")</f>
        <v>0</v>
      </c>
      <c r="X555">
        <f>IFERROR(VLOOKUP($A555,koronahun!$A:$AM,24,FALSE),"")</f>
        <v>0</v>
      </c>
      <c r="Y555" s="14">
        <f>IFERROR(VLOOKUP($A555,koronahun!$A:$AM,25,FALSE),"")</f>
        <v>7.5098814229249009E-2</v>
      </c>
      <c r="Z555" s="14">
        <f>IFERROR(VLOOKUP($A555,koronahun!$A:$AM,26,FALSE),"")</f>
        <v>0.12280701754385964</v>
      </c>
      <c r="AA555" s="14">
        <f>IFERROR(VLOOKUP($A555,koronahun!$A:$AM,27,FALSE),"")</f>
        <v>1.0787037037037037</v>
      </c>
      <c r="AB555" s="14">
        <f>IFERROR(VLOOKUP($A555,koronahun!$A:$AM,28,FALSE),"")</f>
        <v>1.3809080091571784</v>
      </c>
      <c r="AC555" s="14">
        <f>IFERROR(VLOOKUP($A555,koronahun!$A:$AM,29,FALSE),"")</f>
        <v>33.285714285714285</v>
      </c>
      <c r="AD555" s="14">
        <f>IFERROR(VLOOKUP($A555,koronahun!$A:$AM,30,FALSE),"")</f>
        <v>0.2857142857142857</v>
      </c>
      <c r="AE555" s="14">
        <f>IFERROR(VLOOKUP($A555,koronahun!$A:$AM,31,FALSE),"")</f>
        <v>2933.4285714285716</v>
      </c>
      <c r="AF555" s="13">
        <f>IFERROR(VLOOKUP($A555,koronahun!$A:$AM,32,FALSE),"")</f>
        <v>1.142857142857143E-2</v>
      </c>
      <c r="AG555">
        <f>IFERROR(VLOOKUP($A555,koronahun!$A:$AM,33,FALSE),"")</f>
        <v>0</v>
      </c>
      <c r="AH555">
        <f>IFERROR(VLOOKUP($A555,koronahun!$A:$AM,34,FALSE),"")</f>
        <v>0</v>
      </c>
      <c r="AI555">
        <f>IFERROR(VLOOKUP($A555,koronahun!$A:$AM,35,FALSE),"")</f>
        <v>0</v>
      </c>
      <c r="AJ555">
        <f>IFERROR(VLOOKUP($A555,koronahun!$A:$AM,36,FALSE),"")</f>
        <v>0</v>
      </c>
      <c r="AK555">
        <f>IFERROR(VLOOKUP($A555,koronahun!$A:$AM,37,FALSE),"")</f>
        <v>0</v>
      </c>
      <c r="AL555">
        <f>IFERROR(VLOOKUP($A555,koronahun!$A:$AM,38,FALSE),"")</f>
        <v>0</v>
      </c>
      <c r="AM555" s="14">
        <f>IFERROR(VLOOKUP($A555,koronahun!$A:$AM,39,FALSE),"")</f>
        <v>16.714285714285715</v>
      </c>
      <c r="AN555" s="11">
        <f ca="1">IFERROR(__xludf.DUMMYFUNCTION("""COMPUTED_VALUE"""),44447)</f>
        <v>44447</v>
      </c>
      <c r="AO555" s="12">
        <f ca="1">IFERROR(VLOOKUP(AN555,koronahun!A:B,2,FALSE),"")</f>
        <v>814064</v>
      </c>
      <c r="AP555" s="11">
        <f t="shared" ca="1" si="4"/>
        <v>44447</v>
      </c>
      <c r="AQ555" s="11">
        <f ca="1">IFERROR(__xludf.DUMMYFUNCTION("""COMPUTED_VALUE"""),44483)</f>
        <v>44483</v>
      </c>
      <c r="AR555" s="11">
        <v>44064</v>
      </c>
      <c r="AS555" s="11">
        <f t="shared" si="5"/>
        <v>44064</v>
      </c>
      <c r="AT555" s="11">
        <f ca="1">IFERROR(__xludf.DUMMYFUNCTION("""COMPUTED_VALUE"""),44063)</f>
        <v>44063</v>
      </c>
    </row>
    <row r="556" spans="1:46" ht="13">
      <c r="A556" s="11">
        <v>44062</v>
      </c>
      <c r="B556">
        <f>IFERROR(VLOOKUP($A556,koronahun!$A:$AM,2,FALSE),"")</f>
        <v>5002</v>
      </c>
      <c r="C556">
        <f>IFERROR(VLOOKUP($A556,koronahun!$A:$AM,3,FALSE),"")</f>
        <v>32</v>
      </c>
      <c r="D556">
        <f>IFERROR(VLOOKUP($A556,koronahun!$A:$AM,4,FALSE),"")</f>
        <v>609</v>
      </c>
      <c r="E556">
        <f>IFERROR(VLOOKUP($A556,koronahun!$A:$AM,5,FALSE),"")</f>
        <v>3665</v>
      </c>
      <c r="F556">
        <f>IFERROR(VLOOKUP($A556,koronahun!$A:$AM,6,FALSE),"")</f>
        <v>387111</v>
      </c>
      <c r="G556" s="12">
        <f>IFERROR(VLOOKUP($A556,koronahun!$A:$AM,7,FALSE),"")</f>
        <v>39501.122448979586</v>
      </c>
      <c r="H556">
        <f>IFERROR(VLOOKUP($A556,koronahun!$A:$AM,8,FALSE),"")</f>
        <v>0</v>
      </c>
      <c r="I556" s="13">
        <f>IFERROR(VLOOKUP($A556,koronahun!$A:$AM,9,FALSE),"")</f>
        <v>6.4000000000000003E-3</v>
      </c>
      <c r="J556" s="13">
        <f>IFERROR(VLOOKUP($A556,koronahun!$A:$AM,10,FALSE),"")</f>
        <v>1.29E-2</v>
      </c>
      <c r="K556" s="13">
        <f>IFERROR(VLOOKUP($A556,koronahun!$A:$AM,11,FALSE),"")</f>
        <v>0.01</v>
      </c>
      <c r="L556">
        <f>IFERROR(VLOOKUP($A556,koronahun!$A:$AM,12,FALSE),"")</f>
        <v>728</v>
      </c>
      <c r="M556" s="13">
        <f>IFERROR(VLOOKUP($A556,koronahun!$A:$AM,13,FALSE),"")</f>
        <v>0.12180000000000001</v>
      </c>
      <c r="N556" s="13">
        <f>IFERROR(VLOOKUP($A556,koronahun!$A:$AM,14,FALSE),"")</f>
        <v>0.73270000000000002</v>
      </c>
      <c r="O556">
        <f>IFERROR(VLOOKUP($A556,koronahun!$A:$AM,15,FALSE),"")</f>
        <v>0</v>
      </c>
      <c r="P556">
        <f>IFERROR(VLOOKUP($A556,koronahun!$A:$AM,16,FALSE),"")</f>
        <v>3700</v>
      </c>
      <c r="Q556" s="13">
        <f>IFERROR(VLOOKUP($A556,koronahun!$A:$AM,17,FALSE),"")</f>
        <v>8.6E-3</v>
      </c>
      <c r="R556">
        <f>IFERROR(VLOOKUP($A556,koronahun!$A:$AM,18,FALSE),"")</f>
        <v>0</v>
      </c>
      <c r="S556">
        <f>IFERROR(VLOOKUP($A556,koronahun!$A:$AM,19,FALSE),"")</f>
        <v>34</v>
      </c>
      <c r="T556">
        <f>IFERROR(VLOOKUP($A556,koronahun!$A:$AM,20,FALSE),"")</f>
        <v>57</v>
      </c>
      <c r="U556">
        <f>IFERROR(VLOOKUP($A556,koronahun!$A:$AM,21,FALSE),"")</f>
        <v>7</v>
      </c>
      <c r="V556" s="13">
        <f>IFERROR(VLOOKUP($A556,koronahun!$A:$AM,22,FALSE),"")</f>
        <v>0.14554178328668532</v>
      </c>
      <c r="W556">
        <f>IFERROR(VLOOKUP($A556,koronahun!$A:$AM,23,FALSE),"")</f>
        <v>-3</v>
      </c>
      <c r="X556">
        <f>IFERROR(VLOOKUP($A556,koronahun!$A:$AM,24,FALSE),"")</f>
        <v>1</v>
      </c>
      <c r="Y556" s="14">
        <f>IFERROR(VLOOKUP($A556,koronahun!$A:$AM,25,FALSE),"")</f>
        <v>7.8296703296703296E-2</v>
      </c>
      <c r="Z556" s="14">
        <f>IFERROR(VLOOKUP($A556,koronahun!$A:$AM,26,FALSE),"")</f>
        <v>0.12280701754385964</v>
      </c>
      <c r="AA556" s="14">
        <f>IFERROR(VLOOKUP($A556,koronahun!$A:$AM,27,FALSE),"")</f>
        <v>1.1470588235294117</v>
      </c>
      <c r="AB556" s="14">
        <f>IFERROR(VLOOKUP($A556,koronahun!$A:$AM,28,FALSE),"")</f>
        <v>1.4998795407393295</v>
      </c>
      <c r="AC556" s="14">
        <f>IFERROR(VLOOKUP($A556,koronahun!$A:$AM,29,FALSE),"")</f>
        <v>33.428571428571431</v>
      </c>
      <c r="AD556" s="14">
        <f>IFERROR(VLOOKUP($A556,koronahun!$A:$AM,30,FALSE),"")</f>
        <v>0.5714285714285714</v>
      </c>
      <c r="AE556" s="14">
        <f>IFERROR(VLOOKUP($A556,koronahun!$A:$AM,31,FALSE),"")</f>
        <v>2965</v>
      </c>
      <c r="AF556" s="13">
        <f>IFERROR(VLOOKUP($A556,koronahun!$A:$AM,32,FALSE),"")</f>
        <v>1.1328571428571427E-2</v>
      </c>
      <c r="AG556">
        <f>IFERROR(VLOOKUP($A556,koronahun!$A:$AM,33,FALSE),"")</f>
        <v>0</v>
      </c>
      <c r="AH556">
        <f>IFERROR(VLOOKUP($A556,koronahun!$A:$AM,34,FALSE),"")</f>
        <v>0</v>
      </c>
      <c r="AI556">
        <f>IFERROR(VLOOKUP($A556,koronahun!$A:$AM,35,FALSE),"")</f>
        <v>0</v>
      </c>
      <c r="AJ556">
        <f>IFERROR(VLOOKUP($A556,koronahun!$A:$AM,36,FALSE),"")</f>
        <v>0</v>
      </c>
      <c r="AK556">
        <f>IFERROR(VLOOKUP($A556,koronahun!$A:$AM,37,FALSE),"")</f>
        <v>0</v>
      </c>
      <c r="AL556">
        <f>IFERROR(VLOOKUP($A556,koronahun!$A:$AM,38,FALSE),"")</f>
        <v>0</v>
      </c>
      <c r="AM556" s="14">
        <f>IFERROR(VLOOKUP($A556,koronahun!$A:$AM,39,FALSE),"")</f>
        <v>19.428571428571427</v>
      </c>
      <c r="AN556" s="11">
        <f ca="1">IFERROR(__xludf.DUMMYFUNCTION("""COMPUTED_VALUE"""),44448)</f>
        <v>44448</v>
      </c>
      <c r="AO556" s="12">
        <f ca="1">IFERROR(VLOOKUP(AN556,koronahun!A:B,2,FALSE),"")</f>
        <v>814409</v>
      </c>
      <c r="AP556" s="11">
        <f t="shared" ca="1" si="4"/>
        <v>44448</v>
      </c>
      <c r="AQ556" s="11">
        <f ca="1">IFERROR(__xludf.DUMMYFUNCTION("""COMPUTED_VALUE"""),44484)</f>
        <v>44484</v>
      </c>
      <c r="AR556" s="11">
        <v>44063</v>
      </c>
      <c r="AS556" s="11">
        <f t="shared" si="5"/>
        <v>44063</v>
      </c>
      <c r="AT556" s="11">
        <f ca="1">IFERROR(__xludf.DUMMYFUNCTION("""COMPUTED_VALUE"""),44062)</f>
        <v>44062</v>
      </c>
    </row>
    <row r="557" spans="1:46" ht="13">
      <c r="A557" s="11">
        <v>44061</v>
      </c>
      <c r="B557">
        <f>IFERROR(VLOOKUP($A557,koronahun!$A:$AM,2,FALSE),"")</f>
        <v>4970</v>
      </c>
      <c r="C557">
        <f>IFERROR(VLOOKUP($A557,koronahun!$A:$AM,3,FALSE),"")</f>
        <v>24</v>
      </c>
      <c r="D557">
        <f>IFERROR(VLOOKUP($A557,koronahun!$A:$AM,4,FALSE),"")</f>
        <v>609</v>
      </c>
      <c r="E557">
        <f>IFERROR(VLOOKUP($A557,koronahun!$A:$AM,5,FALSE),"")</f>
        <v>3631</v>
      </c>
      <c r="F557">
        <f>IFERROR(VLOOKUP($A557,koronahun!$A:$AM,6,FALSE),"")</f>
        <v>383411</v>
      </c>
      <c r="G557" s="12">
        <f>IFERROR(VLOOKUP($A557,koronahun!$A:$AM,7,FALSE),"")</f>
        <v>39123.571428571428</v>
      </c>
      <c r="H557">
        <f>IFERROR(VLOOKUP($A557,koronahun!$A:$AM,8,FALSE),"")</f>
        <v>0</v>
      </c>
      <c r="I557" s="13">
        <f>IFERROR(VLOOKUP($A557,koronahun!$A:$AM,9,FALSE),"")</f>
        <v>4.8999999999999998E-3</v>
      </c>
      <c r="J557" s="13">
        <f>IFERROR(VLOOKUP($A557,koronahun!$A:$AM,10,FALSE),"")</f>
        <v>1.2999999999999999E-2</v>
      </c>
      <c r="K557" s="13">
        <f>IFERROR(VLOOKUP($A557,koronahun!$A:$AM,11,FALSE),"")</f>
        <v>6.0000000000000001E-3</v>
      </c>
      <c r="L557">
        <f>IFERROR(VLOOKUP($A557,koronahun!$A:$AM,12,FALSE),"")</f>
        <v>730</v>
      </c>
      <c r="M557" s="13">
        <f>IFERROR(VLOOKUP($A557,koronahun!$A:$AM,13,FALSE),"")</f>
        <v>0.1225</v>
      </c>
      <c r="N557" s="13">
        <f>IFERROR(VLOOKUP($A557,koronahun!$A:$AM,14,FALSE),"")</f>
        <v>0.73060000000000003</v>
      </c>
      <c r="O557">
        <f>IFERROR(VLOOKUP($A557,koronahun!$A:$AM,15,FALSE),"")</f>
        <v>0</v>
      </c>
      <c r="P557">
        <f>IFERROR(VLOOKUP($A557,koronahun!$A:$AM,16,FALSE),"")</f>
        <v>2479</v>
      </c>
      <c r="Q557" s="13">
        <f>IFERROR(VLOOKUP($A557,koronahun!$A:$AM,17,FALSE),"")</f>
        <v>9.7000000000000003E-3</v>
      </c>
      <c r="R557">
        <f>IFERROR(VLOOKUP($A557,koronahun!$A:$AM,18,FALSE),"")</f>
        <v>1</v>
      </c>
      <c r="S557">
        <f>IFERROR(VLOOKUP($A557,koronahun!$A:$AM,19,FALSE),"")</f>
        <v>1</v>
      </c>
      <c r="T557">
        <f>IFERROR(VLOOKUP($A557,koronahun!$A:$AM,20,FALSE),"")</f>
        <v>60</v>
      </c>
      <c r="U557">
        <f>IFERROR(VLOOKUP($A557,koronahun!$A:$AM,21,FALSE),"")</f>
        <v>6</v>
      </c>
      <c r="V557" s="13">
        <f>IFERROR(VLOOKUP($A557,koronahun!$A:$AM,22,FALSE),"")</f>
        <v>0.14688128772635814</v>
      </c>
      <c r="W557">
        <f>IFERROR(VLOOKUP($A557,koronahun!$A:$AM,23,FALSE),"")</f>
        <v>-2</v>
      </c>
      <c r="X557">
        <f>IFERROR(VLOOKUP($A557,koronahun!$A:$AM,24,FALSE),"")</f>
        <v>0</v>
      </c>
      <c r="Y557" s="14">
        <f>IFERROR(VLOOKUP($A557,koronahun!$A:$AM,25,FALSE),"")</f>
        <v>8.2191780821917804E-2</v>
      </c>
      <c r="Z557" s="14">
        <f>IFERROR(VLOOKUP($A557,koronahun!$A:$AM,26,FALSE),"")</f>
        <v>0.1</v>
      </c>
      <c r="AA557" s="14">
        <f>IFERROR(VLOOKUP($A557,koronahun!$A:$AM,27,FALSE),"")</f>
        <v>1.160621761658031</v>
      </c>
      <c r="AB557" s="14">
        <f>IFERROR(VLOOKUP($A557,koronahun!$A:$AM,28,FALSE),"")</f>
        <v>1.6303862888931366</v>
      </c>
      <c r="AC557" s="14">
        <f>IFERROR(VLOOKUP($A557,koronahun!$A:$AM,29,FALSE),"")</f>
        <v>32</v>
      </c>
      <c r="AD557" s="14">
        <f>IFERROR(VLOOKUP($A557,koronahun!$A:$AM,30,FALSE),"")</f>
        <v>0.5714285714285714</v>
      </c>
      <c r="AE557" s="14">
        <f>IFERROR(VLOOKUP($A557,koronahun!$A:$AM,31,FALSE),"")</f>
        <v>2850.2857142857142</v>
      </c>
      <c r="AF557" s="13">
        <f>IFERROR(VLOOKUP($A557,koronahun!$A:$AM,32,FALSE),"")</f>
        <v>1.1185714285714285E-2</v>
      </c>
      <c r="AG557">
        <f>IFERROR(VLOOKUP($A557,koronahun!$A:$AM,33,FALSE),"")</f>
        <v>0</v>
      </c>
      <c r="AH557">
        <f>IFERROR(VLOOKUP($A557,koronahun!$A:$AM,34,FALSE),"")</f>
        <v>0</v>
      </c>
      <c r="AI557">
        <f>IFERROR(VLOOKUP($A557,koronahun!$A:$AM,35,FALSE),"")</f>
        <v>0</v>
      </c>
      <c r="AJ557">
        <f>IFERROR(VLOOKUP($A557,koronahun!$A:$AM,36,FALSE),"")</f>
        <v>0</v>
      </c>
      <c r="AK557">
        <f>IFERROR(VLOOKUP($A557,koronahun!$A:$AM,37,FALSE),"")</f>
        <v>0</v>
      </c>
      <c r="AL557">
        <f>IFERROR(VLOOKUP($A557,koronahun!$A:$AM,38,FALSE),"")</f>
        <v>0</v>
      </c>
      <c r="AM557" s="14">
        <f>IFERROR(VLOOKUP($A557,koronahun!$A:$AM,39,FALSE),"")</f>
        <v>14.857142857142858</v>
      </c>
      <c r="AN557" s="11">
        <f ca="1">IFERROR(__xludf.DUMMYFUNCTION("""COMPUTED_VALUE"""),44449)</f>
        <v>44449</v>
      </c>
      <c r="AO557" s="12">
        <f ca="1">IFERROR(VLOOKUP(AN557,koronahun!A:B,2,FALSE),"")</f>
        <v>814732</v>
      </c>
      <c r="AP557" s="11">
        <f t="shared" ca="1" si="4"/>
        <v>44449</v>
      </c>
      <c r="AQ557" s="11">
        <f ca="1">IFERROR(__xludf.DUMMYFUNCTION("""COMPUTED_VALUE"""),44487)</f>
        <v>44487</v>
      </c>
      <c r="AR557" s="11">
        <v>44062</v>
      </c>
      <c r="AS557" s="11">
        <f t="shared" si="5"/>
        <v>44062</v>
      </c>
      <c r="AT557" s="11">
        <f ca="1">IFERROR(__xludf.DUMMYFUNCTION("""COMPUTED_VALUE"""),44061)</f>
        <v>44061</v>
      </c>
    </row>
    <row r="558" spans="1:46" ht="13">
      <c r="A558" s="11">
        <v>44060</v>
      </c>
      <c r="B558">
        <f>IFERROR(VLOOKUP($A558,koronahun!$A:$AM,2,FALSE),"")</f>
        <v>4946</v>
      </c>
      <c r="C558">
        <f>IFERROR(VLOOKUP($A558,koronahun!$A:$AM,3,FALSE),"")</f>
        <v>30</v>
      </c>
      <c r="D558">
        <f>IFERROR(VLOOKUP($A558,koronahun!$A:$AM,4,FALSE),"")</f>
        <v>608</v>
      </c>
      <c r="E558">
        <f>IFERROR(VLOOKUP($A558,koronahun!$A:$AM,5,FALSE),"")</f>
        <v>3630</v>
      </c>
      <c r="F558">
        <f>IFERROR(VLOOKUP($A558,koronahun!$A:$AM,6,FALSE),"")</f>
        <v>380932</v>
      </c>
      <c r="G558" s="12">
        <f>IFERROR(VLOOKUP($A558,koronahun!$A:$AM,7,FALSE),"")</f>
        <v>38870.612244897959</v>
      </c>
      <c r="H558">
        <f>IFERROR(VLOOKUP($A558,koronahun!$A:$AM,8,FALSE),"")</f>
        <v>0</v>
      </c>
      <c r="I558" s="13">
        <f>IFERROR(VLOOKUP($A558,koronahun!$A:$AM,9,FALSE),"")</f>
        <v>6.1000000000000004E-3</v>
      </c>
      <c r="J558" s="13">
        <f>IFERROR(VLOOKUP($A558,koronahun!$A:$AM,10,FALSE),"")</f>
        <v>1.2999999999999999E-2</v>
      </c>
      <c r="K558" s="13">
        <f>IFERROR(VLOOKUP($A558,koronahun!$A:$AM,11,FALSE),"")</f>
        <v>6.0000000000000001E-3</v>
      </c>
      <c r="L558">
        <f>IFERROR(VLOOKUP($A558,koronahun!$A:$AM,12,FALSE),"")</f>
        <v>708</v>
      </c>
      <c r="M558" s="13">
        <f>IFERROR(VLOOKUP($A558,koronahun!$A:$AM,13,FALSE),"")</f>
        <v>0.1229</v>
      </c>
      <c r="N558" s="13">
        <f>IFERROR(VLOOKUP($A558,koronahun!$A:$AM,14,FALSE),"")</f>
        <v>0.7339</v>
      </c>
      <c r="O558">
        <f>IFERROR(VLOOKUP($A558,koronahun!$A:$AM,15,FALSE),"")</f>
        <v>8188</v>
      </c>
      <c r="P558">
        <f>IFERROR(VLOOKUP($A558,koronahun!$A:$AM,16,FALSE),"")</f>
        <v>2324</v>
      </c>
      <c r="Q558" s="13">
        <f>IFERROR(VLOOKUP($A558,koronahun!$A:$AM,17,FALSE),"")</f>
        <v>1.29E-2</v>
      </c>
      <c r="R558">
        <f>IFERROR(VLOOKUP($A558,koronahun!$A:$AM,18,FALSE),"")</f>
        <v>0</v>
      </c>
      <c r="S558">
        <f>IFERROR(VLOOKUP($A558,koronahun!$A:$AM,19,FALSE),"")</f>
        <v>7</v>
      </c>
      <c r="T558">
        <f>IFERROR(VLOOKUP($A558,koronahun!$A:$AM,20,FALSE),"")</f>
        <v>62</v>
      </c>
      <c r="U558">
        <f>IFERROR(VLOOKUP($A558,koronahun!$A:$AM,21,FALSE),"")</f>
        <v>6</v>
      </c>
      <c r="V558" s="13">
        <f>IFERROR(VLOOKUP($A558,koronahun!$A:$AM,22,FALSE),"")</f>
        <v>0.14314597654670441</v>
      </c>
      <c r="W558">
        <f>IFERROR(VLOOKUP($A558,koronahun!$A:$AM,23,FALSE),"")</f>
        <v>0</v>
      </c>
      <c r="X558">
        <f>IFERROR(VLOOKUP($A558,koronahun!$A:$AM,24,FALSE),"")</f>
        <v>0</v>
      </c>
      <c r="Y558" s="14">
        <f>IFERROR(VLOOKUP($A558,koronahun!$A:$AM,25,FALSE),"")</f>
        <v>8.7570621468926552E-2</v>
      </c>
      <c r="Z558" s="14">
        <f>IFERROR(VLOOKUP($A558,koronahun!$A:$AM,26,FALSE),"")</f>
        <v>9.6774193548387094E-2</v>
      </c>
      <c r="AA558" s="14">
        <f>IFERROR(VLOOKUP($A558,koronahun!$A:$AM,27,FALSE),"")</f>
        <v>1.1497326203208555</v>
      </c>
      <c r="AB558" s="14">
        <f>IFERROR(VLOOKUP($A558,koronahun!$A:$AM,28,FALSE),"")</f>
        <v>1.7488247117490585</v>
      </c>
      <c r="AC558" s="14">
        <f>IFERROR(VLOOKUP($A558,koronahun!$A:$AM,29,FALSE),"")</f>
        <v>30.714285714285715</v>
      </c>
      <c r="AD558" s="14">
        <f>IFERROR(VLOOKUP($A558,koronahun!$A:$AM,30,FALSE),"")</f>
        <v>0.42857142857142855</v>
      </c>
      <c r="AE558" s="14">
        <f>IFERROR(VLOOKUP($A558,koronahun!$A:$AM,31,FALSE),"")</f>
        <v>2610.2857142857142</v>
      </c>
      <c r="AF558" s="13">
        <f>IFERROR(VLOOKUP($A558,koronahun!$A:$AM,32,FALSE),"")</f>
        <v>1.2485714285714284E-2</v>
      </c>
      <c r="AG558">
        <f>IFERROR(VLOOKUP($A558,koronahun!$A:$AM,33,FALSE),"")</f>
        <v>0</v>
      </c>
      <c r="AH558">
        <f>IFERROR(VLOOKUP($A558,koronahun!$A:$AM,34,FALSE),"")</f>
        <v>0</v>
      </c>
      <c r="AI558">
        <f>IFERROR(VLOOKUP($A558,koronahun!$A:$AM,35,FALSE),"")</f>
        <v>0</v>
      </c>
      <c r="AJ558">
        <f>IFERROR(VLOOKUP($A558,koronahun!$A:$AM,36,FALSE),"")</f>
        <v>0</v>
      </c>
      <c r="AK558">
        <f>IFERROR(VLOOKUP($A558,koronahun!$A:$AM,37,FALSE),"")</f>
        <v>0</v>
      </c>
      <c r="AL558">
        <f>IFERROR(VLOOKUP($A558,koronahun!$A:$AM,38,FALSE),"")</f>
        <v>0</v>
      </c>
      <c r="AM558" s="14">
        <f>IFERROR(VLOOKUP($A558,koronahun!$A:$AM,39,FALSE),"")</f>
        <v>15</v>
      </c>
      <c r="AN558" s="11">
        <f ca="1">IFERROR(__xludf.DUMMYFUNCTION("""COMPUTED_VALUE"""),44450)</f>
        <v>44450</v>
      </c>
      <c r="AO558" s="12">
        <f ca="1">IFERROR(VLOOKUP(AN558,koronahun!A:B,2,FALSE),"")</f>
        <v>0</v>
      </c>
      <c r="AP558" s="11">
        <f t="shared" ca="1" si="4"/>
        <v>44450</v>
      </c>
      <c r="AQ558" s="11">
        <f ca="1">IFERROR(__xludf.DUMMYFUNCTION("""COMPUTED_VALUE"""),44488)</f>
        <v>44488</v>
      </c>
      <c r="AR558" s="11">
        <v>44061</v>
      </c>
      <c r="AS558" s="11">
        <f t="shared" si="5"/>
        <v>44061</v>
      </c>
      <c r="AT558" s="11">
        <f ca="1">IFERROR(__xludf.DUMMYFUNCTION("""COMPUTED_VALUE"""),44060)</f>
        <v>44060</v>
      </c>
    </row>
    <row r="559" spans="1:46" ht="13">
      <c r="A559" s="11">
        <v>44059</v>
      </c>
      <c r="B559">
        <f>IFERROR(VLOOKUP($A559,koronahun!$A:$AM,2,FALSE),"")</f>
        <v>4916</v>
      </c>
      <c r="C559">
        <f>IFERROR(VLOOKUP($A559,koronahun!$A:$AM,3,FALSE),"")</f>
        <v>39</v>
      </c>
      <c r="D559">
        <f>IFERROR(VLOOKUP($A559,koronahun!$A:$AM,4,FALSE),"")</f>
        <v>608</v>
      </c>
      <c r="E559">
        <f>IFERROR(VLOOKUP($A559,koronahun!$A:$AM,5,FALSE),"")</f>
        <v>3623</v>
      </c>
      <c r="F559">
        <f>IFERROR(VLOOKUP($A559,koronahun!$A:$AM,6,FALSE),"")</f>
        <v>378608</v>
      </c>
      <c r="G559" s="12">
        <f>IFERROR(VLOOKUP($A559,koronahun!$A:$AM,7,FALSE),"")</f>
        <v>38633.469387755096</v>
      </c>
      <c r="H559">
        <f>IFERROR(VLOOKUP($A559,koronahun!$A:$AM,8,FALSE),"")</f>
        <v>0</v>
      </c>
      <c r="I559" s="13">
        <f>IFERROR(VLOOKUP($A559,koronahun!$A:$AM,9,FALSE),"")</f>
        <v>8.0000000000000002E-3</v>
      </c>
      <c r="J559" s="13">
        <f>IFERROR(VLOOKUP($A559,koronahun!$A:$AM,10,FALSE),"")</f>
        <v>1.2999999999999999E-2</v>
      </c>
      <c r="K559" s="13">
        <f>IFERROR(VLOOKUP($A559,koronahun!$A:$AM,11,FALSE),"")</f>
        <v>8.0000000000000002E-3</v>
      </c>
      <c r="L559">
        <f>IFERROR(VLOOKUP($A559,koronahun!$A:$AM,12,FALSE),"")</f>
        <v>685</v>
      </c>
      <c r="M559" s="13">
        <f>IFERROR(VLOOKUP($A559,koronahun!$A:$AM,13,FALSE),"")</f>
        <v>0.1237</v>
      </c>
      <c r="N559" s="13">
        <f>IFERROR(VLOOKUP($A559,koronahun!$A:$AM,14,FALSE),"")</f>
        <v>0.73699999999999999</v>
      </c>
      <c r="O559">
        <f>IFERROR(VLOOKUP($A559,koronahun!$A:$AM,15,FALSE),"")</f>
        <v>0</v>
      </c>
      <c r="P559">
        <f>IFERROR(VLOOKUP($A559,koronahun!$A:$AM,16,FALSE),"")</f>
        <v>2923</v>
      </c>
      <c r="Q559" s="13">
        <f>IFERROR(VLOOKUP($A559,koronahun!$A:$AM,17,FALSE),"")</f>
        <v>1.3299999999999999E-2</v>
      </c>
      <c r="R559">
        <f>IFERROR(VLOOKUP($A559,koronahun!$A:$AM,18,FALSE),"")</f>
        <v>1</v>
      </c>
      <c r="S559">
        <f>IFERROR(VLOOKUP($A559,koronahun!$A:$AM,19,FALSE),"")</f>
        <v>17</v>
      </c>
      <c r="T559">
        <f>IFERROR(VLOOKUP($A559,koronahun!$A:$AM,20,FALSE),"")</f>
        <v>62</v>
      </c>
      <c r="U559">
        <f>IFERROR(VLOOKUP($A559,koronahun!$A:$AM,21,FALSE),"")</f>
        <v>6</v>
      </c>
      <c r="V559" s="13">
        <f>IFERROR(VLOOKUP($A559,koronahun!$A:$AM,22,FALSE),"")</f>
        <v>0.13934092758340114</v>
      </c>
      <c r="W559">
        <f>IFERROR(VLOOKUP($A559,koronahun!$A:$AM,23,FALSE),"")</f>
        <v>-1</v>
      </c>
      <c r="X559">
        <f>IFERROR(VLOOKUP($A559,koronahun!$A:$AM,24,FALSE),"")</f>
        <v>0</v>
      </c>
      <c r="Y559" s="14">
        <f>IFERROR(VLOOKUP($A559,koronahun!$A:$AM,25,FALSE),"")</f>
        <v>9.0510948905109495E-2</v>
      </c>
      <c r="Z559" s="14">
        <f>IFERROR(VLOOKUP($A559,koronahun!$A:$AM,26,FALSE),"")</f>
        <v>9.6774193548387094E-2</v>
      </c>
      <c r="AA559" s="14">
        <f>IFERROR(VLOOKUP($A559,koronahun!$A:$AM,27,FALSE),"")</f>
        <v>1.3664596273291925</v>
      </c>
      <c r="AB559" s="14">
        <f>IFERROR(VLOOKUP($A559,koronahun!$A:$AM,28,FALSE),"")</f>
        <v>1.8628510040841744</v>
      </c>
      <c r="AC559" s="14">
        <f>IFERROR(VLOOKUP($A559,koronahun!$A:$AM,29,FALSE),"")</f>
        <v>31.428571428571427</v>
      </c>
      <c r="AD559" s="14">
        <f>IFERROR(VLOOKUP($A559,koronahun!$A:$AM,30,FALSE),"")</f>
        <v>0.8571428571428571</v>
      </c>
      <c r="AE559" s="14">
        <f>IFERROR(VLOOKUP($A559,koronahun!$A:$AM,31,FALSE),"")</f>
        <v>2548</v>
      </c>
      <c r="AF559" s="13">
        <f>IFERROR(VLOOKUP($A559,koronahun!$A:$AM,32,FALSE),"")</f>
        <v>1.3285714285714286E-2</v>
      </c>
      <c r="AG559">
        <f>IFERROR(VLOOKUP($A559,koronahun!$A:$AM,33,FALSE),"")</f>
        <v>0</v>
      </c>
      <c r="AH559">
        <f>IFERROR(VLOOKUP($A559,koronahun!$A:$AM,34,FALSE),"")</f>
        <v>0</v>
      </c>
      <c r="AI559">
        <f>IFERROR(VLOOKUP($A559,koronahun!$A:$AM,35,FALSE),"")</f>
        <v>0</v>
      </c>
      <c r="AJ559">
        <f>IFERROR(VLOOKUP($A559,koronahun!$A:$AM,36,FALSE),"")</f>
        <v>0</v>
      </c>
      <c r="AK559">
        <f>IFERROR(VLOOKUP($A559,koronahun!$A:$AM,37,FALSE),"")</f>
        <v>0</v>
      </c>
      <c r="AL559">
        <f>IFERROR(VLOOKUP($A559,koronahun!$A:$AM,38,FALSE),"")</f>
        <v>0</v>
      </c>
      <c r="AM559" s="14">
        <f>IFERROR(VLOOKUP($A559,koronahun!$A:$AM,39,FALSE),"")</f>
        <v>17.714285714285715</v>
      </c>
      <c r="AN559" s="11">
        <f ca="1">IFERROR(__xludf.DUMMYFUNCTION("""COMPUTED_VALUE"""),44451)</f>
        <v>44451</v>
      </c>
      <c r="AO559" s="12">
        <f ca="1">IFERROR(VLOOKUP(AN559,koronahun!A:B,2,FALSE),"")</f>
        <v>0</v>
      </c>
      <c r="AP559" s="11">
        <f t="shared" ca="1" si="4"/>
        <v>44451</v>
      </c>
      <c r="AQ559" s="11">
        <f ca="1">IFERROR(__xludf.DUMMYFUNCTION("""COMPUTED_VALUE"""),44489)</f>
        <v>44489</v>
      </c>
      <c r="AR559" s="11">
        <v>44060</v>
      </c>
      <c r="AS559" s="11">
        <f t="shared" si="5"/>
        <v>44060</v>
      </c>
      <c r="AT559" s="11">
        <f ca="1">IFERROR(__xludf.DUMMYFUNCTION("""COMPUTED_VALUE"""),44059)</f>
        <v>44059</v>
      </c>
    </row>
    <row r="560" spans="1:46" ht="13">
      <c r="A560" s="11">
        <v>44058</v>
      </c>
      <c r="B560">
        <f>IFERROR(VLOOKUP($A560,koronahun!$A:$AM,2,FALSE),"")</f>
        <v>4877</v>
      </c>
      <c r="C560">
        <f>IFERROR(VLOOKUP($A560,koronahun!$A:$AM,3,FALSE),"")</f>
        <v>24</v>
      </c>
      <c r="D560">
        <f>IFERROR(VLOOKUP($A560,koronahun!$A:$AM,4,FALSE),"")</f>
        <v>607</v>
      </c>
      <c r="E560">
        <f>IFERROR(VLOOKUP($A560,koronahun!$A:$AM,5,FALSE),"")</f>
        <v>3606</v>
      </c>
      <c r="F560">
        <f>IFERROR(VLOOKUP($A560,koronahun!$A:$AM,6,FALSE),"")</f>
        <v>375685</v>
      </c>
      <c r="G560" s="12">
        <f>IFERROR(VLOOKUP($A560,koronahun!$A:$AM,7,FALSE),"")</f>
        <v>38335.204081632648</v>
      </c>
      <c r="H560">
        <f>IFERROR(VLOOKUP($A560,koronahun!$A:$AM,8,FALSE),"")</f>
        <v>0</v>
      </c>
      <c r="I560" s="13">
        <f>IFERROR(VLOOKUP($A560,koronahun!$A:$AM,9,FALSE),"")</f>
        <v>4.8999999999999998E-3</v>
      </c>
      <c r="J560" s="13">
        <f>IFERROR(VLOOKUP($A560,koronahun!$A:$AM,10,FALSE),"")</f>
        <v>1.2999999999999999E-2</v>
      </c>
      <c r="K560" s="13">
        <f>IFERROR(VLOOKUP($A560,koronahun!$A:$AM,11,FALSE),"")</f>
        <v>8.0000000000000002E-3</v>
      </c>
      <c r="L560">
        <f>IFERROR(VLOOKUP($A560,koronahun!$A:$AM,12,FALSE),"")</f>
        <v>664</v>
      </c>
      <c r="M560" s="13">
        <f>IFERROR(VLOOKUP($A560,koronahun!$A:$AM,13,FALSE),"")</f>
        <v>0.1245</v>
      </c>
      <c r="N560" s="13">
        <f>IFERROR(VLOOKUP($A560,koronahun!$A:$AM,14,FALSE),"")</f>
        <v>0.73939999999999995</v>
      </c>
      <c r="O560">
        <f>IFERROR(VLOOKUP($A560,koronahun!$A:$AM,15,FALSE),"")</f>
        <v>0</v>
      </c>
      <c r="P560">
        <f>IFERROR(VLOOKUP($A560,koronahun!$A:$AM,16,FALSE),"")</f>
        <v>2998</v>
      </c>
      <c r="Q560" s="13">
        <f>IFERROR(VLOOKUP($A560,koronahun!$A:$AM,17,FALSE),"")</f>
        <v>8.0000000000000002E-3</v>
      </c>
      <c r="R560">
        <f>IFERROR(VLOOKUP($A560,koronahun!$A:$AM,18,FALSE),"")</f>
        <v>0</v>
      </c>
      <c r="S560">
        <f>IFERROR(VLOOKUP($A560,koronahun!$A:$AM,19,FALSE),"")</f>
        <v>16</v>
      </c>
      <c r="T560">
        <f>IFERROR(VLOOKUP($A560,koronahun!$A:$AM,20,FALSE),"")</f>
        <v>63</v>
      </c>
      <c r="U560">
        <f>IFERROR(VLOOKUP($A560,koronahun!$A:$AM,21,FALSE),"")</f>
        <v>6</v>
      </c>
      <c r="V560" s="13">
        <f>IFERROR(VLOOKUP($A560,koronahun!$A:$AM,22,FALSE),"")</f>
        <v>0.13614927209350011</v>
      </c>
      <c r="W560">
        <f>IFERROR(VLOOKUP($A560,koronahun!$A:$AM,23,FALSE),"")</f>
        <v>-1</v>
      </c>
      <c r="X560">
        <f>IFERROR(VLOOKUP($A560,koronahun!$A:$AM,24,FALSE),"")</f>
        <v>0</v>
      </c>
      <c r="Y560" s="14">
        <f>IFERROR(VLOOKUP($A560,koronahun!$A:$AM,25,FALSE),"")</f>
        <v>9.4879518072289157E-2</v>
      </c>
      <c r="Z560" s="14">
        <f>IFERROR(VLOOKUP($A560,koronahun!$A:$AM,26,FALSE),"")</f>
        <v>9.5238095238095233E-2</v>
      </c>
      <c r="AA560" s="14">
        <f>IFERROR(VLOOKUP($A560,koronahun!$A:$AM,27,FALSE),"")</f>
        <v>1.7637795275590551</v>
      </c>
      <c r="AB560" s="14">
        <f>IFERROR(VLOOKUP($A560,koronahun!$A:$AM,28,FALSE),"")</f>
        <v>1.8976424858942897</v>
      </c>
      <c r="AC560" s="14">
        <f>IFERROR(VLOOKUP($A560,koronahun!$A:$AM,29,FALSE),"")</f>
        <v>32</v>
      </c>
      <c r="AD560" s="14">
        <f>IFERROR(VLOOKUP($A560,koronahun!$A:$AM,30,FALSE),"")</f>
        <v>0.7142857142857143</v>
      </c>
      <c r="AE560" s="14">
        <f>IFERROR(VLOOKUP($A560,koronahun!$A:$AM,31,FALSE),"")</f>
        <v>2464</v>
      </c>
      <c r="AF560" s="13">
        <f>IFERROR(VLOOKUP($A560,koronahun!$A:$AM,32,FALSE),"")</f>
        <v>1.4014285714285713E-2</v>
      </c>
      <c r="AG560">
        <f>IFERROR(VLOOKUP($A560,koronahun!$A:$AM,33,FALSE),"")</f>
        <v>0</v>
      </c>
      <c r="AH560">
        <f>IFERROR(VLOOKUP($A560,koronahun!$A:$AM,34,FALSE),"")</f>
        <v>0</v>
      </c>
      <c r="AI560">
        <f>IFERROR(VLOOKUP($A560,koronahun!$A:$AM,35,FALSE),"")</f>
        <v>0</v>
      </c>
      <c r="AJ560">
        <f>IFERROR(VLOOKUP($A560,koronahun!$A:$AM,36,FALSE),"")</f>
        <v>0</v>
      </c>
      <c r="AK560">
        <f>IFERROR(VLOOKUP($A560,koronahun!$A:$AM,37,FALSE),"")</f>
        <v>0</v>
      </c>
      <c r="AL560">
        <f>IFERROR(VLOOKUP($A560,koronahun!$A:$AM,38,FALSE),"")</f>
        <v>0</v>
      </c>
      <c r="AM560" s="14">
        <f>IFERROR(VLOOKUP($A560,koronahun!$A:$AM,39,FALSE),"")</f>
        <v>16.428571428571427</v>
      </c>
      <c r="AN560" s="11">
        <f ca="1">IFERROR(__xludf.DUMMYFUNCTION("""COMPUTED_VALUE"""),44452)</f>
        <v>44452</v>
      </c>
      <c r="AO560" s="12">
        <f ca="1">IFERROR(VLOOKUP(AN560,koronahun!A:B,2,FALSE),"")</f>
        <v>815605</v>
      </c>
      <c r="AP560" s="11">
        <f t="shared" ca="1" si="4"/>
        <v>44452</v>
      </c>
      <c r="AQ560" s="11">
        <f ca="1">IFERROR(__xludf.DUMMYFUNCTION("""COMPUTED_VALUE"""),44490)</f>
        <v>44490</v>
      </c>
      <c r="AR560" s="11">
        <v>44059</v>
      </c>
      <c r="AS560" s="11">
        <f t="shared" si="5"/>
        <v>44059</v>
      </c>
      <c r="AT560" s="11">
        <f ca="1">IFERROR(__xludf.DUMMYFUNCTION("""COMPUTED_VALUE"""),44058)</f>
        <v>44058</v>
      </c>
    </row>
    <row r="561" spans="1:46" ht="13">
      <c r="A561" s="11">
        <v>44057</v>
      </c>
      <c r="B561">
        <f>IFERROR(VLOOKUP($A561,koronahun!$A:$AM,2,FALSE),"")</f>
        <v>4853</v>
      </c>
      <c r="C561">
        <f>IFERROR(VLOOKUP($A561,koronahun!$A:$AM,3,FALSE),"")</f>
        <v>40</v>
      </c>
      <c r="D561">
        <f>IFERROR(VLOOKUP($A561,koronahun!$A:$AM,4,FALSE),"")</f>
        <v>607</v>
      </c>
      <c r="E561">
        <f>IFERROR(VLOOKUP($A561,koronahun!$A:$AM,5,FALSE),"")</f>
        <v>3590</v>
      </c>
      <c r="F561">
        <f>IFERROR(VLOOKUP($A561,koronahun!$A:$AM,6,FALSE),"")</f>
        <v>372687</v>
      </c>
      <c r="G561" s="12">
        <f>IFERROR(VLOOKUP($A561,koronahun!$A:$AM,7,FALSE),"")</f>
        <v>38029.28571428571</v>
      </c>
      <c r="H561">
        <f>IFERROR(VLOOKUP($A561,koronahun!$A:$AM,8,FALSE),"")</f>
        <v>0</v>
      </c>
      <c r="I561" s="13">
        <f>IFERROR(VLOOKUP($A561,koronahun!$A:$AM,9,FALSE),"")</f>
        <v>8.3000000000000001E-3</v>
      </c>
      <c r="J561" s="13">
        <f>IFERROR(VLOOKUP($A561,koronahun!$A:$AM,10,FALSE),"")</f>
        <v>1.2999999999999999E-2</v>
      </c>
      <c r="K561" s="13">
        <f>IFERROR(VLOOKUP($A561,koronahun!$A:$AM,11,FALSE),"")</f>
        <v>8.0000000000000002E-3</v>
      </c>
      <c r="L561">
        <f>IFERROR(VLOOKUP($A561,koronahun!$A:$AM,12,FALSE),"")</f>
        <v>656</v>
      </c>
      <c r="M561" s="13">
        <f>IFERROR(VLOOKUP($A561,koronahun!$A:$AM,13,FALSE),"")</f>
        <v>0.12509999999999999</v>
      </c>
      <c r="N561" s="13">
        <f>IFERROR(VLOOKUP($A561,koronahun!$A:$AM,14,FALSE),"")</f>
        <v>0.73970000000000002</v>
      </c>
      <c r="O561">
        <f>IFERROR(VLOOKUP($A561,koronahun!$A:$AM,15,FALSE),"")</f>
        <v>0</v>
      </c>
      <c r="P561">
        <f>IFERROR(VLOOKUP($A561,koronahun!$A:$AM,16,FALSE),"")</f>
        <v>3142</v>
      </c>
      <c r="Q561" s="13">
        <f>IFERROR(VLOOKUP($A561,koronahun!$A:$AM,17,FALSE),"")</f>
        <v>1.2699999999999999E-2</v>
      </c>
      <c r="R561">
        <f>IFERROR(VLOOKUP($A561,koronahun!$A:$AM,18,FALSE),"")</f>
        <v>0</v>
      </c>
      <c r="S561">
        <f>IFERROR(VLOOKUP($A561,koronahun!$A:$AM,19,FALSE),"")</f>
        <v>29</v>
      </c>
      <c r="T561">
        <f>IFERROR(VLOOKUP($A561,koronahun!$A:$AM,20,FALSE),"")</f>
        <v>64</v>
      </c>
      <c r="U561">
        <f>IFERROR(VLOOKUP($A561,koronahun!$A:$AM,21,FALSE),"")</f>
        <v>6</v>
      </c>
      <c r="V561" s="13">
        <f>IFERROR(VLOOKUP($A561,koronahun!$A:$AM,22,FALSE),"")</f>
        <v>0.13517411910158664</v>
      </c>
      <c r="W561">
        <f>IFERROR(VLOOKUP($A561,koronahun!$A:$AM,23,FALSE),"")</f>
        <v>-2</v>
      </c>
      <c r="X561">
        <f>IFERROR(VLOOKUP($A561,koronahun!$A:$AM,24,FALSE),"")</f>
        <v>1</v>
      </c>
      <c r="Y561" s="14">
        <f>IFERROR(VLOOKUP($A561,koronahun!$A:$AM,25,FALSE),"")</f>
        <v>9.7560975609756101E-2</v>
      </c>
      <c r="Z561" s="14">
        <f>IFERROR(VLOOKUP($A561,koronahun!$A:$AM,26,FALSE),"")</f>
        <v>9.375E-2</v>
      </c>
      <c r="AA561" s="14">
        <f>IFERROR(VLOOKUP($A561,koronahun!$A:$AM,27,FALSE),"")</f>
        <v>2</v>
      </c>
      <c r="AB561" s="14">
        <f>IFERROR(VLOOKUP($A561,koronahun!$A:$AM,28,FALSE),"")</f>
        <v>1.8235451304166654</v>
      </c>
      <c r="AC561" s="14">
        <f>IFERROR(VLOOKUP($A561,koronahun!$A:$AM,29,FALSE),"")</f>
        <v>33.142857142857146</v>
      </c>
      <c r="AD561" s="14">
        <f>IFERROR(VLOOKUP($A561,koronahun!$A:$AM,30,FALSE),"")</f>
        <v>0.7142857142857143</v>
      </c>
      <c r="AE561" s="14">
        <f>IFERROR(VLOOKUP($A561,koronahun!$A:$AM,31,FALSE),"")</f>
        <v>2460</v>
      </c>
      <c r="AF561" s="13">
        <f>IFERROR(VLOOKUP($A561,koronahun!$A:$AM,32,FALSE),"")</f>
        <v>1.4414285714285715E-2</v>
      </c>
      <c r="AG561">
        <f>IFERROR(VLOOKUP($A561,koronahun!$A:$AM,33,FALSE),"")</f>
        <v>0</v>
      </c>
      <c r="AH561">
        <f>IFERROR(VLOOKUP($A561,koronahun!$A:$AM,34,FALSE),"")</f>
        <v>0</v>
      </c>
      <c r="AI561">
        <f>IFERROR(VLOOKUP($A561,koronahun!$A:$AM,35,FALSE),"")</f>
        <v>0</v>
      </c>
      <c r="AJ561">
        <f>IFERROR(VLOOKUP($A561,koronahun!$A:$AM,36,FALSE),"")</f>
        <v>0</v>
      </c>
      <c r="AK561">
        <f>IFERROR(VLOOKUP($A561,koronahun!$A:$AM,37,FALSE),"")</f>
        <v>0</v>
      </c>
      <c r="AL561">
        <f>IFERROR(VLOOKUP($A561,koronahun!$A:$AM,38,FALSE),"")</f>
        <v>0</v>
      </c>
      <c r="AM561" s="14">
        <f>IFERROR(VLOOKUP($A561,koronahun!$A:$AM,39,FALSE),"")</f>
        <v>18</v>
      </c>
      <c r="AN561" s="11">
        <f ca="1">IFERROR(__xludf.DUMMYFUNCTION("""COMPUTED_VALUE"""),44453)</f>
        <v>44453</v>
      </c>
      <c r="AO561" s="12">
        <f ca="1">IFERROR(VLOOKUP(AN561,koronahun!A:B,2,FALSE),"")</f>
        <v>815851</v>
      </c>
      <c r="AP561" s="11">
        <f t="shared" ca="1" si="4"/>
        <v>44453</v>
      </c>
      <c r="AQ561" s="11">
        <f ca="1">IFERROR(__xludf.DUMMYFUNCTION("""COMPUTED_VALUE"""),44491)</f>
        <v>44491</v>
      </c>
      <c r="AR561" s="11">
        <v>44058</v>
      </c>
      <c r="AS561" s="11">
        <f t="shared" si="5"/>
        <v>44058</v>
      </c>
      <c r="AT561" s="11">
        <f ca="1">IFERROR(__xludf.DUMMYFUNCTION("""COMPUTED_VALUE"""),44057)</f>
        <v>44057</v>
      </c>
    </row>
    <row r="562" spans="1:46" ht="13">
      <c r="A562" s="11">
        <v>44056</v>
      </c>
      <c r="B562">
        <f>IFERROR(VLOOKUP($A562,koronahun!$A:$AM,2,FALSE),"")</f>
        <v>4813</v>
      </c>
      <c r="C562">
        <f>IFERROR(VLOOKUP($A562,koronahun!$A:$AM,3,FALSE),"")</f>
        <v>45</v>
      </c>
      <c r="D562">
        <f>IFERROR(VLOOKUP($A562,koronahun!$A:$AM,4,FALSE),"")</f>
        <v>607</v>
      </c>
      <c r="E562">
        <f>IFERROR(VLOOKUP($A562,koronahun!$A:$AM,5,FALSE),"")</f>
        <v>3561</v>
      </c>
      <c r="F562">
        <f>IFERROR(VLOOKUP($A562,koronahun!$A:$AM,6,FALSE),"")</f>
        <v>369545</v>
      </c>
      <c r="G562" s="12">
        <f>IFERROR(VLOOKUP($A562,koronahun!$A:$AM,7,FALSE),"")</f>
        <v>37708.673469387752</v>
      </c>
      <c r="H562">
        <f>IFERROR(VLOOKUP($A562,koronahun!$A:$AM,8,FALSE),"")</f>
        <v>0</v>
      </c>
      <c r="I562" s="13">
        <f>IFERROR(VLOOKUP($A562,koronahun!$A:$AM,9,FALSE),"")</f>
        <v>9.4000000000000004E-3</v>
      </c>
      <c r="J562" s="13">
        <f>IFERROR(VLOOKUP($A562,koronahun!$A:$AM,10,FALSE),"")</f>
        <v>1.2999999999999999E-2</v>
      </c>
      <c r="K562" s="13">
        <f>IFERROR(VLOOKUP($A562,koronahun!$A:$AM,11,FALSE),"")</f>
        <v>8.9999999999999993E-3</v>
      </c>
      <c r="L562">
        <f>IFERROR(VLOOKUP($A562,koronahun!$A:$AM,12,FALSE),"")</f>
        <v>645</v>
      </c>
      <c r="M562" s="13">
        <f>IFERROR(VLOOKUP($A562,koronahun!$A:$AM,13,FALSE),"")</f>
        <v>0.12609999999999999</v>
      </c>
      <c r="N562" s="13">
        <f>IFERROR(VLOOKUP($A562,koronahun!$A:$AM,14,FALSE),"")</f>
        <v>0.7399</v>
      </c>
      <c r="O562">
        <f>IFERROR(VLOOKUP($A562,koronahun!$A:$AM,15,FALSE),"")</f>
        <v>0</v>
      </c>
      <c r="P562">
        <f>IFERROR(VLOOKUP($A562,koronahun!$A:$AM,16,FALSE),"")</f>
        <v>3189</v>
      </c>
      <c r="Q562" s="13">
        <f>IFERROR(VLOOKUP($A562,koronahun!$A:$AM,17,FALSE),"")</f>
        <v>1.41E-2</v>
      </c>
      <c r="R562">
        <f>IFERROR(VLOOKUP($A562,koronahun!$A:$AM,18,FALSE),"")</f>
        <v>2</v>
      </c>
      <c r="S562">
        <f>IFERROR(VLOOKUP($A562,koronahun!$A:$AM,19,FALSE),"")</f>
        <v>32</v>
      </c>
      <c r="T562">
        <f>IFERROR(VLOOKUP($A562,koronahun!$A:$AM,20,FALSE),"")</f>
        <v>66</v>
      </c>
      <c r="U562">
        <f>IFERROR(VLOOKUP($A562,koronahun!$A:$AM,21,FALSE),"")</f>
        <v>5</v>
      </c>
      <c r="V562" s="13">
        <f>IFERROR(VLOOKUP($A562,koronahun!$A:$AM,22,FALSE),"")</f>
        <v>0.13401205069603159</v>
      </c>
      <c r="W562">
        <f>IFERROR(VLOOKUP($A562,koronahun!$A:$AM,23,FALSE),"")</f>
        <v>2</v>
      </c>
      <c r="X562">
        <f>IFERROR(VLOOKUP($A562,koronahun!$A:$AM,24,FALSE),"")</f>
        <v>0</v>
      </c>
      <c r="Y562" s="14">
        <f>IFERROR(VLOOKUP($A562,koronahun!$A:$AM,25,FALSE),"")</f>
        <v>0.10232558139534884</v>
      </c>
      <c r="Z562" s="14">
        <f>IFERROR(VLOOKUP($A562,koronahun!$A:$AM,26,FALSE),"")</f>
        <v>7.575757575757576E-2</v>
      </c>
      <c r="AA562" s="14">
        <f>IFERROR(VLOOKUP($A562,koronahun!$A:$AM,27,FALSE),"")</f>
        <v>1.9115044247787611</v>
      </c>
      <c r="AB562" s="14">
        <f>IFERROR(VLOOKUP($A562,koronahun!$A:$AM,28,FALSE),"")</f>
        <v>1.6927040089213385</v>
      </c>
      <c r="AC562" s="14">
        <f>IFERROR(VLOOKUP($A562,koronahun!$A:$AM,29,FALSE),"")</f>
        <v>30.857142857142858</v>
      </c>
      <c r="AD562" s="14">
        <f>IFERROR(VLOOKUP($A562,koronahun!$A:$AM,30,FALSE),"")</f>
        <v>1</v>
      </c>
      <c r="AE562" s="14">
        <f>IFERROR(VLOOKUP($A562,koronahun!$A:$AM,31,FALSE),"")</f>
        <v>2428.4285714285716</v>
      </c>
      <c r="AF562" s="13">
        <f>IFERROR(VLOOKUP($A562,koronahun!$A:$AM,32,FALSE),"")</f>
        <v>1.3771428571428572E-2</v>
      </c>
      <c r="AG562">
        <f>IFERROR(VLOOKUP($A562,koronahun!$A:$AM,33,FALSE),"")</f>
        <v>0</v>
      </c>
      <c r="AH562">
        <f>IFERROR(VLOOKUP($A562,koronahun!$A:$AM,34,FALSE),"")</f>
        <v>0</v>
      </c>
      <c r="AI562">
        <f>IFERROR(VLOOKUP($A562,koronahun!$A:$AM,35,FALSE),"")</f>
        <v>0</v>
      </c>
      <c r="AJ562">
        <f>IFERROR(VLOOKUP($A562,koronahun!$A:$AM,36,FALSE),"")</f>
        <v>0</v>
      </c>
      <c r="AK562">
        <f>IFERROR(VLOOKUP($A562,koronahun!$A:$AM,37,FALSE),"")</f>
        <v>0</v>
      </c>
      <c r="AL562">
        <f>IFERROR(VLOOKUP($A562,koronahun!$A:$AM,38,FALSE),"")</f>
        <v>0</v>
      </c>
      <c r="AM562" s="14">
        <f>IFERROR(VLOOKUP($A562,koronahun!$A:$AM,39,FALSE),"")</f>
        <v>14</v>
      </c>
      <c r="AN562" s="11">
        <f ca="1">IFERROR(__xludf.DUMMYFUNCTION("""COMPUTED_VALUE"""),44454)</f>
        <v>44454</v>
      </c>
      <c r="AO562" s="12">
        <f ca="1">IFERROR(VLOOKUP(AN562,koronahun!A:B,2,FALSE),"")</f>
        <v>816222</v>
      </c>
      <c r="AP562" s="11">
        <f t="shared" ca="1" si="4"/>
        <v>44454</v>
      </c>
      <c r="AQ562" s="11">
        <f ca="1">IFERROR(__xludf.DUMMYFUNCTION("""COMPUTED_VALUE"""),44494)</f>
        <v>44494</v>
      </c>
      <c r="AR562" s="11">
        <v>44057</v>
      </c>
      <c r="AS562" s="11">
        <f t="shared" si="5"/>
        <v>44057</v>
      </c>
      <c r="AT562" s="11">
        <f ca="1">IFERROR(__xludf.DUMMYFUNCTION("""COMPUTED_VALUE"""),44056)</f>
        <v>44056</v>
      </c>
    </row>
    <row r="563" spans="1:46" ht="13">
      <c r="A563" s="11">
        <v>44055</v>
      </c>
      <c r="B563">
        <f>IFERROR(VLOOKUP($A563,koronahun!$A:$AM,2,FALSE),"")</f>
        <v>4768</v>
      </c>
      <c r="C563">
        <f>IFERROR(VLOOKUP($A563,koronahun!$A:$AM,3,FALSE),"")</f>
        <v>22</v>
      </c>
      <c r="D563">
        <f>IFERROR(VLOOKUP($A563,koronahun!$A:$AM,4,FALSE),"")</f>
        <v>605</v>
      </c>
      <c r="E563">
        <f>IFERROR(VLOOKUP($A563,koronahun!$A:$AM,5,FALSE),"")</f>
        <v>3529</v>
      </c>
      <c r="F563">
        <f>IFERROR(VLOOKUP($A563,koronahun!$A:$AM,6,FALSE),"")</f>
        <v>366356</v>
      </c>
      <c r="G563" s="12">
        <f>IFERROR(VLOOKUP($A563,koronahun!$A:$AM,7,FALSE),"")</f>
        <v>37383.265306122448</v>
      </c>
      <c r="H563">
        <f>IFERROR(VLOOKUP($A563,koronahun!$A:$AM,8,FALSE),"")</f>
        <v>0</v>
      </c>
      <c r="I563" s="13">
        <f>IFERROR(VLOOKUP($A563,koronahun!$A:$AM,9,FALSE),"")</f>
        <v>4.5999999999999999E-3</v>
      </c>
      <c r="J563" s="13">
        <f>IFERROR(VLOOKUP($A563,koronahun!$A:$AM,10,FALSE),"")</f>
        <v>1.2999999999999999E-2</v>
      </c>
      <c r="K563" s="13">
        <f>IFERROR(VLOOKUP($A563,koronahun!$A:$AM,11,FALSE),"")</f>
        <v>8.0000000000000002E-3</v>
      </c>
      <c r="L563">
        <f>IFERROR(VLOOKUP($A563,koronahun!$A:$AM,12,FALSE),"")</f>
        <v>634</v>
      </c>
      <c r="M563" s="13">
        <f>IFERROR(VLOOKUP($A563,koronahun!$A:$AM,13,FALSE),"")</f>
        <v>0.12690000000000001</v>
      </c>
      <c r="N563" s="13">
        <f>IFERROR(VLOOKUP($A563,koronahun!$A:$AM,14,FALSE),"")</f>
        <v>0.74009999999999998</v>
      </c>
      <c r="O563">
        <f>IFERROR(VLOOKUP($A563,koronahun!$A:$AM,15,FALSE),"")</f>
        <v>0</v>
      </c>
      <c r="P563">
        <f>IFERROR(VLOOKUP($A563,koronahun!$A:$AM,16,FALSE),"")</f>
        <v>2897</v>
      </c>
      <c r="Q563" s="13">
        <f>IFERROR(VLOOKUP($A563,koronahun!$A:$AM,17,FALSE),"")</f>
        <v>7.6E-3</v>
      </c>
      <c r="R563">
        <f>IFERROR(VLOOKUP($A563,koronahun!$A:$AM,18,FALSE),"")</f>
        <v>0</v>
      </c>
      <c r="S563">
        <f>IFERROR(VLOOKUP($A563,koronahun!$A:$AM,19,FALSE),"")</f>
        <v>2</v>
      </c>
      <c r="T563">
        <f>IFERROR(VLOOKUP($A563,koronahun!$A:$AM,20,FALSE),"")</f>
        <v>64</v>
      </c>
      <c r="U563">
        <f>IFERROR(VLOOKUP($A563,koronahun!$A:$AM,21,FALSE),"")</f>
        <v>5</v>
      </c>
      <c r="V563" s="13">
        <f>IFERROR(VLOOKUP($A563,koronahun!$A:$AM,22,FALSE),"")</f>
        <v>0.13296979865771813</v>
      </c>
      <c r="W563">
        <f>IFERROR(VLOOKUP($A563,koronahun!$A:$AM,23,FALSE),"")</f>
        <v>2</v>
      </c>
      <c r="X563">
        <f>IFERROR(VLOOKUP($A563,koronahun!$A:$AM,24,FALSE),"")</f>
        <v>0</v>
      </c>
      <c r="Y563" s="14">
        <f>IFERROR(VLOOKUP($A563,koronahun!$A:$AM,25,FALSE),"")</f>
        <v>0.10094637223974763</v>
      </c>
      <c r="Z563" s="14">
        <f>IFERROR(VLOOKUP($A563,koronahun!$A:$AM,26,FALSE),"")</f>
        <v>7.8125E-2</v>
      </c>
      <c r="AA563" s="14">
        <f>IFERROR(VLOOKUP($A563,koronahun!$A:$AM,27,FALSE),"")</f>
        <v>2.0606060606060606</v>
      </c>
      <c r="AB563" s="14">
        <f>IFERROR(VLOOKUP($A563,koronahun!$A:$AM,28,FALSE),"")</f>
        <v>1.5748517284584387</v>
      </c>
      <c r="AC563" s="14">
        <f>IFERROR(VLOOKUP($A563,koronahun!$A:$AM,29,FALSE),"")</f>
        <v>29.142857142857142</v>
      </c>
      <c r="AD563" s="14">
        <f>IFERROR(VLOOKUP($A563,koronahun!$A:$AM,30,FALSE),"")</f>
        <v>0.8571428571428571</v>
      </c>
      <c r="AE563" s="14">
        <f>IFERROR(VLOOKUP($A563,koronahun!$A:$AM,31,FALSE),"")</f>
        <v>2321.1428571428573</v>
      </c>
      <c r="AF563" s="13">
        <f>IFERROR(VLOOKUP($A563,koronahun!$A:$AM,32,FALSE),"")</f>
        <v>1.3685714285714285E-2</v>
      </c>
      <c r="AG563">
        <f>IFERROR(VLOOKUP($A563,koronahun!$A:$AM,33,FALSE),"")</f>
        <v>0</v>
      </c>
      <c r="AH563">
        <f>IFERROR(VLOOKUP($A563,koronahun!$A:$AM,34,FALSE),"")</f>
        <v>0</v>
      </c>
      <c r="AI563">
        <f>IFERROR(VLOOKUP($A563,koronahun!$A:$AM,35,FALSE),"")</f>
        <v>0</v>
      </c>
      <c r="AJ563">
        <f>IFERROR(VLOOKUP($A563,koronahun!$A:$AM,36,FALSE),"")</f>
        <v>0</v>
      </c>
      <c r="AK563">
        <f>IFERROR(VLOOKUP($A563,koronahun!$A:$AM,37,FALSE),"")</f>
        <v>0</v>
      </c>
      <c r="AL563">
        <f>IFERROR(VLOOKUP($A563,koronahun!$A:$AM,38,FALSE),"")</f>
        <v>0</v>
      </c>
      <c r="AM563" s="14">
        <f>IFERROR(VLOOKUP($A563,koronahun!$A:$AM,39,FALSE),"")</f>
        <v>14</v>
      </c>
      <c r="AN563" s="11">
        <f ca="1">IFERROR(__xludf.DUMMYFUNCTION("""COMPUTED_VALUE"""),44455)</f>
        <v>44455</v>
      </c>
      <c r="AO563" s="12">
        <f ca="1">IFERROR(VLOOKUP(AN563,koronahun!A:B,2,FALSE),"")</f>
        <v>816680</v>
      </c>
      <c r="AP563" s="11">
        <f t="shared" ca="1" si="4"/>
        <v>44455</v>
      </c>
      <c r="AQ563" s="11">
        <f ca="1">IFERROR(__xludf.DUMMYFUNCTION("""COMPUTED_VALUE"""),44495)</f>
        <v>44495</v>
      </c>
      <c r="AR563" s="11">
        <v>44056</v>
      </c>
      <c r="AS563" s="11">
        <f t="shared" si="5"/>
        <v>44056</v>
      </c>
      <c r="AT563" s="11">
        <f ca="1">IFERROR(__xludf.DUMMYFUNCTION("""COMPUTED_VALUE"""),44055)</f>
        <v>44055</v>
      </c>
    </row>
    <row r="564" spans="1:46" ht="13">
      <c r="A564" s="11">
        <v>44054</v>
      </c>
      <c r="B564">
        <f>IFERROR(VLOOKUP($A564,koronahun!$A:$AM,2,FALSE),"")</f>
        <v>4746</v>
      </c>
      <c r="C564">
        <f>IFERROR(VLOOKUP($A564,koronahun!$A:$AM,3,FALSE),"")</f>
        <v>15</v>
      </c>
      <c r="D564">
        <f>IFERROR(VLOOKUP($A564,koronahun!$A:$AM,4,FALSE),"")</f>
        <v>605</v>
      </c>
      <c r="E564">
        <f>IFERROR(VLOOKUP($A564,koronahun!$A:$AM,5,FALSE),"")</f>
        <v>3527</v>
      </c>
      <c r="F564">
        <f>IFERROR(VLOOKUP($A564,koronahun!$A:$AM,6,FALSE),"")</f>
        <v>363459</v>
      </c>
      <c r="G564" s="12">
        <f>IFERROR(VLOOKUP($A564,koronahun!$A:$AM,7,FALSE),"")</f>
        <v>37087.65306122449</v>
      </c>
      <c r="H564">
        <f>IFERROR(VLOOKUP($A564,koronahun!$A:$AM,8,FALSE),"")</f>
        <v>0</v>
      </c>
      <c r="I564" s="13">
        <f>IFERROR(VLOOKUP($A564,koronahun!$A:$AM,9,FALSE),"")</f>
        <v>3.2000000000000002E-3</v>
      </c>
      <c r="J564" s="13">
        <f>IFERROR(VLOOKUP($A564,koronahun!$A:$AM,10,FALSE),"")</f>
        <v>1.3100000000000001E-2</v>
      </c>
      <c r="K564" s="13">
        <f>IFERROR(VLOOKUP($A564,koronahun!$A:$AM,11,FALSE),"")</f>
        <v>2E-3</v>
      </c>
      <c r="L564">
        <f>IFERROR(VLOOKUP($A564,koronahun!$A:$AM,12,FALSE),"")</f>
        <v>614</v>
      </c>
      <c r="M564" s="13">
        <f>IFERROR(VLOOKUP($A564,koronahun!$A:$AM,13,FALSE),"")</f>
        <v>0.1275</v>
      </c>
      <c r="N564" s="13">
        <f>IFERROR(VLOOKUP($A564,koronahun!$A:$AM,14,FALSE),"")</f>
        <v>0.74319999999999997</v>
      </c>
      <c r="O564">
        <f>IFERROR(VLOOKUP($A564,koronahun!$A:$AM,15,FALSE),"")</f>
        <v>0</v>
      </c>
      <c r="P564">
        <f>IFERROR(VLOOKUP($A564,koronahun!$A:$AM,16,FALSE),"")</f>
        <v>799</v>
      </c>
      <c r="Q564" s="13">
        <f>IFERROR(VLOOKUP($A564,koronahun!$A:$AM,17,FALSE),"")</f>
        <v>1.8800000000000001E-2</v>
      </c>
      <c r="R564">
        <f>IFERROR(VLOOKUP($A564,koronahun!$A:$AM,18,FALSE),"")</f>
        <v>0</v>
      </c>
      <c r="S564">
        <f>IFERROR(VLOOKUP($A564,koronahun!$A:$AM,19,FALSE),"")</f>
        <v>2</v>
      </c>
      <c r="T564">
        <f>IFERROR(VLOOKUP($A564,koronahun!$A:$AM,20,FALSE),"")</f>
        <v>62</v>
      </c>
      <c r="U564">
        <f>IFERROR(VLOOKUP($A564,koronahun!$A:$AM,21,FALSE),"")</f>
        <v>5</v>
      </c>
      <c r="V564" s="13">
        <f>IFERROR(VLOOKUP($A564,koronahun!$A:$AM,22,FALSE),"")</f>
        <v>0.12937210282343026</v>
      </c>
      <c r="W564">
        <f>IFERROR(VLOOKUP($A564,koronahun!$A:$AM,23,FALSE),"")</f>
        <v>1</v>
      </c>
      <c r="X564">
        <f>IFERROR(VLOOKUP($A564,koronahun!$A:$AM,24,FALSE),"")</f>
        <v>-1</v>
      </c>
      <c r="Y564" s="14">
        <f>IFERROR(VLOOKUP($A564,koronahun!$A:$AM,25,FALSE),"")</f>
        <v>0.10097719869706841</v>
      </c>
      <c r="Z564" s="14">
        <f>IFERROR(VLOOKUP($A564,koronahun!$A:$AM,26,FALSE),"")</f>
        <v>8.0645161290322578E-2</v>
      </c>
      <c r="AA564" s="14">
        <f>IFERROR(VLOOKUP($A564,koronahun!$A:$AM,27,FALSE),"")</f>
        <v>1.9896907216494846</v>
      </c>
      <c r="AB564" s="14">
        <f>IFERROR(VLOOKUP($A564,koronahun!$A:$AM,28,FALSE),"")</f>
        <v>1.4233365769432871</v>
      </c>
      <c r="AC564" s="14">
        <f>IFERROR(VLOOKUP($A564,koronahun!$A:$AM,29,FALSE),"")</f>
        <v>27.571428571428573</v>
      </c>
      <c r="AD564" s="14">
        <f>IFERROR(VLOOKUP($A564,koronahun!$A:$AM,30,FALSE),"")</f>
        <v>1</v>
      </c>
      <c r="AE564" s="14">
        <f>IFERROR(VLOOKUP($A564,koronahun!$A:$AM,31,FALSE),"")</f>
        <v>2189.5714285714284</v>
      </c>
      <c r="AF564" s="13">
        <f>IFERROR(VLOOKUP($A564,koronahun!$A:$AM,32,FALSE),"")</f>
        <v>1.3399999999999999E-2</v>
      </c>
      <c r="AG564">
        <f>IFERROR(VLOOKUP($A564,koronahun!$A:$AM,33,FALSE),"")</f>
        <v>0</v>
      </c>
      <c r="AH564">
        <f>IFERROR(VLOOKUP($A564,koronahun!$A:$AM,34,FALSE),"")</f>
        <v>0</v>
      </c>
      <c r="AI564">
        <f>IFERROR(VLOOKUP($A564,koronahun!$A:$AM,35,FALSE),"")</f>
        <v>0</v>
      </c>
      <c r="AJ564">
        <f>IFERROR(VLOOKUP($A564,koronahun!$A:$AM,36,FALSE),"")</f>
        <v>0</v>
      </c>
      <c r="AK564">
        <f>IFERROR(VLOOKUP($A564,koronahun!$A:$AM,37,FALSE),"")</f>
        <v>0</v>
      </c>
      <c r="AL564">
        <f>IFERROR(VLOOKUP($A564,koronahun!$A:$AM,38,FALSE),"")</f>
        <v>0</v>
      </c>
      <c r="AM564" s="14">
        <f>IFERROR(VLOOKUP($A564,koronahun!$A:$AM,39,FALSE),"")</f>
        <v>16</v>
      </c>
      <c r="AN564" s="11">
        <f ca="1">IFERROR(__xludf.DUMMYFUNCTION("""COMPUTED_VALUE"""),44456)</f>
        <v>44456</v>
      </c>
      <c r="AO564" s="12">
        <f ca="1">IFERROR(VLOOKUP(AN564,koronahun!A:B,2,FALSE),"")</f>
        <v>817159</v>
      </c>
      <c r="AP564" s="11">
        <f t="shared" ca="1" si="4"/>
        <v>44456</v>
      </c>
      <c r="AQ564" s="11">
        <f ca="1">IFERROR(__xludf.DUMMYFUNCTION("""COMPUTED_VALUE"""),44496)</f>
        <v>44496</v>
      </c>
      <c r="AR564" s="11">
        <v>44055</v>
      </c>
      <c r="AS564" s="11">
        <f t="shared" si="5"/>
        <v>44055</v>
      </c>
      <c r="AT564" s="11">
        <f ca="1">IFERROR(__xludf.DUMMYFUNCTION("""COMPUTED_VALUE"""),44054)</f>
        <v>44054</v>
      </c>
    </row>
    <row r="565" spans="1:46" ht="13">
      <c r="A565" s="11">
        <v>44053</v>
      </c>
      <c r="B565">
        <f>IFERROR(VLOOKUP($A565,koronahun!$A:$AM,2,FALSE),"")</f>
        <v>4731</v>
      </c>
      <c r="C565">
        <f>IFERROR(VLOOKUP($A565,koronahun!$A:$AM,3,FALSE),"")</f>
        <v>35</v>
      </c>
      <c r="D565">
        <f>IFERROR(VLOOKUP($A565,koronahun!$A:$AM,4,FALSE),"")</f>
        <v>605</v>
      </c>
      <c r="E565">
        <f>IFERROR(VLOOKUP($A565,koronahun!$A:$AM,5,FALSE),"")</f>
        <v>3525</v>
      </c>
      <c r="F565">
        <f>IFERROR(VLOOKUP($A565,koronahun!$A:$AM,6,FALSE),"")</f>
        <v>362660</v>
      </c>
      <c r="G565" s="12">
        <f>IFERROR(VLOOKUP($A565,koronahun!$A:$AM,7,FALSE),"")</f>
        <v>37006.122448979586</v>
      </c>
      <c r="H565">
        <f>IFERROR(VLOOKUP($A565,koronahun!$A:$AM,8,FALSE),"")</f>
        <v>0</v>
      </c>
      <c r="I565" s="13">
        <f>IFERROR(VLOOKUP($A565,koronahun!$A:$AM,9,FALSE),"")</f>
        <v>7.4999999999999997E-3</v>
      </c>
      <c r="J565" s="13">
        <f>IFERROR(VLOOKUP($A565,koronahun!$A:$AM,10,FALSE),"")</f>
        <v>1.2999999999999999E-2</v>
      </c>
      <c r="K565" s="13">
        <f>IFERROR(VLOOKUP($A565,koronahun!$A:$AM,11,FALSE),"")</f>
        <v>5.0000000000000001E-3</v>
      </c>
      <c r="L565">
        <f>IFERROR(VLOOKUP($A565,koronahun!$A:$AM,12,FALSE),"")</f>
        <v>601</v>
      </c>
      <c r="M565" s="13">
        <f>IFERROR(VLOOKUP($A565,koronahun!$A:$AM,13,FALSE),"")</f>
        <v>0.12790000000000001</v>
      </c>
      <c r="N565" s="13">
        <f>IFERROR(VLOOKUP($A565,koronahun!$A:$AM,14,FALSE),"")</f>
        <v>0.74509999999999998</v>
      </c>
      <c r="O565">
        <f>IFERROR(VLOOKUP($A565,koronahun!$A:$AM,15,FALSE),"")</f>
        <v>0</v>
      </c>
      <c r="P565">
        <f>IFERROR(VLOOKUP($A565,koronahun!$A:$AM,16,FALSE),"")</f>
        <v>1888</v>
      </c>
      <c r="Q565" s="13">
        <f>IFERROR(VLOOKUP($A565,koronahun!$A:$AM,17,FALSE),"")</f>
        <v>1.8499999999999999E-2</v>
      </c>
      <c r="R565">
        <f>IFERROR(VLOOKUP($A565,koronahun!$A:$AM,18,FALSE),"")</f>
        <v>3</v>
      </c>
      <c r="S565">
        <f>IFERROR(VLOOKUP($A565,koronahun!$A:$AM,19,FALSE),"")</f>
        <v>26</v>
      </c>
      <c r="T565">
        <f>IFERROR(VLOOKUP($A565,koronahun!$A:$AM,20,FALSE),"")</f>
        <v>61</v>
      </c>
      <c r="U565">
        <f>IFERROR(VLOOKUP($A565,koronahun!$A:$AM,21,FALSE),"")</f>
        <v>6</v>
      </c>
      <c r="V565" s="13">
        <f>IFERROR(VLOOKUP($A565,koronahun!$A:$AM,22,FALSE),"")</f>
        <v>0.12703445360388924</v>
      </c>
      <c r="W565">
        <f>IFERROR(VLOOKUP($A565,koronahun!$A:$AM,23,FALSE),"")</f>
        <v>-12</v>
      </c>
      <c r="X565">
        <f>IFERROR(VLOOKUP($A565,koronahun!$A:$AM,24,FALSE),"")</f>
        <v>0</v>
      </c>
      <c r="Y565" s="14">
        <f>IFERROR(VLOOKUP($A565,koronahun!$A:$AM,25,FALSE),"")</f>
        <v>0.10149750415973377</v>
      </c>
      <c r="Z565" s="14">
        <f>IFERROR(VLOOKUP($A565,koronahun!$A:$AM,26,FALSE),"")</f>
        <v>9.8360655737704916E-2</v>
      </c>
      <c r="AA565" s="14">
        <f>IFERROR(VLOOKUP($A565,koronahun!$A:$AM,27,FALSE),"")</f>
        <v>1.9479166666666667</v>
      </c>
      <c r="AB565" s="14">
        <f>IFERROR(VLOOKUP($A565,koronahun!$A:$AM,28,FALSE),"")</f>
        <v>1.266224796262037</v>
      </c>
      <c r="AC565" s="14">
        <f>IFERROR(VLOOKUP($A565,koronahun!$A:$AM,29,FALSE),"")</f>
        <v>26.714285714285715</v>
      </c>
      <c r="AD565" s="14">
        <f>IFERROR(VLOOKUP($A565,koronahun!$A:$AM,30,FALSE),"")</f>
        <v>1.1428571428571428</v>
      </c>
      <c r="AE565" s="14">
        <f>IFERROR(VLOOKUP($A565,koronahun!$A:$AM,31,FALSE),"")</f>
        <v>2242.5714285714284</v>
      </c>
      <c r="AF565" s="13">
        <f>IFERROR(VLOOKUP($A565,koronahun!$A:$AM,32,FALSE),"")</f>
        <v>1.1814285714285713E-2</v>
      </c>
      <c r="AG565">
        <f>IFERROR(VLOOKUP($A565,koronahun!$A:$AM,33,FALSE),"")</f>
        <v>0</v>
      </c>
      <c r="AH565">
        <f>IFERROR(VLOOKUP($A565,koronahun!$A:$AM,34,FALSE),"")</f>
        <v>0</v>
      </c>
      <c r="AI565">
        <f>IFERROR(VLOOKUP($A565,koronahun!$A:$AM,35,FALSE),"")</f>
        <v>0</v>
      </c>
      <c r="AJ565">
        <f>IFERROR(VLOOKUP($A565,koronahun!$A:$AM,36,FALSE),"")</f>
        <v>0</v>
      </c>
      <c r="AK565">
        <f>IFERROR(VLOOKUP($A565,koronahun!$A:$AM,37,FALSE),"")</f>
        <v>0</v>
      </c>
      <c r="AL565">
        <f>IFERROR(VLOOKUP($A565,koronahun!$A:$AM,38,FALSE),"")</f>
        <v>0</v>
      </c>
      <c r="AM565" s="14">
        <f>IFERROR(VLOOKUP($A565,koronahun!$A:$AM,39,FALSE),"")</f>
        <v>16</v>
      </c>
      <c r="AN565" s="11">
        <f ca="1">IFERROR(__xludf.DUMMYFUNCTION("""COMPUTED_VALUE"""),44457)</f>
        <v>44457</v>
      </c>
      <c r="AO565" s="12">
        <f ca="1">IFERROR(VLOOKUP(AN565,koronahun!A:B,2,FALSE),"")</f>
        <v>0</v>
      </c>
      <c r="AP565" s="11">
        <f t="shared" ca="1" si="4"/>
        <v>44457</v>
      </c>
      <c r="AQ565" s="11">
        <f ca="1">IFERROR(__xludf.DUMMYFUNCTION("""COMPUTED_VALUE"""),44497)</f>
        <v>44497</v>
      </c>
      <c r="AR565" s="11">
        <v>44054</v>
      </c>
      <c r="AS565" s="11">
        <f t="shared" si="5"/>
        <v>44054</v>
      </c>
      <c r="AT565" s="11">
        <f ca="1">IFERROR(__xludf.DUMMYFUNCTION("""COMPUTED_VALUE"""),44053)</f>
        <v>44053</v>
      </c>
    </row>
    <row r="566" spans="1:46" ht="13">
      <c r="A566" s="11">
        <v>44052</v>
      </c>
      <c r="B566">
        <f>IFERROR(VLOOKUP($A566,koronahun!$A:$AM,2,FALSE),"")</f>
        <v>4696</v>
      </c>
      <c r="C566">
        <f>IFERROR(VLOOKUP($A566,koronahun!$A:$AM,3,FALSE),"")</f>
        <v>43</v>
      </c>
      <c r="D566">
        <f>IFERROR(VLOOKUP($A566,koronahun!$A:$AM,4,FALSE),"")</f>
        <v>602</v>
      </c>
      <c r="E566">
        <f>IFERROR(VLOOKUP($A566,koronahun!$A:$AM,5,FALSE),"")</f>
        <v>3499</v>
      </c>
      <c r="F566">
        <f>IFERROR(VLOOKUP($A566,koronahun!$A:$AM,6,FALSE),"")</f>
        <v>360772</v>
      </c>
      <c r="G566" s="12">
        <f>IFERROR(VLOOKUP($A566,koronahun!$A:$AM,7,FALSE),"")</f>
        <v>36813.469387755096</v>
      </c>
      <c r="H566">
        <f>IFERROR(VLOOKUP($A566,koronahun!$A:$AM,8,FALSE),"")</f>
        <v>0</v>
      </c>
      <c r="I566" s="13">
        <f>IFERROR(VLOOKUP($A566,koronahun!$A:$AM,9,FALSE),"")</f>
        <v>9.1999999999999998E-3</v>
      </c>
      <c r="J566" s="13">
        <f>IFERROR(VLOOKUP($A566,koronahun!$A:$AM,10,FALSE),"")</f>
        <v>1.2999999999999999E-2</v>
      </c>
      <c r="K566" s="13">
        <f>IFERROR(VLOOKUP($A566,koronahun!$A:$AM,11,FALSE),"")</f>
        <v>6.0000000000000001E-3</v>
      </c>
      <c r="L566">
        <f>IFERROR(VLOOKUP($A566,koronahun!$A:$AM,12,FALSE),"")</f>
        <v>595</v>
      </c>
      <c r="M566" s="13">
        <f>IFERROR(VLOOKUP($A566,koronahun!$A:$AM,13,FALSE),"")</f>
        <v>0.12820000000000001</v>
      </c>
      <c r="N566" s="13">
        <f>IFERROR(VLOOKUP($A566,koronahun!$A:$AM,14,FALSE),"")</f>
        <v>0.74509999999999998</v>
      </c>
      <c r="O566">
        <f>IFERROR(VLOOKUP($A566,koronahun!$A:$AM,15,FALSE),"")</f>
        <v>7184</v>
      </c>
      <c r="P566">
        <f>IFERROR(VLOOKUP($A566,koronahun!$A:$AM,16,FALSE),"")</f>
        <v>2335</v>
      </c>
      <c r="Q566" s="13">
        <f>IFERROR(VLOOKUP($A566,koronahun!$A:$AM,17,FALSE),"")</f>
        <v>1.84E-2</v>
      </c>
      <c r="R566">
        <f>IFERROR(VLOOKUP($A566,koronahun!$A:$AM,18,FALSE),"")</f>
        <v>0</v>
      </c>
      <c r="S566">
        <f>IFERROR(VLOOKUP($A566,koronahun!$A:$AM,19,FALSE),"")</f>
        <v>8</v>
      </c>
      <c r="T566">
        <f>IFERROR(VLOOKUP($A566,koronahun!$A:$AM,20,FALSE),"")</f>
        <v>73</v>
      </c>
      <c r="U566">
        <f>IFERROR(VLOOKUP($A566,koronahun!$A:$AM,21,FALSE),"")</f>
        <v>6</v>
      </c>
      <c r="V566" s="13">
        <f>IFERROR(VLOOKUP($A566,koronahun!$A:$AM,22,FALSE),"")</f>
        <v>0.12670357751277683</v>
      </c>
      <c r="W566">
        <f>IFERROR(VLOOKUP($A566,koronahun!$A:$AM,23,FALSE),"")</f>
        <v>4</v>
      </c>
      <c r="X566">
        <f>IFERROR(VLOOKUP($A566,koronahun!$A:$AM,24,FALSE),"")</f>
        <v>0</v>
      </c>
      <c r="Y566" s="14">
        <f>IFERROR(VLOOKUP($A566,koronahun!$A:$AM,25,FALSE),"")</f>
        <v>0.1226890756302521</v>
      </c>
      <c r="Z566" s="14">
        <f>IFERROR(VLOOKUP($A566,koronahun!$A:$AM,26,FALSE),"")</f>
        <v>8.2191780821917804E-2</v>
      </c>
      <c r="AA566" s="14">
        <f>IFERROR(VLOOKUP($A566,koronahun!$A:$AM,27,FALSE),"")</f>
        <v>1.61</v>
      </c>
      <c r="AB566" s="14">
        <f>IFERROR(VLOOKUP($A566,koronahun!$A:$AM,28,FALSE),"")</f>
        <v>1.1137701217316744</v>
      </c>
      <c r="AC566" s="14">
        <f>IFERROR(VLOOKUP($A566,koronahun!$A:$AM,29,FALSE),"")</f>
        <v>23</v>
      </c>
      <c r="AD566" s="14">
        <f>IFERROR(VLOOKUP($A566,koronahun!$A:$AM,30,FALSE),"")</f>
        <v>0.7142857142857143</v>
      </c>
      <c r="AE566" s="14">
        <f>IFERROR(VLOOKUP($A566,koronahun!$A:$AM,31,FALSE),"")</f>
        <v>2253.5714285714284</v>
      </c>
      <c r="AF566" s="13">
        <f>IFERROR(VLOOKUP($A566,koronahun!$A:$AM,32,FALSE),"")</f>
        <v>9.8285714285714278E-3</v>
      </c>
      <c r="AG566">
        <f>IFERROR(VLOOKUP($A566,koronahun!$A:$AM,33,FALSE),"")</f>
        <v>0</v>
      </c>
      <c r="AH566">
        <f>IFERROR(VLOOKUP($A566,koronahun!$A:$AM,34,FALSE),"")</f>
        <v>0</v>
      </c>
      <c r="AI566">
        <f>IFERROR(VLOOKUP($A566,koronahun!$A:$AM,35,FALSE),"")</f>
        <v>0</v>
      </c>
      <c r="AJ566">
        <f>IFERROR(VLOOKUP($A566,koronahun!$A:$AM,36,FALSE),"")</f>
        <v>0</v>
      </c>
      <c r="AK566">
        <f>IFERROR(VLOOKUP($A566,koronahun!$A:$AM,37,FALSE),"")</f>
        <v>0</v>
      </c>
      <c r="AL566">
        <f>IFERROR(VLOOKUP($A566,koronahun!$A:$AM,38,FALSE),"")</f>
        <v>0</v>
      </c>
      <c r="AM566" s="14">
        <f>IFERROR(VLOOKUP($A566,koronahun!$A:$AM,39,FALSE),"")</f>
        <v>15.714285714285714</v>
      </c>
      <c r="AN566" s="11">
        <f ca="1">IFERROR(__xludf.DUMMYFUNCTION("""COMPUTED_VALUE"""),44458)</f>
        <v>44458</v>
      </c>
      <c r="AO566" s="12">
        <f ca="1">IFERROR(VLOOKUP(AN566,koronahun!A:B,2,FALSE),"")</f>
        <v>0</v>
      </c>
      <c r="AP566" s="11">
        <f t="shared" ca="1" si="4"/>
        <v>44458</v>
      </c>
      <c r="AQ566" s="11">
        <f ca="1">IFERROR(__xludf.DUMMYFUNCTION("""COMPUTED_VALUE"""),44498)</f>
        <v>44498</v>
      </c>
      <c r="AR566" s="11">
        <v>44053</v>
      </c>
      <c r="AS566" s="11">
        <f t="shared" si="5"/>
        <v>44053</v>
      </c>
      <c r="AT566" s="11">
        <f ca="1">IFERROR(__xludf.DUMMYFUNCTION("""COMPUTED_VALUE"""),44052)</f>
        <v>44052</v>
      </c>
    </row>
    <row r="567" spans="1:46" ht="13">
      <c r="A567" s="11">
        <v>44051</v>
      </c>
      <c r="B567">
        <f>IFERROR(VLOOKUP($A567,koronahun!$A:$AM,2,FALSE),"")</f>
        <v>4653</v>
      </c>
      <c r="C567">
        <f>IFERROR(VLOOKUP($A567,koronahun!$A:$AM,3,FALSE),"")</f>
        <v>32</v>
      </c>
      <c r="D567">
        <f>IFERROR(VLOOKUP($A567,koronahun!$A:$AM,4,FALSE),"")</f>
        <v>602</v>
      </c>
      <c r="E567">
        <f>IFERROR(VLOOKUP($A567,koronahun!$A:$AM,5,FALSE),"")</f>
        <v>3491</v>
      </c>
      <c r="F567">
        <f>IFERROR(VLOOKUP($A567,koronahun!$A:$AM,6,FALSE),"")</f>
        <v>358437</v>
      </c>
      <c r="G567" s="12">
        <f>IFERROR(VLOOKUP($A567,koronahun!$A:$AM,7,FALSE),"")</f>
        <v>36575.204081632648</v>
      </c>
      <c r="H567">
        <f>IFERROR(VLOOKUP($A567,koronahun!$A:$AM,8,FALSE),"")</f>
        <v>0</v>
      </c>
      <c r="I567" s="13">
        <f>IFERROR(VLOOKUP($A567,koronahun!$A:$AM,9,FALSE),"")</f>
        <v>6.8999999999999999E-3</v>
      </c>
      <c r="J567" s="13">
        <f>IFERROR(VLOOKUP($A567,koronahun!$A:$AM,10,FALSE),"")</f>
        <v>1.2999999999999999E-2</v>
      </c>
      <c r="K567" s="13">
        <f>IFERROR(VLOOKUP($A567,koronahun!$A:$AM,11,FALSE),"")</f>
        <v>8.0000000000000002E-3</v>
      </c>
      <c r="L567">
        <f>IFERROR(VLOOKUP($A567,koronahun!$A:$AM,12,FALSE),"")</f>
        <v>560</v>
      </c>
      <c r="M567" s="13">
        <f>IFERROR(VLOOKUP($A567,koronahun!$A:$AM,13,FALSE),"")</f>
        <v>0.12939999999999999</v>
      </c>
      <c r="N567" s="13">
        <f>IFERROR(VLOOKUP($A567,koronahun!$A:$AM,14,FALSE),"")</f>
        <v>0.75029999999999997</v>
      </c>
      <c r="O567">
        <f>IFERROR(VLOOKUP($A567,koronahun!$A:$AM,15,FALSE),"")</f>
        <v>0</v>
      </c>
      <c r="P567">
        <f>IFERROR(VLOOKUP($A567,koronahun!$A:$AM,16,FALSE),"")</f>
        <v>2970</v>
      </c>
      <c r="Q567" s="13">
        <f>IFERROR(VLOOKUP($A567,koronahun!$A:$AM,17,FALSE),"")</f>
        <v>1.0800000000000001E-2</v>
      </c>
      <c r="R567">
        <f>IFERROR(VLOOKUP($A567,koronahun!$A:$AM,18,FALSE),"")</f>
        <v>0</v>
      </c>
      <c r="S567">
        <f>IFERROR(VLOOKUP($A567,koronahun!$A:$AM,19,FALSE),"")</f>
        <v>27</v>
      </c>
      <c r="T567">
        <f>IFERROR(VLOOKUP($A567,koronahun!$A:$AM,20,FALSE),"")</f>
        <v>69</v>
      </c>
      <c r="U567">
        <f>IFERROR(VLOOKUP($A567,koronahun!$A:$AM,21,FALSE),"")</f>
        <v>6</v>
      </c>
      <c r="V567" s="13">
        <f>IFERROR(VLOOKUP($A567,koronahun!$A:$AM,22,FALSE),"")</f>
        <v>0.12035246077799269</v>
      </c>
      <c r="W567">
        <f>IFERROR(VLOOKUP($A567,koronahun!$A:$AM,23,FALSE),"")</f>
        <v>-3</v>
      </c>
      <c r="X567">
        <f>IFERROR(VLOOKUP($A567,koronahun!$A:$AM,24,FALSE),"")</f>
        <v>0</v>
      </c>
      <c r="Y567" s="14">
        <f>IFERROR(VLOOKUP($A567,koronahun!$A:$AM,25,FALSE),"")</f>
        <v>0.12321428571428572</v>
      </c>
      <c r="Z567" s="14">
        <f>IFERROR(VLOOKUP($A567,koronahun!$A:$AM,26,FALSE),"")</f>
        <v>8.6956521739130432E-2</v>
      </c>
      <c r="AA567" s="14">
        <f>IFERROR(VLOOKUP($A567,koronahun!$A:$AM,27,FALSE),"")</f>
        <v>1.2450980392156863</v>
      </c>
      <c r="AB567" s="14">
        <f>IFERROR(VLOOKUP($A567,koronahun!$A:$AM,28,FALSE),"")</f>
        <v>1.023826144140638</v>
      </c>
      <c r="AC567" s="14">
        <f>IFERROR(VLOOKUP($A567,koronahun!$A:$AM,29,FALSE),"")</f>
        <v>18.142857142857142</v>
      </c>
      <c r="AD567" s="14">
        <f>IFERROR(VLOOKUP($A567,koronahun!$A:$AM,30,FALSE),"")</f>
        <v>0.7142857142857143</v>
      </c>
      <c r="AE567" s="14">
        <f>IFERROR(VLOOKUP($A567,koronahun!$A:$AM,31,FALSE),"")</f>
        <v>2221.4285714285716</v>
      </c>
      <c r="AF567" s="13">
        <f>IFERROR(VLOOKUP($A567,koronahun!$A:$AM,32,FALSE),"")</f>
        <v>7.8142857142857146E-3</v>
      </c>
      <c r="AG567">
        <f>IFERROR(VLOOKUP($A567,koronahun!$A:$AM,33,FALSE),"")</f>
        <v>0</v>
      </c>
      <c r="AH567">
        <f>IFERROR(VLOOKUP($A567,koronahun!$A:$AM,34,FALSE),"")</f>
        <v>0</v>
      </c>
      <c r="AI567">
        <f>IFERROR(VLOOKUP($A567,koronahun!$A:$AM,35,FALSE),"")</f>
        <v>0</v>
      </c>
      <c r="AJ567">
        <f>IFERROR(VLOOKUP($A567,koronahun!$A:$AM,36,FALSE),"")</f>
        <v>0</v>
      </c>
      <c r="AK567">
        <f>IFERROR(VLOOKUP($A567,koronahun!$A:$AM,37,FALSE),"")</f>
        <v>0</v>
      </c>
      <c r="AL567">
        <f>IFERROR(VLOOKUP($A567,koronahun!$A:$AM,38,FALSE),"")</f>
        <v>0</v>
      </c>
      <c r="AM567" s="14">
        <f>IFERROR(VLOOKUP($A567,koronahun!$A:$AM,39,FALSE),"")</f>
        <v>18.142857142857142</v>
      </c>
      <c r="AN567" s="11">
        <f ca="1">IFERROR(__xludf.DUMMYFUNCTION("""COMPUTED_VALUE"""),44459)</f>
        <v>44459</v>
      </c>
      <c r="AO567" s="12">
        <f ca="1">IFERROR(VLOOKUP(AN567,koronahun!A:B,2,FALSE),"")</f>
        <v>818231</v>
      </c>
      <c r="AP567" s="11">
        <f t="shared" ca="1" si="4"/>
        <v>44459</v>
      </c>
      <c r="AQ567" s="11">
        <f ca="1">IFERROR(__xludf.DUMMYFUNCTION("""COMPUTED_VALUE"""),44501)</f>
        <v>44501</v>
      </c>
      <c r="AR567" s="11">
        <v>44052</v>
      </c>
      <c r="AS567" s="11">
        <f t="shared" si="5"/>
        <v>44052</v>
      </c>
      <c r="AT567" s="11">
        <f ca="1">IFERROR(__xludf.DUMMYFUNCTION("""COMPUTED_VALUE"""),44051)</f>
        <v>44051</v>
      </c>
    </row>
    <row r="568" spans="1:46" ht="13">
      <c r="A568" s="11">
        <v>44050</v>
      </c>
      <c r="B568">
        <f>IFERROR(VLOOKUP($A568,koronahun!$A:$AM,2,FALSE),"")</f>
        <v>4621</v>
      </c>
      <c r="C568">
        <f>IFERROR(VLOOKUP($A568,koronahun!$A:$AM,3,FALSE),"")</f>
        <v>24</v>
      </c>
      <c r="D568">
        <f>IFERROR(VLOOKUP($A568,koronahun!$A:$AM,4,FALSE),"")</f>
        <v>602</v>
      </c>
      <c r="E568">
        <f>IFERROR(VLOOKUP($A568,koronahun!$A:$AM,5,FALSE),"")</f>
        <v>3464</v>
      </c>
      <c r="F568">
        <f>IFERROR(VLOOKUP($A568,koronahun!$A:$AM,6,FALSE),"")</f>
        <v>355467</v>
      </c>
      <c r="G568" s="12">
        <f>IFERROR(VLOOKUP($A568,koronahun!$A:$AM,7,FALSE),"")</f>
        <v>36272.142857142855</v>
      </c>
      <c r="H568">
        <f>IFERROR(VLOOKUP($A568,koronahun!$A:$AM,8,FALSE),"")</f>
        <v>0</v>
      </c>
      <c r="I568" s="13">
        <f>IFERROR(VLOOKUP($A568,koronahun!$A:$AM,9,FALSE),"")</f>
        <v>5.1999999999999998E-3</v>
      </c>
      <c r="J568" s="13">
        <f>IFERROR(VLOOKUP($A568,koronahun!$A:$AM,10,FALSE),"")</f>
        <v>1.2999999999999999E-2</v>
      </c>
      <c r="K568" s="13">
        <f>IFERROR(VLOOKUP($A568,koronahun!$A:$AM,11,FALSE),"")</f>
        <v>8.0000000000000002E-3</v>
      </c>
      <c r="L568">
        <f>IFERROR(VLOOKUP($A568,koronahun!$A:$AM,12,FALSE),"")</f>
        <v>555</v>
      </c>
      <c r="M568" s="13">
        <f>IFERROR(VLOOKUP($A568,koronahun!$A:$AM,13,FALSE),"")</f>
        <v>0.1303</v>
      </c>
      <c r="N568" s="13">
        <f>IFERROR(VLOOKUP($A568,koronahun!$A:$AM,14,FALSE),"")</f>
        <v>0.74960000000000004</v>
      </c>
      <c r="O568">
        <f>IFERROR(VLOOKUP($A568,koronahun!$A:$AM,15,FALSE),"")</f>
        <v>7092</v>
      </c>
      <c r="P568">
        <f>IFERROR(VLOOKUP($A568,koronahun!$A:$AM,16,FALSE),"")</f>
        <v>2921</v>
      </c>
      <c r="Q568" s="13">
        <f>IFERROR(VLOOKUP($A568,koronahun!$A:$AM,17,FALSE),"")</f>
        <v>8.2000000000000007E-3</v>
      </c>
      <c r="R568">
        <f>IFERROR(VLOOKUP($A568,koronahun!$A:$AM,18,FALSE),"")</f>
        <v>2</v>
      </c>
      <c r="S568">
        <f>IFERROR(VLOOKUP($A568,koronahun!$A:$AM,19,FALSE),"")</f>
        <v>1</v>
      </c>
      <c r="T568">
        <f>IFERROR(VLOOKUP($A568,koronahun!$A:$AM,20,FALSE),"")</f>
        <v>72</v>
      </c>
      <c r="U568">
        <f>IFERROR(VLOOKUP($A568,koronahun!$A:$AM,21,FALSE),"")</f>
        <v>6</v>
      </c>
      <c r="V568" s="13">
        <f>IFERROR(VLOOKUP($A568,koronahun!$A:$AM,22,FALSE),"")</f>
        <v>0.12010387362042847</v>
      </c>
      <c r="W568">
        <f>IFERROR(VLOOKUP($A568,koronahun!$A:$AM,23,FALSE),"")</f>
        <v>-2</v>
      </c>
      <c r="X568">
        <f>IFERROR(VLOOKUP($A568,koronahun!$A:$AM,24,FALSE),"")</f>
        <v>-2</v>
      </c>
      <c r="Y568" s="14">
        <f>IFERROR(VLOOKUP($A568,koronahun!$A:$AM,25,FALSE),"")</f>
        <v>0.12972972972972974</v>
      </c>
      <c r="Z568" s="14">
        <f>IFERROR(VLOOKUP($A568,koronahun!$A:$AM,26,FALSE),"")</f>
        <v>8.3333333333333329E-2</v>
      </c>
      <c r="AA568" s="14">
        <f>IFERROR(VLOOKUP($A568,koronahun!$A:$AM,27,FALSE),"")</f>
        <v>1.0841121495327102</v>
      </c>
      <c r="AB568" s="14">
        <f>IFERROR(VLOOKUP($A568,koronahun!$A:$AM,28,FALSE),"")</f>
        <v>0.97963782661179155</v>
      </c>
      <c r="AC568" s="14">
        <f>IFERROR(VLOOKUP($A568,koronahun!$A:$AM,29,FALSE),"")</f>
        <v>16.571428571428573</v>
      </c>
      <c r="AD568" s="14">
        <f>IFERROR(VLOOKUP($A568,koronahun!$A:$AM,30,FALSE),"")</f>
        <v>0.8571428571428571</v>
      </c>
      <c r="AE568" s="14">
        <f>IFERROR(VLOOKUP($A568,koronahun!$A:$AM,31,FALSE),"")</f>
        <v>2329.1428571428573</v>
      </c>
      <c r="AF568" s="13">
        <f>IFERROR(VLOOKUP($A568,koronahun!$A:$AM,32,FALSE),"")</f>
        <v>7.0714285714285705E-3</v>
      </c>
      <c r="AG568">
        <f>IFERROR(VLOOKUP($A568,koronahun!$A:$AM,33,FALSE),"")</f>
        <v>0</v>
      </c>
      <c r="AH568">
        <f>IFERROR(VLOOKUP($A568,koronahun!$A:$AM,34,FALSE),"")</f>
        <v>0</v>
      </c>
      <c r="AI568">
        <f>IFERROR(VLOOKUP($A568,koronahun!$A:$AM,35,FALSE),"")</f>
        <v>0</v>
      </c>
      <c r="AJ568">
        <f>IFERROR(VLOOKUP($A568,koronahun!$A:$AM,36,FALSE),"")</f>
        <v>0</v>
      </c>
      <c r="AK568">
        <f>IFERROR(VLOOKUP($A568,koronahun!$A:$AM,37,FALSE),"")</f>
        <v>0</v>
      </c>
      <c r="AL568">
        <f>IFERROR(VLOOKUP($A568,koronahun!$A:$AM,38,FALSE),"")</f>
        <v>0</v>
      </c>
      <c r="AM568" s="14">
        <f>IFERROR(VLOOKUP($A568,koronahun!$A:$AM,39,FALSE),"")</f>
        <v>15.857142857142858</v>
      </c>
      <c r="AN568" s="11">
        <f ca="1">IFERROR(__xludf.DUMMYFUNCTION("""COMPUTED_VALUE"""),44460)</f>
        <v>44460</v>
      </c>
      <c r="AO568" s="12">
        <f ca="1">IFERROR(VLOOKUP(AN568,koronahun!A:B,2,FALSE),"")</f>
        <v>818520</v>
      </c>
      <c r="AP568" s="11">
        <f t="shared" ca="1" si="4"/>
        <v>44460</v>
      </c>
      <c r="AQ568" s="11">
        <f ca="1">IFERROR(__xludf.DUMMYFUNCTION("""COMPUTED_VALUE"""),44502)</f>
        <v>44502</v>
      </c>
      <c r="AR568" s="11">
        <v>44051</v>
      </c>
      <c r="AS568" s="11">
        <f t="shared" si="5"/>
        <v>44051</v>
      </c>
      <c r="AT568" s="11">
        <f ca="1">IFERROR(__xludf.DUMMYFUNCTION("""COMPUTED_VALUE"""),44050)</f>
        <v>44050</v>
      </c>
    </row>
    <row r="569" spans="1:46" ht="13">
      <c r="A569" s="11">
        <v>44049</v>
      </c>
      <c r="B569">
        <f>IFERROR(VLOOKUP($A569,koronahun!$A:$AM,2,FALSE),"")</f>
        <v>4597</v>
      </c>
      <c r="C569">
        <f>IFERROR(VLOOKUP($A569,koronahun!$A:$AM,3,FALSE),"")</f>
        <v>33</v>
      </c>
      <c r="D569">
        <f>IFERROR(VLOOKUP($A569,koronahun!$A:$AM,4,FALSE),"")</f>
        <v>600</v>
      </c>
      <c r="E569">
        <f>IFERROR(VLOOKUP($A569,koronahun!$A:$AM,5,FALSE),"")</f>
        <v>3463</v>
      </c>
      <c r="F569">
        <f>IFERROR(VLOOKUP($A569,koronahun!$A:$AM,6,FALSE),"")</f>
        <v>352546</v>
      </c>
      <c r="G569" s="12">
        <f>IFERROR(VLOOKUP($A569,koronahun!$A:$AM,7,FALSE),"")</f>
        <v>35974.081632653062</v>
      </c>
      <c r="H569">
        <f>IFERROR(VLOOKUP($A569,koronahun!$A:$AM,8,FALSE),"")</f>
        <v>0</v>
      </c>
      <c r="I569" s="13">
        <f>IFERROR(VLOOKUP($A569,koronahun!$A:$AM,9,FALSE),"")</f>
        <v>7.1999999999999998E-3</v>
      </c>
      <c r="J569" s="13">
        <f>IFERROR(VLOOKUP($A569,koronahun!$A:$AM,10,FALSE),"")</f>
        <v>1.2999999999999999E-2</v>
      </c>
      <c r="K569" s="13">
        <f>IFERROR(VLOOKUP($A569,koronahun!$A:$AM,11,FALSE),"")</f>
        <v>7.0000000000000001E-3</v>
      </c>
      <c r="L569">
        <f>IFERROR(VLOOKUP($A569,koronahun!$A:$AM,12,FALSE),"")</f>
        <v>534</v>
      </c>
      <c r="M569" s="13">
        <f>IFERROR(VLOOKUP($A569,koronahun!$A:$AM,13,FALSE),"")</f>
        <v>0.1305</v>
      </c>
      <c r="N569" s="13">
        <f>IFERROR(VLOOKUP($A569,koronahun!$A:$AM,14,FALSE),"")</f>
        <v>0.75329999999999997</v>
      </c>
      <c r="O569">
        <f>IFERROR(VLOOKUP($A569,koronahun!$A:$AM,15,FALSE),"")</f>
        <v>7227</v>
      </c>
      <c r="P569">
        <f>IFERROR(VLOOKUP($A569,koronahun!$A:$AM,16,FALSE),"")</f>
        <v>2438</v>
      </c>
      <c r="Q569" s="13">
        <f>IFERROR(VLOOKUP($A569,koronahun!$A:$AM,17,FALSE),"")</f>
        <v>1.35E-2</v>
      </c>
      <c r="R569">
        <f>IFERROR(VLOOKUP($A569,koronahun!$A:$AM,18,FALSE),"")</f>
        <v>1</v>
      </c>
      <c r="S569">
        <f>IFERROR(VLOOKUP($A569,koronahun!$A:$AM,19,FALSE),"")</f>
        <v>32</v>
      </c>
      <c r="T569">
        <f>IFERROR(VLOOKUP($A569,koronahun!$A:$AM,20,FALSE),"")</f>
        <v>74</v>
      </c>
      <c r="U569">
        <f>IFERROR(VLOOKUP($A569,koronahun!$A:$AM,21,FALSE),"")</f>
        <v>8</v>
      </c>
      <c r="V569" s="13">
        <f>IFERROR(VLOOKUP($A569,koronahun!$A:$AM,22,FALSE),"")</f>
        <v>0.11616271481400914</v>
      </c>
      <c r="W569">
        <f>IFERROR(VLOOKUP($A569,koronahun!$A:$AM,23,FALSE),"")</f>
        <v>2</v>
      </c>
      <c r="X569">
        <f>IFERROR(VLOOKUP($A569,koronahun!$A:$AM,24,FALSE),"")</f>
        <v>1</v>
      </c>
      <c r="Y569" s="14">
        <f>IFERROR(VLOOKUP($A569,koronahun!$A:$AM,25,FALSE),"")</f>
        <v>0.13857677902621723</v>
      </c>
      <c r="Z569" s="14">
        <f>IFERROR(VLOOKUP($A569,koronahun!$A:$AM,26,FALSE),"")</f>
        <v>0.10810810810810811</v>
      </c>
      <c r="AA569" s="14">
        <f>IFERROR(VLOOKUP($A569,koronahun!$A:$AM,27,FALSE),"")</f>
        <v>1.0865384615384615</v>
      </c>
      <c r="AB569" s="14">
        <f>IFERROR(VLOOKUP($A569,koronahun!$A:$AM,28,FALSE),"")</f>
        <v>0.97034289368534998</v>
      </c>
      <c r="AC569" s="14">
        <f>IFERROR(VLOOKUP($A569,koronahun!$A:$AM,29,FALSE),"")</f>
        <v>16.142857142857142</v>
      </c>
      <c r="AD569" s="14">
        <f>IFERROR(VLOOKUP($A569,koronahun!$A:$AM,30,FALSE),"")</f>
        <v>0.5714285714285714</v>
      </c>
      <c r="AE569" s="14">
        <f>IFERROR(VLOOKUP($A569,koronahun!$A:$AM,31,FALSE),"")</f>
        <v>2297.8571428571427</v>
      </c>
      <c r="AF569" s="13">
        <f>IFERROR(VLOOKUP($A569,koronahun!$A:$AM,32,FALSE),"")</f>
        <v>7.0142857142857142E-3</v>
      </c>
      <c r="AG569">
        <f>IFERROR(VLOOKUP($A569,koronahun!$A:$AM,33,FALSE),"")</f>
        <v>0</v>
      </c>
      <c r="AH569">
        <f>IFERROR(VLOOKUP($A569,koronahun!$A:$AM,34,FALSE),"")</f>
        <v>0</v>
      </c>
      <c r="AI569">
        <f>IFERROR(VLOOKUP($A569,koronahun!$A:$AM,35,FALSE),"")</f>
        <v>0</v>
      </c>
      <c r="AJ569">
        <f>IFERROR(VLOOKUP($A569,koronahun!$A:$AM,36,FALSE),"")</f>
        <v>0</v>
      </c>
      <c r="AK569">
        <f>IFERROR(VLOOKUP($A569,koronahun!$A:$AM,37,FALSE),"")</f>
        <v>0</v>
      </c>
      <c r="AL569">
        <f>IFERROR(VLOOKUP($A569,koronahun!$A:$AM,38,FALSE),"")</f>
        <v>0</v>
      </c>
      <c r="AM569" s="14">
        <f>IFERROR(VLOOKUP($A569,koronahun!$A:$AM,39,FALSE),"")</f>
        <v>16.714285714285715</v>
      </c>
      <c r="AN569" s="11">
        <f ca="1">IFERROR(__xludf.DUMMYFUNCTION("""COMPUTED_VALUE"""),44461)</f>
        <v>44461</v>
      </c>
      <c r="AO569" s="12">
        <f ca="1">IFERROR(VLOOKUP(AN569,koronahun!A:B,2,FALSE),"")</f>
        <v>819021</v>
      </c>
      <c r="AP569" s="11">
        <f t="shared" ca="1" si="4"/>
        <v>44461</v>
      </c>
      <c r="AQ569" s="11">
        <f ca="1">IFERROR(__xludf.DUMMYFUNCTION("""COMPUTED_VALUE"""),44503)</f>
        <v>44503</v>
      </c>
      <c r="AR569" s="11">
        <v>44050</v>
      </c>
      <c r="AS569" s="11">
        <f t="shared" si="5"/>
        <v>44050</v>
      </c>
      <c r="AT569" s="11">
        <f ca="1">IFERROR(__xludf.DUMMYFUNCTION("""COMPUTED_VALUE"""),44049)</f>
        <v>44049</v>
      </c>
    </row>
    <row r="570" spans="1:46" ht="13">
      <c r="A570" s="11">
        <v>44048</v>
      </c>
      <c r="B570">
        <f>IFERROR(VLOOKUP($A570,koronahun!$A:$AM,2,FALSE),"")</f>
        <v>4564</v>
      </c>
      <c r="C570">
        <f>IFERROR(VLOOKUP($A570,koronahun!$A:$AM,3,FALSE),"")</f>
        <v>11</v>
      </c>
      <c r="D570">
        <f>IFERROR(VLOOKUP($A570,koronahun!$A:$AM,4,FALSE),"")</f>
        <v>599</v>
      </c>
      <c r="E570">
        <f>IFERROR(VLOOKUP($A570,koronahun!$A:$AM,5,FALSE),"")</f>
        <v>3431</v>
      </c>
      <c r="F570">
        <f>IFERROR(VLOOKUP($A570,koronahun!$A:$AM,6,FALSE),"")</f>
        <v>350108</v>
      </c>
      <c r="G570" s="12">
        <f>IFERROR(VLOOKUP($A570,koronahun!$A:$AM,7,FALSE),"")</f>
        <v>35725.306122448979</v>
      </c>
      <c r="H570">
        <f>IFERROR(VLOOKUP($A570,koronahun!$A:$AM,8,FALSE),"")</f>
        <v>0</v>
      </c>
      <c r="I570" s="13">
        <f>IFERROR(VLOOKUP($A570,koronahun!$A:$AM,9,FALSE),"")</f>
        <v>2.3999999999999998E-3</v>
      </c>
      <c r="J570" s="13">
        <f>IFERROR(VLOOKUP($A570,koronahun!$A:$AM,10,FALSE),"")</f>
        <v>1.2999999999999999E-2</v>
      </c>
      <c r="K570" s="13">
        <f>IFERROR(VLOOKUP($A570,koronahun!$A:$AM,11,FALSE),"")</f>
        <v>6.0000000000000001E-3</v>
      </c>
      <c r="L570">
        <f>IFERROR(VLOOKUP($A570,koronahun!$A:$AM,12,FALSE),"")</f>
        <v>534</v>
      </c>
      <c r="M570" s="13">
        <f>IFERROR(VLOOKUP($A570,koronahun!$A:$AM,13,FALSE),"")</f>
        <v>0.13120000000000001</v>
      </c>
      <c r="N570" s="13">
        <f>IFERROR(VLOOKUP($A570,koronahun!$A:$AM,14,FALSE),"")</f>
        <v>0.75180000000000002</v>
      </c>
      <c r="O570">
        <f>IFERROR(VLOOKUP($A570,koronahun!$A:$AM,15,FALSE),"")</f>
        <v>6858</v>
      </c>
      <c r="P570">
        <f>IFERROR(VLOOKUP($A570,koronahun!$A:$AM,16,FALSE),"")</f>
        <v>1976</v>
      </c>
      <c r="Q570" s="13">
        <f>IFERROR(VLOOKUP($A570,koronahun!$A:$AM,17,FALSE),"")</f>
        <v>5.5999999999999999E-3</v>
      </c>
      <c r="R570">
        <f>IFERROR(VLOOKUP($A570,koronahun!$A:$AM,18,FALSE),"")</f>
        <v>1</v>
      </c>
      <c r="S570">
        <f>IFERROR(VLOOKUP($A570,koronahun!$A:$AM,19,FALSE),"")</f>
        <v>16</v>
      </c>
      <c r="T570">
        <f>IFERROR(VLOOKUP($A570,koronahun!$A:$AM,20,FALSE),"")</f>
        <v>72</v>
      </c>
      <c r="U570">
        <f>IFERROR(VLOOKUP($A570,koronahun!$A:$AM,21,FALSE),"")</f>
        <v>7</v>
      </c>
      <c r="V570" s="13">
        <f>IFERROR(VLOOKUP($A570,koronahun!$A:$AM,22,FALSE),"")</f>
        <v>0.11700262927256792</v>
      </c>
      <c r="W570">
        <f>IFERROR(VLOOKUP($A570,koronahun!$A:$AM,23,FALSE),"")</f>
        <v>-2</v>
      </c>
      <c r="X570">
        <f>IFERROR(VLOOKUP($A570,koronahun!$A:$AM,24,FALSE),"")</f>
        <v>0</v>
      </c>
      <c r="Y570" s="14">
        <f>IFERROR(VLOOKUP($A570,koronahun!$A:$AM,25,FALSE),"")</f>
        <v>0.1348314606741573</v>
      </c>
      <c r="Z570" s="14">
        <f>IFERROR(VLOOKUP($A570,koronahun!$A:$AM,26,FALSE),"")</f>
        <v>9.7222222222222224E-2</v>
      </c>
      <c r="AA570" s="14">
        <f>IFERROR(VLOOKUP($A570,koronahun!$A:$AM,27,FALSE),"")</f>
        <v>1</v>
      </c>
      <c r="AB570" s="14">
        <f>IFERROR(VLOOKUP($A570,koronahun!$A:$AM,28,FALSE),"")</f>
        <v>0.96222353779371683</v>
      </c>
      <c r="AC570" s="14">
        <f>IFERROR(VLOOKUP($A570,koronahun!$A:$AM,29,FALSE),"")</f>
        <v>14.142857142857142</v>
      </c>
      <c r="AD570" s="14">
        <f>IFERROR(VLOOKUP($A570,koronahun!$A:$AM,30,FALSE),"")</f>
        <v>0.42857142857142855</v>
      </c>
      <c r="AE570" s="14">
        <f>IFERROR(VLOOKUP($A570,koronahun!$A:$AM,31,FALSE),"")</f>
        <v>2380.2857142857142</v>
      </c>
      <c r="AF570" s="13">
        <f>IFERROR(VLOOKUP($A570,koronahun!$A:$AM,32,FALSE),"")</f>
        <v>5.985714285714286E-3</v>
      </c>
      <c r="AG570">
        <f>IFERROR(VLOOKUP($A570,koronahun!$A:$AM,33,FALSE),"")</f>
        <v>0</v>
      </c>
      <c r="AH570">
        <f>IFERROR(VLOOKUP($A570,koronahun!$A:$AM,34,FALSE),"")</f>
        <v>0</v>
      </c>
      <c r="AI570">
        <f>IFERROR(VLOOKUP($A570,koronahun!$A:$AM,35,FALSE),"")</f>
        <v>0</v>
      </c>
      <c r="AJ570">
        <f>IFERROR(VLOOKUP($A570,koronahun!$A:$AM,36,FALSE),"")</f>
        <v>0</v>
      </c>
      <c r="AK570">
        <f>IFERROR(VLOOKUP($A570,koronahun!$A:$AM,37,FALSE),"")</f>
        <v>0</v>
      </c>
      <c r="AL570">
        <f>IFERROR(VLOOKUP($A570,koronahun!$A:$AM,38,FALSE),"")</f>
        <v>0</v>
      </c>
      <c r="AM570" s="14">
        <f>IFERROR(VLOOKUP($A570,koronahun!$A:$AM,39,FALSE),"")</f>
        <v>13.142857142857142</v>
      </c>
      <c r="AN570" s="11">
        <f ca="1">IFERROR(__xludf.DUMMYFUNCTION("""COMPUTED_VALUE"""),44462)</f>
        <v>44462</v>
      </c>
      <c r="AO570" s="12">
        <f ca="1">IFERROR(VLOOKUP(AN570,koronahun!A:B,2,FALSE),"")</f>
        <v>819547</v>
      </c>
      <c r="AP570" s="11">
        <f t="shared" ca="1" si="4"/>
        <v>44462</v>
      </c>
      <c r="AQ570" s="11">
        <f ca="1">IFERROR(__xludf.DUMMYFUNCTION("""COMPUTED_VALUE"""),44504)</f>
        <v>44504</v>
      </c>
      <c r="AR570" s="11">
        <v>44049</v>
      </c>
      <c r="AS570" s="11">
        <f t="shared" si="5"/>
        <v>44049</v>
      </c>
      <c r="AT570" s="11">
        <f ca="1">IFERROR(__xludf.DUMMYFUNCTION("""COMPUTED_VALUE"""),44048)</f>
        <v>44048</v>
      </c>
    </row>
    <row r="571" spans="1:46" ht="13">
      <c r="A571" s="11">
        <v>44047</v>
      </c>
      <c r="B571">
        <f>IFERROR(VLOOKUP($A571,koronahun!$A:$AM,2,FALSE),"")</f>
        <v>4553</v>
      </c>
      <c r="C571">
        <f>IFERROR(VLOOKUP($A571,koronahun!$A:$AM,3,FALSE),"")</f>
        <v>9</v>
      </c>
      <c r="D571">
        <f>IFERROR(VLOOKUP($A571,koronahun!$A:$AM,4,FALSE),"")</f>
        <v>598</v>
      </c>
      <c r="E571">
        <f>IFERROR(VLOOKUP($A571,koronahun!$A:$AM,5,FALSE),"")</f>
        <v>3415</v>
      </c>
      <c r="F571">
        <f>IFERROR(VLOOKUP($A571,koronahun!$A:$AM,6,FALSE),"")</f>
        <v>348132</v>
      </c>
      <c r="G571" s="12">
        <f>IFERROR(VLOOKUP($A571,koronahun!$A:$AM,7,FALSE),"")</f>
        <v>35523.673469387752</v>
      </c>
      <c r="H571">
        <f>IFERROR(VLOOKUP($A571,koronahun!$A:$AM,8,FALSE),"")</f>
        <v>0</v>
      </c>
      <c r="I571" s="13">
        <f>IFERROR(VLOOKUP($A571,koronahun!$A:$AM,9,FALSE),"")</f>
        <v>2E-3</v>
      </c>
      <c r="J571" s="13">
        <f>IFERROR(VLOOKUP($A571,koronahun!$A:$AM,10,FALSE),"")</f>
        <v>1.3100000000000001E-2</v>
      </c>
      <c r="K571" s="13">
        <f>IFERROR(VLOOKUP($A571,koronahun!$A:$AM,11,FALSE),"")</f>
        <v>3.0000000000000001E-3</v>
      </c>
      <c r="L571">
        <f>IFERROR(VLOOKUP($A571,koronahun!$A:$AM,12,FALSE),"")</f>
        <v>540</v>
      </c>
      <c r="M571" s="13">
        <f>IFERROR(VLOOKUP($A571,koronahun!$A:$AM,13,FALSE),"")</f>
        <v>0.1313</v>
      </c>
      <c r="N571" s="13">
        <f>IFERROR(VLOOKUP($A571,koronahun!$A:$AM,14,FALSE),"")</f>
        <v>0.75009999999999999</v>
      </c>
      <c r="O571">
        <f>IFERROR(VLOOKUP($A571,koronahun!$A:$AM,15,FALSE),"")</f>
        <v>7742</v>
      </c>
      <c r="P571">
        <f>IFERROR(VLOOKUP($A571,koronahun!$A:$AM,16,FALSE),"")</f>
        <v>1170</v>
      </c>
      <c r="Q571" s="13">
        <f>IFERROR(VLOOKUP($A571,koronahun!$A:$AM,17,FALSE),"")</f>
        <v>7.7000000000000002E-3</v>
      </c>
      <c r="R571">
        <f>IFERROR(VLOOKUP($A571,koronahun!$A:$AM,18,FALSE),"")</f>
        <v>1</v>
      </c>
      <c r="S571">
        <f>IFERROR(VLOOKUP($A571,koronahun!$A:$AM,19,FALSE),"")</f>
        <v>2</v>
      </c>
      <c r="T571">
        <f>IFERROR(VLOOKUP($A571,koronahun!$A:$AM,20,FALSE),"")</f>
        <v>74</v>
      </c>
      <c r="U571">
        <f>IFERROR(VLOOKUP($A571,koronahun!$A:$AM,21,FALSE),"")</f>
        <v>7</v>
      </c>
      <c r="V571" s="13">
        <f>IFERROR(VLOOKUP($A571,koronahun!$A:$AM,22,FALSE),"")</f>
        <v>0.11860311882275423</v>
      </c>
      <c r="W571">
        <f>IFERROR(VLOOKUP($A571,koronahun!$A:$AM,23,FALSE),"")</f>
        <v>0</v>
      </c>
      <c r="X571">
        <f>IFERROR(VLOOKUP($A571,koronahun!$A:$AM,24,FALSE),"")</f>
        <v>0</v>
      </c>
      <c r="Y571" s="14">
        <f>IFERROR(VLOOKUP($A571,koronahun!$A:$AM,25,FALSE),"")</f>
        <v>0.13703703703703704</v>
      </c>
      <c r="Z571" s="14">
        <f>IFERROR(VLOOKUP($A571,koronahun!$A:$AM,26,FALSE),"")</f>
        <v>9.45945945945946E-2</v>
      </c>
      <c r="AA571" s="14">
        <f>IFERROR(VLOOKUP($A571,koronahun!$A:$AM,27,FALSE),"")</f>
        <v>0.88990825688073394</v>
      </c>
      <c r="AB571" s="14">
        <f>IFERROR(VLOOKUP($A571,koronahun!$A:$AM,28,FALSE),"")</f>
        <v>0.95667568758567245</v>
      </c>
      <c r="AC571" s="14">
        <f>IFERROR(VLOOKUP($A571,koronahun!$A:$AM,29,FALSE),"")</f>
        <v>13.857142857142858</v>
      </c>
      <c r="AD571" s="14">
        <f>IFERROR(VLOOKUP($A571,koronahun!$A:$AM,30,FALSE),"")</f>
        <v>0.2857142857142857</v>
      </c>
      <c r="AE571" s="14">
        <f>IFERROR(VLOOKUP($A571,koronahun!$A:$AM,31,FALSE),"")</f>
        <v>2556.1428571428573</v>
      </c>
      <c r="AF571" s="13">
        <f>IFERROR(VLOOKUP($A571,koronahun!$A:$AM,32,FALSE),"")</f>
        <v>5.585714285714285E-3</v>
      </c>
      <c r="AG571">
        <f>IFERROR(VLOOKUP($A571,koronahun!$A:$AM,33,FALSE),"")</f>
        <v>0</v>
      </c>
      <c r="AH571">
        <f>IFERROR(VLOOKUP($A571,koronahun!$A:$AM,34,FALSE),"")</f>
        <v>0</v>
      </c>
      <c r="AI571">
        <f>IFERROR(VLOOKUP($A571,koronahun!$A:$AM,35,FALSE),"")</f>
        <v>0</v>
      </c>
      <c r="AJ571">
        <f>IFERROR(VLOOKUP($A571,koronahun!$A:$AM,36,FALSE),"")</f>
        <v>0</v>
      </c>
      <c r="AK571">
        <f>IFERROR(VLOOKUP($A571,koronahun!$A:$AM,37,FALSE),"")</f>
        <v>0</v>
      </c>
      <c r="AL571">
        <f>IFERROR(VLOOKUP($A571,koronahun!$A:$AM,38,FALSE),"")</f>
        <v>0</v>
      </c>
      <c r="AM571" s="14">
        <f>IFERROR(VLOOKUP($A571,koronahun!$A:$AM,39,FALSE),"")</f>
        <v>12</v>
      </c>
      <c r="AN571" s="11">
        <f ca="1">IFERROR(__xludf.DUMMYFUNCTION("""COMPUTED_VALUE"""),44463)</f>
        <v>44463</v>
      </c>
      <c r="AO571" s="12">
        <f ca="1">IFERROR(VLOOKUP(AN571,koronahun!A:B,2,FALSE),"")</f>
        <v>820078</v>
      </c>
      <c r="AP571" s="11">
        <f t="shared" ca="1" si="4"/>
        <v>44463</v>
      </c>
      <c r="AQ571" s="11">
        <f ca="1">IFERROR(__xludf.DUMMYFUNCTION("""COMPUTED_VALUE"""),44505)</f>
        <v>44505</v>
      </c>
      <c r="AR571" s="11">
        <v>44048</v>
      </c>
      <c r="AS571" s="11">
        <f t="shared" si="5"/>
        <v>44048</v>
      </c>
      <c r="AT571" s="11">
        <f ca="1">IFERROR(__xludf.DUMMYFUNCTION("""COMPUTED_VALUE"""),44047)</f>
        <v>44047</v>
      </c>
    </row>
    <row r="572" spans="1:46" ht="13">
      <c r="A572" s="11">
        <v>44046</v>
      </c>
      <c r="B572">
        <f>IFERROR(VLOOKUP($A572,koronahun!$A:$AM,2,FALSE),"")</f>
        <v>4544</v>
      </c>
      <c r="C572">
        <f>IFERROR(VLOOKUP($A572,koronahun!$A:$AM,3,FALSE),"")</f>
        <v>9</v>
      </c>
      <c r="D572">
        <f>IFERROR(VLOOKUP($A572,koronahun!$A:$AM,4,FALSE),"")</f>
        <v>597</v>
      </c>
      <c r="E572">
        <f>IFERROR(VLOOKUP($A572,koronahun!$A:$AM,5,FALSE),"")</f>
        <v>3413</v>
      </c>
      <c r="F572">
        <f>IFERROR(VLOOKUP($A572,koronahun!$A:$AM,6,FALSE),"")</f>
        <v>346962</v>
      </c>
      <c r="G572" s="12">
        <f>IFERROR(VLOOKUP($A572,koronahun!$A:$AM,7,FALSE),"")</f>
        <v>35404.28571428571</v>
      </c>
      <c r="H572">
        <f>IFERROR(VLOOKUP($A572,koronahun!$A:$AM,8,FALSE),"")</f>
        <v>0</v>
      </c>
      <c r="I572" s="13">
        <f>IFERROR(VLOOKUP($A572,koronahun!$A:$AM,9,FALSE),"")</f>
        <v>2E-3</v>
      </c>
      <c r="J572" s="13">
        <f>IFERROR(VLOOKUP($A572,koronahun!$A:$AM,10,FALSE),"")</f>
        <v>1.3100000000000001E-2</v>
      </c>
      <c r="K572" s="13">
        <f>IFERROR(VLOOKUP($A572,koronahun!$A:$AM,11,FALSE),"")</f>
        <v>6.0000000000000001E-3</v>
      </c>
      <c r="L572">
        <f>IFERROR(VLOOKUP($A572,koronahun!$A:$AM,12,FALSE),"")</f>
        <v>534</v>
      </c>
      <c r="M572" s="13">
        <f>IFERROR(VLOOKUP($A572,koronahun!$A:$AM,13,FALSE),"")</f>
        <v>0.13139999999999999</v>
      </c>
      <c r="N572" s="13">
        <f>IFERROR(VLOOKUP($A572,koronahun!$A:$AM,14,FALSE),"")</f>
        <v>0.75109999999999999</v>
      </c>
      <c r="O572">
        <f>IFERROR(VLOOKUP($A572,koronahun!$A:$AM,15,FALSE),"")</f>
        <v>7657</v>
      </c>
      <c r="P572">
        <f>IFERROR(VLOOKUP($A572,koronahun!$A:$AM,16,FALSE),"")</f>
        <v>1965</v>
      </c>
      <c r="Q572" s="13">
        <f>IFERROR(VLOOKUP($A572,koronahun!$A:$AM,17,FALSE),"")</f>
        <v>4.5999999999999999E-3</v>
      </c>
      <c r="R572">
        <f>IFERROR(VLOOKUP($A572,koronahun!$A:$AM,18,FALSE),"")</f>
        <v>0</v>
      </c>
      <c r="S572">
        <f>IFERROR(VLOOKUP($A572,koronahun!$A:$AM,19,FALSE),"")</f>
        <v>24</v>
      </c>
      <c r="T572">
        <f>IFERROR(VLOOKUP($A572,koronahun!$A:$AM,20,FALSE),"")</f>
        <v>74</v>
      </c>
      <c r="U572">
        <f>IFERROR(VLOOKUP($A572,koronahun!$A:$AM,21,FALSE),"")</f>
        <v>7</v>
      </c>
      <c r="V572" s="13">
        <f>IFERROR(VLOOKUP($A572,koronahun!$A:$AM,22,FALSE),"")</f>
        <v>0.11751760563380281</v>
      </c>
      <c r="W572">
        <f>IFERROR(VLOOKUP($A572,koronahun!$A:$AM,23,FALSE),"")</f>
        <v>3</v>
      </c>
      <c r="X572">
        <f>IFERROR(VLOOKUP($A572,koronahun!$A:$AM,24,FALSE),"")</f>
        <v>0</v>
      </c>
      <c r="Y572" s="14">
        <f>IFERROR(VLOOKUP($A572,koronahun!$A:$AM,25,FALSE),"")</f>
        <v>0.13857677902621723</v>
      </c>
      <c r="Z572" s="14">
        <f>IFERROR(VLOOKUP($A572,koronahun!$A:$AM,26,FALSE),"")</f>
        <v>9.45945945945946E-2</v>
      </c>
      <c r="AA572" s="14">
        <f>IFERROR(VLOOKUP($A572,koronahun!$A:$AM,27,FALSE),"")</f>
        <v>0.88073394495412849</v>
      </c>
      <c r="AB572" s="14">
        <f>IFERROR(VLOOKUP($A572,koronahun!$A:$AM,28,FALSE),"")</f>
        <v>1.0045058081917957</v>
      </c>
      <c r="AC572" s="14">
        <f>IFERROR(VLOOKUP($A572,koronahun!$A:$AM,29,FALSE),"")</f>
        <v>13.714285714285714</v>
      </c>
      <c r="AD572" s="14">
        <f>IFERROR(VLOOKUP($A572,koronahun!$A:$AM,30,FALSE),"")</f>
        <v>0.14285714285714285</v>
      </c>
      <c r="AE572" s="14">
        <f>IFERROR(VLOOKUP($A572,koronahun!$A:$AM,31,FALSE),"")</f>
        <v>2625.5714285714284</v>
      </c>
      <c r="AF572" s="13">
        <f>IFERROR(VLOOKUP($A572,koronahun!$A:$AM,32,FALSE),"")</f>
        <v>5.1714285714285707E-3</v>
      </c>
      <c r="AG572">
        <f>IFERROR(VLOOKUP($A572,koronahun!$A:$AM,33,FALSE),"")</f>
        <v>0</v>
      </c>
      <c r="AH572">
        <f>IFERROR(VLOOKUP($A572,koronahun!$A:$AM,34,FALSE),"")</f>
        <v>0</v>
      </c>
      <c r="AI572">
        <f>IFERROR(VLOOKUP($A572,koronahun!$A:$AM,35,FALSE),"")</f>
        <v>0</v>
      </c>
      <c r="AJ572">
        <f>IFERROR(VLOOKUP($A572,koronahun!$A:$AM,36,FALSE),"")</f>
        <v>0</v>
      </c>
      <c r="AK572">
        <f>IFERROR(VLOOKUP($A572,koronahun!$A:$AM,37,FALSE),"")</f>
        <v>0</v>
      </c>
      <c r="AL572">
        <f>IFERROR(VLOOKUP($A572,koronahun!$A:$AM,38,FALSE),"")</f>
        <v>0</v>
      </c>
      <c r="AM572" s="14">
        <f>IFERROR(VLOOKUP($A572,koronahun!$A:$AM,39,FALSE),"")</f>
        <v>12</v>
      </c>
      <c r="AN572" s="11">
        <f ca="1">IFERROR(__xludf.DUMMYFUNCTION("""COMPUTED_VALUE"""),44464)</f>
        <v>44464</v>
      </c>
      <c r="AO572" s="12">
        <f ca="1">IFERROR(VLOOKUP(AN572,koronahun!A:B,2,FALSE),"")</f>
        <v>0</v>
      </c>
      <c r="AP572" s="11">
        <f t="shared" ca="1" si="4"/>
        <v>44464</v>
      </c>
      <c r="AQ572" s="11">
        <f ca="1">IFERROR(__xludf.DUMMYFUNCTION("""COMPUTED_VALUE"""),44508)</f>
        <v>44508</v>
      </c>
      <c r="AR572" s="11">
        <v>44047</v>
      </c>
      <c r="AS572" s="11">
        <f t="shared" si="5"/>
        <v>44047</v>
      </c>
      <c r="AT572" s="11">
        <f ca="1">IFERROR(__xludf.DUMMYFUNCTION("""COMPUTED_VALUE"""),44046)</f>
        <v>44046</v>
      </c>
    </row>
    <row r="573" spans="1:46" ht="13">
      <c r="A573" s="11">
        <v>44045</v>
      </c>
      <c r="B573">
        <f>IFERROR(VLOOKUP($A573,koronahun!$A:$AM,2,FALSE),"")</f>
        <v>4535</v>
      </c>
      <c r="C573">
        <f>IFERROR(VLOOKUP($A573,koronahun!$A:$AM,3,FALSE),"")</f>
        <v>9</v>
      </c>
      <c r="D573">
        <f>IFERROR(VLOOKUP($A573,koronahun!$A:$AM,4,FALSE),"")</f>
        <v>597</v>
      </c>
      <c r="E573">
        <f>IFERROR(VLOOKUP($A573,koronahun!$A:$AM,5,FALSE),"")</f>
        <v>3389</v>
      </c>
      <c r="F573">
        <f>IFERROR(VLOOKUP($A573,koronahun!$A:$AM,6,FALSE),"")</f>
        <v>344997</v>
      </c>
      <c r="G573" s="12">
        <f>IFERROR(VLOOKUP($A573,koronahun!$A:$AM,7,FALSE),"")</f>
        <v>35203.775510204076</v>
      </c>
      <c r="H573">
        <f>IFERROR(VLOOKUP($A573,koronahun!$A:$AM,8,FALSE),"")</f>
        <v>0</v>
      </c>
      <c r="I573" s="13">
        <f>IFERROR(VLOOKUP($A573,koronahun!$A:$AM,9,FALSE),"")</f>
        <v>2E-3</v>
      </c>
      <c r="J573" s="13">
        <f>IFERROR(VLOOKUP($A573,koronahun!$A:$AM,10,FALSE),"")</f>
        <v>1.3100000000000001E-2</v>
      </c>
      <c r="K573" s="13">
        <f>IFERROR(VLOOKUP($A573,koronahun!$A:$AM,11,FALSE),"")</f>
        <v>6.0000000000000001E-3</v>
      </c>
      <c r="L573">
        <f>IFERROR(VLOOKUP($A573,koronahun!$A:$AM,12,FALSE),"")</f>
        <v>549</v>
      </c>
      <c r="M573" s="13">
        <f>IFERROR(VLOOKUP($A573,koronahun!$A:$AM,13,FALSE),"")</f>
        <v>0.13159999999999999</v>
      </c>
      <c r="N573" s="13">
        <f>IFERROR(VLOOKUP($A573,koronahun!$A:$AM,14,FALSE),"")</f>
        <v>0.74729999999999996</v>
      </c>
      <c r="O573">
        <f>IFERROR(VLOOKUP($A573,koronahun!$A:$AM,15,FALSE),"")</f>
        <v>7436</v>
      </c>
      <c r="P573">
        <f>IFERROR(VLOOKUP($A573,koronahun!$A:$AM,16,FALSE),"")</f>
        <v>2110</v>
      </c>
      <c r="Q573" s="13">
        <f>IFERROR(VLOOKUP($A573,koronahun!$A:$AM,17,FALSE),"")</f>
        <v>4.3E-3</v>
      </c>
      <c r="R573">
        <f>IFERROR(VLOOKUP($A573,koronahun!$A:$AM,18,FALSE),"")</f>
        <v>0</v>
      </c>
      <c r="S573">
        <f>IFERROR(VLOOKUP($A573,koronahun!$A:$AM,19,FALSE),"")</f>
        <v>25</v>
      </c>
      <c r="T573">
        <f>IFERROR(VLOOKUP($A573,koronahun!$A:$AM,20,FALSE),"")</f>
        <v>71</v>
      </c>
      <c r="U573">
        <f>IFERROR(VLOOKUP($A573,koronahun!$A:$AM,21,FALSE),"")</f>
        <v>7</v>
      </c>
      <c r="V573" s="13">
        <f>IFERROR(VLOOKUP($A573,koronahun!$A:$AM,22,FALSE),"")</f>
        <v>0.12105843439911797</v>
      </c>
      <c r="W573">
        <f>IFERROR(VLOOKUP($A573,koronahun!$A:$AM,23,FALSE),"")</f>
        <v>-2</v>
      </c>
      <c r="X573">
        <f>IFERROR(VLOOKUP($A573,koronahun!$A:$AM,24,FALSE),"")</f>
        <v>1</v>
      </c>
      <c r="Y573" s="14">
        <f>IFERROR(VLOOKUP($A573,koronahun!$A:$AM,25,FALSE),"")</f>
        <v>0.12932604735883424</v>
      </c>
      <c r="Z573" s="14">
        <f>IFERROR(VLOOKUP($A573,koronahun!$A:$AM,26,FALSE),"")</f>
        <v>9.8591549295774641E-2</v>
      </c>
      <c r="AA573" s="14">
        <f>IFERROR(VLOOKUP($A573,koronahun!$A:$AM,27,FALSE),"")</f>
        <v>0.98039215686274506</v>
      </c>
      <c r="AB573" s="14">
        <f>IFERROR(VLOOKUP($A573,koronahun!$A:$AM,28,FALSE),"")</f>
        <v>1.0479413315834418</v>
      </c>
      <c r="AC573" s="14">
        <f>IFERROR(VLOOKUP($A573,koronahun!$A:$AM,29,FALSE),"")</f>
        <v>14.285714285714286</v>
      </c>
      <c r="AD573" s="14">
        <f>IFERROR(VLOOKUP($A573,koronahun!$A:$AM,30,FALSE),"")</f>
        <v>0.14285714285714285</v>
      </c>
      <c r="AE573" s="14">
        <f>IFERROR(VLOOKUP($A573,koronahun!$A:$AM,31,FALSE),"")</f>
        <v>2634.7142857142858</v>
      </c>
      <c r="AF573" s="13">
        <f>IFERROR(VLOOKUP($A573,koronahun!$A:$AM,32,FALSE),"")</f>
        <v>5.4285714285714284E-3</v>
      </c>
      <c r="AG573">
        <f>IFERROR(VLOOKUP($A573,koronahun!$A:$AM,33,FALSE),"")</f>
        <v>0</v>
      </c>
      <c r="AH573">
        <f>IFERROR(VLOOKUP($A573,koronahun!$A:$AM,34,FALSE),"")</f>
        <v>0</v>
      </c>
      <c r="AI573">
        <f>IFERROR(VLOOKUP($A573,koronahun!$A:$AM,35,FALSE),"")</f>
        <v>0</v>
      </c>
      <c r="AJ573">
        <f>IFERROR(VLOOKUP($A573,koronahun!$A:$AM,36,FALSE),"")</f>
        <v>0</v>
      </c>
      <c r="AK573">
        <f>IFERROR(VLOOKUP($A573,koronahun!$A:$AM,37,FALSE),"")</f>
        <v>0</v>
      </c>
      <c r="AL573">
        <f>IFERROR(VLOOKUP($A573,koronahun!$A:$AM,38,FALSE),"")</f>
        <v>0</v>
      </c>
      <c r="AM573" s="14">
        <f>IFERROR(VLOOKUP($A573,koronahun!$A:$AM,39,FALSE),"")</f>
        <v>8.5714285714285712</v>
      </c>
      <c r="AN573" s="11">
        <f ca="1">IFERROR(__xludf.DUMMYFUNCTION("""COMPUTED_VALUE"""),44465)</f>
        <v>44465</v>
      </c>
      <c r="AO573" s="12">
        <f ca="1">IFERROR(VLOOKUP(AN573,koronahun!A:B,2,FALSE),"")</f>
        <v>0</v>
      </c>
      <c r="AP573" s="11">
        <f t="shared" ca="1" si="4"/>
        <v>44465</v>
      </c>
      <c r="AQ573" s="11">
        <f ca="1">IFERROR(__xludf.DUMMYFUNCTION("""COMPUTED_VALUE"""),44509)</f>
        <v>44509</v>
      </c>
      <c r="AR573" s="11">
        <v>44046</v>
      </c>
      <c r="AS573" s="11">
        <f t="shared" si="5"/>
        <v>44046</v>
      </c>
      <c r="AT573" s="11">
        <f ca="1">IFERROR(__xludf.DUMMYFUNCTION("""COMPUTED_VALUE"""),44045)</f>
        <v>44045</v>
      </c>
    </row>
    <row r="574" spans="1:46" ht="13">
      <c r="A574" s="11">
        <v>44044</v>
      </c>
      <c r="B574">
        <f>IFERROR(VLOOKUP($A574,koronahun!$A:$AM,2,FALSE),"")</f>
        <v>4526</v>
      </c>
      <c r="C574">
        <f>IFERROR(VLOOKUP($A574,koronahun!$A:$AM,3,FALSE),"")</f>
        <v>21</v>
      </c>
      <c r="D574">
        <f>IFERROR(VLOOKUP($A574,koronahun!$A:$AM,4,FALSE),"")</f>
        <v>597</v>
      </c>
      <c r="E574">
        <f>IFERROR(VLOOKUP($A574,koronahun!$A:$AM,5,FALSE),"")</f>
        <v>3364</v>
      </c>
      <c r="F574">
        <f>IFERROR(VLOOKUP($A574,koronahun!$A:$AM,6,FALSE),"")</f>
        <v>342887</v>
      </c>
      <c r="G574" s="12">
        <f>IFERROR(VLOOKUP($A574,koronahun!$A:$AM,7,FALSE),"")</f>
        <v>34988.469387755096</v>
      </c>
      <c r="H574">
        <f>IFERROR(VLOOKUP($A574,koronahun!$A:$AM,8,FALSE),"")</f>
        <v>0</v>
      </c>
      <c r="I574" s="13">
        <f>IFERROR(VLOOKUP($A574,koronahun!$A:$AM,9,FALSE),"")</f>
        <v>4.7000000000000002E-3</v>
      </c>
      <c r="J574" s="13">
        <f>IFERROR(VLOOKUP($A574,koronahun!$A:$AM,10,FALSE),"")</f>
        <v>1.32E-2</v>
      </c>
      <c r="K574" s="13">
        <f>IFERROR(VLOOKUP($A574,koronahun!$A:$AM,11,FALSE),"")</f>
        <v>1.0999999999999999E-2</v>
      </c>
      <c r="L574">
        <f>IFERROR(VLOOKUP($A574,koronahun!$A:$AM,12,FALSE),"")</f>
        <v>565</v>
      </c>
      <c r="M574" s="13">
        <f>IFERROR(VLOOKUP($A574,koronahun!$A:$AM,13,FALSE),"")</f>
        <v>0.13189999999999999</v>
      </c>
      <c r="N574" s="13">
        <f>IFERROR(VLOOKUP($A574,koronahun!$A:$AM,14,FALSE),"")</f>
        <v>0.74329999999999996</v>
      </c>
      <c r="O574">
        <f>IFERROR(VLOOKUP($A574,koronahun!$A:$AM,15,FALSE),"")</f>
        <v>7782</v>
      </c>
      <c r="P574">
        <f>IFERROR(VLOOKUP($A574,koronahun!$A:$AM,16,FALSE),"")</f>
        <v>3724</v>
      </c>
      <c r="Q574" s="13">
        <f>IFERROR(VLOOKUP($A574,koronahun!$A:$AM,17,FALSE),"")</f>
        <v>5.5999999999999999E-3</v>
      </c>
      <c r="R574">
        <f>IFERROR(VLOOKUP($A574,koronahun!$A:$AM,18,FALSE),"")</f>
        <v>1</v>
      </c>
      <c r="S574">
        <f>IFERROR(VLOOKUP($A574,koronahun!$A:$AM,19,FALSE),"")</f>
        <v>11</v>
      </c>
      <c r="T574">
        <f>IFERROR(VLOOKUP($A574,koronahun!$A:$AM,20,FALSE),"")</f>
        <v>73</v>
      </c>
      <c r="U574">
        <f>IFERROR(VLOOKUP($A574,koronahun!$A:$AM,21,FALSE),"")</f>
        <v>6</v>
      </c>
      <c r="V574" s="13">
        <f>IFERROR(VLOOKUP($A574,koronahun!$A:$AM,22,FALSE),"")</f>
        <v>0.12483429076447194</v>
      </c>
      <c r="W574">
        <f>IFERROR(VLOOKUP($A574,koronahun!$A:$AM,23,FALSE),"")</f>
        <v>0</v>
      </c>
      <c r="X574">
        <f>IFERROR(VLOOKUP($A574,koronahun!$A:$AM,24,FALSE),"")</f>
        <v>0</v>
      </c>
      <c r="Y574" s="14">
        <f>IFERROR(VLOOKUP($A574,koronahun!$A:$AM,25,FALSE),"")</f>
        <v>0.12920353982300886</v>
      </c>
      <c r="Z574" s="14">
        <f>IFERROR(VLOOKUP($A574,koronahun!$A:$AM,26,FALSE),"")</f>
        <v>8.2191780821917804E-2</v>
      </c>
      <c r="AA574" s="14">
        <f>IFERROR(VLOOKUP($A574,koronahun!$A:$AM,27,FALSE),"")</f>
        <v>0.93577981651376152</v>
      </c>
      <c r="AB574" s="14">
        <f>IFERROR(VLOOKUP($A574,koronahun!$A:$AM,28,FALSE),"")</f>
        <v>1.0550714563606254</v>
      </c>
      <c r="AC574" s="14">
        <f>IFERROR(VLOOKUP($A574,koronahun!$A:$AM,29,FALSE),"")</f>
        <v>14.571428571428571</v>
      </c>
      <c r="AD574" s="14">
        <f>IFERROR(VLOOKUP($A574,koronahun!$A:$AM,30,FALSE),"")</f>
        <v>0.14285714285714285</v>
      </c>
      <c r="AE574" s="14">
        <f>IFERROR(VLOOKUP($A574,koronahun!$A:$AM,31,FALSE),"")</f>
        <v>2744.8571428571427</v>
      </c>
      <c r="AF574" s="13">
        <f>IFERROR(VLOOKUP($A574,koronahun!$A:$AM,32,FALSE),"")</f>
        <v>5.3571428571428572E-3</v>
      </c>
      <c r="AG574">
        <f>IFERROR(VLOOKUP($A574,koronahun!$A:$AM,33,FALSE),"")</f>
        <v>0</v>
      </c>
      <c r="AH574">
        <f>IFERROR(VLOOKUP($A574,koronahun!$A:$AM,34,FALSE),"")</f>
        <v>0</v>
      </c>
      <c r="AI574">
        <f>IFERROR(VLOOKUP($A574,koronahun!$A:$AM,35,FALSE),"")</f>
        <v>0</v>
      </c>
      <c r="AJ574">
        <f>IFERROR(VLOOKUP($A574,koronahun!$A:$AM,36,FALSE),"")</f>
        <v>0</v>
      </c>
      <c r="AK574">
        <f>IFERROR(VLOOKUP($A574,koronahun!$A:$AM,37,FALSE),"")</f>
        <v>0</v>
      </c>
      <c r="AL574">
        <f>IFERROR(VLOOKUP($A574,koronahun!$A:$AM,38,FALSE),"")</f>
        <v>0</v>
      </c>
      <c r="AM574" s="14">
        <f>IFERROR(VLOOKUP($A574,koronahun!$A:$AM,39,FALSE),"")</f>
        <v>5.7142857142857144</v>
      </c>
      <c r="AN574" s="11">
        <f ca="1">IFERROR(__xludf.DUMMYFUNCTION("""COMPUTED_VALUE"""),44466)</f>
        <v>44466</v>
      </c>
      <c r="AO574" s="12">
        <f ca="1">IFERROR(VLOOKUP(AN574,koronahun!A:B,2,FALSE),"")</f>
        <v>821261</v>
      </c>
      <c r="AP574" s="11">
        <f t="shared" ca="1" si="4"/>
        <v>44466</v>
      </c>
      <c r="AQ574" s="11">
        <f ca="1">IFERROR(__xludf.DUMMYFUNCTION("""COMPUTED_VALUE"""),44510)</f>
        <v>44510</v>
      </c>
      <c r="AR574" s="11">
        <v>44045</v>
      </c>
      <c r="AS574" s="11">
        <f t="shared" si="5"/>
        <v>44045</v>
      </c>
      <c r="AT574" s="11">
        <f ca="1">IFERROR(__xludf.DUMMYFUNCTION("""COMPUTED_VALUE"""),44044)</f>
        <v>44044</v>
      </c>
    </row>
    <row r="575" spans="1:46" ht="13">
      <c r="A575" s="11">
        <v>44043</v>
      </c>
      <c r="B575">
        <f>IFERROR(VLOOKUP($A575,koronahun!$A:$AM,2,FALSE),"")</f>
        <v>4505</v>
      </c>
      <c r="C575">
        <f>IFERROR(VLOOKUP($A575,koronahun!$A:$AM,3,FALSE),"")</f>
        <v>21</v>
      </c>
      <c r="D575">
        <f>IFERROR(VLOOKUP($A575,koronahun!$A:$AM,4,FALSE),"")</f>
        <v>596</v>
      </c>
      <c r="E575">
        <f>IFERROR(VLOOKUP($A575,koronahun!$A:$AM,5,FALSE),"")</f>
        <v>3353</v>
      </c>
      <c r="F575">
        <f>IFERROR(VLOOKUP($A575,koronahun!$A:$AM,6,FALSE),"")</f>
        <v>339163</v>
      </c>
      <c r="G575" s="12">
        <f>IFERROR(VLOOKUP($A575,koronahun!$A:$AM,7,FALSE),"")</f>
        <v>34608.469387755096</v>
      </c>
      <c r="H575">
        <f>IFERROR(VLOOKUP($A575,koronahun!$A:$AM,8,FALSE),"")</f>
        <v>0</v>
      </c>
      <c r="I575" s="13">
        <f>IFERROR(VLOOKUP($A575,koronahun!$A:$AM,9,FALSE),"")</f>
        <v>4.7000000000000002E-3</v>
      </c>
      <c r="J575" s="13">
        <f>IFERROR(VLOOKUP($A575,koronahun!$A:$AM,10,FALSE),"")</f>
        <v>1.3299999999999999E-2</v>
      </c>
      <c r="K575" s="13">
        <f>IFERROR(VLOOKUP($A575,koronahun!$A:$AM,11,FALSE),"")</f>
        <v>8.0000000000000002E-3</v>
      </c>
      <c r="L575">
        <f>IFERROR(VLOOKUP($A575,koronahun!$A:$AM,12,FALSE),"")</f>
        <v>556</v>
      </c>
      <c r="M575" s="13">
        <f>IFERROR(VLOOKUP($A575,koronahun!$A:$AM,13,FALSE),"")</f>
        <v>0.1323</v>
      </c>
      <c r="N575" s="13">
        <f>IFERROR(VLOOKUP($A575,koronahun!$A:$AM,14,FALSE),"")</f>
        <v>0.74429999999999996</v>
      </c>
      <c r="O575">
        <f>IFERROR(VLOOKUP($A575,koronahun!$A:$AM,15,FALSE),"")</f>
        <v>8083</v>
      </c>
      <c r="P575">
        <f>IFERROR(VLOOKUP($A575,koronahun!$A:$AM,16,FALSE),"")</f>
        <v>2702</v>
      </c>
      <c r="Q575" s="13">
        <f>IFERROR(VLOOKUP($A575,koronahun!$A:$AM,17,FALSE),"")</f>
        <v>7.7999999999999996E-3</v>
      </c>
      <c r="R575">
        <f>IFERROR(VLOOKUP($A575,koronahun!$A:$AM,18,FALSE),"")</f>
        <v>0</v>
      </c>
      <c r="S575">
        <f>IFERROR(VLOOKUP($A575,koronahun!$A:$AM,19,FALSE),"")</f>
        <v>7</v>
      </c>
      <c r="T575">
        <f>IFERROR(VLOOKUP($A575,koronahun!$A:$AM,20,FALSE),"")</f>
        <v>73</v>
      </c>
      <c r="U575">
        <f>IFERROR(VLOOKUP($A575,koronahun!$A:$AM,21,FALSE),"")</f>
        <v>6</v>
      </c>
      <c r="V575" s="13">
        <f>IFERROR(VLOOKUP($A575,koronahun!$A:$AM,22,FALSE),"")</f>
        <v>0.12341842397336293</v>
      </c>
      <c r="W575">
        <f>IFERROR(VLOOKUP($A575,koronahun!$A:$AM,23,FALSE),"")</f>
        <v>-3</v>
      </c>
      <c r="X575">
        <f>IFERROR(VLOOKUP($A575,koronahun!$A:$AM,24,FALSE),"")</f>
        <v>0</v>
      </c>
      <c r="Y575" s="14">
        <f>IFERROR(VLOOKUP($A575,koronahun!$A:$AM,25,FALSE),"")</f>
        <v>0.13129496402877697</v>
      </c>
      <c r="Z575" s="14">
        <f>IFERROR(VLOOKUP($A575,koronahun!$A:$AM,26,FALSE),"")</f>
        <v>8.2191780821917804E-2</v>
      </c>
      <c r="AA575" s="14">
        <f>IFERROR(VLOOKUP($A575,koronahun!$A:$AM,27,FALSE),"")</f>
        <v>1.019047619047619</v>
      </c>
      <c r="AB575" s="14">
        <f>IFERROR(VLOOKUP($A575,koronahun!$A:$AM,28,FALSE),"")</f>
        <v>1.102451748353676</v>
      </c>
      <c r="AC575" s="14">
        <f>IFERROR(VLOOKUP($A575,koronahun!$A:$AM,29,FALSE),"")</f>
        <v>15.285714285714286</v>
      </c>
      <c r="AD575" s="14">
        <f>IFERROR(VLOOKUP($A575,koronahun!$A:$AM,30,FALSE),"")</f>
        <v>0</v>
      </c>
      <c r="AE575" s="14">
        <f>IFERROR(VLOOKUP($A575,koronahun!$A:$AM,31,FALSE),"")</f>
        <v>2758.4285714285716</v>
      </c>
      <c r="AF575" s="13">
        <f>IFERROR(VLOOKUP($A575,koronahun!$A:$AM,32,FALSE),"")</f>
        <v>5.5285714285714287E-3</v>
      </c>
      <c r="AG575">
        <f>IFERROR(VLOOKUP($A575,koronahun!$A:$AM,33,FALSE),"")</f>
        <v>0</v>
      </c>
      <c r="AH575">
        <f>IFERROR(VLOOKUP($A575,koronahun!$A:$AM,34,FALSE),"")</f>
        <v>0</v>
      </c>
      <c r="AI575">
        <f>IFERROR(VLOOKUP($A575,koronahun!$A:$AM,35,FALSE),"")</f>
        <v>0</v>
      </c>
      <c r="AJ575">
        <f>IFERROR(VLOOKUP($A575,koronahun!$A:$AM,36,FALSE),"")</f>
        <v>0</v>
      </c>
      <c r="AK575">
        <f>IFERROR(VLOOKUP($A575,koronahun!$A:$AM,37,FALSE),"")</f>
        <v>0</v>
      </c>
      <c r="AL575">
        <f>IFERROR(VLOOKUP($A575,koronahun!$A:$AM,38,FALSE),"")</f>
        <v>0</v>
      </c>
      <c r="AM575" s="14">
        <f>IFERROR(VLOOKUP($A575,koronahun!$A:$AM,39,FALSE),"")</f>
        <v>5.8571428571428568</v>
      </c>
      <c r="AN575" s="11">
        <f ca="1">IFERROR(__xludf.DUMMYFUNCTION("""COMPUTED_VALUE"""),44467)</f>
        <v>44467</v>
      </c>
      <c r="AO575" s="12">
        <f ca="1">IFERROR(VLOOKUP(AN575,koronahun!A:B,2,FALSE),"")</f>
        <v>821526</v>
      </c>
      <c r="AP575" s="11">
        <f t="shared" ca="1" si="4"/>
        <v>44467</v>
      </c>
      <c r="AQ575" s="11">
        <f ca="1">IFERROR(__xludf.DUMMYFUNCTION("""COMPUTED_VALUE"""),44511)</f>
        <v>44511</v>
      </c>
      <c r="AR575" s="11">
        <v>44044</v>
      </c>
      <c r="AS575" s="11">
        <f t="shared" si="5"/>
        <v>44044</v>
      </c>
      <c r="AT575" s="11">
        <f ca="1">IFERROR(__xludf.DUMMYFUNCTION("""COMPUTED_VALUE"""),44043)</f>
        <v>44043</v>
      </c>
    </row>
    <row r="576" spans="1:46" ht="13">
      <c r="A576" s="11">
        <v>44042</v>
      </c>
      <c r="B576">
        <f>IFERROR(VLOOKUP($A576,koronahun!$A:$AM,2,FALSE),"")</f>
        <v>4484</v>
      </c>
      <c r="C576">
        <f>IFERROR(VLOOKUP($A576,koronahun!$A:$AM,3,FALSE),"")</f>
        <v>19</v>
      </c>
      <c r="D576">
        <f>IFERROR(VLOOKUP($A576,koronahun!$A:$AM,4,FALSE),"")</f>
        <v>596</v>
      </c>
      <c r="E576">
        <f>IFERROR(VLOOKUP($A576,koronahun!$A:$AM,5,FALSE),"")</f>
        <v>3346</v>
      </c>
      <c r="F576">
        <f>IFERROR(VLOOKUP($A576,koronahun!$A:$AM,6,FALSE),"")</f>
        <v>336461</v>
      </c>
      <c r="G576" s="12">
        <f>IFERROR(VLOOKUP($A576,koronahun!$A:$AM,7,FALSE),"")</f>
        <v>34332.755102040814</v>
      </c>
      <c r="H576">
        <f>IFERROR(VLOOKUP($A576,koronahun!$A:$AM,8,FALSE),"")</f>
        <v>0</v>
      </c>
      <c r="I576" s="13">
        <f>IFERROR(VLOOKUP($A576,koronahun!$A:$AM,9,FALSE),"")</f>
        <v>4.3E-3</v>
      </c>
      <c r="J576" s="13">
        <f>IFERROR(VLOOKUP($A576,koronahun!$A:$AM,10,FALSE),"")</f>
        <v>1.3299999999999999E-2</v>
      </c>
      <c r="K576" s="13">
        <f>IFERROR(VLOOKUP($A576,koronahun!$A:$AM,11,FALSE),"")</f>
        <v>8.9999999999999993E-3</v>
      </c>
      <c r="L576">
        <f>IFERROR(VLOOKUP($A576,koronahun!$A:$AM,12,FALSE),"")</f>
        <v>542</v>
      </c>
      <c r="M576" s="13">
        <f>IFERROR(VLOOKUP($A576,koronahun!$A:$AM,13,FALSE),"")</f>
        <v>0.13289999999999999</v>
      </c>
      <c r="N576" s="13">
        <f>IFERROR(VLOOKUP($A576,koronahun!$A:$AM,14,FALSE),"")</f>
        <v>0.74619999999999997</v>
      </c>
      <c r="O576">
        <f>IFERROR(VLOOKUP($A576,koronahun!$A:$AM,15,FALSE),"")</f>
        <v>7819</v>
      </c>
      <c r="P576">
        <f>IFERROR(VLOOKUP($A576,koronahun!$A:$AM,16,FALSE),"")</f>
        <v>3015</v>
      </c>
      <c r="Q576" s="13">
        <f>IFERROR(VLOOKUP($A576,koronahun!$A:$AM,17,FALSE),"")</f>
        <v>6.3E-3</v>
      </c>
      <c r="R576">
        <f>IFERROR(VLOOKUP($A576,koronahun!$A:$AM,18,FALSE),"")</f>
        <v>0</v>
      </c>
      <c r="S576">
        <f>IFERROR(VLOOKUP($A576,koronahun!$A:$AM,19,FALSE),"")</f>
        <v>7</v>
      </c>
      <c r="T576">
        <f>IFERROR(VLOOKUP($A576,koronahun!$A:$AM,20,FALSE),"")</f>
        <v>76</v>
      </c>
      <c r="U576">
        <f>IFERROR(VLOOKUP($A576,koronahun!$A:$AM,21,FALSE),"")</f>
        <v>6</v>
      </c>
      <c r="V576" s="13">
        <f>IFERROR(VLOOKUP($A576,koronahun!$A:$AM,22,FALSE),"")</f>
        <v>0.12087421944692239</v>
      </c>
      <c r="W576">
        <f>IFERROR(VLOOKUP($A576,koronahun!$A:$AM,23,FALSE),"")</f>
        <v>0</v>
      </c>
      <c r="X576">
        <f>IFERROR(VLOOKUP($A576,koronahun!$A:$AM,24,FALSE),"")</f>
        <v>0</v>
      </c>
      <c r="Y576" s="14">
        <f>IFERROR(VLOOKUP($A576,koronahun!$A:$AM,25,FALSE),"")</f>
        <v>0.14022140221402213</v>
      </c>
      <c r="Z576" s="14">
        <f>IFERROR(VLOOKUP($A576,koronahun!$A:$AM,26,FALSE),"")</f>
        <v>7.8947368421052627E-2</v>
      </c>
      <c r="AA576" s="14">
        <f>IFERROR(VLOOKUP($A576,koronahun!$A:$AM,27,FALSE),"")</f>
        <v>1.0297029702970297</v>
      </c>
      <c r="AB576" s="14">
        <f>IFERROR(VLOOKUP($A576,koronahun!$A:$AM,28,FALSE),"")</f>
        <v>1.1711592313468735</v>
      </c>
      <c r="AC576" s="14">
        <f>IFERROR(VLOOKUP($A576,koronahun!$A:$AM,29,FALSE),"")</f>
        <v>14.857142857142858</v>
      </c>
      <c r="AD576" s="14">
        <f>IFERROR(VLOOKUP($A576,koronahun!$A:$AM,30,FALSE),"")</f>
        <v>0</v>
      </c>
      <c r="AE576" s="14">
        <f>IFERROR(VLOOKUP($A576,koronahun!$A:$AM,31,FALSE),"")</f>
        <v>2905.8571428571427</v>
      </c>
      <c r="AF576" s="13">
        <f>IFERROR(VLOOKUP($A576,koronahun!$A:$AM,32,FALSE),"")</f>
        <v>5.0999999999999995E-3</v>
      </c>
      <c r="AG576">
        <f>IFERROR(VLOOKUP($A576,koronahun!$A:$AM,33,FALSE),"")</f>
        <v>0</v>
      </c>
      <c r="AH576">
        <f>IFERROR(VLOOKUP($A576,koronahun!$A:$AM,34,FALSE),"")</f>
        <v>0</v>
      </c>
      <c r="AI576">
        <f>IFERROR(VLOOKUP($A576,koronahun!$A:$AM,35,FALSE),"")</f>
        <v>0</v>
      </c>
      <c r="AJ576">
        <f>IFERROR(VLOOKUP($A576,koronahun!$A:$AM,36,FALSE),"")</f>
        <v>0</v>
      </c>
      <c r="AK576">
        <f>IFERROR(VLOOKUP($A576,koronahun!$A:$AM,37,FALSE),"")</f>
        <v>0</v>
      </c>
      <c r="AL576">
        <f>IFERROR(VLOOKUP($A576,koronahun!$A:$AM,38,FALSE),"")</f>
        <v>0</v>
      </c>
      <c r="AM576" s="14">
        <f>IFERROR(VLOOKUP($A576,koronahun!$A:$AM,39,FALSE),"")</f>
        <v>6.5714285714285712</v>
      </c>
      <c r="AN576" s="11">
        <f ca="1">IFERROR(__xludf.DUMMYFUNCTION("""COMPUTED_VALUE"""),44468)</f>
        <v>44468</v>
      </c>
      <c r="AO576" s="12">
        <f ca="1">IFERROR(VLOOKUP(AN576,koronahun!A:B,2,FALSE),"")</f>
        <v>822072</v>
      </c>
      <c r="AP576" s="11">
        <f t="shared" ca="1" si="4"/>
        <v>44468</v>
      </c>
      <c r="AQ576" s="11">
        <f ca="1">IFERROR(__xludf.DUMMYFUNCTION("""COMPUTED_VALUE"""),44512)</f>
        <v>44512</v>
      </c>
      <c r="AR576" s="11">
        <v>44043</v>
      </c>
      <c r="AS576" s="11">
        <f t="shared" si="5"/>
        <v>44043</v>
      </c>
      <c r="AT576" s="11">
        <f ca="1">IFERROR(__xludf.DUMMYFUNCTION("""COMPUTED_VALUE"""),44042)</f>
        <v>44042</v>
      </c>
    </row>
    <row r="577" spans="1:46" ht="13">
      <c r="A577" s="11">
        <v>44041</v>
      </c>
      <c r="B577">
        <f>IFERROR(VLOOKUP($A577,koronahun!$A:$AM,2,FALSE),"")</f>
        <v>4465</v>
      </c>
      <c r="C577">
        <f>IFERROR(VLOOKUP($A577,koronahun!$A:$AM,3,FALSE),"")</f>
        <v>9</v>
      </c>
      <c r="D577">
        <f>IFERROR(VLOOKUP($A577,koronahun!$A:$AM,4,FALSE),"")</f>
        <v>596</v>
      </c>
      <c r="E577">
        <f>IFERROR(VLOOKUP($A577,koronahun!$A:$AM,5,FALSE),"")</f>
        <v>3339</v>
      </c>
      <c r="F577">
        <f>IFERROR(VLOOKUP($A577,koronahun!$A:$AM,6,FALSE),"")</f>
        <v>333446</v>
      </c>
      <c r="G577" s="12">
        <f>IFERROR(VLOOKUP($A577,koronahun!$A:$AM,7,FALSE),"")</f>
        <v>34025.102040816324</v>
      </c>
      <c r="H577">
        <f>IFERROR(VLOOKUP($A577,koronahun!$A:$AM,8,FALSE),"")</f>
        <v>0</v>
      </c>
      <c r="I577" s="13">
        <f>IFERROR(VLOOKUP($A577,koronahun!$A:$AM,9,FALSE),"")</f>
        <v>2E-3</v>
      </c>
      <c r="J577" s="13">
        <f>IFERROR(VLOOKUP($A577,koronahun!$A:$AM,10,FALSE),"")</f>
        <v>1.34E-2</v>
      </c>
      <c r="K577" s="13">
        <f>IFERROR(VLOOKUP($A577,koronahun!$A:$AM,11,FALSE),"")</f>
        <v>0.01</v>
      </c>
      <c r="L577">
        <f>IFERROR(VLOOKUP($A577,koronahun!$A:$AM,12,FALSE),"")</f>
        <v>530</v>
      </c>
      <c r="M577" s="13">
        <f>IFERROR(VLOOKUP($A577,koronahun!$A:$AM,13,FALSE),"")</f>
        <v>0.13350000000000001</v>
      </c>
      <c r="N577" s="13">
        <f>IFERROR(VLOOKUP($A577,koronahun!$A:$AM,14,FALSE),"")</f>
        <v>0.74780000000000002</v>
      </c>
      <c r="O577">
        <f>IFERROR(VLOOKUP($A577,koronahun!$A:$AM,15,FALSE),"")</f>
        <v>8683</v>
      </c>
      <c r="P577">
        <f>IFERROR(VLOOKUP($A577,koronahun!$A:$AM,16,FALSE),"")</f>
        <v>3207</v>
      </c>
      <c r="Q577" s="13">
        <f>IFERROR(VLOOKUP($A577,koronahun!$A:$AM,17,FALSE),"")</f>
        <v>2.8E-3</v>
      </c>
      <c r="R577">
        <f>IFERROR(VLOOKUP($A577,koronahun!$A:$AM,18,FALSE),"")</f>
        <v>0</v>
      </c>
      <c r="S577">
        <f>IFERROR(VLOOKUP($A577,koronahun!$A:$AM,19,FALSE),"")</f>
        <v>8</v>
      </c>
      <c r="T577">
        <f>IFERROR(VLOOKUP($A577,koronahun!$A:$AM,20,FALSE),"")</f>
        <v>76</v>
      </c>
      <c r="U577">
        <f>IFERROR(VLOOKUP($A577,koronahun!$A:$AM,21,FALSE),"")</f>
        <v>6</v>
      </c>
      <c r="V577" s="13">
        <f>IFERROR(VLOOKUP($A577,koronahun!$A:$AM,22,FALSE),"")</f>
        <v>0.11870100783874581</v>
      </c>
      <c r="W577">
        <f>IFERROR(VLOOKUP($A577,koronahun!$A:$AM,23,FALSE),"")</f>
        <v>0</v>
      </c>
      <c r="X577">
        <f>IFERROR(VLOOKUP($A577,koronahun!$A:$AM,24,FALSE),"")</f>
        <v>0</v>
      </c>
      <c r="Y577" s="14">
        <f>IFERROR(VLOOKUP($A577,koronahun!$A:$AM,25,FALSE),"")</f>
        <v>0.14339622641509434</v>
      </c>
      <c r="Z577" s="14">
        <f>IFERROR(VLOOKUP($A577,koronahun!$A:$AM,26,FALSE),"")</f>
        <v>7.8947368421052627E-2</v>
      </c>
      <c r="AA577" s="14">
        <f>IFERROR(VLOOKUP($A577,koronahun!$A:$AM,27,FALSE),"")</f>
        <v>0.96116504854368934</v>
      </c>
      <c r="AB577" s="14">
        <f>IFERROR(VLOOKUP($A577,koronahun!$A:$AM,28,FALSE),"")</f>
        <v>1.2686108651301065</v>
      </c>
      <c r="AC577" s="14">
        <f>IFERROR(VLOOKUP($A577,koronahun!$A:$AM,29,FALSE),"")</f>
        <v>14.142857142857142</v>
      </c>
      <c r="AD577" s="14">
        <f>IFERROR(VLOOKUP($A577,koronahun!$A:$AM,30,FALSE),"")</f>
        <v>0</v>
      </c>
      <c r="AE577" s="14">
        <f>IFERROR(VLOOKUP($A577,koronahun!$A:$AM,31,FALSE),"")</f>
        <v>2922.5714285714284</v>
      </c>
      <c r="AF577" s="13">
        <f>IFERROR(VLOOKUP($A577,koronahun!$A:$AM,32,FALSE),"")</f>
        <v>4.8428571428571427E-3</v>
      </c>
      <c r="AG577">
        <f>IFERROR(VLOOKUP($A577,koronahun!$A:$AM,33,FALSE),"")</f>
        <v>0</v>
      </c>
      <c r="AH577">
        <f>IFERROR(VLOOKUP($A577,koronahun!$A:$AM,34,FALSE),"")</f>
        <v>0</v>
      </c>
      <c r="AI577">
        <f>IFERROR(VLOOKUP($A577,koronahun!$A:$AM,35,FALSE),"")</f>
        <v>0</v>
      </c>
      <c r="AJ577">
        <f>IFERROR(VLOOKUP($A577,koronahun!$A:$AM,36,FALSE),"")</f>
        <v>0</v>
      </c>
      <c r="AK577">
        <f>IFERROR(VLOOKUP($A577,koronahun!$A:$AM,37,FALSE),"")</f>
        <v>0</v>
      </c>
      <c r="AL577">
        <f>IFERROR(VLOOKUP($A577,koronahun!$A:$AM,38,FALSE),"")</f>
        <v>0</v>
      </c>
      <c r="AM577" s="14">
        <f>IFERROR(VLOOKUP($A577,koronahun!$A:$AM,39,FALSE),"")</f>
        <v>8</v>
      </c>
      <c r="AN577" s="11">
        <f ca="1">IFERROR(__xludf.DUMMYFUNCTION("""COMPUTED_VALUE"""),44469)</f>
        <v>44469</v>
      </c>
      <c r="AO577" s="12">
        <f ca="1">IFERROR(VLOOKUP(AN577,koronahun!A:B,2,FALSE),"")</f>
        <v>822705</v>
      </c>
      <c r="AP577" s="11">
        <f t="shared" ca="1" si="4"/>
        <v>44469</v>
      </c>
      <c r="AQ577" s="11">
        <f ca="1">IFERROR(__xludf.DUMMYFUNCTION("""COMPUTED_VALUE"""),44515)</f>
        <v>44515</v>
      </c>
      <c r="AR577" s="11">
        <v>44042</v>
      </c>
      <c r="AS577" s="11">
        <f t="shared" si="5"/>
        <v>44042</v>
      </c>
      <c r="AT577" s="11">
        <f ca="1">IFERROR(__xludf.DUMMYFUNCTION("""COMPUTED_VALUE"""),44041)</f>
        <v>44041</v>
      </c>
    </row>
    <row r="578" spans="1:46" ht="13">
      <c r="A578" s="11">
        <v>44040</v>
      </c>
      <c r="B578">
        <f>IFERROR(VLOOKUP($A578,koronahun!$A:$AM,2,FALSE),"")</f>
        <v>4456</v>
      </c>
      <c r="C578">
        <f>IFERROR(VLOOKUP($A578,koronahun!$A:$AM,3,FALSE),"")</f>
        <v>8</v>
      </c>
      <c r="D578">
        <f>IFERROR(VLOOKUP($A578,koronahun!$A:$AM,4,FALSE),"")</f>
        <v>596</v>
      </c>
      <c r="E578">
        <f>IFERROR(VLOOKUP($A578,koronahun!$A:$AM,5,FALSE),"")</f>
        <v>3331</v>
      </c>
      <c r="F578">
        <f>IFERROR(VLOOKUP($A578,koronahun!$A:$AM,6,FALSE),"")</f>
        <v>330239</v>
      </c>
      <c r="G578" s="12">
        <f>IFERROR(VLOOKUP($A578,koronahun!$A:$AM,7,FALSE),"")</f>
        <v>33697.857142857138</v>
      </c>
      <c r="H578">
        <f>IFERROR(VLOOKUP($A578,koronahun!$A:$AM,8,FALSE),"")</f>
        <v>0</v>
      </c>
      <c r="I578" s="13">
        <f>IFERROR(VLOOKUP($A578,koronahun!$A:$AM,9,FALSE),"")</f>
        <v>1.8E-3</v>
      </c>
      <c r="J578" s="13">
        <f>IFERROR(VLOOKUP($A578,koronahun!$A:$AM,10,FALSE),"")</f>
        <v>1.35E-2</v>
      </c>
      <c r="K578" s="13">
        <f>IFERROR(VLOOKUP($A578,koronahun!$A:$AM,11,FALSE),"")</f>
        <v>5.0000000000000001E-3</v>
      </c>
      <c r="L578">
        <f>IFERROR(VLOOKUP($A578,koronahun!$A:$AM,12,FALSE),"")</f>
        <v>529</v>
      </c>
      <c r="M578" s="13">
        <f>IFERROR(VLOOKUP($A578,koronahun!$A:$AM,13,FALSE),"")</f>
        <v>0.1338</v>
      </c>
      <c r="N578" s="13">
        <f>IFERROR(VLOOKUP($A578,koronahun!$A:$AM,14,FALSE),"")</f>
        <v>0.74750000000000005</v>
      </c>
      <c r="O578">
        <f>IFERROR(VLOOKUP($A578,koronahun!$A:$AM,15,FALSE),"")</f>
        <v>8970</v>
      </c>
      <c r="P578">
        <f>IFERROR(VLOOKUP($A578,koronahun!$A:$AM,16,FALSE),"")</f>
        <v>1656</v>
      </c>
      <c r="Q578" s="13">
        <f>IFERROR(VLOOKUP($A578,koronahun!$A:$AM,17,FALSE),"")</f>
        <v>4.7999999999999996E-3</v>
      </c>
      <c r="R578">
        <f>IFERROR(VLOOKUP($A578,koronahun!$A:$AM,18,FALSE),"")</f>
        <v>0</v>
      </c>
      <c r="S578">
        <f>IFERROR(VLOOKUP($A578,koronahun!$A:$AM,19,FALSE),"")</f>
        <v>2</v>
      </c>
      <c r="T578">
        <f>IFERROR(VLOOKUP($A578,koronahun!$A:$AM,20,FALSE),"")</f>
        <v>76</v>
      </c>
      <c r="U578">
        <f>IFERROR(VLOOKUP($A578,koronahun!$A:$AM,21,FALSE),"")</f>
        <v>6</v>
      </c>
      <c r="V578" s="13">
        <f>IFERROR(VLOOKUP($A578,koronahun!$A:$AM,22,FALSE),"")</f>
        <v>0.11871633752244165</v>
      </c>
      <c r="W578">
        <f>IFERROR(VLOOKUP($A578,koronahun!$A:$AM,23,FALSE),"")</f>
        <v>5</v>
      </c>
      <c r="X578">
        <f>IFERROR(VLOOKUP($A578,koronahun!$A:$AM,24,FALSE),"")</f>
        <v>0</v>
      </c>
      <c r="Y578" s="14">
        <f>IFERROR(VLOOKUP($A578,koronahun!$A:$AM,25,FALSE),"")</f>
        <v>0.14366729678638943</v>
      </c>
      <c r="Z578" s="14">
        <f>IFERROR(VLOOKUP($A578,koronahun!$A:$AM,26,FALSE),"")</f>
        <v>7.8947368421052627E-2</v>
      </c>
      <c r="AA578" s="14">
        <f>IFERROR(VLOOKUP($A578,koronahun!$A:$AM,27,FALSE),"")</f>
        <v>1.2247191011235956</v>
      </c>
      <c r="AB578" s="14">
        <f>IFERROR(VLOOKUP($A578,koronahun!$A:$AM,28,FALSE),"")</f>
        <v>1.4089296048260211</v>
      </c>
      <c r="AC578" s="14">
        <f>IFERROR(VLOOKUP($A578,koronahun!$A:$AM,29,FALSE),"")</f>
        <v>15.571428571428571</v>
      </c>
      <c r="AD578" s="14">
        <f>IFERROR(VLOOKUP($A578,koronahun!$A:$AM,30,FALSE),"")</f>
        <v>0</v>
      </c>
      <c r="AE578" s="14">
        <f>IFERROR(VLOOKUP($A578,koronahun!$A:$AM,31,FALSE),"")</f>
        <v>2772.7142857142858</v>
      </c>
      <c r="AF578" s="13">
        <f>IFERROR(VLOOKUP($A578,koronahun!$A:$AM,32,FALSE),"")</f>
        <v>5.6999999999999993E-3</v>
      </c>
      <c r="AG578">
        <f>IFERROR(VLOOKUP($A578,koronahun!$A:$AM,33,FALSE),"")</f>
        <v>0</v>
      </c>
      <c r="AH578">
        <f>IFERROR(VLOOKUP($A578,koronahun!$A:$AM,34,FALSE),"")</f>
        <v>0</v>
      </c>
      <c r="AI578">
        <f>IFERROR(VLOOKUP($A578,koronahun!$A:$AM,35,FALSE),"")</f>
        <v>0</v>
      </c>
      <c r="AJ578">
        <f>IFERROR(VLOOKUP($A578,koronahun!$A:$AM,36,FALSE),"")</f>
        <v>0</v>
      </c>
      <c r="AK578">
        <f>IFERROR(VLOOKUP($A578,koronahun!$A:$AM,37,FALSE),"")</f>
        <v>0</v>
      </c>
      <c r="AL578">
        <f>IFERROR(VLOOKUP($A578,koronahun!$A:$AM,38,FALSE),"")</f>
        <v>0</v>
      </c>
      <c r="AM578" s="14">
        <f>IFERROR(VLOOKUP($A578,koronahun!$A:$AM,39,FALSE),"")</f>
        <v>10.571428571428571</v>
      </c>
      <c r="AN578" s="11">
        <f ca="1">IFERROR(__xludf.DUMMYFUNCTION("""COMPUTED_VALUE"""),44470)</f>
        <v>44470</v>
      </c>
      <c r="AO578" s="12">
        <f ca="1">IFERROR(VLOOKUP(AN578,koronahun!A:B,2,FALSE),"")</f>
        <v>823384</v>
      </c>
      <c r="AP578" s="11">
        <f t="shared" ca="1" si="4"/>
        <v>44470</v>
      </c>
      <c r="AQ578" s="11">
        <f ca="1">IFERROR(__xludf.DUMMYFUNCTION("""COMPUTED_VALUE"""),44516)</f>
        <v>44516</v>
      </c>
      <c r="AR578" s="11">
        <v>44041</v>
      </c>
      <c r="AS578" s="11">
        <f t="shared" si="5"/>
        <v>44041</v>
      </c>
      <c r="AT578" s="11">
        <f ca="1">IFERROR(__xludf.DUMMYFUNCTION("""COMPUTED_VALUE"""),44040)</f>
        <v>44040</v>
      </c>
    </row>
    <row r="579" spans="1:46" ht="13">
      <c r="A579" s="11">
        <v>44039</v>
      </c>
      <c r="B579">
        <f>IFERROR(VLOOKUP($A579,koronahun!$A:$AM,2,FALSE),"")</f>
        <v>4448</v>
      </c>
      <c r="C579">
        <f>IFERROR(VLOOKUP($A579,koronahun!$A:$AM,3,FALSE),"")</f>
        <v>13</v>
      </c>
      <c r="D579">
        <f>IFERROR(VLOOKUP($A579,koronahun!$A:$AM,4,FALSE),"")</f>
        <v>596</v>
      </c>
      <c r="E579">
        <f>IFERROR(VLOOKUP($A579,koronahun!$A:$AM,5,FALSE),"")</f>
        <v>3329</v>
      </c>
      <c r="F579">
        <f>IFERROR(VLOOKUP($A579,koronahun!$A:$AM,6,FALSE),"")</f>
        <v>328583</v>
      </c>
      <c r="G579" s="12">
        <f>IFERROR(VLOOKUP($A579,koronahun!$A:$AM,7,FALSE),"")</f>
        <v>33528.877551020407</v>
      </c>
      <c r="H579">
        <f>IFERROR(VLOOKUP($A579,koronahun!$A:$AM,8,FALSE),"")</f>
        <v>0</v>
      </c>
      <c r="I579" s="13">
        <f>IFERROR(VLOOKUP($A579,koronahun!$A:$AM,9,FALSE),"")</f>
        <v>2.8999999999999998E-3</v>
      </c>
      <c r="J579" s="13">
        <f>IFERROR(VLOOKUP($A579,koronahun!$A:$AM,10,FALSE),"")</f>
        <v>1.35E-2</v>
      </c>
      <c r="K579" s="13">
        <f>IFERROR(VLOOKUP($A579,koronahun!$A:$AM,11,FALSE),"")</f>
        <v>6.0000000000000001E-3</v>
      </c>
      <c r="L579">
        <f>IFERROR(VLOOKUP($A579,koronahun!$A:$AM,12,FALSE),"")</f>
        <v>523</v>
      </c>
      <c r="M579" s="13">
        <f>IFERROR(VLOOKUP($A579,koronahun!$A:$AM,13,FALSE),"")</f>
        <v>0.13400000000000001</v>
      </c>
      <c r="N579" s="13">
        <f>IFERROR(VLOOKUP($A579,koronahun!$A:$AM,14,FALSE),"")</f>
        <v>0.74839999999999995</v>
      </c>
      <c r="O579">
        <f>IFERROR(VLOOKUP($A579,koronahun!$A:$AM,15,FALSE),"")</f>
        <v>8490</v>
      </c>
      <c r="P579">
        <f>IFERROR(VLOOKUP($A579,koronahun!$A:$AM,16,FALSE),"")</f>
        <v>2029</v>
      </c>
      <c r="Q579" s="13">
        <f>IFERROR(VLOOKUP($A579,koronahun!$A:$AM,17,FALSE),"")</f>
        <v>6.4000000000000003E-3</v>
      </c>
      <c r="R579">
        <f>IFERROR(VLOOKUP($A579,koronahun!$A:$AM,18,FALSE),"")</f>
        <v>0</v>
      </c>
      <c r="S579">
        <f>IFERROR(VLOOKUP($A579,koronahun!$A:$AM,19,FALSE),"")</f>
        <v>0</v>
      </c>
      <c r="T579">
        <f>IFERROR(VLOOKUP($A579,koronahun!$A:$AM,20,FALSE),"")</f>
        <v>71</v>
      </c>
      <c r="U579">
        <f>IFERROR(VLOOKUP($A579,koronahun!$A:$AM,21,FALSE),"")</f>
        <v>6</v>
      </c>
      <c r="V579" s="13">
        <f>IFERROR(VLOOKUP($A579,koronahun!$A:$AM,22,FALSE),"")</f>
        <v>0.11758093525179857</v>
      </c>
      <c r="W579">
        <f>IFERROR(VLOOKUP($A579,koronahun!$A:$AM,23,FALSE),"")</f>
        <v>2</v>
      </c>
      <c r="X579">
        <f>IFERROR(VLOOKUP($A579,koronahun!$A:$AM,24,FALSE),"")</f>
        <v>0</v>
      </c>
      <c r="Y579" s="14">
        <f>IFERROR(VLOOKUP($A579,koronahun!$A:$AM,25,FALSE),"")</f>
        <v>0.13575525812619502</v>
      </c>
      <c r="Z579" s="14">
        <f>IFERROR(VLOOKUP($A579,koronahun!$A:$AM,26,FALSE),"")</f>
        <v>8.4507042253521125E-2</v>
      </c>
      <c r="AA579" s="14">
        <f>IFERROR(VLOOKUP($A579,koronahun!$A:$AM,27,FALSE),"")</f>
        <v>1.1847826086956521</v>
      </c>
      <c r="AB579" s="14">
        <f>IFERROR(VLOOKUP($A579,koronahun!$A:$AM,28,FALSE),"")</f>
        <v>1.4738619165253459</v>
      </c>
      <c r="AC579" s="14">
        <f>IFERROR(VLOOKUP($A579,koronahun!$A:$AM,29,FALSE),"")</f>
        <v>15.571428571428571</v>
      </c>
      <c r="AD579" s="14">
        <f>IFERROR(VLOOKUP($A579,koronahun!$A:$AM,30,FALSE),"")</f>
        <v>0</v>
      </c>
      <c r="AE579" s="14">
        <f>IFERROR(VLOOKUP($A579,koronahun!$A:$AM,31,FALSE),"")</f>
        <v>2644.7142857142858</v>
      </c>
      <c r="AF579" s="13">
        <f>IFERROR(VLOOKUP($A579,koronahun!$A:$AM,32,FALSE),"")</f>
        <v>6.5142857142857146E-3</v>
      </c>
      <c r="AG579">
        <f>IFERROR(VLOOKUP($A579,koronahun!$A:$AM,33,FALSE),"")</f>
        <v>0</v>
      </c>
      <c r="AH579">
        <f>IFERROR(VLOOKUP($A579,koronahun!$A:$AM,34,FALSE),"")</f>
        <v>0</v>
      </c>
      <c r="AI579">
        <f>IFERROR(VLOOKUP($A579,koronahun!$A:$AM,35,FALSE),"")</f>
        <v>0</v>
      </c>
      <c r="AJ579">
        <f>IFERROR(VLOOKUP($A579,koronahun!$A:$AM,36,FALSE),"")</f>
        <v>0</v>
      </c>
      <c r="AK579">
        <f>IFERROR(VLOOKUP($A579,koronahun!$A:$AM,37,FALSE),"")</f>
        <v>0</v>
      </c>
      <c r="AL579">
        <f>IFERROR(VLOOKUP($A579,koronahun!$A:$AM,38,FALSE),"")</f>
        <v>0</v>
      </c>
      <c r="AM579" s="14">
        <f>IFERROR(VLOOKUP($A579,koronahun!$A:$AM,39,FALSE),"")</f>
        <v>13.857142857142858</v>
      </c>
      <c r="AN579" s="11">
        <f ca="1">IFERROR(__xludf.DUMMYFUNCTION("""COMPUTED_VALUE"""),44471)</f>
        <v>44471</v>
      </c>
      <c r="AO579" s="12">
        <f ca="1">IFERROR(VLOOKUP(AN579,koronahun!A:B,2,FALSE),"")</f>
        <v>0</v>
      </c>
      <c r="AP579" s="11">
        <f t="shared" ca="1" si="4"/>
        <v>44471</v>
      </c>
      <c r="AQ579" s="11">
        <f ca="1">IFERROR(__xludf.DUMMYFUNCTION("""COMPUTED_VALUE"""),44517)</f>
        <v>44517</v>
      </c>
      <c r="AR579" s="11">
        <v>44040</v>
      </c>
      <c r="AS579" s="11">
        <f t="shared" si="5"/>
        <v>44040</v>
      </c>
      <c r="AT579" s="11">
        <f ca="1">IFERROR(__xludf.DUMMYFUNCTION("""COMPUTED_VALUE"""),44039)</f>
        <v>44039</v>
      </c>
    </row>
    <row r="580" spans="1:46" ht="13">
      <c r="A580" s="11">
        <v>44038</v>
      </c>
      <c r="B580">
        <f>IFERROR(VLOOKUP($A580,koronahun!$A:$AM,2,FALSE),"")</f>
        <v>4435</v>
      </c>
      <c r="C580">
        <f>IFERROR(VLOOKUP($A580,koronahun!$A:$AM,3,FALSE),"")</f>
        <v>11</v>
      </c>
      <c r="D580">
        <f>IFERROR(VLOOKUP($A580,koronahun!$A:$AM,4,FALSE),"")</f>
        <v>596</v>
      </c>
      <c r="E580">
        <f>IFERROR(VLOOKUP($A580,koronahun!$A:$AM,5,FALSE),"")</f>
        <v>3329</v>
      </c>
      <c r="F580">
        <f>IFERROR(VLOOKUP($A580,koronahun!$A:$AM,6,FALSE),"")</f>
        <v>326554</v>
      </c>
      <c r="G580" s="12">
        <f>IFERROR(VLOOKUP($A580,koronahun!$A:$AM,7,FALSE),"")</f>
        <v>33321.836734693876</v>
      </c>
      <c r="H580">
        <f>IFERROR(VLOOKUP($A580,koronahun!$A:$AM,8,FALSE),"")</f>
        <v>0</v>
      </c>
      <c r="I580" s="13">
        <f>IFERROR(VLOOKUP($A580,koronahun!$A:$AM,9,FALSE),"")</f>
        <v>2.5000000000000001E-3</v>
      </c>
      <c r="J580" s="13">
        <f>IFERROR(VLOOKUP($A580,koronahun!$A:$AM,10,FALSE),"")</f>
        <v>1.3599999999999999E-2</v>
      </c>
      <c r="K580" s="13">
        <f>IFERROR(VLOOKUP($A580,koronahun!$A:$AM,11,FALSE),"")</f>
        <v>8.9999999999999993E-3</v>
      </c>
      <c r="L580">
        <f>IFERROR(VLOOKUP($A580,koronahun!$A:$AM,12,FALSE),"")</f>
        <v>510</v>
      </c>
      <c r="M580" s="13">
        <f>IFERROR(VLOOKUP($A580,koronahun!$A:$AM,13,FALSE),"")</f>
        <v>0.13439999999999999</v>
      </c>
      <c r="N580" s="13">
        <f>IFERROR(VLOOKUP($A580,koronahun!$A:$AM,14,FALSE),"")</f>
        <v>0.75060000000000004</v>
      </c>
      <c r="O580">
        <f>IFERROR(VLOOKUP($A580,koronahun!$A:$AM,15,FALSE),"")</f>
        <v>7824</v>
      </c>
      <c r="P580">
        <f>IFERROR(VLOOKUP($A580,koronahun!$A:$AM,16,FALSE),"")</f>
        <v>2881</v>
      </c>
      <c r="Q580" s="13">
        <f>IFERROR(VLOOKUP($A580,koronahun!$A:$AM,17,FALSE),"")</f>
        <v>3.8E-3</v>
      </c>
      <c r="R580">
        <f>IFERROR(VLOOKUP($A580,koronahun!$A:$AM,18,FALSE),"")</f>
        <v>0</v>
      </c>
      <c r="S580">
        <f>IFERROR(VLOOKUP($A580,koronahun!$A:$AM,19,FALSE),"")</f>
        <v>5</v>
      </c>
      <c r="T580">
        <f>IFERROR(VLOOKUP($A580,koronahun!$A:$AM,20,FALSE),"")</f>
        <v>69</v>
      </c>
      <c r="U580">
        <f>IFERROR(VLOOKUP($A580,koronahun!$A:$AM,21,FALSE),"")</f>
        <v>6</v>
      </c>
      <c r="V580" s="13">
        <f>IFERROR(VLOOKUP($A580,koronahun!$A:$AM,22,FALSE),"")</f>
        <v>0.11499436302142052</v>
      </c>
      <c r="W580">
        <f>IFERROR(VLOOKUP($A580,koronahun!$A:$AM,23,FALSE),"")</f>
        <v>1</v>
      </c>
      <c r="X580">
        <f>IFERROR(VLOOKUP($A580,koronahun!$A:$AM,24,FALSE),"")</f>
        <v>1</v>
      </c>
      <c r="Y580" s="14">
        <f>IFERROR(VLOOKUP($A580,koronahun!$A:$AM,25,FALSE),"")</f>
        <v>0.13529411764705881</v>
      </c>
      <c r="Z580" s="14">
        <f>IFERROR(VLOOKUP($A580,koronahun!$A:$AM,26,FALSE),"")</f>
        <v>8.6956521739130432E-2</v>
      </c>
      <c r="AA580" s="14">
        <f>IFERROR(VLOOKUP($A580,koronahun!$A:$AM,27,FALSE),"")</f>
        <v>1.0303030303030303</v>
      </c>
      <c r="AB580" s="14">
        <f>IFERROR(VLOOKUP($A580,koronahun!$A:$AM,28,FALSE),"")</f>
        <v>1.5312082433619278</v>
      </c>
      <c r="AC580" s="14">
        <f>IFERROR(VLOOKUP($A580,koronahun!$A:$AM,29,FALSE),"")</f>
        <v>14.571428571428571</v>
      </c>
      <c r="AD580" s="14">
        <f>IFERROR(VLOOKUP($A580,koronahun!$A:$AM,30,FALSE),"")</f>
        <v>0</v>
      </c>
      <c r="AE580" s="14">
        <f>IFERROR(VLOOKUP($A580,koronahun!$A:$AM,31,FALSE),"")</f>
        <v>2672.5714285714284</v>
      </c>
      <c r="AF580" s="13">
        <f>IFERROR(VLOOKUP($A580,koronahun!$A:$AM,32,FALSE),"")</f>
        <v>5.985714285714286E-3</v>
      </c>
      <c r="AG580">
        <f>IFERROR(VLOOKUP($A580,koronahun!$A:$AM,33,FALSE),"")</f>
        <v>0</v>
      </c>
      <c r="AH580">
        <f>IFERROR(VLOOKUP($A580,koronahun!$A:$AM,34,FALSE),"")</f>
        <v>0</v>
      </c>
      <c r="AI580">
        <f>IFERROR(VLOOKUP($A580,koronahun!$A:$AM,35,FALSE),"")</f>
        <v>0</v>
      </c>
      <c r="AJ580">
        <f>IFERROR(VLOOKUP($A580,koronahun!$A:$AM,36,FALSE),"")</f>
        <v>0</v>
      </c>
      <c r="AK580">
        <f>IFERROR(VLOOKUP($A580,koronahun!$A:$AM,37,FALSE),"")</f>
        <v>0</v>
      </c>
      <c r="AL580">
        <f>IFERROR(VLOOKUP($A580,koronahun!$A:$AM,38,FALSE),"")</f>
        <v>0</v>
      </c>
      <c r="AM580" s="14">
        <f>IFERROR(VLOOKUP($A580,koronahun!$A:$AM,39,FALSE),"")</f>
        <v>15.142857142857142</v>
      </c>
      <c r="AN580" s="11">
        <f ca="1">IFERROR(__xludf.DUMMYFUNCTION("""COMPUTED_VALUE"""),44472)</f>
        <v>44472</v>
      </c>
      <c r="AO580" s="12">
        <f ca="1">IFERROR(VLOOKUP(AN580,koronahun!A:B,2,FALSE),"")</f>
        <v>0</v>
      </c>
      <c r="AP580" s="11">
        <f t="shared" ca="1" si="4"/>
        <v>44472</v>
      </c>
      <c r="AQ580" s="11">
        <f ca="1">IFERROR(__xludf.DUMMYFUNCTION("""COMPUTED_VALUE"""),44518)</f>
        <v>44518</v>
      </c>
      <c r="AR580" s="11">
        <v>44039</v>
      </c>
      <c r="AS580" s="11">
        <f t="shared" si="5"/>
        <v>44039</v>
      </c>
      <c r="AT580" s="11">
        <f ca="1">IFERROR(__xludf.DUMMYFUNCTION("""COMPUTED_VALUE"""),44038)</f>
        <v>44038</v>
      </c>
    </row>
    <row r="581" spans="1:46" ht="13">
      <c r="A581" s="11">
        <v>44037</v>
      </c>
      <c r="B581">
        <f>IFERROR(VLOOKUP($A581,koronahun!$A:$AM,2,FALSE),"")</f>
        <v>4424</v>
      </c>
      <c r="C581">
        <f>IFERROR(VLOOKUP($A581,koronahun!$A:$AM,3,FALSE),"")</f>
        <v>26</v>
      </c>
      <c r="D581">
        <f>IFERROR(VLOOKUP($A581,koronahun!$A:$AM,4,FALSE),"")</f>
        <v>596</v>
      </c>
      <c r="E581">
        <f>IFERROR(VLOOKUP($A581,koronahun!$A:$AM,5,FALSE),"")</f>
        <v>3324</v>
      </c>
      <c r="F581">
        <f>IFERROR(VLOOKUP($A581,koronahun!$A:$AM,6,FALSE),"")</f>
        <v>323673</v>
      </c>
      <c r="G581" s="12">
        <f>IFERROR(VLOOKUP($A581,koronahun!$A:$AM,7,FALSE),"")</f>
        <v>33027.857142857138</v>
      </c>
      <c r="H581">
        <f>IFERROR(VLOOKUP($A581,koronahun!$A:$AM,8,FALSE),"")</f>
        <v>0</v>
      </c>
      <c r="I581" s="13">
        <f>IFERROR(VLOOKUP($A581,koronahun!$A:$AM,9,FALSE),"")</f>
        <v>5.8999999999999999E-3</v>
      </c>
      <c r="J581" s="13">
        <f>IFERROR(VLOOKUP($A581,koronahun!$A:$AM,10,FALSE),"")</f>
        <v>1.37E-2</v>
      </c>
      <c r="K581" s="13">
        <f>IFERROR(VLOOKUP($A581,koronahun!$A:$AM,11,FALSE),"")</f>
        <v>1.2E-2</v>
      </c>
      <c r="L581">
        <f>IFERROR(VLOOKUP($A581,koronahun!$A:$AM,12,FALSE),"")</f>
        <v>504</v>
      </c>
      <c r="M581" s="13">
        <f>IFERROR(VLOOKUP($A581,koronahun!$A:$AM,13,FALSE),"")</f>
        <v>0.13469999999999999</v>
      </c>
      <c r="N581" s="13">
        <f>IFERROR(VLOOKUP($A581,koronahun!$A:$AM,14,FALSE),"")</f>
        <v>0.75139999999999996</v>
      </c>
      <c r="O581">
        <f>IFERROR(VLOOKUP($A581,koronahun!$A:$AM,15,FALSE),"")</f>
        <v>7453</v>
      </c>
      <c r="P581">
        <f>IFERROR(VLOOKUP($A581,koronahun!$A:$AM,16,FALSE),"")</f>
        <v>3819</v>
      </c>
      <c r="Q581" s="13">
        <f>IFERROR(VLOOKUP($A581,koronahun!$A:$AM,17,FALSE),"")</f>
        <v>6.7999999999999996E-3</v>
      </c>
      <c r="R581">
        <f>IFERROR(VLOOKUP($A581,koronahun!$A:$AM,18,FALSE),"")</f>
        <v>0</v>
      </c>
      <c r="S581">
        <f>IFERROR(VLOOKUP($A581,koronahun!$A:$AM,19,FALSE),"")</f>
        <v>12</v>
      </c>
      <c r="T581">
        <f>IFERROR(VLOOKUP($A581,koronahun!$A:$AM,20,FALSE),"")</f>
        <v>68</v>
      </c>
      <c r="U581">
        <f>IFERROR(VLOOKUP($A581,koronahun!$A:$AM,21,FALSE),"")</f>
        <v>5</v>
      </c>
      <c r="V581" s="13">
        <f>IFERROR(VLOOKUP($A581,koronahun!$A:$AM,22,FALSE),"")</f>
        <v>0.11392405063291139</v>
      </c>
      <c r="W581">
        <f>IFERROR(VLOOKUP($A581,koronahun!$A:$AM,23,FALSE),"")</f>
        <v>-2</v>
      </c>
      <c r="X581">
        <f>IFERROR(VLOOKUP($A581,koronahun!$A:$AM,24,FALSE),"")</f>
        <v>1</v>
      </c>
      <c r="Y581" s="14">
        <f>IFERROR(VLOOKUP($A581,koronahun!$A:$AM,25,FALSE),"")</f>
        <v>0.13492063492063491</v>
      </c>
      <c r="Z581" s="14">
        <f>IFERROR(VLOOKUP($A581,koronahun!$A:$AM,26,FALSE),"")</f>
        <v>7.3529411764705885E-2</v>
      </c>
      <c r="AA581" s="14">
        <f>IFERROR(VLOOKUP($A581,koronahun!$A:$AM,27,FALSE),"")</f>
        <v>1.2674418604651163</v>
      </c>
      <c r="AB581" s="14">
        <f>IFERROR(VLOOKUP($A581,koronahun!$A:$AM,28,FALSE),"")</f>
        <v>1.6613330205455286</v>
      </c>
      <c r="AC581" s="14">
        <f>IFERROR(VLOOKUP($A581,koronahun!$A:$AM,29,FALSE),"")</f>
        <v>15.571428571428571</v>
      </c>
      <c r="AD581" s="14">
        <f>IFERROR(VLOOKUP($A581,koronahun!$A:$AM,30,FALSE),"")</f>
        <v>0</v>
      </c>
      <c r="AE581" s="14">
        <f>IFERROR(VLOOKUP($A581,koronahun!$A:$AM,31,FALSE),"")</f>
        <v>2648.5714285714284</v>
      </c>
      <c r="AF581" s="13">
        <f>IFERROR(VLOOKUP($A581,koronahun!$A:$AM,32,FALSE),"")</f>
        <v>6.3857142857142854E-3</v>
      </c>
      <c r="AG581">
        <f>IFERROR(VLOOKUP($A581,koronahun!$A:$AM,33,FALSE),"")</f>
        <v>0</v>
      </c>
      <c r="AH581">
        <f>IFERROR(VLOOKUP($A581,koronahun!$A:$AM,34,FALSE),"")</f>
        <v>0</v>
      </c>
      <c r="AI581">
        <f>IFERROR(VLOOKUP($A581,koronahun!$A:$AM,35,FALSE),"")</f>
        <v>0</v>
      </c>
      <c r="AJ581">
        <f>IFERROR(VLOOKUP($A581,koronahun!$A:$AM,36,FALSE),"")</f>
        <v>0</v>
      </c>
      <c r="AK581">
        <f>IFERROR(VLOOKUP($A581,koronahun!$A:$AM,37,FALSE),"")</f>
        <v>0</v>
      </c>
      <c r="AL581">
        <f>IFERROR(VLOOKUP($A581,koronahun!$A:$AM,38,FALSE),"")</f>
        <v>0</v>
      </c>
      <c r="AM581" s="14">
        <f>IFERROR(VLOOKUP($A581,koronahun!$A:$AM,39,FALSE),"")</f>
        <v>14.571428571428571</v>
      </c>
      <c r="AN581" s="11">
        <f ca="1">IFERROR(__xludf.DUMMYFUNCTION("""COMPUTED_VALUE"""),44473)</f>
        <v>44473</v>
      </c>
      <c r="AO581" s="12">
        <f ca="1">IFERROR(VLOOKUP(AN581,koronahun!A:B,2,FALSE),"")</f>
        <v>824876</v>
      </c>
      <c r="AP581" s="11">
        <f t="shared" ca="1" si="4"/>
        <v>44473</v>
      </c>
      <c r="AQ581" s="11">
        <f ca="1">IFERROR(__xludf.DUMMYFUNCTION("""COMPUTED_VALUE"""),44519)</f>
        <v>44519</v>
      </c>
      <c r="AR581" s="11">
        <v>44038</v>
      </c>
      <c r="AS581" s="11">
        <f t="shared" si="5"/>
        <v>44038</v>
      </c>
      <c r="AT581" s="11">
        <f ca="1">IFERROR(__xludf.DUMMYFUNCTION("""COMPUTED_VALUE"""),44037)</f>
        <v>44037</v>
      </c>
    </row>
    <row r="582" spans="1:46" ht="13">
      <c r="A582" s="11">
        <v>44036</v>
      </c>
      <c r="B582">
        <f>IFERROR(VLOOKUP($A582,koronahun!$A:$AM,2,FALSE),"")</f>
        <v>4398</v>
      </c>
      <c r="C582">
        <f>IFERROR(VLOOKUP($A582,koronahun!$A:$AM,3,FALSE),"")</f>
        <v>18</v>
      </c>
      <c r="D582">
        <f>IFERROR(VLOOKUP($A582,koronahun!$A:$AM,4,FALSE),"")</f>
        <v>596</v>
      </c>
      <c r="E582">
        <f>IFERROR(VLOOKUP($A582,koronahun!$A:$AM,5,FALSE),"")</f>
        <v>3312</v>
      </c>
      <c r="F582">
        <f>IFERROR(VLOOKUP($A582,koronahun!$A:$AM,6,FALSE),"")</f>
        <v>319854</v>
      </c>
      <c r="G582" s="12">
        <f>IFERROR(VLOOKUP($A582,koronahun!$A:$AM,7,FALSE),"")</f>
        <v>32638.163265306121</v>
      </c>
      <c r="H582">
        <f>IFERROR(VLOOKUP($A582,koronahun!$A:$AM,8,FALSE),"")</f>
        <v>0</v>
      </c>
      <c r="I582" s="13">
        <f>IFERROR(VLOOKUP($A582,koronahun!$A:$AM,9,FALSE),"")</f>
        <v>4.1000000000000003E-3</v>
      </c>
      <c r="J582" s="13">
        <f>IFERROR(VLOOKUP($A582,koronahun!$A:$AM,10,FALSE),"")</f>
        <v>1.38E-2</v>
      </c>
      <c r="K582" s="13">
        <f>IFERROR(VLOOKUP($A582,koronahun!$A:$AM,11,FALSE),"")</f>
        <v>1.2E-2</v>
      </c>
      <c r="L582">
        <f>IFERROR(VLOOKUP($A582,koronahun!$A:$AM,12,FALSE),"")</f>
        <v>490</v>
      </c>
      <c r="M582" s="13">
        <f>IFERROR(VLOOKUP($A582,koronahun!$A:$AM,13,FALSE),"")</f>
        <v>0.13550000000000001</v>
      </c>
      <c r="N582" s="13">
        <f>IFERROR(VLOOKUP($A582,koronahun!$A:$AM,14,FALSE),"")</f>
        <v>0.75309999999999999</v>
      </c>
      <c r="O582">
        <f>IFERROR(VLOOKUP($A582,koronahun!$A:$AM,15,FALSE),"")</f>
        <v>7318</v>
      </c>
      <c r="P582">
        <f>IFERROR(VLOOKUP($A582,koronahun!$A:$AM,16,FALSE),"")</f>
        <v>3734</v>
      </c>
      <c r="Q582" s="13">
        <f>IFERROR(VLOOKUP($A582,koronahun!$A:$AM,17,FALSE),"")</f>
        <v>4.7999999999999996E-3</v>
      </c>
      <c r="R582">
        <f>IFERROR(VLOOKUP($A582,koronahun!$A:$AM,18,FALSE),"")</f>
        <v>0</v>
      </c>
      <c r="S582">
        <f>IFERROR(VLOOKUP($A582,koronahun!$A:$AM,19,FALSE),"")</f>
        <v>12</v>
      </c>
      <c r="T582">
        <f>IFERROR(VLOOKUP($A582,koronahun!$A:$AM,20,FALSE),"")</f>
        <v>70</v>
      </c>
      <c r="U582">
        <f>IFERROR(VLOOKUP($A582,koronahun!$A:$AM,21,FALSE),"")</f>
        <v>4</v>
      </c>
      <c r="V582" s="13">
        <f>IFERROR(VLOOKUP($A582,koronahun!$A:$AM,22,FALSE),"")</f>
        <v>0.11141427921782629</v>
      </c>
      <c r="W582">
        <f>IFERROR(VLOOKUP($A582,koronahun!$A:$AM,23,FALSE),"")</f>
        <v>-6</v>
      </c>
      <c r="X582">
        <f>IFERROR(VLOOKUP($A582,koronahun!$A:$AM,24,FALSE),"")</f>
        <v>0</v>
      </c>
      <c r="Y582" s="14">
        <f>IFERROR(VLOOKUP($A582,koronahun!$A:$AM,25,FALSE),"")</f>
        <v>0.14285714285714285</v>
      </c>
      <c r="Z582" s="14">
        <f>IFERROR(VLOOKUP($A582,koronahun!$A:$AM,26,FALSE),"")</f>
        <v>5.7142857142857141E-2</v>
      </c>
      <c r="AA582" s="14">
        <f>IFERROR(VLOOKUP($A582,koronahun!$A:$AM,27,FALSE),"")</f>
        <v>1.5</v>
      </c>
      <c r="AB582" s="14">
        <f>IFERROR(VLOOKUP($A582,koronahun!$A:$AM,28,FALSE),"")</f>
        <v>1.7036465209985638</v>
      </c>
      <c r="AC582" s="14">
        <f>IFERROR(VLOOKUP($A582,koronahun!$A:$AM,29,FALSE),"")</f>
        <v>15</v>
      </c>
      <c r="AD582" s="14">
        <f>IFERROR(VLOOKUP($A582,koronahun!$A:$AM,30,FALSE),"")</f>
        <v>0.14285714285714285</v>
      </c>
      <c r="AE582" s="14">
        <f>IFERROR(VLOOKUP($A582,koronahun!$A:$AM,31,FALSE),"")</f>
        <v>2443.5714285714284</v>
      </c>
      <c r="AF582" s="13">
        <f>IFERROR(VLOOKUP($A582,koronahun!$A:$AM,32,FALSE),"")</f>
        <v>6.7285714285714292E-3</v>
      </c>
      <c r="AG582">
        <f>IFERROR(VLOOKUP($A582,koronahun!$A:$AM,33,FALSE),"")</f>
        <v>0</v>
      </c>
      <c r="AH582">
        <f>IFERROR(VLOOKUP($A582,koronahun!$A:$AM,34,FALSE),"")</f>
        <v>0</v>
      </c>
      <c r="AI582">
        <f>IFERROR(VLOOKUP($A582,koronahun!$A:$AM,35,FALSE),"")</f>
        <v>0</v>
      </c>
      <c r="AJ582">
        <f>IFERROR(VLOOKUP($A582,koronahun!$A:$AM,36,FALSE),"")</f>
        <v>0</v>
      </c>
      <c r="AK582">
        <f>IFERROR(VLOOKUP($A582,koronahun!$A:$AM,37,FALSE),"")</f>
        <v>0</v>
      </c>
      <c r="AL582">
        <f>IFERROR(VLOOKUP($A582,koronahun!$A:$AM,38,FALSE),"")</f>
        <v>0</v>
      </c>
      <c r="AM582" s="14">
        <f>IFERROR(VLOOKUP($A582,koronahun!$A:$AM,39,FALSE),"")</f>
        <v>13.142857142857142</v>
      </c>
      <c r="AN582" s="11">
        <f ca="1">IFERROR(__xludf.DUMMYFUNCTION("""COMPUTED_VALUE"""),44474)</f>
        <v>44474</v>
      </c>
      <c r="AO582" s="12">
        <f ca="1">IFERROR(VLOOKUP(AN582,koronahun!A:B,2,FALSE),"")</f>
        <v>825170</v>
      </c>
      <c r="AP582" s="11">
        <f t="shared" ca="1" si="4"/>
        <v>44474</v>
      </c>
      <c r="AQ582" s="11">
        <f ca="1">IFERROR(__xludf.DUMMYFUNCTION("""COMPUTED_VALUE"""),44522)</f>
        <v>44522</v>
      </c>
      <c r="AR582" s="11">
        <v>44037</v>
      </c>
      <c r="AS582" s="11">
        <f t="shared" si="5"/>
        <v>44037</v>
      </c>
      <c r="AT582" s="11">
        <f ca="1">IFERROR(__xludf.DUMMYFUNCTION("""COMPUTED_VALUE"""),44036)</f>
        <v>44036</v>
      </c>
    </row>
    <row r="583" spans="1:46" ht="13">
      <c r="A583" s="11">
        <v>44035</v>
      </c>
      <c r="B583">
        <f>IFERROR(VLOOKUP($A583,koronahun!$A:$AM,2,FALSE),"")</f>
        <v>4380</v>
      </c>
      <c r="C583">
        <f>IFERROR(VLOOKUP($A583,koronahun!$A:$AM,3,FALSE),"")</f>
        <v>14</v>
      </c>
      <c r="D583">
        <f>IFERROR(VLOOKUP($A583,koronahun!$A:$AM,4,FALSE),"")</f>
        <v>596</v>
      </c>
      <c r="E583">
        <f>IFERROR(VLOOKUP($A583,koronahun!$A:$AM,5,FALSE),"")</f>
        <v>3300</v>
      </c>
      <c r="F583">
        <f>IFERROR(VLOOKUP($A583,koronahun!$A:$AM,6,FALSE),"")</f>
        <v>316120</v>
      </c>
      <c r="G583" s="12">
        <f>IFERROR(VLOOKUP($A583,koronahun!$A:$AM,7,FALSE),"")</f>
        <v>32257.142857142855</v>
      </c>
      <c r="H583">
        <f>IFERROR(VLOOKUP($A583,koronahun!$A:$AM,8,FALSE),"")</f>
        <v>0</v>
      </c>
      <c r="I583" s="13">
        <f>IFERROR(VLOOKUP($A583,koronahun!$A:$AM,9,FALSE),"")</f>
        <v>3.2000000000000002E-3</v>
      </c>
      <c r="J583" s="13">
        <f>IFERROR(VLOOKUP($A583,koronahun!$A:$AM,10,FALSE),"")</f>
        <v>1.3899999999999999E-2</v>
      </c>
      <c r="K583" s="13">
        <f>IFERROR(VLOOKUP($A583,koronahun!$A:$AM,11,FALSE),"")</f>
        <v>0.01</v>
      </c>
      <c r="L583">
        <f>IFERROR(VLOOKUP($A583,koronahun!$A:$AM,12,FALSE),"")</f>
        <v>484</v>
      </c>
      <c r="M583" s="13">
        <f>IFERROR(VLOOKUP($A583,koronahun!$A:$AM,13,FALSE),"")</f>
        <v>0.1361</v>
      </c>
      <c r="N583" s="13">
        <f>IFERROR(VLOOKUP($A583,koronahun!$A:$AM,14,FALSE),"")</f>
        <v>0.75339999999999996</v>
      </c>
      <c r="O583">
        <f>IFERROR(VLOOKUP($A583,koronahun!$A:$AM,15,FALSE),"")</f>
        <v>7001</v>
      </c>
      <c r="P583">
        <f>IFERROR(VLOOKUP($A583,koronahun!$A:$AM,16,FALSE),"")</f>
        <v>3132</v>
      </c>
      <c r="Q583" s="13">
        <f>IFERROR(VLOOKUP($A583,koronahun!$A:$AM,17,FALSE),"")</f>
        <v>4.4999999999999997E-3</v>
      </c>
      <c r="R583">
        <f>IFERROR(VLOOKUP($A583,koronahun!$A:$AM,18,FALSE),"")</f>
        <v>0</v>
      </c>
      <c r="S583">
        <f>IFERROR(VLOOKUP($A583,koronahun!$A:$AM,19,FALSE),"")</f>
        <v>17</v>
      </c>
      <c r="T583">
        <f>IFERROR(VLOOKUP($A583,koronahun!$A:$AM,20,FALSE),"")</f>
        <v>76</v>
      </c>
      <c r="U583">
        <f>IFERROR(VLOOKUP($A583,koronahun!$A:$AM,21,FALSE),"")</f>
        <v>4</v>
      </c>
      <c r="V583" s="13">
        <f>IFERROR(VLOOKUP($A583,koronahun!$A:$AM,22,FALSE),"")</f>
        <v>0.11050228310502283</v>
      </c>
      <c r="W583">
        <f>IFERROR(VLOOKUP($A583,koronahun!$A:$AM,23,FALSE),"")</f>
        <v>-2</v>
      </c>
      <c r="X583">
        <f>IFERROR(VLOOKUP($A583,koronahun!$A:$AM,24,FALSE),"")</f>
        <v>0</v>
      </c>
      <c r="Y583" s="14">
        <f>IFERROR(VLOOKUP($A583,koronahun!$A:$AM,25,FALSE),"")</f>
        <v>0.15702479338842976</v>
      </c>
      <c r="Z583" s="14">
        <f>IFERROR(VLOOKUP($A583,koronahun!$A:$AM,26,FALSE),"")</f>
        <v>5.2631578947368418E-2</v>
      </c>
      <c r="AA583" s="14">
        <f>IFERROR(VLOOKUP($A583,koronahun!$A:$AM,27,FALSE),"")</f>
        <v>1.7118644067796611</v>
      </c>
      <c r="AB583" s="14">
        <f>IFERROR(VLOOKUP($A583,koronahun!$A:$AM,28,FALSE),"")</f>
        <v>1.6854392380853986</v>
      </c>
      <c r="AC583" s="14">
        <f>IFERROR(VLOOKUP($A583,koronahun!$A:$AM,29,FALSE),"")</f>
        <v>14.428571428571429</v>
      </c>
      <c r="AD583" s="14">
        <f>IFERROR(VLOOKUP($A583,koronahun!$A:$AM,30,FALSE),"")</f>
        <v>0.14285714285714285</v>
      </c>
      <c r="AE583" s="14">
        <f>IFERROR(VLOOKUP($A583,koronahun!$A:$AM,31,FALSE),"")</f>
        <v>2212.5714285714284</v>
      </c>
      <c r="AF583" s="13">
        <f>IFERROR(VLOOKUP($A583,koronahun!$A:$AM,32,FALSE),"")</f>
        <v>6.9857142857142869E-3</v>
      </c>
      <c r="AG583">
        <f>IFERROR(VLOOKUP($A583,koronahun!$A:$AM,33,FALSE),"")</f>
        <v>0</v>
      </c>
      <c r="AH583">
        <f>IFERROR(VLOOKUP($A583,koronahun!$A:$AM,34,FALSE),"")</f>
        <v>0</v>
      </c>
      <c r="AI583">
        <f>IFERROR(VLOOKUP($A583,koronahun!$A:$AM,35,FALSE),"")</f>
        <v>0</v>
      </c>
      <c r="AJ583">
        <f>IFERROR(VLOOKUP($A583,koronahun!$A:$AM,36,FALSE),"")</f>
        <v>0</v>
      </c>
      <c r="AK583">
        <f>IFERROR(VLOOKUP($A583,koronahun!$A:$AM,37,FALSE),"")</f>
        <v>0</v>
      </c>
      <c r="AL583">
        <f>IFERROR(VLOOKUP($A583,koronahun!$A:$AM,38,FALSE),"")</f>
        <v>0</v>
      </c>
      <c r="AM583" s="14">
        <f>IFERROR(VLOOKUP($A583,koronahun!$A:$AM,39,FALSE),"")</f>
        <v>20.571428571428573</v>
      </c>
      <c r="AN583" s="11">
        <f ca="1">IFERROR(__xludf.DUMMYFUNCTION("""COMPUTED_VALUE"""),44475)</f>
        <v>44475</v>
      </c>
      <c r="AO583" s="12">
        <f ca="1">IFERROR(VLOOKUP(AN583,koronahun!A:B,2,FALSE),"")</f>
        <v>825799</v>
      </c>
      <c r="AP583" s="11">
        <f t="shared" ca="1" si="4"/>
        <v>44475</v>
      </c>
      <c r="AQ583" s="11">
        <f ca="1">IFERROR(__xludf.DUMMYFUNCTION("""COMPUTED_VALUE"""),44523)</f>
        <v>44523</v>
      </c>
      <c r="AR583" s="11">
        <v>44036</v>
      </c>
      <c r="AS583" s="11">
        <f t="shared" si="5"/>
        <v>44036</v>
      </c>
      <c r="AT583" s="11">
        <f ca="1">IFERROR(__xludf.DUMMYFUNCTION("""COMPUTED_VALUE"""),44035)</f>
        <v>44035</v>
      </c>
    </row>
    <row r="584" spans="1:46" ht="13">
      <c r="A584" s="11">
        <v>44034</v>
      </c>
      <c r="B584">
        <f>IFERROR(VLOOKUP($A584,koronahun!$A:$AM,2,FALSE),"")</f>
        <v>4366</v>
      </c>
      <c r="C584">
        <f>IFERROR(VLOOKUP($A584,koronahun!$A:$AM,3,FALSE),"")</f>
        <v>19</v>
      </c>
      <c r="D584">
        <f>IFERROR(VLOOKUP($A584,koronahun!$A:$AM,4,FALSE),"")</f>
        <v>596</v>
      </c>
      <c r="E584">
        <f>IFERROR(VLOOKUP($A584,koronahun!$A:$AM,5,FALSE),"")</f>
        <v>3283</v>
      </c>
      <c r="F584">
        <f>IFERROR(VLOOKUP($A584,koronahun!$A:$AM,6,FALSE),"")</f>
        <v>312988</v>
      </c>
      <c r="G584" s="12">
        <f>IFERROR(VLOOKUP($A584,koronahun!$A:$AM,7,FALSE),"")</f>
        <v>31937.551020408162</v>
      </c>
      <c r="H584">
        <f>IFERROR(VLOOKUP($A584,koronahun!$A:$AM,8,FALSE),"")</f>
        <v>0</v>
      </c>
      <c r="I584" s="13">
        <f>IFERROR(VLOOKUP($A584,koronahun!$A:$AM,9,FALSE),"")</f>
        <v>4.4000000000000003E-3</v>
      </c>
      <c r="J584" s="13">
        <f>IFERROR(VLOOKUP($A584,koronahun!$A:$AM,10,FALSE),"")</f>
        <v>1.3899999999999999E-2</v>
      </c>
      <c r="K584" s="13">
        <f>IFERROR(VLOOKUP($A584,koronahun!$A:$AM,11,FALSE),"")</f>
        <v>7.0000000000000001E-3</v>
      </c>
      <c r="L584">
        <f>IFERROR(VLOOKUP($A584,koronahun!$A:$AM,12,FALSE),"")</f>
        <v>487</v>
      </c>
      <c r="M584" s="13">
        <f>IFERROR(VLOOKUP($A584,koronahun!$A:$AM,13,FALSE),"")</f>
        <v>0.13650000000000001</v>
      </c>
      <c r="N584" s="13">
        <f>IFERROR(VLOOKUP($A584,koronahun!$A:$AM,14,FALSE),"")</f>
        <v>0.75190000000000001</v>
      </c>
      <c r="O584">
        <f>IFERROR(VLOOKUP($A584,koronahun!$A:$AM,15,FALSE),"")</f>
        <v>6553</v>
      </c>
      <c r="P584">
        <f>IFERROR(VLOOKUP($A584,koronahun!$A:$AM,16,FALSE),"")</f>
        <v>2158</v>
      </c>
      <c r="Q584" s="13">
        <f>IFERROR(VLOOKUP($A584,koronahun!$A:$AM,17,FALSE),"")</f>
        <v>8.8000000000000005E-3</v>
      </c>
      <c r="R584">
        <f>IFERROR(VLOOKUP($A584,koronahun!$A:$AM,18,FALSE),"")</f>
        <v>0</v>
      </c>
      <c r="S584">
        <f>IFERROR(VLOOKUP($A584,koronahun!$A:$AM,19,FALSE),"")</f>
        <v>26</v>
      </c>
      <c r="T584">
        <f>IFERROR(VLOOKUP($A584,koronahun!$A:$AM,20,FALSE),"")</f>
        <v>78</v>
      </c>
      <c r="U584">
        <f>IFERROR(VLOOKUP($A584,koronahun!$A:$AM,21,FALSE),"")</f>
        <v>4</v>
      </c>
      <c r="V584" s="13">
        <f>IFERROR(VLOOKUP($A584,koronahun!$A:$AM,22,FALSE),"")</f>
        <v>0.11154374713696748</v>
      </c>
      <c r="W584">
        <f>IFERROR(VLOOKUP($A584,koronahun!$A:$AM,23,FALSE),"")</f>
        <v>0</v>
      </c>
      <c r="X584">
        <f>IFERROR(VLOOKUP($A584,koronahun!$A:$AM,24,FALSE),"")</f>
        <v>0</v>
      </c>
      <c r="Y584" s="14">
        <f>IFERROR(VLOOKUP($A584,koronahun!$A:$AM,25,FALSE),"")</f>
        <v>0.16016427104722791</v>
      </c>
      <c r="Z584" s="14">
        <f>IFERROR(VLOOKUP($A584,koronahun!$A:$AM,26,FALSE),"")</f>
        <v>5.128205128205128E-2</v>
      </c>
      <c r="AA584" s="14">
        <f>IFERROR(VLOOKUP($A584,koronahun!$A:$AM,27,FALSE),"")</f>
        <v>1.9433962264150944</v>
      </c>
      <c r="AB584" s="14">
        <f>IFERROR(VLOOKUP($A584,koronahun!$A:$AM,28,FALSE),"")</f>
        <v>1.5969718360586747</v>
      </c>
      <c r="AC584" s="14">
        <f>IFERROR(VLOOKUP($A584,koronahun!$A:$AM,29,FALSE),"")</f>
        <v>14.714285714285714</v>
      </c>
      <c r="AD584" s="14">
        <f>IFERROR(VLOOKUP($A584,koronahun!$A:$AM,30,FALSE),"")</f>
        <v>0.14285714285714285</v>
      </c>
      <c r="AE584" s="14">
        <f>IFERROR(VLOOKUP($A584,koronahun!$A:$AM,31,FALSE),"")</f>
        <v>1971.8571428571429</v>
      </c>
      <c r="AF584" s="13">
        <f>IFERROR(VLOOKUP($A584,koronahun!$A:$AM,32,FALSE),"")</f>
        <v>7.9285714285714289E-3</v>
      </c>
      <c r="AG584">
        <f>IFERROR(VLOOKUP($A584,koronahun!$A:$AM,33,FALSE),"")</f>
        <v>0</v>
      </c>
      <c r="AH584">
        <f>IFERROR(VLOOKUP($A584,koronahun!$A:$AM,34,FALSE),"")</f>
        <v>0</v>
      </c>
      <c r="AI584">
        <f>IFERROR(VLOOKUP($A584,koronahun!$A:$AM,35,FALSE),"")</f>
        <v>0</v>
      </c>
      <c r="AJ584">
        <f>IFERROR(VLOOKUP($A584,koronahun!$A:$AM,36,FALSE),"")</f>
        <v>0</v>
      </c>
      <c r="AK584">
        <f>IFERROR(VLOOKUP($A584,koronahun!$A:$AM,37,FALSE),"")</f>
        <v>0</v>
      </c>
      <c r="AL584">
        <f>IFERROR(VLOOKUP($A584,koronahun!$A:$AM,38,FALSE),"")</f>
        <v>0</v>
      </c>
      <c r="AM584" s="14">
        <f>IFERROR(VLOOKUP($A584,koronahun!$A:$AM,39,FALSE),"")</f>
        <v>22.285714285714285</v>
      </c>
      <c r="AN584" s="11">
        <f ca="1">IFERROR(__xludf.DUMMYFUNCTION("""COMPUTED_VALUE"""),44476)</f>
        <v>44476</v>
      </c>
      <c r="AO584" s="12">
        <f ca="1">IFERROR(VLOOKUP(AN584,koronahun!A:B,2,FALSE),"")</f>
        <v>826636</v>
      </c>
      <c r="AP584" s="11">
        <f t="shared" ca="1" si="4"/>
        <v>44476</v>
      </c>
      <c r="AQ584" s="11">
        <f ca="1">IFERROR(__xludf.DUMMYFUNCTION("""COMPUTED_VALUE"""),44524)</f>
        <v>44524</v>
      </c>
      <c r="AR584" s="11">
        <v>44035</v>
      </c>
      <c r="AS584" s="11">
        <f t="shared" si="5"/>
        <v>44035</v>
      </c>
      <c r="AT584" s="11">
        <f ca="1">IFERROR(__xludf.DUMMYFUNCTION("""COMPUTED_VALUE"""),44034)</f>
        <v>44034</v>
      </c>
    </row>
    <row r="585" spans="1:46" ht="13">
      <c r="A585" s="11">
        <v>44033</v>
      </c>
      <c r="B585">
        <f>IFERROR(VLOOKUP($A585,koronahun!$A:$AM,2,FALSE),"")</f>
        <v>4347</v>
      </c>
      <c r="C585">
        <f>IFERROR(VLOOKUP($A585,koronahun!$A:$AM,3,FALSE),"")</f>
        <v>8</v>
      </c>
      <c r="D585">
        <f>IFERROR(VLOOKUP($A585,koronahun!$A:$AM,4,FALSE),"")</f>
        <v>596</v>
      </c>
      <c r="E585">
        <f>IFERROR(VLOOKUP($A585,koronahun!$A:$AM,5,FALSE),"")</f>
        <v>3257</v>
      </c>
      <c r="F585">
        <f>IFERROR(VLOOKUP($A585,koronahun!$A:$AM,6,FALSE),"")</f>
        <v>310830</v>
      </c>
      <c r="G585" s="12">
        <f>IFERROR(VLOOKUP($A585,koronahun!$A:$AM,7,FALSE),"")</f>
        <v>31717.346938775507</v>
      </c>
      <c r="H585">
        <f>IFERROR(VLOOKUP($A585,koronahun!$A:$AM,8,FALSE),"")</f>
        <v>0</v>
      </c>
      <c r="I585" s="13">
        <f>IFERROR(VLOOKUP($A585,koronahun!$A:$AM,9,FALSE),"")</f>
        <v>1.8E-3</v>
      </c>
      <c r="J585" s="13">
        <f>IFERROR(VLOOKUP($A585,koronahun!$A:$AM,10,FALSE),"")</f>
        <v>1.4E-2</v>
      </c>
      <c r="K585" s="13">
        <f>IFERROR(VLOOKUP($A585,koronahun!$A:$AM,11,FALSE),"")</f>
        <v>2E-3</v>
      </c>
      <c r="L585">
        <f>IFERROR(VLOOKUP($A585,koronahun!$A:$AM,12,FALSE),"")</f>
        <v>494</v>
      </c>
      <c r="M585" s="13">
        <f>IFERROR(VLOOKUP($A585,koronahun!$A:$AM,13,FALSE),"")</f>
        <v>0.1371</v>
      </c>
      <c r="N585" s="13">
        <f>IFERROR(VLOOKUP($A585,koronahun!$A:$AM,14,FALSE),"")</f>
        <v>0.74929999999999997</v>
      </c>
      <c r="O585">
        <f>IFERROR(VLOOKUP($A585,koronahun!$A:$AM,15,FALSE),"")</f>
        <v>6388</v>
      </c>
      <c r="P585">
        <f>IFERROR(VLOOKUP($A585,koronahun!$A:$AM,16,FALSE),"")</f>
        <v>760</v>
      </c>
      <c r="Q585" s="13">
        <f>IFERROR(VLOOKUP($A585,koronahun!$A:$AM,17,FALSE),"")</f>
        <v>1.0500000000000001E-2</v>
      </c>
      <c r="R585">
        <f>IFERROR(VLOOKUP($A585,koronahun!$A:$AM,18,FALSE),"")</f>
        <v>0</v>
      </c>
      <c r="S585">
        <f>IFERROR(VLOOKUP($A585,koronahun!$A:$AM,19,FALSE),"")</f>
        <v>25</v>
      </c>
      <c r="T585">
        <f>IFERROR(VLOOKUP($A585,koronahun!$A:$AM,20,FALSE),"")</f>
        <v>78</v>
      </c>
      <c r="U585">
        <f>IFERROR(VLOOKUP($A585,koronahun!$A:$AM,21,FALSE),"")</f>
        <v>4</v>
      </c>
      <c r="V585" s="13">
        <f>IFERROR(VLOOKUP($A585,koronahun!$A:$AM,22,FALSE),"")</f>
        <v>0.11364159190246147</v>
      </c>
      <c r="W585">
        <f>IFERROR(VLOOKUP($A585,koronahun!$A:$AM,23,FALSE),"")</f>
        <v>-5</v>
      </c>
      <c r="X585">
        <f>IFERROR(VLOOKUP($A585,koronahun!$A:$AM,24,FALSE),"")</f>
        <v>-1</v>
      </c>
      <c r="Y585" s="14">
        <f>IFERROR(VLOOKUP($A585,koronahun!$A:$AM,25,FALSE),"")</f>
        <v>0.15789473684210525</v>
      </c>
      <c r="Z585" s="14">
        <f>IFERROR(VLOOKUP($A585,koronahun!$A:$AM,26,FALSE),"")</f>
        <v>5.128205128205128E-2</v>
      </c>
      <c r="AA585" s="14">
        <f>IFERROR(VLOOKUP($A585,koronahun!$A:$AM,27,FALSE),"")</f>
        <v>1.679245283018868</v>
      </c>
      <c r="AB585" s="14">
        <f>IFERROR(VLOOKUP($A585,koronahun!$A:$AM,28,FALSE),"")</f>
        <v>1.4622009465708039</v>
      </c>
      <c r="AC585" s="14">
        <f>IFERROR(VLOOKUP($A585,koronahun!$A:$AM,29,FALSE),"")</f>
        <v>12.714285714285714</v>
      </c>
      <c r="AD585" s="14">
        <f>IFERROR(VLOOKUP($A585,koronahun!$A:$AM,30,FALSE),"")</f>
        <v>0.14285714285714285</v>
      </c>
      <c r="AE585" s="14">
        <f>IFERROR(VLOOKUP($A585,koronahun!$A:$AM,31,FALSE),"")</f>
        <v>2067.4285714285716</v>
      </c>
      <c r="AF585" s="13">
        <f>IFERROR(VLOOKUP($A585,koronahun!$A:$AM,32,FALSE),"")</f>
        <v>6.9285714285714289E-3</v>
      </c>
      <c r="AG585">
        <f>IFERROR(VLOOKUP($A585,koronahun!$A:$AM,33,FALSE),"")</f>
        <v>0</v>
      </c>
      <c r="AH585">
        <f>IFERROR(VLOOKUP($A585,koronahun!$A:$AM,34,FALSE),"")</f>
        <v>0</v>
      </c>
      <c r="AI585">
        <f>IFERROR(VLOOKUP($A585,koronahun!$A:$AM,35,FALSE),"")</f>
        <v>0</v>
      </c>
      <c r="AJ585">
        <f>IFERROR(VLOOKUP($A585,koronahun!$A:$AM,36,FALSE),"")</f>
        <v>0</v>
      </c>
      <c r="AK585">
        <f>IFERROR(VLOOKUP($A585,koronahun!$A:$AM,37,FALSE),"")</f>
        <v>0</v>
      </c>
      <c r="AL585">
        <f>IFERROR(VLOOKUP($A585,koronahun!$A:$AM,38,FALSE),"")</f>
        <v>0</v>
      </c>
      <c r="AM585" s="14">
        <f>IFERROR(VLOOKUP($A585,koronahun!$A:$AM,39,FALSE),"")</f>
        <v>21.571428571428573</v>
      </c>
      <c r="AN585" s="11">
        <f ca="1">IFERROR(__xludf.DUMMYFUNCTION("""COMPUTED_VALUE"""),44477)</f>
        <v>44477</v>
      </c>
      <c r="AO585" s="12">
        <f ca="1">IFERROR(VLOOKUP(AN585,koronahun!A:B,2,FALSE),"")</f>
        <v>827410</v>
      </c>
      <c r="AP585" s="11">
        <f t="shared" ca="1" si="4"/>
        <v>44477</v>
      </c>
      <c r="AQ585" s="11">
        <f ca="1">IFERROR(__xludf.DUMMYFUNCTION("""COMPUTED_VALUE"""),44525)</f>
        <v>44525</v>
      </c>
      <c r="AR585" s="11">
        <v>44034</v>
      </c>
      <c r="AS585" s="11">
        <f t="shared" si="5"/>
        <v>44034</v>
      </c>
      <c r="AT585" s="11">
        <f ca="1">IFERROR(__xludf.DUMMYFUNCTION("""COMPUTED_VALUE"""),44033)</f>
        <v>44033</v>
      </c>
    </row>
    <row r="586" spans="1:46" ht="13">
      <c r="A586" s="11">
        <v>44032</v>
      </c>
      <c r="B586">
        <f>IFERROR(VLOOKUP($A586,koronahun!$A:$AM,2,FALSE),"")</f>
        <v>4339</v>
      </c>
      <c r="C586">
        <f>IFERROR(VLOOKUP($A586,koronahun!$A:$AM,3,FALSE),"")</f>
        <v>6</v>
      </c>
      <c r="D586">
        <f>IFERROR(VLOOKUP($A586,koronahun!$A:$AM,4,FALSE),"")</f>
        <v>596</v>
      </c>
      <c r="E586">
        <f>IFERROR(VLOOKUP($A586,koronahun!$A:$AM,5,FALSE),"")</f>
        <v>3232</v>
      </c>
      <c r="F586">
        <f>IFERROR(VLOOKUP($A586,koronahun!$A:$AM,6,FALSE),"")</f>
        <v>310070</v>
      </c>
      <c r="G586" s="12">
        <f>IFERROR(VLOOKUP($A586,koronahun!$A:$AM,7,FALSE),"")</f>
        <v>31639.795918367345</v>
      </c>
      <c r="H586">
        <f>IFERROR(VLOOKUP($A586,koronahun!$A:$AM,8,FALSE),"")</f>
        <v>0</v>
      </c>
      <c r="I586" s="13">
        <f>IFERROR(VLOOKUP($A586,koronahun!$A:$AM,9,FALSE),"")</f>
        <v>1.4E-3</v>
      </c>
      <c r="J586" s="13">
        <f>IFERROR(VLOOKUP($A586,koronahun!$A:$AM,10,FALSE),"")</f>
        <v>1.4E-2</v>
      </c>
      <c r="K586" s="13">
        <f>IFERROR(VLOOKUP($A586,koronahun!$A:$AM,11,FALSE),"")</f>
        <v>7.0000000000000001E-3</v>
      </c>
      <c r="L586">
        <f>IFERROR(VLOOKUP($A586,koronahun!$A:$AM,12,FALSE),"")</f>
        <v>511</v>
      </c>
      <c r="M586" s="13">
        <f>IFERROR(VLOOKUP($A586,koronahun!$A:$AM,13,FALSE),"")</f>
        <v>0.13739999999999999</v>
      </c>
      <c r="N586" s="13">
        <f>IFERROR(VLOOKUP($A586,koronahun!$A:$AM,14,FALSE),"")</f>
        <v>0.74490000000000001</v>
      </c>
      <c r="O586">
        <f>IFERROR(VLOOKUP($A586,koronahun!$A:$AM,15,FALSE),"")</f>
        <v>5710</v>
      </c>
      <c r="P586">
        <f>IFERROR(VLOOKUP($A586,koronahun!$A:$AM,16,FALSE),"")</f>
        <v>2224</v>
      </c>
      <c r="Q586" s="13">
        <f>IFERROR(VLOOKUP($A586,koronahun!$A:$AM,17,FALSE),"")</f>
        <v>2.7000000000000001E-3</v>
      </c>
      <c r="R586">
        <f>IFERROR(VLOOKUP($A586,koronahun!$A:$AM,18,FALSE),"")</f>
        <v>0</v>
      </c>
      <c r="S586">
        <f>IFERROR(VLOOKUP($A586,koronahun!$A:$AM,19,FALSE),"")</f>
        <v>9</v>
      </c>
      <c r="T586">
        <f>IFERROR(VLOOKUP($A586,koronahun!$A:$AM,20,FALSE),"")</f>
        <v>83</v>
      </c>
      <c r="U586">
        <f>IFERROR(VLOOKUP($A586,koronahun!$A:$AM,21,FALSE),"")</f>
        <v>5</v>
      </c>
      <c r="V586" s="13">
        <f>IFERROR(VLOOKUP($A586,koronahun!$A:$AM,22,FALSE),"")</f>
        <v>0.11776907121456556</v>
      </c>
      <c r="W586">
        <f>IFERROR(VLOOKUP($A586,koronahun!$A:$AM,23,FALSE),"")</f>
        <v>1</v>
      </c>
      <c r="X586">
        <f>IFERROR(VLOOKUP($A586,koronahun!$A:$AM,24,FALSE),"")</f>
        <v>2</v>
      </c>
      <c r="Y586" s="14">
        <f>IFERROR(VLOOKUP($A586,koronahun!$A:$AM,25,FALSE),"")</f>
        <v>0.16242661448140899</v>
      </c>
      <c r="Z586" s="14">
        <f>IFERROR(VLOOKUP($A586,koronahun!$A:$AM,26,FALSE),"")</f>
        <v>6.0240963855421686E-2</v>
      </c>
      <c r="AA586" s="14">
        <f>IFERROR(VLOOKUP($A586,koronahun!$A:$AM,27,FALSE),"")</f>
        <v>1.5862068965517242</v>
      </c>
      <c r="AB586" s="14">
        <f>IFERROR(VLOOKUP($A586,koronahun!$A:$AM,28,FALSE),"")</f>
        <v>1.3737373347109654</v>
      </c>
      <c r="AC586" s="14">
        <f>IFERROR(VLOOKUP($A586,koronahun!$A:$AM,29,FALSE),"")</f>
        <v>13.142857142857142</v>
      </c>
      <c r="AD586" s="14">
        <f>IFERROR(VLOOKUP($A586,koronahun!$A:$AM,30,FALSE),"")</f>
        <v>0.14285714285714285</v>
      </c>
      <c r="AE586" s="14">
        <f>IFERROR(VLOOKUP($A586,koronahun!$A:$AM,31,FALSE),"")</f>
        <v>2072.7142857142858</v>
      </c>
      <c r="AF586" s="13">
        <f>IFERROR(VLOOKUP($A586,koronahun!$A:$AM,32,FALSE),"")</f>
        <v>7.4000000000000012E-3</v>
      </c>
      <c r="AG586">
        <f>IFERROR(VLOOKUP($A586,koronahun!$A:$AM,33,FALSE),"")</f>
        <v>0</v>
      </c>
      <c r="AH586">
        <f>IFERROR(VLOOKUP($A586,koronahun!$A:$AM,34,FALSE),"")</f>
        <v>0</v>
      </c>
      <c r="AI586">
        <f>IFERROR(VLOOKUP($A586,koronahun!$A:$AM,35,FALSE),"")</f>
        <v>0</v>
      </c>
      <c r="AJ586">
        <f>IFERROR(VLOOKUP($A586,koronahun!$A:$AM,36,FALSE),"")</f>
        <v>0</v>
      </c>
      <c r="AK586">
        <f>IFERROR(VLOOKUP($A586,koronahun!$A:$AM,37,FALSE),"")</f>
        <v>0</v>
      </c>
      <c r="AL586">
        <f>IFERROR(VLOOKUP($A586,koronahun!$A:$AM,38,FALSE),"")</f>
        <v>0</v>
      </c>
      <c r="AM586" s="14">
        <f>IFERROR(VLOOKUP($A586,koronahun!$A:$AM,39,FALSE),"")</f>
        <v>22.714285714285715</v>
      </c>
      <c r="AN586" s="11">
        <f ca="1">IFERROR(__xludf.DUMMYFUNCTION("""COMPUTED_VALUE"""),44478)</f>
        <v>44478</v>
      </c>
      <c r="AO586" s="12">
        <f ca="1">IFERROR(VLOOKUP(AN586,koronahun!A:B,2,FALSE),"")</f>
        <v>0</v>
      </c>
      <c r="AP586" s="11">
        <f t="shared" ca="1" si="4"/>
        <v>44478</v>
      </c>
      <c r="AQ586" s="11">
        <f ca="1">IFERROR(__xludf.DUMMYFUNCTION("""COMPUTED_VALUE"""),44526)</f>
        <v>44526</v>
      </c>
      <c r="AR586" s="11">
        <v>44033</v>
      </c>
      <c r="AS586" s="11">
        <f t="shared" si="5"/>
        <v>44033</v>
      </c>
      <c r="AT586" s="11">
        <f ca="1">IFERROR(__xludf.DUMMYFUNCTION("""COMPUTED_VALUE"""),44032)</f>
        <v>44032</v>
      </c>
    </row>
    <row r="587" spans="1:46" ht="13">
      <c r="A587" s="11">
        <v>44031</v>
      </c>
      <c r="B587">
        <f>IFERROR(VLOOKUP($A587,koronahun!$A:$AM,2,FALSE),"")</f>
        <v>4333</v>
      </c>
      <c r="C587">
        <f>IFERROR(VLOOKUP($A587,koronahun!$A:$AM,3,FALSE),"")</f>
        <v>18</v>
      </c>
      <c r="D587">
        <f>IFERROR(VLOOKUP($A587,koronahun!$A:$AM,4,FALSE),"")</f>
        <v>596</v>
      </c>
      <c r="E587">
        <f>IFERROR(VLOOKUP($A587,koronahun!$A:$AM,5,FALSE),"")</f>
        <v>3223</v>
      </c>
      <c r="F587">
        <f>IFERROR(VLOOKUP($A587,koronahun!$A:$AM,6,FALSE),"")</f>
        <v>307846</v>
      </c>
      <c r="G587" s="12">
        <f>IFERROR(VLOOKUP($A587,koronahun!$A:$AM,7,FALSE),"")</f>
        <v>31412.857142857141</v>
      </c>
      <c r="H587">
        <f>IFERROR(VLOOKUP($A587,koronahun!$A:$AM,8,FALSE),"")</f>
        <v>0</v>
      </c>
      <c r="I587" s="13">
        <f>IFERROR(VLOOKUP($A587,koronahun!$A:$AM,9,FALSE),"")</f>
        <v>4.1999999999999997E-3</v>
      </c>
      <c r="J587" s="13">
        <f>IFERROR(VLOOKUP($A587,koronahun!$A:$AM,10,FALSE),"")</f>
        <v>1.41E-2</v>
      </c>
      <c r="K587" s="13">
        <f>IFERROR(VLOOKUP($A587,koronahun!$A:$AM,11,FALSE),"")</f>
        <v>8.9999999999999993E-3</v>
      </c>
      <c r="L587">
        <f>IFERROR(VLOOKUP($A587,koronahun!$A:$AM,12,FALSE),"")</f>
        <v>514</v>
      </c>
      <c r="M587" s="13">
        <f>IFERROR(VLOOKUP($A587,koronahun!$A:$AM,13,FALSE),"")</f>
        <v>0.13750000000000001</v>
      </c>
      <c r="N587" s="13">
        <f>IFERROR(VLOOKUP($A587,koronahun!$A:$AM,14,FALSE),"")</f>
        <v>0.74380000000000002</v>
      </c>
      <c r="O587">
        <f>IFERROR(VLOOKUP($A587,koronahun!$A:$AM,15,FALSE),"")</f>
        <v>5486</v>
      </c>
      <c r="P587">
        <f>IFERROR(VLOOKUP($A587,koronahun!$A:$AM,16,FALSE),"")</f>
        <v>2713</v>
      </c>
      <c r="Q587" s="13">
        <f>IFERROR(VLOOKUP($A587,koronahun!$A:$AM,17,FALSE),"")</f>
        <v>6.6E-3</v>
      </c>
      <c r="R587">
        <f>IFERROR(VLOOKUP($A587,koronahun!$A:$AM,18,FALSE),"")</f>
        <v>0</v>
      </c>
      <c r="S587">
        <f>IFERROR(VLOOKUP($A587,koronahun!$A:$AM,19,FALSE),"")</f>
        <v>1</v>
      </c>
      <c r="T587">
        <f>IFERROR(VLOOKUP($A587,koronahun!$A:$AM,20,FALSE),"")</f>
        <v>82</v>
      </c>
      <c r="U587">
        <f>IFERROR(VLOOKUP($A587,koronahun!$A:$AM,21,FALSE),"")</f>
        <v>3</v>
      </c>
      <c r="V587" s="13">
        <f>IFERROR(VLOOKUP($A587,koronahun!$A:$AM,22,FALSE),"")</f>
        <v>0.11862450957765983</v>
      </c>
      <c r="W587">
        <f>IFERROR(VLOOKUP($A587,koronahun!$A:$AM,23,FALSE),"")</f>
        <v>-1</v>
      </c>
      <c r="X587">
        <f>IFERROR(VLOOKUP($A587,koronahun!$A:$AM,24,FALSE),"")</f>
        <v>0</v>
      </c>
      <c r="Y587" s="14">
        <f>IFERROR(VLOOKUP($A587,koronahun!$A:$AM,25,FALSE),"")</f>
        <v>0.15953307392996108</v>
      </c>
      <c r="Z587" s="14">
        <f>IFERROR(VLOOKUP($A587,koronahun!$A:$AM,26,FALSE),"")</f>
        <v>3.6585365853658534E-2</v>
      </c>
      <c r="AA587" s="14">
        <f>IFERROR(VLOOKUP($A587,koronahun!$A:$AM,27,FALSE),"")</f>
        <v>1.9411764705882353</v>
      </c>
      <c r="AB587" s="14">
        <f>IFERROR(VLOOKUP($A587,koronahun!$A:$AM,28,FALSE),"")</f>
        <v>1.335448037800979</v>
      </c>
      <c r="AC587" s="14">
        <f>IFERROR(VLOOKUP($A587,koronahun!$A:$AM,29,FALSE),"")</f>
        <v>14.142857142857142</v>
      </c>
      <c r="AD587" s="14">
        <f>IFERROR(VLOOKUP($A587,koronahun!$A:$AM,30,FALSE),"")</f>
        <v>0.14285714285714285</v>
      </c>
      <c r="AE587" s="14">
        <f>IFERROR(VLOOKUP($A587,koronahun!$A:$AM,31,FALSE),"")</f>
        <v>1917.2857142857142</v>
      </c>
      <c r="AF587" s="13">
        <f>IFERROR(VLOOKUP($A587,koronahun!$A:$AM,32,FALSE),"")</f>
        <v>8.6428571428571431E-3</v>
      </c>
      <c r="AG587">
        <f>IFERROR(VLOOKUP($A587,koronahun!$A:$AM,33,FALSE),"")</f>
        <v>0</v>
      </c>
      <c r="AH587">
        <f>IFERROR(VLOOKUP($A587,koronahun!$A:$AM,34,FALSE),"")</f>
        <v>0</v>
      </c>
      <c r="AI587">
        <f>IFERROR(VLOOKUP($A587,koronahun!$A:$AM,35,FALSE),"")</f>
        <v>0</v>
      </c>
      <c r="AJ587">
        <f>IFERROR(VLOOKUP($A587,koronahun!$A:$AM,36,FALSE),"")</f>
        <v>0</v>
      </c>
      <c r="AK587">
        <f>IFERROR(VLOOKUP($A587,koronahun!$A:$AM,37,FALSE),"")</f>
        <v>0</v>
      </c>
      <c r="AL587">
        <f>IFERROR(VLOOKUP($A587,koronahun!$A:$AM,38,FALSE),"")</f>
        <v>0</v>
      </c>
      <c r="AM587" s="14">
        <f>IFERROR(VLOOKUP($A587,koronahun!$A:$AM,39,FALSE),"")</f>
        <v>26.714285714285715</v>
      </c>
      <c r="AN587" s="11">
        <f ca="1">IFERROR(__xludf.DUMMYFUNCTION("""COMPUTED_VALUE"""),44479)</f>
        <v>44479</v>
      </c>
      <c r="AO587" s="12">
        <f ca="1">IFERROR(VLOOKUP(AN587,koronahun!A:B,2,FALSE),"")</f>
        <v>0</v>
      </c>
      <c r="AP587" s="11">
        <f t="shared" ca="1" si="4"/>
        <v>44479</v>
      </c>
      <c r="AQ587" s="11">
        <f ca="1">IFERROR(__xludf.DUMMYFUNCTION("""COMPUTED_VALUE"""),44529)</f>
        <v>44529</v>
      </c>
      <c r="AR587" s="11">
        <v>44032</v>
      </c>
      <c r="AS587" s="11">
        <f t="shared" si="5"/>
        <v>44032</v>
      </c>
      <c r="AT587" s="11">
        <f ca="1">IFERROR(__xludf.DUMMYFUNCTION("""COMPUTED_VALUE"""),44031)</f>
        <v>44031</v>
      </c>
    </row>
    <row r="588" spans="1:46" ht="13">
      <c r="A588" s="11">
        <v>44030</v>
      </c>
      <c r="B588">
        <f>IFERROR(VLOOKUP($A588,koronahun!$A:$AM,2,FALSE),"")</f>
        <v>4315</v>
      </c>
      <c r="C588">
        <f>IFERROR(VLOOKUP($A588,koronahun!$A:$AM,3,FALSE),"")</f>
        <v>22</v>
      </c>
      <c r="D588">
        <f>IFERROR(VLOOKUP($A588,koronahun!$A:$AM,4,FALSE),"")</f>
        <v>596</v>
      </c>
      <c r="E588">
        <f>IFERROR(VLOOKUP($A588,koronahun!$A:$AM,5,FALSE),"")</f>
        <v>3222</v>
      </c>
      <c r="F588">
        <f>IFERROR(VLOOKUP($A588,koronahun!$A:$AM,6,FALSE),"")</f>
        <v>305133</v>
      </c>
      <c r="G588" s="12">
        <f>IFERROR(VLOOKUP($A588,koronahun!$A:$AM,7,FALSE),"")</f>
        <v>31136.020408163262</v>
      </c>
      <c r="H588">
        <f>IFERROR(VLOOKUP($A588,koronahun!$A:$AM,8,FALSE),"")</f>
        <v>0</v>
      </c>
      <c r="I588" s="13">
        <f>IFERROR(VLOOKUP($A588,koronahun!$A:$AM,9,FALSE),"")</f>
        <v>5.1000000000000004E-3</v>
      </c>
      <c r="J588" s="13">
        <f>IFERROR(VLOOKUP($A588,koronahun!$A:$AM,10,FALSE),"")</f>
        <v>1.41E-2</v>
      </c>
      <c r="K588" s="13">
        <f>IFERROR(VLOOKUP($A588,koronahun!$A:$AM,11,FALSE),"")</f>
        <v>8.0000000000000002E-3</v>
      </c>
      <c r="L588">
        <f>IFERROR(VLOOKUP($A588,koronahun!$A:$AM,12,FALSE),"")</f>
        <v>497</v>
      </c>
      <c r="M588" s="13">
        <f>IFERROR(VLOOKUP($A588,koronahun!$A:$AM,13,FALSE),"")</f>
        <v>0.1381</v>
      </c>
      <c r="N588" s="13">
        <f>IFERROR(VLOOKUP($A588,koronahun!$A:$AM,14,FALSE),"")</f>
        <v>0.74670000000000003</v>
      </c>
      <c r="O588">
        <f>IFERROR(VLOOKUP($A588,koronahun!$A:$AM,15,FALSE),"")</f>
        <v>4953</v>
      </c>
      <c r="P588">
        <f>IFERROR(VLOOKUP($A588,koronahun!$A:$AM,16,FALSE),"")</f>
        <v>2384</v>
      </c>
      <c r="Q588" s="13">
        <f>IFERROR(VLOOKUP($A588,koronahun!$A:$AM,17,FALSE),"")</f>
        <v>9.1999999999999998E-3</v>
      </c>
      <c r="R588">
        <f>IFERROR(VLOOKUP($A588,koronahun!$A:$AM,18,FALSE),"")</f>
        <v>1</v>
      </c>
      <c r="S588">
        <f>IFERROR(VLOOKUP($A588,koronahun!$A:$AM,19,FALSE),"")</f>
        <v>2</v>
      </c>
      <c r="T588">
        <f>IFERROR(VLOOKUP($A588,koronahun!$A:$AM,20,FALSE),"")</f>
        <v>83</v>
      </c>
      <c r="U588">
        <f>IFERROR(VLOOKUP($A588,koronahun!$A:$AM,21,FALSE),"")</f>
        <v>3</v>
      </c>
      <c r="V588" s="13">
        <f>IFERROR(VLOOKUP($A588,koronahun!$A:$AM,22,FALSE),"")</f>
        <v>0.11517960602549247</v>
      </c>
      <c r="W588">
        <f>IFERROR(VLOOKUP($A588,koronahun!$A:$AM,23,FALSE),"")</f>
        <v>0</v>
      </c>
      <c r="X588">
        <f>IFERROR(VLOOKUP($A588,koronahun!$A:$AM,24,FALSE),"")</f>
        <v>-1</v>
      </c>
      <c r="Y588" s="14">
        <f>IFERROR(VLOOKUP($A588,koronahun!$A:$AM,25,FALSE),"")</f>
        <v>0.16700201207243462</v>
      </c>
      <c r="Z588" s="14">
        <f>IFERROR(VLOOKUP($A588,koronahun!$A:$AM,26,FALSE),"")</f>
        <v>3.614457831325301E-2</v>
      </c>
      <c r="AA588" s="14">
        <f>IFERROR(VLOOKUP($A588,koronahun!$A:$AM,27,FALSE),"")</f>
        <v>1.5636363636363637</v>
      </c>
      <c r="AB588" s="14">
        <f>IFERROR(VLOOKUP($A588,koronahun!$A:$AM,28,FALSE),"")</f>
        <v>1.235837461863287</v>
      </c>
      <c r="AC588" s="14">
        <f>IFERROR(VLOOKUP($A588,koronahun!$A:$AM,29,FALSE),"")</f>
        <v>12.285714285714286</v>
      </c>
      <c r="AD588" s="14">
        <f>IFERROR(VLOOKUP($A588,koronahun!$A:$AM,30,FALSE),"")</f>
        <v>0.14285714285714285</v>
      </c>
      <c r="AE588" s="14">
        <f>IFERROR(VLOOKUP($A588,koronahun!$A:$AM,31,FALSE),"")</f>
        <v>1701.8571428571429</v>
      </c>
      <c r="AF588" s="13">
        <f>IFERROR(VLOOKUP($A588,koronahun!$A:$AM,32,FALSE),"")</f>
        <v>8.2857142857142869E-3</v>
      </c>
      <c r="AG588">
        <f>IFERROR(VLOOKUP($A588,koronahun!$A:$AM,33,FALSE),"")</f>
        <v>0</v>
      </c>
      <c r="AH588">
        <f>IFERROR(VLOOKUP($A588,koronahun!$A:$AM,34,FALSE),"")</f>
        <v>0</v>
      </c>
      <c r="AI588">
        <f>IFERROR(VLOOKUP($A588,koronahun!$A:$AM,35,FALSE),"")</f>
        <v>0</v>
      </c>
      <c r="AJ588">
        <f>IFERROR(VLOOKUP($A588,koronahun!$A:$AM,36,FALSE),"")</f>
        <v>0</v>
      </c>
      <c r="AK588">
        <f>IFERROR(VLOOKUP($A588,koronahun!$A:$AM,37,FALSE),"")</f>
        <v>0</v>
      </c>
      <c r="AL588">
        <f>IFERROR(VLOOKUP($A588,koronahun!$A:$AM,38,FALSE),"")</f>
        <v>0</v>
      </c>
      <c r="AM588" s="14">
        <f>IFERROR(VLOOKUP($A588,koronahun!$A:$AM,39,FALSE),"")</f>
        <v>35.428571428571431</v>
      </c>
      <c r="AN588" s="11">
        <f ca="1">IFERROR(__xludf.DUMMYFUNCTION("""COMPUTED_VALUE"""),44480)</f>
        <v>44480</v>
      </c>
      <c r="AO588" s="12">
        <f ca="1">IFERROR(VLOOKUP(AN588,koronahun!A:B,2,FALSE),"")</f>
        <v>829456</v>
      </c>
      <c r="AP588" s="11">
        <f t="shared" ca="1" si="4"/>
        <v>44480</v>
      </c>
      <c r="AQ588" s="11">
        <f ca="1">IFERROR(__xludf.DUMMYFUNCTION("""COMPUTED_VALUE"""),44530)</f>
        <v>44530</v>
      </c>
      <c r="AR588" s="11">
        <v>44031</v>
      </c>
      <c r="AS588" s="11">
        <f t="shared" si="5"/>
        <v>44031</v>
      </c>
      <c r="AT588" s="11">
        <f ca="1">IFERROR(__xludf.DUMMYFUNCTION("""COMPUTED_VALUE"""),44030)</f>
        <v>44030</v>
      </c>
    </row>
    <row r="589" spans="1:46" ht="13">
      <c r="A589" s="11">
        <v>44029</v>
      </c>
      <c r="B589">
        <f>IFERROR(VLOOKUP($A589,koronahun!$A:$AM,2,FALSE),"")</f>
        <v>4293</v>
      </c>
      <c r="C589">
        <f>IFERROR(VLOOKUP($A589,koronahun!$A:$AM,3,FALSE),"")</f>
        <v>14</v>
      </c>
      <c r="D589">
        <f>IFERROR(VLOOKUP($A589,koronahun!$A:$AM,4,FALSE),"")</f>
        <v>595</v>
      </c>
      <c r="E589">
        <f>IFERROR(VLOOKUP($A589,koronahun!$A:$AM,5,FALSE),"")</f>
        <v>3220</v>
      </c>
      <c r="F589">
        <f>IFERROR(VLOOKUP($A589,koronahun!$A:$AM,6,FALSE),"")</f>
        <v>302749</v>
      </c>
      <c r="G589" s="12">
        <f>IFERROR(VLOOKUP($A589,koronahun!$A:$AM,7,FALSE),"")</f>
        <v>30892.755102040814</v>
      </c>
      <c r="H589">
        <f>IFERROR(VLOOKUP($A589,koronahun!$A:$AM,8,FALSE),"")</f>
        <v>0</v>
      </c>
      <c r="I589" s="13">
        <f>IFERROR(VLOOKUP($A589,koronahun!$A:$AM,9,FALSE),"")</f>
        <v>3.3E-3</v>
      </c>
      <c r="J589" s="13">
        <f>IFERROR(VLOOKUP($A589,koronahun!$A:$AM,10,FALSE),"")</f>
        <v>1.4200000000000001E-2</v>
      </c>
      <c r="K589" s="13">
        <f>IFERROR(VLOOKUP($A589,koronahun!$A:$AM,11,FALSE),"")</f>
        <v>7.0000000000000001E-3</v>
      </c>
      <c r="L589">
        <f>IFERROR(VLOOKUP($A589,koronahun!$A:$AM,12,FALSE),"")</f>
        <v>478</v>
      </c>
      <c r="M589" s="13">
        <f>IFERROR(VLOOKUP($A589,koronahun!$A:$AM,13,FALSE),"")</f>
        <v>0.1386</v>
      </c>
      <c r="N589" s="13">
        <f>IFERROR(VLOOKUP($A589,koronahun!$A:$AM,14,FALSE),"")</f>
        <v>0.75009999999999999</v>
      </c>
      <c r="O589">
        <f>IFERROR(VLOOKUP($A589,koronahun!$A:$AM,15,FALSE),"")</f>
        <v>0</v>
      </c>
      <c r="P589">
        <f>IFERROR(VLOOKUP($A589,koronahun!$A:$AM,16,FALSE),"")</f>
        <v>2117</v>
      </c>
      <c r="Q589" s="13">
        <f>IFERROR(VLOOKUP($A589,koronahun!$A:$AM,17,FALSE),"")</f>
        <v>6.6E-3</v>
      </c>
      <c r="R589">
        <f>IFERROR(VLOOKUP($A589,koronahun!$A:$AM,18,FALSE),"")</f>
        <v>0</v>
      </c>
      <c r="S589">
        <f>IFERROR(VLOOKUP($A589,koronahun!$A:$AM,19,FALSE),"")</f>
        <v>64</v>
      </c>
      <c r="T589">
        <f>IFERROR(VLOOKUP($A589,koronahun!$A:$AM,20,FALSE),"")</f>
        <v>83</v>
      </c>
      <c r="U589">
        <f>IFERROR(VLOOKUP($A589,koronahun!$A:$AM,21,FALSE),"")</f>
        <v>4</v>
      </c>
      <c r="V589" s="13">
        <f>IFERROR(VLOOKUP($A589,koronahun!$A:$AM,22,FALSE),"")</f>
        <v>0.1113440484509667</v>
      </c>
      <c r="W589">
        <f>IFERROR(VLOOKUP($A589,koronahun!$A:$AM,23,FALSE),"")</f>
        <v>-26</v>
      </c>
      <c r="X589">
        <f>IFERROR(VLOOKUP($A589,koronahun!$A:$AM,24,FALSE),"")</f>
        <v>-1</v>
      </c>
      <c r="Y589" s="14">
        <f>IFERROR(VLOOKUP($A589,koronahun!$A:$AM,25,FALSE),"")</f>
        <v>0.17364016736401675</v>
      </c>
      <c r="Z589" s="14">
        <f>IFERROR(VLOOKUP($A589,koronahun!$A:$AM,26,FALSE),"")</f>
        <v>4.8192771084337352E-2</v>
      </c>
      <c r="AA589" s="14">
        <f>IFERROR(VLOOKUP($A589,koronahun!$A:$AM,27,FALSE),"")</f>
        <v>1.3725490196078431</v>
      </c>
      <c r="AB589" s="14">
        <f>IFERROR(VLOOKUP($A589,koronahun!$A:$AM,28,FALSE),"")</f>
        <v>1.2307148067406317</v>
      </c>
      <c r="AC589" s="14">
        <f>IFERROR(VLOOKUP($A589,koronahun!$A:$AM,29,FALSE),"")</f>
        <v>10</v>
      </c>
      <c r="AD589" s="14">
        <f>IFERROR(VLOOKUP($A589,koronahun!$A:$AM,30,FALSE),"")</f>
        <v>0.2857142857142857</v>
      </c>
      <c r="AE589" s="14">
        <f>IFERROR(VLOOKUP($A589,koronahun!$A:$AM,31,FALSE),"")</f>
        <v>1530.2857142857142</v>
      </c>
      <c r="AF589" s="13">
        <f>IFERROR(VLOOKUP($A589,koronahun!$A:$AM,32,FALSE),"")</f>
        <v>7.7000000000000002E-3</v>
      </c>
      <c r="AG589">
        <f>IFERROR(VLOOKUP($A589,koronahun!$A:$AM,33,FALSE),"")</f>
        <v>0</v>
      </c>
      <c r="AH589">
        <f>IFERROR(VLOOKUP($A589,koronahun!$A:$AM,34,FALSE),"")</f>
        <v>0</v>
      </c>
      <c r="AI589">
        <f>IFERROR(VLOOKUP($A589,koronahun!$A:$AM,35,FALSE),"")</f>
        <v>0</v>
      </c>
      <c r="AJ589">
        <f>IFERROR(VLOOKUP($A589,koronahun!$A:$AM,36,FALSE),"")</f>
        <v>0</v>
      </c>
      <c r="AK589">
        <f>IFERROR(VLOOKUP($A589,koronahun!$A:$AM,37,FALSE),"")</f>
        <v>0</v>
      </c>
      <c r="AL589">
        <f>IFERROR(VLOOKUP($A589,koronahun!$A:$AM,38,FALSE),"")</f>
        <v>0</v>
      </c>
      <c r="AM589" s="14">
        <f>IFERROR(VLOOKUP($A589,koronahun!$A:$AM,39,FALSE),"")</f>
        <v>39.857142857142854</v>
      </c>
      <c r="AN589" s="11">
        <f ca="1">IFERROR(__xludf.DUMMYFUNCTION("""COMPUTED_VALUE"""),44481)</f>
        <v>44481</v>
      </c>
      <c r="AO589" s="12">
        <f ca="1">IFERROR(VLOOKUP(AN589,koronahun!A:B,2,FALSE),"")</f>
        <v>829911</v>
      </c>
      <c r="AP589" s="11">
        <f t="shared" ca="1" si="4"/>
        <v>44481</v>
      </c>
      <c r="AQ589" s="11">
        <f ca="1">IFERROR(__xludf.DUMMYFUNCTION("""COMPUTED_VALUE"""),44531)</f>
        <v>44531</v>
      </c>
      <c r="AR589" s="11">
        <v>44030</v>
      </c>
      <c r="AS589" s="11">
        <f t="shared" si="5"/>
        <v>44030</v>
      </c>
      <c r="AT589" s="11">
        <f ca="1">IFERROR(__xludf.DUMMYFUNCTION("""COMPUTED_VALUE"""),44029)</f>
        <v>44029</v>
      </c>
    </row>
    <row r="590" spans="1:46" ht="13">
      <c r="A590" s="11">
        <v>44028</v>
      </c>
      <c r="B590">
        <f>IFERROR(VLOOKUP($A590,koronahun!$A:$AM,2,FALSE),"")</f>
        <v>4279</v>
      </c>
      <c r="C590">
        <f>IFERROR(VLOOKUP($A590,koronahun!$A:$AM,3,FALSE),"")</f>
        <v>16</v>
      </c>
      <c r="D590">
        <f>IFERROR(VLOOKUP($A590,koronahun!$A:$AM,4,FALSE),"")</f>
        <v>595</v>
      </c>
      <c r="E590">
        <f>IFERROR(VLOOKUP($A590,koronahun!$A:$AM,5,FALSE),"")</f>
        <v>3156</v>
      </c>
      <c r="F590">
        <f>IFERROR(VLOOKUP($A590,koronahun!$A:$AM,6,FALSE),"")</f>
        <v>300632</v>
      </c>
      <c r="G590" s="12">
        <f>IFERROR(VLOOKUP($A590,koronahun!$A:$AM,7,FALSE),"")</f>
        <v>30676.734693877548</v>
      </c>
      <c r="H590">
        <f>IFERROR(VLOOKUP($A590,koronahun!$A:$AM,8,FALSE),"")</f>
        <v>0</v>
      </c>
      <c r="I590" s="13">
        <f>IFERROR(VLOOKUP($A590,koronahun!$A:$AM,9,FALSE),"")</f>
        <v>3.8E-3</v>
      </c>
      <c r="J590" s="13">
        <f>IFERROR(VLOOKUP($A590,koronahun!$A:$AM,10,FALSE),"")</f>
        <v>1.4200000000000001E-2</v>
      </c>
      <c r="K590" s="13">
        <f>IFERROR(VLOOKUP($A590,koronahun!$A:$AM,11,FALSE),"")</f>
        <v>5.0000000000000001E-3</v>
      </c>
      <c r="L590">
        <f>IFERROR(VLOOKUP($A590,koronahun!$A:$AM,12,FALSE),"")</f>
        <v>528</v>
      </c>
      <c r="M590" s="13">
        <f>IFERROR(VLOOKUP($A590,koronahun!$A:$AM,13,FALSE),"")</f>
        <v>0.1391</v>
      </c>
      <c r="N590" s="13">
        <f>IFERROR(VLOOKUP($A590,koronahun!$A:$AM,14,FALSE),"")</f>
        <v>0.73760000000000003</v>
      </c>
      <c r="O590">
        <f>IFERROR(VLOOKUP($A590,koronahun!$A:$AM,15,FALSE),"")</f>
        <v>0</v>
      </c>
      <c r="P590">
        <f>IFERROR(VLOOKUP($A590,koronahun!$A:$AM,16,FALSE),"")</f>
        <v>1447</v>
      </c>
      <c r="Q590" s="13">
        <f>IFERROR(VLOOKUP($A590,koronahun!$A:$AM,17,FALSE),"")</f>
        <v>1.11E-2</v>
      </c>
      <c r="R590">
        <f>IFERROR(VLOOKUP($A590,koronahun!$A:$AM,18,FALSE),"")</f>
        <v>0</v>
      </c>
      <c r="S590">
        <f>IFERROR(VLOOKUP($A590,koronahun!$A:$AM,19,FALSE),"")</f>
        <v>29</v>
      </c>
      <c r="T590">
        <f>IFERROR(VLOOKUP($A590,koronahun!$A:$AM,20,FALSE),"")</f>
        <v>109</v>
      </c>
      <c r="U590">
        <f>IFERROR(VLOOKUP($A590,koronahun!$A:$AM,21,FALSE),"")</f>
        <v>5</v>
      </c>
      <c r="V590" s="13">
        <f>IFERROR(VLOOKUP($A590,koronahun!$A:$AM,22,FALSE),"")</f>
        <v>0.12339331619537275</v>
      </c>
      <c r="W590">
        <f>IFERROR(VLOOKUP($A590,koronahun!$A:$AM,23,FALSE),"")</f>
        <v>-16</v>
      </c>
      <c r="X590">
        <f>IFERROR(VLOOKUP($A590,koronahun!$A:$AM,24,FALSE),"")</f>
        <v>0</v>
      </c>
      <c r="Y590" s="14">
        <f>IFERROR(VLOOKUP($A590,koronahun!$A:$AM,25,FALSE),"")</f>
        <v>0.20643939393939395</v>
      </c>
      <c r="Z590" s="14">
        <f>IFERROR(VLOOKUP($A590,koronahun!$A:$AM,26,FALSE),"")</f>
        <v>4.5871559633027525E-2</v>
      </c>
      <c r="AA590" s="14">
        <f>IFERROR(VLOOKUP($A590,koronahun!$A:$AM,27,FALSE),"")</f>
        <v>1.0925925925925926</v>
      </c>
      <c r="AB590" s="14">
        <f>IFERROR(VLOOKUP($A590,koronahun!$A:$AM,28,FALSE),"")</f>
        <v>1.1965411372728443</v>
      </c>
      <c r="AC590" s="14">
        <f>IFERROR(VLOOKUP($A590,koronahun!$A:$AM,29,FALSE),"")</f>
        <v>8.4285714285714288</v>
      </c>
      <c r="AD590" s="14">
        <f>IFERROR(VLOOKUP($A590,koronahun!$A:$AM,30,FALSE),"")</f>
        <v>0.5714285714285714</v>
      </c>
      <c r="AE590" s="14">
        <f>IFERROR(VLOOKUP($A590,koronahun!$A:$AM,31,FALSE),"")</f>
        <v>1575.7142857142858</v>
      </c>
      <c r="AF590" s="13">
        <f>IFERROR(VLOOKUP($A590,koronahun!$A:$AM,32,FALSE),"")</f>
        <v>6.9285714285714289E-3</v>
      </c>
      <c r="AG590">
        <f>IFERROR(VLOOKUP($A590,koronahun!$A:$AM,33,FALSE),"")</f>
        <v>0</v>
      </c>
      <c r="AH590">
        <f>IFERROR(VLOOKUP($A590,koronahun!$A:$AM,34,FALSE),"")</f>
        <v>0</v>
      </c>
      <c r="AI590">
        <f>IFERROR(VLOOKUP($A590,koronahun!$A:$AM,35,FALSE),"")</f>
        <v>0</v>
      </c>
      <c r="AJ590">
        <f>IFERROR(VLOOKUP($A590,koronahun!$A:$AM,36,FALSE),"")</f>
        <v>0</v>
      </c>
      <c r="AK590">
        <f>IFERROR(VLOOKUP($A590,koronahun!$A:$AM,37,FALSE),"")</f>
        <v>0</v>
      </c>
      <c r="AL590">
        <f>IFERROR(VLOOKUP($A590,koronahun!$A:$AM,38,FALSE),"")</f>
        <v>0</v>
      </c>
      <c r="AM590" s="14">
        <f>IFERROR(VLOOKUP($A590,koronahun!$A:$AM,39,FALSE),"")</f>
        <v>38.428571428571431</v>
      </c>
      <c r="AN590" s="11">
        <f ca="1">IFERROR(__xludf.DUMMYFUNCTION("""COMPUTED_VALUE"""),44482)</f>
        <v>44482</v>
      </c>
      <c r="AO590" s="12">
        <f ca="1">IFERROR(VLOOKUP(AN590,koronahun!A:B,2,FALSE),"")</f>
        <v>830725</v>
      </c>
      <c r="AP590" s="11">
        <f t="shared" ca="1" si="4"/>
        <v>44482</v>
      </c>
      <c r="AQ590" s="11">
        <f ca="1">IFERROR(__xludf.DUMMYFUNCTION("""COMPUTED_VALUE"""),44532)</f>
        <v>44532</v>
      </c>
      <c r="AR590" s="11">
        <v>44029</v>
      </c>
      <c r="AS590" s="11">
        <f t="shared" si="5"/>
        <v>44029</v>
      </c>
      <c r="AT590" s="11">
        <f ca="1">IFERROR(__xludf.DUMMYFUNCTION("""COMPUTED_VALUE"""),44028)</f>
        <v>44028</v>
      </c>
    </row>
    <row r="591" spans="1:46" ht="13">
      <c r="A591" s="11">
        <v>44027</v>
      </c>
      <c r="B591">
        <f>IFERROR(VLOOKUP($A591,koronahun!$A:$AM,2,FALSE),"")</f>
        <v>4263</v>
      </c>
      <c r="C591">
        <f>IFERROR(VLOOKUP($A591,koronahun!$A:$AM,3,FALSE),"")</f>
        <v>5</v>
      </c>
      <c r="D591">
        <f>IFERROR(VLOOKUP($A591,koronahun!$A:$AM,4,FALSE),"")</f>
        <v>595</v>
      </c>
      <c r="E591">
        <f>IFERROR(VLOOKUP($A591,koronahun!$A:$AM,5,FALSE),"")</f>
        <v>3127</v>
      </c>
      <c r="F591">
        <f>IFERROR(VLOOKUP($A591,koronahun!$A:$AM,6,FALSE),"")</f>
        <v>299185</v>
      </c>
      <c r="G591" s="12">
        <f>IFERROR(VLOOKUP($A591,koronahun!$A:$AM,7,FALSE),"")</f>
        <v>30529.081632653058</v>
      </c>
      <c r="H591">
        <f>IFERROR(VLOOKUP($A591,koronahun!$A:$AM,8,FALSE),"")</f>
        <v>0</v>
      </c>
      <c r="I591" s="13">
        <f>IFERROR(VLOOKUP($A591,koronahun!$A:$AM,9,FALSE),"")</f>
        <v>1.1999999999999999E-3</v>
      </c>
      <c r="J591" s="13">
        <f>IFERROR(VLOOKUP($A591,koronahun!$A:$AM,10,FALSE),"")</f>
        <v>1.4200000000000001E-2</v>
      </c>
      <c r="K591" s="13">
        <f>IFERROR(VLOOKUP($A591,koronahun!$A:$AM,11,FALSE),"")</f>
        <v>8.9999999999999993E-3</v>
      </c>
      <c r="L591">
        <f>IFERROR(VLOOKUP($A591,koronahun!$A:$AM,12,FALSE),"")</f>
        <v>541</v>
      </c>
      <c r="M591" s="13">
        <f>IFERROR(VLOOKUP($A591,koronahun!$A:$AM,13,FALSE),"")</f>
        <v>0.1396</v>
      </c>
      <c r="N591" s="13">
        <f>IFERROR(VLOOKUP($A591,koronahun!$A:$AM,14,FALSE),"")</f>
        <v>0.73350000000000004</v>
      </c>
      <c r="O591">
        <f>IFERROR(VLOOKUP($A591,koronahun!$A:$AM,15,FALSE),"")</f>
        <v>0</v>
      </c>
      <c r="P591">
        <f>IFERROR(VLOOKUP($A591,koronahun!$A:$AM,16,FALSE),"")</f>
        <v>2827</v>
      </c>
      <c r="Q591" s="13">
        <f>IFERROR(VLOOKUP($A591,koronahun!$A:$AM,17,FALSE),"")</f>
        <v>1.8E-3</v>
      </c>
      <c r="R591">
        <f>IFERROR(VLOOKUP($A591,koronahun!$A:$AM,18,FALSE),"")</f>
        <v>0</v>
      </c>
      <c r="S591">
        <f>IFERROR(VLOOKUP($A591,koronahun!$A:$AM,19,FALSE),"")</f>
        <v>21</v>
      </c>
      <c r="T591">
        <f>IFERROR(VLOOKUP($A591,koronahun!$A:$AM,20,FALSE),"")</f>
        <v>125</v>
      </c>
      <c r="U591">
        <f>IFERROR(VLOOKUP($A591,koronahun!$A:$AM,21,FALSE),"")</f>
        <v>5</v>
      </c>
      <c r="V591" s="13">
        <f>IFERROR(VLOOKUP($A591,koronahun!$A:$AM,22,FALSE),"")</f>
        <v>0.12690593478770817</v>
      </c>
      <c r="W591">
        <f>IFERROR(VLOOKUP($A591,koronahun!$A:$AM,23,FALSE),"")</f>
        <v>-6</v>
      </c>
      <c r="X591">
        <f>IFERROR(VLOOKUP($A591,koronahun!$A:$AM,24,FALSE),"")</f>
        <v>0</v>
      </c>
      <c r="Y591" s="14">
        <f>IFERROR(VLOOKUP($A591,koronahun!$A:$AM,25,FALSE),"")</f>
        <v>0.23105360443622922</v>
      </c>
      <c r="Z591" s="14">
        <f>IFERROR(VLOOKUP($A591,koronahun!$A:$AM,26,FALSE),"")</f>
        <v>0.04</v>
      </c>
      <c r="AA591" s="14">
        <f>IFERROR(VLOOKUP($A591,koronahun!$A:$AM,27,FALSE),"")</f>
        <v>1</v>
      </c>
      <c r="AB591" s="14">
        <f>IFERROR(VLOOKUP($A591,koronahun!$A:$AM,28,FALSE),"")</f>
        <v>1.2198584745436702</v>
      </c>
      <c r="AC591" s="14">
        <f>IFERROR(VLOOKUP($A591,koronahun!$A:$AM,29,FALSE),"")</f>
        <v>7.5714285714285712</v>
      </c>
      <c r="AD591" s="14">
        <f>IFERROR(VLOOKUP($A591,koronahun!$A:$AM,30,FALSE),"")</f>
        <v>0.8571428571428571</v>
      </c>
      <c r="AE591" s="14">
        <f>IFERROR(VLOOKUP($A591,koronahun!$A:$AM,31,FALSE),"")</f>
        <v>1498.8571428571429</v>
      </c>
      <c r="AF591" s="13">
        <f>IFERROR(VLOOKUP($A591,koronahun!$A:$AM,32,FALSE),"")</f>
        <v>6.914285714285714E-3</v>
      </c>
      <c r="AG591">
        <f>IFERROR(VLOOKUP($A591,koronahun!$A:$AM,33,FALSE),"")</f>
        <v>0</v>
      </c>
      <c r="AH591">
        <f>IFERROR(VLOOKUP($A591,koronahun!$A:$AM,34,FALSE),"")</f>
        <v>0</v>
      </c>
      <c r="AI591">
        <f>IFERROR(VLOOKUP($A591,koronahun!$A:$AM,35,FALSE),"")</f>
        <v>0</v>
      </c>
      <c r="AJ591">
        <f>IFERROR(VLOOKUP($A591,koronahun!$A:$AM,36,FALSE),"")</f>
        <v>0</v>
      </c>
      <c r="AK591">
        <f>IFERROR(VLOOKUP($A591,koronahun!$A:$AM,37,FALSE),"")</f>
        <v>0</v>
      </c>
      <c r="AL591">
        <f>IFERROR(VLOOKUP($A591,koronahun!$A:$AM,38,FALSE),"")</f>
        <v>0</v>
      </c>
      <c r="AM591" s="14">
        <f>IFERROR(VLOOKUP($A591,koronahun!$A:$AM,39,FALSE),"")</f>
        <v>34.571428571428569</v>
      </c>
      <c r="AN591" s="11">
        <f ca="1">IFERROR(__xludf.DUMMYFUNCTION("""COMPUTED_VALUE"""),44483)</f>
        <v>44483</v>
      </c>
      <c r="AO591" s="12">
        <f ca="1">IFERROR(VLOOKUP(AN591,koronahun!A:B,2,FALSE),"")</f>
        <v>831866</v>
      </c>
      <c r="AP591" s="11">
        <f t="shared" ca="1" si="4"/>
        <v>44483</v>
      </c>
      <c r="AQ591" s="11">
        <f ca="1">IFERROR(__xludf.DUMMYFUNCTION("""COMPUTED_VALUE"""),44533)</f>
        <v>44533</v>
      </c>
      <c r="AR591" s="11">
        <v>44028</v>
      </c>
      <c r="AS591" s="11">
        <f t="shared" si="5"/>
        <v>44028</v>
      </c>
      <c r="AT591" s="11">
        <f ca="1">IFERROR(__xludf.DUMMYFUNCTION("""COMPUTED_VALUE"""),44027)</f>
        <v>44027</v>
      </c>
    </row>
    <row r="592" spans="1:46" ht="13">
      <c r="A592" s="11">
        <v>44026</v>
      </c>
      <c r="B592">
        <f>IFERROR(VLOOKUP($A592,koronahun!$A:$AM,2,FALSE),"")</f>
        <v>4258</v>
      </c>
      <c r="C592">
        <f>IFERROR(VLOOKUP($A592,koronahun!$A:$AM,3,FALSE),"")</f>
        <v>11</v>
      </c>
      <c r="D592">
        <f>IFERROR(VLOOKUP($A592,koronahun!$A:$AM,4,FALSE),"")</f>
        <v>595</v>
      </c>
      <c r="E592">
        <f>IFERROR(VLOOKUP($A592,koronahun!$A:$AM,5,FALSE),"")</f>
        <v>3106</v>
      </c>
      <c r="F592">
        <f>IFERROR(VLOOKUP($A592,koronahun!$A:$AM,6,FALSE),"")</f>
        <v>296358</v>
      </c>
      <c r="G592" s="12">
        <f>IFERROR(VLOOKUP($A592,koronahun!$A:$AM,7,FALSE),"")</f>
        <v>30240.612244897959</v>
      </c>
      <c r="H592">
        <f>IFERROR(VLOOKUP($A592,koronahun!$A:$AM,8,FALSE),"")</f>
        <v>0</v>
      </c>
      <c r="I592" s="13">
        <f>IFERROR(VLOOKUP($A592,koronahun!$A:$AM,9,FALSE),"")</f>
        <v>2.5999999999999999E-3</v>
      </c>
      <c r="J592" s="13">
        <f>IFERROR(VLOOKUP($A592,koronahun!$A:$AM,10,FALSE),"")</f>
        <v>1.44E-2</v>
      </c>
      <c r="K592" s="13">
        <f>IFERROR(VLOOKUP($A592,koronahun!$A:$AM,11,FALSE),"")</f>
        <v>3.0000000000000001E-3</v>
      </c>
      <c r="L592">
        <f>IFERROR(VLOOKUP($A592,koronahun!$A:$AM,12,FALSE),"")</f>
        <v>557</v>
      </c>
      <c r="M592" s="13">
        <f>IFERROR(VLOOKUP($A592,koronahun!$A:$AM,13,FALSE),"")</f>
        <v>0.13969999999999999</v>
      </c>
      <c r="N592" s="13">
        <f>IFERROR(VLOOKUP($A592,koronahun!$A:$AM,14,FALSE),"")</f>
        <v>0.72950000000000004</v>
      </c>
      <c r="O592">
        <f>IFERROR(VLOOKUP($A592,koronahun!$A:$AM,15,FALSE),"")</f>
        <v>0</v>
      </c>
      <c r="P592">
        <f>IFERROR(VLOOKUP($A592,koronahun!$A:$AM,16,FALSE),"")</f>
        <v>797</v>
      </c>
      <c r="Q592" s="13">
        <f>IFERROR(VLOOKUP($A592,koronahun!$A:$AM,17,FALSE),"")</f>
        <v>1.38E-2</v>
      </c>
      <c r="R592">
        <f>IFERROR(VLOOKUP($A592,koronahun!$A:$AM,18,FALSE),"")</f>
        <v>0</v>
      </c>
      <c r="S592">
        <f>IFERROR(VLOOKUP($A592,koronahun!$A:$AM,19,FALSE),"")</f>
        <v>33</v>
      </c>
      <c r="T592">
        <f>IFERROR(VLOOKUP($A592,koronahun!$A:$AM,20,FALSE),"")</f>
        <v>131</v>
      </c>
      <c r="U592">
        <f>IFERROR(VLOOKUP($A592,koronahun!$A:$AM,21,FALSE),"")</f>
        <v>5</v>
      </c>
      <c r="V592" s="13">
        <f>IFERROR(VLOOKUP($A592,koronahun!$A:$AM,22,FALSE),"")</f>
        <v>0.13081258806951621</v>
      </c>
      <c r="W592">
        <f>IFERROR(VLOOKUP($A592,koronahun!$A:$AM,23,FALSE),"")</f>
        <v>4</v>
      </c>
      <c r="X592">
        <f>IFERROR(VLOOKUP($A592,koronahun!$A:$AM,24,FALSE),"")</f>
        <v>0</v>
      </c>
      <c r="Y592" s="14">
        <f>IFERROR(VLOOKUP($A592,koronahun!$A:$AM,25,FALSE),"")</f>
        <v>0.23518850987432674</v>
      </c>
      <c r="Z592" s="14">
        <f>IFERROR(VLOOKUP($A592,koronahun!$A:$AM,26,FALSE),"")</f>
        <v>3.8167938931297711E-2</v>
      </c>
      <c r="AA592" s="14">
        <f>IFERROR(VLOOKUP($A592,koronahun!$A:$AM,27,FALSE),"")</f>
        <v>1.06</v>
      </c>
      <c r="AB592" s="14">
        <f>IFERROR(VLOOKUP($A592,koronahun!$A:$AM,28,FALSE),"")</f>
        <v>1.2530810659057965</v>
      </c>
      <c r="AC592" s="14">
        <f>IFERROR(VLOOKUP($A592,koronahun!$A:$AM,29,FALSE),"")</f>
        <v>7.5714285714285712</v>
      </c>
      <c r="AD592" s="14">
        <f>IFERROR(VLOOKUP($A592,koronahun!$A:$AM,30,FALSE),"")</f>
        <v>0.8571428571428571</v>
      </c>
      <c r="AE592" s="14">
        <f>IFERROR(VLOOKUP($A592,koronahun!$A:$AM,31,FALSE),"")</f>
        <v>1339.2857142857142</v>
      </c>
      <c r="AF592" s="13">
        <f>IFERROR(VLOOKUP($A592,koronahun!$A:$AM,32,FALSE),"")</f>
        <v>7.0714285714285705E-3</v>
      </c>
      <c r="AG592">
        <f>IFERROR(VLOOKUP($A592,koronahun!$A:$AM,33,FALSE),"")</f>
        <v>0</v>
      </c>
      <c r="AH592">
        <f>IFERROR(VLOOKUP($A592,koronahun!$A:$AM,34,FALSE),"")</f>
        <v>0</v>
      </c>
      <c r="AI592">
        <f>IFERROR(VLOOKUP($A592,koronahun!$A:$AM,35,FALSE),"")</f>
        <v>0</v>
      </c>
      <c r="AJ592">
        <f>IFERROR(VLOOKUP($A592,koronahun!$A:$AM,36,FALSE),"")</f>
        <v>0</v>
      </c>
      <c r="AK592">
        <f>IFERROR(VLOOKUP($A592,koronahun!$A:$AM,37,FALSE),"")</f>
        <v>0</v>
      </c>
      <c r="AL592">
        <f>IFERROR(VLOOKUP($A592,koronahun!$A:$AM,38,FALSE),"")</f>
        <v>0</v>
      </c>
      <c r="AM592" s="14">
        <f>IFERROR(VLOOKUP($A592,koronahun!$A:$AM,39,FALSE),"")</f>
        <v>33.142857142857146</v>
      </c>
      <c r="AN592" s="11">
        <f ca="1">IFERROR(__xludf.DUMMYFUNCTION("""COMPUTED_VALUE"""),44484)</f>
        <v>44484</v>
      </c>
      <c r="AO592" s="12">
        <f ca="1">IFERROR(VLOOKUP(AN592,koronahun!A:B,2,FALSE),"")</f>
        <v>833115</v>
      </c>
      <c r="AP592" s="11">
        <f t="shared" ca="1" si="4"/>
        <v>44484</v>
      </c>
      <c r="AQ592" s="11">
        <f ca="1">IFERROR(__xludf.DUMMYFUNCTION("""COMPUTED_VALUE"""),44536)</f>
        <v>44536</v>
      </c>
      <c r="AR592" s="11">
        <v>44027</v>
      </c>
      <c r="AS592" s="11">
        <f t="shared" si="5"/>
        <v>44027</v>
      </c>
      <c r="AT592" s="11">
        <f ca="1">IFERROR(__xludf.DUMMYFUNCTION("""COMPUTED_VALUE"""),44026)</f>
        <v>44026</v>
      </c>
    </row>
    <row r="593" spans="1:46" ht="13">
      <c r="A593" s="11">
        <v>44025</v>
      </c>
      <c r="B593">
        <f>IFERROR(VLOOKUP($A593,koronahun!$A:$AM,2,FALSE),"")</f>
        <v>4247</v>
      </c>
      <c r="C593">
        <f>IFERROR(VLOOKUP($A593,koronahun!$A:$AM,3,FALSE),"")</f>
        <v>13</v>
      </c>
      <c r="D593">
        <f>IFERROR(VLOOKUP($A593,koronahun!$A:$AM,4,FALSE),"")</f>
        <v>595</v>
      </c>
      <c r="E593">
        <f>IFERROR(VLOOKUP($A593,koronahun!$A:$AM,5,FALSE),"")</f>
        <v>3073</v>
      </c>
      <c r="F593">
        <f>IFERROR(VLOOKUP($A593,koronahun!$A:$AM,6,FALSE),"")</f>
        <v>295561</v>
      </c>
      <c r="G593" s="12">
        <f>IFERROR(VLOOKUP($A593,koronahun!$A:$AM,7,FALSE),"")</f>
        <v>30159.285714285714</v>
      </c>
      <c r="H593">
        <f>IFERROR(VLOOKUP($A593,koronahun!$A:$AM,8,FALSE),"")</f>
        <v>0</v>
      </c>
      <c r="I593" s="13">
        <f>IFERROR(VLOOKUP($A593,koronahun!$A:$AM,9,FALSE),"")</f>
        <v>3.0999999999999999E-3</v>
      </c>
      <c r="J593" s="13">
        <f>IFERROR(VLOOKUP($A593,koronahun!$A:$AM,10,FALSE),"")</f>
        <v>1.44E-2</v>
      </c>
      <c r="K593" s="13">
        <f>IFERROR(VLOOKUP($A593,koronahun!$A:$AM,11,FALSE),"")</f>
        <v>4.0000000000000001E-3</v>
      </c>
      <c r="L593">
        <f>IFERROR(VLOOKUP($A593,koronahun!$A:$AM,12,FALSE),"")</f>
        <v>579</v>
      </c>
      <c r="M593" s="13">
        <f>IFERROR(VLOOKUP($A593,koronahun!$A:$AM,13,FALSE),"")</f>
        <v>0.1401</v>
      </c>
      <c r="N593" s="13">
        <f>IFERROR(VLOOKUP($A593,koronahun!$A:$AM,14,FALSE),"")</f>
        <v>0.72360000000000002</v>
      </c>
      <c r="O593">
        <f>IFERROR(VLOOKUP($A593,koronahun!$A:$AM,15,FALSE),"")</f>
        <v>2453</v>
      </c>
      <c r="P593">
        <f>IFERROR(VLOOKUP($A593,koronahun!$A:$AM,16,FALSE),"")</f>
        <v>1136</v>
      </c>
      <c r="Q593" s="13">
        <f>IFERROR(VLOOKUP($A593,koronahun!$A:$AM,17,FALSE),"")</f>
        <v>1.14E-2</v>
      </c>
      <c r="R593">
        <f>IFERROR(VLOOKUP($A593,koronahun!$A:$AM,18,FALSE),"")</f>
        <v>0</v>
      </c>
      <c r="S593">
        <f>IFERROR(VLOOKUP($A593,koronahun!$A:$AM,19,FALSE),"")</f>
        <v>37</v>
      </c>
      <c r="T593">
        <f>IFERROR(VLOOKUP($A593,koronahun!$A:$AM,20,FALSE),"")</f>
        <v>127</v>
      </c>
      <c r="U593">
        <f>IFERROR(VLOOKUP($A593,koronahun!$A:$AM,21,FALSE),"")</f>
        <v>5</v>
      </c>
      <c r="V593" s="13">
        <f>IFERROR(VLOOKUP($A593,koronahun!$A:$AM,22,FALSE),"")</f>
        <v>0.13633152813750882</v>
      </c>
      <c r="W593">
        <f>IFERROR(VLOOKUP($A593,koronahun!$A:$AM,23,FALSE),"")</f>
        <v>-1</v>
      </c>
      <c r="X593">
        <f>IFERROR(VLOOKUP($A593,koronahun!$A:$AM,24,FALSE),"")</f>
        <v>0</v>
      </c>
      <c r="Y593" s="14">
        <f>IFERROR(VLOOKUP($A593,koronahun!$A:$AM,25,FALSE),"")</f>
        <v>0.21934369602763384</v>
      </c>
      <c r="Z593" s="14">
        <f>IFERROR(VLOOKUP($A593,koronahun!$A:$AM,26,FALSE),"")</f>
        <v>3.937007874015748E-2</v>
      </c>
      <c r="AA593" s="14">
        <f>IFERROR(VLOOKUP($A593,koronahun!$A:$AM,27,FALSE),"")</f>
        <v>1.3181818181818181</v>
      </c>
      <c r="AB593" s="14">
        <f>IFERROR(VLOOKUP($A593,koronahun!$A:$AM,28,FALSE),"")</f>
        <v>1.2504620182867487</v>
      </c>
      <c r="AC593" s="14">
        <f>IFERROR(VLOOKUP($A593,koronahun!$A:$AM,29,FALSE),"")</f>
        <v>8.2857142857142865</v>
      </c>
      <c r="AD593" s="14">
        <f>IFERROR(VLOOKUP($A593,koronahun!$A:$AM,30,FALSE),"")</f>
        <v>0.8571428571428571</v>
      </c>
      <c r="AE593" s="14">
        <f>IFERROR(VLOOKUP($A593,koronahun!$A:$AM,31,FALSE),"")</f>
        <v>1354</v>
      </c>
      <c r="AF593" s="13">
        <f>IFERROR(VLOOKUP($A593,koronahun!$A:$AM,32,FALSE),"")</f>
        <v>7.6428571428571431E-3</v>
      </c>
      <c r="AG593">
        <f>IFERROR(VLOOKUP($A593,koronahun!$A:$AM,33,FALSE),"")</f>
        <v>0</v>
      </c>
      <c r="AH593">
        <f>IFERROR(VLOOKUP($A593,koronahun!$A:$AM,34,FALSE),"")</f>
        <v>0</v>
      </c>
      <c r="AI593">
        <f>IFERROR(VLOOKUP($A593,koronahun!$A:$AM,35,FALSE),"")</f>
        <v>0</v>
      </c>
      <c r="AJ593">
        <f>IFERROR(VLOOKUP($A593,koronahun!$A:$AM,36,FALSE),"")</f>
        <v>0</v>
      </c>
      <c r="AK593">
        <f>IFERROR(VLOOKUP($A593,koronahun!$A:$AM,37,FALSE),"")</f>
        <v>0</v>
      </c>
      <c r="AL593">
        <f>IFERROR(VLOOKUP($A593,koronahun!$A:$AM,38,FALSE),"")</f>
        <v>0</v>
      </c>
      <c r="AM593" s="14">
        <f>IFERROR(VLOOKUP($A593,koronahun!$A:$AM,39,FALSE),"")</f>
        <v>30.428571428571427</v>
      </c>
      <c r="AN593" s="11">
        <f ca="1">IFERROR(__xludf.DUMMYFUNCTION("""COMPUTED_VALUE"""),44485)</f>
        <v>44485</v>
      </c>
      <c r="AO593" s="12">
        <f ca="1">IFERROR(VLOOKUP(AN593,koronahun!A:B,2,FALSE),"")</f>
        <v>0</v>
      </c>
      <c r="AP593" s="11">
        <f t="shared" ca="1" si="4"/>
        <v>44485</v>
      </c>
      <c r="AQ593" s="11">
        <f ca="1">IFERROR(__xludf.DUMMYFUNCTION("""COMPUTED_VALUE"""),44537)</f>
        <v>44537</v>
      </c>
      <c r="AR593" s="11">
        <v>44026</v>
      </c>
      <c r="AS593" s="11">
        <f t="shared" si="5"/>
        <v>44026</v>
      </c>
      <c r="AT593" s="11">
        <f ca="1">IFERROR(__xludf.DUMMYFUNCTION("""COMPUTED_VALUE"""),44025)</f>
        <v>44025</v>
      </c>
    </row>
    <row r="594" spans="1:46" ht="13">
      <c r="A594" s="11">
        <v>44024</v>
      </c>
      <c r="B594">
        <f>IFERROR(VLOOKUP($A594,koronahun!$A:$AM,2,FALSE),"")</f>
        <v>4234</v>
      </c>
      <c r="C594">
        <f>IFERROR(VLOOKUP($A594,koronahun!$A:$AM,3,FALSE),"")</f>
        <v>5</v>
      </c>
      <c r="D594">
        <f>IFERROR(VLOOKUP($A594,koronahun!$A:$AM,4,FALSE),"")</f>
        <v>595</v>
      </c>
      <c r="E594">
        <f>IFERROR(VLOOKUP($A594,koronahun!$A:$AM,5,FALSE),"")</f>
        <v>3036</v>
      </c>
      <c r="F594">
        <f>IFERROR(VLOOKUP($A594,koronahun!$A:$AM,6,FALSE),"")</f>
        <v>294425</v>
      </c>
      <c r="G594" s="12">
        <f>IFERROR(VLOOKUP($A594,koronahun!$A:$AM,7,FALSE),"")</f>
        <v>30043.367346938772</v>
      </c>
      <c r="H594">
        <f>IFERROR(VLOOKUP($A594,koronahun!$A:$AM,8,FALSE),"")</f>
        <v>0</v>
      </c>
      <c r="I594" s="13">
        <f>IFERROR(VLOOKUP($A594,koronahun!$A:$AM,9,FALSE),"")</f>
        <v>1.1999999999999999E-3</v>
      </c>
      <c r="J594" s="13">
        <f>IFERROR(VLOOKUP($A594,koronahun!$A:$AM,10,FALSE),"")</f>
        <v>1.44E-2</v>
      </c>
      <c r="K594" s="13">
        <f>IFERROR(VLOOKUP($A594,koronahun!$A:$AM,11,FALSE),"")</f>
        <v>4.0000000000000001E-3</v>
      </c>
      <c r="L594">
        <f>IFERROR(VLOOKUP($A594,koronahun!$A:$AM,12,FALSE),"")</f>
        <v>603</v>
      </c>
      <c r="M594" s="13">
        <f>IFERROR(VLOOKUP($A594,koronahun!$A:$AM,13,FALSE),"")</f>
        <v>0.14050000000000001</v>
      </c>
      <c r="N594" s="13">
        <f>IFERROR(VLOOKUP($A594,koronahun!$A:$AM,14,FALSE),"")</f>
        <v>0.71709999999999996</v>
      </c>
      <c r="O594">
        <f>IFERROR(VLOOKUP($A594,koronahun!$A:$AM,15,FALSE),"")</f>
        <v>2322</v>
      </c>
      <c r="P594">
        <f>IFERROR(VLOOKUP($A594,koronahun!$A:$AM,16,FALSE),"")</f>
        <v>1205</v>
      </c>
      <c r="Q594" s="13">
        <f>IFERROR(VLOOKUP($A594,koronahun!$A:$AM,17,FALSE),"")</f>
        <v>4.1000000000000003E-3</v>
      </c>
      <c r="R594">
        <f>IFERROR(VLOOKUP($A594,koronahun!$A:$AM,18,FALSE),"")</f>
        <v>0</v>
      </c>
      <c r="S594">
        <f>IFERROR(VLOOKUP($A594,koronahun!$A:$AM,19,FALSE),"")</f>
        <v>62</v>
      </c>
      <c r="T594">
        <f>IFERROR(VLOOKUP($A594,koronahun!$A:$AM,20,FALSE),"")</f>
        <v>128</v>
      </c>
      <c r="U594">
        <f>IFERROR(VLOOKUP($A594,koronahun!$A:$AM,21,FALSE),"")</f>
        <v>5</v>
      </c>
      <c r="V594" s="13">
        <f>IFERROR(VLOOKUP($A594,koronahun!$A:$AM,22,FALSE),"")</f>
        <v>0.14241851676901277</v>
      </c>
      <c r="W594">
        <f>IFERROR(VLOOKUP($A594,koronahun!$A:$AM,23,FALSE),"")</f>
        <v>-1</v>
      </c>
      <c r="X594">
        <f>IFERROR(VLOOKUP($A594,koronahun!$A:$AM,24,FALSE),"")</f>
        <v>0</v>
      </c>
      <c r="Y594" s="14">
        <f>IFERROR(VLOOKUP($A594,koronahun!$A:$AM,25,FALSE),"")</f>
        <v>0.21227197346600332</v>
      </c>
      <c r="Z594" s="14">
        <f>IFERROR(VLOOKUP($A594,koronahun!$A:$AM,26,FALSE),"")</f>
        <v>3.90625E-2</v>
      </c>
      <c r="AA594" s="14">
        <f>IFERROR(VLOOKUP($A594,koronahun!$A:$AM,27,FALSE),"")</f>
        <v>1.2439024390243902</v>
      </c>
      <c r="AB594" s="14">
        <f>IFERROR(VLOOKUP($A594,koronahun!$A:$AM,28,FALSE),"")</f>
        <v>1.2083297319684159</v>
      </c>
      <c r="AC594" s="14">
        <f>IFERROR(VLOOKUP($A594,koronahun!$A:$AM,29,FALSE),"")</f>
        <v>7.2857142857142856</v>
      </c>
      <c r="AD594" s="14">
        <f>IFERROR(VLOOKUP($A594,koronahun!$A:$AM,30,FALSE),"")</f>
        <v>0.8571428571428571</v>
      </c>
      <c r="AE594" s="14">
        <f>IFERROR(VLOOKUP($A594,koronahun!$A:$AM,31,FALSE),"")</f>
        <v>1262.1428571428571</v>
      </c>
      <c r="AF594" s="13">
        <f>IFERROR(VLOOKUP($A594,koronahun!$A:$AM,32,FALSE),"")</f>
        <v>7.7571428571428565E-3</v>
      </c>
      <c r="AG594">
        <f>IFERROR(VLOOKUP($A594,koronahun!$A:$AM,33,FALSE),"")</f>
        <v>0</v>
      </c>
      <c r="AH594">
        <f>IFERROR(VLOOKUP($A594,koronahun!$A:$AM,34,FALSE),"")</f>
        <v>0</v>
      </c>
      <c r="AI594">
        <f>IFERROR(VLOOKUP($A594,koronahun!$A:$AM,35,FALSE),"")</f>
        <v>0</v>
      </c>
      <c r="AJ594">
        <f>IFERROR(VLOOKUP($A594,koronahun!$A:$AM,36,FALSE),"")</f>
        <v>0</v>
      </c>
      <c r="AK594">
        <f>IFERROR(VLOOKUP($A594,koronahun!$A:$AM,37,FALSE),"")</f>
        <v>0</v>
      </c>
      <c r="AL594">
        <f>IFERROR(VLOOKUP($A594,koronahun!$A:$AM,38,FALSE),"")</f>
        <v>0</v>
      </c>
      <c r="AM594" s="14">
        <f>IFERROR(VLOOKUP($A594,koronahun!$A:$AM,39,FALSE),"")</f>
        <v>32.142857142857146</v>
      </c>
      <c r="AN594" s="11">
        <f ca="1">IFERROR(__xludf.DUMMYFUNCTION("""COMPUTED_VALUE"""),44486)</f>
        <v>44486</v>
      </c>
      <c r="AO594" s="12">
        <f ca="1">IFERROR(VLOOKUP(AN594,koronahun!A:B,2,FALSE),"")</f>
        <v>0</v>
      </c>
      <c r="AP594" s="11">
        <f t="shared" ca="1" si="4"/>
        <v>44486</v>
      </c>
      <c r="AQ594" s="11">
        <f ca="1">IFERROR(__xludf.DUMMYFUNCTION("""COMPUTED_VALUE"""),44538)</f>
        <v>44538</v>
      </c>
      <c r="AR594" s="11">
        <v>44025</v>
      </c>
      <c r="AS594" s="11">
        <f t="shared" si="5"/>
        <v>44025</v>
      </c>
      <c r="AT594" s="11">
        <f ca="1">IFERROR(__xludf.DUMMYFUNCTION("""COMPUTED_VALUE"""),44024)</f>
        <v>44024</v>
      </c>
    </row>
    <row r="595" spans="1:46" ht="13">
      <c r="A595" s="11">
        <v>44023</v>
      </c>
      <c r="B595">
        <f>IFERROR(VLOOKUP($A595,koronahun!$A:$AM,2,FALSE),"")</f>
        <v>4229</v>
      </c>
      <c r="C595">
        <f>IFERROR(VLOOKUP($A595,koronahun!$A:$AM,3,FALSE),"")</f>
        <v>6</v>
      </c>
      <c r="D595">
        <f>IFERROR(VLOOKUP($A595,koronahun!$A:$AM,4,FALSE),"")</f>
        <v>595</v>
      </c>
      <c r="E595">
        <f>IFERROR(VLOOKUP($A595,koronahun!$A:$AM,5,FALSE),"")</f>
        <v>2974</v>
      </c>
      <c r="F595">
        <f>IFERROR(VLOOKUP($A595,koronahun!$A:$AM,6,FALSE),"")</f>
        <v>293220</v>
      </c>
      <c r="G595" s="12">
        <f>IFERROR(VLOOKUP($A595,koronahun!$A:$AM,7,FALSE),"")</f>
        <v>29920.408163265303</v>
      </c>
      <c r="H595">
        <f>IFERROR(VLOOKUP($A595,koronahun!$A:$AM,8,FALSE),"")</f>
        <v>0</v>
      </c>
      <c r="I595" s="13">
        <f>IFERROR(VLOOKUP($A595,koronahun!$A:$AM,9,FALSE),"")</f>
        <v>1.4E-3</v>
      </c>
      <c r="J595" s="13">
        <f>IFERROR(VLOOKUP($A595,koronahun!$A:$AM,10,FALSE),"")</f>
        <v>1.44E-2</v>
      </c>
      <c r="K595" s="13">
        <f>IFERROR(VLOOKUP($A595,koronahun!$A:$AM,11,FALSE),"")</f>
        <v>4.0000000000000001E-3</v>
      </c>
      <c r="L595">
        <f>IFERROR(VLOOKUP($A595,koronahun!$A:$AM,12,FALSE),"")</f>
        <v>660</v>
      </c>
      <c r="M595" s="13">
        <f>IFERROR(VLOOKUP($A595,koronahun!$A:$AM,13,FALSE),"")</f>
        <v>0.14069999999999999</v>
      </c>
      <c r="N595" s="13">
        <f>IFERROR(VLOOKUP($A595,koronahun!$A:$AM,14,FALSE),"")</f>
        <v>0.70320000000000005</v>
      </c>
      <c r="O595">
        <f>IFERROR(VLOOKUP($A595,koronahun!$A:$AM,15,FALSE),"")</f>
        <v>0</v>
      </c>
      <c r="P595">
        <f>IFERROR(VLOOKUP($A595,koronahun!$A:$AM,16,FALSE),"")</f>
        <v>1183</v>
      </c>
      <c r="Q595" s="13">
        <f>IFERROR(VLOOKUP($A595,koronahun!$A:$AM,17,FALSE),"")</f>
        <v>5.1000000000000004E-3</v>
      </c>
      <c r="R595">
        <f>IFERROR(VLOOKUP($A595,koronahun!$A:$AM,18,FALSE),"")</f>
        <v>2</v>
      </c>
      <c r="S595">
        <f>IFERROR(VLOOKUP($A595,koronahun!$A:$AM,19,FALSE),"")</f>
        <v>33</v>
      </c>
      <c r="T595">
        <f>IFERROR(VLOOKUP($A595,koronahun!$A:$AM,20,FALSE),"")</f>
        <v>129</v>
      </c>
      <c r="U595">
        <f>IFERROR(VLOOKUP($A595,koronahun!$A:$AM,21,FALSE),"")</f>
        <v>5</v>
      </c>
      <c r="V595" s="13">
        <f>IFERROR(VLOOKUP($A595,koronahun!$A:$AM,22,FALSE),"")</f>
        <v>0.15606526365571058</v>
      </c>
      <c r="W595">
        <f>IFERROR(VLOOKUP($A595,koronahun!$A:$AM,23,FALSE),"")</f>
        <v>-4</v>
      </c>
      <c r="X595">
        <f>IFERROR(VLOOKUP($A595,koronahun!$A:$AM,24,FALSE),"")</f>
        <v>-1</v>
      </c>
      <c r="Y595" s="14">
        <f>IFERROR(VLOOKUP($A595,koronahun!$A:$AM,25,FALSE),"")</f>
        <v>0.19545454545454546</v>
      </c>
      <c r="Z595" s="14">
        <f>IFERROR(VLOOKUP($A595,koronahun!$A:$AM,26,FALSE),"")</f>
        <v>3.875968992248062E-2</v>
      </c>
      <c r="AA595" s="14">
        <f>IFERROR(VLOOKUP($A595,koronahun!$A:$AM,27,FALSE),"")</f>
        <v>1.5277777777777777</v>
      </c>
      <c r="AB595" s="14">
        <f>IFERROR(VLOOKUP($A595,koronahun!$A:$AM,28,FALSE),"")</f>
        <v>1.1526531930601698</v>
      </c>
      <c r="AC595" s="14">
        <f>IFERROR(VLOOKUP($A595,koronahun!$A:$AM,29,FALSE),"")</f>
        <v>7.8571428571428568</v>
      </c>
      <c r="AD595" s="14">
        <f>IFERROR(VLOOKUP($A595,koronahun!$A:$AM,30,FALSE),"")</f>
        <v>0.8571428571428571</v>
      </c>
      <c r="AE595" s="14">
        <f>IFERROR(VLOOKUP($A595,koronahun!$A:$AM,31,FALSE),"")</f>
        <v>1387.4285714285713</v>
      </c>
      <c r="AF595" s="13">
        <f>IFERROR(VLOOKUP($A595,koronahun!$A:$AM,32,FALSE),"")</f>
        <v>7.7857142857142847E-3</v>
      </c>
      <c r="AG595">
        <f>IFERROR(VLOOKUP($A595,koronahun!$A:$AM,33,FALSE),"")</f>
        <v>0</v>
      </c>
      <c r="AH595">
        <f>IFERROR(VLOOKUP($A595,koronahun!$A:$AM,34,FALSE),"")</f>
        <v>0</v>
      </c>
      <c r="AI595">
        <f>IFERROR(VLOOKUP($A595,koronahun!$A:$AM,35,FALSE),"")</f>
        <v>0</v>
      </c>
      <c r="AJ595">
        <f>IFERROR(VLOOKUP($A595,koronahun!$A:$AM,36,FALSE),"")</f>
        <v>0</v>
      </c>
      <c r="AK595">
        <f>IFERROR(VLOOKUP($A595,koronahun!$A:$AM,37,FALSE),"")</f>
        <v>0</v>
      </c>
      <c r="AL595">
        <f>IFERROR(VLOOKUP($A595,koronahun!$A:$AM,38,FALSE),"")</f>
        <v>0</v>
      </c>
      <c r="AM595" s="14">
        <f>IFERROR(VLOOKUP($A595,koronahun!$A:$AM,39,FALSE),"")</f>
        <v>27.142857142857142</v>
      </c>
      <c r="AN595" s="11">
        <f ca="1">IFERROR(__xludf.DUMMYFUNCTION("""COMPUTED_VALUE"""),44487)</f>
        <v>44487</v>
      </c>
      <c r="AO595" s="12">
        <f ca="1">IFERROR(VLOOKUP(AN595,koronahun!A:B,2,FALSE),"")</f>
        <v>836389</v>
      </c>
      <c r="AP595" s="11">
        <f t="shared" ca="1" si="4"/>
        <v>44487</v>
      </c>
      <c r="AQ595" s="11">
        <f ca="1">IFERROR(__xludf.DUMMYFUNCTION("""COMPUTED_VALUE"""),44539)</f>
        <v>44539</v>
      </c>
      <c r="AR595" s="11">
        <v>44024</v>
      </c>
      <c r="AS595" s="11">
        <f t="shared" si="5"/>
        <v>44024</v>
      </c>
      <c r="AT595" s="11">
        <f ca="1">IFERROR(__xludf.DUMMYFUNCTION("""COMPUTED_VALUE"""),44023)</f>
        <v>44023</v>
      </c>
    </row>
    <row r="596" spans="1:46" ht="13">
      <c r="A596" s="11">
        <v>44022</v>
      </c>
      <c r="B596">
        <f>IFERROR(VLOOKUP($A596,koronahun!$A:$AM,2,FALSE),"")</f>
        <v>4223</v>
      </c>
      <c r="C596">
        <f>IFERROR(VLOOKUP($A596,koronahun!$A:$AM,3,FALSE),"")</f>
        <v>3</v>
      </c>
      <c r="D596">
        <f>IFERROR(VLOOKUP($A596,koronahun!$A:$AM,4,FALSE),"")</f>
        <v>593</v>
      </c>
      <c r="E596">
        <f>IFERROR(VLOOKUP($A596,koronahun!$A:$AM,5,FALSE),"")</f>
        <v>2941</v>
      </c>
      <c r="F596">
        <f>IFERROR(VLOOKUP($A596,koronahun!$A:$AM,6,FALSE),"")</f>
        <v>292037</v>
      </c>
      <c r="G596" s="12">
        <f>IFERROR(VLOOKUP($A596,koronahun!$A:$AM,7,FALSE),"")</f>
        <v>29799.693877551017</v>
      </c>
      <c r="H596">
        <f>IFERROR(VLOOKUP($A596,koronahun!$A:$AM,8,FALSE),"")</f>
        <v>0</v>
      </c>
      <c r="I596" s="13">
        <f>IFERROR(VLOOKUP($A596,koronahun!$A:$AM,9,FALSE),"")</f>
        <v>6.9999999999999999E-4</v>
      </c>
      <c r="J596" s="13">
        <f>IFERROR(VLOOKUP($A596,koronahun!$A:$AM,10,FALSE),"")</f>
        <v>1.4500000000000001E-2</v>
      </c>
      <c r="K596" s="13">
        <f>IFERROR(VLOOKUP($A596,koronahun!$A:$AM,11,FALSE),"")</f>
        <v>8.0000000000000002E-3</v>
      </c>
      <c r="L596">
        <f>IFERROR(VLOOKUP($A596,koronahun!$A:$AM,12,FALSE),"")</f>
        <v>689</v>
      </c>
      <c r="M596" s="13">
        <f>IFERROR(VLOOKUP($A596,koronahun!$A:$AM,13,FALSE),"")</f>
        <v>0.1404</v>
      </c>
      <c r="N596" s="13">
        <f>IFERROR(VLOOKUP($A596,koronahun!$A:$AM,14,FALSE),"")</f>
        <v>0.69640000000000002</v>
      </c>
      <c r="O596">
        <f>IFERROR(VLOOKUP($A596,koronahun!$A:$AM,15,FALSE),"")</f>
        <v>0</v>
      </c>
      <c r="P596">
        <f>IFERROR(VLOOKUP($A596,koronahun!$A:$AM,16,FALSE),"")</f>
        <v>2435</v>
      </c>
      <c r="Q596" s="13">
        <f>IFERROR(VLOOKUP($A596,koronahun!$A:$AM,17,FALSE),"")</f>
        <v>1.1999999999999999E-3</v>
      </c>
      <c r="R596">
        <f>IFERROR(VLOOKUP($A596,koronahun!$A:$AM,18,FALSE),"")</f>
        <v>2</v>
      </c>
      <c r="S596">
        <f>IFERROR(VLOOKUP($A596,koronahun!$A:$AM,19,FALSE),"")</f>
        <v>54</v>
      </c>
      <c r="T596">
        <f>IFERROR(VLOOKUP($A596,koronahun!$A:$AM,20,FALSE),"")</f>
        <v>133</v>
      </c>
      <c r="U596">
        <f>IFERROR(VLOOKUP($A596,koronahun!$A:$AM,21,FALSE),"")</f>
        <v>6</v>
      </c>
      <c r="V596" s="13">
        <f>IFERROR(VLOOKUP($A596,koronahun!$A:$AM,22,FALSE),"")</f>
        <v>0.16315415581340278</v>
      </c>
      <c r="W596">
        <f>IFERROR(VLOOKUP($A596,koronahun!$A:$AM,23,FALSE),"")</f>
        <v>2</v>
      </c>
      <c r="X596">
        <f>IFERROR(VLOOKUP($A596,koronahun!$A:$AM,24,FALSE),"")</f>
        <v>0</v>
      </c>
      <c r="Y596" s="14">
        <f>IFERROR(VLOOKUP($A596,koronahun!$A:$AM,25,FALSE),"")</f>
        <v>0.19303338171262699</v>
      </c>
      <c r="Z596" s="14">
        <f>IFERROR(VLOOKUP($A596,koronahun!$A:$AM,26,FALSE),"")</f>
        <v>4.5112781954887216E-2</v>
      </c>
      <c r="AA596" s="14">
        <f>IFERROR(VLOOKUP($A596,koronahun!$A:$AM,27,FALSE),"")</f>
        <v>1.1333333333333333</v>
      </c>
      <c r="AB596" s="14">
        <f>IFERROR(VLOOKUP($A596,koronahun!$A:$AM,28,FALSE),"")</f>
        <v>1.0333003237073004</v>
      </c>
      <c r="AC596" s="14">
        <f>IFERROR(VLOOKUP($A596,koronahun!$A:$AM,29,FALSE),"")</f>
        <v>7.2857142857142856</v>
      </c>
      <c r="AD596" s="14">
        <f>IFERROR(VLOOKUP($A596,koronahun!$A:$AM,30,FALSE),"")</f>
        <v>0.7142857142857143</v>
      </c>
      <c r="AE596" s="14">
        <f>IFERROR(VLOOKUP($A596,koronahun!$A:$AM,31,FALSE),"")</f>
        <v>1487</v>
      </c>
      <c r="AF596" s="13">
        <f>IFERROR(VLOOKUP($A596,koronahun!$A:$AM,32,FALSE),"")</f>
        <v>7.2142857142857139E-3</v>
      </c>
      <c r="AG596">
        <f>IFERROR(VLOOKUP($A596,koronahun!$A:$AM,33,FALSE),"")</f>
        <v>0</v>
      </c>
      <c r="AH596">
        <f>IFERROR(VLOOKUP($A596,koronahun!$A:$AM,34,FALSE),"")</f>
        <v>0</v>
      </c>
      <c r="AI596">
        <f>IFERROR(VLOOKUP($A596,koronahun!$A:$AM,35,FALSE),"")</f>
        <v>0</v>
      </c>
      <c r="AJ596">
        <f>IFERROR(VLOOKUP($A596,koronahun!$A:$AM,36,FALSE),"")</f>
        <v>0</v>
      </c>
      <c r="AK596">
        <f>IFERROR(VLOOKUP($A596,koronahun!$A:$AM,37,FALSE),"")</f>
        <v>0</v>
      </c>
      <c r="AL596">
        <f>IFERROR(VLOOKUP($A596,koronahun!$A:$AM,38,FALSE),"")</f>
        <v>0</v>
      </c>
      <c r="AM596" s="14">
        <f>IFERROR(VLOOKUP($A596,koronahun!$A:$AM,39,FALSE),"")</f>
        <v>27</v>
      </c>
      <c r="AN596" s="11">
        <f ca="1">IFERROR(__xludf.DUMMYFUNCTION("""COMPUTED_VALUE"""),44488)</f>
        <v>44488</v>
      </c>
      <c r="AO596" s="12">
        <f ca="1">IFERROR(VLOOKUP(AN596,koronahun!A:B,2,FALSE),"")</f>
        <v>837248</v>
      </c>
      <c r="AP596" s="11">
        <f t="shared" ca="1" si="4"/>
        <v>44488</v>
      </c>
      <c r="AQ596" s="11">
        <f ca="1">IFERROR(__xludf.DUMMYFUNCTION("""COMPUTED_VALUE"""),44540)</f>
        <v>44540</v>
      </c>
      <c r="AR596" s="11">
        <v>44023</v>
      </c>
      <c r="AS596" s="11">
        <f t="shared" si="5"/>
        <v>44023</v>
      </c>
      <c r="AT596" s="11">
        <f ca="1">IFERROR(__xludf.DUMMYFUNCTION("""COMPUTED_VALUE"""),44022)</f>
        <v>44022</v>
      </c>
    </row>
    <row r="597" spans="1:46" ht="13">
      <c r="A597" s="11">
        <v>44021</v>
      </c>
      <c r="B597">
        <f>IFERROR(VLOOKUP($A597,koronahun!$A:$AM,2,FALSE),"")</f>
        <v>4220</v>
      </c>
      <c r="C597">
        <f>IFERROR(VLOOKUP($A597,koronahun!$A:$AM,3,FALSE),"")</f>
        <v>10</v>
      </c>
      <c r="D597">
        <f>IFERROR(VLOOKUP($A597,koronahun!$A:$AM,4,FALSE),"")</f>
        <v>591</v>
      </c>
      <c r="E597">
        <f>IFERROR(VLOOKUP($A597,koronahun!$A:$AM,5,FALSE),"")</f>
        <v>2887</v>
      </c>
      <c r="F597">
        <f>IFERROR(VLOOKUP($A597,koronahun!$A:$AM,6,FALSE),"")</f>
        <v>289602</v>
      </c>
      <c r="G597" s="12">
        <f>IFERROR(VLOOKUP($A597,koronahun!$A:$AM,7,FALSE),"")</f>
        <v>29551.224489795917</v>
      </c>
      <c r="H597">
        <f>IFERROR(VLOOKUP($A597,koronahun!$A:$AM,8,FALSE),"")</f>
        <v>0</v>
      </c>
      <c r="I597" s="13">
        <f>IFERROR(VLOOKUP($A597,koronahun!$A:$AM,9,FALSE),"")</f>
        <v>2.3999999999999998E-3</v>
      </c>
      <c r="J597" s="13">
        <f>IFERROR(VLOOKUP($A597,koronahun!$A:$AM,10,FALSE),"")</f>
        <v>1.46E-2</v>
      </c>
      <c r="K597" s="13">
        <f>IFERROR(VLOOKUP($A597,koronahun!$A:$AM,11,FALSE),"")</f>
        <v>3.0000000000000001E-3</v>
      </c>
      <c r="L597">
        <f>IFERROR(VLOOKUP($A597,koronahun!$A:$AM,12,FALSE),"")</f>
        <v>742</v>
      </c>
      <c r="M597" s="13">
        <f>IFERROR(VLOOKUP($A597,koronahun!$A:$AM,13,FALSE),"")</f>
        <v>0.14000000000000001</v>
      </c>
      <c r="N597" s="13">
        <f>IFERROR(VLOOKUP($A597,koronahun!$A:$AM,14,FALSE),"")</f>
        <v>0.68410000000000004</v>
      </c>
      <c r="O597">
        <f>IFERROR(VLOOKUP($A597,koronahun!$A:$AM,15,FALSE),"")</f>
        <v>0</v>
      </c>
      <c r="P597">
        <f>IFERROR(VLOOKUP($A597,koronahun!$A:$AM,16,FALSE),"")</f>
        <v>909</v>
      </c>
      <c r="Q597" s="13">
        <f>IFERROR(VLOOKUP($A597,koronahun!$A:$AM,17,FALSE),"")</f>
        <v>1.0999999999999999E-2</v>
      </c>
      <c r="R597">
        <f>IFERROR(VLOOKUP($A597,koronahun!$A:$AM,18,FALSE),"")</f>
        <v>2</v>
      </c>
      <c r="S597">
        <f>IFERROR(VLOOKUP($A597,koronahun!$A:$AM,19,FALSE),"")</f>
        <v>2</v>
      </c>
      <c r="T597">
        <f>IFERROR(VLOOKUP($A597,koronahun!$A:$AM,20,FALSE),"")</f>
        <v>131</v>
      </c>
      <c r="U597">
        <f>IFERROR(VLOOKUP($A597,koronahun!$A:$AM,21,FALSE),"")</f>
        <v>6</v>
      </c>
      <c r="V597" s="13">
        <f>IFERROR(VLOOKUP($A597,koronahun!$A:$AM,22,FALSE),"")</f>
        <v>0.17582938388625594</v>
      </c>
      <c r="W597">
        <f>IFERROR(VLOOKUP($A597,koronahun!$A:$AM,23,FALSE),"")</f>
        <v>-1</v>
      </c>
      <c r="X597">
        <f>IFERROR(VLOOKUP($A597,koronahun!$A:$AM,24,FALSE),"")</f>
        <v>0</v>
      </c>
      <c r="Y597" s="14">
        <f>IFERROR(VLOOKUP($A597,koronahun!$A:$AM,25,FALSE),"")</f>
        <v>0.17654986522911051</v>
      </c>
      <c r="Z597" s="14">
        <f>IFERROR(VLOOKUP($A597,koronahun!$A:$AM,26,FALSE),"")</f>
        <v>4.5801526717557252E-2</v>
      </c>
      <c r="AA597" s="14">
        <f>IFERROR(VLOOKUP($A597,koronahun!$A:$AM,27,FALSE),"")</f>
        <v>1.2558139534883721</v>
      </c>
      <c r="AB597" s="14">
        <f>IFERROR(VLOOKUP($A597,koronahun!$A:$AM,28,FALSE),"")</f>
        <v>1.0111471145975697</v>
      </c>
      <c r="AC597" s="14">
        <f>IFERROR(VLOOKUP($A597,koronahun!$A:$AM,29,FALSE),"")</f>
        <v>7.7142857142857144</v>
      </c>
      <c r="AD597" s="14">
        <f>IFERROR(VLOOKUP($A597,koronahun!$A:$AM,30,FALSE),"")</f>
        <v>0.5714285714285714</v>
      </c>
      <c r="AE597" s="14">
        <f>IFERROR(VLOOKUP($A597,koronahun!$A:$AM,31,FALSE),"")</f>
        <v>1416</v>
      </c>
      <c r="AF597" s="13">
        <f>IFERROR(VLOOKUP($A597,koronahun!$A:$AM,32,FALSE),"")</f>
        <v>7.4857142857142856E-3</v>
      </c>
      <c r="AG597">
        <f>IFERROR(VLOOKUP($A597,koronahun!$A:$AM,33,FALSE),"")</f>
        <v>0</v>
      </c>
      <c r="AH597">
        <f>IFERROR(VLOOKUP($A597,koronahun!$A:$AM,34,FALSE),"")</f>
        <v>0</v>
      </c>
      <c r="AI597">
        <f>IFERROR(VLOOKUP($A597,koronahun!$A:$AM,35,FALSE),"")</f>
        <v>0</v>
      </c>
      <c r="AJ597">
        <f>IFERROR(VLOOKUP($A597,koronahun!$A:$AM,36,FALSE),"")</f>
        <v>0</v>
      </c>
      <c r="AK597">
        <f>IFERROR(VLOOKUP($A597,koronahun!$A:$AM,37,FALSE),"")</f>
        <v>0</v>
      </c>
      <c r="AL597">
        <f>IFERROR(VLOOKUP($A597,koronahun!$A:$AM,38,FALSE),"")</f>
        <v>0</v>
      </c>
      <c r="AM597" s="14">
        <f>IFERROR(VLOOKUP($A597,koronahun!$A:$AM,39,FALSE),"")</f>
        <v>23.714285714285715</v>
      </c>
      <c r="AN597" s="11">
        <f ca="1">IFERROR(__xludf.DUMMYFUNCTION("""COMPUTED_VALUE"""),44489)</f>
        <v>44489</v>
      </c>
      <c r="AO597" s="12">
        <f ca="1">IFERROR(VLOOKUP(AN597,koronahun!A:B,2,FALSE),"")</f>
        <v>838916</v>
      </c>
      <c r="AP597" s="11">
        <f t="shared" ca="1" si="4"/>
        <v>44489</v>
      </c>
      <c r="AQ597" s="11">
        <f ca="1">IFERROR(__xludf.DUMMYFUNCTION("""COMPUTED_VALUE"""),44543)</f>
        <v>44543</v>
      </c>
      <c r="AR597" s="11">
        <v>44022</v>
      </c>
      <c r="AS597" s="11">
        <f t="shared" si="5"/>
        <v>44022</v>
      </c>
      <c r="AT597" s="11">
        <f ca="1">IFERROR(__xludf.DUMMYFUNCTION("""COMPUTED_VALUE"""),44021)</f>
        <v>44021</v>
      </c>
    </row>
    <row r="598" spans="1:46" ht="13">
      <c r="A598" s="11">
        <v>44020</v>
      </c>
      <c r="B598">
        <f>IFERROR(VLOOKUP($A598,koronahun!$A:$AM,2,FALSE),"")</f>
        <v>4210</v>
      </c>
      <c r="C598">
        <f>IFERROR(VLOOKUP($A598,koronahun!$A:$AM,3,FALSE),"")</f>
        <v>5</v>
      </c>
      <c r="D598">
        <f>IFERROR(VLOOKUP($A598,koronahun!$A:$AM,4,FALSE),"")</f>
        <v>589</v>
      </c>
      <c r="E598">
        <f>IFERROR(VLOOKUP($A598,koronahun!$A:$AM,5,FALSE),"")</f>
        <v>2885</v>
      </c>
      <c r="F598">
        <f>IFERROR(VLOOKUP($A598,koronahun!$A:$AM,6,FALSE),"")</f>
        <v>288693</v>
      </c>
      <c r="G598" s="12">
        <f>IFERROR(VLOOKUP($A598,koronahun!$A:$AM,7,FALSE),"")</f>
        <v>29458.4693877551</v>
      </c>
      <c r="H598">
        <f>IFERROR(VLOOKUP($A598,koronahun!$A:$AM,8,FALSE),"")</f>
        <v>0</v>
      </c>
      <c r="I598" s="13">
        <f>IFERROR(VLOOKUP($A598,koronahun!$A:$AM,9,FALSE),"")</f>
        <v>1.1999999999999999E-3</v>
      </c>
      <c r="J598" s="13">
        <f>IFERROR(VLOOKUP($A598,koronahun!$A:$AM,10,FALSE),"")</f>
        <v>1.46E-2</v>
      </c>
      <c r="K598" s="13">
        <f>IFERROR(VLOOKUP($A598,koronahun!$A:$AM,11,FALSE),"")</f>
        <v>6.0000000000000001E-3</v>
      </c>
      <c r="L598">
        <f>IFERROR(VLOOKUP($A598,koronahun!$A:$AM,12,FALSE),"")</f>
        <v>736</v>
      </c>
      <c r="M598" s="13">
        <f>IFERROR(VLOOKUP($A598,koronahun!$A:$AM,13,FALSE),"")</f>
        <v>0.1399</v>
      </c>
      <c r="N598" s="13">
        <f>IFERROR(VLOOKUP($A598,koronahun!$A:$AM,14,FALSE),"")</f>
        <v>0.68530000000000002</v>
      </c>
      <c r="O598">
        <f>IFERROR(VLOOKUP($A598,koronahun!$A:$AM,15,FALSE),"")</f>
        <v>1909</v>
      </c>
      <c r="P598">
        <f>IFERROR(VLOOKUP($A598,koronahun!$A:$AM,16,FALSE),"")</f>
        <v>1710</v>
      </c>
      <c r="Q598" s="13">
        <f>IFERROR(VLOOKUP($A598,koronahun!$A:$AM,17,FALSE),"")</f>
        <v>2.8999999999999998E-3</v>
      </c>
      <c r="R598">
        <f>IFERROR(VLOOKUP($A598,koronahun!$A:$AM,18,FALSE),"")</f>
        <v>0</v>
      </c>
      <c r="S598">
        <f>IFERROR(VLOOKUP($A598,koronahun!$A:$AM,19,FALSE),"")</f>
        <v>11</v>
      </c>
      <c r="T598">
        <f>IFERROR(VLOOKUP($A598,koronahun!$A:$AM,20,FALSE),"")</f>
        <v>132</v>
      </c>
      <c r="U598">
        <f>IFERROR(VLOOKUP($A598,koronahun!$A:$AM,21,FALSE),"")</f>
        <v>6</v>
      </c>
      <c r="V598" s="13">
        <f>IFERROR(VLOOKUP($A598,koronahun!$A:$AM,22,FALSE),"")</f>
        <v>0.17482185273159145</v>
      </c>
      <c r="W598">
        <f>IFERROR(VLOOKUP($A598,koronahun!$A:$AM,23,FALSE),"")</f>
        <v>-10</v>
      </c>
      <c r="X598">
        <f>IFERROR(VLOOKUP($A598,koronahun!$A:$AM,24,FALSE),"")</f>
        <v>-1</v>
      </c>
      <c r="Y598" s="14">
        <f>IFERROR(VLOOKUP($A598,koronahun!$A:$AM,25,FALSE),"")</f>
        <v>0.17934782608695651</v>
      </c>
      <c r="Z598" s="14">
        <f>IFERROR(VLOOKUP($A598,koronahun!$A:$AM,26,FALSE),"")</f>
        <v>4.5454545454545456E-2</v>
      </c>
      <c r="AA598" s="14">
        <f>IFERROR(VLOOKUP($A598,koronahun!$A:$AM,27,FALSE),"")</f>
        <v>1.2325581395348837</v>
      </c>
      <c r="AB598" s="14">
        <f>IFERROR(VLOOKUP($A598,koronahun!$A:$AM,28,FALSE),"")</f>
        <v>0.9713555108524774</v>
      </c>
      <c r="AC598" s="14">
        <f>IFERROR(VLOOKUP($A598,koronahun!$A:$AM,29,FALSE),"")</f>
        <v>7.5714285714285712</v>
      </c>
      <c r="AD598" s="14">
        <f>IFERROR(VLOOKUP($A598,koronahun!$A:$AM,30,FALSE),"")</f>
        <v>0.42857142857142855</v>
      </c>
      <c r="AE598" s="14">
        <f>IFERROR(VLOOKUP($A598,koronahun!$A:$AM,31,FALSE),"")</f>
        <v>1563.2857142857142</v>
      </c>
      <c r="AF598" s="13">
        <f>IFERROR(VLOOKUP($A598,koronahun!$A:$AM,32,FALSE),"")</f>
        <v>6.5714285714285709E-3</v>
      </c>
      <c r="AG598">
        <f>IFERROR(VLOOKUP($A598,koronahun!$A:$AM,33,FALSE),"")</f>
        <v>0</v>
      </c>
      <c r="AH598">
        <f>IFERROR(VLOOKUP($A598,koronahun!$A:$AM,34,FALSE),"")</f>
        <v>0</v>
      </c>
      <c r="AI598">
        <f>IFERROR(VLOOKUP($A598,koronahun!$A:$AM,35,FALSE),"")</f>
        <v>0</v>
      </c>
      <c r="AJ598">
        <f>IFERROR(VLOOKUP($A598,koronahun!$A:$AM,36,FALSE),"")</f>
        <v>0</v>
      </c>
      <c r="AK598">
        <f>IFERROR(VLOOKUP($A598,koronahun!$A:$AM,37,FALSE),"")</f>
        <v>0</v>
      </c>
      <c r="AL598">
        <f>IFERROR(VLOOKUP($A598,koronahun!$A:$AM,38,FALSE),"")</f>
        <v>0</v>
      </c>
      <c r="AM598" s="14">
        <f>IFERROR(VLOOKUP($A598,koronahun!$A:$AM,39,FALSE),"")</f>
        <v>24.428571428571427</v>
      </c>
      <c r="AN598" s="11">
        <f ca="1">IFERROR(__xludf.DUMMYFUNCTION("""COMPUTED_VALUE"""),44490)</f>
        <v>44490</v>
      </c>
      <c r="AO598" s="12">
        <f ca="1">IFERROR(VLOOKUP(AN598,koronahun!A:B,2,FALSE),"")</f>
        <v>841277</v>
      </c>
      <c r="AP598" s="11">
        <f t="shared" ca="1" si="4"/>
        <v>44490</v>
      </c>
      <c r="AQ598" s="11">
        <f ca="1">IFERROR(__xludf.DUMMYFUNCTION("""COMPUTED_VALUE"""),44544)</f>
        <v>44544</v>
      </c>
      <c r="AR598" s="11">
        <v>44021</v>
      </c>
      <c r="AS598" s="11">
        <f t="shared" si="5"/>
        <v>44021</v>
      </c>
      <c r="AT598" s="11">
        <f ca="1">IFERROR(__xludf.DUMMYFUNCTION("""COMPUTED_VALUE"""),44020)</f>
        <v>44020</v>
      </c>
    </row>
    <row r="599" spans="1:46" ht="13">
      <c r="A599" s="11">
        <v>44019</v>
      </c>
      <c r="B599">
        <f>IFERROR(VLOOKUP($A599,koronahun!$A:$AM,2,FALSE),"")</f>
        <v>4205</v>
      </c>
      <c r="C599">
        <f>IFERROR(VLOOKUP($A599,koronahun!$A:$AM,3,FALSE),"")</f>
        <v>16</v>
      </c>
      <c r="D599">
        <f>IFERROR(VLOOKUP($A599,koronahun!$A:$AM,4,FALSE),"")</f>
        <v>589</v>
      </c>
      <c r="E599">
        <f>IFERROR(VLOOKUP($A599,koronahun!$A:$AM,5,FALSE),"")</f>
        <v>2874</v>
      </c>
      <c r="F599">
        <f>IFERROR(VLOOKUP($A599,koronahun!$A:$AM,6,FALSE),"")</f>
        <v>286983</v>
      </c>
      <c r="G599" s="12">
        <f>IFERROR(VLOOKUP($A599,koronahun!$A:$AM,7,FALSE),"")</f>
        <v>29283.979591836731</v>
      </c>
      <c r="H599">
        <f>IFERROR(VLOOKUP($A599,koronahun!$A:$AM,8,FALSE),"")</f>
        <v>0</v>
      </c>
      <c r="I599" s="13">
        <f>IFERROR(VLOOKUP($A599,koronahun!$A:$AM,9,FALSE),"")</f>
        <v>3.8E-3</v>
      </c>
      <c r="J599" s="13">
        <f>IFERROR(VLOOKUP($A599,koronahun!$A:$AM,10,FALSE),"")</f>
        <v>1.47E-2</v>
      </c>
      <c r="K599" s="13">
        <f>IFERROR(VLOOKUP($A599,koronahun!$A:$AM,11,FALSE),"")</f>
        <v>3.0000000000000001E-3</v>
      </c>
      <c r="L599">
        <f>IFERROR(VLOOKUP($A599,koronahun!$A:$AM,12,FALSE),"")</f>
        <v>742</v>
      </c>
      <c r="M599" s="13">
        <f>IFERROR(VLOOKUP($A599,koronahun!$A:$AM,13,FALSE),"")</f>
        <v>0.1401</v>
      </c>
      <c r="N599" s="13">
        <f>IFERROR(VLOOKUP($A599,koronahun!$A:$AM,14,FALSE),"")</f>
        <v>0.6835</v>
      </c>
      <c r="O599">
        <f>IFERROR(VLOOKUP($A599,koronahun!$A:$AM,15,FALSE),"")</f>
        <v>0</v>
      </c>
      <c r="P599">
        <f>IFERROR(VLOOKUP($A599,koronahun!$A:$AM,16,FALSE),"")</f>
        <v>900</v>
      </c>
      <c r="Q599" s="13">
        <f>IFERROR(VLOOKUP($A599,koronahun!$A:$AM,17,FALSE),"")</f>
        <v>1.78E-2</v>
      </c>
      <c r="R599">
        <f>IFERROR(VLOOKUP($A599,koronahun!$A:$AM,18,FALSE),"")</f>
        <v>0</v>
      </c>
      <c r="S599">
        <f>IFERROR(VLOOKUP($A599,koronahun!$A:$AM,19,FALSE),"")</f>
        <v>14</v>
      </c>
      <c r="T599">
        <f>IFERROR(VLOOKUP($A599,koronahun!$A:$AM,20,FALSE),"")</f>
        <v>142</v>
      </c>
      <c r="U599">
        <f>IFERROR(VLOOKUP($A599,koronahun!$A:$AM,21,FALSE),"")</f>
        <v>7</v>
      </c>
      <c r="V599" s="13">
        <f>IFERROR(VLOOKUP($A599,koronahun!$A:$AM,22,FALSE),"")</f>
        <v>0.17645659928656363</v>
      </c>
      <c r="W599">
        <f>IFERROR(VLOOKUP($A599,koronahun!$A:$AM,23,FALSE),"")</f>
        <v>2</v>
      </c>
      <c r="X599">
        <f>IFERROR(VLOOKUP($A599,koronahun!$A:$AM,24,FALSE),"")</f>
        <v>-1</v>
      </c>
      <c r="Y599" s="14">
        <f>IFERROR(VLOOKUP($A599,koronahun!$A:$AM,25,FALSE),"")</f>
        <v>0.19137466307277629</v>
      </c>
      <c r="Z599" s="14">
        <f>IFERROR(VLOOKUP($A599,koronahun!$A:$AM,26,FALSE),"")</f>
        <v>4.9295774647887321E-2</v>
      </c>
      <c r="AA599" s="14">
        <f>IFERROR(VLOOKUP($A599,koronahun!$A:$AM,27,FALSE),"")</f>
        <v>1.0416666666666667</v>
      </c>
      <c r="AB599" s="14">
        <f>IFERROR(VLOOKUP($A599,koronahun!$A:$AM,28,FALSE),"")</f>
        <v>0.96591069726812917</v>
      </c>
      <c r="AC599" s="14">
        <f>IFERROR(VLOOKUP($A599,koronahun!$A:$AM,29,FALSE),"")</f>
        <v>7.1428571428571432</v>
      </c>
      <c r="AD599" s="14">
        <f>IFERROR(VLOOKUP($A599,koronahun!$A:$AM,30,FALSE),"")</f>
        <v>0.5714285714285714</v>
      </c>
      <c r="AE599" s="14">
        <f>IFERROR(VLOOKUP($A599,koronahun!$A:$AM,31,FALSE),"")</f>
        <v>1719.7142857142858</v>
      </c>
      <c r="AF599" s="13">
        <f>IFERROR(VLOOKUP($A599,koronahun!$A:$AM,32,FALSE),"")</f>
        <v>6.2571428571428578E-3</v>
      </c>
      <c r="AG599">
        <f>IFERROR(VLOOKUP($A599,koronahun!$A:$AM,33,FALSE),"")</f>
        <v>0</v>
      </c>
      <c r="AH599">
        <f>IFERROR(VLOOKUP($A599,koronahun!$A:$AM,34,FALSE),"")</f>
        <v>0</v>
      </c>
      <c r="AI599">
        <f>IFERROR(VLOOKUP($A599,koronahun!$A:$AM,35,FALSE),"")</f>
        <v>0</v>
      </c>
      <c r="AJ599">
        <f>IFERROR(VLOOKUP($A599,koronahun!$A:$AM,36,FALSE),"")</f>
        <v>0</v>
      </c>
      <c r="AK599">
        <f>IFERROR(VLOOKUP($A599,koronahun!$A:$AM,37,FALSE),"")</f>
        <v>0</v>
      </c>
      <c r="AL599">
        <f>IFERROR(VLOOKUP($A599,koronahun!$A:$AM,38,FALSE),"")</f>
        <v>0</v>
      </c>
      <c r="AM599" s="14">
        <f>IFERROR(VLOOKUP($A599,koronahun!$A:$AM,39,FALSE),"")</f>
        <v>26</v>
      </c>
      <c r="AN599" s="11">
        <f ca="1">IFERROR(__xludf.DUMMYFUNCTION("""COMPUTED_VALUE"""),44491)</f>
        <v>44491</v>
      </c>
      <c r="AO599" s="12">
        <f ca="1">IFERROR(VLOOKUP(AN599,koronahun!A:B,2,FALSE),"")</f>
        <v>843825</v>
      </c>
      <c r="AP599" s="11">
        <f t="shared" ca="1" si="4"/>
        <v>44491</v>
      </c>
      <c r="AQ599" s="11">
        <f ca="1">IFERROR(__xludf.DUMMYFUNCTION("""COMPUTED_VALUE"""),44545)</f>
        <v>44545</v>
      </c>
      <c r="AR599" s="11">
        <v>44020</v>
      </c>
      <c r="AS599" s="11">
        <f t="shared" si="5"/>
        <v>44020</v>
      </c>
      <c r="AT599" s="11">
        <f ca="1">IFERROR(__xludf.DUMMYFUNCTION("""COMPUTED_VALUE"""),44019)</f>
        <v>44019</v>
      </c>
    </row>
    <row r="600" spans="1:46" ht="13">
      <c r="A600" s="11">
        <v>44018</v>
      </c>
      <c r="B600">
        <f>IFERROR(VLOOKUP($A600,koronahun!$A:$AM,2,FALSE),"")</f>
        <v>4189</v>
      </c>
      <c r="C600">
        <f>IFERROR(VLOOKUP($A600,koronahun!$A:$AM,3,FALSE),"")</f>
        <v>6</v>
      </c>
      <c r="D600">
        <f>IFERROR(VLOOKUP($A600,koronahun!$A:$AM,4,FALSE),"")</f>
        <v>589</v>
      </c>
      <c r="E600">
        <f>IFERROR(VLOOKUP($A600,koronahun!$A:$AM,5,FALSE),"")</f>
        <v>2860</v>
      </c>
      <c r="F600">
        <f>IFERROR(VLOOKUP($A600,koronahun!$A:$AM,6,FALSE),"")</f>
        <v>286083</v>
      </c>
      <c r="G600" s="12">
        <f>IFERROR(VLOOKUP($A600,koronahun!$A:$AM,7,FALSE),"")</f>
        <v>29192.142857142855</v>
      </c>
      <c r="H600">
        <f>IFERROR(VLOOKUP($A600,koronahun!$A:$AM,8,FALSE),"")</f>
        <v>0</v>
      </c>
      <c r="I600" s="13">
        <f>IFERROR(VLOOKUP($A600,koronahun!$A:$AM,9,FALSE),"")</f>
        <v>1.4E-3</v>
      </c>
      <c r="J600" s="13">
        <f>IFERROR(VLOOKUP($A600,koronahun!$A:$AM,10,FALSE),"")</f>
        <v>1.46E-2</v>
      </c>
      <c r="K600" s="13">
        <f>IFERROR(VLOOKUP($A600,koronahun!$A:$AM,11,FALSE),"")</f>
        <v>2E-3</v>
      </c>
      <c r="L600">
        <f>IFERROR(VLOOKUP($A600,koronahun!$A:$AM,12,FALSE),"")</f>
        <v>740</v>
      </c>
      <c r="M600" s="13">
        <f>IFERROR(VLOOKUP($A600,koronahun!$A:$AM,13,FALSE),"")</f>
        <v>0.1406</v>
      </c>
      <c r="N600" s="13">
        <f>IFERROR(VLOOKUP($A600,koronahun!$A:$AM,14,FALSE),"")</f>
        <v>0.68269999999999997</v>
      </c>
      <c r="O600">
        <f>IFERROR(VLOOKUP($A600,koronahun!$A:$AM,15,FALSE),"")</f>
        <v>1675</v>
      </c>
      <c r="P600">
        <f>IFERROR(VLOOKUP($A600,koronahun!$A:$AM,16,FALSE),"")</f>
        <v>493</v>
      </c>
      <c r="Q600" s="13">
        <f>IFERROR(VLOOKUP($A600,koronahun!$A:$AM,17,FALSE),"")</f>
        <v>1.2200000000000001E-2</v>
      </c>
      <c r="R600">
        <f>IFERROR(VLOOKUP($A600,koronahun!$A:$AM,18,FALSE),"")</f>
        <v>0</v>
      </c>
      <c r="S600">
        <f>IFERROR(VLOOKUP($A600,koronahun!$A:$AM,19,FALSE),"")</f>
        <v>49</v>
      </c>
      <c r="T600">
        <f>IFERROR(VLOOKUP($A600,koronahun!$A:$AM,20,FALSE),"")</f>
        <v>140</v>
      </c>
      <c r="U600">
        <f>IFERROR(VLOOKUP($A600,koronahun!$A:$AM,21,FALSE),"")</f>
        <v>8</v>
      </c>
      <c r="V600" s="13">
        <f>IFERROR(VLOOKUP($A600,koronahun!$A:$AM,22,FALSE),"")</f>
        <v>0.17665313917402722</v>
      </c>
      <c r="W600">
        <f>IFERROR(VLOOKUP($A600,koronahun!$A:$AM,23,FALSE),"")</f>
        <v>-4</v>
      </c>
      <c r="X600">
        <f>IFERROR(VLOOKUP($A600,koronahun!$A:$AM,24,FALSE),"")</f>
        <v>0</v>
      </c>
      <c r="Y600" s="14">
        <f>IFERROR(VLOOKUP($A600,koronahun!$A:$AM,25,FALSE),"")</f>
        <v>0.1891891891891892</v>
      </c>
      <c r="Z600" s="14">
        <f>IFERROR(VLOOKUP($A600,koronahun!$A:$AM,26,FALSE),"")</f>
        <v>5.7142857142857141E-2</v>
      </c>
      <c r="AA600" s="14">
        <f>IFERROR(VLOOKUP($A600,koronahun!$A:$AM,27,FALSE),"")</f>
        <v>1.0232558139534884</v>
      </c>
      <c r="AB600" s="14">
        <f>IFERROR(VLOOKUP($A600,koronahun!$A:$AM,28,FALSE),"")</f>
        <v>1.045672602030034</v>
      </c>
      <c r="AC600" s="14">
        <f>IFERROR(VLOOKUP($A600,koronahun!$A:$AM,29,FALSE),"")</f>
        <v>6.2857142857142856</v>
      </c>
      <c r="AD600" s="14">
        <f>IFERROR(VLOOKUP($A600,koronahun!$A:$AM,30,FALSE),"")</f>
        <v>0.5714285714285714</v>
      </c>
      <c r="AE600" s="14">
        <f>IFERROR(VLOOKUP($A600,koronahun!$A:$AM,31,FALSE),"")</f>
        <v>1743.4285714285713</v>
      </c>
      <c r="AF600" s="13">
        <f>IFERROR(VLOOKUP($A600,koronahun!$A:$AM,32,FALSE),"")</f>
        <v>5.0571428571428573E-3</v>
      </c>
      <c r="AG600">
        <f>IFERROR(VLOOKUP($A600,koronahun!$A:$AM,33,FALSE),"")</f>
        <v>0</v>
      </c>
      <c r="AH600">
        <f>IFERROR(VLOOKUP($A600,koronahun!$A:$AM,34,FALSE),"")</f>
        <v>0</v>
      </c>
      <c r="AI600">
        <f>IFERROR(VLOOKUP($A600,koronahun!$A:$AM,35,FALSE),"")</f>
        <v>0</v>
      </c>
      <c r="AJ600">
        <f>IFERROR(VLOOKUP($A600,koronahun!$A:$AM,36,FALSE),"")</f>
        <v>0</v>
      </c>
      <c r="AK600">
        <f>IFERROR(VLOOKUP($A600,koronahun!$A:$AM,37,FALSE),"")</f>
        <v>0</v>
      </c>
      <c r="AL600">
        <f>IFERROR(VLOOKUP($A600,koronahun!$A:$AM,38,FALSE),"")</f>
        <v>0</v>
      </c>
      <c r="AM600" s="14">
        <f>IFERROR(VLOOKUP($A600,koronahun!$A:$AM,39,FALSE),"")</f>
        <v>25</v>
      </c>
      <c r="AN600" s="11">
        <f ca="1">IFERROR(__xludf.DUMMYFUNCTION("""COMPUTED_VALUE"""),44492)</f>
        <v>44492</v>
      </c>
      <c r="AO600" s="12">
        <f ca="1">IFERROR(VLOOKUP(AN600,koronahun!A:B,2,FALSE),"")</f>
        <v>0</v>
      </c>
      <c r="AP600" s="11">
        <f t="shared" ca="1" si="4"/>
        <v>44492</v>
      </c>
      <c r="AQ600" s="11">
        <f ca="1">IFERROR(__xludf.DUMMYFUNCTION("""COMPUTED_VALUE"""),44546)</f>
        <v>44546</v>
      </c>
      <c r="AR600" s="11">
        <v>44019</v>
      </c>
      <c r="AS600" s="11">
        <f t="shared" si="5"/>
        <v>44019</v>
      </c>
      <c r="AT600" s="11">
        <f ca="1">IFERROR(__xludf.DUMMYFUNCTION("""COMPUTED_VALUE"""),44018)</f>
        <v>44018</v>
      </c>
    </row>
    <row r="601" spans="1:46" ht="13">
      <c r="A601" s="11">
        <v>44017</v>
      </c>
      <c r="B601">
        <f>IFERROR(VLOOKUP($A601,koronahun!$A:$AM,2,FALSE),"")</f>
        <v>4183</v>
      </c>
      <c r="C601">
        <f>IFERROR(VLOOKUP($A601,koronahun!$A:$AM,3,FALSE),"")</f>
        <v>9</v>
      </c>
      <c r="D601">
        <f>IFERROR(VLOOKUP($A601,koronahun!$A:$AM,4,FALSE),"")</f>
        <v>589</v>
      </c>
      <c r="E601">
        <f>IFERROR(VLOOKUP($A601,koronahun!$A:$AM,5,FALSE),"")</f>
        <v>2811</v>
      </c>
      <c r="F601">
        <f>IFERROR(VLOOKUP($A601,koronahun!$A:$AM,6,FALSE),"")</f>
        <v>285590</v>
      </c>
      <c r="G601" s="12">
        <f>IFERROR(VLOOKUP($A601,koronahun!$A:$AM,7,FALSE),"")</f>
        <v>29141.836734693876</v>
      </c>
      <c r="H601">
        <f>IFERROR(VLOOKUP($A601,koronahun!$A:$AM,8,FALSE),"")</f>
        <v>0</v>
      </c>
      <c r="I601" s="13">
        <f>IFERROR(VLOOKUP($A601,koronahun!$A:$AM,9,FALSE),"")</f>
        <v>2.2000000000000001E-3</v>
      </c>
      <c r="J601" s="13">
        <f>IFERROR(VLOOKUP($A601,koronahun!$A:$AM,10,FALSE),"")</f>
        <v>1.46E-2</v>
      </c>
      <c r="K601" s="13">
        <f>IFERROR(VLOOKUP($A601,koronahun!$A:$AM,11,FALSE),"")</f>
        <v>7.0000000000000001E-3</v>
      </c>
      <c r="L601">
        <f>IFERROR(VLOOKUP($A601,koronahun!$A:$AM,12,FALSE),"")</f>
        <v>783</v>
      </c>
      <c r="M601" s="13">
        <f>IFERROR(VLOOKUP($A601,koronahun!$A:$AM,13,FALSE),"")</f>
        <v>0.14080000000000001</v>
      </c>
      <c r="N601" s="13">
        <f>IFERROR(VLOOKUP($A601,koronahun!$A:$AM,14,FALSE),"")</f>
        <v>0.67200000000000004</v>
      </c>
      <c r="O601">
        <f>IFERROR(VLOOKUP($A601,koronahun!$A:$AM,15,FALSE),"")</f>
        <v>1348</v>
      </c>
      <c r="P601">
        <f>IFERROR(VLOOKUP($A601,koronahun!$A:$AM,16,FALSE),"")</f>
        <v>2082</v>
      </c>
      <c r="Q601" s="13">
        <f>IFERROR(VLOOKUP($A601,koronahun!$A:$AM,17,FALSE),"")</f>
        <v>4.3E-3</v>
      </c>
      <c r="R601">
        <f>IFERROR(VLOOKUP($A601,koronahun!$A:$AM,18,FALSE),"")</f>
        <v>0</v>
      </c>
      <c r="S601">
        <f>IFERROR(VLOOKUP($A601,koronahun!$A:$AM,19,FALSE),"")</f>
        <v>27</v>
      </c>
      <c r="T601">
        <f>IFERROR(VLOOKUP($A601,koronahun!$A:$AM,20,FALSE),"")</f>
        <v>144</v>
      </c>
      <c r="U601">
        <f>IFERROR(VLOOKUP($A601,koronahun!$A:$AM,21,FALSE),"")</f>
        <v>8</v>
      </c>
      <c r="V601" s="13">
        <f>IFERROR(VLOOKUP($A601,koronahun!$A:$AM,22,FALSE),"")</f>
        <v>0.18718622997848433</v>
      </c>
      <c r="W601">
        <f>IFERROR(VLOOKUP($A601,koronahun!$A:$AM,23,FALSE),"")</f>
        <v>4</v>
      </c>
      <c r="X601">
        <f>IFERROR(VLOOKUP($A601,koronahun!$A:$AM,24,FALSE),"")</f>
        <v>0</v>
      </c>
      <c r="Y601" s="14">
        <f>IFERROR(VLOOKUP($A601,koronahun!$A:$AM,25,FALSE),"")</f>
        <v>0.18390804597701149</v>
      </c>
      <c r="Z601" s="14">
        <f>IFERROR(VLOOKUP($A601,koronahun!$A:$AM,26,FALSE),"")</f>
        <v>5.5555555555555552E-2</v>
      </c>
      <c r="AA601" s="14">
        <f>IFERROR(VLOOKUP($A601,koronahun!$A:$AM,27,FALSE),"")</f>
        <v>0.85416666666666663</v>
      </c>
      <c r="AB601" s="14">
        <f>IFERROR(VLOOKUP($A601,koronahun!$A:$AM,28,FALSE),"")</f>
        <v>1.1357569363004147</v>
      </c>
      <c r="AC601" s="14">
        <f>IFERROR(VLOOKUP($A601,koronahun!$A:$AM,29,FALSE),"")</f>
        <v>5.8571428571428568</v>
      </c>
      <c r="AD601" s="14">
        <f>IFERROR(VLOOKUP($A601,koronahun!$A:$AM,30,FALSE),"")</f>
        <v>1.1428571428571428</v>
      </c>
      <c r="AE601" s="14">
        <f>IFERROR(VLOOKUP($A601,koronahun!$A:$AM,31,FALSE),"")</f>
        <v>2056.5714285714284</v>
      </c>
      <c r="AF601" s="13">
        <f>IFERROR(VLOOKUP($A601,koronahun!$A:$AM,32,FALSE),"")</f>
        <v>3.4714285714285719E-3</v>
      </c>
      <c r="AG601">
        <f>IFERROR(VLOOKUP($A601,koronahun!$A:$AM,33,FALSE),"")</f>
        <v>0</v>
      </c>
      <c r="AH601">
        <f>IFERROR(VLOOKUP($A601,koronahun!$A:$AM,34,FALSE),"")</f>
        <v>0</v>
      </c>
      <c r="AI601">
        <f>IFERROR(VLOOKUP($A601,koronahun!$A:$AM,35,FALSE),"")</f>
        <v>0</v>
      </c>
      <c r="AJ601">
        <f>IFERROR(VLOOKUP($A601,koronahun!$A:$AM,36,FALSE),"")</f>
        <v>0</v>
      </c>
      <c r="AK601">
        <f>IFERROR(VLOOKUP($A601,koronahun!$A:$AM,37,FALSE),"")</f>
        <v>0</v>
      </c>
      <c r="AL601">
        <f>IFERROR(VLOOKUP($A601,koronahun!$A:$AM,38,FALSE),"")</f>
        <v>0</v>
      </c>
      <c r="AM601" s="14">
        <f>IFERROR(VLOOKUP($A601,koronahun!$A:$AM,39,FALSE),"")</f>
        <v>18</v>
      </c>
      <c r="AN601" s="11">
        <f ca="1">IFERROR(__xludf.DUMMYFUNCTION("""COMPUTED_VALUE"""),44493)</f>
        <v>44493</v>
      </c>
      <c r="AO601" s="12">
        <f ca="1">IFERROR(VLOOKUP(AN601,koronahun!A:B,2,FALSE),"")</f>
        <v>0</v>
      </c>
      <c r="AP601" s="11">
        <f t="shared" ca="1" si="4"/>
        <v>44493</v>
      </c>
      <c r="AQ601" s="11">
        <f ca="1">IFERROR(__xludf.DUMMYFUNCTION("""COMPUTED_VALUE"""),44547)</f>
        <v>44547</v>
      </c>
      <c r="AR601" s="11">
        <v>44018</v>
      </c>
      <c r="AS601" s="11">
        <f t="shared" si="5"/>
        <v>44018</v>
      </c>
      <c r="AT601" s="11">
        <f ca="1">IFERROR(__xludf.DUMMYFUNCTION("""COMPUTED_VALUE"""),44017)</f>
        <v>44017</v>
      </c>
    </row>
    <row r="602" spans="1:46" ht="13">
      <c r="A602" s="11">
        <v>44016</v>
      </c>
      <c r="B602">
        <f>IFERROR(VLOOKUP($A602,koronahun!$A:$AM,2,FALSE),"")</f>
        <v>4174</v>
      </c>
      <c r="C602">
        <f>IFERROR(VLOOKUP($A602,koronahun!$A:$AM,3,FALSE),"")</f>
        <v>2</v>
      </c>
      <c r="D602">
        <f>IFERROR(VLOOKUP($A602,koronahun!$A:$AM,4,FALSE),"")</f>
        <v>589</v>
      </c>
      <c r="E602">
        <f>IFERROR(VLOOKUP($A602,koronahun!$A:$AM,5,FALSE),"")</f>
        <v>2784</v>
      </c>
      <c r="F602">
        <f>IFERROR(VLOOKUP($A602,koronahun!$A:$AM,6,FALSE),"")</f>
        <v>283508</v>
      </c>
      <c r="G602" s="12">
        <f>IFERROR(VLOOKUP($A602,koronahun!$A:$AM,7,FALSE),"")</f>
        <v>28929.387755102038</v>
      </c>
      <c r="H602">
        <f>IFERROR(VLOOKUP($A602,koronahun!$A:$AM,8,FALSE),"")</f>
        <v>0</v>
      </c>
      <c r="I602" s="13">
        <f>IFERROR(VLOOKUP($A602,koronahun!$A:$AM,9,FALSE),"")</f>
        <v>5.0000000000000001E-4</v>
      </c>
      <c r="J602" s="13">
        <f>IFERROR(VLOOKUP($A602,koronahun!$A:$AM,10,FALSE),"")</f>
        <v>1.47E-2</v>
      </c>
      <c r="K602" s="13">
        <f>IFERROR(VLOOKUP($A602,koronahun!$A:$AM,11,FALSE),"")</f>
        <v>7.0000000000000001E-3</v>
      </c>
      <c r="L602">
        <f>IFERROR(VLOOKUP($A602,koronahun!$A:$AM,12,FALSE),"")</f>
        <v>801</v>
      </c>
      <c r="M602" s="13">
        <f>IFERROR(VLOOKUP($A602,koronahun!$A:$AM,13,FALSE),"")</f>
        <v>0.1411</v>
      </c>
      <c r="N602" s="13">
        <f>IFERROR(VLOOKUP($A602,koronahun!$A:$AM,14,FALSE),"")</f>
        <v>0.66700000000000004</v>
      </c>
      <c r="O602">
        <f>IFERROR(VLOOKUP($A602,koronahun!$A:$AM,15,FALSE),"")</f>
        <v>0</v>
      </c>
      <c r="P602">
        <f>IFERROR(VLOOKUP($A602,koronahun!$A:$AM,16,FALSE),"")</f>
        <v>1880</v>
      </c>
      <c r="Q602" s="13">
        <f>IFERROR(VLOOKUP($A602,koronahun!$A:$AM,17,FALSE),"")</f>
        <v>1.1000000000000001E-3</v>
      </c>
      <c r="R602">
        <f>IFERROR(VLOOKUP($A602,koronahun!$A:$AM,18,FALSE),"")</f>
        <v>1</v>
      </c>
      <c r="S602">
        <f>IFERROR(VLOOKUP($A602,koronahun!$A:$AM,19,FALSE),"")</f>
        <v>32</v>
      </c>
      <c r="T602">
        <f>IFERROR(VLOOKUP($A602,koronahun!$A:$AM,20,FALSE),"")</f>
        <v>140</v>
      </c>
      <c r="U602">
        <f>IFERROR(VLOOKUP($A602,koronahun!$A:$AM,21,FALSE),"")</f>
        <v>8</v>
      </c>
      <c r="V602" s="13">
        <f>IFERROR(VLOOKUP($A602,koronahun!$A:$AM,22,FALSE),"")</f>
        <v>0.19190225203641592</v>
      </c>
      <c r="W602">
        <f>IFERROR(VLOOKUP($A602,koronahun!$A:$AM,23,FALSE),"")</f>
        <v>-10</v>
      </c>
      <c r="X602">
        <f>IFERROR(VLOOKUP($A602,koronahun!$A:$AM,24,FALSE),"")</f>
        <v>-1</v>
      </c>
      <c r="Y602" s="14">
        <f>IFERROR(VLOOKUP($A602,koronahun!$A:$AM,25,FALSE),"")</f>
        <v>0.17478152309612985</v>
      </c>
      <c r="Z602" s="14">
        <f>IFERROR(VLOOKUP($A602,koronahun!$A:$AM,26,FALSE),"")</f>
        <v>5.7142857142857141E-2</v>
      </c>
      <c r="AA602" s="14">
        <f>IFERROR(VLOOKUP($A602,koronahun!$A:$AM,27,FALSE),"")</f>
        <v>0.69230769230769229</v>
      </c>
      <c r="AB602" s="14">
        <f>IFERROR(VLOOKUP($A602,koronahun!$A:$AM,28,FALSE),"")</f>
        <v>1.2880188410623192</v>
      </c>
      <c r="AC602" s="14">
        <f>IFERROR(VLOOKUP($A602,koronahun!$A:$AM,29,FALSE),"")</f>
        <v>5.1428571428571432</v>
      </c>
      <c r="AD602" s="14">
        <f>IFERROR(VLOOKUP($A602,koronahun!$A:$AM,30,FALSE),"")</f>
        <v>1.5714285714285714</v>
      </c>
      <c r="AE602" s="14">
        <f>IFERROR(VLOOKUP($A602,koronahun!$A:$AM,31,FALSE),"")</f>
        <v>1892.1428571428571</v>
      </c>
      <c r="AF602" s="13">
        <f>IFERROR(VLOOKUP($A602,koronahun!$A:$AM,32,FALSE),"")</f>
        <v>3.4714285714285711E-3</v>
      </c>
      <c r="AG602">
        <f>IFERROR(VLOOKUP($A602,koronahun!$A:$AM,33,FALSE),"")</f>
        <v>0</v>
      </c>
      <c r="AH602">
        <f>IFERROR(VLOOKUP($A602,koronahun!$A:$AM,34,FALSE),"")</f>
        <v>0</v>
      </c>
      <c r="AI602">
        <f>IFERROR(VLOOKUP($A602,koronahun!$A:$AM,35,FALSE),"")</f>
        <v>0</v>
      </c>
      <c r="AJ602">
        <f>IFERROR(VLOOKUP($A602,koronahun!$A:$AM,36,FALSE),"")</f>
        <v>0</v>
      </c>
      <c r="AK602">
        <f>IFERROR(VLOOKUP($A602,koronahun!$A:$AM,37,FALSE),"")</f>
        <v>0</v>
      </c>
      <c r="AL602">
        <f>IFERROR(VLOOKUP($A602,koronahun!$A:$AM,38,FALSE),"")</f>
        <v>0</v>
      </c>
      <c r="AM602" s="14">
        <f>IFERROR(VLOOKUP($A602,koronahun!$A:$AM,39,FALSE),"")</f>
        <v>14.714285714285714</v>
      </c>
      <c r="AN602" s="11">
        <f ca="1">IFERROR(__xludf.DUMMYFUNCTION("""COMPUTED_VALUE"""),44494)</f>
        <v>44494</v>
      </c>
      <c r="AO602" s="12">
        <f ca="1">IFERROR(VLOOKUP(AN602,koronahun!A:B,2,FALSE),"")</f>
        <v>850513</v>
      </c>
      <c r="AP602" s="11">
        <f t="shared" ca="1" si="4"/>
        <v>44494</v>
      </c>
      <c r="AQ602" s="11">
        <f ca="1">IFERROR(__xludf.DUMMYFUNCTION("""COMPUTED_VALUE"""),44550)</f>
        <v>44550</v>
      </c>
      <c r="AR602" s="11">
        <v>44017</v>
      </c>
      <c r="AS602" s="11">
        <f t="shared" si="5"/>
        <v>44017</v>
      </c>
      <c r="AT602" s="11">
        <f ca="1">IFERROR(__xludf.DUMMYFUNCTION("""COMPUTED_VALUE"""),44016)</f>
        <v>44016</v>
      </c>
    </row>
    <row r="603" spans="1:46" ht="13">
      <c r="A603" s="11">
        <v>44015</v>
      </c>
      <c r="B603">
        <f>IFERROR(VLOOKUP($A603,koronahun!$A:$AM,2,FALSE),"")</f>
        <v>4172</v>
      </c>
      <c r="C603">
        <f>IFERROR(VLOOKUP($A603,koronahun!$A:$AM,3,FALSE),"")</f>
        <v>6</v>
      </c>
      <c r="D603">
        <f>IFERROR(VLOOKUP($A603,koronahun!$A:$AM,4,FALSE),"")</f>
        <v>588</v>
      </c>
      <c r="E603">
        <f>IFERROR(VLOOKUP($A603,koronahun!$A:$AM,5,FALSE),"")</f>
        <v>2752</v>
      </c>
      <c r="F603">
        <f>IFERROR(VLOOKUP($A603,koronahun!$A:$AM,6,FALSE),"")</f>
        <v>281628</v>
      </c>
      <c r="G603" s="12">
        <f>IFERROR(VLOOKUP($A603,koronahun!$A:$AM,7,FALSE),"")</f>
        <v>28737.551020408162</v>
      </c>
      <c r="H603">
        <f>IFERROR(VLOOKUP($A603,koronahun!$A:$AM,8,FALSE),"")</f>
        <v>0</v>
      </c>
      <c r="I603" s="13">
        <f>IFERROR(VLOOKUP($A603,koronahun!$A:$AM,9,FALSE),"")</f>
        <v>1.4E-3</v>
      </c>
      <c r="J603" s="13">
        <f>IFERROR(VLOOKUP($A603,koronahun!$A:$AM,10,FALSE),"")</f>
        <v>1.4800000000000001E-2</v>
      </c>
      <c r="K603" s="13">
        <f>IFERROR(VLOOKUP($A603,koronahun!$A:$AM,11,FALSE),"")</f>
        <v>7.0000000000000001E-3</v>
      </c>
      <c r="L603">
        <f>IFERROR(VLOOKUP($A603,koronahun!$A:$AM,12,FALSE),"")</f>
        <v>832</v>
      </c>
      <c r="M603" s="13">
        <f>IFERROR(VLOOKUP($A603,koronahun!$A:$AM,13,FALSE),"")</f>
        <v>0.1409</v>
      </c>
      <c r="N603" s="13">
        <f>IFERROR(VLOOKUP($A603,koronahun!$A:$AM,14,FALSE),"")</f>
        <v>0.65959999999999996</v>
      </c>
      <c r="O603">
        <f>IFERROR(VLOOKUP($A603,koronahun!$A:$AM,15,FALSE),"")</f>
        <v>0</v>
      </c>
      <c r="P603">
        <f>IFERROR(VLOOKUP($A603,koronahun!$A:$AM,16,FALSE),"")</f>
        <v>1938</v>
      </c>
      <c r="Q603" s="13">
        <f>IFERROR(VLOOKUP($A603,koronahun!$A:$AM,17,FALSE),"")</f>
        <v>3.0999999999999999E-3</v>
      </c>
      <c r="R603">
        <f>IFERROR(VLOOKUP($A603,koronahun!$A:$AM,18,FALSE),"")</f>
        <v>1</v>
      </c>
      <c r="S603">
        <f>IFERROR(VLOOKUP($A603,koronahun!$A:$AM,19,FALSE),"")</f>
        <v>31</v>
      </c>
      <c r="T603">
        <f>IFERROR(VLOOKUP($A603,koronahun!$A:$AM,20,FALSE),"")</f>
        <v>150</v>
      </c>
      <c r="U603">
        <f>IFERROR(VLOOKUP($A603,koronahun!$A:$AM,21,FALSE),"")</f>
        <v>9</v>
      </c>
      <c r="V603" s="13">
        <f>IFERROR(VLOOKUP($A603,koronahun!$A:$AM,22,FALSE),"")</f>
        <v>0.19942473633748803</v>
      </c>
      <c r="W603">
        <f>IFERROR(VLOOKUP($A603,koronahun!$A:$AM,23,FALSE),"")</f>
        <v>-7</v>
      </c>
      <c r="X603">
        <f>IFERROR(VLOOKUP($A603,koronahun!$A:$AM,24,FALSE),"")</f>
        <v>1</v>
      </c>
      <c r="Y603" s="14">
        <f>IFERROR(VLOOKUP($A603,koronahun!$A:$AM,25,FALSE),"")</f>
        <v>0.18028846153846154</v>
      </c>
      <c r="Z603" s="14">
        <f>IFERROR(VLOOKUP($A603,koronahun!$A:$AM,26,FALSE),"")</f>
        <v>0.06</v>
      </c>
      <c r="AA603" s="14">
        <f>IFERROR(VLOOKUP($A603,koronahun!$A:$AM,27,FALSE),"")</f>
        <v>0.97826086956521741</v>
      </c>
      <c r="AB603" s="14">
        <f>IFERROR(VLOOKUP($A603,koronahun!$A:$AM,28,FALSE),"")</f>
        <v>1.5267800798235578</v>
      </c>
      <c r="AC603" s="14">
        <f>IFERROR(VLOOKUP($A603,koronahun!$A:$AM,29,FALSE),"")</f>
        <v>6.4285714285714288</v>
      </c>
      <c r="AD603" s="14">
        <f>IFERROR(VLOOKUP($A603,koronahun!$A:$AM,30,FALSE),"")</f>
        <v>1.4285714285714286</v>
      </c>
      <c r="AE603" s="14">
        <f>IFERROR(VLOOKUP($A603,koronahun!$A:$AM,31,FALSE),"")</f>
        <v>2081.7142857142858</v>
      </c>
      <c r="AF603" s="13">
        <f>IFERROR(VLOOKUP($A603,koronahun!$A:$AM,32,FALSE),"")</f>
        <v>3.8E-3</v>
      </c>
      <c r="AG603">
        <f>IFERROR(VLOOKUP($A603,koronahun!$A:$AM,33,FALSE),"")</f>
        <v>0</v>
      </c>
      <c r="AH603">
        <f>IFERROR(VLOOKUP($A603,koronahun!$A:$AM,34,FALSE),"")</f>
        <v>0</v>
      </c>
      <c r="AI603">
        <f>IFERROR(VLOOKUP($A603,koronahun!$A:$AM,35,FALSE),"")</f>
        <v>0</v>
      </c>
      <c r="AJ603">
        <f>IFERROR(VLOOKUP($A603,koronahun!$A:$AM,36,FALSE),"")</f>
        <v>0</v>
      </c>
      <c r="AK603">
        <f>IFERROR(VLOOKUP($A603,koronahun!$A:$AM,37,FALSE),"")</f>
        <v>0</v>
      </c>
      <c r="AL603">
        <f>IFERROR(VLOOKUP($A603,koronahun!$A:$AM,38,FALSE),"")</f>
        <v>0</v>
      </c>
      <c r="AM603" s="14">
        <f>IFERROR(VLOOKUP($A603,koronahun!$A:$AM,39,FALSE),"")</f>
        <v>12.714285714285714</v>
      </c>
      <c r="AN603" s="11">
        <f ca="1">IFERROR(__xludf.DUMMYFUNCTION("""COMPUTED_VALUE"""),44495)</f>
        <v>44495</v>
      </c>
      <c r="AO603" s="12">
        <f ca="1">IFERROR(VLOOKUP(AN603,koronahun!A:B,2,FALSE),"")</f>
        <v>852214</v>
      </c>
      <c r="AP603" s="11">
        <f t="shared" ca="1" si="4"/>
        <v>44495</v>
      </c>
      <c r="AQ603" s="11">
        <f ca="1">IFERROR(__xludf.DUMMYFUNCTION("""COMPUTED_VALUE"""),44551)</f>
        <v>44551</v>
      </c>
      <c r="AR603" s="11">
        <v>44016</v>
      </c>
      <c r="AS603" s="11">
        <f t="shared" si="5"/>
        <v>44016</v>
      </c>
      <c r="AT603" s="11">
        <f ca="1">IFERROR(__xludf.DUMMYFUNCTION("""COMPUTED_VALUE"""),44015)</f>
        <v>44015</v>
      </c>
    </row>
    <row r="604" spans="1:46" ht="13">
      <c r="A604" s="11">
        <v>44014</v>
      </c>
      <c r="B604">
        <f>IFERROR(VLOOKUP($A604,koronahun!$A:$AM,2,FALSE),"")</f>
        <v>4166</v>
      </c>
      <c r="C604">
        <f>IFERROR(VLOOKUP($A604,koronahun!$A:$AM,3,FALSE),"")</f>
        <v>9</v>
      </c>
      <c r="D604">
        <f>IFERROR(VLOOKUP($A604,koronahun!$A:$AM,4,FALSE),"")</f>
        <v>587</v>
      </c>
      <c r="E604">
        <f>IFERROR(VLOOKUP($A604,koronahun!$A:$AM,5,FALSE),"")</f>
        <v>2721</v>
      </c>
      <c r="F604">
        <f>IFERROR(VLOOKUP($A604,koronahun!$A:$AM,6,FALSE),"")</f>
        <v>279690</v>
      </c>
      <c r="G604" s="12">
        <f>IFERROR(VLOOKUP($A604,koronahun!$A:$AM,7,FALSE),"")</f>
        <v>28539.795918367345</v>
      </c>
      <c r="H604">
        <f>IFERROR(VLOOKUP($A604,koronahun!$A:$AM,8,FALSE),"")</f>
        <v>0</v>
      </c>
      <c r="I604" s="13">
        <f>IFERROR(VLOOKUP($A604,koronahun!$A:$AM,9,FALSE),"")</f>
        <v>2.2000000000000001E-3</v>
      </c>
      <c r="J604" s="13">
        <f>IFERROR(VLOOKUP($A604,koronahun!$A:$AM,10,FALSE),"")</f>
        <v>1.49E-2</v>
      </c>
      <c r="K604" s="13">
        <f>IFERROR(VLOOKUP($A604,koronahun!$A:$AM,11,FALSE),"")</f>
        <v>7.0000000000000001E-3</v>
      </c>
      <c r="L604">
        <f>IFERROR(VLOOKUP($A604,koronahun!$A:$AM,12,FALSE),"")</f>
        <v>858</v>
      </c>
      <c r="M604" s="13">
        <f>IFERROR(VLOOKUP($A604,koronahun!$A:$AM,13,FALSE),"")</f>
        <v>0.1409</v>
      </c>
      <c r="N604" s="13">
        <f>IFERROR(VLOOKUP($A604,koronahun!$A:$AM,14,FALSE),"")</f>
        <v>0.65310000000000001</v>
      </c>
      <c r="O604">
        <f>IFERROR(VLOOKUP($A604,koronahun!$A:$AM,15,FALSE),"")</f>
        <v>0</v>
      </c>
      <c r="P604">
        <f>IFERROR(VLOOKUP($A604,koronahun!$A:$AM,16,FALSE),"")</f>
        <v>1940</v>
      </c>
      <c r="Q604" s="13">
        <f>IFERROR(VLOOKUP($A604,koronahun!$A:$AM,17,FALSE),"")</f>
        <v>4.5999999999999999E-3</v>
      </c>
      <c r="R604">
        <f>IFERROR(VLOOKUP($A604,koronahun!$A:$AM,18,FALSE),"")</f>
        <v>1</v>
      </c>
      <c r="S604">
        <f>IFERROR(VLOOKUP($A604,koronahun!$A:$AM,19,FALSE),"")</f>
        <v>7</v>
      </c>
      <c r="T604">
        <f>IFERROR(VLOOKUP($A604,koronahun!$A:$AM,20,FALSE),"")</f>
        <v>157</v>
      </c>
      <c r="U604">
        <f>IFERROR(VLOOKUP($A604,koronahun!$A:$AM,21,FALSE),"")</f>
        <v>8</v>
      </c>
      <c r="V604" s="13">
        <f>IFERROR(VLOOKUP($A604,koronahun!$A:$AM,22,FALSE),"")</f>
        <v>0.20595295247239559</v>
      </c>
      <c r="W604">
        <f>IFERROR(VLOOKUP($A604,koronahun!$A:$AM,23,FALSE),"")</f>
        <v>-12</v>
      </c>
      <c r="X604">
        <f>IFERROR(VLOOKUP($A604,koronahun!$A:$AM,24,FALSE),"")</f>
        <v>0</v>
      </c>
      <c r="Y604" s="14">
        <f>IFERROR(VLOOKUP($A604,koronahun!$A:$AM,25,FALSE),"")</f>
        <v>0.18298368298368298</v>
      </c>
      <c r="Z604" s="14">
        <f>IFERROR(VLOOKUP($A604,koronahun!$A:$AM,26,FALSE),"")</f>
        <v>5.0955414012738856E-2</v>
      </c>
      <c r="AA604" s="14">
        <f>IFERROR(VLOOKUP($A604,koronahun!$A:$AM,27,FALSE),"")</f>
        <v>0.97727272727272729</v>
      </c>
      <c r="AB604" s="14">
        <f>IFERROR(VLOOKUP($A604,koronahun!$A:$AM,28,FALSE),"")</f>
        <v>1.6217224045795473</v>
      </c>
      <c r="AC604" s="14">
        <f>IFERROR(VLOOKUP($A604,koronahun!$A:$AM,29,FALSE),"")</f>
        <v>6.1428571428571432</v>
      </c>
      <c r="AD604" s="14">
        <f>IFERROR(VLOOKUP($A604,koronahun!$A:$AM,30,FALSE),"")</f>
        <v>1.4285714285714286</v>
      </c>
      <c r="AE604" s="14">
        <f>IFERROR(VLOOKUP($A604,koronahun!$A:$AM,31,FALSE),"")</f>
        <v>2080.1428571428573</v>
      </c>
      <c r="AF604" s="13">
        <f>IFERROR(VLOOKUP($A604,koronahun!$A:$AM,32,FALSE),"")</f>
        <v>3.6571428571428566E-3</v>
      </c>
      <c r="AG604">
        <f>IFERROR(VLOOKUP($A604,koronahun!$A:$AM,33,FALSE),"")</f>
        <v>0</v>
      </c>
      <c r="AH604">
        <f>IFERROR(VLOOKUP($A604,koronahun!$A:$AM,34,FALSE),"")</f>
        <v>0</v>
      </c>
      <c r="AI604">
        <f>IFERROR(VLOOKUP($A604,koronahun!$A:$AM,35,FALSE),"")</f>
        <v>0</v>
      </c>
      <c r="AJ604">
        <f>IFERROR(VLOOKUP($A604,koronahun!$A:$AM,36,FALSE),"")</f>
        <v>0</v>
      </c>
      <c r="AK604">
        <f>IFERROR(VLOOKUP($A604,koronahun!$A:$AM,37,FALSE),"")</f>
        <v>0</v>
      </c>
      <c r="AL604">
        <f>IFERROR(VLOOKUP($A604,koronahun!$A:$AM,38,FALSE),"")</f>
        <v>0</v>
      </c>
      <c r="AM604" s="14">
        <f>IFERROR(VLOOKUP($A604,koronahun!$A:$AM,39,FALSE),"")</f>
        <v>11.571428571428571</v>
      </c>
      <c r="AN604" s="11">
        <f ca="1">IFERROR(__xludf.DUMMYFUNCTION("""COMPUTED_VALUE"""),44496)</f>
        <v>44496</v>
      </c>
      <c r="AO604" s="12">
        <f ca="1">IFERROR(VLOOKUP(AN604,koronahun!A:B,2,FALSE),"")</f>
        <v>855339</v>
      </c>
      <c r="AP604" s="11">
        <f t="shared" ca="1" si="4"/>
        <v>44496</v>
      </c>
      <c r="AQ604" s="11">
        <f ca="1">IFERROR(__xludf.DUMMYFUNCTION("""COMPUTED_VALUE"""),44552)</f>
        <v>44552</v>
      </c>
      <c r="AR604" s="11">
        <v>44015</v>
      </c>
      <c r="AS604" s="11">
        <f t="shared" si="5"/>
        <v>44015</v>
      </c>
      <c r="AT604" s="11">
        <f ca="1">IFERROR(__xludf.DUMMYFUNCTION("""COMPUTED_VALUE"""),44014)</f>
        <v>44014</v>
      </c>
    </row>
    <row r="605" spans="1:46" ht="13">
      <c r="A605" s="11">
        <v>44013</v>
      </c>
      <c r="B605">
        <f>IFERROR(VLOOKUP($A605,koronahun!$A:$AM,2,FALSE),"")</f>
        <v>4157</v>
      </c>
      <c r="C605">
        <f>IFERROR(VLOOKUP($A605,koronahun!$A:$AM,3,FALSE),"")</f>
        <v>2</v>
      </c>
      <c r="D605">
        <f>IFERROR(VLOOKUP($A605,koronahun!$A:$AM,4,FALSE),"")</f>
        <v>586</v>
      </c>
      <c r="E605">
        <f>IFERROR(VLOOKUP($A605,koronahun!$A:$AM,5,FALSE),"")</f>
        <v>2714</v>
      </c>
      <c r="F605">
        <f>IFERROR(VLOOKUP($A605,koronahun!$A:$AM,6,FALSE),"")</f>
        <v>277750</v>
      </c>
      <c r="G605" s="12">
        <f>IFERROR(VLOOKUP($A605,koronahun!$A:$AM,7,FALSE),"")</f>
        <v>28341.836734693876</v>
      </c>
      <c r="H605">
        <f>IFERROR(VLOOKUP($A605,koronahun!$A:$AM,8,FALSE),"")</f>
        <v>0</v>
      </c>
      <c r="I605" s="13">
        <f>IFERROR(VLOOKUP($A605,koronahun!$A:$AM,9,FALSE),"")</f>
        <v>5.0000000000000001E-4</v>
      </c>
      <c r="J605" s="13">
        <f>IFERROR(VLOOKUP($A605,koronahun!$A:$AM,10,FALSE),"")</f>
        <v>1.4999999999999999E-2</v>
      </c>
      <c r="K605" s="13">
        <f>IFERROR(VLOOKUP($A605,koronahun!$A:$AM,11,FALSE),"")</f>
        <v>0.01</v>
      </c>
      <c r="L605">
        <f>IFERROR(VLOOKUP($A605,koronahun!$A:$AM,12,FALSE),"")</f>
        <v>857</v>
      </c>
      <c r="M605" s="13">
        <f>IFERROR(VLOOKUP($A605,koronahun!$A:$AM,13,FALSE),"")</f>
        <v>0.14099999999999999</v>
      </c>
      <c r="N605" s="13">
        <f>IFERROR(VLOOKUP($A605,koronahun!$A:$AM,14,FALSE),"")</f>
        <v>0.65290000000000004</v>
      </c>
      <c r="O605">
        <f>IFERROR(VLOOKUP($A605,koronahun!$A:$AM,15,FALSE),"")</f>
        <v>0</v>
      </c>
      <c r="P605">
        <f>IFERROR(VLOOKUP($A605,koronahun!$A:$AM,16,FALSE),"")</f>
        <v>2805</v>
      </c>
      <c r="Q605" s="13">
        <f>IFERROR(VLOOKUP($A605,koronahun!$A:$AM,17,FALSE),"")</f>
        <v>6.9999999999999999E-4</v>
      </c>
      <c r="R605">
        <f>IFERROR(VLOOKUP($A605,koronahun!$A:$AM,18,FALSE),"")</f>
        <v>1</v>
      </c>
      <c r="S605">
        <f>IFERROR(VLOOKUP($A605,koronahun!$A:$AM,19,FALSE),"")</f>
        <v>22</v>
      </c>
      <c r="T605">
        <f>IFERROR(VLOOKUP($A605,koronahun!$A:$AM,20,FALSE),"")</f>
        <v>169</v>
      </c>
      <c r="U605">
        <f>IFERROR(VLOOKUP($A605,koronahun!$A:$AM,21,FALSE),"")</f>
        <v>8</v>
      </c>
      <c r="V605" s="13">
        <f>IFERROR(VLOOKUP($A605,koronahun!$A:$AM,22,FALSE),"")</f>
        <v>0.20615828722636517</v>
      </c>
      <c r="W605">
        <f>IFERROR(VLOOKUP($A605,koronahun!$A:$AM,23,FALSE),"")</f>
        <v>0</v>
      </c>
      <c r="X605">
        <f>IFERROR(VLOOKUP($A605,koronahun!$A:$AM,24,FALSE),"")</f>
        <v>-1</v>
      </c>
      <c r="Y605" s="14">
        <f>IFERROR(VLOOKUP($A605,koronahun!$A:$AM,25,FALSE),"")</f>
        <v>0.1971995332555426</v>
      </c>
      <c r="Z605" s="14">
        <f>IFERROR(VLOOKUP($A605,koronahun!$A:$AM,26,FALSE),"")</f>
        <v>4.7337278106508875E-2</v>
      </c>
      <c r="AA605" s="14">
        <f>IFERROR(VLOOKUP($A605,koronahun!$A:$AM,27,FALSE),"")</f>
        <v>1.1944444444444444</v>
      </c>
      <c r="AB605" s="14">
        <f>IFERROR(VLOOKUP($A605,koronahun!$A:$AM,28,FALSE),"")</f>
        <v>1.639254872112015</v>
      </c>
      <c r="AC605" s="14">
        <f>IFERROR(VLOOKUP($A605,koronahun!$A:$AM,29,FALSE),"")</f>
        <v>6.1428571428571432</v>
      </c>
      <c r="AD605" s="14">
        <f>IFERROR(VLOOKUP($A605,koronahun!$A:$AM,30,FALSE),"")</f>
        <v>1.4285714285714286</v>
      </c>
      <c r="AE605" s="14">
        <f>IFERROR(VLOOKUP($A605,koronahun!$A:$AM,31,FALSE),"")</f>
        <v>2332.8571428571427</v>
      </c>
      <c r="AF605" s="13">
        <f>IFERROR(VLOOKUP($A605,koronahun!$A:$AM,32,FALSE),"")</f>
        <v>3.3428571428571426E-3</v>
      </c>
      <c r="AG605">
        <f>IFERROR(VLOOKUP($A605,koronahun!$A:$AM,33,FALSE),"")</f>
        <v>0</v>
      </c>
      <c r="AH605">
        <f>IFERROR(VLOOKUP($A605,koronahun!$A:$AM,34,FALSE),"")</f>
        <v>0</v>
      </c>
      <c r="AI605">
        <f>IFERROR(VLOOKUP($A605,koronahun!$A:$AM,35,FALSE),"")</f>
        <v>0</v>
      </c>
      <c r="AJ605">
        <f>IFERROR(VLOOKUP($A605,koronahun!$A:$AM,36,FALSE),"")</f>
        <v>0</v>
      </c>
      <c r="AK605">
        <f>IFERROR(VLOOKUP($A605,koronahun!$A:$AM,37,FALSE),"")</f>
        <v>0</v>
      </c>
      <c r="AL605">
        <f>IFERROR(VLOOKUP($A605,koronahun!$A:$AM,38,FALSE),"")</f>
        <v>0</v>
      </c>
      <c r="AM605" s="14">
        <f>IFERROR(VLOOKUP($A605,koronahun!$A:$AM,39,FALSE),"")</f>
        <v>13.714285714285714</v>
      </c>
      <c r="AN605" s="11">
        <f ca="1">IFERROR(__xludf.DUMMYFUNCTION("""COMPUTED_VALUE"""),44497)</f>
        <v>44497</v>
      </c>
      <c r="AO605" s="12">
        <f ca="1">IFERROR(VLOOKUP(AN605,koronahun!A:B,2,FALSE),"")</f>
        <v>859378</v>
      </c>
      <c r="AP605" s="11">
        <f t="shared" ca="1" si="4"/>
        <v>44497</v>
      </c>
      <c r="AQ605" s="11">
        <f ca="1">IFERROR(__xludf.DUMMYFUNCTION("""COMPUTED_VALUE"""),44553)</f>
        <v>44553</v>
      </c>
      <c r="AR605" s="11">
        <v>44014</v>
      </c>
      <c r="AS605" s="11">
        <f t="shared" si="5"/>
        <v>44014</v>
      </c>
      <c r="AT605" s="11">
        <f ca="1">IFERROR(__xludf.DUMMYFUNCTION("""COMPUTED_VALUE"""),44013)</f>
        <v>44013</v>
      </c>
    </row>
    <row r="606" spans="1:46" ht="13">
      <c r="A606" s="11">
        <v>44012</v>
      </c>
      <c r="B606">
        <f>IFERROR(VLOOKUP($A606,koronahun!$A:$AM,2,FALSE),"")</f>
        <v>4155</v>
      </c>
      <c r="C606">
        <f>IFERROR(VLOOKUP($A606,koronahun!$A:$AM,3,FALSE),"")</f>
        <v>10</v>
      </c>
      <c r="D606">
        <f>IFERROR(VLOOKUP($A606,koronahun!$A:$AM,4,FALSE),"")</f>
        <v>585</v>
      </c>
      <c r="E606">
        <f>IFERROR(VLOOKUP($A606,koronahun!$A:$AM,5,FALSE),"")</f>
        <v>2692</v>
      </c>
      <c r="F606">
        <f>IFERROR(VLOOKUP($A606,koronahun!$A:$AM,6,FALSE),"")</f>
        <v>274945</v>
      </c>
      <c r="G606" s="12">
        <f>IFERROR(VLOOKUP($A606,koronahun!$A:$AM,7,FALSE),"")</f>
        <v>28055.612244897959</v>
      </c>
      <c r="H606">
        <f>IFERROR(VLOOKUP($A606,koronahun!$A:$AM,8,FALSE),"")</f>
        <v>0</v>
      </c>
      <c r="I606" s="13">
        <f>IFERROR(VLOOKUP($A606,koronahun!$A:$AM,9,FALSE),"")</f>
        <v>2.3999999999999998E-3</v>
      </c>
      <c r="J606" s="13">
        <f>IFERROR(VLOOKUP($A606,koronahun!$A:$AM,10,FALSE),"")</f>
        <v>1.5100000000000001E-2</v>
      </c>
      <c r="K606" s="13">
        <f>IFERROR(VLOOKUP($A606,koronahun!$A:$AM,11,FALSE),"")</f>
        <v>4.0000000000000001E-3</v>
      </c>
      <c r="L606">
        <f>IFERROR(VLOOKUP($A606,koronahun!$A:$AM,12,FALSE),"")</f>
        <v>878</v>
      </c>
      <c r="M606" s="13">
        <f>IFERROR(VLOOKUP($A606,koronahun!$A:$AM,13,FALSE),"")</f>
        <v>0.14080000000000001</v>
      </c>
      <c r="N606" s="13">
        <f>IFERROR(VLOOKUP($A606,koronahun!$A:$AM,14,FALSE),"")</f>
        <v>0.64790000000000003</v>
      </c>
      <c r="O606">
        <f>IFERROR(VLOOKUP($A606,koronahun!$A:$AM,15,FALSE),"")</f>
        <v>0</v>
      </c>
      <c r="P606">
        <f>IFERROR(VLOOKUP($A606,koronahun!$A:$AM,16,FALSE),"")</f>
        <v>1066</v>
      </c>
      <c r="Q606" s="13">
        <f>IFERROR(VLOOKUP($A606,koronahun!$A:$AM,17,FALSE),"")</f>
        <v>9.4000000000000004E-3</v>
      </c>
      <c r="R606">
        <f>IFERROR(VLOOKUP($A606,koronahun!$A:$AM,18,FALSE),"")</f>
        <v>0</v>
      </c>
      <c r="S606">
        <f>IFERROR(VLOOKUP($A606,koronahun!$A:$AM,19,FALSE),"")</f>
        <v>7</v>
      </c>
      <c r="T606">
        <f>IFERROR(VLOOKUP($A606,koronahun!$A:$AM,20,FALSE),"")</f>
        <v>169</v>
      </c>
      <c r="U606">
        <f>IFERROR(VLOOKUP($A606,koronahun!$A:$AM,21,FALSE),"")</f>
        <v>9</v>
      </c>
      <c r="V606" s="13">
        <f>IFERROR(VLOOKUP($A606,koronahun!$A:$AM,22,FALSE),"")</f>
        <v>0.21131167268351383</v>
      </c>
      <c r="W606">
        <f>IFERROR(VLOOKUP($A606,koronahun!$A:$AM,23,FALSE),"")</f>
        <v>-1</v>
      </c>
      <c r="X606">
        <f>IFERROR(VLOOKUP($A606,koronahun!$A:$AM,24,FALSE),"")</f>
        <v>0</v>
      </c>
      <c r="Y606" s="14">
        <f>IFERROR(VLOOKUP($A606,koronahun!$A:$AM,25,FALSE),"")</f>
        <v>0.19248291571753987</v>
      </c>
      <c r="Z606" s="14">
        <f>IFERROR(VLOOKUP($A606,koronahun!$A:$AM,26,FALSE),"")</f>
        <v>5.3254437869822487E-2</v>
      </c>
      <c r="AA606" s="14">
        <f>IFERROR(VLOOKUP($A606,koronahun!$A:$AM,27,FALSE),"")</f>
        <v>1.6</v>
      </c>
      <c r="AB606" s="14">
        <f>IFERROR(VLOOKUP($A606,koronahun!$A:$AM,28,FALSE),"")</f>
        <v>1.569460287611548</v>
      </c>
      <c r="AC606" s="14">
        <f>IFERROR(VLOOKUP($A606,koronahun!$A:$AM,29,FALSE),"")</f>
        <v>6.8571428571428568</v>
      </c>
      <c r="AD606" s="14">
        <f>IFERROR(VLOOKUP($A606,koronahun!$A:$AM,30,FALSE),"")</f>
        <v>1.7142857142857142</v>
      </c>
      <c r="AE606" s="14">
        <f>IFERROR(VLOOKUP($A606,koronahun!$A:$AM,31,FALSE),"")</f>
        <v>2297.7142857142858</v>
      </c>
      <c r="AF606" s="13">
        <f>IFERROR(VLOOKUP($A606,koronahun!$A:$AM,32,FALSE),"")</f>
        <v>3.6285714285714285E-3</v>
      </c>
      <c r="AG606">
        <f>IFERROR(VLOOKUP($A606,koronahun!$A:$AM,33,FALSE),"")</f>
        <v>0</v>
      </c>
      <c r="AH606">
        <f>IFERROR(VLOOKUP($A606,koronahun!$A:$AM,34,FALSE),"")</f>
        <v>0</v>
      </c>
      <c r="AI606">
        <f>IFERROR(VLOOKUP($A606,koronahun!$A:$AM,35,FALSE),"")</f>
        <v>0</v>
      </c>
      <c r="AJ606">
        <f>IFERROR(VLOOKUP($A606,koronahun!$A:$AM,36,FALSE),"")</f>
        <v>0</v>
      </c>
      <c r="AK606">
        <f>IFERROR(VLOOKUP($A606,koronahun!$A:$AM,37,FALSE),"")</f>
        <v>0</v>
      </c>
      <c r="AL606">
        <f>IFERROR(VLOOKUP($A606,koronahun!$A:$AM,38,FALSE),"")</f>
        <v>0</v>
      </c>
      <c r="AM606" s="14">
        <f>IFERROR(VLOOKUP($A606,koronahun!$A:$AM,39,FALSE),"")</f>
        <v>13.142857142857142</v>
      </c>
      <c r="AN606" s="11">
        <f ca="1">IFERROR(__xludf.DUMMYFUNCTION("""COMPUTED_VALUE"""),44498)</f>
        <v>44498</v>
      </c>
      <c r="AO606" s="12">
        <f ca="1">IFERROR(VLOOKUP(AN606,koronahun!A:B,2,FALSE),"")</f>
        <v>863419</v>
      </c>
      <c r="AP606" s="11">
        <f t="shared" ca="1" si="4"/>
        <v>44498</v>
      </c>
      <c r="AQ606" s="11">
        <f ca="1">IFERROR(__xludf.DUMMYFUNCTION("""COMPUTED_VALUE"""),44557)</f>
        <v>44557</v>
      </c>
      <c r="AR606" s="11">
        <v>44013</v>
      </c>
      <c r="AS606" s="11">
        <f t="shared" si="5"/>
        <v>44013</v>
      </c>
      <c r="AT606" s="11">
        <f ca="1">IFERROR(__xludf.DUMMYFUNCTION("""COMPUTED_VALUE"""),44012)</f>
        <v>44012</v>
      </c>
    </row>
    <row r="607" spans="1:46" ht="13">
      <c r="A607" s="11">
        <v>44011</v>
      </c>
      <c r="B607">
        <f>IFERROR(VLOOKUP($A607,koronahun!$A:$AM,2,FALSE),"")</f>
        <v>4145</v>
      </c>
      <c r="C607">
        <f>IFERROR(VLOOKUP($A607,koronahun!$A:$AM,3,FALSE),"")</f>
        <v>3</v>
      </c>
      <c r="D607">
        <f>IFERROR(VLOOKUP($A607,koronahun!$A:$AM,4,FALSE),"")</f>
        <v>585</v>
      </c>
      <c r="E607">
        <f>IFERROR(VLOOKUP($A607,koronahun!$A:$AM,5,FALSE),"")</f>
        <v>2685</v>
      </c>
      <c r="F607">
        <f>IFERROR(VLOOKUP($A607,koronahun!$A:$AM,6,FALSE),"")</f>
        <v>273879</v>
      </c>
      <c r="G607" s="12">
        <f>IFERROR(VLOOKUP($A607,koronahun!$A:$AM,7,FALSE),"")</f>
        <v>27946.836734693876</v>
      </c>
      <c r="H607">
        <f>IFERROR(VLOOKUP($A607,koronahun!$A:$AM,8,FALSE),"")</f>
        <v>0</v>
      </c>
      <c r="I607" s="13">
        <f>IFERROR(VLOOKUP($A607,koronahun!$A:$AM,9,FALSE),"")</f>
        <v>6.9999999999999999E-4</v>
      </c>
      <c r="J607" s="13">
        <f>IFERROR(VLOOKUP($A607,koronahun!$A:$AM,10,FALSE),"")</f>
        <v>1.5100000000000001E-2</v>
      </c>
      <c r="K607" s="13">
        <f>IFERROR(VLOOKUP($A607,koronahun!$A:$AM,11,FALSE),"")</f>
        <v>0.01</v>
      </c>
      <c r="L607">
        <f>IFERROR(VLOOKUP($A607,koronahun!$A:$AM,12,FALSE),"")</f>
        <v>875</v>
      </c>
      <c r="M607" s="13">
        <f>IFERROR(VLOOKUP($A607,koronahun!$A:$AM,13,FALSE),"")</f>
        <v>0.1411</v>
      </c>
      <c r="N607" s="13">
        <f>IFERROR(VLOOKUP($A607,koronahun!$A:$AM,14,FALSE),"")</f>
        <v>0.64780000000000004</v>
      </c>
      <c r="O607">
        <f>IFERROR(VLOOKUP($A607,koronahun!$A:$AM,15,FALSE),"")</f>
        <v>1763</v>
      </c>
      <c r="P607">
        <f>IFERROR(VLOOKUP($A607,koronahun!$A:$AM,16,FALSE),"")</f>
        <v>2685</v>
      </c>
      <c r="Q607" s="13">
        <f>IFERROR(VLOOKUP($A607,koronahun!$A:$AM,17,FALSE),"")</f>
        <v>1.1000000000000001E-3</v>
      </c>
      <c r="R607">
        <f>IFERROR(VLOOKUP($A607,koronahun!$A:$AM,18,FALSE),"")</f>
        <v>4</v>
      </c>
      <c r="S607">
        <f>IFERROR(VLOOKUP($A607,koronahun!$A:$AM,19,FALSE),"")</f>
        <v>0</v>
      </c>
      <c r="T607">
        <f>IFERROR(VLOOKUP($A607,koronahun!$A:$AM,20,FALSE),"")</f>
        <v>170</v>
      </c>
      <c r="U607">
        <f>IFERROR(VLOOKUP($A607,koronahun!$A:$AM,21,FALSE),"")</f>
        <v>9</v>
      </c>
      <c r="V607" s="13">
        <f>IFERROR(VLOOKUP($A607,koronahun!$A:$AM,22,FALSE),"")</f>
        <v>0.21109770808202655</v>
      </c>
      <c r="W607">
        <f>IFERROR(VLOOKUP($A607,koronahun!$A:$AM,23,FALSE),"")</f>
        <v>-2</v>
      </c>
      <c r="X607">
        <f>IFERROR(VLOOKUP($A607,koronahun!$A:$AM,24,FALSE),"")</f>
        <v>0</v>
      </c>
      <c r="Y607" s="14">
        <f>IFERROR(VLOOKUP($A607,koronahun!$A:$AM,25,FALSE),"")</f>
        <v>0.19428571428571428</v>
      </c>
      <c r="Z607" s="14">
        <f>IFERROR(VLOOKUP($A607,koronahun!$A:$AM,26,FALSE),"")</f>
        <v>5.2941176470588235E-2</v>
      </c>
      <c r="AA607" s="14">
        <f>IFERROR(VLOOKUP($A607,koronahun!$A:$AM,27,FALSE),"")</f>
        <v>1.6538461538461537</v>
      </c>
      <c r="AB607" s="14">
        <f>IFERROR(VLOOKUP($A607,koronahun!$A:$AM,28,FALSE),"")</f>
        <v>1.412317430468691</v>
      </c>
      <c r="AC607" s="14">
        <f>IFERROR(VLOOKUP($A607,koronahun!$A:$AM,29,FALSE),"")</f>
        <v>6.1428571428571432</v>
      </c>
      <c r="AD607" s="14">
        <f>IFERROR(VLOOKUP($A607,koronahun!$A:$AM,30,FALSE),"")</f>
        <v>1.8571428571428572</v>
      </c>
      <c r="AE607" s="14">
        <f>IFERROR(VLOOKUP($A607,koronahun!$A:$AM,31,FALSE),"")</f>
        <v>2252</v>
      </c>
      <c r="AF607" s="13">
        <f>IFERROR(VLOOKUP($A607,koronahun!$A:$AM,32,FALSE),"")</f>
        <v>3.2428571428571432E-3</v>
      </c>
      <c r="AG607">
        <f>IFERROR(VLOOKUP($A607,koronahun!$A:$AM,33,FALSE),"")</f>
        <v>0</v>
      </c>
      <c r="AH607">
        <f>IFERROR(VLOOKUP($A607,koronahun!$A:$AM,34,FALSE),"")</f>
        <v>0</v>
      </c>
      <c r="AI607">
        <f>IFERROR(VLOOKUP($A607,koronahun!$A:$AM,35,FALSE),"")</f>
        <v>0</v>
      </c>
      <c r="AJ607">
        <f>IFERROR(VLOOKUP($A607,koronahun!$A:$AM,36,FALSE),"")</f>
        <v>0</v>
      </c>
      <c r="AK607">
        <f>IFERROR(VLOOKUP($A607,koronahun!$A:$AM,37,FALSE),"")</f>
        <v>0</v>
      </c>
      <c r="AL607">
        <f>IFERROR(VLOOKUP($A607,koronahun!$A:$AM,38,FALSE),"")</f>
        <v>0</v>
      </c>
      <c r="AM607" s="14">
        <f>IFERROR(VLOOKUP($A607,koronahun!$A:$AM,39,FALSE),"")</f>
        <v>13.571428571428571</v>
      </c>
      <c r="AN607" s="11">
        <f ca="1">IFERROR(__xludf.DUMMYFUNCTION("""COMPUTED_VALUE"""),44499)</f>
        <v>44499</v>
      </c>
      <c r="AO607" s="12">
        <f ca="1">IFERROR(VLOOKUP(AN607,koronahun!A:B,2,FALSE),"")</f>
        <v>0</v>
      </c>
      <c r="AP607" s="11">
        <f t="shared" ca="1" si="4"/>
        <v>44499</v>
      </c>
      <c r="AQ607" s="11">
        <f ca="1">IFERROR(__xludf.DUMMYFUNCTION("""COMPUTED_VALUE"""),44558)</f>
        <v>44558</v>
      </c>
      <c r="AR607" s="11">
        <v>44012</v>
      </c>
      <c r="AS607" s="11">
        <f t="shared" si="5"/>
        <v>44012</v>
      </c>
      <c r="AT607" s="11">
        <f ca="1">IFERROR(__xludf.DUMMYFUNCTION("""COMPUTED_VALUE"""),44011)</f>
        <v>44011</v>
      </c>
    </row>
    <row r="608" spans="1:46" ht="13">
      <c r="A608" s="11">
        <v>44010</v>
      </c>
      <c r="B608">
        <f>IFERROR(VLOOKUP($A608,koronahun!$A:$AM,2,FALSE),"")</f>
        <v>4142</v>
      </c>
      <c r="C608">
        <f>IFERROR(VLOOKUP($A608,koronahun!$A:$AM,3,FALSE),"")</f>
        <v>4</v>
      </c>
      <c r="D608">
        <f>IFERROR(VLOOKUP($A608,koronahun!$A:$AM,4,FALSE),"")</f>
        <v>581</v>
      </c>
      <c r="E608">
        <f>IFERROR(VLOOKUP($A608,koronahun!$A:$AM,5,FALSE),"")</f>
        <v>2685</v>
      </c>
      <c r="F608">
        <f>IFERROR(VLOOKUP($A608,koronahun!$A:$AM,6,FALSE),"")</f>
        <v>271194</v>
      </c>
      <c r="G608" s="12">
        <f>IFERROR(VLOOKUP($A608,koronahun!$A:$AM,7,FALSE),"")</f>
        <v>27672.857142857141</v>
      </c>
      <c r="H608">
        <f>IFERROR(VLOOKUP($A608,koronahun!$A:$AM,8,FALSE),"")</f>
        <v>0</v>
      </c>
      <c r="I608" s="13">
        <f>IFERROR(VLOOKUP($A608,koronahun!$A:$AM,9,FALSE),"")</f>
        <v>1E-3</v>
      </c>
      <c r="J608" s="13">
        <f>IFERROR(VLOOKUP($A608,koronahun!$A:$AM,10,FALSE),"")</f>
        <v>1.5299999999999999E-2</v>
      </c>
      <c r="K608" s="13">
        <f>IFERROR(VLOOKUP($A608,koronahun!$A:$AM,11,FALSE),"")</f>
        <v>3.0000000000000001E-3</v>
      </c>
      <c r="L608">
        <f>IFERROR(VLOOKUP($A608,koronahun!$A:$AM,12,FALSE),"")</f>
        <v>876</v>
      </c>
      <c r="M608" s="13">
        <f>IFERROR(VLOOKUP($A608,koronahun!$A:$AM,13,FALSE),"")</f>
        <v>0.14030000000000001</v>
      </c>
      <c r="N608" s="13">
        <f>IFERROR(VLOOKUP($A608,koronahun!$A:$AM,14,FALSE),"")</f>
        <v>0.6482</v>
      </c>
      <c r="O608">
        <f>IFERROR(VLOOKUP($A608,koronahun!$A:$AM,15,FALSE),"")</f>
        <v>0</v>
      </c>
      <c r="P608">
        <f>IFERROR(VLOOKUP($A608,koronahun!$A:$AM,16,FALSE),"")</f>
        <v>931</v>
      </c>
      <c r="Q608" s="13">
        <f>IFERROR(VLOOKUP($A608,koronahun!$A:$AM,17,FALSE),"")</f>
        <v>4.3E-3</v>
      </c>
      <c r="R608">
        <f>IFERROR(VLOOKUP($A608,koronahun!$A:$AM,18,FALSE),"")</f>
        <v>3</v>
      </c>
      <c r="S608">
        <f>IFERROR(VLOOKUP($A608,koronahun!$A:$AM,19,FALSE),"")</f>
        <v>4</v>
      </c>
      <c r="T608">
        <f>IFERROR(VLOOKUP($A608,koronahun!$A:$AM,20,FALSE),"")</f>
        <v>172</v>
      </c>
      <c r="U608">
        <f>IFERROR(VLOOKUP($A608,koronahun!$A:$AM,21,FALSE),"")</f>
        <v>9</v>
      </c>
      <c r="V608" s="13">
        <f>IFERROR(VLOOKUP($A608,koronahun!$A:$AM,22,FALSE),"")</f>
        <v>0.21149203283437953</v>
      </c>
      <c r="W608">
        <f>IFERROR(VLOOKUP($A608,koronahun!$A:$AM,23,FALSE),"")</f>
        <v>-2</v>
      </c>
      <c r="X608">
        <f>IFERROR(VLOOKUP($A608,koronahun!$A:$AM,24,FALSE),"")</f>
        <v>-2</v>
      </c>
      <c r="Y608" s="14">
        <f>IFERROR(VLOOKUP($A608,koronahun!$A:$AM,25,FALSE),"")</f>
        <v>0.19634703196347031</v>
      </c>
      <c r="Z608" s="14">
        <f>IFERROR(VLOOKUP($A608,koronahun!$A:$AM,26,FALSE),"")</f>
        <v>5.232558139534884E-2</v>
      </c>
      <c r="AA608" s="14">
        <f>IFERROR(VLOOKUP($A608,koronahun!$A:$AM,27,FALSE),"")</f>
        <v>1.92</v>
      </c>
      <c r="AB608" s="14">
        <f>IFERROR(VLOOKUP($A608,koronahun!$A:$AM,28,FALSE),"")</f>
        <v>1.2359615283063372</v>
      </c>
      <c r="AC608" s="14">
        <f>IFERROR(VLOOKUP($A608,koronahun!$A:$AM,29,FALSE),"")</f>
        <v>6.8571428571428568</v>
      </c>
      <c r="AD608" s="14">
        <f>IFERROR(VLOOKUP($A608,koronahun!$A:$AM,30,FALSE),"")</f>
        <v>1.5714285714285714</v>
      </c>
      <c r="AE608" s="14">
        <f>IFERROR(VLOOKUP($A608,koronahun!$A:$AM,31,FALSE),"")</f>
        <v>2124</v>
      </c>
      <c r="AF608" s="13">
        <f>IFERROR(VLOOKUP($A608,koronahun!$A:$AM,32,FALSE),"")</f>
        <v>3.7285714285714283E-3</v>
      </c>
      <c r="AG608">
        <f>IFERROR(VLOOKUP($A608,koronahun!$A:$AM,33,FALSE),"")</f>
        <v>0</v>
      </c>
      <c r="AH608">
        <f>IFERROR(VLOOKUP($A608,koronahun!$A:$AM,34,FALSE),"")</f>
        <v>0</v>
      </c>
      <c r="AI608">
        <f>IFERROR(VLOOKUP($A608,koronahun!$A:$AM,35,FALSE),"")</f>
        <v>0</v>
      </c>
      <c r="AJ608">
        <f>IFERROR(VLOOKUP($A608,koronahun!$A:$AM,36,FALSE),"")</f>
        <v>0</v>
      </c>
      <c r="AK608">
        <f>IFERROR(VLOOKUP($A608,koronahun!$A:$AM,37,FALSE),"")</f>
        <v>0</v>
      </c>
      <c r="AL608">
        <f>IFERROR(VLOOKUP($A608,koronahun!$A:$AM,38,FALSE),"")</f>
        <v>0</v>
      </c>
      <c r="AM608" s="14">
        <f>IFERROR(VLOOKUP($A608,koronahun!$A:$AM,39,FALSE),"")</f>
        <v>13.714285714285714</v>
      </c>
      <c r="AN608" s="11">
        <f ca="1">IFERROR(__xludf.DUMMYFUNCTION("""COMPUTED_VALUE"""),44500)</f>
        <v>44500</v>
      </c>
      <c r="AO608" s="12">
        <f ca="1">IFERROR(VLOOKUP(AN608,koronahun!A:B,2,FALSE),"")</f>
        <v>0</v>
      </c>
      <c r="AP608" s="11">
        <f t="shared" ca="1" si="4"/>
        <v>44500</v>
      </c>
      <c r="AQ608" s="11">
        <f ca="1">IFERROR(__xludf.DUMMYFUNCTION("""COMPUTED_VALUE"""),44559)</f>
        <v>44559</v>
      </c>
      <c r="AR608" s="11">
        <v>44011</v>
      </c>
      <c r="AS608" s="11">
        <f t="shared" si="5"/>
        <v>44011</v>
      </c>
      <c r="AT608" s="11">
        <f ca="1">IFERROR(__xludf.DUMMYFUNCTION("""COMPUTED_VALUE"""),44010)</f>
        <v>44010</v>
      </c>
    </row>
    <row r="609" spans="1:46" ht="13">
      <c r="A609" s="11">
        <v>44009</v>
      </c>
      <c r="B609">
        <f>IFERROR(VLOOKUP($A609,koronahun!$A:$AM,2,FALSE),"")</f>
        <v>4138</v>
      </c>
      <c r="C609">
        <f>IFERROR(VLOOKUP($A609,koronahun!$A:$AM,3,FALSE),"")</f>
        <v>11</v>
      </c>
      <c r="D609">
        <f>IFERROR(VLOOKUP($A609,koronahun!$A:$AM,4,FALSE),"")</f>
        <v>578</v>
      </c>
      <c r="E609">
        <f>IFERROR(VLOOKUP($A609,koronahun!$A:$AM,5,FALSE),"")</f>
        <v>2681</v>
      </c>
      <c r="F609">
        <f>IFERROR(VLOOKUP($A609,koronahun!$A:$AM,6,FALSE),"")</f>
        <v>270263</v>
      </c>
      <c r="G609" s="12">
        <f>IFERROR(VLOOKUP($A609,koronahun!$A:$AM,7,FALSE),"")</f>
        <v>27577.857142857141</v>
      </c>
      <c r="H609">
        <f>IFERROR(VLOOKUP($A609,koronahun!$A:$AM,8,FALSE),"")</f>
        <v>0</v>
      </c>
      <c r="I609" s="13">
        <f>IFERROR(VLOOKUP($A609,koronahun!$A:$AM,9,FALSE),"")</f>
        <v>2.7000000000000001E-3</v>
      </c>
      <c r="J609" s="13">
        <f>IFERROR(VLOOKUP($A609,koronahun!$A:$AM,10,FALSE),"")</f>
        <v>1.5299999999999999E-2</v>
      </c>
      <c r="K609" s="13">
        <f>IFERROR(VLOOKUP($A609,koronahun!$A:$AM,11,FALSE),"")</f>
        <v>1.2E-2</v>
      </c>
      <c r="L609">
        <f>IFERROR(VLOOKUP($A609,koronahun!$A:$AM,12,FALSE),"")</f>
        <v>879</v>
      </c>
      <c r="M609" s="13">
        <f>IFERROR(VLOOKUP($A609,koronahun!$A:$AM,13,FALSE),"")</f>
        <v>0.13969999999999999</v>
      </c>
      <c r="N609" s="13">
        <f>IFERROR(VLOOKUP($A609,koronahun!$A:$AM,14,FALSE),"")</f>
        <v>0.64790000000000003</v>
      </c>
      <c r="O609">
        <f>IFERROR(VLOOKUP($A609,koronahun!$A:$AM,15,FALSE),"")</f>
        <v>0</v>
      </c>
      <c r="P609">
        <f>IFERROR(VLOOKUP($A609,koronahun!$A:$AM,16,FALSE),"")</f>
        <v>3207</v>
      </c>
      <c r="Q609" s="13">
        <f>IFERROR(VLOOKUP($A609,koronahun!$A:$AM,17,FALSE),"")</f>
        <v>3.3999999999999998E-3</v>
      </c>
      <c r="R609">
        <f>IFERROR(VLOOKUP($A609,koronahun!$A:$AM,18,FALSE),"")</f>
        <v>0</v>
      </c>
      <c r="S609">
        <f>IFERROR(VLOOKUP($A609,koronahun!$A:$AM,19,FALSE),"")</f>
        <v>18</v>
      </c>
      <c r="T609">
        <f>IFERROR(VLOOKUP($A609,koronahun!$A:$AM,20,FALSE),"")</f>
        <v>174</v>
      </c>
      <c r="U609">
        <f>IFERROR(VLOOKUP($A609,koronahun!$A:$AM,21,FALSE),"")</f>
        <v>11</v>
      </c>
      <c r="V609" s="13">
        <f>IFERROR(VLOOKUP($A609,koronahun!$A:$AM,22,FALSE),"")</f>
        <v>0.2124214596423393</v>
      </c>
      <c r="W609">
        <f>IFERROR(VLOOKUP($A609,koronahun!$A:$AM,23,FALSE),"")</f>
        <v>-5</v>
      </c>
      <c r="X609">
        <f>IFERROR(VLOOKUP($A609,koronahun!$A:$AM,24,FALSE),"")</f>
        <v>-2</v>
      </c>
      <c r="Y609" s="14">
        <f>IFERROR(VLOOKUP($A609,koronahun!$A:$AM,25,FALSE),"")</f>
        <v>0.19795221843003413</v>
      </c>
      <c r="Z609" s="14">
        <f>IFERROR(VLOOKUP($A609,koronahun!$A:$AM,26,FALSE),"")</f>
        <v>6.3218390804597707E-2</v>
      </c>
      <c r="AA609" s="14">
        <f>IFERROR(VLOOKUP($A609,koronahun!$A:$AM,27,FALSE),"")</f>
        <v>2.3636363636363638</v>
      </c>
      <c r="AB609" s="14">
        <f>IFERROR(VLOOKUP($A609,koronahun!$A:$AM,28,FALSE),"")</f>
        <v>1.0202238233883045</v>
      </c>
      <c r="AC609" s="14">
        <f>IFERROR(VLOOKUP($A609,koronahun!$A:$AM,29,FALSE),"")</f>
        <v>7.4285714285714288</v>
      </c>
      <c r="AD609" s="14">
        <f>IFERROR(VLOOKUP($A609,koronahun!$A:$AM,30,FALSE),"")</f>
        <v>1.1428571428571428</v>
      </c>
      <c r="AE609" s="14">
        <f>IFERROR(VLOOKUP($A609,koronahun!$A:$AM,31,FALSE),"")</f>
        <v>2451.8571428571427</v>
      </c>
      <c r="AF609" s="13">
        <f>IFERROR(VLOOKUP($A609,koronahun!$A:$AM,32,FALSE),"")</f>
        <v>3.4714285714285719E-3</v>
      </c>
      <c r="AG609">
        <f>IFERROR(VLOOKUP($A609,koronahun!$A:$AM,33,FALSE),"")</f>
        <v>0</v>
      </c>
      <c r="AH609">
        <f>IFERROR(VLOOKUP($A609,koronahun!$A:$AM,34,FALSE),"")</f>
        <v>0</v>
      </c>
      <c r="AI609">
        <f>IFERROR(VLOOKUP($A609,koronahun!$A:$AM,35,FALSE),"")</f>
        <v>0</v>
      </c>
      <c r="AJ609">
        <f>IFERROR(VLOOKUP($A609,koronahun!$A:$AM,36,FALSE),"")</f>
        <v>0</v>
      </c>
      <c r="AK609">
        <f>IFERROR(VLOOKUP($A609,koronahun!$A:$AM,37,FALSE),"")</f>
        <v>0</v>
      </c>
      <c r="AL609">
        <f>IFERROR(VLOOKUP($A609,koronahun!$A:$AM,38,FALSE),"")</f>
        <v>0</v>
      </c>
      <c r="AM609" s="14">
        <f>IFERROR(VLOOKUP($A609,koronahun!$A:$AM,39,FALSE),"")</f>
        <v>13.714285714285714</v>
      </c>
      <c r="AN609" s="11">
        <f ca="1">IFERROR(__xludf.DUMMYFUNCTION("""COMPUTED_VALUE"""),44501)</f>
        <v>44501</v>
      </c>
      <c r="AO609" s="12">
        <f ca="1">IFERROR(VLOOKUP(AN609,koronahun!A:B,2,FALSE),"")</f>
        <v>874630</v>
      </c>
      <c r="AP609" s="11">
        <f t="shared" ca="1" si="4"/>
        <v>44501</v>
      </c>
      <c r="AQ609" s="11">
        <f ca="1">IFERROR(__xludf.DUMMYFUNCTION("""COMPUTED_VALUE"""),44560)</f>
        <v>44560</v>
      </c>
      <c r="AR609" s="11">
        <v>44010</v>
      </c>
      <c r="AS609" s="11">
        <f t="shared" si="5"/>
        <v>44010</v>
      </c>
      <c r="AT609" s="11">
        <f ca="1">IFERROR(__xludf.DUMMYFUNCTION("""COMPUTED_VALUE"""),44009)</f>
        <v>44009</v>
      </c>
    </row>
    <row r="610" spans="1:46" ht="13">
      <c r="A610" s="11">
        <v>44008</v>
      </c>
      <c r="B610">
        <f>IFERROR(VLOOKUP($A610,koronahun!$A:$AM,2,FALSE),"")</f>
        <v>4127</v>
      </c>
      <c r="C610">
        <f>IFERROR(VLOOKUP($A610,koronahun!$A:$AM,3,FALSE),"")</f>
        <v>4</v>
      </c>
      <c r="D610">
        <f>IFERROR(VLOOKUP($A610,koronahun!$A:$AM,4,FALSE),"")</f>
        <v>578</v>
      </c>
      <c r="E610">
        <f>IFERROR(VLOOKUP($A610,koronahun!$A:$AM,5,FALSE),"")</f>
        <v>2663</v>
      </c>
      <c r="F610">
        <f>IFERROR(VLOOKUP($A610,koronahun!$A:$AM,6,FALSE),"")</f>
        <v>267056</v>
      </c>
      <c r="G610" s="12">
        <f>IFERROR(VLOOKUP($A610,koronahun!$A:$AM,7,FALSE),"")</f>
        <v>27250.612244897959</v>
      </c>
      <c r="H610">
        <f>IFERROR(VLOOKUP($A610,koronahun!$A:$AM,8,FALSE),"")</f>
        <v>0</v>
      </c>
      <c r="I610" s="13">
        <f>IFERROR(VLOOKUP($A610,koronahun!$A:$AM,9,FALSE),"")</f>
        <v>1E-3</v>
      </c>
      <c r="J610" s="13">
        <f>IFERROR(VLOOKUP($A610,koronahun!$A:$AM,10,FALSE),"")</f>
        <v>1.55E-2</v>
      </c>
      <c r="K610" s="13">
        <f>IFERROR(VLOOKUP($A610,koronahun!$A:$AM,11,FALSE),"")</f>
        <v>7.0000000000000001E-3</v>
      </c>
      <c r="L610">
        <f>IFERROR(VLOOKUP($A610,koronahun!$A:$AM,12,FALSE),"")</f>
        <v>886</v>
      </c>
      <c r="M610" s="13">
        <f>IFERROR(VLOOKUP($A610,koronahun!$A:$AM,13,FALSE),"")</f>
        <v>0.1401</v>
      </c>
      <c r="N610" s="13">
        <f>IFERROR(VLOOKUP($A610,koronahun!$A:$AM,14,FALSE),"")</f>
        <v>0.64529999999999998</v>
      </c>
      <c r="O610">
        <f>IFERROR(VLOOKUP($A610,koronahun!$A:$AM,15,FALSE),"")</f>
        <v>0</v>
      </c>
      <c r="P610">
        <f>IFERROR(VLOOKUP($A610,koronahun!$A:$AM,16,FALSE),"")</f>
        <v>1927</v>
      </c>
      <c r="Q610" s="13">
        <f>IFERROR(VLOOKUP($A610,koronahun!$A:$AM,17,FALSE),"")</f>
        <v>2.0999999999999999E-3</v>
      </c>
      <c r="R610">
        <f>IFERROR(VLOOKUP($A610,koronahun!$A:$AM,18,FALSE),"")</f>
        <v>1</v>
      </c>
      <c r="S610">
        <f>IFERROR(VLOOKUP($A610,koronahun!$A:$AM,19,FALSE),"")</f>
        <v>23</v>
      </c>
      <c r="T610">
        <f>IFERROR(VLOOKUP($A610,koronahun!$A:$AM,20,FALSE),"")</f>
        <v>179</v>
      </c>
      <c r="U610">
        <f>IFERROR(VLOOKUP($A610,koronahun!$A:$AM,21,FALSE),"")</f>
        <v>13</v>
      </c>
      <c r="V610" s="13">
        <f>IFERROR(VLOOKUP($A610,koronahun!$A:$AM,22,FALSE),"")</f>
        <v>0.214683789677732</v>
      </c>
      <c r="W610">
        <f>IFERROR(VLOOKUP($A610,koronahun!$A:$AM,23,FALSE),"")</f>
        <v>-3</v>
      </c>
      <c r="X610">
        <f>IFERROR(VLOOKUP($A610,koronahun!$A:$AM,24,FALSE),"")</f>
        <v>0</v>
      </c>
      <c r="Y610" s="14">
        <f>IFERROR(VLOOKUP($A610,koronahun!$A:$AM,25,FALSE),"")</f>
        <v>0.2020316027088036</v>
      </c>
      <c r="Z610" s="14">
        <f>IFERROR(VLOOKUP($A610,koronahun!$A:$AM,26,FALSE),"")</f>
        <v>7.2625698324022353E-2</v>
      </c>
      <c r="AA610" s="14">
        <f>IFERROR(VLOOKUP($A610,koronahun!$A:$AM,27,FALSE),"")</f>
        <v>1.6428571428571428</v>
      </c>
      <c r="AB610" s="14">
        <f>IFERROR(VLOOKUP($A610,koronahun!$A:$AM,28,FALSE),"")</f>
        <v>0.72503252819700925</v>
      </c>
      <c r="AC610" s="14">
        <f>IFERROR(VLOOKUP($A610,koronahun!$A:$AM,29,FALSE),"")</f>
        <v>6.5714285714285712</v>
      </c>
      <c r="AD610" s="14">
        <f>IFERROR(VLOOKUP($A610,koronahun!$A:$AM,30,FALSE),"")</f>
        <v>1.4285714285714286</v>
      </c>
      <c r="AE610" s="14">
        <f>IFERROR(VLOOKUP($A610,koronahun!$A:$AM,31,FALSE),"")</f>
        <v>2523.5714285714284</v>
      </c>
      <c r="AF610" s="13">
        <f>IFERROR(VLOOKUP($A610,koronahun!$A:$AM,32,FALSE),"")</f>
        <v>3.1714285714285716E-3</v>
      </c>
      <c r="AG610">
        <f>IFERROR(VLOOKUP($A610,koronahun!$A:$AM,33,FALSE),"")</f>
        <v>0</v>
      </c>
      <c r="AH610">
        <f>IFERROR(VLOOKUP($A610,koronahun!$A:$AM,34,FALSE),"")</f>
        <v>0</v>
      </c>
      <c r="AI610">
        <f>IFERROR(VLOOKUP($A610,koronahun!$A:$AM,35,FALSE),"")</f>
        <v>0</v>
      </c>
      <c r="AJ610">
        <f>IFERROR(VLOOKUP($A610,koronahun!$A:$AM,36,FALSE),"")</f>
        <v>0</v>
      </c>
      <c r="AK610">
        <f>IFERROR(VLOOKUP($A610,koronahun!$A:$AM,37,FALSE),"")</f>
        <v>0</v>
      </c>
      <c r="AL610">
        <f>IFERROR(VLOOKUP($A610,koronahun!$A:$AM,38,FALSE),"")</f>
        <v>0</v>
      </c>
      <c r="AM610" s="14">
        <f>IFERROR(VLOOKUP($A610,koronahun!$A:$AM,39,FALSE),"")</f>
        <v>11.714285714285714</v>
      </c>
      <c r="AN610" s="11">
        <f ca="1">IFERROR(__xludf.DUMMYFUNCTION("""COMPUTED_VALUE"""),44502)</f>
        <v>44502</v>
      </c>
      <c r="AO610" s="12">
        <f ca="1">IFERROR(VLOOKUP(AN610,koronahun!A:B,2,FALSE),"")</f>
        <v>876497</v>
      </c>
      <c r="AP610" s="11">
        <f t="shared" ca="1" si="4"/>
        <v>44502</v>
      </c>
      <c r="AQ610" s="11">
        <f ca="1">IFERROR(__xludf.DUMMYFUNCTION("""COMPUTED_VALUE"""),44561)</f>
        <v>44561</v>
      </c>
      <c r="AR610" s="11">
        <v>44009</v>
      </c>
      <c r="AS610" s="11">
        <f t="shared" si="5"/>
        <v>44009</v>
      </c>
      <c r="AT610" s="11">
        <f ca="1">IFERROR(__xludf.DUMMYFUNCTION("""COMPUTED_VALUE"""),44008)</f>
        <v>44008</v>
      </c>
    </row>
    <row r="611" spans="1:46" ht="13">
      <c r="A611" s="11">
        <v>44007</v>
      </c>
      <c r="B611">
        <f>IFERROR(VLOOKUP($A611,koronahun!$A:$AM,2,FALSE),"")</f>
        <v>4123</v>
      </c>
      <c r="C611">
        <f>IFERROR(VLOOKUP($A611,koronahun!$A:$AM,3,FALSE),"")</f>
        <v>9</v>
      </c>
      <c r="D611">
        <f>IFERROR(VLOOKUP($A611,koronahun!$A:$AM,4,FALSE),"")</f>
        <v>577</v>
      </c>
      <c r="E611">
        <f>IFERROR(VLOOKUP($A611,koronahun!$A:$AM,5,FALSE),"")</f>
        <v>2640</v>
      </c>
      <c r="F611">
        <f>IFERROR(VLOOKUP($A611,koronahun!$A:$AM,6,FALSE),"")</f>
        <v>265129</v>
      </c>
      <c r="G611" s="12">
        <f>IFERROR(VLOOKUP($A611,koronahun!$A:$AM,7,FALSE),"")</f>
        <v>27053.979591836734</v>
      </c>
      <c r="H611">
        <f>IFERROR(VLOOKUP($A611,koronahun!$A:$AM,8,FALSE),"")</f>
        <v>0</v>
      </c>
      <c r="I611" s="13">
        <f>IFERROR(VLOOKUP($A611,koronahun!$A:$AM,9,FALSE),"")</f>
        <v>2.2000000000000001E-3</v>
      </c>
      <c r="J611" s="13">
        <f>IFERROR(VLOOKUP($A611,koronahun!$A:$AM,10,FALSE),"")</f>
        <v>1.5599999999999999E-2</v>
      </c>
      <c r="K611" s="13">
        <f>IFERROR(VLOOKUP($A611,koronahun!$A:$AM,11,FALSE),"")</f>
        <v>1.4E-2</v>
      </c>
      <c r="L611">
        <f>IFERROR(VLOOKUP($A611,koronahun!$A:$AM,12,FALSE),"")</f>
        <v>906</v>
      </c>
      <c r="M611" s="13">
        <f>IFERROR(VLOOKUP($A611,koronahun!$A:$AM,13,FALSE),"")</f>
        <v>0.1399</v>
      </c>
      <c r="N611" s="13">
        <f>IFERROR(VLOOKUP($A611,koronahun!$A:$AM,14,FALSE),"")</f>
        <v>0.64029999999999998</v>
      </c>
      <c r="O611">
        <f>IFERROR(VLOOKUP($A611,koronahun!$A:$AM,15,FALSE),"")</f>
        <v>0</v>
      </c>
      <c r="P611">
        <f>IFERROR(VLOOKUP($A611,koronahun!$A:$AM,16,FALSE),"")</f>
        <v>3709</v>
      </c>
      <c r="Q611" s="13">
        <f>IFERROR(VLOOKUP($A611,koronahun!$A:$AM,17,FALSE),"")</f>
        <v>2.3999999999999998E-3</v>
      </c>
      <c r="R611">
        <f>IFERROR(VLOOKUP($A611,koronahun!$A:$AM,18,FALSE),"")</f>
        <v>1</v>
      </c>
      <c r="S611">
        <f>IFERROR(VLOOKUP($A611,koronahun!$A:$AM,19,FALSE),"")</f>
        <v>22</v>
      </c>
      <c r="T611">
        <f>IFERROR(VLOOKUP($A611,koronahun!$A:$AM,20,FALSE),"")</f>
        <v>182</v>
      </c>
      <c r="U611">
        <f>IFERROR(VLOOKUP($A611,koronahun!$A:$AM,21,FALSE),"")</f>
        <v>13</v>
      </c>
      <c r="V611" s="13">
        <f>IFERROR(VLOOKUP($A611,koronahun!$A:$AM,22,FALSE),"")</f>
        <v>0.21974290565122484</v>
      </c>
      <c r="W611">
        <f>IFERROR(VLOOKUP($A611,koronahun!$A:$AM,23,FALSE),"")</f>
        <v>-1</v>
      </c>
      <c r="X611">
        <f>IFERROR(VLOOKUP($A611,koronahun!$A:$AM,24,FALSE),"")</f>
        <v>0</v>
      </c>
      <c r="Y611" s="14">
        <f>IFERROR(VLOOKUP($A611,koronahun!$A:$AM,25,FALSE),"")</f>
        <v>0.20088300220750552</v>
      </c>
      <c r="Z611" s="14">
        <f>IFERROR(VLOOKUP($A611,koronahun!$A:$AM,26,FALSE),"")</f>
        <v>7.1428571428571425E-2</v>
      </c>
      <c r="AA611" s="14">
        <f>IFERROR(VLOOKUP($A611,koronahun!$A:$AM,27,FALSE),"")</f>
        <v>1.1000000000000001</v>
      </c>
      <c r="AB611" s="14">
        <f>IFERROR(VLOOKUP($A611,koronahun!$A:$AM,28,FALSE),"")</f>
        <v>0.5385314217303262</v>
      </c>
      <c r="AC611" s="14">
        <f>IFERROR(VLOOKUP($A611,koronahun!$A:$AM,29,FALSE),"")</f>
        <v>6.2857142857142856</v>
      </c>
      <c r="AD611" s="14">
        <f>IFERROR(VLOOKUP($A611,koronahun!$A:$AM,30,FALSE),"")</f>
        <v>1.2857142857142858</v>
      </c>
      <c r="AE611" s="14">
        <f>IFERROR(VLOOKUP($A611,koronahun!$A:$AM,31,FALSE),"")</f>
        <v>2790.1428571428573</v>
      </c>
      <c r="AF611" s="13">
        <f>IFERROR(VLOOKUP($A611,koronahun!$A:$AM,32,FALSE),"")</f>
        <v>2.9428571428571429E-3</v>
      </c>
      <c r="AG611">
        <f>IFERROR(VLOOKUP($A611,koronahun!$A:$AM,33,FALSE),"")</f>
        <v>0</v>
      </c>
      <c r="AH611">
        <f>IFERROR(VLOOKUP($A611,koronahun!$A:$AM,34,FALSE),"")</f>
        <v>0</v>
      </c>
      <c r="AI611">
        <f>IFERROR(VLOOKUP($A611,koronahun!$A:$AM,35,FALSE),"")</f>
        <v>0</v>
      </c>
      <c r="AJ611">
        <f>IFERROR(VLOOKUP($A611,koronahun!$A:$AM,36,FALSE),"")</f>
        <v>0</v>
      </c>
      <c r="AK611">
        <f>IFERROR(VLOOKUP($A611,koronahun!$A:$AM,37,FALSE),"")</f>
        <v>0</v>
      </c>
      <c r="AL611">
        <f>IFERROR(VLOOKUP($A611,koronahun!$A:$AM,38,FALSE),"")</f>
        <v>0</v>
      </c>
      <c r="AM611" s="14">
        <f>IFERROR(VLOOKUP($A611,koronahun!$A:$AM,39,FALSE),"")</f>
        <v>10.857142857142858</v>
      </c>
      <c r="AN611" s="11">
        <f ca="1">IFERROR(__xludf.DUMMYFUNCTION("""COMPUTED_VALUE"""),44503)</f>
        <v>44503</v>
      </c>
      <c r="AO611" s="12">
        <f ca="1">IFERROR(VLOOKUP(AN611,koronahun!A:B,2,FALSE),"")</f>
        <v>879092</v>
      </c>
      <c r="AP611" s="11">
        <f t="shared" ca="1" si="4"/>
        <v>44503</v>
      </c>
      <c r="AQ611" s="11">
        <f ca="1">IFERROR(__xludf.DUMMYFUNCTION("""COMPUTED_VALUE"""),44564)</f>
        <v>44564</v>
      </c>
      <c r="AR611" s="11">
        <v>44008</v>
      </c>
      <c r="AS611" s="11">
        <f t="shared" si="5"/>
        <v>44008</v>
      </c>
      <c r="AT611" s="11">
        <f ca="1">IFERROR(__xludf.DUMMYFUNCTION("""COMPUTED_VALUE"""),44007)</f>
        <v>44007</v>
      </c>
    </row>
    <row r="612" spans="1:46" ht="13">
      <c r="A612" s="11">
        <v>44006</v>
      </c>
      <c r="B612">
        <f>IFERROR(VLOOKUP($A612,koronahun!$A:$AM,2,FALSE),"")</f>
        <v>4114</v>
      </c>
      <c r="C612">
        <f>IFERROR(VLOOKUP($A612,koronahun!$A:$AM,3,FALSE),"")</f>
        <v>7</v>
      </c>
      <c r="D612">
        <f>IFERROR(VLOOKUP($A612,koronahun!$A:$AM,4,FALSE),"")</f>
        <v>576</v>
      </c>
      <c r="E612">
        <f>IFERROR(VLOOKUP($A612,koronahun!$A:$AM,5,FALSE),"")</f>
        <v>2618</v>
      </c>
      <c r="F612">
        <f>IFERROR(VLOOKUP($A612,koronahun!$A:$AM,6,FALSE),"")</f>
        <v>261420</v>
      </c>
      <c r="G612" s="12">
        <f>IFERROR(VLOOKUP($A612,koronahun!$A:$AM,7,FALSE),"")</f>
        <v>26675.510204081631</v>
      </c>
      <c r="H612">
        <f>IFERROR(VLOOKUP($A612,koronahun!$A:$AM,8,FALSE),"")</f>
        <v>0</v>
      </c>
      <c r="I612" s="13">
        <f>IFERROR(VLOOKUP($A612,koronahun!$A:$AM,9,FALSE),"")</f>
        <v>1.6999999999999999E-3</v>
      </c>
      <c r="J612" s="13">
        <f>IFERROR(VLOOKUP($A612,koronahun!$A:$AM,10,FALSE),"")</f>
        <v>1.5699999999999999E-2</v>
      </c>
      <c r="K612" s="13">
        <f>IFERROR(VLOOKUP($A612,koronahun!$A:$AM,11,FALSE),"")</f>
        <v>0.01</v>
      </c>
      <c r="L612">
        <f>IFERROR(VLOOKUP($A612,koronahun!$A:$AM,12,FALSE),"")</f>
        <v>920</v>
      </c>
      <c r="M612" s="13">
        <f>IFERROR(VLOOKUP($A612,koronahun!$A:$AM,13,FALSE),"")</f>
        <v>0.14000000000000001</v>
      </c>
      <c r="N612" s="13">
        <f>IFERROR(VLOOKUP($A612,koronahun!$A:$AM,14,FALSE),"")</f>
        <v>0.63639999999999997</v>
      </c>
      <c r="O612">
        <f>IFERROR(VLOOKUP($A612,koronahun!$A:$AM,15,FALSE),"")</f>
        <v>0</v>
      </c>
      <c r="P612">
        <f>IFERROR(VLOOKUP($A612,koronahun!$A:$AM,16,FALSE),"")</f>
        <v>2559</v>
      </c>
      <c r="Q612" s="13">
        <f>IFERROR(VLOOKUP($A612,koronahun!$A:$AM,17,FALSE),"")</f>
        <v>2.7000000000000001E-3</v>
      </c>
      <c r="R612">
        <f>IFERROR(VLOOKUP($A612,koronahun!$A:$AM,18,FALSE),"")</f>
        <v>3</v>
      </c>
      <c r="S612">
        <f>IFERROR(VLOOKUP($A612,koronahun!$A:$AM,19,FALSE),"")</f>
        <v>18</v>
      </c>
      <c r="T612">
        <f>IFERROR(VLOOKUP($A612,koronahun!$A:$AM,20,FALSE),"")</f>
        <v>183</v>
      </c>
      <c r="U612">
        <f>IFERROR(VLOOKUP($A612,koronahun!$A:$AM,21,FALSE),"")</f>
        <v>13</v>
      </c>
      <c r="V612" s="13">
        <f>IFERROR(VLOOKUP($A612,koronahun!$A:$AM,22,FALSE),"")</f>
        <v>0.2236266407389402</v>
      </c>
      <c r="W612">
        <f>IFERROR(VLOOKUP($A612,koronahun!$A:$AM,23,FALSE),"")</f>
        <v>0</v>
      </c>
      <c r="X612">
        <f>IFERROR(VLOOKUP($A612,koronahun!$A:$AM,24,FALSE),"")</f>
        <v>-1</v>
      </c>
      <c r="Y612" s="14">
        <f>IFERROR(VLOOKUP($A612,koronahun!$A:$AM,25,FALSE),"")</f>
        <v>0.19891304347826086</v>
      </c>
      <c r="Z612" s="14">
        <f>IFERROR(VLOOKUP($A612,koronahun!$A:$AM,26,FALSE),"")</f>
        <v>7.1038251366120214E-2</v>
      </c>
      <c r="AA612" s="14">
        <f>IFERROR(VLOOKUP($A612,koronahun!$A:$AM,27,FALSE),"")</f>
        <v>0.70588235294117652</v>
      </c>
      <c r="AB612" s="14">
        <f>IFERROR(VLOOKUP($A612,koronahun!$A:$AM,28,FALSE),"")</f>
        <v>0.44861545534377151</v>
      </c>
      <c r="AC612" s="14">
        <f>IFERROR(VLOOKUP($A612,koronahun!$A:$AM,29,FALSE),"")</f>
        <v>5.1428571428571432</v>
      </c>
      <c r="AD612" s="14">
        <f>IFERROR(VLOOKUP($A612,koronahun!$A:$AM,30,FALSE),"")</f>
        <v>1.2857142857142858</v>
      </c>
      <c r="AE612" s="14">
        <f>IFERROR(VLOOKUP($A612,koronahun!$A:$AM,31,FALSE),"")</f>
        <v>2754.4285714285716</v>
      </c>
      <c r="AF612" s="13">
        <f>IFERROR(VLOOKUP($A612,koronahun!$A:$AM,32,FALSE),"")</f>
        <v>2.6428571428571434E-3</v>
      </c>
      <c r="AG612">
        <f>IFERROR(VLOOKUP($A612,koronahun!$A:$AM,33,FALSE),"")</f>
        <v>0</v>
      </c>
      <c r="AH612">
        <f>IFERROR(VLOOKUP($A612,koronahun!$A:$AM,34,FALSE),"")</f>
        <v>0</v>
      </c>
      <c r="AI612">
        <f>IFERROR(VLOOKUP($A612,koronahun!$A:$AM,35,FALSE),"")</f>
        <v>0</v>
      </c>
      <c r="AJ612">
        <f>IFERROR(VLOOKUP($A612,koronahun!$A:$AM,36,FALSE),"")</f>
        <v>0</v>
      </c>
      <c r="AK612">
        <f>IFERROR(VLOOKUP($A612,koronahun!$A:$AM,37,FALSE),"")</f>
        <v>0</v>
      </c>
      <c r="AL612">
        <f>IFERROR(VLOOKUP($A612,koronahun!$A:$AM,38,FALSE),"")</f>
        <v>0</v>
      </c>
      <c r="AM612" s="14">
        <f>IFERROR(VLOOKUP($A612,koronahun!$A:$AM,39,FALSE),"")</f>
        <v>10.142857142857142</v>
      </c>
      <c r="AN612" s="11">
        <f ca="1">IFERROR(__xludf.DUMMYFUNCTION("""COMPUTED_VALUE"""),44504)</f>
        <v>44504</v>
      </c>
      <c r="AO612" s="12">
        <f ca="1">IFERROR(VLOOKUP(AN612,koronahun!A:B,2,FALSE),"")</f>
        <v>885360</v>
      </c>
      <c r="AP612" s="11">
        <f t="shared" ca="1" si="4"/>
        <v>44504</v>
      </c>
      <c r="AQ612" s="11">
        <f ca="1">IFERROR(__xludf.DUMMYFUNCTION("""COMPUTED_VALUE"""),44565)</f>
        <v>44565</v>
      </c>
      <c r="AR612" s="11">
        <v>44007</v>
      </c>
      <c r="AS612" s="11">
        <f t="shared" si="5"/>
        <v>44007</v>
      </c>
      <c r="AT612" s="11">
        <f ca="1">IFERROR(__xludf.DUMMYFUNCTION("""COMPUTED_VALUE"""),44006)</f>
        <v>44006</v>
      </c>
    </row>
    <row r="613" spans="1:46" ht="13">
      <c r="A613" s="11">
        <v>44005</v>
      </c>
      <c r="B613">
        <f>IFERROR(VLOOKUP($A613,koronahun!$A:$AM,2,FALSE),"")</f>
        <v>4107</v>
      </c>
      <c r="C613">
        <f>IFERROR(VLOOKUP($A613,koronahun!$A:$AM,3,FALSE),"")</f>
        <v>5</v>
      </c>
      <c r="D613">
        <f>IFERROR(VLOOKUP($A613,koronahun!$A:$AM,4,FALSE),"")</f>
        <v>573</v>
      </c>
      <c r="E613">
        <f>IFERROR(VLOOKUP($A613,koronahun!$A:$AM,5,FALSE),"")</f>
        <v>2600</v>
      </c>
      <c r="F613">
        <f>IFERROR(VLOOKUP($A613,koronahun!$A:$AM,6,FALSE),"")</f>
        <v>258861</v>
      </c>
      <c r="G613" s="12">
        <f>IFERROR(VLOOKUP($A613,koronahun!$A:$AM,7,FALSE),"")</f>
        <v>26414.387755102038</v>
      </c>
      <c r="H613">
        <f>IFERROR(VLOOKUP($A613,koronahun!$A:$AM,8,FALSE),"")</f>
        <v>0</v>
      </c>
      <c r="I613" s="13">
        <f>IFERROR(VLOOKUP($A613,koronahun!$A:$AM,9,FALSE),"")</f>
        <v>1.1999999999999999E-3</v>
      </c>
      <c r="J613" s="13">
        <f>IFERROR(VLOOKUP($A613,koronahun!$A:$AM,10,FALSE),"")</f>
        <v>1.5900000000000001E-2</v>
      </c>
      <c r="K613" s="13">
        <f>IFERROR(VLOOKUP($A613,koronahun!$A:$AM,11,FALSE),"")</f>
        <v>3.0000000000000001E-3</v>
      </c>
      <c r="L613">
        <f>IFERROR(VLOOKUP($A613,koronahun!$A:$AM,12,FALSE),"")</f>
        <v>934</v>
      </c>
      <c r="M613" s="13">
        <f>IFERROR(VLOOKUP($A613,koronahun!$A:$AM,13,FALSE),"")</f>
        <v>0.13950000000000001</v>
      </c>
      <c r="N613" s="13">
        <f>IFERROR(VLOOKUP($A613,koronahun!$A:$AM,14,FALSE),"")</f>
        <v>0.6331</v>
      </c>
      <c r="O613">
        <f>IFERROR(VLOOKUP($A613,koronahun!$A:$AM,15,FALSE),"")</f>
        <v>0</v>
      </c>
      <c r="P613">
        <f>IFERROR(VLOOKUP($A613,koronahun!$A:$AM,16,FALSE),"")</f>
        <v>746</v>
      </c>
      <c r="Q613" s="13">
        <f>IFERROR(VLOOKUP($A613,koronahun!$A:$AM,17,FALSE),"")</f>
        <v>6.7000000000000002E-3</v>
      </c>
      <c r="R613">
        <f>IFERROR(VLOOKUP($A613,koronahun!$A:$AM,18,FALSE),"")</f>
        <v>1</v>
      </c>
      <c r="S613">
        <f>IFERROR(VLOOKUP($A613,koronahun!$A:$AM,19,FALSE),"")</f>
        <v>10</v>
      </c>
      <c r="T613">
        <f>IFERROR(VLOOKUP($A613,koronahun!$A:$AM,20,FALSE),"")</f>
        <v>183</v>
      </c>
      <c r="U613">
        <f>IFERROR(VLOOKUP($A613,koronahun!$A:$AM,21,FALSE),"")</f>
        <v>14</v>
      </c>
      <c r="V613" s="13">
        <f>IFERROR(VLOOKUP($A613,koronahun!$A:$AM,22,FALSE),"")</f>
        <v>0.22741660579498418</v>
      </c>
      <c r="W613">
        <f>IFERROR(VLOOKUP($A613,koronahun!$A:$AM,23,FALSE),"")</f>
        <v>-1</v>
      </c>
      <c r="X613">
        <f>IFERROR(VLOOKUP($A613,koronahun!$A:$AM,24,FALSE),"")</f>
        <v>0</v>
      </c>
      <c r="Y613" s="14">
        <f>IFERROR(VLOOKUP($A613,koronahun!$A:$AM,25,FALSE),"")</f>
        <v>0.19593147751605997</v>
      </c>
      <c r="Z613" s="14">
        <f>IFERROR(VLOOKUP($A613,koronahun!$A:$AM,26,FALSE),"")</f>
        <v>7.650273224043716E-2</v>
      </c>
      <c r="AA613" s="14">
        <f>IFERROR(VLOOKUP($A613,koronahun!$A:$AM,27,FALSE),"")</f>
        <v>0.5</v>
      </c>
      <c r="AB613" s="14">
        <f>IFERROR(VLOOKUP($A613,koronahun!$A:$AM,28,FALSE),"")</f>
        <v>0.42366797635217496</v>
      </c>
      <c r="AC613" s="14">
        <f>IFERROR(VLOOKUP($A613,koronahun!$A:$AM,29,FALSE),"")</f>
        <v>4.2857142857142856</v>
      </c>
      <c r="AD613" s="14">
        <f>IFERROR(VLOOKUP($A613,koronahun!$A:$AM,30,FALSE),"")</f>
        <v>1.1428571428571428</v>
      </c>
      <c r="AE613" s="14">
        <f>IFERROR(VLOOKUP($A613,koronahun!$A:$AM,31,FALSE),"")</f>
        <v>3147.5714285714284</v>
      </c>
      <c r="AF613" s="13">
        <f>IFERROR(VLOOKUP($A613,koronahun!$A:$AM,32,FALSE),"")</f>
        <v>2.2857142857142859E-3</v>
      </c>
      <c r="AG613">
        <f>IFERROR(VLOOKUP($A613,koronahun!$A:$AM,33,FALSE),"")</f>
        <v>0</v>
      </c>
      <c r="AH613">
        <f>IFERROR(VLOOKUP($A613,koronahun!$A:$AM,34,FALSE),"")</f>
        <v>0</v>
      </c>
      <c r="AI613">
        <f>IFERROR(VLOOKUP($A613,koronahun!$A:$AM,35,FALSE),"")</f>
        <v>0</v>
      </c>
      <c r="AJ613">
        <f>IFERROR(VLOOKUP($A613,koronahun!$A:$AM,36,FALSE),"")</f>
        <v>0</v>
      </c>
      <c r="AK613">
        <f>IFERROR(VLOOKUP($A613,koronahun!$A:$AM,37,FALSE),"")</f>
        <v>0</v>
      </c>
      <c r="AL613">
        <f>IFERROR(VLOOKUP($A613,koronahun!$A:$AM,38,FALSE),"")</f>
        <v>0</v>
      </c>
      <c r="AM613" s="14">
        <f>IFERROR(VLOOKUP($A613,koronahun!$A:$AM,39,FALSE),"")</f>
        <v>12</v>
      </c>
      <c r="AN613" s="11">
        <f ca="1">IFERROR(__xludf.DUMMYFUNCTION("""COMPUTED_VALUE"""),44505)</f>
        <v>44505</v>
      </c>
      <c r="AO613" s="12">
        <f ca="1">IFERROR(VLOOKUP(AN613,koronahun!A:B,2,FALSE),"")</f>
        <v>892164</v>
      </c>
      <c r="AP613" s="11">
        <f t="shared" ca="1" si="4"/>
        <v>44505</v>
      </c>
      <c r="AQ613" s="11">
        <f ca="1">IFERROR(__xludf.DUMMYFUNCTION("""COMPUTED_VALUE"""),44566)</f>
        <v>44566</v>
      </c>
      <c r="AR613" s="11">
        <v>44006</v>
      </c>
      <c r="AS613" s="11">
        <f t="shared" si="5"/>
        <v>44006</v>
      </c>
      <c r="AT613" s="11">
        <f ca="1">IFERROR(__xludf.DUMMYFUNCTION("""COMPUTED_VALUE"""),44005)</f>
        <v>44005</v>
      </c>
    </row>
    <row r="614" spans="1:46" ht="13">
      <c r="A614" s="11">
        <v>44004</v>
      </c>
      <c r="B614">
        <f>IFERROR(VLOOKUP($A614,koronahun!$A:$AM,2,FALSE),"")</f>
        <v>4102</v>
      </c>
      <c r="C614">
        <f>IFERROR(VLOOKUP($A614,koronahun!$A:$AM,3,FALSE),"")</f>
        <v>8</v>
      </c>
      <c r="D614">
        <f>IFERROR(VLOOKUP($A614,koronahun!$A:$AM,4,FALSE),"")</f>
        <v>572</v>
      </c>
      <c r="E614">
        <f>IFERROR(VLOOKUP($A614,koronahun!$A:$AM,5,FALSE),"")</f>
        <v>2590</v>
      </c>
      <c r="F614">
        <f>IFERROR(VLOOKUP($A614,koronahun!$A:$AM,6,FALSE),"")</f>
        <v>258115</v>
      </c>
      <c r="G614" s="12">
        <f>IFERROR(VLOOKUP($A614,koronahun!$A:$AM,7,FALSE),"")</f>
        <v>26338.265306122448</v>
      </c>
      <c r="H614">
        <f>IFERROR(VLOOKUP($A614,koronahun!$A:$AM,8,FALSE),"")</f>
        <v>0</v>
      </c>
      <c r="I614" s="13">
        <f>IFERROR(VLOOKUP($A614,koronahun!$A:$AM,9,FALSE),"")</f>
        <v>2E-3</v>
      </c>
      <c r="J614" s="13">
        <f>IFERROR(VLOOKUP($A614,koronahun!$A:$AM,10,FALSE),"")</f>
        <v>1.5900000000000001E-2</v>
      </c>
      <c r="K614" s="13">
        <f>IFERROR(VLOOKUP($A614,koronahun!$A:$AM,11,FALSE),"")</f>
        <v>7.0000000000000001E-3</v>
      </c>
      <c r="L614">
        <f>IFERROR(VLOOKUP($A614,koronahun!$A:$AM,12,FALSE),"")</f>
        <v>940</v>
      </c>
      <c r="M614" s="13">
        <f>IFERROR(VLOOKUP($A614,koronahun!$A:$AM,13,FALSE),"")</f>
        <v>0.1394</v>
      </c>
      <c r="N614" s="13">
        <f>IFERROR(VLOOKUP($A614,koronahun!$A:$AM,14,FALSE),"")</f>
        <v>0.63139999999999996</v>
      </c>
      <c r="O614">
        <f>IFERROR(VLOOKUP($A614,koronahun!$A:$AM,15,FALSE),"")</f>
        <v>3528</v>
      </c>
      <c r="P614">
        <f>IFERROR(VLOOKUP($A614,koronahun!$A:$AM,16,FALSE),"")</f>
        <v>1789</v>
      </c>
      <c r="Q614" s="13">
        <f>IFERROR(VLOOKUP($A614,koronahun!$A:$AM,17,FALSE),"")</f>
        <v>4.4999999999999997E-3</v>
      </c>
      <c r="R614">
        <f>IFERROR(VLOOKUP($A614,koronahun!$A:$AM,18,FALSE),"")</f>
        <v>2</v>
      </c>
      <c r="S614">
        <f>IFERROR(VLOOKUP($A614,koronahun!$A:$AM,19,FALSE),"")</f>
        <v>1</v>
      </c>
      <c r="T614">
        <f>IFERROR(VLOOKUP($A614,koronahun!$A:$AM,20,FALSE),"")</f>
        <v>184</v>
      </c>
      <c r="U614">
        <f>IFERROR(VLOOKUP($A614,koronahun!$A:$AM,21,FALSE),"")</f>
        <v>14</v>
      </c>
      <c r="V614" s="13">
        <f>IFERROR(VLOOKUP($A614,koronahun!$A:$AM,22,FALSE),"")</f>
        <v>0.22915650901999024</v>
      </c>
      <c r="W614">
        <f>IFERROR(VLOOKUP($A614,koronahun!$A:$AM,23,FALSE),"")</f>
        <v>-1</v>
      </c>
      <c r="X614">
        <f>IFERROR(VLOOKUP($A614,koronahun!$A:$AM,24,FALSE),"")</f>
        <v>-1</v>
      </c>
      <c r="Y614" s="14">
        <f>IFERROR(VLOOKUP($A614,koronahun!$A:$AM,25,FALSE),"")</f>
        <v>0.19574468085106383</v>
      </c>
      <c r="Z614" s="14">
        <f>IFERROR(VLOOKUP($A614,koronahun!$A:$AM,26,FALSE),"")</f>
        <v>7.6086956521739135E-2</v>
      </c>
      <c r="AA614" s="14">
        <f>IFERROR(VLOOKUP($A614,koronahun!$A:$AM,27,FALSE),"")</f>
        <v>0.41935483870967744</v>
      </c>
      <c r="AB614" s="14">
        <f>IFERROR(VLOOKUP($A614,koronahun!$A:$AM,28,FALSE),"")</f>
        <v>0.44152511920931781</v>
      </c>
      <c r="AC614" s="14">
        <f>IFERROR(VLOOKUP($A614,koronahun!$A:$AM,29,FALSE),"")</f>
        <v>3.7142857142857144</v>
      </c>
      <c r="AD614" s="14">
        <f>IFERROR(VLOOKUP($A614,koronahun!$A:$AM,30,FALSE),"")</f>
        <v>1.2857142857142858</v>
      </c>
      <c r="AE614" s="14">
        <f>IFERROR(VLOOKUP($A614,koronahun!$A:$AM,31,FALSE),"")</f>
        <v>3248.2857142857142</v>
      </c>
      <c r="AF614" s="13">
        <f>IFERROR(VLOOKUP($A614,koronahun!$A:$AM,32,FALSE),"")</f>
        <v>1.4285714285714284E-3</v>
      </c>
      <c r="AG614">
        <f>IFERROR(VLOOKUP($A614,koronahun!$A:$AM,33,FALSE),"")</f>
        <v>0</v>
      </c>
      <c r="AH614">
        <f>IFERROR(VLOOKUP($A614,koronahun!$A:$AM,34,FALSE),"")</f>
        <v>0</v>
      </c>
      <c r="AI614">
        <f>IFERROR(VLOOKUP($A614,koronahun!$A:$AM,35,FALSE),"")</f>
        <v>0</v>
      </c>
      <c r="AJ614">
        <f>IFERROR(VLOOKUP($A614,koronahun!$A:$AM,36,FALSE),"")</f>
        <v>0</v>
      </c>
      <c r="AK614">
        <f>IFERROR(VLOOKUP($A614,koronahun!$A:$AM,37,FALSE),"")</f>
        <v>0</v>
      </c>
      <c r="AL614">
        <f>IFERROR(VLOOKUP($A614,koronahun!$A:$AM,38,FALSE),"")</f>
        <v>0</v>
      </c>
      <c r="AM614" s="14">
        <f>IFERROR(VLOOKUP($A614,koronahun!$A:$AM,39,FALSE),"")</f>
        <v>15</v>
      </c>
      <c r="AN614" s="11">
        <f ca="1">IFERROR(__xludf.DUMMYFUNCTION("""COMPUTED_VALUE"""),44506)</f>
        <v>44506</v>
      </c>
      <c r="AO614" s="12">
        <f ca="1">IFERROR(VLOOKUP(AN614,koronahun!A:B,2,FALSE),"")</f>
        <v>0</v>
      </c>
      <c r="AP614" s="11">
        <f t="shared" ca="1" si="4"/>
        <v>44506</v>
      </c>
      <c r="AQ614" s="11">
        <f ca="1">IFERROR(__xludf.DUMMYFUNCTION("""COMPUTED_VALUE"""),44567)</f>
        <v>44567</v>
      </c>
      <c r="AR614" s="11">
        <v>44005</v>
      </c>
      <c r="AS614" s="11">
        <f t="shared" si="5"/>
        <v>44005</v>
      </c>
      <c r="AT614" s="11">
        <f ca="1">IFERROR(__xludf.DUMMYFUNCTION("""COMPUTED_VALUE"""),44004)</f>
        <v>44004</v>
      </c>
    </row>
    <row r="615" spans="1:46" ht="13">
      <c r="A615" s="11">
        <v>44003</v>
      </c>
      <c r="B615">
        <f>IFERROR(VLOOKUP($A615,koronahun!$A:$AM,2,FALSE),"")</f>
        <v>4094</v>
      </c>
      <c r="C615">
        <f>IFERROR(VLOOKUP($A615,koronahun!$A:$AM,3,FALSE),"")</f>
        <v>8</v>
      </c>
      <c r="D615">
        <f>IFERROR(VLOOKUP($A615,koronahun!$A:$AM,4,FALSE),"")</f>
        <v>570</v>
      </c>
      <c r="E615">
        <f>IFERROR(VLOOKUP($A615,koronahun!$A:$AM,5,FALSE),"")</f>
        <v>2589</v>
      </c>
      <c r="F615">
        <f>IFERROR(VLOOKUP($A615,koronahun!$A:$AM,6,FALSE),"")</f>
        <v>256326</v>
      </c>
      <c r="G615" s="12">
        <f>IFERROR(VLOOKUP($A615,koronahun!$A:$AM,7,FALSE),"")</f>
        <v>26155.714285714283</v>
      </c>
      <c r="H615">
        <f>IFERROR(VLOOKUP($A615,koronahun!$A:$AM,8,FALSE),"")</f>
        <v>0</v>
      </c>
      <c r="I615" s="13">
        <f>IFERROR(VLOOKUP($A615,koronahun!$A:$AM,9,FALSE),"")</f>
        <v>2E-3</v>
      </c>
      <c r="J615" s="13">
        <f>IFERROR(VLOOKUP($A615,koronahun!$A:$AM,10,FALSE),"")</f>
        <v>1.6E-2</v>
      </c>
      <c r="K615" s="13">
        <f>IFERROR(VLOOKUP($A615,koronahun!$A:$AM,11,FALSE),"")</f>
        <v>1.2999999999999999E-2</v>
      </c>
      <c r="L615">
        <f>IFERROR(VLOOKUP($A615,koronahun!$A:$AM,12,FALSE),"")</f>
        <v>935</v>
      </c>
      <c r="M615" s="13">
        <f>IFERROR(VLOOKUP($A615,koronahun!$A:$AM,13,FALSE),"")</f>
        <v>0.13919999999999999</v>
      </c>
      <c r="N615" s="13">
        <f>IFERROR(VLOOKUP($A615,koronahun!$A:$AM,14,FALSE),"")</f>
        <v>0.63239999999999996</v>
      </c>
      <c r="O615">
        <f>IFERROR(VLOOKUP($A615,koronahun!$A:$AM,15,FALSE),"")</f>
        <v>0</v>
      </c>
      <c r="P615">
        <f>IFERROR(VLOOKUP($A615,koronahun!$A:$AM,16,FALSE),"")</f>
        <v>3226</v>
      </c>
      <c r="Q615" s="13">
        <f>IFERROR(VLOOKUP($A615,koronahun!$A:$AM,17,FALSE),"")</f>
        <v>2.5000000000000001E-3</v>
      </c>
      <c r="R615">
        <f>IFERROR(VLOOKUP($A615,koronahun!$A:$AM,18,FALSE),"")</f>
        <v>0</v>
      </c>
      <c r="S615">
        <f>IFERROR(VLOOKUP($A615,koronahun!$A:$AM,19,FALSE),"")</f>
        <v>4</v>
      </c>
      <c r="T615">
        <f>IFERROR(VLOOKUP($A615,koronahun!$A:$AM,20,FALSE),"")</f>
        <v>185</v>
      </c>
      <c r="U615">
        <f>IFERROR(VLOOKUP($A615,koronahun!$A:$AM,21,FALSE),"")</f>
        <v>15</v>
      </c>
      <c r="V615" s="13">
        <f>IFERROR(VLOOKUP($A615,koronahun!$A:$AM,22,FALSE),"")</f>
        <v>0.22838299951148022</v>
      </c>
      <c r="W615">
        <f>IFERROR(VLOOKUP($A615,koronahun!$A:$AM,23,FALSE),"")</f>
        <v>-1</v>
      </c>
      <c r="X615">
        <f>IFERROR(VLOOKUP($A615,koronahun!$A:$AM,24,FALSE),"")</f>
        <v>0</v>
      </c>
      <c r="Y615" s="14">
        <f>IFERROR(VLOOKUP($A615,koronahun!$A:$AM,25,FALSE),"")</f>
        <v>0.19786096256684493</v>
      </c>
      <c r="Z615" s="14">
        <f>IFERROR(VLOOKUP($A615,koronahun!$A:$AM,26,FALSE),"")</f>
        <v>8.1081081081081086E-2</v>
      </c>
      <c r="AA615" s="14">
        <f>IFERROR(VLOOKUP($A615,koronahun!$A:$AM,27,FALSE),"")</f>
        <v>0.4098360655737705</v>
      </c>
      <c r="AB615" s="14">
        <f>IFERROR(VLOOKUP($A615,koronahun!$A:$AM,28,FALSE),"")</f>
        <v>0.45421681672386033</v>
      </c>
      <c r="AC615" s="14">
        <f>IFERROR(VLOOKUP($A615,koronahun!$A:$AM,29,FALSE),"")</f>
        <v>3.5714285714285716</v>
      </c>
      <c r="AD615" s="14">
        <f>IFERROR(VLOOKUP($A615,koronahun!$A:$AM,30,FALSE),"")</f>
        <v>1.1428571428571428</v>
      </c>
      <c r="AE615" s="14">
        <f>IFERROR(VLOOKUP($A615,koronahun!$A:$AM,31,FALSE),"")</f>
        <v>3226.2857142857142</v>
      </c>
      <c r="AF615" s="13">
        <f>IFERROR(VLOOKUP($A615,koronahun!$A:$AM,32,FALSE),"")</f>
        <v>1.4E-3</v>
      </c>
      <c r="AG615">
        <f>IFERROR(VLOOKUP($A615,koronahun!$A:$AM,33,FALSE),"")</f>
        <v>0</v>
      </c>
      <c r="AH615">
        <f>IFERROR(VLOOKUP($A615,koronahun!$A:$AM,34,FALSE),"")</f>
        <v>0</v>
      </c>
      <c r="AI615">
        <f>IFERROR(VLOOKUP($A615,koronahun!$A:$AM,35,FALSE),"")</f>
        <v>0</v>
      </c>
      <c r="AJ615">
        <f>IFERROR(VLOOKUP($A615,koronahun!$A:$AM,36,FALSE),"")</f>
        <v>0</v>
      </c>
      <c r="AK615">
        <f>IFERROR(VLOOKUP($A615,koronahun!$A:$AM,37,FALSE),"")</f>
        <v>0</v>
      </c>
      <c r="AL615">
        <f>IFERROR(VLOOKUP($A615,koronahun!$A:$AM,38,FALSE),"")</f>
        <v>0</v>
      </c>
      <c r="AM615" s="14">
        <f>IFERROR(VLOOKUP($A615,koronahun!$A:$AM,39,FALSE),"")</f>
        <v>15.285714285714286</v>
      </c>
      <c r="AN615" s="11">
        <f ca="1">IFERROR(__xludf.DUMMYFUNCTION("""COMPUTED_VALUE"""),44507)</f>
        <v>44507</v>
      </c>
      <c r="AO615" s="12">
        <f ca="1">IFERROR(VLOOKUP(AN615,koronahun!A:B,2,FALSE),"")</f>
        <v>0</v>
      </c>
      <c r="AP615" s="11">
        <f t="shared" ca="1" si="4"/>
        <v>44507</v>
      </c>
      <c r="AQ615" s="11">
        <f ca="1">IFERROR(__xludf.DUMMYFUNCTION("""COMPUTED_VALUE"""),44568)</f>
        <v>44568</v>
      </c>
      <c r="AR615" s="11">
        <v>44004</v>
      </c>
      <c r="AS615" s="11">
        <f t="shared" si="5"/>
        <v>44004</v>
      </c>
      <c r="AT615" s="11">
        <f ca="1">IFERROR(__xludf.DUMMYFUNCTION("""COMPUTED_VALUE"""),44003)</f>
        <v>44003</v>
      </c>
    </row>
    <row r="616" spans="1:46" ht="13">
      <c r="A616" s="11">
        <v>44002</v>
      </c>
      <c r="B616">
        <f>IFERROR(VLOOKUP($A616,koronahun!$A:$AM,2,FALSE),"")</f>
        <v>4086</v>
      </c>
      <c r="C616">
        <f>IFERROR(VLOOKUP($A616,koronahun!$A:$AM,3,FALSE),"")</f>
        <v>5</v>
      </c>
      <c r="D616">
        <f>IFERROR(VLOOKUP($A616,koronahun!$A:$AM,4,FALSE),"")</f>
        <v>570</v>
      </c>
      <c r="E616">
        <f>IFERROR(VLOOKUP($A616,koronahun!$A:$AM,5,FALSE),"")</f>
        <v>2585</v>
      </c>
      <c r="F616">
        <f>IFERROR(VLOOKUP($A616,koronahun!$A:$AM,6,FALSE),"")</f>
        <v>253100</v>
      </c>
      <c r="G616" s="12">
        <f>IFERROR(VLOOKUP($A616,koronahun!$A:$AM,7,FALSE),"")</f>
        <v>25826.530612244896</v>
      </c>
      <c r="H616">
        <f>IFERROR(VLOOKUP($A616,koronahun!$A:$AM,8,FALSE),"")</f>
        <v>0</v>
      </c>
      <c r="I616" s="13">
        <f>IFERROR(VLOOKUP($A616,koronahun!$A:$AM,9,FALSE),"")</f>
        <v>1.1999999999999999E-3</v>
      </c>
      <c r="J616" s="13">
        <f>IFERROR(VLOOKUP($A616,koronahun!$A:$AM,10,FALSE),"")</f>
        <v>1.61E-2</v>
      </c>
      <c r="K616" s="13">
        <f>IFERROR(VLOOKUP($A616,koronahun!$A:$AM,11,FALSE),"")</f>
        <v>1.4999999999999999E-2</v>
      </c>
      <c r="L616">
        <f>IFERROR(VLOOKUP($A616,koronahun!$A:$AM,12,FALSE),"")</f>
        <v>931</v>
      </c>
      <c r="M616" s="13">
        <f>IFERROR(VLOOKUP($A616,koronahun!$A:$AM,13,FALSE),"")</f>
        <v>0.13950000000000001</v>
      </c>
      <c r="N616" s="13">
        <f>IFERROR(VLOOKUP($A616,koronahun!$A:$AM,14,FALSE),"")</f>
        <v>0.63260000000000005</v>
      </c>
      <c r="O616">
        <f>IFERROR(VLOOKUP($A616,koronahun!$A:$AM,15,FALSE),"")</f>
        <v>0</v>
      </c>
      <c r="P616">
        <f>IFERROR(VLOOKUP($A616,koronahun!$A:$AM,16,FALSE),"")</f>
        <v>3709</v>
      </c>
      <c r="Q616" s="13">
        <f>IFERROR(VLOOKUP($A616,koronahun!$A:$AM,17,FALSE),"")</f>
        <v>1.2999999999999999E-3</v>
      </c>
      <c r="R616">
        <f>IFERROR(VLOOKUP($A616,koronahun!$A:$AM,18,FALSE),"")</f>
        <v>2</v>
      </c>
      <c r="S616">
        <f>IFERROR(VLOOKUP($A616,koronahun!$A:$AM,19,FALSE),"")</f>
        <v>4</v>
      </c>
      <c r="T616">
        <f>IFERROR(VLOOKUP($A616,koronahun!$A:$AM,20,FALSE),"")</f>
        <v>186</v>
      </c>
      <c r="U616">
        <f>IFERROR(VLOOKUP($A616,koronahun!$A:$AM,21,FALSE),"")</f>
        <v>15</v>
      </c>
      <c r="V616" s="13">
        <f>IFERROR(VLOOKUP($A616,koronahun!$A:$AM,22,FALSE),"")</f>
        <v>0.227851199216838</v>
      </c>
      <c r="W616">
        <f>IFERROR(VLOOKUP($A616,koronahun!$A:$AM,23,FALSE),"")</f>
        <v>-6</v>
      </c>
      <c r="X616">
        <f>IFERROR(VLOOKUP($A616,koronahun!$A:$AM,24,FALSE),"")</f>
        <v>0</v>
      </c>
      <c r="Y616" s="14">
        <f>IFERROR(VLOOKUP($A616,koronahun!$A:$AM,25,FALSE),"")</f>
        <v>0.19978517722878625</v>
      </c>
      <c r="Z616" s="14">
        <f>IFERROR(VLOOKUP($A616,koronahun!$A:$AM,26,FALSE),"")</f>
        <v>8.0645161290322578E-2</v>
      </c>
      <c r="AA616" s="14">
        <f>IFERROR(VLOOKUP($A616,koronahun!$A:$AM,27,FALSE),"")</f>
        <v>0.29729729729729731</v>
      </c>
      <c r="AB616" s="14">
        <f>IFERROR(VLOOKUP($A616,koronahun!$A:$AM,28,FALSE),"")</f>
        <v>0.46168612337349479</v>
      </c>
      <c r="AC616" s="14">
        <f>IFERROR(VLOOKUP($A616,koronahun!$A:$AM,29,FALSE),"")</f>
        <v>3.1428571428571428</v>
      </c>
      <c r="AD616" s="14">
        <f>IFERROR(VLOOKUP($A616,koronahun!$A:$AM,30,FALSE),"")</f>
        <v>1.5714285714285714</v>
      </c>
      <c r="AE616" s="14">
        <f>IFERROR(VLOOKUP($A616,koronahun!$A:$AM,31,FALSE),"")</f>
        <v>3275.8571428571427</v>
      </c>
      <c r="AF616" s="13">
        <f>IFERROR(VLOOKUP($A616,koronahun!$A:$AM,32,FALSE),"")</f>
        <v>1.2428571428571428E-3</v>
      </c>
      <c r="AG616">
        <f>IFERROR(VLOOKUP($A616,koronahun!$A:$AM,33,FALSE),"")</f>
        <v>0</v>
      </c>
      <c r="AH616">
        <f>IFERROR(VLOOKUP($A616,koronahun!$A:$AM,34,FALSE),"")</f>
        <v>0</v>
      </c>
      <c r="AI616">
        <f>IFERROR(VLOOKUP($A616,koronahun!$A:$AM,35,FALSE),"")</f>
        <v>0</v>
      </c>
      <c r="AJ616">
        <f>IFERROR(VLOOKUP($A616,koronahun!$A:$AM,36,FALSE),"")</f>
        <v>0</v>
      </c>
      <c r="AK616">
        <f>IFERROR(VLOOKUP($A616,koronahun!$A:$AM,37,FALSE),"")</f>
        <v>0</v>
      </c>
      <c r="AL616">
        <f>IFERROR(VLOOKUP($A616,koronahun!$A:$AM,38,FALSE),"")</f>
        <v>0</v>
      </c>
      <c r="AM616" s="14">
        <f>IFERROR(VLOOKUP($A616,koronahun!$A:$AM,39,FALSE),"")</f>
        <v>15.571428571428571</v>
      </c>
      <c r="AN616" s="11">
        <f ca="1">IFERROR(__xludf.DUMMYFUNCTION("""COMPUTED_VALUE"""),44508)</f>
        <v>44508</v>
      </c>
      <c r="AO616" s="12">
        <f ca="1">IFERROR(VLOOKUP(AN616,koronahun!A:B,2,FALSE),"")</f>
        <v>909998</v>
      </c>
      <c r="AP616" s="11">
        <f t="shared" ca="1" si="4"/>
        <v>44508</v>
      </c>
      <c r="AQ616" s="11">
        <f ca="1">IFERROR(__xludf.DUMMYFUNCTION("""COMPUTED_VALUE"""),44571)</f>
        <v>44571</v>
      </c>
      <c r="AR616" s="11">
        <v>44003</v>
      </c>
      <c r="AS616" s="11">
        <f t="shared" si="5"/>
        <v>44003</v>
      </c>
      <c r="AT616" s="11">
        <f ca="1">IFERROR(__xludf.DUMMYFUNCTION("""COMPUTED_VALUE"""),44002)</f>
        <v>44002</v>
      </c>
    </row>
    <row r="617" spans="1:46" ht="13">
      <c r="A617" s="11">
        <v>44001</v>
      </c>
      <c r="B617">
        <f>IFERROR(VLOOKUP($A617,koronahun!$A:$AM,2,FALSE),"")</f>
        <v>4081</v>
      </c>
      <c r="C617">
        <f>IFERROR(VLOOKUP($A617,koronahun!$A:$AM,3,FALSE),"")</f>
        <v>2</v>
      </c>
      <c r="D617">
        <f>IFERROR(VLOOKUP($A617,koronahun!$A:$AM,4,FALSE),"")</f>
        <v>568</v>
      </c>
      <c r="E617">
        <f>IFERROR(VLOOKUP($A617,koronahun!$A:$AM,5,FALSE),"")</f>
        <v>2581</v>
      </c>
      <c r="F617">
        <f>IFERROR(VLOOKUP($A617,koronahun!$A:$AM,6,FALSE),"")</f>
        <v>249391</v>
      </c>
      <c r="G617" s="12">
        <f>IFERROR(VLOOKUP($A617,koronahun!$A:$AM,7,FALSE),"")</f>
        <v>25448.061224489793</v>
      </c>
      <c r="H617">
        <f>IFERROR(VLOOKUP($A617,koronahun!$A:$AM,8,FALSE),"")</f>
        <v>0</v>
      </c>
      <c r="I617" s="13">
        <f>IFERROR(VLOOKUP($A617,koronahun!$A:$AM,9,FALSE),"")</f>
        <v>5.0000000000000001E-4</v>
      </c>
      <c r="J617" s="13">
        <f>IFERROR(VLOOKUP($A617,koronahun!$A:$AM,10,FALSE),"")</f>
        <v>1.6400000000000001E-2</v>
      </c>
      <c r="K617" s="13">
        <f>IFERROR(VLOOKUP($A617,koronahun!$A:$AM,11,FALSE),"")</f>
        <v>1.4999999999999999E-2</v>
      </c>
      <c r="L617">
        <f>IFERROR(VLOOKUP($A617,koronahun!$A:$AM,12,FALSE),"")</f>
        <v>932</v>
      </c>
      <c r="M617" s="13">
        <f>IFERROR(VLOOKUP($A617,koronahun!$A:$AM,13,FALSE),"")</f>
        <v>0.13919999999999999</v>
      </c>
      <c r="N617" s="13">
        <f>IFERROR(VLOOKUP($A617,koronahun!$A:$AM,14,FALSE),"")</f>
        <v>0.63239999999999996</v>
      </c>
      <c r="O617">
        <f>IFERROR(VLOOKUP($A617,koronahun!$A:$AM,15,FALSE),"")</f>
        <v>3944</v>
      </c>
      <c r="P617">
        <f>IFERROR(VLOOKUP($A617,koronahun!$A:$AM,16,FALSE),"")</f>
        <v>3793</v>
      </c>
      <c r="Q617" s="13">
        <f>IFERROR(VLOOKUP($A617,koronahun!$A:$AM,17,FALSE),"")</f>
        <v>5.0000000000000001E-4</v>
      </c>
      <c r="R617">
        <f>IFERROR(VLOOKUP($A617,koronahun!$A:$AM,18,FALSE),"")</f>
        <v>0</v>
      </c>
      <c r="S617">
        <f>IFERROR(VLOOKUP($A617,koronahun!$A:$AM,19,FALSE),"")</f>
        <v>17</v>
      </c>
      <c r="T617">
        <f>IFERROR(VLOOKUP($A617,koronahun!$A:$AM,20,FALSE),"")</f>
        <v>192</v>
      </c>
      <c r="U617">
        <f>IFERROR(VLOOKUP($A617,koronahun!$A:$AM,21,FALSE),"")</f>
        <v>15</v>
      </c>
      <c r="V617" s="13">
        <f>IFERROR(VLOOKUP($A617,koronahun!$A:$AM,22,FALSE),"")</f>
        <v>0.22837539818671895</v>
      </c>
      <c r="W617">
        <f>IFERROR(VLOOKUP($A617,koronahun!$A:$AM,23,FALSE),"")</f>
        <v>-7</v>
      </c>
      <c r="X617">
        <f>IFERROR(VLOOKUP($A617,koronahun!$A:$AM,24,FALSE),"")</f>
        <v>0</v>
      </c>
      <c r="Y617" s="14">
        <f>IFERROR(VLOOKUP($A617,koronahun!$A:$AM,25,FALSE),"")</f>
        <v>0.20600858369098712</v>
      </c>
      <c r="Z617" s="14">
        <f>IFERROR(VLOOKUP($A617,koronahun!$A:$AM,26,FALSE),"")</f>
        <v>7.8125E-2</v>
      </c>
      <c r="AA617" s="14">
        <f>IFERROR(VLOOKUP($A617,koronahun!$A:$AM,27,FALSE),"")</f>
        <v>0.33734939759036142</v>
      </c>
      <c r="AB617" s="14">
        <f>IFERROR(VLOOKUP($A617,koronahun!$A:$AM,28,FALSE),"")</f>
        <v>0.50516165465390428</v>
      </c>
      <c r="AC617" s="14">
        <f>IFERROR(VLOOKUP($A617,koronahun!$A:$AM,29,FALSE),"")</f>
        <v>4</v>
      </c>
      <c r="AD617" s="14">
        <f>IFERROR(VLOOKUP($A617,koronahun!$A:$AM,30,FALSE),"")</f>
        <v>1.8571428571428572</v>
      </c>
      <c r="AE617" s="14">
        <f>IFERROR(VLOOKUP($A617,koronahun!$A:$AM,31,FALSE),"")</f>
        <v>3246</v>
      </c>
      <c r="AF617" s="13">
        <f>IFERROR(VLOOKUP($A617,koronahun!$A:$AM,32,FALSE),"")</f>
        <v>1.4999999999999998E-3</v>
      </c>
      <c r="AG617">
        <f>IFERROR(VLOOKUP($A617,koronahun!$A:$AM,33,FALSE),"")</f>
        <v>0</v>
      </c>
      <c r="AH617">
        <f>IFERROR(VLOOKUP($A617,koronahun!$A:$AM,34,FALSE),"")</f>
        <v>0</v>
      </c>
      <c r="AI617">
        <f>IFERROR(VLOOKUP($A617,koronahun!$A:$AM,35,FALSE),"")</f>
        <v>0</v>
      </c>
      <c r="AJ617">
        <f>IFERROR(VLOOKUP($A617,koronahun!$A:$AM,36,FALSE),"")</f>
        <v>0</v>
      </c>
      <c r="AK617">
        <f>IFERROR(VLOOKUP($A617,koronahun!$A:$AM,37,FALSE),"")</f>
        <v>0</v>
      </c>
      <c r="AL617">
        <f>IFERROR(VLOOKUP($A617,koronahun!$A:$AM,38,FALSE),"")</f>
        <v>0</v>
      </c>
      <c r="AM617" s="14">
        <f>IFERROR(VLOOKUP($A617,koronahun!$A:$AM,39,FALSE),"")</f>
        <v>19.142857142857142</v>
      </c>
      <c r="AN617" s="11">
        <f ca="1">IFERROR(__xludf.DUMMYFUNCTION("""COMPUTED_VALUE"""),44509)</f>
        <v>44509</v>
      </c>
      <c r="AO617" s="12">
        <f ca="1">IFERROR(VLOOKUP(AN617,koronahun!A:B,2,FALSE),"")</f>
        <v>914586</v>
      </c>
      <c r="AP617" s="11">
        <f t="shared" ca="1" si="4"/>
        <v>44509</v>
      </c>
      <c r="AQ617" s="11">
        <f ca="1">IFERROR(__xludf.DUMMYFUNCTION("""COMPUTED_VALUE"""),44572)</f>
        <v>44572</v>
      </c>
      <c r="AR617" s="11">
        <v>44002</v>
      </c>
      <c r="AS617" s="11">
        <f t="shared" si="5"/>
        <v>44002</v>
      </c>
      <c r="AT617" s="11">
        <f ca="1">IFERROR(__xludf.DUMMYFUNCTION("""COMPUTED_VALUE"""),44001)</f>
        <v>44001</v>
      </c>
    </row>
    <row r="618" spans="1:46" ht="13">
      <c r="A618" s="11">
        <v>44000</v>
      </c>
      <c r="B618">
        <f>IFERROR(VLOOKUP($A618,koronahun!$A:$AM,2,FALSE),"")</f>
        <v>4079</v>
      </c>
      <c r="C618">
        <f>IFERROR(VLOOKUP($A618,koronahun!$A:$AM,3,FALSE),"")</f>
        <v>1</v>
      </c>
      <c r="D618">
        <f>IFERROR(VLOOKUP($A618,koronahun!$A:$AM,4,FALSE),"")</f>
        <v>568</v>
      </c>
      <c r="E618">
        <f>IFERROR(VLOOKUP($A618,koronahun!$A:$AM,5,FALSE),"")</f>
        <v>2564</v>
      </c>
      <c r="F618">
        <f>IFERROR(VLOOKUP($A618,koronahun!$A:$AM,6,FALSE),"")</f>
        <v>245598</v>
      </c>
      <c r="G618" s="12">
        <f>IFERROR(VLOOKUP($A618,koronahun!$A:$AM,7,FALSE),"")</f>
        <v>25061.020408163262</v>
      </c>
      <c r="H618">
        <f>IFERROR(VLOOKUP($A618,koronahun!$A:$AM,8,FALSE),"")</f>
        <v>0</v>
      </c>
      <c r="I618" s="13">
        <f>IFERROR(VLOOKUP($A618,koronahun!$A:$AM,9,FALSE),"")</f>
        <v>2.0000000000000001E-4</v>
      </c>
      <c r="J618" s="13">
        <f>IFERROR(VLOOKUP($A618,koronahun!$A:$AM,10,FALSE),"")</f>
        <v>1.66E-2</v>
      </c>
      <c r="K618" s="13">
        <f>IFERROR(VLOOKUP($A618,koronahun!$A:$AM,11,FALSE),"")</f>
        <v>1.4E-2</v>
      </c>
      <c r="L618">
        <f>IFERROR(VLOOKUP($A618,koronahun!$A:$AM,12,FALSE),"")</f>
        <v>947</v>
      </c>
      <c r="M618" s="13">
        <f>IFERROR(VLOOKUP($A618,koronahun!$A:$AM,13,FALSE),"")</f>
        <v>0.13919999999999999</v>
      </c>
      <c r="N618" s="13">
        <f>IFERROR(VLOOKUP($A618,koronahun!$A:$AM,14,FALSE),"")</f>
        <v>0.62860000000000005</v>
      </c>
      <c r="O618">
        <f>IFERROR(VLOOKUP($A618,koronahun!$A:$AM,15,FALSE),"")</f>
        <v>6310</v>
      </c>
      <c r="P618">
        <f>IFERROR(VLOOKUP($A618,koronahun!$A:$AM,16,FALSE),"")</f>
        <v>3459</v>
      </c>
      <c r="Q618" s="13">
        <f>IFERROR(VLOOKUP($A618,koronahun!$A:$AM,17,FALSE),"")</f>
        <v>2.9999999999999997E-4</v>
      </c>
      <c r="R618">
        <f>IFERROR(VLOOKUP($A618,koronahun!$A:$AM,18,FALSE),"")</f>
        <v>1</v>
      </c>
      <c r="S618">
        <f>IFERROR(VLOOKUP($A618,koronahun!$A:$AM,19,FALSE),"")</f>
        <v>17</v>
      </c>
      <c r="T618">
        <f>IFERROR(VLOOKUP($A618,koronahun!$A:$AM,20,FALSE),"")</f>
        <v>199</v>
      </c>
      <c r="U618">
        <f>IFERROR(VLOOKUP($A618,koronahun!$A:$AM,21,FALSE),"")</f>
        <v>15</v>
      </c>
      <c r="V618" s="13">
        <f>IFERROR(VLOOKUP($A618,koronahun!$A:$AM,22,FALSE),"")</f>
        <v>0.23216474626133857</v>
      </c>
      <c r="W618">
        <f>IFERROR(VLOOKUP($A618,koronahun!$A:$AM,23,FALSE),"")</f>
        <v>-11</v>
      </c>
      <c r="X618">
        <f>IFERROR(VLOOKUP($A618,koronahun!$A:$AM,24,FALSE),"")</f>
        <v>-1</v>
      </c>
      <c r="Y618" s="14">
        <f>IFERROR(VLOOKUP($A618,koronahun!$A:$AM,25,FALSE),"")</f>
        <v>0.21013727560718057</v>
      </c>
      <c r="Z618" s="14">
        <f>IFERROR(VLOOKUP($A618,koronahun!$A:$AM,26,FALSE),"")</f>
        <v>7.5376884422110546E-2</v>
      </c>
      <c r="AA618" s="14">
        <f>IFERROR(VLOOKUP($A618,koronahun!$A:$AM,27,FALSE),"")</f>
        <v>0.47058823529411764</v>
      </c>
      <c r="AB618" s="14">
        <f>IFERROR(VLOOKUP($A618,koronahun!$A:$AM,28,FALSE),"")</f>
        <v>0.54888471967144947</v>
      </c>
      <c r="AC618" s="14">
        <f>IFERROR(VLOOKUP($A618,koronahun!$A:$AM,29,FALSE),"")</f>
        <v>5.7142857142857144</v>
      </c>
      <c r="AD618" s="14">
        <f>IFERROR(VLOOKUP($A618,koronahun!$A:$AM,30,FALSE),"")</f>
        <v>2.1428571428571428</v>
      </c>
      <c r="AE618" s="14">
        <f>IFERROR(VLOOKUP($A618,koronahun!$A:$AM,31,FALSE),"")</f>
        <v>3335.8571428571427</v>
      </c>
      <c r="AF618" s="13">
        <f>IFERROR(VLOOKUP($A618,koronahun!$A:$AM,32,FALSE),"")</f>
        <v>1.8857142857142857E-3</v>
      </c>
      <c r="AG618">
        <f>IFERROR(VLOOKUP($A618,koronahun!$A:$AM,33,FALSE),"")</f>
        <v>0</v>
      </c>
      <c r="AH618">
        <f>IFERROR(VLOOKUP($A618,koronahun!$A:$AM,34,FALSE),"")</f>
        <v>0</v>
      </c>
      <c r="AI618">
        <f>IFERROR(VLOOKUP($A618,koronahun!$A:$AM,35,FALSE),"")</f>
        <v>0</v>
      </c>
      <c r="AJ618">
        <f>IFERROR(VLOOKUP($A618,koronahun!$A:$AM,36,FALSE),"")</f>
        <v>0</v>
      </c>
      <c r="AK618">
        <f>IFERROR(VLOOKUP($A618,koronahun!$A:$AM,37,FALSE),"")</f>
        <v>0</v>
      </c>
      <c r="AL618">
        <f>IFERROR(VLOOKUP($A618,koronahun!$A:$AM,38,FALSE),"")</f>
        <v>0</v>
      </c>
      <c r="AM618" s="14">
        <f>IFERROR(VLOOKUP($A618,koronahun!$A:$AM,39,FALSE),"")</f>
        <v>24.714285714285715</v>
      </c>
      <c r="AN618" s="11">
        <f ca="1">IFERROR(__xludf.DUMMYFUNCTION("""COMPUTED_VALUE"""),44510)</f>
        <v>44510</v>
      </c>
      <c r="AO618" s="12">
        <f ca="1">IFERROR(VLOOKUP(AN618,koronahun!A:B,2,FALSE),"")</f>
        <v>923020</v>
      </c>
      <c r="AP618" s="11">
        <f t="shared" ca="1" si="4"/>
        <v>44510</v>
      </c>
      <c r="AQ618" s="11">
        <f ca="1">IFERROR(__xludf.DUMMYFUNCTION("""COMPUTED_VALUE"""),44573)</f>
        <v>44573</v>
      </c>
      <c r="AR618" s="11">
        <v>44001</v>
      </c>
      <c r="AS618" s="11">
        <f t="shared" si="5"/>
        <v>44001</v>
      </c>
      <c r="AT618" s="11">
        <f ca="1">IFERROR(__xludf.DUMMYFUNCTION("""COMPUTED_VALUE"""),44000)</f>
        <v>44000</v>
      </c>
    </row>
    <row r="619" spans="1:46" ht="13">
      <c r="A619" s="11">
        <v>43999</v>
      </c>
      <c r="B619">
        <f>IFERROR(VLOOKUP($A619,koronahun!$A:$AM,2,FALSE),"")</f>
        <v>4078</v>
      </c>
      <c r="C619">
        <f>IFERROR(VLOOKUP($A619,koronahun!$A:$AM,3,FALSE),"")</f>
        <v>1</v>
      </c>
      <c r="D619">
        <f>IFERROR(VLOOKUP($A619,koronahun!$A:$AM,4,FALSE),"")</f>
        <v>567</v>
      </c>
      <c r="E619">
        <f>IFERROR(VLOOKUP($A619,koronahun!$A:$AM,5,FALSE),"")</f>
        <v>2547</v>
      </c>
      <c r="F619">
        <f>IFERROR(VLOOKUP($A619,koronahun!$A:$AM,6,FALSE),"")</f>
        <v>242139</v>
      </c>
      <c r="G619" s="12">
        <f>IFERROR(VLOOKUP($A619,koronahun!$A:$AM,7,FALSE),"")</f>
        <v>24708.061224489793</v>
      </c>
      <c r="H619">
        <f>IFERROR(VLOOKUP($A619,koronahun!$A:$AM,8,FALSE),"")</f>
        <v>0</v>
      </c>
      <c r="I619" s="13">
        <f>IFERROR(VLOOKUP($A619,koronahun!$A:$AM,9,FALSE),"")</f>
        <v>2.0000000000000001E-4</v>
      </c>
      <c r="J619" s="13">
        <f>IFERROR(VLOOKUP($A619,koronahun!$A:$AM,10,FALSE),"")</f>
        <v>1.6799999999999999E-2</v>
      </c>
      <c r="K619" s="13">
        <f>IFERROR(VLOOKUP($A619,koronahun!$A:$AM,11,FALSE),"")</f>
        <v>2.1999999999999999E-2</v>
      </c>
      <c r="L619">
        <f>IFERROR(VLOOKUP($A619,koronahun!$A:$AM,12,FALSE),"")</f>
        <v>964</v>
      </c>
      <c r="M619" s="13">
        <f>IFERROR(VLOOKUP($A619,koronahun!$A:$AM,13,FALSE),"")</f>
        <v>0.13900000000000001</v>
      </c>
      <c r="N619" s="13">
        <f>IFERROR(VLOOKUP($A619,koronahun!$A:$AM,14,FALSE),"")</f>
        <v>0.62460000000000004</v>
      </c>
      <c r="O619">
        <f>IFERROR(VLOOKUP($A619,koronahun!$A:$AM,15,FALSE),"")</f>
        <v>7092</v>
      </c>
      <c r="P619">
        <f>IFERROR(VLOOKUP($A619,koronahun!$A:$AM,16,FALSE),"")</f>
        <v>5311</v>
      </c>
      <c r="Q619" s="13">
        <f>IFERROR(VLOOKUP($A619,koronahun!$A:$AM,17,FALSE),"")</f>
        <v>2.0000000000000001E-4</v>
      </c>
      <c r="R619">
        <f>IFERROR(VLOOKUP($A619,koronahun!$A:$AM,18,FALSE),"")</f>
        <v>2</v>
      </c>
      <c r="S619">
        <f>IFERROR(VLOOKUP($A619,koronahun!$A:$AM,19,FALSE),"")</f>
        <v>31</v>
      </c>
      <c r="T619">
        <f>IFERROR(VLOOKUP($A619,koronahun!$A:$AM,20,FALSE),"")</f>
        <v>210</v>
      </c>
      <c r="U619">
        <f>IFERROR(VLOOKUP($A619,koronahun!$A:$AM,21,FALSE),"")</f>
        <v>16</v>
      </c>
      <c r="V619" s="13">
        <f>IFERROR(VLOOKUP($A619,koronahun!$A:$AM,22,FALSE),"")</f>
        <v>0.23639038744482591</v>
      </c>
      <c r="W619">
        <f>IFERROR(VLOOKUP($A619,koronahun!$A:$AM,23,FALSE),"")</f>
        <v>-45</v>
      </c>
      <c r="X619">
        <f>IFERROR(VLOOKUP($A619,koronahun!$A:$AM,24,FALSE),"")</f>
        <v>-1</v>
      </c>
      <c r="Y619" s="14">
        <f>IFERROR(VLOOKUP($A619,koronahun!$A:$AM,25,FALSE),"")</f>
        <v>0.21784232365145229</v>
      </c>
      <c r="Z619" s="14">
        <f>IFERROR(VLOOKUP($A619,koronahun!$A:$AM,26,FALSE),"")</f>
        <v>7.6190476190476197E-2</v>
      </c>
      <c r="AA619" s="14">
        <f>IFERROR(VLOOKUP($A619,koronahun!$A:$AM,27,FALSE),"")</f>
        <v>0.53125</v>
      </c>
      <c r="AB619" s="14">
        <f>IFERROR(VLOOKUP($A619,koronahun!$A:$AM,28,FALSE),"")</f>
        <v>0.56964954734164785</v>
      </c>
      <c r="AC619" s="14">
        <f>IFERROR(VLOOKUP($A619,koronahun!$A:$AM,29,FALSE),"")</f>
        <v>7.2857142857142856</v>
      </c>
      <c r="AD619" s="14">
        <f>IFERROR(VLOOKUP($A619,koronahun!$A:$AM,30,FALSE),"")</f>
        <v>2.2857142857142856</v>
      </c>
      <c r="AE619" s="14">
        <f>IFERROR(VLOOKUP($A619,koronahun!$A:$AM,31,FALSE),"")</f>
        <v>3492.8571428571427</v>
      </c>
      <c r="AF619" s="13">
        <f>IFERROR(VLOOKUP($A619,koronahun!$A:$AM,32,FALSE),"")</f>
        <v>2.2142857142857142E-3</v>
      </c>
      <c r="AG619">
        <f>IFERROR(VLOOKUP($A619,koronahun!$A:$AM,33,FALSE),"")</f>
        <v>0</v>
      </c>
      <c r="AH619">
        <f>IFERROR(VLOOKUP($A619,koronahun!$A:$AM,34,FALSE),"")</f>
        <v>0</v>
      </c>
      <c r="AI619">
        <f>IFERROR(VLOOKUP($A619,koronahun!$A:$AM,35,FALSE),"")</f>
        <v>0</v>
      </c>
      <c r="AJ619">
        <f>IFERROR(VLOOKUP($A619,koronahun!$A:$AM,36,FALSE),"")</f>
        <v>0</v>
      </c>
      <c r="AK619">
        <f>IFERROR(VLOOKUP($A619,koronahun!$A:$AM,37,FALSE),"")</f>
        <v>0</v>
      </c>
      <c r="AL619">
        <f>IFERROR(VLOOKUP($A619,koronahun!$A:$AM,38,FALSE),"")</f>
        <v>0</v>
      </c>
      <c r="AM619" s="14">
        <f>IFERROR(VLOOKUP($A619,koronahun!$A:$AM,39,FALSE),"")</f>
        <v>27.428571428571427</v>
      </c>
      <c r="AN619" s="11">
        <f ca="1">IFERROR(__xludf.DUMMYFUNCTION("""COMPUTED_VALUE"""),44511)</f>
        <v>44511</v>
      </c>
      <c r="AO619" s="12">
        <f ca="1">IFERROR(VLOOKUP(AN619,koronahun!A:B,2,FALSE),"")</f>
        <v>931414</v>
      </c>
      <c r="AP619" s="11">
        <f t="shared" ca="1" si="4"/>
        <v>44511</v>
      </c>
      <c r="AQ619" s="11">
        <f ca="1">IFERROR(__xludf.DUMMYFUNCTION("""COMPUTED_VALUE"""),44574)</f>
        <v>44574</v>
      </c>
      <c r="AR619" s="11">
        <v>44000</v>
      </c>
      <c r="AS619" s="11">
        <f t="shared" si="5"/>
        <v>44000</v>
      </c>
      <c r="AT619" s="11">
        <f ca="1">IFERROR(__xludf.DUMMYFUNCTION("""COMPUTED_VALUE"""),43999)</f>
        <v>43999</v>
      </c>
    </row>
    <row r="620" spans="1:46" ht="13">
      <c r="A620" s="11">
        <v>43998</v>
      </c>
      <c r="B620">
        <f>IFERROR(VLOOKUP($A620,koronahun!$A:$AM,2,FALSE),"")</f>
        <v>4077</v>
      </c>
      <c r="C620">
        <f>IFERROR(VLOOKUP($A620,koronahun!$A:$AM,3,FALSE),"")</f>
        <v>1</v>
      </c>
      <c r="D620">
        <f>IFERROR(VLOOKUP($A620,koronahun!$A:$AM,4,FALSE),"")</f>
        <v>565</v>
      </c>
      <c r="E620">
        <f>IFERROR(VLOOKUP($A620,koronahun!$A:$AM,5,FALSE),"")</f>
        <v>2516</v>
      </c>
      <c r="F620">
        <f>IFERROR(VLOOKUP($A620,koronahun!$A:$AM,6,FALSE),"")</f>
        <v>236828</v>
      </c>
      <c r="G620" s="12">
        <f>IFERROR(VLOOKUP($A620,koronahun!$A:$AM,7,FALSE),"")</f>
        <v>24166.12244897959</v>
      </c>
      <c r="H620">
        <f>IFERROR(VLOOKUP($A620,koronahun!$A:$AM,8,FALSE),"")</f>
        <v>0</v>
      </c>
      <c r="I620" s="13">
        <f>IFERROR(VLOOKUP($A620,koronahun!$A:$AM,9,FALSE),"")</f>
        <v>2.0000000000000001E-4</v>
      </c>
      <c r="J620" s="13">
        <f>IFERROR(VLOOKUP($A620,koronahun!$A:$AM,10,FALSE),"")</f>
        <v>1.72E-2</v>
      </c>
      <c r="K620" s="13">
        <f>IFERROR(VLOOKUP($A620,koronahun!$A:$AM,11,FALSE),"")</f>
        <v>6.0000000000000001E-3</v>
      </c>
      <c r="L620">
        <f>IFERROR(VLOOKUP($A620,koronahun!$A:$AM,12,FALSE),"")</f>
        <v>996</v>
      </c>
      <c r="M620" s="13">
        <f>IFERROR(VLOOKUP($A620,koronahun!$A:$AM,13,FALSE),"")</f>
        <v>0.1386</v>
      </c>
      <c r="N620" s="13">
        <f>IFERROR(VLOOKUP($A620,koronahun!$A:$AM,14,FALSE),"")</f>
        <v>0.61709999999999998</v>
      </c>
      <c r="O620">
        <f>IFERROR(VLOOKUP($A620,koronahun!$A:$AM,15,FALSE),"")</f>
        <v>7545</v>
      </c>
      <c r="P620">
        <f>IFERROR(VLOOKUP($A620,koronahun!$A:$AM,16,FALSE),"")</f>
        <v>1451</v>
      </c>
      <c r="Q620" s="13">
        <f>IFERROR(VLOOKUP($A620,koronahun!$A:$AM,17,FALSE),"")</f>
        <v>6.9999999999999999E-4</v>
      </c>
      <c r="R620">
        <f>IFERROR(VLOOKUP($A620,koronahun!$A:$AM,18,FALSE),"")</f>
        <v>2</v>
      </c>
      <c r="S620">
        <f>IFERROR(VLOOKUP($A620,koronahun!$A:$AM,19,FALSE),"")</f>
        <v>31</v>
      </c>
      <c r="T620">
        <f>IFERROR(VLOOKUP($A620,koronahun!$A:$AM,20,FALSE),"")</f>
        <v>255</v>
      </c>
      <c r="U620">
        <f>IFERROR(VLOOKUP($A620,koronahun!$A:$AM,21,FALSE),"")</f>
        <v>17</v>
      </c>
      <c r="V620" s="13">
        <f>IFERROR(VLOOKUP($A620,koronahun!$A:$AM,22,FALSE),"")</f>
        <v>0.24429727740986018</v>
      </c>
      <c r="W620">
        <f>IFERROR(VLOOKUP($A620,koronahun!$A:$AM,23,FALSE),"")</f>
        <v>-20</v>
      </c>
      <c r="X620">
        <f>IFERROR(VLOOKUP($A620,koronahun!$A:$AM,24,FALSE),"")</f>
        <v>-2</v>
      </c>
      <c r="Y620" s="14">
        <f>IFERROR(VLOOKUP($A620,koronahun!$A:$AM,25,FALSE),"")</f>
        <v>0.25602409638554219</v>
      </c>
      <c r="Z620" s="14">
        <f>IFERROR(VLOOKUP($A620,koronahun!$A:$AM,26,FALSE),"")</f>
        <v>6.6666666666666666E-2</v>
      </c>
      <c r="AA620" s="14">
        <f>IFERROR(VLOOKUP($A620,koronahun!$A:$AM,27,FALSE),"")</f>
        <v>0.625</v>
      </c>
      <c r="AB620" s="14">
        <f>IFERROR(VLOOKUP($A620,koronahun!$A:$AM,28,FALSE),"")</f>
        <v>0.59313557218636848</v>
      </c>
      <c r="AC620" s="14">
        <f>IFERROR(VLOOKUP($A620,koronahun!$A:$AM,29,FALSE),"")</f>
        <v>8.5714285714285712</v>
      </c>
      <c r="AD620" s="14">
        <f>IFERROR(VLOOKUP($A620,koronahun!$A:$AM,30,FALSE),"")</f>
        <v>2.1428571428571428</v>
      </c>
      <c r="AE620" s="14">
        <f>IFERROR(VLOOKUP($A620,koronahun!$A:$AM,31,FALSE),"")</f>
        <v>3194.2857142857142</v>
      </c>
      <c r="AF620" s="13">
        <f>IFERROR(VLOOKUP($A620,koronahun!$A:$AM,32,FALSE),"")</f>
        <v>2.6285714285714285E-3</v>
      </c>
      <c r="AG620">
        <f>IFERROR(VLOOKUP($A620,koronahun!$A:$AM,33,FALSE),"")</f>
        <v>0</v>
      </c>
      <c r="AH620">
        <f>IFERROR(VLOOKUP($A620,koronahun!$A:$AM,34,FALSE),"")</f>
        <v>0</v>
      </c>
      <c r="AI620">
        <f>IFERROR(VLOOKUP($A620,koronahun!$A:$AM,35,FALSE),"")</f>
        <v>0</v>
      </c>
      <c r="AJ620">
        <f>IFERROR(VLOOKUP($A620,koronahun!$A:$AM,36,FALSE),"")</f>
        <v>0</v>
      </c>
      <c r="AK620">
        <f>IFERROR(VLOOKUP($A620,koronahun!$A:$AM,37,FALSE),"")</f>
        <v>0</v>
      </c>
      <c r="AL620">
        <f>IFERROR(VLOOKUP($A620,koronahun!$A:$AM,38,FALSE),"")</f>
        <v>0</v>
      </c>
      <c r="AM620" s="14">
        <f>IFERROR(VLOOKUP($A620,koronahun!$A:$AM,39,FALSE),"")</f>
        <v>27.428571428571427</v>
      </c>
      <c r="AN620" s="11">
        <f ca="1">IFERROR(__xludf.DUMMYFUNCTION("""COMPUTED_VALUE"""),44512)</f>
        <v>44512</v>
      </c>
      <c r="AO620" s="12">
        <f ca="1">IFERROR(VLOOKUP(AN620,koronahun!A:B,2,FALSE),"")</f>
        <v>939784</v>
      </c>
      <c r="AP620" s="11">
        <f t="shared" ca="1" si="4"/>
        <v>44512</v>
      </c>
      <c r="AQ620" s="11">
        <f ca="1">IFERROR(__xludf.DUMMYFUNCTION("""COMPUTED_VALUE"""),44575)</f>
        <v>44575</v>
      </c>
      <c r="AR620" s="11">
        <v>43999</v>
      </c>
      <c r="AS620" s="11">
        <f t="shared" si="5"/>
        <v>43999</v>
      </c>
      <c r="AT620" s="11">
        <f ca="1">IFERROR(__xludf.DUMMYFUNCTION("""COMPUTED_VALUE"""),43998)</f>
        <v>43998</v>
      </c>
    </row>
    <row r="621" spans="1:46" ht="13">
      <c r="A621" s="11">
        <v>43997</v>
      </c>
      <c r="B621">
        <f>IFERROR(VLOOKUP($A621,koronahun!$A:$AM,2,FALSE),"")</f>
        <v>4076</v>
      </c>
      <c r="C621">
        <f>IFERROR(VLOOKUP($A621,koronahun!$A:$AM,3,FALSE),"")</f>
        <v>7</v>
      </c>
      <c r="D621">
        <f>IFERROR(VLOOKUP($A621,koronahun!$A:$AM,4,FALSE),"")</f>
        <v>563</v>
      </c>
      <c r="E621">
        <f>IFERROR(VLOOKUP($A621,koronahun!$A:$AM,5,FALSE),"")</f>
        <v>2485</v>
      </c>
      <c r="F621">
        <f>IFERROR(VLOOKUP($A621,koronahun!$A:$AM,6,FALSE),"")</f>
        <v>235377</v>
      </c>
      <c r="G621" s="12">
        <f>IFERROR(VLOOKUP($A621,koronahun!$A:$AM,7,FALSE),"")</f>
        <v>24018.061224489793</v>
      </c>
      <c r="H621">
        <f>IFERROR(VLOOKUP($A621,koronahun!$A:$AM,8,FALSE),"")</f>
        <v>0</v>
      </c>
      <c r="I621" s="13">
        <f>IFERROR(VLOOKUP($A621,koronahun!$A:$AM,9,FALSE),"")</f>
        <v>1.6999999999999999E-3</v>
      </c>
      <c r="J621" s="13">
        <f>IFERROR(VLOOKUP($A621,koronahun!$A:$AM,10,FALSE),"")</f>
        <v>1.7299999999999999E-2</v>
      </c>
      <c r="K621" s="13">
        <f>IFERROR(VLOOKUP($A621,koronahun!$A:$AM,11,FALSE),"")</f>
        <v>7.0000000000000001E-3</v>
      </c>
      <c r="L621">
        <f>IFERROR(VLOOKUP($A621,koronahun!$A:$AM,12,FALSE),"")</f>
        <v>1028</v>
      </c>
      <c r="M621" s="13">
        <f>IFERROR(VLOOKUP($A621,koronahun!$A:$AM,13,FALSE),"")</f>
        <v>0.1381</v>
      </c>
      <c r="N621" s="13">
        <f>IFERROR(VLOOKUP($A621,koronahun!$A:$AM,14,FALSE),"")</f>
        <v>0.60970000000000002</v>
      </c>
      <c r="O621">
        <f>IFERROR(VLOOKUP($A621,koronahun!$A:$AM,15,FALSE),"")</f>
        <v>7707</v>
      </c>
      <c r="P621">
        <f>IFERROR(VLOOKUP($A621,koronahun!$A:$AM,16,FALSE),"")</f>
        <v>1635</v>
      </c>
      <c r="Q621" s="13">
        <f>IFERROR(VLOOKUP($A621,koronahun!$A:$AM,17,FALSE),"")</f>
        <v>4.3E-3</v>
      </c>
      <c r="R621">
        <f>IFERROR(VLOOKUP($A621,koronahun!$A:$AM,18,FALSE),"")</f>
        <v>1</v>
      </c>
      <c r="S621">
        <f>IFERROR(VLOOKUP($A621,koronahun!$A:$AM,19,FALSE),"")</f>
        <v>3</v>
      </c>
      <c r="T621">
        <f>IFERROR(VLOOKUP($A621,koronahun!$A:$AM,20,FALSE),"")</f>
        <v>275</v>
      </c>
      <c r="U621">
        <f>IFERROR(VLOOKUP($A621,koronahun!$A:$AM,21,FALSE),"")</f>
        <v>19</v>
      </c>
      <c r="V621" s="13">
        <f>IFERROR(VLOOKUP($A621,koronahun!$A:$AM,22,FALSE),"")</f>
        <v>0.25220804710500488</v>
      </c>
      <c r="W621">
        <f>IFERROR(VLOOKUP($A621,koronahun!$A:$AM,23,FALSE),"")</f>
        <v>0</v>
      </c>
      <c r="X621">
        <f>IFERROR(VLOOKUP($A621,koronahun!$A:$AM,24,FALSE),"")</f>
        <v>-1</v>
      </c>
      <c r="Y621" s="14">
        <f>IFERROR(VLOOKUP($A621,koronahun!$A:$AM,25,FALSE),"")</f>
        <v>0.26750972762645914</v>
      </c>
      <c r="Z621" s="14">
        <f>IFERROR(VLOOKUP($A621,koronahun!$A:$AM,26,FALSE),"")</f>
        <v>6.9090909090909092E-2</v>
      </c>
      <c r="AA621" s="14">
        <f>IFERROR(VLOOKUP($A621,koronahun!$A:$AM,27,FALSE),"")</f>
        <v>0.50819672131147542</v>
      </c>
      <c r="AB621" s="14">
        <f>IFERROR(VLOOKUP($A621,koronahun!$A:$AM,28,FALSE),"")</f>
        <v>0.59527842932922559</v>
      </c>
      <c r="AC621" s="14">
        <f>IFERROR(VLOOKUP($A621,koronahun!$A:$AM,29,FALSE),"")</f>
        <v>8.8571428571428577</v>
      </c>
      <c r="AD621" s="14">
        <f>IFERROR(VLOOKUP($A621,koronahun!$A:$AM,30,FALSE),"")</f>
        <v>2.1428571428571428</v>
      </c>
      <c r="AE621" s="14">
        <f>IFERROR(VLOOKUP($A621,koronahun!$A:$AM,31,FALSE),"")</f>
        <v>3518.2857142857142</v>
      </c>
      <c r="AF621" s="13">
        <f>IFERROR(VLOOKUP($A621,koronahun!$A:$AM,32,FALSE),"")</f>
        <v>2.6428571428571434E-3</v>
      </c>
      <c r="AG621">
        <f>IFERROR(VLOOKUP($A621,koronahun!$A:$AM,33,FALSE),"")</f>
        <v>0</v>
      </c>
      <c r="AH621">
        <f>IFERROR(VLOOKUP($A621,koronahun!$A:$AM,34,FALSE),"")</f>
        <v>0</v>
      </c>
      <c r="AI621">
        <f>IFERROR(VLOOKUP($A621,koronahun!$A:$AM,35,FALSE),"")</f>
        <v>0</v>
      </c>
      <c r="AJ621">
        <f>IFERROR(VLOOKUP($A621,koronahun!$A:$AM,36,FALSE),"")</f>
        <v>0</v>
      </c>
      <c r="AK621">
        <f>IFERROR(VLOOKUP($A621,koronahun!$A:$AM,37,FALSE),"")</f>
        <v>0</v>
      </c>
      <c r="AL621">
        <f>IFERROR(VLOOKUP($A621,koronahun!$A:$AM,38,FALSE),"")</f>
        <v>0</v>
      </c>
      <c r="AM621" s="14">
        <f>IFERROR(VLOOKUP($A621,koronahun!$A:$AM,39,FALSE),"")</f>
        <v>28.714285714285715</v>
      </c>
      <c r="AN621" s="11">
        <f ca="1">IFERROR(__xludf.DUMMYFUNCTION("""COMPUTED_VALUE"""),44513)</f>
        <v>44513</v>
      </c>
      <c r="AO621" s="12">
        <f ca="1">IFERROR(VLOOKUP(AN621,koronahun!A:B,2,FALSE),"")</f>
        <v>0</v>
      </c>
      <c r="AP621" s="11">
        <f t="shared" ca="1" si="4"/>
        <v>44513</v>
      </c>
      <c r="AQ621" s="11">
        <f ca="1">IFERROR(__xludf.DUMMYFUNCTION("""COMPUTED_VALUE"""),44578)</f>
        <v>44578</v>
      </c>
      <c r="AR621" s="11">
        <v>43998</v>
      </c>
      <c r="AS621" s="11">
        <f t="shared" si="5"/>
        <v>43998</v>
      </c>
      <c r="AT621" s="11">
        <f ca="1">IFERROR(__xludf.DUMMYFUNCTION("""COMPUTED_VALUE"""),43997)</f>
        <v>43997</v>
      </c>
    </row>
    <row r="622" spans="1:46" ht="13">
      <c r="A622" s="11">
        <v>43996</v>
      </c>
      <c r="B622">
        <f>IFERROR(VLOOKUP($A622,koronahun!$A:$AM,2,FALSE),"")</f>
        <v>4069</v>
      </c>
      <c r="C622">
        <f>IFERROR(VLOOKUP($A622,koronahun!$A:$AM,3,FALSE),"")</f>
        <v>5</v>
      </c>
      <c r="D622">
        <f>IFERROR(VLOOKUP($A622,koronahun!$A:$AM,4,FALSE),"")</f>
        <v>562</v>
      </c>
      <c r="E622">
        <f>IFERROR(VLOOKUP($A622,koronahun!$A:$AM,5,FALSE),"")</f>
        <v>2482</v>
      </c>
      <c r="F622">
        <f>IFERROR(VLOOKUP($A622,koronahun!$A:$AM,6,FALSE),"")</f>
        <v>233742</v>
      </c>
      <c r="G622" s="12">
        <f>IFERROR(VLOOKUP($A622,koronahun!$A:$AM,7,FALSE),"")</f>
        <v>23851.224489795917</v>
      </c>
      <c r="H622">
        <f>IFERROR(VLOOKUP($A622,koronahun!$A:$AM,8,FALSE),"")</f>
        <v>0</v>
      </c>
      <c r="I622" s="13">
        <f>IFERROR(VLOOKUP($A622,koronahun!$A:$AM,9,FALSE),"")</f>
        <v>1.1999999999999999E-3</v>
      </c>
      <c r="J622" s="13">
        <f>IFERROR(VLOOKUP($A622,koronahun!$A:$AM,10,FALSE),"")</f>
        <v>1.7399999999999999E-2</v>
      </c>
      <c r="K622" s="13">
        <f>IFERROR(VLOOKUP($A622,koronahun!$A:$AM,11,FALSE),"")</f>
        <v>1.6E-2</v>
      </c>
      <c r="L622">
        <f>IFERROR(VLOOKUP($A622,koronahun!$A:$AM,12,FALSE),"")</f>
        <v>1025</v>
      </c>
      <c r="M622" s="13">
        <f>IFERROR(VLOOKUP($A622,koronahun!$A:$AM,13,FALSE),"")</f>
        <v>0.1381</v>
      </c>
      <c r="N622" s="13">
        <f>IFERROR(VLOOKUP($A622,koronahun!$A:$AM,14,FALSE),"")</f>
        <v>0.61</v>
      </c>
      <c r="O622">
        <f>IFERROR(VLOOKUP($A622,koronahun!$A:$AM,15,FALSE),"")</f>
        <v>7287</v>
      </c>
      <c r="P622">
        <f>IFERROR(VLOOKUP($A622,koronahun!$A:$AM,16,FALSE),"")</f>
        <v>3573</v>
      </c>
      <c r="Q622" s="13">
        <f>IFERROR(VLOOKUP($A622,koronahun!$A:$AM,17,FALSE),"")</f>
        <v>1.4E-3</v>
      </c>
      <c r="R622">
        <f>IFERROR(VLOOKUP($A622,koronahun!$A:$AM,18,FALSE),"")</f>
        <v>3</v>
      </c>
      <c r="S622">
        <f>IFERROR(VLOOKUP($A622,koronahun!$A:$AM,19,FALSE),"")</f>
        <v>6</v>
      </c>
      <c r="T622">
        <f>IFERROR(VLOOKUP($A622,koronahun!$A:$AM,20,FALSE),"")</f>
        <v>275</v>
      </c>
      <c r="U622">
        <f>IFERROR(VLOOKUP($A622,koronahun!$A:$AM,21,FALSE),"")</f>
        <v>20</v>
      </c>
      <c r="V622" s="13">
        <f>IFERROR(VLOOKUP($A622,koronahun!$A:$AM,22,FALSE),"")</f>
        <v>0.25190464487589087</v>
      </c>
      <c r="W622">
        <f>IFERROR(VLOOKUP($A622,koronahun!$A:$AM,23,FALSE),"")</f>
        <v>-8</v>
      </c>
      <c r="X622">
        <f>IFERROR(VLOOKUP($A622,koronahun!$A:$AM,24,FALSE),"")</f>
        <v>0</v>
      </c>
      <c r="Y622" s="14">
        <f>IFERROR(VLOOKUP($A622,koronahun!$A:$AM,25,FALSE),"")</f>
        <v>0.26829268292682928</v>
      </c>
      <c r="Z622" s="14">
        <f>IFERROR(VLOOKUP($A622,koronahun!$A:$AM,26,FALSE),"")</f>
        <v>7.2727272727272724E-2</v>
      </c>
      <c r="AA622" s="14">
        <f>IFERROR(VLOOKUP($A622,koronahun!$A:$AM,27,FALSE),"")</f>
        <v>0.4621212121212121</v>
      </c>
      <c r="AB622" s="14">
        <f>IFERROR(VLOOKUP($A622,koronahun!$A:$AM,28,FALSE),"")</f>
        <v>0.65083015821750223</v>
      </c>
      <c r="AC622" s="14">
        <f>IFERROR(VLOOKUP($A622,koronahun!$A:$AM,29,FALSE),"")</f>
        <v>8.7142857142857135</v>
      </c>
      <c r="AD622" s="14">
        <f>IFERROR(VLOOKUP($A622,koronahun!$A:$AM,30,FALSE),"")</f>
        <v>2.1428571428571428</v>
      </c>
      <c r="AE622" s="14">
        <f>IFERROR(VLOOKUP($A622,koronahun!$A:$AM,31,FALSE),"")</f>
        <v>3362.8571428571427</v>
      </c>
      <c r="AF622" s="13">
        <f>IFERROR(VLOOKUP($A622,koronahun!$A:$AM,32,FALSE),"")</f>
        <v>3.5999999999999999E-3</v>
      </c>
      <c r="AG622">
        <f>IFERROR(VLOOKUP($A622,koronahun!$A:$AM,33,FALSE),"")</f>
        <v>0</v>
      </c>
      <c r="AH622">
        <f>IFERROR(VLOOKUP($A622,koronahun!$A:$AM,34,FALSE),"")</f>
        <v>0</v>
      </c>
      <c r="AI622">
        <f>IFERROR(VLOOKUP($A622,koronahun!$A:$AM,35,FALSE),"")</f>
        <v>0</v>
      </c>
      <c r="AJ622">
        <f>IFERROR(VLOOKUP($A622,koronahun!$A:$AM,36,FALSE),"")</f>
        <v>0</v>
      </c>
      <c r="AK622">
        <f>IFERROR(VLOOKUP($A622,koronahun!$A:$AM,37,FALSE),"")</f>
        <v>0</v>
      </c>
      <c r="AL622">
        <f>IFERROR(VLOOKUP($A622,koronahun!$A:$AM,38,FALSE),"")</f>
        <v>0</v>
      </c>
      <c r="AM622" s="14">
        <f>IFERROR(VLOOKUP($A622,koronahun!$A:$AM,39,FALSE),"")</f>
        <v>29</v>
      </c>
      <c r="AN622" s="11">
        <f ca="1">IFERROR(__xludf.DUMMYFUNCTION("""COMPUTED_VALUE"""),44514)</f>
        <v>44514</v>
      </c>
      <c r="AO622" s="12">
        <f ca="1">IFERROR(VLOOKUP(AN622,koronahun!A:B,2,FALSE),"")</f>
        <v>0</v>
      </c>
      <c r="AP622" s="11">
        <f t="shared" ca="1" si="4"/>
        <v>44514</v>
      </c>
      <c r="AQ622" s="11">
        <f ca="1">IFERROR(__xludf.DUMMYFUNCTION("""COMPUTED_VALUE"""),44579)</f>
        <v>44579</v>
      </c>
      <c r="AR622" s="11">
        <v>43997</v>
      </c>
      <c r="AS622" s="11">
        <f t="shared" si="5"/>
        <v>43997</v>
      </c>
      <c r="AT622" s="11">
        <f ca="1">IFERROR(__xludf.DUMMYFUNCTION("""COMPUTED_VALUE"""),43996)</f>
        <v>43996</v>
      </c>
    </row>
    <row r="623" spans="1:46" ht="13">
      <c r="A623" s="11">
        <v>43995</v>
      </c>
      <c r="B623">
        <f>IFERROR(VLOOKUP($A623,koronahun!$A:$AM,2,FALSE),"")</f>
        <v>4064</v>
      </c>
      <c r="C623">
        <f>IFERROR(VLOOKUP($A623,koronahun!$A:$AM,3,FALSE),"")</f>
        <v>11</v>
      </c>
      <c r="D623">
        <f>IFERROR(VLOOKUP($A623,koronahun!$A:$AM,4,FALSE),"")</f>
        <v>559</v>
      </c>
      <c r="E623">
        <f>IFERROR(VLOOKUP($A623,koronahun!$A:$AM,5,FALSE),"")</f>
        <v>2476</v>
      </c>
      <c r="F623">
        <f>IFERROR(VLOOKUP($A623,koronahun!$A:$AM,6,FALSE),"")</f>
        <v>230169</v>
      </c>
      <c r="G623" s="12">
        <f>IFERROR(VLOOKUP($A623,koronahun!$A:$AM,7,FALSE),"")</f>
        <v>23486.632653061224</v>
      </c>
      <c r="H623">
        <f>IFERROR(VLOOKUP($A623,koronahun!$A:$AM,8,FALSE),"")</f>
        <v>0</v>
      </c>
      <c r="I623" s="13">
        <f>IFERROR(VLOOKUP($A623,koronahun!$A:$AM,9,FALSE),"")</f>
        <v>2.7000000000000001E-3</v>
      </c>
      <c r="J623" s="13">
        <f>IFERROR(VLOOKUP($A623,koronahun!$A:$AM,10,FALSE),"")</f>
        <v>1.77E-2</v>
      </c>
      <c r="K623" s="13">
        <f>IFERROR(VLOOKUP($A623,koronahun!$A:$AM,11,FALSE),"")</f>
        <v>1.4999999999999999E-2</v>
      </c>
      <c r="L623">
        <f>IFERROR(VLOOKUP($A623,koronahun!$A:$AM,12,FALSE),"")</f>
        <v>1029</v>
      </c>
      <c r="M623" s="13">
        <f>IFERROR(VLOOKUP($A623,koronahun!$A:$AM,13,FALSE),"")</f>
        <v>0.13750000000000001</v>
      </c>
      <c r="N623" s="13">
        <f>IFERROR(VLOOKUP($A623,koronahun!$A:$AM,14,FALSE),"")</f>
        <v>0.60929999999999995</v>
      </c>
      <c r="O623">
        <f>IFERROR(VLOOKUP($A623,koronahun!$A:$AM,15,FALSE),"")</f>
        <v>0</v>
      </c>
      <c r="P623">
        <f>IFERROR(VLOOKUP($A623,koronahun!$A:$AM,16,FALSE),"")</f>
        <v>3500</v>
      </c>
      <c r="Q623" s="13">
        <f>IFERROR(VLOOKUP($A623,koronahun!$A:$AM,17,FALSE),"")</f>
        <v>3.0999999999999999E-3</v>
      </c>
      <c r="R623">
        <f>IFERROR(VLOOKUP($A623,koronahun!$A:$AM,18,FALSE),"")</f>
        <v>4</v>
      </c>
      <c r="S623">
        <f>IFERROR(VLOOKUP($A623,koronahun!$A:$AM,19,FALSE),"")</f>
        <v>29</v>
      </c>
      <c r="T623">
        <f>IFERROR(VLOOKUP($A623,koronahun!$A:$AM,20,FALSE),"")</f>
        <v>283</v>
      </c>
      <c r="U623">
        <f>IFERROR(VLOOKUP($A623,koronahun!$A:$AM,21,FALSE),"")</f>
        <v>20</v>
      </c>
      <c r="V623" s="13">
        <f>IFERROR(VLOOKUP($A623,koronahun!$A:$AM,22,FALSE),"")</f>
        <v>0.25319881889763779</v>
      </c>
      <c r="W623">
        <f>IFERROR(VLOOKUP($A623,koronahun!$A:$AM,23,FALSE),"")</f>
        <v>-7</v>
      </c>
      <c r="X623">
        <f>IFERROR(VLOOKUP($A623,koronahun!$A:$AM,24,FALSE),"")</f>
        <v>0</v>
      </c>
      <c r="Y623" s="14">
        <f>IFERROR(VLOOKUP($A623,koronahun!$A:$AM,25,FALSE),"")</f>
        <v>0.27502429543245871</v>
      </c>
      <c r="Z623" s="14">
        <f>IFERROR(VLOOKUP($A623,koronahun!$A:$AM,26,FALSE),"")</f>
        <v>7.0671378091872794E-2</v>
      </c>
      <c r="AA623" s="14">
        <f>IFERROR(VLOOKUP($A623,koronahun!$A:$AM,27,FALSE),"")</f>
        <v>0.60162601626016265</v>
      </c>
      <c r="AB623" s="14">
        <f>IFERROR(VLOOKUP($A623,koronahun!$A:$AM,28,FALSE),"")</f>
        <v>0.72449538188272589</v>
      </c>
      <c r="AC623" s="14">
        <f>IFERROR(VLOOKUP($A623,koronahun!$A:$AM,29,FALSE),"")</f>
        <v>10.571428571428571</v>
      </c>
      <c r="AD623" s="14">
        <f>IFERROR(VLOOKUP($A623,koronahun!$A:$AM,30,FALSE),"")</f>
        <v>1.8571428571428572</v>
      </c>
      <c r="AE623" s="14">
        <f>IFERROR(VLOOKUP($A623,koronahun!$A:$AM,31,FALSE),"")</f>
        <v>3330.8571428571427</v>
      </c>
      <c r="AF623" s="13">
        <f>IFERROR(VLOOKUP($A623,koronahun!$A:$AM,32,FALSE),"")</f>
        <v>4.1714285714285707E-3</v>
      </c>
      <c r="AG623">
        <f>IFERROR(VLOOKUP($A623,koronahun!$A:$AM,33,FALSE),"")</f>
        <v>0</v>
      </c>
      <c r="AH623">
        <f>IFERROR(VLOOKUP($A623,koronahun!$A:$AM,34,FALSE),"")</f>
        <v>0</v>
      </c>
      <c r="AI623">
        <f>IFERROR(VLOOKUP($A623,koronahun!$A:$AM,35,FALSE),"")</f>
        <v>0</v>
      </c>
      <c r="AJ623">
        <f>IFERROR(VLOOKUP($A623,koronahun!$A:$AM,36,FALSE),"")</f>
        <v>0</v>
      </c>
      <c r="AK623">
        <f>IFERROR(VLOOKUP($A623,koronahun!$A:$AM,37,FALSE),"")</f>
        <v>0</v>
      </c>
      <c r="AL623">
        <f>IFERROR(VLOOKUP($A623,koronahun!$A:$AM,38,FALSE),"")</f>
        <v>0</v>
      </c>
      <c r="AM623" s="14">
        <f>IFERROR(VLOOKUP($A623,koronahun!$A:$AM,39,FALSE),"")</f>
        <v>28.142857142857142</v>
      </c>
      <c r="AN623" s="11">
        <f ca="1">IFERROR(__xludf.DUMMYFUNCTION("""COMPUTED_VALUE"""),44515)</f>
        <v>44515</v>
      </c>
      <c r="AO623" s="12">
        <f ca="1">IFERROR(VLOOKUP(AN623,koronahun!A:B,2,FALSE),"")</f>
        <v>960844</v>
      </c>
      <c r="AP623" s="11">
        <f t="shared" ca="1" si="4"/>
        <v>44515</v>
      </c>
      <c r="AQ623" s="11">
        <f ca="1">IFERROR(__xludf.DUMMYFUNCTION("""COMPUTED_VALUE"""),44580)</f>
        <v>44580</v>
      </c>
      <c r="AR623" s="11">
        <v>43996</v>
      </c>
      <c r="AS623" s="11">
        <f t="shared" si="5"/>
        <v>43996</v>
      </c>
      <c r="AT623" s="11">
        <f ca="1">IFERROR(__xludf.DUMMYFUNCTION("""COMPUTED_VALUE"""),43995)</f>
        <v>43995</v>
      </c>
    </row>
    <row r="624" spans="1:46" ht="13">
      <c r="A624" s="11">
        <v>43994</v>
      </c>
      <c r="B624">
        <f>IFERROR(VLOOKUP($A624,koronahun!$A:$AM,2,FALSE),"")</f>
        <v>4053</v>
      </c>
      <c r="C624">
        <f>IFERROR(VLOOKUP($A624,koronahun!$A:$AM,3,FALSE),"")</f>
        <v>14</v>
      </c>
      <c r="D624">
        <f>IFERROR(VLOOKUP($A624,koronahun!$A:$AM,4,FALSE),"")</f>
        <v>555</v>
      </c>
      <c r="E624">
        <f>IFERROR(VLOOKUP($A624,koronahun!$A:$AM,5,FALSE),"")</f>
        <v>2447</v>
      </c>
      <c r="F624">
        <f>IFERROR(VLOOKUP($A624,koronahun!$A:$AM,6,FALSE),"")</f>
        <v>226669</v>
      </c>
      <c r="G624" s="12">
        <f>IFERROR(VLOOKUP($A624,koronahun!$A:$AM,7,FALSE),"")</f>
        <v>23129.489795918365</v>
      </c>
      <c r="H624">
        <f>IFERROR(VLOOKUP($A624,koronahun!$A:$AM,8,FALSE),"")</f>
        <v>0</v>
      </c>
      <c r="I624" s="13">
        <f>IFERROR(VLOOKUP($A624,koronahun!$A:$AM,9,FALSE),"")</f>
        <v>3.5000000000000001E-3</v>
      </c>
      <c r="J624" s="13">
        <f>IFERROR(VLOOKUP($A624,koronahun!$A:$AM,10,FALSE),"")</f>
        <v>1.7899999999999999E-2</v>
      </c>
      <c r="K624" s="13">
        <f>IFERROR(VLOOKUP($A624,koronahun!$A:$AM,11,FALSE),"")</f>
        <v>0.02</v>
      </c>
      <c r="L624">
        <f>IFERROR(VLOOKUP($A624,koronahun!$A:$AM,12,FALSE),"")</f>
        <v>1051</v>
      </c>
      <c r="M624" s="13">
        <f>IFERROR(VLOOKUP($A624,koronahun!$A:$AM,13,FALSE),"")</f>
        <v>0.13689999999999999</v>
      </c>
      <c r="N624" s="13">
        <f>IFERROR(VLOOKUP($A624,koronahun!$A:$AM,14,FALSE),"")</f>
        <v>0.6038</v>
      </c>
      <c r="O624">
        <f>IFERROR(VLOOKUP($A624,koronahun!$A:$AM,15,FALSE),"")</f>
        <v>8834</v>
      </c>
      <c r="P624">
        <f>IFERROR(VLOOKUP($A624,koronahun!$A:$AM,16,FALSE),"")</f>
        <v>4422</v>
      </c>
      <c r="Q624" s="13">
        <f>IFERROR(VLOOKUP($A624,koronahun!$A:$AM,17,FALSE),"")</f>
        <v>3.2000000000000002E-3</v>
      </c>
      <c r="R624">
        <f>IFERROR(VLOOKUP($A624,koronahun!$A:$AM,18,FALSE),"")</f>
        <v>2</v>
      </c>
      <c r="S624">
        <f>IFERROR(VLOOKUP($A624,koronahun!$A:$AM,19,FALSE),"")</f>
        <v>56</v>
      </c>
      <c r="T624">
        <f>IFERROR(VLOOKUP($A624,koronahun!$A:$AM,20,FALSE),"")</f>
        <v>290</v>
      </c>
      <c r="U624">
        <f>IFERROR(VLOOKUP($A624,koronahun!$A:$AM,21,FALSE),"")</f>
        <v>20</v>
      </c>
      <c r="V624" s="13">
        <f>IFERROR(VLOOKUP($A624,koronahun!$A:$AM,22,FALSE),"")</f>
        <v>0.25931408832963238</v>
      </c>
      <c r="W624">
        <f>IFERROR(VLOOKUP($A624,koronahun!$A:$AM,23,FALSE),"")</f>
        <v>-31</v>
      </c>
      <c r="X624">
        <f>IFERROR(VLOOKUP($A624,koronahun!$A:$AM,24,FALSE),"")</f>
        <v>1</v>
      </c>
      <c r="Y624" s="14">
        <f>IFERROR(VLOOKUP($A624,koronahun!$A:$AM,25,FALSE),"")</f>
        <v>0.2759276879162702</v>
      </c>
      <c r="Z624" s="14">
        <f>IFERROR(VLOOKUP($A624,koronahun!$A:$AM,26,FALSE),"")</f>
        <v>6.8965517241379309E-2</v>
      </c>
      <c r="AA624" s="14">
        <f>IFERROR(VLOOKUP($A624,koronahun!$A:$AM,27,FALSE),"")</f>
        <v>0.64341085271317833</v>
      </c>
      <c r="AB624" s="14">
        <f>IFERROR(VLOOKUP($A624,koronahun!$A:$AM,28,FALSE),"")</f>
        <v>0.75264899366003113</v>
      </c>
      <c r="AC624" s="14">
        <f>IFERROR(VLOOKUP($A624,koronahun!$A:$AM,29,FALSE),"")</f>
        <v>11.857142857142858</v>
      </c>
      <c r="AD624" s="14">
        <f>IFERROR(VLOOKUP($A624,koronahun!$A:$AM,30,FALSE),"")</f>
        <v>1.7142857142857142</v>
      </c>
      <c r="AE624" s="14">
        <f>IFERROR(VLOOKUP($A624,koronahun!$A:$AM,31,FALSE),"")</f>
        <v>3437.5714285714284</v>
      </c>
      <c r="AF624" s="13">
        <f>IFERROR(VLOOKUP($A624,koronahun!$A:$AM,32,FALSE),"")</f>
        <v>4.4000000000000003E-3</v>
      </c>
      <c r="AG624">
        <f>IFERROR(VLOOKUP($A624,koronahun!$A:$AM,33,FALSE),"")</f>
        <v>0</v>
      </c>
      <c r="AH624">
        <f>IFERROR(VLOOKUP($A624,koronahun!$A:$AM,34,FALSE),"")</f>
        <v>0</v>
      </c>
      <c r="AI624">
        <f>IFERROR(VLOOKUP($A624,koronahun!$A:$AM,35,FALSE),"")</f>
        <v>0</v>
      </c>
      <c r="AJ624">
        <f>IFERROR(VLOOKUP($A624,koronahun!$A:$AM,36,FALSE),"")</f>
        <v>0</v>
      </c>
      <c r="AK624">
        <f>IFERROR(VLOOKUP($A624,koronahun!$A:$AM,37,FALSE),"")</f>
        <v>0</v>
      </c>
      <c r="AL624">
        <f>IFERROR(VLOOKUP($A624,koronahun!$A:$AM,38,FALSE),"")</f>
        <v>0</v>
      </c>
      <c r="AM624" s="14">
        <f>IFERROR(VLOOKUP($A624,koronahun!$A:$AM,39,FALSE),"")</f>
        <v>28.857142857142858</v>
      </c>
      <c r="AN624" s="11">
        <f ca="1">IFERROR(__xludf.DUMMYFUNCTION("""COMPUTED_VALUE"""),44516)</f>
        <v>44516</v>
      </c>
      <c r="AO624" s="12">
        <f ca="1">IFERROR(VLOOKUP(AN624,koronahun!A:B,2,FALSE),"")</f>
        <v>966167</v>
      </c>
      <c r="AP624" s="11">
        <f t="shared" ca="1" si="4"/>
        <v>44516</v>
      </c>
      <c r="AQ624" s="11">
        <f ca="1">IFERROR(__xludf.DUMMYFUNCTION("""COMPUTED_VALUE"""),44581)</f>
        <v>44581</v>
      </c>
      <c r="AR624" s="11">
        <v>43995</v>
      </c>
      <c r="AS624" s="11">
        <f t="shared" si="5"/>
        <v>43995</v>
      </c>
      <c r="AT624" s="11">
        <f ca="1">IFERROR(__xludf.DUMMYFUNCTION("""COMPUTED_VALUE"""),43994)</f>
        <v>43994</v>
      </c>
    </row>
    <row r="625" spans="1:46" ht="13">
      <c r="A625" s="11">
        <v>43993</v>
      </c>
      <c r="B625">
        <f>IFERROR(VLOOKUP($A625,koronahun!$A:$AM,2,FALSE),"")</f>
        <v>4039</v>
      </c>
      <c r="C625">
        <f>IFERROR(VLOOKUP($A625,koronahun!$A:$AM,3,FALSE),"")</f>
        <v>12</v>
      </c>
      <c r="D625">
        <f>IFERROR(VLOOKUP($A625,koronahun!$A:$AM,4,FALSE),"")</f>
        <v>553</v>
      </c>
      <c r="E625">
        <f>IFERROR(VLOOKUP($A625,koronahun!$A:$AM,5,FALSE),"")</f>
        <v>2391</v>
      </c>
      <c r="F625">
        <f>IFERROR(VLOOKUP($A625,koronahun!$A:$AM,6,FALSE),"")</f>
        <v>222247</v>
      </c>
      <c r="G625" s="12">
        <f>IFERROR(VLOOKUP($A625,koronahun!$A:$AM,7,FALSE),"")</f>
        <v>22678.265306122448</v>
      </c>
      <c r="H625">
        <f>IFERROR(VLOOKUP($A625,koronahun!$A:$AM,8,FALSE),"")</f>
        <v>0</v>
      </c>
      <c r="I625" s="13">
        <f>IFERROR(VLOOKUP($A625,koronahun!$A:$AM,9,FALSE),"")</f>
        <v>3.0000000000000001E-3</v>
      </c>
      <c r="J625" s="13">
        <f>IFERROR(VLOOKUP($A625,koronahun!$A:$AM,10,FALSE),"")</f>
        <v>1.8200000000000001E-2</v>
      </c>
      <c r="K625" s="13">
        <f>IFERROR(VLOOKUP($A625,koronahun!$A:$AM,11,FALSE),"")</f>
        <v>2.1000000000000001E-2</v>
      </c>
      <c r="L625">
        <f>IFERROR(VLOOKUP($A625,koronahun!$A:$AM,12,FALSE),"")</f>
        <v>1095</v>
      </c>
      <c r="M625" s="13">
        <f>IFERROR(VLOOKUP($A625,koronahun!$A:$AM,13,FALSE),"")</f>
        <v>0.13689999999999999</v>
      </c>
      <c r="N625" s="13">
        <f>IFERROR(VLOOKUP($A625,koronahun!$A:$AM,14,FALSE),"")</f>
        <v>0.59199999999999997</v>
      </c>
      <c r="O625">
        <f>IFERROR(VLOOKUP($A625,koronahun!$A:$AM,15,FALSE),"")</f>
        <v>9167</v>
      </c>
      <c r="P625">
        <f>IFERROR(VLOOKUP($A625,koronahun!$A:$AM,16,FALSE),"")</f>
        <v>4558</v>
      </c>
      <c r="Q625" s="13">
        <f>IFERROR(VLOOKUP($A625,koronahun!$A:$AM,17,FALSE),"")</f>
        <v>2.5999999999999999E-3</v>
      </c>
      <c r="R625">
        <f>IFERROR(VLOOKUP($A625,koronahun!$A:$AM,18,FALSE),"")</f>
        <v>2</v>
      </c>
      <c r="S625">
        <f>IFERROR(VLOOKUP($A625,koronahun!$A:$AM,19,FALSE),"")</f>
        <v>36</v>
      </c>
      <c r="T625">
        <f>IFERROR(VLOOKUP($A625,koronahun!$A:$AM,20,FALSE),"")</f>
        <v>321</v>
      </c>
      <c r="U625">
        <f>IFERROR(VLOOKUP($A625,koronahun!$A:$AM,21,FALSE),"")</f>
        <v>19</v>
      </c>
      <c r="V625" s="13">
        <f>IFERROR(VLOOKUP($A625,koronahun!$A:$AM,22,FALSE),"")</f>
        <v>0.27110670958157962</v>
      </c>
      <c r="W625">
        <f>IFERROR(VLOOKUP($A625,koronahun!$A:$AM,23,FALSE),"")</f>
        <v>-23</v>
      </c>
      <c r="X625">
        <f>IFERROR(VLOOKUP($A625,koronahun!$A:$AM,24,FALSE),"")</f>
        <v>-1</v>
      </c>
      <c r="Y625" s="14">
        <f>IFERROR(VLOOKUP($A625,koronahun!$A:$AM,25,FALSE),"")</f>
        <v>0.29315068493150687</v>
      </c>
      <c r="Z625" s="14">
        <f>IFERROR(VLOOKUP($A625,koronahun!$A:$AM,26,FALSE),"")</f>
        <v>5.9190031152647975E-2</v>
      </c>
      <c r="AA625" s="14">
        <f>IFERROR(VLOOKUP($A625,koronahun!$A:$AM,27,FALSE),"")</f>
        <v>0.61594202898550721</v>
      </c>
      <c r="AB625" s="14">
        <f>IFERROR(VLOOKUP($A625,koronahun!$A:$AM,28,FALSE),"")</f>
        <v>0.77379187797883187</v>
      </c>
      <c r="AC625" s="14">
        <f>IFERROR(VLOOKUP($A625,koronahun!$A:$AM,29,FALSE),"")</f>
        <v>12.142857142857142</v>
      </c>
      <c r="AD625" s="14">
        <f>IFERROR(VLOOKUP($A625,koronahun!$A:$AM,30,FALSE),"")</f>
        <v>1.8571428571428572</v>
      </c>
      <c r="AE625" s="14">
        <f>IFERROR(VLOOKUP($A625,koronahun!$A:$AM,31,FALSE),"")</f>
        <v>3764.7142857142858</v>
      </c>
      <c r="AF625" s="13">
        <f>IFERROR(VLOOKUP($A625,koronahun!$A:$AM,32,FALSE),"")</f>
        <v>4.2857142857142859E-3</v>
      </c>
      <c r="AG625">
        <f>IFERROR(VLOOKUP($A625,koronahun!$A:$AM,33,FALSE),"")</f>
        <v>0</v>
      </c>
      <c r="AH625">
        <f>IFERROR(VLOOKUP($A625,koronahun!$A:$AM,34,FALSE),"")</f>
        <v>0</v>
      </c>
      <c r="AI625">
        <f>IFERROR(VLOOKUP($A625,koronahun!$A:$AM,35,FALSE),"")</f>
        <v>0</v>
      </c>
      <c r="AJ625">
        <f>IFERROR(VLOOKUP($A625,koronahun!$A:$AM,36,FALSE),"")</f>
        <v>0</v>
      </c>
      <c r="AK625">
        <f>IFERROR(VLOOKUP($A625,koronahun!$A:$AM,37,FALSE),"")</f>
        <v>0</v>
      </c>
      <c r="AL625">
        <f>IFERROR(VLOOKUP($A625,koronahun!$A:$AM,38,FALSE),"")</f>
        <v>0</v>
      </c>
      <c r="AM625" s="14">
        <f>IFERROR(VLOOKUP($A625,koronahun!$A:$AM,39,FALSE),"")</f>
        <v>26.571428571428573</v>
      </c>
      <c r="AN625" s="11">
        <f ca="1">IFERROR(__xludf.DUMMYFUNCTION("""COMPUTED_VALUE"""),44517)</f>
        <v>44517</v>
      </c>
      <c r="AO625" s="12">
        <f ca="1">IFERROR(VLOOKUP(AN625,koronahun!A:B,2,FALSE),"")</f>
        <v>976432</v>
      </c>
      <c r="AP625" s="11">
        <f t="shared" ca="1" si="4"/>
        <v>44517</v>
      </c>
      <c r="AQ625" s="11">
        <f ca="1">IFERROR(__xludf.DUMMYFUNCTION("""COMPUTED_VALUE"""),44582)</f>
        <v>44582</v>
      </c>
      <c r="AR625" s="11">
        <v>43994</v>
      </c>
      <c r="AS625" s="11">
        <f t="shared" si="5"/>
        <v>43994</v>
      </c>
      <c r="AT625" s="11">
        <f ca="1">IFERROR(__xludf.DUMMYFUNCTION("""COMPUTED_VALUE"""),43993)</f>
        <v>43993</v>
      </c>
    </row>
    <row r="626" spans="1:46" ht="13">
      <c r="A626" s="11">
        <v>43992</v>
      </c>
      <c r="B626">
        <f>IFERROR(VLOOKUP($A626,koronahun!$A:$AM,2,FALSE),"")</f>
        <v>4027</v>
      </c>
      <c r="C626">
        <f>IFERROR(VLOOKUP($A626,koronahun!$A:$AM,3,FALSE),"")</f>
        <v>10</v>
      </c>
      <c r="D626">
        <f>IFERROR(VLOOKUP($A626,koronahun!$A:$AM,4,FALSE),"")</f>
        <v>551</v>
      </c>
      <c r="E626">
        <f>IFERROR(VLOOKUP($A626,koronahun!$A:$AM,5,FALSE),"")</f>
        <v>2355</v>
      </c>
      <c r="F626">
        <f>IFERROR(VLOOKUP($A626,koronahun!$A:$AM,6,FALSE),"")</f>
        <v>217689</v>
      </c>
      <c r="G626" s="12">
        <f>IFERROR(VLOOKUP($A626,koronahun!$A:$AM,7,FALSE),"")</f>
        <v>22213.163265306121</v>
      </c>
      <c r="H626">
        <f>IFERROR(VLOOKUP($A626,koronahun!$A:$AM,8,FALSE),"")</f>
        <v>0</v>
      </c>
      <c r="I626" s="13">
        <f>IFERROR(VLOOKUP($A626,koronahun!$A:$AM,9,FALSE),"")</f>
        <v>2.5000000000000001E-3</v>
      </c>
      <c r="J626" s="13">
        <f>IFERROR(VLOOKUP($A626,koronahun!$A:$AM,10,FALSE),"")</f>
        <v>1.8499999999999999E-2</v>
      </c>
      <c r="K626" s="13">
        <f>IFERROR(VLOOKUP($A626,koronahun!$A:$AM,11,FALSE),"")</f>
        <v>1.4999999999999999E-2</v>
      </c>
      <c r="L626">
        <f>IFERROR(VLOOKUP($A626,koronahun!$A:$AM,12,FALSE),"")</f>
        <v>1121</v>
      </c>
      <c r="M626" s="13">
        <f>IFERROR(VLOOKUP($A626,koronahun!$A:$AM,13,FALSE),"")</f>
        <v>0.1368</v>
      </c>
      <c r="N626" s="13">
        <f>IFERROR(VLOOKUP($A626,koronahun!$A:$AM,14,FALSE),"")</f>
        <v>0.58479999999999999</v>
      </c>
      <c r="O626">
        <f>IFERROR(VLOOKUP($A626,koronahun!$A:$AM,15,FALSE),"")</f>
        <v>8805</v>
      </c>
      <c r="P626">
        <f>IFERROR(VLOOKUP($A626,koronahun!$A:$AM,16,FALSE),"")</f>
        <v>3221</v>
      </c>
      <c r="Q626" s="13">
        <f>IFERROR(VLOOKUP($A626,koronahun!$A:$AM,17,FALSE),"")</f>
        <v>3.0999999999999999E-3</v>
      </c>
      <c r="R626">
        <f>IFERROR(VLOOKUP($A626,koronahun!$A:$AM,18,FALSE),"")</f>
        <v>1</v>
      </c>
      <c r="S626">
        <f>IFERROR(VLOOKUP($A626,koronahun!$A:$AM,19,FALSE),"")</f>
        <v>31</v>
      </c>
      <c r="T626">
        <f>IFERROR(VLOOKUP($A626,koronahun!$A:$AM,20,FALSE),"")</f>
        <v>344</v>
      </c>
      <c r="U626">
        <f>IFERROR(VLOOKUP($A626,koronahun!$A:$AM,21,FALSE),"")</f>
        <v>20</v>
      </c>
      <c r="V626" s="13">
        <f>IFERROR(VLOOKUP($A626,koronahun!$A:$AM,22,FALSE),"")</f>
        <v>0.27837099577849517</v>
      </c>
      <c r="W626">
        <f>IFERROR(VLOOKUP($A626,koronahun!$A:$AM,23,FALSE),"")</f>
        <v>-21</v>
      </c>
      <c r="X626">
        <f>IFERROR(VLOOKUP($A626,koronahun!$A:$AM,24,FALSE),"")</f>
        <v>0</v>
      </c>
      <c r="Y626" s="14">
        <f>IFERROR(VLOOKUP($A626,koronahun!$A:$AM,25,FALSE),"")</f>
        <v>0.30686886708296163</v>
      </c>
      <c r="Z626" s="14">
        <f>IFERROR(VLOOKUP($A626,koronahun!$A:$AM,26,FALSE),"")</f>
        <v>5.8139534883720929E-2</v>
      </c>
      <c r="AA626" s="14">
        <f>IFERROR(VLOOKUP($A626,koronahun!$A:$AM,27,FALSE),"")</f>
        <v>0.69565217391304346</v>
      </c>
      <c r="AB626" s="14">
        <f>IFERROR(VLOOKUP($A626,koronahun!$A:$AM,28,FALSE),"")</f>
        <v>0.7984532207768209</v>
      </c>
      <c r="AC626" s="14">
        <f>IFERROR(VLOOKUP($A626,koronahun!$A:$AM,29,FALSE),"")</f>
        <v>13.714285714285714</v>
      </c>
      <c r="AD626" s="14">
        <f>IFERROR(VLOOKUP($A626,koronahun!$A:$AM,30,FALSE),"")</f>
        <v>2.2857142857142856</v>
      </c>
      <c r="AE626" s="14">
        <f>IFERROR(VLOOKUP($A626,koronahun!$A:$AM,31,FALSE),"")</f>
        <v>3731</v>
      </c>
      <c r="AF626" s="13">
        <f>IFERROR(VLOOKUP($A626,koronahun!$A:$AM,32,FALSE),"")</f>
        <v>4.6714285714285712E-3</v>
      </c>
      <c r="AG626">
        <f>IFERROR(VLOOKUP($A626,koronahun!$A:$AM,33,FALSE),"")</f>
        <v>0</v>
      </c>
      <c r="AH626">
        <f>IFERROR(VLOOKUP($A626,koronahun!$A:$AM,34,FALSE),"")</f>
        <v>0</v>
      </c>
      <c r="AI626">
        <f>IFERROR(VLOOKUP($A626,koronahun!$A:$AM,35,FALSE),"")</f>
        <v>0</v>
      </c>
      <c r="AJ626">
        <f>IFERROR(VLOOKUP($A626,koronahun!$A:$AM,36,FALSE),"")</f>
        <v>0</v>
      </c>
      <c r="AK626">
        <f>IFERROR(VLOOKUP($A626,koronahun!$A:$AM,37,FALSE),"")</f>
        <v>0</v>
      </c>
      <c r="AL626">
        <f>IFERROR(VLOOKUP($A626,koronahun!$A:$AM,38,FALSE),"")</f>
        <v>0</v>
      </c>
      <c r="AM626" s="14">
        <f>IFERROR(VLOOKUP($A626,koronahun!$A:$AM,39,FALSE),"")</f>
        <v>23.571428571428573</v>
      </c>
      <c r="AN626" s="11">
        <f ca="1">IFERROR(__xludf.DUMMYFUNCTION("""COMPUTED_VALUE"""),44518)</f>
        <v>44518</v>
      </c>
      <c r="AO626" s="12">
        <f ca="1">IFERROR(VLOOKUP(AN626,koronahun!A:B,2,FALSE),"")</f>
        <v>987199</v>
      </c>
      <c r="AP626" s="11">
        <f t="shared" ca="1" si="4"/>
        <v>44518</v>
      </c>
      <c r="AQ626" s="11">
        <f ca="1">IFERROR(__xludf.DUMMYFUNCTION("""COMPUTED_VALUE"""),44585)</f>
        <v>44585</v>
      </c>
      <c r="AR626" s="11">
        <v>43993</v>
      </c>
      <c r="AS626" s="11">
        <f t="shared" si="5"/>
        <v>43993</v>
      </c>
      <c r="AT626" s="11">
        <f ca="1">IFERROR(__xludf.DUMMYFUNCTION("""COMPUTED_VALUE"""),43992)</f>
        <v>43992</v>
      </c>
    </row>
    <row r="627" spans="1:46" ht="13">
      <c r="A627" s="11">
        <v>43991</v>
      </c>
      <c r="B627">
        <f>IFERROR(VLOOKUP($A627,koronahun!$A:$AM,2,FALSE),"")</f>
        <v>4017</v>
      </c>
      <c r="C627">
        <f>IFERROR(VLOOKUP($A627,koronahun!$A:$AM,3,FALSE),"")</f>
        <v>3</v>
      </c>
      <c r="D627">
        <f>IFERROR(VLOOKUP($A627,koronahun!$A:$AM,4,FALSE),"")</f>
        <v>550</v>
      </c>
      <c r="E627">
        <f>IFERROR(VLOOKUP($A627,koronahun!$A:$AM,5,FALSE),"")</f>
        <v>2324</v>
      </c>
      <c r="F627">
        <f>IFERROR(VLOOKUP($A627,koronahun!$A:$AM,6,FALSE),"")</f>
        <v>214468</v>
      </c>
      <c r="G627" s="12">
        <f>IFERROR(VLOOKUP($A627,koronahun!$A:$AM,7,FALSE),"")</f>
        <v>21884.489795918365</v>
      </c>
      <c r="H627">
        <f>IFERROR(VLOOKUP($A627,koronahun!$A:$AM,8,FALSE),"")</f>
        <v>0</v>
      </c>
      <c r="I627" s="13">
        <f>IFERROR(VLOOKUP($A627,koronahun!$A:$AM,9,FALSE),"")</f>
        <v>6.9999999999999999E-4</v>
      </c>
      <c r="J627" s="13">
        <f>IFERROR(VLOOKUP($A627,koronahun!$A:$AM,10,FALSE),"")</f>
        <v>1.8700000000000001E-2</v>
      </c>
      <c r="K627" s="13">
        <f>IFERROR(VLOOKUP($A627,koronahun!$A:$AM,11,FALSE),"")</f>
        <v>1.7999999999999999E-2</v>
      </c>
      <c r="L627">
        <f>IFERROR(VLOOKUP($A627,koronahun!$A:$AM,12,FALSE),"")</f>
        <v>1143</v>
      </c>
      <c r="M627" s="13">
        <f>IFERROR(VLOOKUP($A627,koronahun!$A:$AM,13,FALSE),"")</f>
        <v>0.13689999999999999</v>
      </c>
      <c r="N627" s="13">
        <f>IFERROR(VLOOKUP($A627,koronahun!$A:$AM,14,FALSE),"")</f>
        <v>0.57850000000000001</v>
      </c>
      <c r="O627">
        <f>IFERROR(VLOOKUP($A627,koronahun!$A:$AM,15,FALSE),"")</f>
        <v>0</v>
      </c>
      <c r="P627">
        <f>IFERROR(VLOOKUP($A627,koronahun!$A:$AM,16,FALSE),"")</f>
        <v>3719</v>
      </c>
      <c r="Q627" s="13">
        <f>IFERROR(VLOOKUP($A627,koronahun!$A:$AM,17,FALSE),"")</f>
        <v>8.0000000000000004E-4</v>
      </c>
      <c r="R627">
        <f>IFERROR(VLOOKUP($A627,koronahun!$A:$AM,18,FALSE),"")</f>
        <v>2</v>
      </c>
      <c r="S627">
        <f>IFERROR(VLOOKUP($A627,koronahun!$A:$AM,19,FALSE),"")</f>
        <v>40</v>
      </c>
      <c r="T627">
        <f>IFERROR(VLOOKUP($A627,koronahun!$A:$AM,20,FALSE),"")</f>
        <v>365</v>
      </c>
      <c r="U627">
        <f>IFERROR(VLOOKUP($A627,koronahun!$A:$AM,21,FALSE),"")</f>
        <v>20</v>
      </c>
      <c r="V627" s="13">
        <f>IFERROR(VLOOKUP($A627,koronahun!$A:$AM,22,FALSE),"")</f>
        <v>0.28454070201643017</v>
      </c>
      <c r="W627">
        <f>IFERROR(VLOOKUP($A627,koronahun!$A:$AM,23,FALSE),"")</f>
        <v>-20</v>
      </c>
      <c r="X627">
        <f>IFERROR(VLOOKUP($A627,koronahun!$A:$AM,24,FALSE),"")</f>
        <v>-1</v>
      </c>
      <c r="Y627" s="14">
        <f>IFERROR(VLOOKUP($A627,koronahun!$A:$AM,25,FALSE),"")</f>
        <v>0.31933508311461067</v>
      </c>
      <c r="Z627" s="14">
        <f>IFERROR(VLOOKUP($A627,koronahun!$A:$AM,26,FALSE),"")</f>
        <v>5.4794520547945202E-2</v>
      </c>
      <c r="AA627" s="14">
        <f>IFERROR(VLOOKUP($A627,koronahun!$A:$AM,27,FALSE),"")</f>
        <v>0.64</v>
      </c>
      <c r="AB627" s="14">
        <f>IFERROR(VLOOKUP($A627,koronahun!$A:$AM,28,FALSE),"")</f>
        <v>0.80017323988814426</v>
      </c>
      <c r="AC627" s="14">
        <f>IFERROR(VLOOKUP($A627,koronahun!$A:$AM,29,FALSE),"")</f>
        <v>13.714285714285714</v>
      </c>
      <c r="AD627" s="14">
        <f>IFERROR(VLOOKUP($A627,koronahun!$A:$AM,30,FALSE),"")</f>
        <v>2.4285714285714284</v>
      </c>
      <c r="AE627" s="14">
        <f>IFERROR(VLOOKUP($A627,koronahun!$A:$AM,31,FALSE),"")</f>
        <v>3499.8571428571427</v>
      </c>
      <c r="AF627" s="13">
        <f>IFERROR(VLOOKUP($A627,koronahun!$A:$AM,32,FALSE),"")</f>
        <v>5.1142857142857153E-3</v>
      </c>
      <c r="AG627">
        <f>IFERROR(VLOOKUP($A627,koronahun!$A:$AM,33,FALSE),"")</f>
        <v>0</v>
      </c>
      <c r="AH627">
        <f>IFERROR(VLOOKUP($A627,koronahun!$A:$AM,34,FALSE),"")</f>
        <v>0</v>
      </c>
      <c r="AI627">
        <f>IFERROR(VLOOKUP($A627,koronahun!$A:$AM,35,FALSE),"")</f>
        <v>0</v>
      </c>
      <c r="AJ627">
        <f>IFERROR(VLOOKUP($A627,koronahun!$A:$AM,36,FALSE),"")</f>
        <v>0</v>
      </c>
      <c r="AK627">
        <f>IFERROR(VLOOKUP($A627,koronahun!$A:$AM,37,FALSE),"")</f>
        <v>0</v>
      </c>
      <c r="AL627">
        <f>IFERROR(VLOOKUP($A627,koronahun!$A:$AM,38,FALSE),"")</f>
        <v>0</v>
      </c>
      <c r="AM627" s="14">
        <f>IFERROR(VLOOKUP($A627,koronahun!$A:$AM,39,FALSE),"")</f>
        <v>23.428571428571427</v>
      </c>
      <c r="AN627" s="11">
        <f ca="1">IFERROR(__xludf.DUMMYFUNCTION("""COMPUTED_VALUE"""),44519)</f>
        <v>44519</v>
      </c>
      <c r="AO627" s="12">
        <f ca="1">IFERROR(VLOOKUP(AN627,koronahun!A:B,2,FALSE),"")</f>
        <v>998488</v>
      </c>
      <c r="AP627" s="11">
        <f t="shared" ca="1" si="4"/>
        <v>44519</v>
      </c>
      <c r="AQ627" s="11">
        <f ca="1">IFERROR(__xludf.DUMMYFUNCTION("""COMPUTED_VALUE"""),44586)</f>
        <v>44586</v>
      </c>
      <c r="AR627" s="11">
        <v>43992</v>
      </c>
      <c r="AS627" s="11">
        <f t="shared" si="5"/>
        <v>43992</v>
      </c>
      <c r="AT627" s="11">
        <f ca="1">IFERROR(__xludf.DUMMYFUNCTION("""COMPUTED_VALUE"""),43991)</f>
        <v>43991</v>
      </c>
    </row>
    <row r="628" spans="1:46" ht="13">
      <c r="A628" s="11">
        <v>43990</v>
      </c>
      <c r="B628">
        <f>IFERROR(VLOOKUP($A628,koronahun!$A:$AM,2,FALSE),"")</f>
        <v>4014</v>
      </c>
      <c r="C628">
        <f>IFERROR(VLOOKUP($A628,koronahun!$A:$AM,3,FALSE),"")</f>
        <v>6</v>
      </c>
      <c r="D628">
        <f>IFERROR(VLOOKUP($A628,koronahun!$A:$AM,4,FALSE),"")</f>
        <v>548</v>
      </c>
      <c r="E628">
        <f>IFERROR(VLOOKUP($A628,koronahun!$A:$AM,5,FALSE),"")</f>
        <v>2284</v>
      </c>
      <c r="F628">
        <f>IFERROR(VLOOKUP($A628,koronahun!$A:$AM,6,FALSE),"")</f>
        <v>210749</v>
      </c>
      <c r="G628" s="12">
        <f>IFERROR(VLOOKUP($A628,koronahun!$A:$AM,7,FALSE),"")</f>
        <v>21505</v>
      </c>
      <c r="H628">
        <f>IFERROR(VLOOKUP($A628,koronahun!$A:$AM,8,FALSE),"")</f>
        <v>0</v>
      </c>
      <c r="I628" s="13">
        <f>IFERROR(VLOOKUP($A628,koronahun!$A:$AM,9,FALSE),"")</f>
        <v>1.5E-3</v>
      </c>
      <c r="J628" s="13">
        <f>IFERROR(VLOOKUP($A628,koronahun!$A:$AM,10,FALSE),"")</f>
        <v>1.9E-2</v>
      </c>
      <c r="K628" s="13">
        <f>IFERROR(VLOOKUP($A628,koronahun!$A:$AM,11,FALSE),"")</f>
        <v>3.0000000000000001E-3</v>
      </c>
      <c r="L628">
        <f>IFERROR(VLOOKUP($A628,koronahun!$A:$AM,12,FALSE),"")</f>
        <v>1182</v>
      </c>
      <c r="M628" s="13">
        <f>IFERROR(VLOOKUP($A628,koronahun!$A:$AM,13,FALSE),"")</f>
        <v>0.13650000000000001</v>
      </c>
      <c r="N628" s="13">
        <f>IFERROR(VLOOKUP($A628,koronahun!$A:$AM,14,FALSE),"")</f>
        <v>0.56899999999999995</v>
      </c>
      <c r="O628">
        <f>IFERROR(VLOOKUP($A628,koronahun!$A:$AM,15,FALSE),"")</f>
        <v>9665</v>
      </c>
      <c r="P628">
        <f>IFERROR(VLOOKUP($A628,koronahun!$A:$AM,16,FALSE),"")</f>
        <v>547</v>
      </c>
      <c r="Q628" s="13">
        <f>IFERROR(VLOOKUP($A628,koronahun!$A:$AM,17,FALSE),"")</f>
        <v>1.0999999999999999E-2</v>
      </c>
      <c r="R628">
        <f>IFERROR(VLOOKUP($A628,koronahun!$A:$AM,18,FALSE),"")</f>
        <v>1</v>
      </c>
      <c r="S628">
        <f>IFERROR(VLOOKUP($A628,koronahun!$A:$AM,19,FALSE),"")</f>
        <v>5</v>
      </c>
      <c r="T628">
        <f>IFERROR(VLOOKUP($A628,koronahun!$A:$AM,20,FALSE),"")</f>
        <v>385</v>
      </c>
      <c r="U628">
        <f>IFERROR(VLOOKUP($A628,koronahun!$A:$AM,21,FALSE),"")</f>
        <v>21</v>
      </c>
      <c r="V628" s="13">
        <f>IFERROR(VLOOKUP($A628,koronahun!$A:$AM,22,FALSE),"")</f>
        <v>0.29446935724962631</v>
      </c>
      <c r="W628">
        <f>IFERROR(VLOOKUP($A628,koronahun!$A:$AM,23,FALSE),"")</f>
        <v>-1</v>
      </c>
      <c r="X628">
        <f>IFERROR(VLOOKUP($A628,koronahun!$A:$AM,24,FALSE),"")</f>
        <v>0</v>
      </c>
      <c r="Y628" s="14">
        <f>IFERROR(VLOOKUP($A628,koronahun!$A:$AM,25,FALSE),"")</f>
        <v>0.3257191201353638</v>
      </c>
      <c r="Z628" s="14">
        <f>IFERROR(VLOOKUP($A628,koronahun!$A:$AM,26,FALSE),"")</f>
        <v>5.4545454545454543E-2</v>
      </c>
      <c r="AA628" s="14">
        <f>IFERROR(VLOOKUP($A628,koronahun!$A:$AM,27,FALSE),"")</f>
        <v>0.8970588235294118</v>
      </c>
      <c r="AB628" s="14">
        <f>IFERROR(VLOOKUP($A628,koronahun!$A:$AM,28,FALSE),"")</f>
        <v>0.80841244254595157</v>
      </c>
      <c r="AC628" s="14">
        <f>IFERROR(VLOOKUP($A628,koronahun!$A:$AM,29,FALSE),"")</f>
        <v>17.428571428571427</v>
      </c>
      <c r="AD628" s="14">
        <f>IFERROR(VLOOKUP($A628,koronahun!$A:$AM,30,FALSE),"")</f>
        <v>2.8571428571428572</v>
      </c>
      <c r="AE628" s="14">
        <f>IFERROR(VLOOKUP($A628,koronahun!$A:$AM,31,FALSE),"")</f>
        <v>3254.8571428571427</v>
      </c>
      <c r="AF628" s="13">
        <f>IFERROR(VLOOKUP($A628,koronahun!$A:$AM,32,FALSE),"")</f>
        <v>7.0714285714285714E-3</v>
      </c>
      <c r="AG628">
        <f>IFERROR(VLOOKUP($A628,koronahun!$A:$AM,33,FALSE),"")</f>
        <v>0</v>
      </c>
      <c r="AH628">
        <f>IFERROR(VLOOKUP($A628,koronahun!$A:$AM,34,FALSE),"")</f>
        <v>0</v>
      </c>
      <c r="AI628">
        <f>IFERROR(VLOOKUP($A628,koronahun!$A:$AM,35,FALSE),"")</f>
        <v>0</v>
      </c>
      <c r="AJ628">
        <f>IFERROR(VLOOKUP($A628,koronahun!$A:$AM,36,FALSE),"")</f>
        <v>0</v>
      </c>
      <c r="AK628">
        <f>IFERROR(VLOOKUP($A628,koronahun!$A:$AM,37,FALSE),"")</f>
        <v>0</v>
      </c>
      <c r="AL628">
        <f>IFERROR(VLOOKUP($A628,koronahun!$A:$AM,38,FALSE),"")</f>
        <v>0</v>
      </c>
      <c r="AM628" s="14">
        <f>IFERROR(VLOOKUP($A628,koronahun!$A:$AM,39,FALSE),"")</f>
        <v>18.285714285714285</v>
      </c>
      <c r="AN628" s="11">
        <f ca="1">IFERROR(__xludf.DUMMYFUNCTION("""COMPUTED_VALUE"""),44520)</f>
        <v>44520</v>
      </c>
      <c r="AO628" s="12">
        <f ca="1">IFERROR(VLOOKUP(AN628,koronahun!A:B,2,FALSE),"")</f>
        <v>0</v>
      </c>
      <c r="AP628" s="11">
        <f t="shared" ca="1" si="4"/>
        <v>44520</v>
      </c>
      <c r="AQ628" s="11">
        <f ca="1">IFERROR(__xludf.DUMMYFUNCTION("""COMPUTED_VALUE"""),44587)</f>
        <v>44587</v>
      </c>
      <c r="AR628" s="11">
        <v>43991</v>
      </c>
      <c r="AS628" s="11">
        <f t="shared" si="5"/>
        <v>43991</v>
      </c>
      <c r="AT628" s="11">
        <f ca="1">IFERROR(__xludf.DUMMYFUNCTION("""COMPUTED_VALUE"""),43990)</f>
        <v>43990</v>
      </c>
    </row>
    <row r="629" spans="1:46" ht="13">
      <c r="A629" s="11">
        <v>43989</v>
      </c>
      <c r="B629">
        <f>IFERROR(VLOOKUP($A629,koronahun!$A:$AM,2,FALSE),"")</f>
        <v>4008</v>
      </c>
      <c r="C629">
        <f>IFERROR(VLOOKUP($A629,koronahun!$A:$AM,3,FALSE),"")</f>
        <v>18</v>
      </c>
      <c r="D629">
        <f>IFERROR(VLOOKUP($A629,koronahun!$A:$AM,4,FALSE),"")</f>
        <v>546</v>
      </c>
      <c r="E629">
        <f>IFERROR(VLOOKUP($A629,koronahun!$A:$AM,5,FALSE),"")</f>
        <v>2279</v>
      </c>
      <c r="F629">
        <f>IFERROR(VLOOKUP($A629,koronahun!$A:$AM,6,FALSE),"")</f>
        <v>210202</v>
      </c>
      <c r="G629" s="12">
        <f>IFERROR(VLOOKUP($A629,koronahun!$A:$AM,7,FALSE),"")</f>
        <v>21449.183673469386</v>
      </c>
      <c r="H629">
        <f>IFERROR(VLOOKUP($A629,koronahun!$A:$AM,8,FALSE),"")</f>
        <v>0</v>
      </c>
      <c r="I629" s="13">
        <f>IFERROR(VLOOKUP($A629,koronahun!$A:$AM,9,FALSE),"")</f>
        <v>4.4999999999999997E-3</v>
      </c>
      <c r="J629" s="13">
        <f>IFERROR(VLOOKUP($A629,koronahun!$A:$AM,10,FALSE),"")</f>
        <v>1.9099999999999999E-2</v>
      </c>
      <c r="K629" s="13">
        <f>IFERROR(VLOOKUP($A629,koronahun!$A:$AM,11,FALSE),"")</f>
        <v>1.6E-2</v>
      </c>
      <c r="L629">
        <f>IFERROR(VLOOKUP($A629,koronahun!$A:$AM,12,FALSE),"")</f>
        <v>1183</v>
      </c>
      <c r="M629" s="13">
        <f>IFERROR(VLOOKUP($A629,koronahun!$A:$AM,13,FALSE),"")</f>
        <v>0.13619999999999999</v>
      </c>
      <c r="N629" s="13">
        <f>IFERROR(VLOOKUP($A629,koronahun!$A:$AM,14,FALSE),"")</f>
        <v>0.56859999999999999</v>
      </c>
      <c r="O629">
        <f>IFERROR(VLOOKUP($A629,koronahun!$A:$AM,15,FALSE),"")</f>
        <v>9916</v>
      </c>
      <c r="P629">
        <f>IFERROR(VLOOKUP($A629,koronahun!$A:$AM,16,FALSE),"")</f>
        <v>3349</v>
      </c>
      <c r="Q629" s="13">
        <f>IFERROR(VLOOKUP($A629,koronahun!$A:$AM,17,FALSE),"")</f>
        <v>5.4000000000000003E-3</v>
      </c>
      <c r="R629">
        <f>IFERROR(VLOOKUP($A629,koronahun!$A:$AM,18,FALSE),"")</f>
        <v>1</v>
      </c>
      <c r="S629">
        <f>IFERROR(VLOOKUP($A629,koronahun!$A:$AM,19,FALSE),"")</f>
        <v>0</v>
      </c>
      <c r="T629">
        <f>IFERROR(VLOOKUP($A629,koronahun!$A:$AM,20,FALSE),"")</f>
        <v>386</v>
      </c>
      <c r="U629">
        <f>IFERROR(VLOOKUP($A629,koronahun!$A:$AM,21,FALSE),"")</f>
        <v>21</v>
      </c>
      <c r="V629" s="13">
        <f>IFERROR(VLOOKUP($A629,koronahun!$A:$AM,22,FALSE),"")</f>
        <v>0.29515968063872255</v>
      </c>
      <c r="W629">
        <f>IFERROR(VLOOKUP($A629,koronahun!$A:$AM,23,FALSE),"")</f>
        <v>-1</v>
      </c>
      <c r="X629">
        <f>IFERROR(VLOOKUP($A629,koronahun!$A:$AM,24,FALSE),"")</f>
        <v>0</v>
      </c>
      <c r="Y629" s="14">
        <f>IFERROR(VLOOKUP($A629,koronahun!$A:$AM,25,FALSE),"")</f>
        <v>0.32628909551986474</v>
      </c>
      <c r="Z629" s="14">
        <f>IFERROR(VLOOKUP($A629,koronahun!$A:$AM,26,FALSE),"")</f>
        <v>5.4404145077720206E-2</v>
      </c>
      <c r="AA629" s="14">
        <f>IFERROR(VLOOKUP($A629,koronahun!$A:$AM,27,FALSE),"")</f>
        <v>0.97777777777777775</v>
      </c>
      <c r="AB629" s="14">
        <f>IFERROR(VLOOKUP($A629,koronahun!$A:$AM,28,FALSE),"")</f>
        <v>0.76817326995383783</v>
      </c>
      <c r="AC629" s="14">
        <f>IFERROR(VLOOKUP($A629,koronahun!$A:$AM,29,FALSE),"")</f>
        <v>18.857142857142858</v>
      </c>
      <c r="AD629" s="14">
        <f>IFERROR(VLOOKUP($A629,koronahun!$A:$AM,30,FALSE),"")</f>
        <v>2.8571428571428572</v>
      </c>
      <c r="AE629" s="14">
        <f>IFERROR(VLOOKUP($A629,koronahun!$A:$AM,31,FALSE),"")</f>
        <v>3460.2857142857142</v>
      </c>
      <c r="AF629" s="13">
        <f>IFERROR(VLOOKUP($A629,koronahun!$A:$AM,32,FALSE),"")</f>
        <v>6.6571428571428589E-3</v>
      </c>
      <c r="AG629">
        <f>IFERROR(VLOOKUP($A629,koronahun!$A:$AM,33,FALSE),"")</f>
        <v>0</v>
      </c>
      <c r="AH629">
        <f>IFERROR(VLOOKUP($A629,koronahun!$A:$AM,34,FALSE),"")</f>
        <v>0</v>
      </c>
      <c r="AI629">
        <f>IFERROR(VLOOKUP($A629,koronahun!$A:$AM,35,FALSE),"")</f>
        <v>0</v>
      </c>
      <c r="AJ629">
        <f>IFERROR(VLOOKUP($A629,koronahun!$A:$AM,36,FALSE),"")</f>
        <v>0</v>
      </c>
      <c r="AK629">
        <f>IFERROR(VLOOKUP($A629,koronahun!$A:$AM,37,FALSE),"")</f>
        <v>0</v>
      </c>
      <c r="AL629">
        <f>IFERROR(VLOOKUP($A629,koronahun!$A:$AM,38,FALSE),"")</f>
        <v>0</v>
      </c>
      <c r="AM629" s="14">
        <f>IFERROR(VLOOKUP($A629,koronahun!$A:$AM,39,FALSE),"")</f>
        <v>18.857142857142858</v>
      </c>
      <c r="AN629" s="11">
        <f ca="1">IFERROR(__xludf.DUMMYFUNCTION("""COMPUTED_VALUE"""),44521)</f>
        <v>44521</v>
      </c>
      <c r="AO629" s="12">
        <f ca="1">IFERROR(VLOOKUP(AN629,koronahun!A:B,2,FALSE),"")</f>
        <v>0</v>
      </c>
      <c r="AP629" s="11">
        <f t="shared" ca="1" si="4"/>
        <v>44521</v>
      </c>
      <c r="AQ629" s="11">
        <f ca="1">IFERROR(__xludf.DUMMYFUNCTION("""COMPUTED_VALUE"""),44588)</f>
        <v>44588</v>
      </c>
      <c r="AR629" s="11">
        <v>43990</v>
      </c>
      <c r="AS629" s="11">
        <f t="shared" si="5"/>
        <v>43990</v>
      </c>
      <c r="AT629" s="11">
        <f ca="1">IFERROR(__xludf.DUMMYFUNCTION("""COMPUTED_VALUE"""),43989)</f>
        <v>43989</v>
      </c>
    </row>
    <row r="630" spans="1:46" ht="13">
      <c r="A630" s="11">
        <v>43988</v>
      </c>
      <c r="B630">
        <f>IFERROR(VLOOKUP($A630,koronahun!$A:$AM,2,FALSE),"")</f>
        <v>3990</v>
      </c>
      <c r="C630">
        <f>IFERROR(VLOOKUP($A630,koronahun!$A:$AM,3,FALSE),"")</f>
        <v>20</v>
      </c>
      <c r="D630">
        <f>IFERROR(VLOOKUP($A630,koronahun!$A:$AM,4,FALSE),"")</f>
        <v>545</v>
      </c>
      <c r="E630">
        <f>IFERROR(VLOOKUP($A630,koronahun!$A:$AM,5,FALSE),"")</f>
        <v>2279</v>
      </c>
      <c r="F630">
        <f>IFERROR(VLOOKUP($A630,koronahun!$A:$AM,6,FALSE),"")</f>
        <v>206853</v>
      </c>
      <c r="G630" s="12">
        <f>IFERROR(VLOOKUP($A630,koronahun!$A:$AM,7,FALSE),"")</f>
        <v>21107.448979591834</v>
      </c>
      <c r="H630">
        <f>IFERROR(VLOOKUP($A630,koronahun!$A:$AM,8,FALSE),"")</f>
        <v>0</v>
      </c>
      <c r="I630" s="13">
        <f>IFERROR(VLOOKUP($A630,koronahun!$A:$AM,9,FALSE),"")</f>
        <v>5.0000000000000001E-3</v>
      </c>
      <c r="J630" s="13">
        <f>IFERROR(VLOOKUP($A630,koronahun!$A:$AM,10,FALSE),"")</f>
        <v>1.9300000000000001E-2</v>
      </c>
      <c r="K630" s="13">
        <f>IFERROR(VLOOKUP($A630,koronahun!$A:$AM,11,FALSE),"")</f>
        <v>2.1000000000000001E-2</v>
      </c>
      <c r="L630">
        <f>IFERROR(VLOOKUP($A630,koronahun!$A:$AM,12,FALSE),"")</f>
        <v>1166</v>
      </c>
      <c r="M630" s="13">
        <f>IFERROR(VLOOKUP($A630,koronahun!$A:$AM,13,FALSE),"")</f>
        <v>0.1366</v>
      </c>
      <c r="N630" s="13">
        <f>IFERROR(VLOOKUP($A630,koronahun!$A:$AM,14,FALSE),"")</f>
        <v>0.57120000000000004</v>
      </c>
      <c r="O630">
        <f>IFERROR(VLOOKUP($A630,koronahun!$A:$AM,15,FALSE),"")</f>
        <v>10133</v>
      </c>
      <c r="P630">
        <f>IFERROR(VLOOKUP($A630,koronahun!$A:$AM,16,FALSE),"")</f>
        <v>4247</v>
      </c>
      <c r="Q630" s="13">
        <f>IFERROR(VLOOKUP($A630,koronahun!$A:$AM,17,FALSE),"")</f>
        <v>4.7000000000000002E-3</v>
      </c>
      <c r="R630">
        <f>IFERROR(VLOOKUP($A630,koronahun!$A:$AM,18,FALSE),"")</f>
        <v>3</v>
      </c>
      <c r="S630">
        <f>IFERROR(VLOOKUP($A630,koronahun!$A:$AM,19,FALSE),"")</f>
        <v>34</v>
      </c>
      <c r="T630">
        <f>IFERROR(VLOOKUP($A630,koronahun!$A:$AM,20,FALSE),"")</f>
        <v>387</v>
      </c>
      <c r="U630">
        <f>IFERROR(VLOOKUP($A630,koronahun!$A:$AM,21,FALSE),"")</f>
        <v>21</v>
      </c>
      <c r="V630" s="13">
        <f>IFERROR(VLOOKUP($A630,koronahun!$A:$AM,22,FALSE),"")</f>
        <v>0.29223057644110273</v>
      </c>
      <c r="W630">
        <f>IFERROR(VLOOKUP($A630,koronahun!$A:$AM,23,FALSE),"")</f>
        <v>-10</v>
      </c>
      <c r="X630">
        <f>IFERROR(VLOOKUP($A630,koronahun!$A:$AM,24,FALSE),"")</f>
        <v>0</v>
      </c>
      <c r="Y630" s="14">
        <f>IFERROR(VLOOKUP($A630,koronahun!$A:$AM,25,FALSE),"")</f>
        <v>0.33190394511149229</v>
      </c>
      <c r="Z630" s="14">
        <f>IFERROR(VLOOKUP($A630,koronahun!$A:$AM,26,FALSE),"")</f>
        <v>5.4263565891472867E-2</v>
      </c>
      <c r="AA630" s="14">
        <f>IFERROR(VLOOKUP($A630,koronahun!$A:$AM,27,FALSE),"")</f>
        <v>0.79870129870129869</v>
      </c>
      <c r="AB630" s="14">
        <f>IFERROR(VLOOKUP($A630,koronahun!$A:$AM,28,FALSE),"")</f>
        <v>0.71161880908903208</v>
      </c>
      <c r="AC630" s="14">
        <f>IFERROR(VLOOKUP($A630,koronahun!$A:$AM,29,FALSE),"")</f>
        <v>17.571428571428573</v>
      </c>
      <c r="AD630" s="14">
        <f>IFERROR(VLOOKUP($A630,koronahun!$A:$AM,30,FALSE),"")</f>
        <v>3</v>
      </c>
      <c r="AE630" s="14">
        <f>IFERROR(VLOOKUP($A630,koronahun!$A:$AM,31,FALSE),"")</f>
        <v>3327.2857142857142</v>
      </c>
      <c r="AF630" s="13">
        <f>IFERROR(VLOOKUP($A630,koronahun!$A:$AM,32,FALSE),"")</f>
        <v>6.4142857142857144E-3</v>
      </c>
      <c r="AG630">
        <f>IFERROR(VLOOKUP($A630,koronahun!$A:$AM,33,FALSE),"")</f>
        <v>0</v>
      </c>
      <c r="AH630">
        <f>IFERROR(VLOOKUP($A630,koronahun!$A:$AM,34,FALSE),"")</f>
        <v>0</v>
      </c>
      <c r="AI630">
        <f>IFERROR(VLOOKUP($A630,koronahun!$A:$AM,35,FALSE),"")</f>
        <v>0</v>
      </c>
      <c r="AJ630">
        <f>IFERROR(VLOOKUP($A630,koronahun!$A:$AM,36,FALSE),"")</f>
        <v>0</v>
      </c>
      <c r="AK630">
        <f>IFERROR(VLOOKUP($A630,koronahun!$A:$AM,37,FALSE),"")</f>
        <v>0</v>
      </c>
      <c r="AL630">
        <f>IFERROR(VLOOKUP($A630,koronahun!$A:$AM,38,FALSE),"")</f>
        <v>0</v>
      </c>
      <c r="AM630" s="14">
        <f>IFERROR(VLOOKUP($A630,koronahun!$A:$AM,39,FALSE),"")</f>
        <v>19.571428571428573</v>
      </c>
      <c r="AN630" s="11">
        <f ca="1">IFERROR(__xludf.DUMMYFUNCTION("""COMPUTED_VALUE"""),44522)</f>
        <v>44522</v>
      </c>
      <c r="AO630" s="12">
        <f ca="1">IFERROR(VLOOKUP(AN630,koronahun!A:B,2,FALSE),"")</f>
        <v>1025697</v>
      </c>
      <c r="AP630" s="11">
        <f t="shared" ca="1" si="4"/>
        <v>44522</v>
      </c>
      <c r="AQ630" s="11">
        <f ca="1">IFERROR(__xludf.DUMMYFUNCTION("""COMPUTED_VALUE"""),44589)</f>
        <v>44589</v>
      </c>
      <c r="AR630" s="11">
        <v>43989</v>
      </c>
      <c r="AS630" s="11">
        <f t="shared" si="5"/>
        <v>43989</v>
      </c>
      <c r="AT630" s="11">
        <f ca="1">IFERROR(__xludf.DUMMYFUNCTION("""COMPUTED_VALUE"""),43988)</f>
        <v>43988</v>
      </c>
    </row>
    <row r="631" spans="1:46" ht="13">
      <c r="A631" s="11">
        <v>43987</v>
      </c>
      <c r="B631">
        <f>IFERROR(VLOOKUP($A631,koronahun!$A:$AM,2,FALSE),"")</f>
        <v>3970</v>
      </c>
      <c r="C631">
        <f>IFERROR(VLOOKUP($A631,koronahun!$A:$AM,3,FALSE),"")</f>
        <v>16</v>
      </c>
      <c r="D631">
        <f>IFERROR(VLOOKUP($A631,koronahun!$A:$AM,4,FALSE),"")</f>
        <v>542</v>
      </c>
      <c r="E631">
        <f>IFERROR(VLOOKUP($A631,koronahun!$A:$AM,5,FALSE),"")</f>
        <v>2245</v>
      </c>
      <c r="F631">
        <f>IFERROR(VLOOKUP($A631,koronahun!$A:$AM,6,FALSE),"")</f>
        <v>202606</v>
      </c>
      <c r="G631" s="12">
        <f>IFERROR(VLOOKUP($A631,koronahun!$A:$AM,7,FALSE),"")</f>
        <v>20674.081632653058</v>
      </c>
      <c r="H631">
        <f>IFERROR(VLOOKUP($A631,koronahun!$A:$AM,8,FALSE),"")</f>
        <v>0</v>
      </c>
      <c r="I631" s="13">
        <f>IFERROR(VLOOKUP($A631,koronahun!$A:$AM,9,FALSE),"")</f>
        <v>4.0000000000000001E-3</v>
      </c>
      <c r="J631" s="13">
        <f>IFERROR(VLOOKUP($A631,koronahun!$A:$AM,10,FALSE),"")</f>
        <v>1.9599999999999999E-2</v>
      </c>
      <c r="K631" s="13">
        <f>IFERROR(VLOOKUP($A631,koronahun!$A:$AM,11,FALSE),"")</f>
        <v>3.4000000000000002E-2</v>
      </c>
      <c r="L631">
        <f>IFERROR(VLOOKUP($A631,koronahun!$A:$AM,12,FALSE),"")</f>
        <v>1183</v>
      </c>
      <c r="M631" s="13">
        <f>IFERROR(VLOOKUP($A631,koronahun!$A:$AM,13,FALSE),"")</f>
        <v>0.13650000000000001</v>
      </c>
      <c r="N631" s="13">
        <f>IFERROR(VLOOKUP($A631,koronahun!$A:$AM,14,FALSE),"")</f>
        <v>0.5655</v>
      </c>
      <c r="O631">
        <f>IFERROR(VLOOKUP($A631,koronahun!$A:$AM,15,FALSE),"")</f>
        <v>9693</v>
      </c>
      <c r="P631">
        <f>IFERROR(VLOOKUP($A631,koronahun!$A:$AM,16,FALSE),"")</f>
        <v>6712</v>
      </c>
      <c r="Q631" s="13">
        <f>IFERROR(VLOOKUP($A631,koronahun!$A:$AM,17,FALSE),"")</f>
        <v>2.3999999999999998E-3</v>
      </c>
      <c r="R631">
        <f>IFERROR(VLOOKUP($A631,koronahun!$A:$AM,18,FALSE),"")</f>
        <v>3</v>
      </c>
      <c r="S631">
        <f>IFERROR(VLOOKUP($A631,koronahun!$A:$AM,19,FALSE),"")</f>
        <v>40</v>
      </c>
      <c r="T631">
        <f>IFERROR(VLOOKUP($A631,koronahun!$A:$AM,20,FALSE),"")</f>
        <v>397</v>
      </c>
      <c r="U631">
        <f>IFERROR(VLOOKUP($A631,koronahun!$A:$AM,21,FALSE),"")</f>
        <v>21</v>
      </c>
      <c r="V631" s="13">
        <f>IFERROR(VLOOKUP($A631,koronahun!$A:$AM,22,FALSE),"")</f>
        <v>0.29798488664987405</v>
      </c>
      <c r="W631">
        <f>IFERROR(VLOOKUP($A631,koronahun!$A:$AM,23,FALSE),"")</f>
        <v>-9</v>
      </c>
      <c r="X631">
        <f>IFERROR(VLOOKUP($A631,koronahun!$A:$AM,24,FALSE),"")</f>
        <v>-3</v>
      </c>
      <c r="Y631" s="14">
        <f>IFERROR(VLOOKUP($A631,koronahun!$A:$AM,25,FALSE),"")</f>
        <v>0.3355874894336433</v>
      </c>
      <c r="Z631" s="14">
        <f>IFERROR(VLOOKUP($A631,koronahun!$A:$AM,26,FALSE),"")</f>
        <v>5.2896725440806043E-2</v>
      </c>
      <c r="AA631" s="14">
        <f>IFERROR(VLOOKUP($A631,koronahun!$A:$AM,27,FALSE),"")</f>
        <v>0.79141104294478526</v>
      </c>
      <c r="AB631" s="14">
        <f>IFERROR(VLOOKUP($A631,koronahun!$A:$AM,28,FALSE),"")</f>
        <v>0.68918529022694186</v>
      </c>
      <c r="AC631" s="14">
        <f>IFERROR(VLOOKUP($A631,koronahun!$A:$AM,29,FALSE),"")</f>
        <v>18.428571428571427</v>
      </c>
      <c r="AD631" s="14">
        <f>IFERROR(VLOOKUP($A631,koronahun!$A:$AM,30,FALSE),"")</f>
        <v>3.5714285714285716</v>
      </c>
      <c r="AE631" s="14">
        <f>IFERROR(VLOOKUP($A631,koronahun!$A:$AM,31,FALSE),"")</f>
        <v>3207.7142857142858</v>
      </c>
      <c r="AF631" s="13">
        <f>IFERROR(VLOOKUP($A631,koronahun!$A:$AM,32,FALSE),"")</f>
        <v>6.8285714285714278E-3</v>
      </c>
      <c r="AG631">
        <f>IFERROR(VLOOKUP($A631,koronahun!$A:$AM,33,FALSE),"")</f>
        <v>0</v>
      </c>
      <c r="AH631">
        <f>IFERROR(VLOOKUP($A631,koronahun!$A:$AM,34,FALSE),"")</f>
        <v>0</v>
      </c>
      <c r="AI631">
        <f>IFERROR(VLOOKUP($A631,koronahun!$A:$AM,35,FALSE),"")</f>
        <v>0</v>
      </c>
      <c r="AJ631">
        <f>IFERROR(VLOOKUP($A631,koronahun!$A:$AM,36,FALSE),"")</f>
        <v>0</v>
      </c>
      <c r="AK631">
        <f>IFERROR(VLOOKUP($A631,koronahun!$A:$AM,37,FALSE),"")</f>
        <v>0</v>
      </c>
      <c r="AL631">
        <f>IFERROR(VLOOKUP($A631,koronahun!$A:$AM,38,FALSE),"")</f>
        <v>0</v>
      </c>
      <c r="AM631" s="14">
        <f>IFERROR(VLOOKUP($A631,koronahun!$A:$AM,39,FALSE),"")</f>
        <v>31.571428571428573</v>
      </c>
      <c r="AN631" s="11">
        <f ca="1">IFERROR(__xludf.DUMMYFUNCTION("""COMPUTED_VALUE"""),44523)</f>
        <v>44523</v>
      </c>
      <c r="AO631" s="12">
        <f ca="1">IFERROR(VLOOKUP(AN631,koronahun!A:B,2,FALSE),"")</f>
        <v>1032215</v>
      </c>
      <c r="AP631" s="11">
        <f t="shared" ca="1" si="4"/>
        <v>44523</v>
      </c>
      <c r="AQ631" s="11">
        <f ca="1">IFERROR(__xludf.DUMMYFUNCTION("""COMPUTED_VALUE"""),44592)</f>
        <v>44592</v>
      </c>
      <c r="AR631" s="11">
        <v>43988</v>
      </c>
      <c r="AS631" s="11">
        <f t="shared" si="5"/>
        <v>43988</v>
      </c>
      <c r="AT631" s="11">
        <f ca="1">IFERROR(__xludf.DUMMYFUNCTION("""COMPUTED_VALUE"""),43987)</f>
        <v>43987</v>
      </c>
    </row>
    <row r="632" spans="1:46" ht="13">
      <c r="A632" s="11">
        <v>43986</v>
      </c>
      <c r="B632">
        <f>IFERROR(VLOOKUP($A632,koronahun!$A:$AM,2,FALSE),"")</f>
        <v>3954</v>
      </c>
      <c r="C632">
        <f>IFERROR(VLOOKUP($A632,koronahun!$A:$AM,3,FALSE),"")</f>
        <v>23</v>
      </c>
      <c r="D632">
        <f>IFERROR(VLOOKUP($A632,koronahun!$A:$AM,4,FALSE),"")</f>
        <v>539</v>
      </c>
      <c r="E632">
        <f>IFERROR(VLOOKUP($A632,koronahun!$A:$AM,5,FALSE),"")</f>
        <v>2205</v>
      </c>
      <c r="F632">
        <f>IFERROR(VLOOKUP($A632,koronahun!$A:$AM,6,FALSE),"")</f>
        <v>195894</v>
      </c>
      <c r="G632" s="12">
        <f>IFERROR(VLOOKUP($A632,koronahun!$A:$AM,7,FALSE),"")</f>
        <v>19989.183673469386</v>
      </c>
      <c r="H632">
        <f>IFERROR(VLOOKUP($A632,koronahun!$A:$AM,8,FALSE),"")</f>
        <v>0</v>
      </c>
      <c r="I632" s="13">
        <f>IFERROR(VLOOKUP($A632,koronahun!$A:$AM,9,FALSE),"")</f>
        <v>5.8999999999999999E-3</v>
      </c>
      <c r="J632" s="13">
        <f>IFERROR(VLOOKUP($A632,koronahun!$A:$AM,10,FALSE),"")</f>
        <v>2.0199999999999999E-2</v>
      </c>
      <c r="K632" s="13">
        <f>IFERROR(VLOOKUP($A632,koronahun!$A:$AM,11,FALSE),"")</f>
        <v>2.3E-2</v>
      </c>
      <c r="L632">
        <f>IFERROR(VLOOKUP($A632,koronahun!$A:$AM,12,FALSE),"")</f>
        <v>1210</v>
      </c>
      <c r="M632" s="13">
        <f>IFERROR(VLOOKUP($A632,koronahun!$A:$AM,13,FALSE),"")</f>
        <v>0.1363</v>
      </c>
      <c r="N632" s="13">
        <f>IFERROR(VLOOKUP($A632,koronahun!$A:$AM,14,FALSE),"")</f>
        <v>0.55769999999999997</v>
      </c>
      <c r="O632">
        <f>IFERROR(VLOOKUP($A632,koronahun!$A:$AM,15,FALSE),"")</f>
        <v>10985</v>
      </c>
      <c r="P632">
        <f>IFERROR(VLOOKUP($A632,koronahun!$A:$AM,16,FALSE),"")</f>
        <v>4322</v>
      </c>
      <c r="Q632" s="13">
        <f>IFERROR(VLOOKUP($A632,koronahun!$A:$AM,17,FALSE),"")</f>
        <v>5.3E-3</v>
      </c>
      <c r="R632">
        <f>IFERROR(VLOOKUP($A632,koronahun!$A:$AM,18,FALSE),"")</f>
        <v>5</v>
      </c>
      <c r="S632">
        <f>IFERROR(VLOOKUP($A632,koronahun!$A:$AM,19,FALSE),"")</f>
        <v>15</v>
      </c>
      <c r="T632">
        <f>IFERROR(VLOOKUP($A632,koronahun!$A:$AM,20,FALSE),"")</f>
        <v>406</v>
      </c>
      <c r="U632">
        <f>IFERROR(VLOOKUP($A632,koronahun!$A:$AM,21,FALSE),"")</f>
        <v>24</v>
      </c>
      <c r="V632" s="13">
        <f>IFERROR(VLOOKUP($A632,koronahun!$A:$AM,22,FALSE),"")</f>
        <v>0.30601922104198281</v>
      </c>
      <c r="W632">
        <f>IFERROR(VLOOKUP($A632,koronahun!$A:$AM,23,FALSE),"")</f>
        <v>-8</v>
      </c>
      <c r="X632">
        <f>IFERROR(VLOOKUP($A632,koronahun!$A:$AM,24,FALSE),"")</f>
        <v>0</v>
      </c>
      <c r="Y632" s="14">
        <f>IFERROR(VLOOKUP($A632,koronahun!$A:$AM,25,FALSE),"")</f>
        <v>0.33553719008264465</v>
      </c>
      <c r="Z632" s="14">
        <f>IFERROR(VLOOKUP($A632,koronahun!$A:$AM,26,FALSE),"")</f>
        <v>5.9113300492610835E-2</v>
      </c>
      <c r="AA632" s="14">
        <f>IFERROR(VLOOKUP($A632,koronahun!$A:$AM,27,FALSE),"")</f>
        <v>0.78857142857142859</v>
      </c>
      <c r="AB632" s="14">
        <f>IFERROR(VLOOKUP($A632,koronahun!$A:$AM,28,FALSE),"")</f>
        <v>0.66534386592010608</v>
      </c>
      <c r="AC632" s="14">
        <f>IFERROR(VLOOKUP($A632,koronahun!$A:$AM,29,FALSE),"")</f>
        <v>19.714285714285715</v>
      </c>
      <c r="AD632" s="14">
        <f>IFERROR(VLOOKUP($A632,koronahun!$A:$AM,30,FALSE),"")</f>
        <v>4.2857142857142856</v>
      </c>
      <c r="AE632" s="14">
        <f>IFERROR(VLOOKUP($A632,koronahun!$A:$AM,31,FALSE),"")</f>
        <v>3126.1428571428573</v>
      </c>
      <c r="AF632" s="13">
        <f>IFERROR(VLOOKUP($A632,koronahun!$A:$AM,32,FALSE),"")</f>
        <v>7.0714285714285705E-3</v>
      </c>
      <c r="AG632">
        <f>IFERROR(VLOOKUP($A632,koronahun!$A:$AM,33,FALSE),"")</f>
        <v>0</v>
      </c>
      <c r="AH632">
        <f>IFERROR(VLOOKUP($A632,koronahun!$A:$AM,34,FALSE),"")</f>
        <v>0</v>
      </c>
      <c r="AI632">
        <f>IFERROR(VLOOKUP($A632,koronahun!$A:$AM,35,FALSE),"")</f>
        <v>0</v>
      </c>
      <c r="AJ632">
        <f>IFERROR(VLOOKUP($A632,koronahun!$A:$AM,36,FALSE),"")</f>
        <v>0</v>
      </c>
      <c r="AK632">
        <f>IFERROR(VLOOKUP($A632,koronahun!$A:$AM,37,FALSE),"")</f>
        <v>0</v>
      </c>
      <c r="AL632">
        <f>IFERROR(VLOOKUP($A632,koronahun!$A:$AM,38,FALSE),"")</f>
        <v>0</v>
      </c>
      <c r="AM632" s="14">
        <f>IFERROR(VLOOKUP($A632,koronahun!$A:$AM,39,FALSE),"")</f>
        <v>29.857142857142858</v>
      </c>
      <c r="AN632" s="11">
        <f ca="1">IFERROR(__xludf.DUMMYFUNCTION("""COMPUTED_VALUE"""),44524)</f>
        <v>44524</v>
      </c>
      <c r="AO632" s="12">
        <f ca="1">IFERROR(VLOOKUP(AN632,koronahun!A:B,2,FALSE),"")</f>
        <v>1044852</v>
      </c>
      <c r="AP632" s="11">
        <f t="shared" ca="1" si="4"/>
        <v>44524</v>
      </c>
      <c r="AQ632" s="11">
        <f ca="1">IFERROR(__xludf.DUMMYFUNCTION("""COMPUTED_VALUE"""),44593)</f>
        <v>44593</v>
      </c>
      <c r="AR632" s="11">
        <v>43987</v>
      </c>
      <c r="AS632" s="11">
        <f t="shared" si="5"/>
        <v>43987</v>
      </c>
      <c r="AT632" s="11">
        <f ca="1">IFERROR(__xludf.DUMMYFUNCTION("""COMPUTED_VALUE"""),43986)</f>
        <v>43986</v>
      </c>
    </row>
    <row r="633" spans="1:46" ht="13">
      <c r="A633" s="11">
        <v>43985</v>
      </c>
      <c r="B633">
        <f>IFERROR(VLOOKUP($A633,koronahun!$A:$AM,2,FALSE),"")</f>
        <v>3931</v>
      </c>
      <c r="C633">
        <f>IFERROR(VLOOKUP($A633,koronahun!$A:$AM,3,FALSE),"")</f>
        <v>10</v>
      </c>
      <c r="D633">
        <f>IFERROR(VLOOKUP($A633,koronahun!$A:$AM,4,FALSE),"")</f>
        <v>534</v>
      </c>
      <c r="E633">
        <f>IFERROR(VLOOKUP($A633,koronahun!$A:$AM,5,FALSE),"")</f>
        <v>2190</v>
      </c>
      <c r="F633">
        <f>IFERROR(VLOOKUP($A633,koronahun!$A:$AM,6,FALSE),"")</f>
        <v>191572</v>
      </c>
      <c r="G633" s="12">
        <f>IFERROR(VLOOKUP($A633,koronahun!$A:$AM,7,FALSE),"")</f>
        <v>19548.163265306121</v>
      </c>
      <c r="H633">
        <f>IFERROR(VLOOKUP($A633,koronahun!$A:$AM,8,FALSE),"")</f>
        <v>0</v>
      </c>
      <c r="I633" s="13">
        <f>IFERROR(VLOOKUP($A633,koronahun!$A:$AM,9,FALSE),"")</f>
        <v>2.5999999999999999E-3</v>
      </c>
      <c r="J633" s="13">
        <f>IFERROR(VLOOKUP($A633,koronahun!$A:$AM,10,FALSE),"")</f>
        <v>2.0500000000000001E-2</v>
      </c>
      <c r="K633" s="13">
        <f>IFERROR(VLOOKUP($A633,koronahun!$A:$AM,11,FALSE),"")</f>
        <v>8.0000000000000002E-3</v>
      </c>
      <c r="L633">
        <f>IFERROR(VLOOKUP($A633,koronahun!$A:$AM,12,FALSE),"")</f>
        <v>1207</v>
      </c>
      <c r="M633" s="13">
        <f>IFERROR(VLOOKUP($A633,koronahun!$A:$AM,13,FALSE),"")</f>
        <v>0.1358</v>
      </c>
      <c r="N633" s="13">
        <f>IFERROR(VLOOKUP($A633,koronahun!$A:$AM,14,FALSE),"")</f>
        <v>0.55710000000000004</v>
      </c>
      <c r="O633">
        <f>IFERROR(VLOOKUP($A633,koronahun!$A:$AM,15,FALSE),"")</f>
        <v>11172</v>
      </c>
      <c r="P633">
        <f>IFERROR(VLOOKUP($A633,koronahun!$A:$AM,16,FALSE),"")</f>
        <v>1603</v>
      </c>
      <c r="Q633" s="13">
        <f>IFERROR(VLOOKUP($A633,koronahun!$A:$AM,17,FALSE),"")</f>
        <v>6.1999999999999998E-3</v>
      </c>
      <c r="R633">
        <f>IFERROR(VLOOKUP($A633,koronahun!$A:$AM,18,FALSE),"")</f>
        <v>2</v>
      </c>
      <c r="S633">
        <f>IFERROR(VLOOKUP($A633,koronahun!$A:$AM,19,FALSE),"")</f>
        <v>30</v>
      </c>
      <c r="T633">
        <f>IFERROR(VLOOKUP($A633,koronahun!$A:$AM,20,FALSE),"")</f>
        <v>414</v>
      </c>
      <c r="U633">
        <f>IFERROR(VLOOKUP($A633,koronahun!$A:$AM,21,FALSE),"")</f>
        <v>24</v>
      </c>
      <c r="V633" s="13">
        <f>IFERROR(VLOOKUP($A633,koronahun!$A:$AM,22,FALSE),"")</f>
        <v>0.30704655303993894</v>
      </c>
      <c r="W633">
        <f>IFERROR(VLOOKUP($A633,koronahun!$A:$AM,23,FALSE),"")</f>
        <v>-13</v>
      </c>
      <c r="X633">
        <f>IFERROR(VLOOKUP($A633,koronahun!$A:$AM,24,FALSE),"")</f>
        <v>0</v>
      </c>
      <c r="Y633" s="14">
        <f>IFERROR(VLOOKUP($A633,koronahun!$A:$AM,25,FALSE),"")</f>
        <v>0.34299917149958575</v>
      </c>
      <c r="Z633" s="14">
        <f>IFERROR(VLOOKUP($A633,koronahun!$A:$AM,26,FALSE),"")</f>
        <v>5.7971014492753624E-2</v>
      </c>
      <c r="AA633" s="14">
        <f>IFERROR(VLOOKUP($A633,koronahun!$A:$AM,27,FALSE),"")</f>
        <v>0.70769230769230773</v>
      </c>
      <c r="AB633" s="14">
        <f>IFERROR(VLOOKUP($A633,koronahun!$A:$AM,28,FALSE),"")</f>
        <v>0.64847624530864312</v>
      </c>
      <c r="AC633" s="14">
        <f>IFERROR(VLOOKUP($A633,koronahun!$A:$AM,29,FALSE),"")</f>
        <v>19.714285714285715</v>
      </c>
      <c r="AD633" s="14">
        <f>IFERROR(VLOOKUP($A633,koronahun!$A:$AM,30,FALSE),"")</f>
        <v>4.1428571428571432</v>
      </c>
      <c r="AE633" s="14">
        <f>IFERROR(VLOOKUP($A633,koronahun!$A:$AM,31,FALSE),"")</f>
        <v>3087.4285714285716</v>
      </c>
      <c r="AF633" s="13">
        <f>IFERROR(VLOOKUP($A633,koronahun!$A:$AM,32,FALSE),"")</f>
        <v>7.1285714285714286E-3</v>
      </c>
      <c r="AG633">
        <f>IFERROR(VLOOKUP($A633,koronahun!$A:$AM,33,FALSE),"")</f>
        <v>0</v>
      </c>
      <c r="AH633">
        <f>IFERROR(VLOOKUP($A633,koronahun!$A:$AM,34,FALSE),"")</f>
        <v>0</v>
      </c>
      <c r="AI633">
        <f>IFERROR(VLOOKUP($A633,koronahun!$A:$AM,35,FALSE),"")</f>
        <v>0</v>
      </c>
      <c r="AJ633">
        <f>IFERROR(VLOOKUP($A633,koronahun!$A:$AM,36,FALSE),"")</f>
        <v>0</v>
      </c>
      <c r="AK633">
        <f>IFERROR(VLOOKUP($A633,koronahun!$A:$AM,37,FALSE),"")</f>
        <v>0</v>
      </c>
      <c r="AL633">
        <f>IFERROR(VLOOKUP($A633,koronahun!$A:$AM,38,FALSE),"")</f>
        <v>0</v>
      </c>
      <c r="AM633" s="14">
        <f>IFERROR(VLOOKUP($A633,koronahun!$A:$AM,39,FALSE),"")</f>
        <v>47.714285714285715</v>
      </c>
      <c r="AN633" s="11">
        <f ca="1">IFERROR(__xludf.DUMMYFUNCTION("""COMPUTED_VALUE"""),44525)</f>
        <v>44525</v>
      </c>
      <c r="AO633" s="12">
        <f ca="1">IFERROR(VLOOKUP(AN633,koronahun!A:B,2,FALSE),"")</f>
        <v>1057017</v>
      </c>
      <c r="AP633" s="11">
        <f t="shared" ca="1" si="4"/>
        <v>44525</v>
      </c>
      <c r="AQ633" s="11">
        <f ca="1">IFERROR(__xludf.DUMMYFUNCTION("""COMPUTED_VALUE"""),44594)</f>
        <v>44594</v>
      </c>
      <c r="AR633" s="11">
        <v>43986</v>
      </c>
      <c r="AS633" s="11">
        <f t="shared" si="5"/>
        <v>43986</v>
      </c>
      <c r="AT633" s="11">
        <f ca="1">IFERROR(__xludf.DUMMYFUNCTION("""COMPUTED_VALUE"""),43985)</f>
        <v>43985</v>
      </c>
    </row>
    <row r="634" spans="1:46" ht="13">
      <c r="A634" s="11">
        <v>43984</v>
      </c>
      <c r="B634">
        <f>IFERROR(VLOOKUP($A634,koronahun!$A:$AM,2,FALSE),"")</f>
        <v>3921</v>
      </c>
      <c r="C634">
        <f>IFERROR(VLOOKUP($A634,koronahun!$A:$AM,3,FALSE),"")</f>
        <v>29</v>
      </c>
      <c r="D634">
        <f>IFERROR(VLOOKUP($A634,koronahun!$A:$AM,4,FALSE),"")</f>
        <v>532</v>
      </c>
      <c r="E634">
        <f>IFERROR(VLOOKUP($A634,koronahun!$A:$AM,5,FALSE),"")</f>
        <v>2160</v>
      </c>
      <c r="F634">
        <f>IFERROR(VLOOKUP($A634,koronahun!$A:$AM,6,FALSE),"")</f>
        <v>189969</v>
      </c>
      <c r="G634" s="12">
        <f>IFERROR(VLOOKUP($A634,koronahun!$A:$AM,7,FALSE),"")</f>
        <v>19384.591836734693</v>
      </c>
      <c r="H634">
        <f>IFERROR(VLOOKUP($A634,koronahun!$A:$AM,8,FALSE),"")</f>
        <v>0</v>
      </c>
      <c r="I634" s="13">
        <f>IFERROR(VLOOKUP($A634,koronahun!$A:$AM,9,FALSE),"")</f>
        <v>7.4999999999999997E-3</v>
      </c>
      <c r="J634" s="13">
        <f>IFERROR(VLOOKUP($A634,koronahun!$A:$AM,10,FALSE),"")</f>
        <v>2.06E-2</v>
      </c>
      <c r="K634" s="13">
        <f>IFERROR(VLOOKUP($A634,koronahun!$A:$AM,11,FALSE),"")</f>
        <v>1.0999999999999999E-2</v>
      </c>
      <c r="L634">
        <f>IFERROR(VLOOKUP($A634,koronahun!$A:$AM,12,FALSE),"")</f>
        <v>1229</v>
      </c>
      <c r="M634" s="13">
        <f>IFERROR(VLOOKUP($A634,koronahun!$A:$AM,13,FALSE),"")</f>
        <v>0.13569999999999999</v>
      </c>
      <c r="N634" s="13">
        <f>IFERROR(VLOOKUP($A634,koronahun!$A:$AM,14,FALSE),"")</f>
        <v>0.55089999999999995</v>
      </c>
      <c r="O634">
        <f>IFERROR(VLOOKUP($A634,koronahun!$A:$AM,15,FALSE),"")</f>
        <v>11159</v>
      </c>
      <c r="P634">
        <f>IFERROR(VLOOKUP($A634,koronahun!$A:$AM,16,FALSE),"")</f>
        <v>2004</v>
      </c>
      <c r="Q634" s="13">
        <f>IFERROR(VLOOKUP($A634,koronahun!$A:$AM,17,FALSE),"")</f>
        <v>1.4500000000000001E-2</v>
      </c>
      <c r="R634">
        <f>IFERROR(VLOOKUP($A634,koronahun!$A:$AM,18,FALSE),"")</f>
        <v>5</v>
      </c>
      <c r="S634">
        <f>IFERROR(VLOOKUP($A634,koronahun!$A:$AM,19,FALSE),"")</f>
        <v>4</v>
      </c>
      <c r="T634">
        <f>IFERROR(VLOOKUP($A634,koronahun!$A:$AM,20,FALSE),"")</f>
        <v>427</v>
      </c>
      <c r="U634">
        <f>IFERROR(VLOOKUP($A634,koronahun!$A:$AM,21,FALSE),"")</f>
        <v>24</v>
      </c>
      <c r="V634" s="13">
        <f>IFERROR(VLOOKUP($A634,koronahun!$A:$AM,22,FALSE),"")</f>
        <v>0.31344044886508543</v>
      </c>
      <c r="W634">
        <f>IFERROR(VLOOKUP($A634,koronahun!$A:$AM,23,FALSE),"")</f>
        <v>10</v>
      </c>
      <c r="X634">
        <f>IFERROR(VLOOKUP($A634,koronahun!$A:$AM,24,FALSE),"")</f>
        <v>-1</v>
      </c>
      <c r="Y634" s="14">
        <f>IFERROR(VLOOKUP($A634,koronahun!$A:$AM,25,FALSE),"")</f>
        <v>0.34743694060211555</v>
      </c>
      <c r="Z634" s="14">
        <f>IFERROR(VLOOKUP($A634,koronahun!$A:$AM,26,FALSE),"")</f>
        <v>5.6206088992974239E-2</v>
      </c>
      <c r="AA634" s="14">
        <f>IFERROR(VLOOKUP($A634,koronahun!$A:$AM,27,FALSE),"")</f>
        <v>0.69767441860465118</v>
      </c>
      <c r="AB634" s="14">
        <f>IFERROR(VLOOKUP($A634,koronahun!$A:$AM,28,FALSE),"")</f>
        <v>0.6557708961830605</v>
      </c>
      <c r="AC634" s="14">
        <f>IFERROR(VLOOKUP($A634,koronahun!$A:$AM,29,FALSE),"")</f>
        <v>21.428571428571427</v>
      </c>
      <c r="AD634" s="14">
        <f>IFERROR(VLOOKUP($A634,koronahun!$A:$AM,30,FALSE),"")</f>
        <v>4.7142857142857144</v>
      </c>
      <c r="AE634" s="14">
        <f>IFERROR(VLOOKUP($A634,koronahun!$A:$AM,31,FALSE),"")</f>
        <v>3386.5714285714284</v>
      </c>
      <c r="AF634" s="13">
        <f>IFERROR(VLOOKUP($A634,koronahun!$A:$AM,32,FALSE),"")</f>
        <v>7.0999999999999995E-3</v>
      </c>
      <c r="AG634">
        <f>IFERROR(VLOOKUP($A634,koronahun!$A:$AM,33,FALSE),"")</f>
        <v>0</v>
      </c>
      <c r="AH634">
        <f>IFERROR(VLOOKUP($A634,koronahun!$A:$AM,34,FALSE),"")</f>
        <v>0</v>
      </c>
      <c r="AI634">
        <f>IFERROR(VLOOKUP($A634,koronahun!$A:$AM,35,FALSE),"")</f>
        <v>0</v>
      </c>
      <c r="AJ634">
        <f>IFERROR(VLOOKUP($A634,koronahun!$A:$AM,36,FALSE),"")</f>
        <v>0</v>
      </c>
      <c r="AK634">
        <f>IFERROR(VLOOKUP($A634,koronahun!$A:$AM,37,FALSE),"")</f>
        <v>0</v>
      </c>
      <c r="AL634">
        <f>IFERROR(VLOOKUP($A634,koronahun!$A:$AM,38,FALSE),"")</f>
        <v>0</v>
      </c>
      <c r="AM634" s="14">
        <f>IFERROR(VLOOKUP($A634,koronahun!$A:$AM,39,FALSE),"")</f>
        <v>46.285714285714285</v>
      </c>
      <c r="AN634" s="11">
        <f ca="1">IFERROR(__xludf.DUMMYFUNCTION("""COMPUTED_VALUE"""),44526)</f>
        <v>44526</v>
      </c>
      <c r="AO634" s="12">
        <f ca="1">IFERROR(VLOOKUP(AN634,koronahun!A:B,2,FALSE),"")</f>
        <v>1068888</v>
      </c>
      <c r="AP634" s="11">
        <f t="shared" ca="1" si="4"/>
        <v>44526</v>
      </c>
      <c r="AQ634" s="11">
        <f ca="1">IFERROR(__xludf.DUMMYFUNCTION("""COMPUTED_VALUE"""),44595)</f>
        <v>44595</v>
      </c>
      <c r="AR634" s="11">
        <v>43985</v>
      </c>
      <c r="AS634" s="11">
        <f t="shared" si="5"/>
        <v>43985</v>
      </c>
      <c r="AT634" s="11">
        <f ca="1">IFERROR(__xludf.DUMMYFUNCTION("""COMPUTED_VALUE"""),43984)</f>
        <v>43984</v>
      </c>
    </row>
    <row r="635" spans="1:46" ht="13">
      <c r="A635" s="11">
        <v>43983</v>
      </c>
      <c r="B635">
        <f>IFERROR(VLOOKUP($A635,koronahun!$A:$AM,2,FALSE),"")</f>
        <v>3892</v>
      </c>
      <c r="C635">
        <f>IFERROR(VLOOKUP($A635,koronahun!$A:$AM,3,FALSE),"")</f>
        <v>16</v>
      </c>
      <c r="D635">
        <f>IFERROR(VLOOKUP($A635,koronahun!$A:$AM,4,FALSE),"")</f>
        <v>527</v>
      </c>
      <c r="E635">
        <f>IFERROR(VLOOKUP($A635,koronahun!$A:$AM,5,FALSE),"")</f>
        <v>2156</v>
      </c>
      <c r="F635">
        <f>IFERROR(VLOOKUP($A635,koronahun!$A:$AM,6,FALSE),"")</f>
        <v>187965</v>
      </c>
      <c r="G635" s="12">
        <f>IFERROR(VLOOKUP($A635,koronahun!$A:$AM,7,FALSE),"")</f>
        <v>19180.102040816324</v>
      </c>
      <c r="H635">
        <f>IFERROR(VLOOKUP($A635,koronahun!$A:$AM,8,FALSE),"")</f>
        <v>0</v>
      </c>
      <c r="I635" s="13">
        <f>IFERROR(VLOOKUP($A635,koronahun!$A:$AM,9,FALSE),"")</f>
        <v>4.1000000000000003E-3</v>
      </c>
      <c r="J635" s="13">
        <f>IFERROR(VLOOKUP($A635,koronahun!$A:$AM,10,FALSE),"")</f>
        <v>2.07E-2</v>
      </c>
      <c r="K635" s="13">
        <f>IFERROR(VLOOKUP($A635,koronahun!$A:$AM,11,FALSE),"")</f>
        <v>1.0999999999999999E-2</v>
      </c>
      <c r="L635">
        <f>IFERROR(VLOOKUP($A635,koronahun!$A:$AM,12,FALSE),"")</f>
        <v>1209</v>
      </c>
      <c r="M635" s="13">
        <f>IFERROR(VLOOKUP($A635,koronahun!$A:$AM,13,FALSE),"")</f>
        <v>0.13539999999999999</v>
      </c>
      <c r="N635" s="13">
        <f>IFERROR(VLOOKUP($A635,koronahun!$A:$AM,14,FALSE),"")</f>
        <v>0.55400000000000005</v>
      </c>
      <c r="O635">
        <f>IFERROR(VLOOKUP($A635,koronahun!$A:$AM,15,FALSE),"")</f>
        <v>11226</v>
      </c>
      <c r="P635">
        <f>IFERROR(VLOOKUP($A635,koronahun!$A:$AM,16,FALSE),"")</f>
        <v>1985</v>
      </c>
      <c r="Q635" s="13">
        <f>IFERROR(VLOOKUP($A635,koronahun!$A:$AM,17,FALSE),"")</f>
        <v>8.0999999999999996E-3</v>
      </c>
      <c r="R635">
        <f>IFERROR(VLOOKUP($A635,koronahun!$A:$AM,18,FALSE),"")</f>
        <v>1</v>
      </c>
      <c r="S635">
        <f>IFERROR(VLOOKUP($A635,koronahun!$A:$AM,19,FALSE),"")</f>
        <v>9</v>
      </c>
      <c r="T635">
        <f>IFERROR(VLOOKUP($A635,koronahun!$A:$AM,20,FALSE),"")</f>
        <v>417</v>
      </c>
      <c r="U635">
        <f>IFERROR(VLOOKUP($A635,koronahun!$A:$AM,21,FALSE),"")</f>
        <v>25</v>
      </c>
      <c r="V635" s="13">
        <f>IFERROR(VLOOKUP($A635,koronahun!$A:$AM,22,FALSE),"")</f>
        <v>0.31063720452209659</v>
      </c>
      <c r="W635">
        <f>IFERROR(VLOOKUP($A635,koronahun!$A:$AM,23,FALSE),"")</f>
        <v>-2</v>
      </c>
      <c r="X635">
        <f>IFERROR(VLOOKUP($A635,koronahun!$A:$AM,24,FALSE),"")</f>
        <v>0</v>
      </c>
      <c r="Y635" s="14">
        <f>IFERROR(VLOOKUP($A635,koronahun!$A:$AM,25,FALSE),"")</f>
        <v>0.34491315136476425</v>
      </c>
      <c r="Z635" s="14">
        <f>IFERROR(VLOOKUP($A635,koronahun!$A:$AM,26,FALSE),"")</f>
        <v>5.9952038369304558E-2</v>
      </c>
      <c r="AA635" s="14">
        <f>IFERROR(VLOOKUP($A635,koronahun!$A:$AM,27,FALSE),"")</f>
        <v>0.61538461538461542</v>
      </c>
      <c r="AB635" s="14">
        <f>IFERROR(VLOOKUP($A635,koronahun!$A:$AM,28,FALSE),"")</f>
        <v>0.6824993596040303</v>
      </c>
      <c r="AC635" s="14">
        <f>IFERROR(VLOOKUP($A635,koronahun!$A:$AM,29,FALSE),"")</f>
        <v>19.428571428571427</v>
      </c>
      <c r="AD635" s="14">
        <f>IFERROR(VLOOKUP($A635,koronahun!$A:$AM,30,FALSE),"")</f>
        <v>5.1428571428571432</v>
      </c>
      <c r="AE635" s="14">
        <f>IFERROR(VLOOKUP($A635,koronahun!$A:$AM,31,FALSE),"")</f>
        <v>3335.1428571428573</v>
      </c>
      <c r="AF635" s="13">
        <f>IFERROR(VLOOKUP($A635,koronahun!$A:$AM,32,FALSE),"")</f>
        <v>6.3285714285714291E-3</v>
      </c>
      <c r="AG635">
        <f>IFERROR(VLOOKUP($A635,koronahun!$A:$AM,33,FALSE),"")</f>
        <v>0</v>
      </c>
      <c r="AH635">
        <f>IFERROR(VLOOKUP($A635,koronahun!$A:$AM,34,FALSE),"")</f>
        <v>0</v>
      </c>
      <c r="AI635">
        <f>IFERROR(VLOOKUP($A635,koronahun!$A:$AM,35,FALSE),"")</f>
        <v>0</v>
      </c>
      <c r="AJ635">
        <f>IFERROR(VLOOKUP($A635,koronahun!$A:$AM,36,FALSE),"")</f>
        <v>0</v>
      </c>
      <c r="AK635">
        <f>IFERROR(VLOOKUP($A635,koronahun!$A:$AM,37,FALSE),"")</f>
        <v>0</v>
      </c>
      <c r="AL635">
        <f>IFERROR(VLOOKUP($A635,koronahun!$A:$AM,38,FALSE),"")</f>
        <v>0</v>
      </c>
      <c r="AM635" s="14">
        <f>IFERROR(VLOOKUP($A635,koronahun!$A:$AM,39,FALSE),"")</f>
        <v>63.571428571428569</v>
      </c>
      <c r="AN635" s="11">
        <f ca="1">IFERROR(__xludf.DUMMYFUNCTION("""COMPUTED_VALUE"""),44527)</f>
        <v>44527</v>
      </c>
      <c r="AO635" s="12">
        <f ca="1">IFERROR(VLOOKUP(AN635,koronahun!A:B,2,FALSE),"")</f>
        <v>0</v>
      </c>
      <c r="AP635" s="11">
        <f t="shared" ca="1" si="4"/>
        <v>44527</v>
      </c>
      <c r="AQ635" s="11">
        <f ca="1">IFERROR(__xludf.DUMMYFUNCTION("""COMPUTED_VALUE"""),44596)</f>
        <v>44596</v>
      </c>
      <c r="AR635" s="11">
        <v>43984</v>
      </c>
      <c r="AS635" s="11">
        <f t="shared" si="5"/>
        <v>43984</v>
      </c>
      <c r="AT635" s="11">
        <f ca="1">IFERROR(__xludf.DUMMYFUNCTION("""COMPUTED_VALUE"""),43983)</f>
        <v>43983</v>
      </c>
    </row>
    <row r="636" spans="1:46" ht="13">
      <c r="A636" s="11">
        <v>43982</v>
      </c>
      <c r="B636">
        <f>IFERROR(VLOOKUP($A636,koronahun!$A:$AM,2,FALSE),"")</f>
        <v>3876</v>
      </c>
      <c r="C636">
        <f>IFERROR(VLOOKUP($A636,koronahun!$A:$AM,3,FALSE),"")</f>
        <v>9</v>
      </c>
      <c r="D636">
        <f>IFERROR(VLOOKUP($A636,koronahun!$A:$AM,4,FALSE),"")</f>
        <v>526</v>
      </c>
      <c r="E636">
        <f>IFERROR(VLOOKUP($A636,koronahun!$A:$AM,5,FALSE),"")</f>
        <v>2147</v>
      </c>
      <c r="F636">
        <f>IFERROR(VLOOKUP($A636,koronahun!$A:$AM,6,FALSE),"")</f>
        <v>185980</v>
      </c>
      <c r="G636" s="12">
        <f>IFERROR(VLOOKUP($A636,koronahun!$A:$AM,7,FALSE),"")</f>
        <v>18977.551020408162</v>
      </c>
      <c r="H636">
        <f>IFERROR(VLOOKUP($A636,koronahun!$A:$AM,8,FALSE),"")</f>
        <v>0</v>
      </c>
      <c r="I636" s="13">
        <f>IFERROR(VLOOKUP($A636,koronahun!$A:$AM,9,FALSE),"")</f>
        <v>2.3E-3</v>
      </c>
      <c r="J636" s="13">
        <f>IFERROR(VLOOKUP($A636,koronahun!$A:$AM,10,FALSE),"")</f>
        <v>2.0799999999999999E-2</v>
      </c>
      <c r="K636" s="13">
        <f>IFERROR(VLOOKUP($A636,koronahun!$A:$AM,11,FALSE),"")</f>
        <v>1.2999999999999999E-2</v>
      </c>
      <c r="L636">
        <f>IFERROR(VLOOKUP($A636,koronahun!$A:$AM,12,FALSE),"")</f>
        <v>1203</v>
      </c>
      <c r="M636" s="13">
        <f>IFERROR(VLOOKUP($A636,koronahun!$A:$AM,13,FALSE),"")</f>
        <v>0.13569999999999999</v>
      </c>
      <c r="N636" s="13">
        <f>IFERROR(VLOOKUP($A636,koronahun!$A:$AM,14,FALSE),"")</f>
        <v>0.55389999999999995</v>
      </c>
      <c r="O636">
        <f>IFERROR(VLOOKUP($A636,koronahun!$A:$AM,15,FALSE),"")</f>
        <v>11540</v>
      </c>
      <c r="P636">
        <f>IFERROR(VLOOKUP($A636,koronahun!$A:$AM,16,FALSE),"")</f>
        <v>2418</v>
      </c>
      <c r="Q636" s="13">
        <f>IFERROR(VLOOKUP($A636,koronahun!$A:$AM,17,FALSE),"")</f>
        <v>3.7000000000000002E-3</v>
      </c>
      <c r="R636">
        <f>IFERROR(VLOOKUP($A636,koronahun!$A:$AM,18,FALSE),"")</f>
        <v>2</v>
      </c>
      <c r="S636">
        <f>IFERROR(VLOOKUP($A636,koronahun!$A:$AM,19,FALSE),"")</f>
        <v>5</v>
      </c>
      <c r="T636">
        <f>IFERROR(VLOOKUP($A636,koronahun!$A:$AM,20,FALSE),"")</f>
        <v>419</v>
      </c>
      <c r="U636">
        <f>IFERROR(VLOOKUP($A636,koronahun!$A:$AM,21,FALSE),"")</f>
        <v>25</v>
      </c>
      <c r="V636" s="13">
        <f>IFERROR(VLOOKUP($A636,koronahun!$A:$AM,22,FALSE),"")</f>
        <v>0.31037151702786375</v>
      </c>
      <c r="W636">
        <f>IFERROR(VLOOKUP($A636,koronahun!$A:$AM,23,FALSE),"")</f>
        <v>5</v>
      </c>
      <c r="X636">
        <f>IFERROR(VLOOKUP($A636,koronahun!$A:$AM,24,FALSE),"")</f>
        <v>3</v>
      </c>
      <c r="Y636" s="14">
        <f>IFERROR(VLOOKUP($A636,koronahun!$A:$AM,25,FALSE),"")</f>
        <v>0.3482959268495428</v>
      </c>
      <c r="Z636" s="14">
        <f>IFERROR(VLOOKUP($A636,koronahun!$A:$AM,26,FALSE),"")</f>
        <v>5.9665871121718374E-2</v>
      </c>
      <c r="AA636" s="14">
        <f>IFERROR(VLOOKUP($A636,koronahun!$A:$AM,27,FALSE),"")</f>
        <v>0.5818965517241379</v>
      </c>
      <c r="AB636" s="14">
        <f>IFERROR(VLOOKUP($A636,koronahun!$A:$AM,28,FALSE),"")</f>
        <v>0.72036985564185707</v>
      </c>
      <c r="AC636" s="14">
        <f>IFERROR(VLOOKUP($A636,koronahun!$A:$AM,29,FALSE),"")</f>
        <v>19.285714285714285</v>
      </c>
      <c r="AD636" s="14">
        <f>IFERROR(VLOOKUP($A636,koronahun!$A:$AM,30,FALSE),"")</f>
        <v>5.7142857142857144</v>
      </c>
      <c r="AE636" s="14">
        <f>IFERROR(VLOOKUP($A636,koronahun!$A:$AM,31,FALSE),"")</f>
        <v>3293.5714285714284</v>
      </c>
      <c r="AF636" s="13">
        <f>IFERROR(VLOOKUP($A636,koronahun!$A:$AM,32,FALSE),"")</f>
        <v>6.4428571428571443E-3</v>
      </c>
      <c r="AG636">
        <f>IFERROR(VLOOKUP($A636,koronahun!$A:$AM,33,FALSE),"")</f>
        <v>0</v>
      </c>
      <c r="AH636">
        <f>IFERROR(VLOOKUP($A636,koronahun!$A:$AM,34,FALSE),"")</f>
        <v>0</v>
      </c>
      <c r="AI636">
        <f>IFERROR(VLOOKUP($A636,koronahun!$A:$AM,35,FALSE),"")</f>
        <v>0</v>
      </c>
      <c r="AJ636">
        <f>IFERROR(VLOOKUP($A636,koronahun!$A:$AM,36,FALSE),"")</f>
        <v>0</v>
      </c>
      <c r="AK636">
        <f>IFERROR(VLOOKUP($A636,koronahun!$A:$AM,37,FALSE),"")</f>
        <v>0</v>
      </c>
      <c r="AL636">
        <f>IFERROR(VLOOKUP($A636,koronahun!$A:$AM,38,FALSE),"")</f>
        <v>0</v>
      </c>
      <c r="AM636" s="14">
        <f>IFERROR(VLOOKUP($A636,koronahun!$A:$AM,39,FALSE),"")</f>
        <v>65.285714285714292</v>
      </c>
      <c r="AN636" s="11">
        <f ca="1">IFERROR(__xludf.DUMMYFUNCTION("""COMPUTED_VALUE"""),44528)</f>
        <v>44528</v>
      </c>
      <c r="AO636" s="12">
        <f ca="1">IFERROR(VLOOKUP(AN636,koronahun!A:B,2,FALSE),"")</f>
        <v>0</v>
      </c>
      <c r="AP636" s="11">
        <f t="shared" ca="1" si="4"/>
        <v>44528</v>
      </c>
      <c r="AQ636" s="11">
        <f ca="1">IFERROR(__xludf.DUMMYFUNCTION("""COMPUTED_VALUE"""),44599)</f>
        <v>44599</v>
      </c>
      <c r="AR636" s="11">
        <v>43983</v>
      </c>
      <c r="AS636" s="11">
        <f t="shared" si="5"/>
        <v>43983</v>
      </c>
      <c r="AT636" s="11">
        <f ca="1">IFERROR(__xludf.DUMMYFUNCTION("""COMPUTED_VALUE"""),43982)</f>
        <v>43982</v>
      </c>
    </row>
    <row r="637" spans="1:46" ht="13">
      <c r="A637" s="11">
        <v>43981</v>
      </c>
      <c r="B637">
        <f>IFERROR(VLOOKUP($A637,koronahun!$A:$AM,2,FALSE),"")</f>
        <v>3867</v>
      </c>
      <c r="C637">
        <f>IFERROR(VLOOKUP($A637,koronahun!$A:$AM,3,FALSE),"")</f>
        <v>26</v>
      </c>
      <c r="D637">
        <f>IFERROR(VLOOKUP($A637,koronahun!$A:$AM,4,FALSE),"")</f>
        <v>524</v>
      </c>
      <c r="E637">
        <f>IFERROR(VLOOKUP($A637,koronahun!$A:$AM,5,FALSE),"")</f>
        <v>2142</v>
      </c>
      <c r="F637">
        <f>IFERROR(VLOOKUP($A637,koronahun!$A:$AM,6,FALSE),"")</f>
        <v>183562</v>
      </c>
      <c r="G637" s="12">
        <f>IFERROR(VLOOKUP($A637,koronahun!$A:$AM,7,FALSE),"")</f>
        <v>18730.81632653061</v>
      </c>
      <c r="H637">
        <f>IFERROR(VLOOKUP($A637,koronahun!$A:$AM,8,FALSE),"")</f>
        <v>0</v>
      </c>
      <c r="I637" s="13">
        <f>IFERROR(VLOOKUP($A637,koronahun!$A:$AM,9,FALSE),"")</f>
        <v>6.7999999999999996E-3</v>
      </c>
      <c r="J637" s="13">
        <f>IFERROR(VLOOKUP($A637,koronahun!$A:$AM,10,FALSE),"")</f>
        <v>2.1100000000000001E-2</v>
      </c>
      <c r="K637" s="13">
        <f>IFERROR(VLOOKUP($A637,koronahun!$A:$AM,11,FALSE),"")</f>
        <v>1.9E-2</v>
      </c>
      <c r="L637">
        <f>IFERROR(VLOOKUP($A637,koronahun!$A:$AM,12,FALSE),"")</f>
        <v>1201</v>
      </c>
      <c r="M637" s="13">
        <f>IFERROR(VLOOKUP($A637,koronahun!$A:$AM,13,FALSE),"")</f>
        <v>0.13550000000000001</v>
      </c>
      <c r="N637" s="13">
        <f>IFERROR(VLOOKUP($A637,koronahun!$A:$AM,14,FALSE),"")</f>
        <v>0.55389999999999995</v>
      </c>
      <c r="O637">
        <f>IFERROR(VLOOKUP($A637,koronahun!$A:$AM,15,FALSE),"")</f>
        <v>11408</v>
      </c>
      <c r="P637">
        <f>IFERROR(VLOOKUP($A637,koronahun!$A:$AM,16,FALSE),"")</f>
        <v>3410</v>
      </c>
      <c r="Q637" s="13">
        <f>IFERROR(VLOOKUP($A637,koronahun!$A:$AM,17,FALSE),"")</f>
        <v>7.6E-3</v>
      </c>
      <c r="R637">
        <f>IFERROR(VLOOKUP($A637,koronahun!$A:$AM,18,FALSE),"")</f>
        <v>7</v>
      </c>
      <c r="S637">
        <f>IFERROR(VLOOKUP($A637,koronahun!$A:$AM,19,FALSE),"")</f>
        <v>118</v>
      </c>
      <c r="T637">
        <f>IFERROR(VLOOKUP($A637,koronahun!$A:$AM,20,FALSE),"")</f>
        <v>414</v>
      </c>
      <c r="U637">
        <f>IFERROR(VLOOKUP($A637,koronahun!$A:$AM,21,FALSE),"")</f>
        <v>22</v>
      </c>
      <c r="V637" s="13">
        <f>IFERROR(VLOOKUP($A637,koronahun!$A:$AM,22,FALSE),"")</f>
        <v>0.31057667442461856</v>
      </c>
      <c r="W637">
        <f>IFERROR(VLOOKUP($A637,koronahun!$A:$AM,23,FALSE),"")</f>
        <v>30</v>
      </c>
      <c r="X637">
        <f>IFERROR(VLOOKUP($A637,koronahun!$A:$AM,24,FALSE),"")</f>
        <v>-2</v>
      </c>
      <c r="Y637" s="14">
        <f>IFERROR(VLOOKUP($A637,koronahun!$A:$AM,25,FALSE),"")</f>
        <v>0.34471273938384678</v>
      </c>
      <c r="Z637" s="14">
        <f>IFERROR(VLOOKUP($A637,koronahun!$A:$AM,26,FALSE),"")</f>
        <v>5.3140096618357488E-2</v>
      </c>
      <c r="AA637" s="14">
        <f>IFERROR(VLOOKUP($A637,koronahun!$A:$AM,27,FALSE),"")</f>
        <v>0.64166666666666672</v>
      </c>
      <c r="AB637" s="14">
        <f>IFERROR(VLOOKUP($A637,koronahun!$A:$AM,28,FALSE),"")</f>
        <v>0.77196883838045305</v>
      </c>
      <c r="AC637" s="14">
        <f>IFERROR(VLOOKUP($A637,koronahun!$A:$AM,29,FALSE),"")</f>
        <v>22</v>
      </c>
      <c r="AD637" s="14">
        <f>IFERROR(VLOOKUP($A637,koronahun!$A:$AM,30,FALSE),"")</f>
        <v>6</v>
      </c>
      <c r="AE637" s="14">
        <f>IFERROR(VLOOKUP($A637,koronahun!$A:$AM,31,FALSE),"")</f>
        <v>3471.7142857142858</v>
      </c>
      <c r="AF637" s="13">
        <f>IFERROR(VLOOKUP($A637,koronahun!$A:$AM,32,FALSE),"")</f>
        <v>7.0000000000000001E-3</v>
      </c>
      <c r="AG637">
        <f>IFERROR(VLOOKUP($A637,koronahun!$A:$AM,33,FALSE),"")</f>
        <v>0</v>
      </c>
      <c r="AH637">
        <f>IFERROR(VLOOKUP($A637,koronahun!$A:$AM,34,FALSE),"")</f>
        <v>0</v>
      </c>
      <c r="AI637">
        <f>IFERROR(VLOOKUP($A637,koronahun!$A:$AM,35,FALSE),"")</f>
        <v>0</v>
      </c>
      <c r="AJ637">
        <f>IFERROR(VLOOKUP($A637,koronahun!$A:$AM,36,FALSE),"")</f>
        <v>0</v>
      </c>
      <c r="AK637">
        <f>IFERROR(VLOOKUP($A637,koronahun!$A:$AM,37,FALSE),"")</f>
        <v>0</v>
      </c>
      <c r="AL637">
        <f>IFERROR(VLOOKUP($A637,koronahun!$A:$AM,38,FALSE),"")</f>
        <v>0</v>
      </c>
      <c r="AM637" s="14">
        <f>IFERROR(VLOOKUP($A637,koronahun!$A:$AM,39,FALSE),"")</f>
        <v>69.571428571428569</v>
      </c>
      <c r="AN637" s="11">
        <f ca="1">IFERROR(__xludf.DUMMYFUNCTION("""COMPUTED_VALUE"""),44529)</f>
        <v>44529</v>
      </c>
      <c r="AO637" s="12">
        <f ca="1">IFERROR(VLOOKUP(AN637,koronahun!A:B,2,FALSE),"")</f>
        <v>1096718</v>
      </c>
      <c r="AP637" s="11">
        <f t="shared" ca="1" si="4"/>
        <v>44529</v>
      </c>
      <c r="AQ637" s="11">
        <f ca="1">IFERROR(__xludf.DUMMYFUNCTION("""COMPUTED_VALUE"""),44600)</f>
        <v>44600</v>
      </c>
      <c r="AR637" s="11">
        <v>43982</v>
      </c>
      <c r="AS637" s="11">
        <f t="shared" si="5"/>
        <v>43982</v>
      </c>
      <c r="AT637" s="11">
        <f ca="1">IFERROR(__xludf.DUMMYFUNCTION("""COMPUTED_VALUE"""),43981)</f>
        <v>43981</v>
      </c>
    </row>
    <row r="638" spans="1:46" ht="13">
      <c r="A638" s="11">
        <v>43980</v>
      </c>
      <c r="B638">
        <f>IFERROR(VLOOKUP($A638,koronahun!$A:$AM,2,FALSE),"")</f>
        <v>3841</v>
      </c>
      <c r="C638">
        <f>IFERROR(VLOOKUP($A638,koronahun!$A:$AM,3,FALSE),"")</f>
        <v>25</v>
      </c>
      <c r="D638">
        <f>IFERROR(VLOOKUP($A638,koronahun!$A:$AM,4,FALSE),"")</f>
        <v>517</v>
      </c>
      <c r="E638">
        <f>IFERROR(VLOOKUP($A638,koronahun!$A:$AM,5,FALSE),"")</f>
        <v>2024</v>
      </c>
      <c r="F638">
        <f>IFERROR(VLOOKUP($A638,koronahun!$A:$AM,6,FALSE),"")</f>
        <v>180152</v>
      </c>
      <c r="G638" s="12">
        <f>IFERROR(VLOOKUP($A638,koronahun!$A:$AM,7,FALSE),"")</f>
        <v>18382.857142857141</v>
      </c>
      <c r="H638">
        <f>IFERROR(VLOOKUP($A638,koronahun!$A:$AM,8,FALSE),"")</f>
        <v>0</v>
      </c>
      <c r="I638" s="13">
        <f>IFERROR(VLOOKUP($A638,koronahun!$A:$AM,9,FALSE),"")</f>
        <v>6.6E-3</v>
      </c>
      <c r="J638" s="13">
        <f>IFERROR(VLOOKUP($A638,koronahun!$A:$AM,10,FALSE),"")</f>
        <v>2.1299999999999999E-2</v>
      </c>
      <c r="K638" s="13">
        <f>IFERROR(VLOOKUP($A638,koronahun!$A:$AM,11,FALSE),"")</f>
        <v>3.5000000000000003E-2</v>
      </c>
      <c r="L638">
        <f>IFERROR(VLOOKUP($A638,koronahun!$A:$AM,12,FALSE),"")</f>
        <v>1300</v>
      </c>
      <c r="M638" s="13">
        <f>IFERROR(VLOOKUP($A638,koronahun!$A:$AM,13,FALSE),"")</f>
        <v>0.1346</v>
      </c>
      <c r="N638" s="13">
        <f>IFERROR(VLOOKUP($A638,koronahun!$A:$AM,14,FALSE),"")</f>
        <v>0.52690000000000003</v>
      </c>
      <c r="O638">
        <f>IFERROR(VLOOKUP($A638,koronahun!$A:$AM,15,FALSE),"")</f>
        <v>10763</v>
      </c>
      <c r="P638">
        <f>IFERROR(VLOOKUP($A638,koronahun!$A:$AM,16,FALSE),"")</f>
        <v>6141</v>
      </c>
      <c r="Q638" s="13">
        <f>IFERROR(VLOOKUP($A638,koronahun!$A:$AM,17,FALSE),"")</f>
        <v>4.1000000000000003E-3</v>
      </c>
      <c r="R638">
        <f>IFERROR(VLOOKUP($A638,koronahun!$A:$AM,18,FALSE),"")</f>
        <v>8</v>
      </c>
      <c r="S638">
        <f>IFERROR(VLOOKUP($A638,koronahun!$A:$AM,19,FALSE),"")</f>
        <v>28</v>
      </c>
      <c r="T638">
        <f>IFERROR(VLOOKUP($A638,koronahun!$A:$AM,20,FALSE),"")</f>
        <v>384</v>
      </c>
      <c r="U638">
        <f>IFERROR(VLOOKUP($A638,koronahun!$A:$AM,21,FALSE),"")</f>
        <v>24</v>
      </c>
      <c r="V638" s="13">
        <f>IFERROR(VLOOKUP($A638,koronahun!$A:$AM,22,FALSE),"")</f>
        <v>0.33845352772715437</v>
      </c>
      <c r="W638">
        <f>IFERROR(VLOOKUP($A638,koronahun!$A:$AM,23,FALSE),"")</f>
        <v>-20</v>
      </c>
      <c r="X638">
        <f>IFERROR(VLOOKUP($A638,koronahun!$A:$AM,24,FALSE),"")</f>
        <v>0</v>
      </c>
      <c r="Y638" s="14">
        <f>IFERROR(VLOOKUP($A638,koronahun!$A:$AM,25,FALSE),"")</f>
        <v>0.29538461538461541</v>
      </c>
      <c r="Z638" s="14">
        <f>IFERROR(VLOOKUP($A638,koronahun!$A:$AM,26,FALSE),"")</f>
        <v>6.25E-2</v>
      </c>
      <c r="AA638" s="14">
        <f>IFERROR(VLOOKUP($A638,koronahun!$A:$AM,27,FALSE),"")</f>
        <v>0.62452107279693492</v>
      </c>
      <c r="AB638" s="14">
        <f>IFERROR(VLOOKUP($A638,koronahun!$A:$AM,28,FALSE),"")</f>
        <v>0.81217030358191811</v>
      </c>
      <c r="AC638" s="14">
        <f>IFERROR(VLOOKUP($A638,koronahun!$A:$AM,29,FALSE),"")</f>
        <v>23.285714285714285</v>
      </c>
      <c r="AD638" s="14">
        <f>IFERROR(VLOOKUP($A638,koronahun!$A:$AM,30,FALSE),"")</f>
        <v>5.8571428571428568</v>
      </c>
      <c r="AE638" s="14">
        <f>IFERROR(VLOOKUP($A638,koronahun!$A:$AM,31,FALSE),"")</f>
        <v>3478.7142857142858</v>
      </c>
      <c r="AF638" s="13">
        <f>IFERROR(VLOOKUP($A638,koronahun!$A:$AM,32,FALSE),"")</f>
        <v>7.3571428571428564E-3</v>
      </c>
      <c r="AG638">
        <f>IFERROR(VLOOKUP($A638,koronahun!$A:$AM,33,FALSE),"")</f>
        <v>0</v>
      </c>
      <c r="AH638">
        <f>IFERROR(VLOOKUP($A638,koronahun!$A:$AM,34,FALSE),"")</f>
        <v>0</v>
      </c>
      <c r="AI638">
        <f>IFERROR(VLOOKUP($A638,koronahun!$A:$AM,35,FALSE),"")</f>
        <v>0</v>
      </c>
      <c r="AJ638">
        <f>IFERROR(VLOOKUP($A638,koronahun!$A:$AM,36,FALSE),"")</f>
        <v>0</v>
      </c>
      <c r="AK638">
        <f>IFERROR(VLOOKUP($A638,koronahun!$A:$AM,37,FALSE),"")</f>
        <v>0</v>
      </c>
      <c r="AL638">
        <f>IFERROR(VLOOKUP($A638,koronahun!$A:$AM,38,FALSE),"")</f>
        <v>0</v>
      </c>
      <c r="AM638" s="14">
        <f>IFERROR(VLOOKUP($A638,koronahun!$A:$AM,39,FALSE),"")</f>
        <v>62.428571428571431</v>
      </c>
      <c r="AN638" s="11">
        <f ca="1">IFERROR(__xludf.DUMMYFUNCTION("""COMPUTED_VALUE"""),44530)</f>
        <v>44530</v>
      </c>
      <c r="AO638" s="12">
        <f ca="1">IFERROR(VLOOKUP(AN638,koronahun!A:B,2,FALSE),"")</f>
        <v>1103108</v>
      </c>
      <c r="AP638" s="11">
        <f t="shared" ca="1" si="4"/>
        <v>44530</v>
      </c>
      <c r="AQ638" s="11">
        <f ca="1">IFERROR(__xludf.DUMMYFUNCTION("""COMPUTED_VALUE"""),44601)</f>
        <v>44601</v>
      </c>
      <c r="AR638" s="11">
        <v>43981</v>
      </c>
      <c r="AS638" s="11">
        <f t="shared" si="5"/>
        <v>43981</v>
      </c>
      <c r="AT638" s="11">
        <f ca="1">IFERROR(__xludf.DUMMYFUNCTION("""COMPUTED_VALUE"""),43980)</f>
        <v>43980</v>
      </c>
    </row>
    <row r="639" spans="1:46" ht="13">
      <c r="A639" s="11">
        <v>43979</v>
      </c>
      <c r="B639">
        <f>IFERROR(VLOOKUP($A639,koronahun!$A:$AM,2,FALSE),"")</f>
        <v>3816</v>
      </c>
      <c r="C639">
        <f>IFERROR(VLOOKUP($A639,koronahun!$A:$AM,3,FALSE),"")</f>
        <v>23</v>
      </c>
      <c r="D639">
        <f>IFERROR(VLOOKUP($A639,koronahun!$A:$AM,4,FALSE),"")</f>
        <v>509</v>
      </c>
      <c r="E639">
        <f>IFERROR(VLOOKUP($A639,koronahun!$A:$AM,5,FALSE),"")</f>
        <v>1996</v>
      </c>
      <c r="F639">
        <f>IFERROR(VLOOKUP($A639,koronahun!$A:$AM,6,FALSE),"")</f>
        <v>174011</v>
      </c>
      <c r="G639" s="12">
        <f>IFERROR(VLOOKUP($A639,koronahun!$A:$AM,7,FALSE),"")</f>
        <v>17756.224489795917</v>
      </c>
      <c r="H639">
        <f>IFERROR(VLOOKUP($A639,koronahun!$A:$AM,8,FALSE),"")</f>
        <v>0</v>
      </c>
      <c r="I639" s="13">
        <f>IFERROR(VLOOKUP($A639,koronahun!$A:$AM,9,FALSE),"")</f>
        <v>6.1000000000000004E-3</v>
      </c>
      <c r="J639" s="13">
        <f>IFERROR(VLOOKUP($A639,koronahun!$A:$AM,10,FALSE),"")</f>
        <v>2.1899999999999999E-2</v>
      </c>
      <c r="K639" s="13">
        <f>IFERROR(VLOOKUP($A639,koronahun!$A:$AM,11,FALSE),"")</f>
        <v>2.4E-2</v>
      </c>
      <c r="L639">
        <f>IFERROR(VLOOKUP($A639,koronahun!$A:$AM,12,FALSE),"")</f>
        <v>1311</v>
      </c>
      <c r="M639" s="13">
        <f>IFERROR(VLOOKUP($A639,koronahun!$A:$AM,13,FALSE),"")</f>
        <v>0.13339999999999999</v>
      </c>
      <c r="N639" s="13">
        <f>IFERROR(VLOOKUP($A639,koronahun!$A:$AM,14,FALSE),"")</f>
        <v>0.52310000000000001</v>
      </c>
      <c r="O639">
        <f>IFERROR(VLOOKUP($A639,koronahun!$A:$AM,15,FALSE),"")</f>
        <v>11525</v>
      </c>
      <c r="P639">
        <f>IFERROR(VLOOKUP($A639,koronahun!$A:$AM,16,FALSE),"")</f>
        <v>4051</v>
      </c>
      <c r="Q639" s="13">
        <f>IFERROR(VLOOKUP($A639,koronahun!$A:$AM,17,FALSE),"")</f>
        <v>5.7000000000000002E-3</v>
      </c>
      <c r="R639">
        <f>IFERROR(VLOOKUP($A639,koronahun!$A:$AM,18,FALSE),"")</f>
        <v>4</v>
      </c>
      <c r="S639">
        <f>IFERROR(VLOOKUP($A639,koronahun!$A:$AM,19,FALSE),"")</f>
        <v>140</v>
      </c>
      <c r="T639">
        <f>IFERROR(VLOOKUP($A639,koronahun!$A:$AM,20,FALSE),"")</f>
        <v>404</v>
      </c>
      <c r="U639">
        <f>IFERROR(VLOOKUP($A639,koronahun!$A:$AM,21,FALSE),"")</f>
        <v>24</v>
      </c>
      <c r="V639" s="13">
        <f>IFERROR(VLOOKUP($A639,koronahun!$A:$AM,22,FALSE),"")</f>
        <v>0.34355345911949686</v>
      </c>
      <c r="W639">
        <f>IFERROR(VLOOKUP($A639,koronahun!$A:$AM,23,FALSE),"")</f>
        <v>-26</v>
      </c>
      <c r="X639">
        <f>IFERROR(VLOOKUP($A639,koronahun!$A:$AM,24,FALSE),"")</f>
        <v>-1</v>
      </c>
      <c r="Y639" s="14">
        <f>IFERROR(VLOOKUP($A639,koronahun!$A:$AM,25,FALSE),"")</f>
        <v>0.30816170861937453</v>
      </c>
      <c r="Z639" s="14">
        <f>IFERROR(VLOOKUP($A639,koronahun!$A:$AM,26,FALSE),"")</f>
        <v>5.9405940594059403E-2</v>
      </c>
      <c r="AA639" s="14">
        <f>IFERROR(VLOOKUP($A639,koronahun!$A:$AM,27,FALSE),"")</f>
        <v>0.67049808429118773</v>
      </c>
      <c r="AB639" s="14">
        <f>IFERROR(VLOOKUP($A639,koronahun!$A:$AM,28,FALSE),"")</f>
        <v>0.87896018021164479</v>
      </c>
      <c r="AC639" s="14">
        <f>IFERROR(VLOOKUP($A639,koronahun!$A:$AM,29,FALSE),"")</f>
        <v>25</v>
      </c>
      <c r="AD639" s="14">
        <f>IFERROR(VLOOKUP($A639,koronahun!$A:$AM,30,FALSE),"")</f>
        <v>5.1428571428571432</v>
      </c>
      <c r="AE639" s="14">
        <f>IFERROR(VLOOKUP($A639,koronahun!$A:$AM,31,FALSE),"")</f>
        <v>3785.7142857142858</v>
      </c>
      <c r="AF639" s="13">
        <f>IFERROR(VLOOKUP($A639,koronahun!$A:$AM,32,FALSE),"")</f>
        <v>7.4142857142857144E-3</v>
      </c>
      <c r="AG639">
        <f>IFERROR(VLOOKUP($A639,koronahun!$A:$AM,33,FALSE),"")</f>
        <v>0</v>
      </c>
      <c r="AH639">
        <f>IFERROR(VLOOKUP($A639,koronahun!$A:$AM,34,FALSE),"")</f>
        <v>0</v>
      </c>
      <c r="AI639">
        <f>IFERROR(VLOOKUP($A639,koronahun!$A:$AM,35,FALSE),"")</f>
        <v>0</v>
      </c>
      <c r="AJ639">
        <f>IFERROR(VLOOKUP($A639,koronahun!$A:$AM,36,FALSE),"")</f>
        <v>0</v>
      </c>
      <c r="AK639">
        <f>IFERROR(VLOOKUP($A639,koronahun!$A:$AM,37,FALSE),"")</f>
        <v>0</v>
      </c>
      <c r="AL639">
        <f>IFERROR(VLOOKUP($A639,koronahun!$A:$AM,38,FALSE),"")</f>
        <v>0</v>
      </c>
      <c r="AM639" s="14">
        <f>IFERROR(VLOOKUP($A639,koronahun!$A:$AM,39,FALSE),"")</f>
        <v>69.571428571428569</v>
      </c>
      <c r="AN639" s="11">
        <f ca="1">IFERROR(__xludf.DUMMYFUNCTION("""COMPUTED_VALUE"""),44531)</f>
        <v>44531</v>
      </c>
      <c r="AO639" s="12">
        <f ca="1">IFERROR(VLOOKUP(AN639,koronahun!A:B,2,FALSE),"")</f>
        <v>1114260</v>
      </c>
      <c r="AP639" s="11">
        <f t="shared" ca="1" si="4"/>
        <v>44531</v>
      </c>
      <c r="AQ639" s="11">
        <f ca="1">IFERROR(__xludf.DUMMYFUNCTION("""COMPUTED_VALUE"""),44602)</f>
        <v>44602</v>
      </c>
      <c r="AR639" s="11">
        <v>43980</v>
      </c>
      <c r="AS639" s="11">
        <f t="shared" si="5"/>
        <v>43980</v>
      </c>
      <c r="AT639" s="11">
        <f ca="1">IFERROR(__xludf.DUMMYFUNCTION("""COMPUTED_VALUE"""),43979)</f>
        <v>43979</v>
      </c>
    </row>
    <row r="640" spans="1:46" ht="13">
      <c r="A640" s="11">
        <v>43978</v>
      </c>
      <c r="B640">
        <f>IFERROR(VLOOKUP($A640,koronahun!$A:$AM,2,FALSE),"")</f>
        <v>3793</v>
      </c>
      <c r="C640">
        <f>IFERROR(VLOOKUP($A640,koronahun!$A:$AM,3,FALSE),"")</f>
        <v>22</v>
      </c>
      <c r="D640">
        <f>IFERROR(VLOOKUP($A640,koronahun!$A:$AM,4,FALSE),"")</f>
        <v>505</v>
      </c>
      <c r="E640">
        <f>IFERROR(VLOOKUP($A640,koronahun!$A:$AM,5,FALSE),"")</f>
        <v>1856</v>
      </c>
      <c r="F640">
        <f>IFERROR(VLOOKUP($A640,koronahun!$A:$AM,6,FALSE),"")</f>
        <v>169960</v>
      </c>
      <c r="G640" s="12">
        <f>IFERROR(VLOOKUP($A640,koronahun!$A:$AM,7,FALSE),"")</f>
        <v>17342.857142857141</v>
      </c>
      <c r="H640">
        <f>IFERROR(VLOOKUP($A640,koronahun!$A:$AM,8,FALSE),"")</f>
        <v>0</v>
      </c>
      <c r="I640" s="13">
        <f>IFERROR(VLOOKUP($A640,koronahun!$A:$AM,9,FALSE),"")</f>
        <v>5.7999999999999996E-3</v>
      </c>
      <c r="J640" s="13">
        <f>IFERROR(VLOOKUP($A640,koronahun!$A:$AM,10,FALSE),"")</f>
        <v>2.23E-2</v>
      </c>
      <c r="K640" s="13">
        <f>IFERROR(VLOOKUP($A640,koronahun!$A:$AM,11,FALSE),"")</f>
        <v>2.1999999999999999E-2</v>
      </c>
      <c r="L640">
        <f>IFERROR(VLOOKUP($A640,koronahun!$A:$AM,12,FALSE),"")</f>
        <v>1432</v>
      </c>
      <c r="M640" s="13">
        <f>IFERROR(VLOOKUP($A640,koronahun!$A:$AM,13,FALSE),"")</f>
        <v>0.1331</v>
      </c>
      <c r="N640" s="13">
        <f>IFERROR(VLOOKUP($A640,koronahun!$A:$AM,14,FALSE),"")</f>
        <v>0.48930000000000001</v>
      </c>
      <c r="O640">
        <f>IFERROR(VLOOKUP($A640,koronahun!$A:$AM,15,FALSE),"")</f>
        <v>11616</v>
      </c>
      <c r="P640">
        <f>IFERROR(VLOOKUP($A640,koronahun!$A:$AM,16,FALSE),"")</f>
        <v>3697</v>
      </c>
      <c r="Q640" s="13">
        <f>IFERROR(VLOOKUP($A640,koronahun!$A:$AM,17,FALSE),"")</f>
        <v>6.0000000000000001E-3</v>
      </c>
      <c r="R640">
        <f>IFERROR(VLOOKUP($A640,koronahun!$A:$AM,18,FALSE),"")</f>
        <v>6</v>
      </c>
      <c r="S640">
        <f>IFERROR(VLOOKUP($A640,koronahun!$A:$AM,19,FALSE),"")</f>
        <v>20</v>
      </c>
      <c r="T640">
        <f>IFERROR(VLOOKUP($A640,koronahun!$A:$AM,20,FALSE),"")</f>
        <v>430</v>
      </c>
      <c r="U640">
        <f>IFERROR(VLOOKUP($A640,koronahun!$A:$AM,21,FALSE),"")</f>
        <v>25</v>
      </c>
      <c r="V640" s="13">
        <f>IFERROR(VLOOKUP($A640,koronahun!$A:$AM,22,FALSE),"")</f>
        <v>0.37753756920643289</v>
      </c>
      <c r="W640">
        <f>IFERROR(VLOOKUP($A640,koronahun!$A:$AM,23,FALSE),"")</f>
        <v>-6</v>
      </c>
      <c r="X640">
        <f>IFERROR(VLOOKUP($A640,koronahun!$A:$AM,24,FALSE),"")</f>
        <v>-2</v>
      </c>
      <c r="Y640" s="14">
        <f>IFERROR(VLOOKUP($A640,koronahun!$A:$AM,25,FALSE),"")</f>
        <v>0.30027932960893855</v>
      </c>
      <c r="Z640" s="14">
        <f>IFERROR(VLOOKUP($A640,koronahun!$A:$AM,26,FALSE),"")</f>
        <v>5.8139534883720929E-2</v>
      </c>
      <c r="AA640" s="14">
        <f>IFERROR(VLOOKUP($A640,koronahun!$A:$AM,27,FALSE),"")</f>
        <v>0.75875486381322954</v>
      </c>
      <c r="AB640" s="14">
        <f>IFERROR(VLOOKUP($A640,koronahun!$A:$AM,28,FALSE),"")</f>
        <v>0.94528654084085406</v>
      </c>
      <c r="AC640" s="14">
        <f>IFERROR(VLOOKUP($A640,koronahun!$A:$AM,29,FALSE),"")</f>
        <v>27.857142857142858</v>
      </c>
      <c r="AD640" s="14">
        <f>IFERROR(VLOOKUP($A640,koronahun!$A:$AM,30,FALSE),"")</f>
        <v>5</v>
      </c>
      <c r="AE640" s="14">
        <f>IFERROR(VLOOKUP($A640,koronahun!$A:$AM,31,FALSE),"")</f>
        <v>3890.1428571428573</v>
      </c>
      <c r="AF640" s="13">
        <f>IFERROR(VLOOKUP($A640,koronahun!$A:$AM,32,FALSE),"")</f>
        <v>7.8857142857142841E-3</v>
      </c>
      <c r="AG640">
        <f>IFERROR(VLOOKUP($A640,koronahun!$A:$AM,33,FALSE),"")</f>
        <v>0</v>
      </c>
      <c r="AH640">
        <f>IFERROR(VLOOKUP($A640,koronahun!$A:$AM,34,FALSE),"")</f>
        <v>0</v>
      </c>
      <c r="AI640">
        <f>IFERROR(VLOOKUP($A640,koronahun!$A:$AM,35,FALSE),"")</f>
        <v>0</v>
      </c>
      <c r="AJ640">
        <f>IFERROR(VLOOKUP($A640,koronahun!$A:$AM,36,FALSE),"")</f>
        <v>0</v>
      </c>
      <c r="AK640">
        <f>IFERROR(VLOOKUP($A640,koronahun!$A:$AM,37,FALSE),"")</f>
        <v>0</v>
      </c>
      <c r="AL640">
        <f>IFERROR(VLOOKUP($A640,koronahun!$A:$AM,38,FALSE),"")</f>
        <v>0</v>
      </c>
      <c r="AM640" s="14">
        <f>IFERROR(VLOOKUP($A640,koronahun!$A:$AM,39,FALSE),"")</f>
        <v>57.428571428571431</v>
      </c>
      <c r="AN640" s="11">
        <f ca="1">IFERROR(__xludf.DUMMYFUNCTION("""COMPUTED_VALUE"""),44532)</f>
        <v>44532</v>
      </c>
      <c r="AO640" s="12">
        <f ca="1">IFERROR(VLOOKUP(AN640,koronahun!A:B,2,FALSE),"")</f>
        <v>1124726</v>
      </c>
      <c r="AP640" s="11">
        <f t="shared" ca="1" si="4"/>
        <v>44532</v>
      </c>
      <c r="AQ640" s="11">
        <f ca="1">IFERROR(__xludf.DUMMYFUNCTION("""COMPUTED_VALUE"""),44603)</f>
        <v>44603</v>
      </c>
      <c r="AR640" s="11">
        <v>43979</v>
      </c>
      <c r="AS640" s="11">
        <f t="shared" si="5"/>
        <v>43979</v>
      </c>
      <c r="AT640" s="11">
        <f ca="1">IFERROR(__xludf.DUMMYFUNCTION("""COMPUTED_VALUE"""),43978)</f>
        <v>43978</v>
      </c>
    </row>
    <row r="641" spans="1:46" ht="13">
      <c r="A641" s="11">
        <v>43977</v>
      </c>
      <c r="B641">
        <f>IFERROR(VLOOKUP($A641,koronahun!$A:$AM,2,FALSE),"")</f>
        <v>3771</v>
      </c>
      <c r="C641">
        <f>IFERROR(VLOOKUP($A641,koronahun!$A:$AM,3,FALSE),"")</f>
        <v>15</v>
      </c>
      <c r="D641">
        <f>IFERROR(VLOOKUP($A641,koronahun!$A:$AM,4,FALSE),"")</f>
        <v>499</v>
      </c>
      <c r="E641">
        <f>IFERROR(VLOOKUP($A641,koronahun!$A:$AM,5,FALSE),"")</f>
        <v>1836</v>
      </c>
      <c r="F641">
        <f>IFERROR(VLOOKUP($A641,koronahun!$A:$AM,6,FALSE),"")</f>
        <v>166263</v>
      </c>
      <c r="G641" s="12">
        <f>IFERROR(VLOOKUP($A641,koronahun!$A:$AM,7,FALSE),"")</f>
        <v>16965.612244897959</v>
      </c>
      <c r="H641">
        <f>IFERROR(VLOOKUP($A641,koronahun!$A:$AM,8,FALSE),"")</f>
        <v>0</v>
      </c>
      <c r="I641" s="13">
        <f>IFERROR(VLOOKUP($A641,koronahun!$A:$AM,9,FALSE),"")</f>
        <v>4.0000000000000001E-3</v>
      </c>
      <c r="J641" s="13">
        <f>IFERROR(VLOOKUP($A641,koronahun!$A:$AM,10,FALSE),"")</f>
        <v>2.2700000000000001E-2</v>
      </c>
      <c r="K641" s="13">
        <f>IFERROR(VLOOKUP($A641,koronahun!$A:$AM,11,FALSE),"")</f>
        <v>0.01</v>
      </c>
      <c r="L641">
        <f>IFERROR(VLOOKUP($A641,koronahun!$A:$AM,12,FALSE),"")</f>
        <v>1436</v>
      </c>
      <c r="M641" s="13">
        <f>IFERROR(VLOOKUP($A641,koronahun!$A:$AM,13,FALSE),"")</f>
        <v>0.1323</v>
      </c>
      <c r="N641" s="13">
        <f>IFERROR(VLOOKUP($A641,koronahun!$A:$AM,14,FALSE),"")</f>
        <v>0.4869</v>
      </c>
      <c r="O641">
        <f>IFERROR(VLOOKUP($A641,koronahun!$A:$AM,15,FALSE),"")</f>
        <v>11611</v>
      </c>
      <c r="P641">
        <f>IFERROR(VLOOKUP($A641,koronahun!$A:$AM,16,FALSE),"")</f>
        <v>1644</v>
      </c>
      <c r="Q641" s="13">
        <f>IFERROR(VLOOKUP($A641,koronahun!$A:$AM,17,FALSE),"")</f>
        <v>9.1000000000000004E-3</v>
      </c>
      <c r="R641">
        <f>IFERROR(VLOOKUP($A641,koronahun!$A:$AM,18,FALSE),"")</f>
        <v>8</v>
      </c>
      <c r="S641">
        <f>IFERROR(VLOOKUP($A641,koronahun!$A:$AM,19,FALSE),"")</f>
        <v>125</v>
      </c>
      <c r="T641">
        <f>IFERROR(VLOOKUP($A641,koronahun!$A:$AM,20,FALSE),"")</f>
        <v>436</v>
      </c>
      <c r="U641">
        <f>IFERROR(VLOOKUP($A641,koronahun!$A:$AM,21,FALSE),"")</f>
        <v>27</v>
      </c>
      <c r="V641" s="13">
        <f>IFERROR(VLOOKUP($A641,koronahun!$A:$AM,22,FALSE),"")</f>
        <v>0.38080084858127816</v>
      </c>
      <c r="W641">
        <f>IFERROR(VLOOKUP($A641,koronahun!$A:$AM,23,FALSE),"")</f>
        <v>436</v>
      </c>
      <c r="X641">
        <f>IFERROR(VLOOKUP($A641,koronahun!$A:$AM,24,FALSE),"")</f>
        <v>27</v>
      </c>
      <c r="Y641" s="14">
        <f>IFERROR(VLOOKUP($A641,koronahun!$A:$AM,25,FALSE),"")</f>
        <v>0.30362116991643456</v>
      </c>
      <c r="Z641" s="14">
        <f>IFERROR(VLOOKUP($A641,koronahun!$A:$AM,26,FALSE),"")</f>
        <v>6.1926605504587159E-2</v>
      </c>
      <c r="AA641" s="14">
        <f>IFERROR(VLOOKUP($A641,koronahun!$A:$AM,27,FALSE),"")</f>
        <v>0.8847736625514403</v>
      </c>
      <c r="AB641" s="14">
        <f>IFERROR(VLOOKUP($A641,koronahun!$A:$AM,28,FALSE),"")</f>
        <v>0.99652031806008201</v>
      </c>
      <c r="AC641" s="14">
        <f>IFERROR(VLOOKUP($A641,koronahun!$A:$AM,29,FALSE),"")</f>
        <v>30.714285714285715</v>
      </c>
      <c r="AD641" s="14">
        <f>IFERROR(VLOOKUP($A641,koronahun!$A:$AM,30,FALSE),"")</f>
        <v>4.5714285714285712</v>
      </c>
      <c r="AE641" s="14">
        <f>IFERROR(VLOOKUP($A641,koronahun!$A:$AM,31,FALSE),"")</f>
        <v>3938</v>
      </c>
      <c r="AF641" s="13">
        <f>IFERROR(VLOOKUP($A641,koronahun!$A:$AM,32,FALSE),"")</f>
        <v>8.5142857142857138E-3</v>
      </c>
      <c r="AG641">
        <f>IFERROR(VLOOKUP($A641,koronahun!$A:$AM,33,FALSE),"")</f>
        <v>0</v>
      </c>
      <c r="AH641">
        <f>IFERROR(VLOOKUP($A641,koronahun!$A:$AM,34,FALSE),"")</f>
        <v>0</v>
      </c>
      <c r="AI641">
        <f>IFERROR(VLOOKUP($A641,koronahun!$A:$AM,35,FALSE),"")</f>
        <v>0</v>
      </c>
      <c r="AJ641">
        <f>IFERROR(VLOOKUP($A641,koronahun!$A:$AM,36,FALSE),"")</f>
        <v>0</v>
      </c>
      <c r="AK641">
        <f>IFERROR(VLOOKUP($A641,koronahun!$A:$AM,37,FALSE),"")</f>
        <v>0</v>
      </c>
      <c r="AL641">
        <f>IFERROR(VLOOKUP($A641,koronahun!$A:$AM,38,FALSE),"")</f>
        <v>0</v>
      </c>
      <c r="AM641" s="14">
        <f>IFERROR(VLOOKUP($A641,koronahun!$A:$AM,39,FALSE),"")</f>
        <v>60.571428571428569</v>
      </c>
      <c r="AN641" s="11">
        <f ca="1">IFERROR(__xludf.DUMMYFUNCTION("""COMPUTED_VALUE"""),44533)</f>
        <v>44533</v>
      </c>
      <c r="AO641" s="12">
        <f ca="1">IFERROR(VLOOKUP(AN641,koronahun!A:B,2,FALSE),"")</f>
        <v>1134869</v>
      </c>
      <c r="AP641" s="11">
        <f t="shared" ca="1" si="4"/>
        <v>44533</v>
      </c>
      <c r="AQ641" s="11">
        <f ca="1">IFERROR(__xludf.DUMMYFUNCTION("""COMPUTED_VALUE"""),44606)</f>
        <v>44606</v>
      </c>
      <c r="AR641" s="11">
        <v>43978</v>
      </c>
      <c r="AS641" s="11">
        <f t="shared" si="5"/>
        <v>43978</v>
      </c>
      <c r="AT641" s="11">
        <f ca="1">IFERROR(__xludf.DUMMYFUNCTION("""COMPUTED_VALUE"""),43977)</f>
        <v>43977</v>
      </c>
    </row>
    <row r="642" spans="1:46" ht="13">
      <c r="A642" s="11">
        <v>43976</v>
      </c>
      <c r="B642">
        <f>IFERROR(VLOOKUP($A642,koronahun!$A:$AM,2,FALSE),"")</f>
        <v>3756</v>
      </c>
      <c r="C642">
        <f>IFERROR(VLOOKUP($A642,koronahun!$A:$AM,3,FALSE),"")</f>
        <v>15</v>
      </c>
      <c r="D642">
        <f>IFERROR(VLOOKUP($A642,koronahun!$A:$AM,4,FALSE),"")</f>
        <v>491</v>
      </c>
      <c r="E642">
        <f>IFERROR(VLOOKUP($A642,koronahun!$A:$AM,5,FALSE),"")</f>
        <v>1711</v>
      </c>
      <c r="F642">
        <f>IFERROR(VLOOKUP($A642,koronahun!$A:$AM,6,FALSE),"")</f>
        <v>164619</v>
      </c>
      <c r="G642" s="12">
        <f>IFERROR(VLOOKUP($A642,koronahun!$A:$AM,7,FALSE),"")</f>
        <v>16797.857142857141</v>
      </c>
      <c r="H642">
        <f>IFERROR(VLOOKUP($A642,koronahun!$A:$AM,8,FALSE),"")</f>
        <v>0</v>
      </c>
      <c r="I642" s="13">
        <f>IFERROR(VLOOKUP($A642,koronahun!$A:$AM,9,FALSE),"")</f>
        <v>4.0000000000000001E-3</v>
      </c>
      <c r="J642" s="13">
        <f>IFERROR(VLOOKUP($A642,koronahun!$A:$AM,10,FALSE),"")</f>
        <v>2.2800000000000001E-2</v>
      </c>
      <c r="K642" s="13">
        <f>IFERROR(VLOOKUP($A642,koronahun!$A:$AM,11,FALSE),"")</f>
        <v>0.01</v>
      </c>
      <c r="L642">
        <f>IFERROR(VLOOKUP($A642,koronahun!$A:$AM,12,FALSE),"")</f>
        <v>1554</v>
      </c>
      <c r="M642" s="13">
        <f>IFERROR(VLOOKUP($A642,koronahun!$A:$AM,13,FALSE),"")</f>
        <v>0.13070000000000001</v>
      </c>
      <c r="N642" s="13">
        <f>IFERROR(VLOOKUP($A642,koronahun!$A:$AM,14,FALSE),"")</f>
        <v>0.45550000000000002</v>
      </c>
      <c r="O642">
        <f>IFERROR(VLOOKUP($A642,koronahun!$A:$AM,15,FALSE),"")</f>
        <v>11810</v>
      </c>
      <c r="P642">
        <f>IFERROR(VLOOKUP($A642,koronahun!$A:$AM,16,FALSE),"")</f>
        <v>1694</v>
      </c>
      <c r="Q642" s="13">
        <f>IFERROR(VLOOKUP($A642,koronahun!$A:$AM,17,FALSE),"")</f>
        <v>8.8999999999999999E-3</v>
      </c>
      <c r="R642">
        <f>IFERROR(VLOOKUP($A642,koronahun!$A:$AM,18,FALSE),"")</f>
        <v>5</v>
      </c>
      <c r="S642">
        <f>IFERROR(VLOOKUP($A642,koronahun!$A:$AM,19,FALSE),"")</f>
        <v>21</v>
      </c>
      <c r="T642">
        <f>IFERROR(VLOOKUP($A642,koronahun!$A:$AM,20,FALSE),"")</f>
        <v>0</v>
      </c>
      <c r="U642">
        <f>IFERROR(VLOOKUP($A642,koronahun!$A:$AM,21,FALSE),"")</f>
        <v>0</v>
      </c>
      <c r="V642" s="13">
        <f>IFERROR(VLOOKUP($A642,koronahun!$A:$AM,22,FALSE),"")</f>
        <v>0.41373801916932906</v>
      </c>
      <c r="W642">
        <f>IFERROR(VLOOKUP($A642,koronahun!$A:$AM,23,FALSE),"")</f>
        <v>-442</v>
      </c>
      <c r="X642">
        <f>IFERROR(VLOOKUP($A642,koronahun!$A:$AM,24,FALSE),"")</f>
        <v>-28</v>
      </c>
      <c r="Y642" s="14">
        <f>IFERROR(VLOOKUP($A642,koronahun!$A:$AM,25,FALSE),"")</f>
        <v>0</v>
      </c>
      <c r="Z642" s="14">
        <f>IFERROR(VLOOKUP($A642,koronahun!$A:$AM,26,FALSE),"")</f>
        <v>0</v>
      </c>
      <c r="AA642" s="14">
        <f>IFERROR(VLOOKUP($A642,koronahun!$A:$AM,27,FALSE),"")</f>
        <v>0.88047808764940239</v>
      </c>
      <c r="AB642" s="14">
        <f>IFERROR(VLOOKUP($A642,koronahun!$A:$AM,28,FALSE),"")</f>
        <v>1.0101010390780791</v>
      </c>
      <c r="AC642" s="14">
        <f>IFERROR(VLOOKUP($A642,koronahun!$A:$AM,29,FALSE),"")</f>
        <v>31.571428571428573</v>
      </c>
      <c r="AD642" s="14">
        <f>IFERROR(VLOOKUP($A642,koronahun!$A:$AM,30,FALSE),"")</f>
        <v>4.1428571428571432</v>
      </c>
      <c r="AE642" s="14">
        <f>IFERROR(VLOOKUP($A642,koronahun!$A:$AM,31,FALSE),"")</f>
        <v>3910.8571428571427</v>
      </c>
      <c r="AF642" s="13">
        <f>IFERROR(VLOOKUP($A642,koronahun!$A:$AM,32,FALSE),"")</f>
        <v>9.2714285714285711E-3</v>
      </c>
      <c r="AG642">
        <f>IFERROR(VLOOKUP($A642,koronahun!$A:$AM,33,FALSE),"")</f>
        <v>0</v>
      </c>
      <c r="AH642">
        <f>IFERROR(VLOOKUP($A642,koronahun!$A:$AM,34,FALSE),"")</f>
        <v>0</v>
      </c>
      <c r="AI642">
        <f>IFERROR(VLOOKUP($A642,koronahun!$A:$AM,35,FALSE),"")</f>
        <v>0</v>
      </c>
      <c r="AJ642">
        <f>IFERROR(VLOOKUP($A642,koronahun!$A:$AM,36,FALSE),"")</f>
        <v>0</v>
      </c>
      <c r="AK642">
        <f>IFERROR(VLOOKUP($A642,koronahun!$A:$AM,37,FALSE),"")</f>
        <v>0</v>
      </c>
      <c r="AL642">
        <f>IFERROR(VLOOKUP($A642,koronahun!$A:$AM,38,FALSE),"")</f>
        <v>0</v>
      </c>
      <c r="AM642" s="14">
        <f>IFERROR(VLOOKUP($A642,koronahun!$A:$AM,39,FALSE),"")</f>
        <v>44.428571428571431</v>
      </c>
      <c r="AN642" s="11">
        <f ca="1">IFERROR(__xludf.DUMMYFUNCTION("""COMPUTED_VALUE"""),44534)</f>
        <v>44534</v>
      </c>
      <c r="AO642" s="12">
        <f ca="1">IFERROR(VLOOKUP(AN642,koronahun!A:B,2,FALSE),"")</f>
        <v>0</v>
      </c>
      <c r="AP642" s="11">
        <f t="shared" ca="1" si="4"/>
        <v>44534</v>
      </c>
      <c r="AQ642" s="11">
        <f ca="1">IFERROR(__xludf.DUMMYFUNCTION("""COMPUTED_VALUE"""),44607)</f>
        <v>44607</v>
      </c>
      <c r="AR642" s="11">
        <v>43977</v>
      </c>
      <c r="AS642" s="11">
        <f t="shared" si="5"/>
        <v>43977</v>
      </c>
      <c r="AT642" s="11">
        <f ca="1">IFERROR(__xludf.DUMMYFUNCTION("""COMPUTED_VALUE"""),43976)</f>
        <v>43976</v>
      </c>
    </row>
    <row r="643" spans="1:46" ht="13">
      <c r="A643" s="11">
        <v>43975</v>
      </c>
      <c r="B643">
        <f>IFERROR(VLOOKUP($A643,koronahun!$A:$AM,2,FALSE),"")</f>
        <v>3741</v>
      </c>
      <c r="C643">
        <f>IFERROR(VLOOKUP($A643,koronahun!$A:$AM,3,FALSE),"")</f>
        <v>28</v>
      </c>
      <c r="D643">
        <f>IFERROR(VLOOKUP($A643,koronahun!$A:$AM,4,FALSE),"")</f>
        <v>486</v>
      </c>
      <c r="E643">
        <f>IFERROR(VLOOKUP($A643,koronahun!$A:$AM,5,FALSE),"")</f>
        <v>1690</v>
      </c>
      <c r="F643">
        <f>IFERROR(VLOOKUP($A643,koronahun!$A:$AM,6,FALSE),"")</f>
        <v>162925</v>
      </c>
      <c r="G643" s="12">
        <f>IFERROR(VLOOKUP($A643,koronahun!$A:$AM,7,FALSE),"")</f>
        <v>16625</v>
      </c>
      <c r="H643">
        <f>IFERROR(VLOOKUP($A643,koronahun!$A:$AM,8,FALSE),"")</f>
        <v>0</v>
      </c>
      <c r="I643" s="13">
        <f>IFERROR(VLOOKUP($A643,koronahun!$A:$AM,9,FALSE),"")</f>
        <v>7.4999999999999997E-3</v>
      </c>
      <c r="J643" s="13">
        <f>IFERROR(VLOOKUP($A643,koronahun!$A:$AM,10,FALSE),"")</f>
        <v>2.3E-2</v>
      </c>
      <c r="K643" s="13">
        <f>IFERROR(VLOOKUP($A643,koronahun!$A:$AM,11,FALSE),"")</f>
        <v>2.3E-2</v>
      </c>
      <c r="L643">
        <f>IFERROR(VLOOKUP($A643,koronahun!$A:$AM,12,FALSE),"")</f>
        <v>1565</v>
      </c>
      <c r="M643" s="13">
        <f>IFERROR(VLOOKUP($A643,koronahun!$A:$AM,13,FALSE),"")</f>
        <v>0.12989999999999999</v>
      </c>
      <c r="N643" s="13">
        <f>IFERROR(VLOOKUP($A643,koronahun!$A:$AM,14,FALSE),"")</f>
        <v>0.45179999999999998</v>
      </c>
      <c r="O643">
        <f>IFERROR(VLOOKUP($A643,koronahun!$A:$AM,15,FALSE),"")</f>
        <v>11934</v>
      </c>
      <c r="P643">
        <f>IFERROR(VLOOKUP($A643,koronahun!$A:$AM,16,FALSE),"")</f>
        <v>3665</v>
      </c>
      <c r="Q643" s="13">
        <f>IFERROR(VLOOKUP($A643,koronahun!$A:$AM,17,FALSE),"")</f>
        <v>7.6E-3</v>
      </c>
      <c r="R643">
        <f>IFERROR(VLOOKUP($A643,koronahun!$A:$AM,18,FALSE),"")</f>
        <v>4</v>
      </c>
      <c r="S643">
        <f>IFERROR(VLOOKUP($A643,koronahun!$A:$AM,19,FALSE),"")</f>
        <v>35</v>
      </c>
      <c r="T643">
        <f>IFERROR(VLOOKUP($A643,koronahun!$A:$AM,20,FALSE),"")</f>
        <v>442</v>
      </c>
      <c r="U643">
        <f>IFERROR(VLOOKUP($A643,koronahun!$A:$AM,21,FALSE),"")</f>
        <v>28</v>
      </c>
      <c r="V643" s="13">
        <f>IFERROR(VLOOKUP($A643,koronahun!$A:$AM,22,FALSE),"")</f>
        <v>0.41833734295642877</v>
      </c>
      <c r="W643">
        <f>IFERROR(VLOOKUP($A643,koronahun!$A:$AM,23,FALSE),"")</f>
        <v>-20</v>
      </c>
      <c r="X643">
        <f>IFERROR(VLOOKUP($A643,koronahun!$A:$AM,24,FALSE),"")</f>
        <v>7</v>
      </c>
      <c r="Y643" s="14">
        <f>IFERROR(VLOOKUP($A643,koronahun!$A:$AM,25,FALSE),"")</f>
        <v>0.28242811501597442</v>
      </c>
      <c r="Z643" s="14">
        <f>IFERROR(VLOOKUP($A643,koronahun!$A:$AM,26,FALSE),"")</f>
        <v>6.3348416289592757E-2</v>
      </c>
      <c r="AA643" s="14">
        <f>IFERROR(VLOOKUP($A643,koronahun!$A:$AM,27,FALSE),"")</f>
        <v>0.94308943089430897</v>
      </c>
      <c r="AB643" s="14">
        <f>IFERROR(VLOOKUP($A643,koronahun!$A:$AM,28,FALSE),"")</f>
        <v>1.0283230449158869</v>
      </c>
      <c r="AC643" s="14">
        <f>IFERROR(VLOOKUP($A643,koronahun!$A:$AM,29,FALSE),"")</f>
        <v>33.142857142857146</v>
      </c>
      <c r="AD643" s="14">
        <f>IFERROR(VLOOKUP($A643,koronahun!$A:$AM,30,FALSE),"")</f>
        <v>5</v>
      </c>
      <c r="AE643" s="14">
        <f>IFERROR(VLOOKUP($A643,koronahun!$A:$AM,31,FALSE),"")</f>
        <v>3969.7142857142858</v>
      </c>
      <c r="AF643" s="13">
        <f>IFERROR(VLOOKUP($A643,koronahun!$A:$AM,32,FALSE),"")</f>
        <v>9.7571428571428566E-3</v>
      </c>
      <c r="AG643">
        <f>IFERROR(VLOOKUP($A643,koronahun!$A:$AM,33,FALSE),"")</f>
        <v>0</v>
      </c>
      <c r="AH643">
        <f>IFERROR(VLOOKUP($A643,koronahun!$A:$AM,34,FALSE),"")</f>
        <v>0</v>
      </c>
      <c r="AI643">
        <f>IFERROR(VLOOKUP($A643,koronahun!$A:$AM,35,FALSE),"")</f>
        <v>0</v>
      </c>
      <c r="AJ643">
        <f>IFERROR(VLOOKUP($A643,koronahun!$A:$AM,36,FALSE),"")</f>
        <v>0</v>
      </c>
      <c r="AK643">
        <f>IFERROR(VLOOKUP($A643,koronahun!$A:$AM,37,FALSE),"")</f>
        <v>0</v>
      </c>
      <c r="AL643">
        <f>IFERROR(VLOOKUP($A643,koronahun!$A:$AM,38,FALSE),"")</f>
        <v>0</v>
      </c>
      <c r="AM643" s="14">
        <f>IFERROR(VLOOKUP($A643,koronahun!$A:$AM,39,FALSE),"")</f>
        <v>42</v>
      </c>
      <c r="AN643" s="11">
        <f ca="1">IFERROR(__xludf.DUMMYFUNCTION("""COMPUTED_VALUE"""),44535)</f>
        <v>44535</v>
      </c>
      <c r="AO643" s="12">
        <f ca="1">IFERROR(VLOOKUP(AN643,koronahun!A:B,2,FALSE),"")</f>
        <v>0</v>
      </c>
      <c r="AP643" s="11">
        <f t="shared" ca="1" si="4"/>
        <v>44535</v>
      </c>
      <c r="AQ643" s="11">
        <f ca="1">IFERROR(__xludf.DUMMYFUNCTION("""COMPUTED_VALUE"""),44608)</f>
        <v>44608</v>
      </c>
      <c r="AR643" s="11">
        <v>43976</v>
      </c>
      <c r="AS643" s="11">
        <f t="shared" si="5"/>
        <v>43976</v>
      </c>
      <c r="AT643" s="11">
        <f ca="1">IFERROR(__xludf.DUMMYFUNCTION("""COMPUTED_VALUE"""),43975)</f>
        <v>43975</v>
      </c>
    </row>
    <row r="644" spans="1:46" ht="13">
      <c r="A644" s="11">
        <v>43974</v>
      </c>
      <c r="B644">
        <f>IFERROR(VLOOKUP($A644,koronahun!$A:$AM,2,FALSE),"")</f>
        <v>3713</v>
      </c>
      <c r="C644">
        <f>IFERROR(VLOOKUP($A644,koronahun!$A:$AM,3,FALSE),"")</f>
        <v>35</v>
      </c>
      <c r="D644">
        <f>IFERROR(VLOOKUP($A644,koronahun!$A:$AM,4,FALSE),"")</f>
        <v>482</v>
      </c>
      <c r="E644">
        <f>IFERROR(VLOOKUP($A644,koronahun!$A:$AM,5,FALSE),"")</f>
        <v>1655</v>
      </c>
      <c r="F644">
        <f>IFERROR(VLOOKUP($A644,koronahun!$A:$AM,6,FALSE),"")</f>
        <v>159260</v>
      </c>
      <c r="G644" s="12">
        <f>IFERROR(VLOOKUP($A644,koronahun!$A:$AM,7,FALSE),"")</f>
        <v>16251.020408163264</v>
      </c>
      <c r="H644">
        <f>IFERROR(VLOOKUP($A644,koronahun!$A:$AM,8,FALSE),"")</f>
        <v>0</v>
      </c>
      <c r="I644" s="13">
        <f>IFERROR(VLOOKUP($A644,koronahun!$A:$AM,9,FALSE),"")</f>
        <v>9.4999999999999998E-3</v>
      </c>
      <c r="J644" s="13">
        <f>IFERROR(VLOOKUP($A644,koronahun!$A:$AM,10,FALSE),"")</f>
        <v>2.3300000000000001E-2</v>
      </c>
      <c r="K644" s="13">
        <f>IFERROR(VLOOKUP($A644,koronahun!$A:$AM,11,FALSE),"")</f>
        <v>2.1999999999999999E-2</v>
      </c>
      <c r="L644">
        <f>IFERROR(VLOOKUP($A644,koronahun!$A:$AM,12,FALSE),"")</f>
        <v>1576</v>
      </c>
      <c r="M644" s="13">
        <f>IFERROR(VLOOKUP($A644,koronahun!$A:$AM,13,FALSE),"")</f>
        <v>0.1298</v>
      </c>
      <c r="N644" s="13">
        <f>IFERROR(VLOOKUP($A644,koronahun!$A:$AM,14,FALSE),"")</f>
        <v>0.44569999999999999</v>
      </c>
      <c r="O644">
        <f>IFERROR(VLOOKUP($A644,koronahun!$A:$AM,15,FALSE),"")</f>
        <v>11704</v>
      </c>
      <c r="P644">
        <f>IFERROR(VLOOKUP($A644,koronahun!$A:$AM,16,FALSE),"")</f>
        <v>3459</v>
      </c>
      <c r="Q644" s="13">
        <f>IFERROR(VLOOKUP($A644,koronahun!$A:$AM,17,FALSE),"")</f>
        <v>1.01E-2</v>
      </c>
      <c r="R644">
        <f>IFERROR(VLOOKUP($A644,koronahun!$A:$AM,18,FALSE),"")</f>
        <v>6</v>
      </c>
      <c r="S644">
        <f>IFERROR(VLOOKUP($A644,koronahun!$A:$AM,19,FALSE),"")</f>
        <v>68</v>
      </c>
      <c r="T644">
        <f>IFERROR(VLOOKUP($A644,koronahun!$A:$AM,20,FALSE),"")</f>
        <v>462</v>
      </c>
      <c r="U644">
        <f>IFERROR(VLOOKUP($A644,koronahun!$A:$AM,21,FALSE),"")</f>
        <v>21</v>
      </c>
      <c r="V644" s="13">
        <f>IFERROR(VLOOKUP($A644,koronahun!$A:$AM,22,FALSE),"")</f>
        <v>0.42445461890654457</v>
      </c>
      <c r="W644">
        <f>IFERROR(VLOOKUP($A644,koronahun!$A:$AM,23,FALSE),"")</f>
        <v>-21</v>
      </c>
      <c r="X644">
        <f>IFERROR(VLOOKUP($A644,koronahun!$A:$AM,24,FALSE),"")</f>
        <v>-2</v>
      </c>
      <c r="Y644" s="14">
        <f>IFERROR(VLOOKUP($A644,koronahun!$A:$AM,25,FALSE),"")</f>
        <v>0.29314720812182743</v>
      </c>
      <c r="Z644" s="14">
        <f>IFERROR(VLOOKUP($A644,koronahun!$A:$AM,26,FALSE),"")</f>
        <v>4.5454545454545456E-2</v>
      </c>
      <c r="AA644" s="14">
        <f>IFERROR(VLOOKUP($A644,koronahun!$A:$AM,27,FALSE),"")</f>
        <v>0.92307692307692313</v>
      </c>
      <c r="AB644" s="14">
        <f>IFERROR(VLOOKUP($A644,koronahun!$A:$AM,28,FALSE),"")</f>
        <v>1.0262105386156217</v>
      </c>
      <c r="AC644" s="14">
        <f>IFERROR(VLOOKUP($A644,koronahun!$A:$AM,29,FALSE),"")</f>
        <v>34.285714285714285</v>
      </c>
      <c r="AD644" s="14">
        <f>IFERROR(VLOOKUP($A644,koronahun!$A:$AM,30,FALSE),"")</f>
        <v>4.8571428571428568</v>
      </c>
      <c r="AE644" s="14">
        <f>IFERROR(VLOOKUP($A644,koronahun!$A:$AM,31,FALSE),"")</f>
        <v>3975.8571428571427</v>
      </c>
      <c r="AF644" s="13">
        <f>IFERROR(VLOOKUP($A644,koronahun!$A:$AM,32,FALSE),"")</f>
        <v>1.0057142857142858E-2</v>
      </c>
      <c r="AG644">
        <f>IFERROR(VLOOKUP($A644,koronahun!$A:$AM,33,FALSE),"")</f>
        <v>0</v>
      </c>
      <c r="AH644">
        <f>IFERROR(VLOOKUP($A644,koronahun!$A:$AM,34,FALSE),"")</f>
        <v>0</v>
      </c>
      <c r="AI644">
        <f>IFERROR(VLOOKUP($A644,koronahun!$A:$AM,35,FALSE),"")</f>
        <v>0</v>
      </c>
      <c r="AJ644">
        <f>IFERROR(VLOOKUP($A644,koronahun!$A:$AM,36,FALSE),"")</f>
        <v>0</v>
      </c>
      <c r="AK644">
        <f>IFERROR(VLOOKUP($A644,koronahun!$A:$AM,37,FALSE),"")</f>
        <v>0</v>
      </c>
      <c r="AL644">
        <f>IFERROR(VLOOKUP($A644,koronahun!$A:$AM,38,FALSE),"")</f>
        <v>0</v>
      </c>
      <c r="AM644" s="14">
        <f>IFERROR(VLOOKUP($A644,koronahun!$A:$AM,39,FALSE),"")</f>
        <v>40.571428571428569</v>
      </c>
      <c r="AN644" s="11">
        <f ca="1">IFERROR(__xludf.DUMMYFUNCTION("""COMPUTED_VALUE"""),44536)</f>
        <v>44536</v>
      </c>
      <c r="AO644" s="12">
        <f ca="1">IFERROR(VLOOKUP(AN644,koronahun!A:B,2,FALSE),"")</f>
        <v>1157568</v>
      </c>
      <c r="AP644" s="11">
        <f t="shared" ca="1" si="4"/>
        <v>44536</v>
      </c>
      <c r="AQ644" s="11">
        <f ca="1">IFERROR(__xludf.DUMMYFUNCTION("""COMPUTED_VALUE"""),44609)</f>
        <v>44609</v>
      </c>
      <c r="AR644" s="11">
        <v>43975</v>
      </c>
      <c r="AS644" s="11">
        <f t="shared" si="5"/>
        <v>43975</v>
      </c>
      <c r="AT644" s="11">
        <f ca="1">IFERROR(__xludf.DUMMYFUNCTION("""COMPUTED_VALUE"""),43974)</f>
        <v>43974</v>
      </c>
    </row>
    <row r="645" spans="1:46" ht="13">
      <c r="A645" s="11">
        <v>43973</v>
      </c>
      <c r="B645">
        <f>IFERROR(VLOOKUP($A645,koronahun!$A:$AM,2,FALSE),"")</f>
        <v>3678</v>
      </c>
      <c r="C645">
        <f>IFERROR(VLOOKUP($A645,koronahun!$A:$AM,3,FALSE),"")</f>
        <v>37</v>
      </c>
      <c r="D645">
        <f>IFERROR(VLOOKUP($A645,koronahun!$A:$AM,4,FALSE),"")</f>
        <v>476</v>
      </c>
      <c r="E645">
        <f>IFERROR(VLOOKUP($A645,koronahun!$A:$AM,5,FALSE),"")</f>
        <v>1587</v>
      </c>
      <c r="F645">
        <f>IFERROR(VLOOKUP($A645,koronahun!$A:$AM,6,FALSE),"")</f>
        <v>155801</v>
      </c>
      <c r="G645" s="12">
        <f>IFERROR(VLOOKUP($A645,koronahun!$A:$AM,7,FALSE),"")</f>
        <v>15898.061224489795</v>
      </c>
      <c r="H645">
        <f>IFERROR(VLOOKUP($A645,koronahun!$A:$AM,8,FALSE),"")</f>
        <v>0</v>
      </c>
      <c r="I645" s="13">
        <f>IFERROR(VLOOKUP($A645,koronahun!$A:$AM,9,FALSE),"")</f>
        <v>1.0200000000000001E-2</v>
      </c>
      <c r="J645" s="13">
        <f>IFERROR(VLOOKUP($A645,koronahun!$A:$AM,10,FALSE),"")</f>
        <v>2.3599999999999999E-2</v>
      </c>
      <c r="K645" s="13">
        <f>IFERROR(VLOOKUP($A645,koronahun!$A:$AM,11,FALSE),"")</f>
        <v>5.6000000000000001E-2</v>
      </c>
      <c r="L645">
        <f>IFERROR(VLOOKUP($A645,koronahun!$A:$AM,12,FALSE),"")</f>
        <v>1615</v>
      </c>
      <c r="M645" s="13">
        <f>IFERROR(VLOOKUP($A645,koronahun!$A:$AM,13,FALSE),"")</f>
        <v>0.12939999999999999</v>
      </c>
      <c r="N645" s="13">
        <f>IFERROR(VLOOKUP($A645,koronahun!$A:$AM,14,FALSE),"")</f>
        <v>0.43149999999999999</v>
      </c>
      <c r="O645">
        <f>IFERROR(VLOOKUP($A645,koronahun!$A:$AM,15,FALSE),"")</f>
        <v>11668</v>
      </c>
      <c r="P645">
        <f>IFERROR(VLOOKUP($A645,koronahun!$A:$AM,16,FALSE),"")</f>
        <v>8290</v>
      </c>
      <c r="Q645" s="13">
        <f>IFERROR(VLOOKUP($A645,koronahun!$A:$AM,17,FALSE),"")</f>
        <v>4.4999999999999997E-3</v>
      </c>
      <c r="R645">
        <f>IFERROR(VLOOKUP($A645,koronahun!$A:$AM,18,FALSE),"")</f>
        <v>3</v>
      </c>
      <c r="S645">
        <f>IFERROR(VLOOKUP($A645,koronahun!$A:$AM,19,FALSE),"")</f>
        <v>78</v>
      </c>
      <c r="T645">
        <f>IFERROR(VLOOKUP($A645,koronahun!$A:$AM,20,FALSE),"")</f>
        <v>483</v>
      </c>
      <c r="U645">
        <f>IFERROR(VLOOKUP($A645,koronahun!$A:$AM,21,FALSE),"")</f>
        <v>23</v>
      </c>
      <c r="V645" s="13">
        <f>IFERROR(VLOOKUP($A645,koronahun!$A:$AM,22,FALSE),"")</f>
        <v>0.4390973355084285</v>
      </c>
      <c r="W645">
        <f>IFERROR(VLOOKUP($A645,koronahun!$A:$AM,23,FALSE),"")</f>
        <v>-27</v>
      </c>
      <c r="X645">
        <f>IFERROR(VLOOKUP($A645,koronahun!$A:$AM,24,FALSE),"")</f>
        <v>-4</v>
      </c>
      <c r="Y645" s="14">
        <f>IFERROR(VLOOKUP($A645,koronahun!$A:$AM,25,FALSE),"")</f>
        <v>0.29907120743034055</v>
      </c>
      <c r="Z645" s="14">
        <f>IFERROR(VLOOKUP($A645,koronahun!$A:$AM,26,FALSE),"")</f>
        <v>4.7619047619047616E-2</v>
      </c>
      <c r="AA645" s="14">
        <f>IFERROR(VLOOKUP($A645,koronahun!$A:$AM,27,FALSE),"")</f>
        <v>1.0920502092050208</v>
      </c>
      <c r="AB645" s="14">
        <f>IFERROR(VLOOKUP($A645,koronahun!$A:$AM,28,FALSE),"")</f>
        <v>1.0314009201897671</v>
      </c>
      <c r="AC645" s="14">
        <f>IFERROR(VLOOKUP($A645,koronahun!$A:$AM,29,FALSE),"")</f>
        <v>37.285714285714285</v>
      </c>
      <c r="AD645" s="14">
        <f>IFERROR(VLOOKUP($A645,koronahun!$A:$AM,30,FALSE),"")</f>
        <v>4.8571428571428568</v>
      </c>
      <c r="AE645" s="14">
        <f>IFERROR(VLOOKUP($A645,koronahun!$A:$AM,31,FALSE),"")</f>
        <v>4080.5714285714284</v>
      </c>
      <c r="AF645" s="13">
        <f>IFERROR(VLOOKUP($A645,koronahun!$A:$AM,32,FALSE),"")</f>
        <v>1.0528571428571429E-2</v>
      </c>
      <c r="AG645">
        <f>IFERROR(VLOOKUP($A645,koronahun!$A:$AM,33,FALSE),"")</f>
        <v>0</v>
      </c>
      <c r="AH645">
        <f>IFERROR(VLOOKUP($A645,koronahun!$A:$AM,34,FALSE),"")</f>
        <v>0</v>
      </c>
      <c r="AI645">
        <f>IFERROR(VLOOKUP($A645,koronahun!$A:$AM,35,FALSE),"")</f>
        <v>0</v>
      </c>
      <c r="AJ645">
        <f>IFERROR(VLOOKUP($A645,koronahun!$A:$AM,36,FALSE),"")</f>
        <v>0</v>
      </c>
      <c r="AK645">
        <f>IFERROR(VLOOKUP($A645,koronahun!$A:$AM,37,FALSE),"")</f>
        <v>0</v>
      </c>
      <c r="AL645">
        <f>IFERROR(VLOOKUP($A645,koronahun!$A:$AM,38,FALSE),"")</f>
        <v>0</v>
      </c>
      <c r="AM645" s="14">
        <f>IFERROR(VLOOKUP($A645,koronahun!$A:$AM,39,FALSE),"")</f>
        <v>42.857142857142854</v>
      </c>
      <c r="AN645" s="11">
        <f ca="1">IFERROR(__xludf.DUMMYFUNCTION("""COMPUTED_VALUE"""),44537)</f>
        <v>44537</v>
      </c>
      <c r="AO645" s="12">
        <f ca="1">IFERROR(VLOOKUP(AN645,koronahun!A:B,2,FALSE),"")</f>
        <v>1161879</v>
      </c>
      <c r="AP645" s="11">
        <f t="shared" ca="1" si="4"/>
        <v>44537</v>
      </c>
      <c r="AQ645" s="11">
        <f ca="1">IFERROR(__xludf.DUMMYFUNCTION("""COMPUTED_VALUE"""),44610)</f>
        <v>44610</v>
      </c>
      <c r="AR645" s="11">
        <v>43974</v>
      </c>
      <c r="AS645" s="11">
        <f t="shared" si="5"/>
        <v>43974</v>
      </c>
      <c r="AT645" s="11">
        <f ca="1">IFERROR(__xludf.DUMMYFUNCTION("""COMPUTED_VALUE"""),43973)</f>
        <v>43973</v>
      </c>
    </row>
    <row r="646" spans="1:46" ht="13">
      <c r="A646" s="11">
        <v>43972</v>
      </c>
      <c r="B646">
        <f>IFERROR(VLOOKUP($A646,koronahun!$A:$AM,2,FALSE),"")</f>
        <v>3641</v>
      </c>
      <c r="C646">
        <f>IFERROR(VLOOKUP($A646,koronahun!$A:$AM,3,FALSE),"")</f>
        <v>43</v>
      </c>
      <c r="D646">
        <f>IFERROR(VLOOKUP($A646,koronahun!$A:$AM,4,FALSE),"")</f>
        <v>473</v>
      </c>
      <c r="E646">
        <f>IFERROR(VLOOKUP($A646,koronahun!$A:$AM,5,FALSE),"")</f>
        <v>1509</v>
      </c>
      <c r="F646">
        <f>IFERROR(VLOOKUP($A646,koronahun!$A:$AM,6,FALSE),"")</f>
        <v>147511</v>
      </c>
      <c r="G646" s="12">
        <f>IFERROR(VLOOKUP($A646,koronahun!$A:$AM,7,FALSE),"")</f>
        <v>15052.142857142857</v>
      </c>
      <c r="H646">
        <f>IFERROR(VLOOKUP($A646,koronahun!$A:$AM,8,FALSE),"")</f>
        <v>0</v>
      </c>
      <c r="I646" s="13">
        <f>IFERROR(VLOOKUP($A646,koronahun!$A:$AM,9,FALSE),"")</f>
        <v>1.2E-2</v>
      </c>
      <c r="J646" s="13">
        <f>IFERROR(VLOOKUP($A646,koronahun!$A:$AM,10,FALSE),"")</f>
        <v>2.47E-2</v>
      </c>
      <c r="K646" s="13">
        <f>IFERROR(VLOOKUP($A646,koronahun!$A:$AM,11,FALSE),"")</f>
        <v>3.4000000000000002E-2</v>
      </c>
      <c r="L646">
        <f>IFERROR(VLOOKUP($A646,koronahun!$A:$AM,12,FALSE),"")</f>
        <v>1659</v>
      </c>
      <c r="M646" s="13">
        <f>IFERROR(VLOOKUP($A646,koronahun!$A:$AM,13,FALSE),"")</f>
        <v>0.12989999999999999</v>
      </c>
      <c r="N646" s="13">
        <f>IFERROR(VLOOKUP($A646,koronahun!$A:$AM,14,FALSE),"")</f>
        <v>0.41439999999999999</v>
      </c>
      <c r="O646">
        <f>IFERROR(VLOOKUP($A646,koronahun!$A:$AM,15,FALSE),"")</f>
        <v>11103</v>
      </c>
      <c r="P646">
        <f>IFERROR(VLOOKUP($A646,koronahun!$A:$AM,16,FALSE),"")</f>
        <v>4782</v>
      </c>
      <c r="Q646" s="13">
        <f>IFERROR(VLOOKUP($A646,koronahun!$A:$AM,17,FALSE),"")</f>
        <v>8.9999999999999993E-3</v>
      </c>
      <c r="R646">
        <f>IFERROR(VLOOKUP($A646,koronahun!$A:$AM,18,FALSE),"")</f>
        <v>3</v>
      </c>
      <c r="S646">
        <f>IFERROR(VLOOKUP($A646,koronahun!$A:$AM,19,FALSE),"")</f>
        <v>55</v>
      </c>
      <c r="T646">
        <f>IFERROR(VLOOKUP($A646,koronahun!$A:$AM,20,FALSE),"")</f>
        <v>510</v>
      </c>
      <c r="U646">
        <f>IFERROR(VLOOKUP($A646,koronahun!$A:$AM,21,FALSE),"")</f>
        <v>27</v>
      </c>
      <c r="V646" s="13">
        <f>IFERROR(VLOOKUP($A646,koronahun!$A:$AM,22,FALSE),"")</f>
        <v>0.45564405383136503</v>
      </c>
      <c r="W646">
        <f>IFERROR(VLOOKUP($A646,koronahun!$A:$AM,23,FALSE),"")</f>
        <v>-29</v>
      </c>
      <c r="X646">
        <f>IFERROR(VLOOKUP($A646,koronahun!$A:$AM,24,FALSE),"")</f>
        <v>-2</v>
      </c>
      <c r="Y646" s="14">
        <f>IFERROR(VLOOKUP($A646,koronahun!$A:$AM,25,FALSE),"")</f>
        <v>0.30741410488245929</v>
      </c>
      <c r="Z646" s="14">
        <f>IFERROR(VLOOKUP($A646,koronahun!$A:$AM,26,FALSE),"")</f>
        <v>5.2941176470588235E-2</v>
      </c>
      <c r="AA646" s="14">
        <f>IFERROR(VLOOKUP($A646,koronahun!$A:$AM,27,FALSE),"")</f>
        <v>1.1347826086956523</v>
      </c>
      <c r="AB646" s="14">
        <f>IFERROR(VLOOKUP($A646,koronahun!$A:$AM,28,FALSE),"")</f>
        <v>0.98378377012192952</v>
      </c>
      <c r="AC646" s="14">
        <f>IFERROR(VLOOKUP($A646,koronahun!$A:$AM,29,FALSE),"")</f>
        <v>37.285714285714285</v>
      </c>
      <c r="AD646" s="14">
        <f>IFERROR(VLOOKUP($A646,koronahun!$A:$AM,30,FALSE),"")</f>
        <v>5.2857142857142856</v>
      </c>
      <c r="AE646" s="14">
        <f>IFERROR(VLOOKUP($A646,koronahun!$A:$AM,31,FALSE),"")</f>
        <v>3464.7142857142858</v>
      </c>
      <c r="AF646" s="13">
        <f>IFERROR(VLOOKUP($A646,koronahun!$A:$AM,32,FALSE),"")</f>
        <v>1.1214285714285715E-2</v>
      </c>
      <c r="AG646">
        <f>IFERROR(VLOOKUP($A646,koronahun!$A:$AM,33,FALSE),"")</f>
        <v>0</v>
      </c>
      <c r="AH646">
        <f>IFERROR(VLOOKUP($A646,koronahun!$A:$AM,34,FALSE),"")</f>
        <v>0</v>
      </c>
      <c r="AI646">
        <f>IFERROR(VLOOKUP($A646,koronahun!$A:$AM,35,FALSE),"")</f>
        <v>0</v>
      </c>
      <c r="AJ646">
        <f>IFERROR(VLOOKUP($A646,koronahun!$A:$AM,36,FALSE),"")</f>
        <v>0</v>
      </c>
      <c r="AK646">
        <f>IFERROR(VLOOKUP($A646,koronahun!$A:$AM,37,FALSE),"")</f>
        <v>0</v>
      </c>
      <c r="AL646">
        <f>IFERROR(VLOOKUP($A646,koronahun!$A:$AM,38,FALSE),"")</f>
        <v>0</v>
      </c>
      <c r="AM646" s="14">
        <f>IFERROR(VLOOKUP($A646,koronahun!$A:$AM,39,FALSE),"")</f>
        <v>48.571428571428569</v>
      </c>
      <c r="AN646" s="11">
        <f ca="1">IFERROR(__xludf.DUMMYFUNCTION("""COMPUTED_VALUE"""),44538)</f>
        <v>44538</v>
      </c>
      <c r="AO646" s="12">
        <f ca="1">IFERROR(VLOOKUP(AN646,koronahun!A:B,2,FALSE),"")</f>
        <v>1168728</v>
      </c>
      <c r="AP646" s="11">
        <f t="shared" ca="1" si="4"/>
        <v>44538</v>
      </c>
      <c r="AQ646" s="11">
        <f ca="1">IFERROR(__xludf.DUMMYFUNCTION("""COMPUTED_VALUE"""),44613)</f>
        <v>44613</v>
      </c>
      <c r="AR646" s="11">
        <v>43973</v>
      </c>
      <c r="AS646" s="11">
        <f t="shared" si="5"/>
        <v>43973</v>
      </c>
      <c r="AT646" s="11">
        <f ca="1">IFERROR(__xludf.DUMMYFUNCTION("""COMPUTED_VALUE"""),43972)</f>
        <v>43972</v>
      </c>
    </row>
    <row r="647" spans="1:46" ht="13">
      <c r="A647" s="11">
        <v>43971</v>
      </c>
      <c r="B647">
        <f>IFERROR(VLOOKUP($A647,koronahun!$A:$AM,2,FALSE),"")</f>
        <v>3598</v>
      </c>
      <c r="C647">
        <f>IFERROR(VLOOKUP($A647,koronahun!$A:$AM,3,FALSE),"")</f>
        <v>42</v>
      </c>
      <c r="D647">
        <f>IFERROR(VLOOKUP($A647,koronahun!$A:$AM,4,FALSE),"")</f>
        <v>470</v>
      </c>
      <c r="E647">
        <f>IFERROR(VLOOKUP($A647,koronahun!$A:$AM,5,FALSE),"")</f>
        <v>1454</v>
      </c>
      <c r="F647">
        <f>IFERROR(VLOOKUP($A647,koronahun!$A:$AM,6,FALSE),"")</f>
        <v>142729</v>
      </c>
      <c r="G647" s="12">
        <f>IFERROR(VLOOKUP($A647,koronahun!$A:$AM,7,FALSE),"")</f>
        <v>14564.183673469386</v>
      </c>
      <c r="H647">
        <f>IFERROR(VLOOKUP($A647,koronahun!$A:$AM,8,FALSE),"")</f>
        <v>0</v>
      </c>
      <c r="I647" s="13">
        <f>IFERROR(VLOOKUP($A647,koronahun!$A:$AM,9,FALSE),"")</f>
        <v>1.18E-2</v>
      </c>
      <c r="J647" s="13">
        <f>IFERROR(VLOOKUP($A647,koronahun!$A:$AM,10,FALSE),"")</f>
        <v>2.52E-2</v>
      </c>
      <c r="K647" s="13">
        <f>IFERROR(VLOOKUP($A647,koronahun!$A:$AM,11,FALSE),"")</f>
        <v>2.9000000000000001E-2</v>
      </c>
      <c r="L647">
        <f>IFERROR(VLOOKUP($A647,koronahun!$A:$AM,12,FALSE),"")</f>
        <v>1674</v>
      </c>
      <c r="M647" s="13">
        <f>IFERROR(VLOOKUP($A647,koronahun!$A:$AM,13,FALSE),"")</f>
        <v>0.13059999999999999</v>
      </c>
      <c r="N647" s="13">
        <f>IFERROR(VLOOKUP($A647,koronahun!$A:$AM,14,FALSE),"")</f>
        <v>0.40410000000000001</v>
      </c>
      <c r="O647">
        <f>IFERROR(VLOOKUP($A647,koronahun!$A:$AM,15,FALSE),"")</f>
        <v>10931</v>
      </c>
      <c r="P647">
        <f>IFERROR(VLOOKUP($A647,koronahun!$A:$AM,16,FALSE),"")</f>
        <v>4032</v>
      </c>
      <c r="Q647" s="13">
        <f>IFERROR(VLOOKUP($A647,koronahun!$A:$AM,17,FALSE),"")</f>
        <v>1.04E-2</v>
      </c>
      <c r="R647">
        <f>IFERROR(VLOOKUP($A647,koronahun!$A:$AM,18,FALSE),"")</f>
        <v>3</v>
      </c>
      <c r="S647">
        <f>IFERROR(VLOOKUP($A647,koronahun!$A:$AM,19,FALSE),"")</f>
        <v>42</v>
      </c>
      <c r="T647">
        <f>IFERROR(VLOOKUP($A647,koronahun!$A:$AM,20,FALSE),"")</f>
        <v>539</v>
      </c>
      <c r="U647">
        <f>IFERROR(VLOOKUP($A647,koronahun!$A:$AM,21,FALSE),"")</f>
        <v>29</v>
      </c>
      <c r="V647" s="13">
        <f>IFERROR(VLOOKUP($A647,koronahun!$A:$AM,22,FALSE),"")</f>
        <v>0.4652584769316287</v>
      </c>
      <c r="W647">
        <f>IFERROR(VLOOKUP($A647,koronahun!$A:$AM,23,FALSE),"")</f>
        <v>539</v>
      </c>
      <c r="X647">
        <f>IFERROR(VLOOKUP($A647,koronahun!$A:$AM,24,FALSE),"")</f>
        <v>29</v>
      </c>
      <c r="Y647" s="14">
        <f>IFERROR(VLOOKUP($A647,koronahun!$A:$AM,25,FALSE),"")</f>
        <v>0.32198327359617684</v>
      </c>
      <c r="Z647" s="14">
        <f>IFERROR(VLOOKUP($A647,koronahun!$A:$AM,26,FALSE),"")</f>
        <v>5.3803339517625233E-2</v>
      </c>
      <c r="AA647" s="14">
        <f>IFERROR(VLOOKUP($A647,koronahun!$A:$AM,27,FALSE),"")</f>
        <v>1.1173913043478261</v>
      </c>
      <c r="AB647" s="14">
        <f>IFERROR(VLOOKUP($A647,koronahun!$A:$AM,28,FALSE),"")</f>
        <v>0.909291016498741</v>
      </c>
      <c r="AC647" s="14">
        <f>IFERROR(VLOOKUP($A647,koronahun!$A:$AM,29,FALSE),"")</f>
        <v>36.714285714285715</v>
      </c>
      <c r="AD647" s="14">
        <f>IFERROR(VLOOKUP($A647,koronahun!$A:$AM,30,FALSE),"")</f>
        <v>5.7142857142857144</v>
      </c>
      <c r="AE647" s="14">
        <f>IFERROR(VLOOKUP($A647,koronahun!$A:$AM,31,FALSE),"")</f>
        <v>3461.2857142857142</v>
      </c>
      <c r="AF647" s="13">
        <f>IFERROR(VLOOKUP($A647,koronahun!$A:$AM,32,FALSE),"")</f>
        <v>1.1099999999999999E-2</v>
      </c>
      <c r="AG647">
        <f>IFERROR(VLOOKUP($A647,koronahun!$A:$AM,33,FALSE),"")</f>
        <v>0</v>
      </c>
      <c r="AH647">
        <f>IFERROR(VLOOKUP($A647,koronahun!$A:$AM,34,FALSE),"")</f>
        <v>0</v>
      </c>
      <c r="AI647">
        <f>IFERROR(VLOOKUP($A647,koronahun!$A:$AM,35,FALSE),"")</f>
        <v>0</v>
      </c>
      <c r="AJ647">
        <f>IFERROR(VLOOKUP($A647,koronahun!$A:$AM,36,FALSE),"")</f>
        <v>0</v>
      </c>
      <c r="AK647">
        <f>IFERROR(VLOOKUP($A647,koronahun!$A:$AM,37,FALSE),"")</f>
        <v>0</v>
      </c>
      <c r="AL647">
        <f>IFERROR(VLOOKUP($A647,koronahun!$A:$AM,38,FALSE),"")</f>
        <v>0</v>
      </c>
      <c r="AM647" s="14">
        <f>IFERROR(VLOOKUP($A647,koronahun!$A:$AM,39,FALSE),"")</f>
        <v>50.285714285714285</v>
      </c>
      <c r="AN647" s="11">
        <f ca="1">IFERROR(__xludf.DUMMYFUNCTION("""COMPUTED_VALUE"""),44539)</f>
        <v>44539</v>
      </c>
      <c r="AO647" s="12">
        <f ca="1">IFERROR(VLOOKUP(AN647,koronahun!A:B,2,FALSE),"")</f>
        <v>1176038</v>
      </c>
      <c r="AP647" s="11">
        <f t="shared" ca="1" si="4"/>
        <v>44539</v>
      </c>
      <c r="AQ647" s="11">
        <f ca="1">IFERROR(__xludf.DUMMYFUNCTION("""COMPUTED_VALUE"""),44614)</f>
        <v>44614</v>
      </c>
      <c r="AR647" s="11">
        <v>43972</v>
      </c>
      <c r="AS647" s="11">
        <f t="shared" si="5"/>
        <v>43972</v>
      </c>
      <c r="AT647" s="11">
        <f ca="1">IFERROR(__xludf.DUMMYFUNCTION("""COMPUTED_VALUE"""),43971)</f>
        <v>43971</v>
      </c>
    </row>
    <row r="648" spans="1:46" ht="13">
      <c r="A648" s="11">
        <v>43970</v>
      </c>
      <c r="B648">
        <f>IFERROR(VLOOKUP($A648,koronahun!$A:$AM,2,FALSE),"")</f>
        <v>3556</v>
      </c>
      <c r="C648">
        <f>IFERROR(VLOOKUP($A648,koronahun!$A:$AM,3,FALSE),"")</f>
        <v>21</v>
      </c>
      <c r="D648">
        <f>IFERROR(VLOOKUP($A648,koronahun!$A:$AM,4,FALSE),"")</f>
        <v>467</v>
      </c>
      <c r="E648">
        <f>IFERROR(VLOOKUP($A648,koronahun!$A:$AM,5,FALSE),"")</f>
        <v>1412</v>
      </c>
      <c r="F648">
        <f>IFERROR(VLOOKUP($A648,koronahun!$A:$AM,6,FALSE),"")</f>
        <v>138697</v>
      </c>
      <c r="G648" s="12">
        <f>IFERROR(VLOOKUP($A648,koronahun!$A:$AM,7,FALSE),"")</f>
        <v>14152.755102040815</v>
      </c>
      <c r="H648">
        <f>IFERROR(VLOOKUP($A648,koronahun!$A:$AM,8,FALSE),"")</f>
        <v>0</v>
      </c>
      <c r="I648" s="13">
        <f>IFERROR(VLOOKUP($A648,koronahun!$A:$AM,9,FALSE),"")</f>
        <v>5.8999999999999999E-3</v>
      </c>
      <c r="J648" s="13">
        <f>IFERROR(VLOOKUP($A648,koronahun!$A:$AM,10,FALSE),"")</f>
        <v>2.5600000000000001E-2</v>
      </c>
      <c r="K648" s="13">
        <f>IFERROR(VLOOKUP($A648,koronahun!$A:$AM,11,FALSE),"")</f>
        <v>1.0999999999999999E-2</v>
      </c>
      <c r="L648">
        <f>IFERROR(VLOOKUP($A648,koronahun!$A:$AM,12,FALSE),"")</f>
        <v>1677</v>
      </c>
      <c r="M648" s="13">
        <f>IFERROR(VLOOKUP($A648,koronahun!$A:$AM,13,FALSE),"")</f>
        <v>0.1313</v>
      </c>
      <c r="N648" s="13">
        <f>IFERROR(VLOOKUP($A648,koronahun!$A:$AM,14,FALSE),"")</f>
        <v>0.39710000000000001</v>
      </c>
      <c r="O648">
        <f>IFERROR(VLOOKUP($A648,koronahun!$A:$AM,15,FALSE),"")</f>
        <v>10394</v>
      </c>
      <c r="P648">
        <f>IFERROR(VLOOKUP($A648,koronahun!$A:$AM,16,FALSE),"")</f>
        <v>1454</v>
      </c>
      <c r="Q648" s="13">
        <f>IFERROR(VLOOKUP($A648,koronahun!$A:$AM,17,FALSE),"")</f>
        <v>1.44E-2</v>
      </c>
      <c r="R648">
        <f>IFERROR(VLOOKUP($A648,koronahun!$A:$AM,18,FALSE),"")</f>
        <v>5</v>
      </c>
      <c r="S648">
        <f>IFERROR(VLOOKUP($A648,koronahun!$A:$AM,19,FALSE),"")</f>
        <v>12</v>
      </c>
      <c r="T648">
        <f>IFERROR(VLOOKUP($A648,koronahun!$A:$AM,20,FALSE),"")</f>
        <v>0</v>
      </c>
      <c r="U648">
        <f>IFERROR(VLOOKUP($A648,koronahun!$A:$AM,21,FALSE),"")</f>
        <v>0</v>
      </c>
      <c r="V648" s="13">
        <f>IFERROR(VLOOKUP($A648,koronahun!$A:$AM,22,FALSE),"")</f>
        <v>0.47159730033745784</v>
      </c>
      <c r="W648">
        <f>IFERROR(VLOOKUP($A648,koronahun!$A:$AM,23,FALSE),"")</f>
        <v>-568</v>
      </c>
      <c r="X648">
        <f>IFERROR(VLOOKUP($A648,koronahun!$A:$AM,24,FALSE),"")</f>
        <v>-46</v>
      </c>
      <c r="Y648" s="14">
        <f>IFERROR(VLOOKUP($A648,koronahun!$A:$AM,25,FALSE),"")</f>
        <v>0</v>
      </c>
      <c r="Z648" s="14">
        <f>IFERROR(VLOOKUP($A648,koronahun!$A:$AM,26,FALSE),"")</f>
        <v>0</v>
      </c>
      <c r="AA648" s="14">
        <f>IFERROR(VLOOKUP($A648,koronahun!$A:$AM,27,FALSE),"")</f>
        <v>0.97983870967741937</v>
      </c>
      <c r="AB648" s="14">
        <f>IFERROR(VLOOKUP($A648,koronahun!$A:$AM,28,FALSE),"")</f>
        <v>0.83522916349667065</v>
      </c>
      <c r="AC648" s="14">
        <f>IFERROR(VLOOKUP($A648,koronahun!$A:$AM,29,FALSE),"")</f>
        <v>34.714285714285715</v>
      </c>
      <c r="AD648" s="14">
        <f>IFERROR(VLOOKUP($A648,koronahun!$A:$AM,30,FALSE),"")</f>
        <v>6</v>
      </c>
      <c r="AE648" s="14">
        <f>IFERROR(VLOOKUP($A648,koronahun!$A:$AM,31,FALSE),"")</f>
        <v>3425.4285714285716</v>
      </c>
      <c r="AF648" s="13">
        <f>IFERROR(VLOOKUP($A648,koronahun!$A:$AM,32,FALSE),"")</f>
        <v>1.0671428571428571E-2</v>
      </c>
      <c r="AG648">
        <f>IFERROR(VLOOKUP($A648,koronahun!$A:$AM,33,FALSE),"")</f>
        <v>0</v>
      </c>
      <c r="AH648">
        <f>IFERROR(VLOOKUP($A648,koronahun!$A:$AM,34,FALSE),"")</f>
        <v>0</v>
      </c>
      <c r="AI648">
        <f>IFERROR(VLOOKUP($A648,koronahun!$A:$AM,35,FALSE),"")</f>
        <v>0</v>
      </c>
      <c r="AJ648">
        <f>IFERROR(VLOOKUP($A648,koronahun!$A:$AM,36,FALSE),"")</f>
        <v>0</v>
      </c>
      <c r="AK648">
        <f>IFERROR(VLOOKUP($A648,koronahun!$A:$AM,37,FALSE),"")</f>
        <v>0</v>
      </c>
      <c r="AL648">
        <f>IFERROR(VLOOKUP($A648,koronahun!$A:$AM,38,FALSE),"")</f>
        <v>0</v>
      </c>
      <c r="AM648" s="14">
        <f>IFERROR(VLOOKUP($A648,koronahun!$A:$AM,39,FALSE),"")</f>
        <v>57.857142857142854</v>
      </c>
      <c r="AN648" s="11">
        <f ca="1">IFERROR(__xludf.DUMMYFUNCTION("""COMPUTED_VALUE"""),44540)</f>
        <v>44540</v>
      </c>
      <c r="AO648" s="12">
        <f ca="1">IFERROR(VLOOKUP(AN648,koronahun!A:B,2,FALSE),"")</f>
        <v>1182922</v>
      </c>
      <c r="AP648" s="11">
        <f t="shared" ca="1" si="4"/>
        <v>44540</v>
      </c>
      <c r="AQ648" s="11">
        <f ca="1">IFERROR(__xludf.DUMMYFUNCTION("""COMPUTED_VALUE"""),44615)</f>
        <v>44615</v>
      </c>
      <c r="AR648" s="11">
        <v>43971</v>
      </c>
      <c r="AS648" s="11">
        <f t="shared" si="5"/>
        <v>43971</v>
      </c>
      <c r="AT648" s="11">
        <f ca="1">IFERROR(__xludf.DUMMYFUNCTION("""COMPUTED_VALUE"""),43970)</f>
        <v>43970</v>
      </c>
    </row>
    <row r="649" spans="1:46" ht="13">
      <c r="A649" s="11">
        <v>43969</v>
      </c>
      <c r="B649">
        <f>IFERROR(VLOOKUP($A649,koronahun!$A:$AM,2,FALSE),"")</f>
        <v>3535</v>
      </c>
      <c r="C649">
        <f>IFERROR(VLOOKUP($A649,koronahun!$A:$AM,3,FALSE),"")</f>
        <v>26</v>
      </c>
      <c r="D649">
        <f>IFERROR(VLOOKUP($A649,koronahun!$A:$AM,4,FALSE),"")</f>
        <v>462</v>
      </c>
      <c r="E649">
        <f>IFERROR(VLOOKUP($A649,koronahun!$A:$AM,5,FALSE),"")</f>
        <v>1400</v>
      </c>
      <c r="F649">
        <f>IFERROR(VLOOKUP($A649,koronahun!$A:$AM,6,FALSE),"")</f>
        <v>137243</v>
      </c>
      <c r="G649" s="12">
        <f>IFERROR(VLOOKUP($A649,koronahun!$A:$AM,7,FALSE),"")</f>
        <v>14004.38775510204</v>
      </c>
      <c r="H649">
        <f>IFERROR(VLOOKUP($A649,koronahun!$A:$AM,8,FALSE),"")</f>
        <v>0</v>
      </c>
      <c r="I649" s="13">
        <f>IFERROR(VLOOKUP($A649,koronahun!$A:$AM,9,FALSE),"")</f>
        <v>7.4000000000000003E-3</v>
      </c>
      <c r="J649" s="13">
        <f>IFERROR(VLOOKUP($A649,koronahun!$A:$AM,10,FALSE),"")</f>
        <v>2.58E-2</v>
      </c>
      <c r="K649" s="13">
        <f>IFERROR(VLOOKUP($A649,koronahun!$A:$AM,11,FALSE),"")</f>
        <v>1.6E-2</v>
      </c>
      <c r="L649">
        <f>IFERROR(VLOOKUP($A649,koronahun!$A:$AM,12,FALSE),"")</f>
        <v>1673</v>
      </c>
      <c r="M649" s="13">
        <f>IFERROR(VLOOKUP($A649,koronahun!$A:$AM,13,FALSE),"")</f>
        <v>0.13070000000000001</v>
      </c>
      <c r="N649" s="13">
        <f>IFERROR(VLOOKUP($A649,koronahun!$A:$AM,14,FALSE),"")</f>
        <v>0.39600000000000002</v>
      </c>
      <c r="O649">
        <f>IFERROR(VLOOKUP($A649,koronahun!$A:$AM,15,FALSE),"")</f>
        <v>10388</v>
      </c>
      <c r="P649">
        <f>IFERROR(VLOOKUP($A649,koronahun!$A:$AM,16,FALSE),"")</f>
        <v>2106</v>
      </c>
      <c r="Q649" s="13">
        <f>IFERROR(VLOOKUP($A649,koronahun!$A:$AM,17,FALSE),"")</f>
        <v>1.23E-2</v>
      </c>
      <c r="R649">
        <f>IFERROR(VLOOKUP($A649,koronahun!$A:$AM,18,FALSE),"")</f>
        <v>11</v>
      </c>
      <c r="S649">
        <f>IFERROR(VLOOKUP($A649,koronahun!$A:$AM,19,FALSE),"")</f>
        <v>4</v>
      </c>
      <c r="T649">
        <f>IFERROR(VLOOKUP($A649,koronahun!$A:$AM,20,FALSE),"")</f>
        <v>568</v>
      </c>
      <c r="U649">
        <f>IFERROR(VLOOKUP($A649,koronahun!$A:$AM,21,FALSE),"")</f>
        <v>46</v>
      </c>
      <c r="V649" s="13">
        <f>IFERROR(VLOOKUP($A649,koronahun!$A:$AM,22,FALSE),"")</f>
        <v>0.47326732673267324</v>
      </c>
      <c r="W649">
        <f>IFERROR(VLOOKUP($A649,koronahun!$A:$AM,23,FALSE),"")</f>
        <v>6</v>
      </c>
      <c r="X649">
        <f>IFERROR(VLOOKUP($A649,koronahun!$A:$AM,24,FALSE),"")</f>
        <v>-1</v>
      </c>
      <c r="Y649" s="14">
        <f>IFERROR(VLOOKUP($A649,koronahun!$A:$AM,25,FALSE),"")</f>
        <v>0.33950986252241483</v>
      </c>
      <c r="Z649" s="14">
        <f>IFERROR(VLOOKUP($A649,koronahun!$A:$AM,26,FALSE),"")</f>
        <v>8.098591549295775E-2</v>
      </c>
      <c r="AA649" s="14">
        <f>IFERROR(VLOOKUP($A649,koronahun!$A:$AM,27,FALSE),"")</f>
        <v>1.0080321285140563</v>
      </c>
      <c r="AB649" s="14">
        <f>IFERROR(VLOOKUP($A649,koronahun!$A:$AM,28,FALSE),"")</f>
        <v>0.7804170401361602</v>
      </c>
      <c r="AC649" s="14">
        <f>IFERROR(VLOOKUP($A649,koronahun!$A:$AM,29,FALSE),"")</f>
        <v>35.857142857142854</v>
      </c>
      <c r="AD649" s="14">
        <f>IFERROR(VLOOKUP($A649,koronahun!$A:$AM,30,FALSE),"")</f>
        <v>5.8571428571428568</v>
      </c>
      <c r="AE649" s="14">
        <f>IFERROR(VLOOKUP($A649,koronahun!$A:$AM,31,FALSE),"")</f>
        <v>3582.5714285714284</v>
      </c>
      <c r="AF649" s="13">
        <f>IFERROR(VLOOKUP($A649,koronahun!$A:$AM,32,FALSE),"")</f>
        <v>1.0242857142857142E-2</v>
      </c>
      <c r="AG649">
        <f>IFERROR(VLOOKUP($A649,koronahun!$A:$AM,33,FALSE),"")</f>
        <v>0</v>
      </c>
      <c r="AH649">
        <f>IFERROR(VLOOKUP($A649,koronahun!$A:$AM,34,FALSE),"")</f>
        <v>0</v>
      </c>
      <c r="AI649">
        <f>IFERROR(VLOOKUP($A649,koronahun!$A:$AM,35,FALSE),"")</f>
        <v>0</v>
      </c>
      <c r="AJ649">
        <f>IFERROR(VLOOKUP($A649,koronahun!$A:$AM,36,FALSE),"")</f>
        <v>0</v>
      </c>
      <c r="AK649">
        <f>IFERROR(VLOOKUP($A649,koronahun!$A:$AM,37,FALSE),"")</f>
        <v>0</v>
      </c>
      <c r="AL649">
        <f>IFERROR(VLOOKUP($A649,koronahun!$A:$AM,38,FALSE),"")</f>
        <v>0</v>
      </c>
      <c r="AM649" s="14">
        <f>IFERROR(VLOOKUP($A649,koronahun!$A:$AM,39,FALSE),"")</f>
        <v>63.142857142857146</v>
      </c>
      <c r="AN649" s="11">
        <f ca="1">IFERROR(__xludf.DUMMYFUNCTION("""COMPUTED_VALUE"""),44541)</f>
        <v>44541</v>
      </c>
      <c r="AO649" s="12">
        <f ca="1">IFERROR(VLOOKUP(AN649,koronahun!A:B,2,FALSE),"")</f>
        <v>0</v>
      </c>
      <c r="AP649" s="11">
        <f t="shared" ca="1" si="4"/>
        <v>44541</v>
      </c>
      <c r="AQ649" s="11">
        <f ca="1">IFERROR(__xludf.DUMMYFUNCTION("""COMPUTED_VALUE"""),44616)</f>
        <v>44616</v>
      </c>
      <c r="AR649" s="11">
        <v>43970</v>
      </c>
      <c r="AS649" s="11">
        <f t="shared" si="5"/>
        <v>43970</v>
      </c>
      <c r="AT649" s="11">
        <f ca="1">IFERROR(__xludf.DUMMYFUNCTION("""COMPUTED_VALUE"""),43969)</f>
        <v>43969</v>
      </c>
    </row>
    <row r="650" spans="1:46" ht="13">
      <c r="A650" s="11">
        <v>43968</v>
      </c>
      <c r="B650">
        <f>IFERROR(VLOOKUP($A650,koronahun!$A:$AM,2,FALSE),"")</f>
        <v>3509</v>
      </c>
      <c r="C650">
        <f>IFERROR(VLOOKUP($A650,koronahun!$A:$AM,3,FALSE),"")</f>
        <v>36</v>
      </c>
      <c r="D650">
        <f>IFERROR(VLOOKUP($A650,koronahun!$A:$AM,4,FALSE),"")</f>
        <v>451</v>
      </c>
      <c r="E650">
        <f>IFERROR(VLOOKUP($A650,koronahun!$A:$AM,5,FALSE),"")</f>
        <v>1396</v>
      </c>
      <c r="F650">
        <f>IFERROR(VLOOKUP($A650,koronahun!$A:$AM,6,FALSE),"")</f>
        <v>135137</v>
      </c>
      <c r="G650" s="12">
        <f>IFERROR(VLOOKUP($A650,koronahun!$A:$AM,7,FALSE),"")</f>
        <v>13789.489795918367</v>
      </c>
      <c r="H650">
        <f>IFERROR(VLOOKUP($A650,koronahun!$A:$AM,8,FALSE),"")</f>
        <v>0</v>
      </c>
      <c r="I650" s="13">
        <f>IFERROR(VLOOKUP($A650,koronahun!$A:$AM,9,FALSE),"")</f>
        <v>1.04E-2</v>
      </c>
      <c r="J650" s="13">
        <f>IFERROR(VLOOKUP($A650,koronahun!$A:$AM,10,FALSE),"")</f>
        <v>2.5999999999999999E-2</v>
      </c>
      <c r="K650" s="13">
        <f>IFERROR(VLOOKUP($A650,koronahun!$A:$AM,11,FALSE),"")</f>
        <v>2.8000000000000001E-2</v>
      </c>
      <c r="L650">
        <f>IFERROR(VLOOKUP($A650,koronahun!$A:$AM,12,FALSE),"")</f>
        <v>1662</v>
      </c>
      <c r="M650" s="13">
        <f>IFERROR(VLOOKUP($A650,koronahun!$A:$AM,13,FALSE),"")</f>
        <v>0.1285</v>
      </c>
      <c r="N650" s="13">
        <f>IFERROR(VLOOKUP($A650,koronahun!$A:$AM,14,FALSE),"")</f>
        <v>0.39779999999999999</v>
      </c>
      <c r="O650">
        <f>IFERROR(VLOOKUP($A650,koronahun!$A:$AM,15,FALSE),"")</f>
        <v>10470</v>
      </c>
      <c r="P650">
        <f>IFERROR(VLOOKUP($A650,koronahun!$A:$AM,16,FALSE),"")</f>
        <v>3708</v>
      </c>
      <c r="Q650" s="13">
        <f>IFERROR(VLOOKUP($A650,koronahun!$A:$AM,17,FALSE),"")</f>
        <v>9.7000000000000003E-3</v>
      </c>
      <c r="R650">
        <f>IFERROR(VLOOKUP($A650,koronahun!$A:$AM,18,FALSE),"")</f>
        <v>3</v>
      </c>
      <c r="S650">
        <f>IFERROR(VLOOKUP($A650,koronahun!$A:$AM,19,FALSE),"")</f>
        <v>25</v>
      </c>
      <c r="T650">
        <f>IFERROR(VLOOKUP($A650,koronahun!$A:$AM,20,FALSE),"")</f>
        <v>562</v>
      </c>
      <c r="U650">
        <f>IFERROR(VLOOKUP($A650,koronahun!$A:$AM,21,FALSE),"")</f>
        <v>47</v>
      </c>
      <c r="V650" s="13">
        <f>IFERROR(VLOOKUP($A650,koronahun!$A:$AM,22,FALSE),"")</f>
        <v>0.4736392134511257</v>
      </c>
      <c r="W650">
        <f>IFERROR(VLOOKUP($A650,koronahun!$A:$AM,23,FALSE),"")</f>
        <v>-8</v>
      </c>
      <c r="X650">
        <f>IFERROR(VLOOKUP($A650,koronahun!$A:$AM,24,FALSE),"")</f>
        <v>2</v>
      </c>
      <c r="Y650" s="14">
        <f>IFERROR(VLOOKUP($A650,koronahun!$A:$AM,25,FALSE),"")</f>
        <v>0.33814681107099881</v>
      </c>
      <c r="Z650" s="14">
        <f>IFERROR(VLOOKUP($A650,koronahun!$A:$AM,26,FALSE),"")</f>
        <v>8.3629893238434158E-2</v>
      </c>
      <c r="AA650" s="14">
        <f>IFERROR(VLOOKUP($A650,koronahun!$A:$AM,27,FALSE),"")</f>
        <v>0.92830188679245285</v>
      </c>
      <c r="AB650" s="14">
        <f>IFERROR(VLOOKUP($A650,koronahun!$A:$AM,28,FALSE),"")</f>
        <v>0.71511030117018259</v>
      </c>
      <c r="AC650" s="14">
        <f>IFERROR(VLOOKUP($A650,koronahun!$A:$AM,29,FALSE),"")</f>
        <v>35.142857142857146</v>
      </c>
      <c r="AD650" s="14">
        <f>IFERROR(VLOOKUP($A650,koronahun!$A:$AM,30,FALSE),"")</f>
        <v>5.4285714285714288</v>
      </c>
      <c r="AE650" s="14">
        <f>IFERROR(VLOOKUP($A650,koronahun!$A:$AM,31,FALSE),"")</f>
        <v>3840</v>
      </c>
      <c r="AF650" s="13">
        <f>IFERROR(VLOOKUP($A650,koronahun!$A:$AM,32,FALSE),"")</f>
        <v>9.2571428571428561E-3</v>
      </c>
      <c r="AG650">
        <f>IFERROR(VLOOKUP($A650,koronahun!$A:$AM,33,FALSE),"")</f>
        <v>0</v>
      </c>
      <c r="AH650">
        <f>IFERROR(VLOOKUP($A650,koronahun!$A:$AM,34,FALSE),"")</f>
        <v>0</v>
      </c>
      <c r="AI650">
        <f>IFERROR(VLOOKUP($A650,koronahun!$A:$AM,35,FALSE),"")</f>
        <v>0</v>
      </c>
      <c r="AJ650">
        <f>IFERROR(VLOOKUP($A650,koronahun!$A:$AM,36,FALSE),"")</f>
        <v>0</v>
      </c>
      <c r="AK650">
        <f>IFERROR(VLOOKUP($A650,koronahun!$A:$AM,37,FALSE),"")</f>
        <v>0</v>
      </c>
      <c r="AL650">
        <f>IFERROR(VLOOKUP($A650,koronahun!$A:$AM,38,FALSE),"")</f>
        <v>0</v>
      </c>
      <c r="AM650" s="14">
        <f>IFERROR(VLOOKUP($A650,koronahun!$A:$AM,39,FALSE),"")</f>
        <v>66.142857142857139</v>
      </c>
      <c r="AN650" s="11">
        <f ca="1">IFERROR(__xludf.DUMMYFUNCTION("""COMPUTED_VALUE"""),44542)</f>
        <v>44542</v>
      </c>
      <c r="AO650" s="12">
        <f ca="1">IFERROR(VLOOKUP(AN650,koronahun!A:B,2,FALSE),"")</f>
        <v>0</v>
      </c>
      <c r="AP650" s="11">
        <f t="shared" ca="1" si="4"/>
        <v>44542</v>
      </c>
      <c r="AQ650" s="11">
        <f ca="1">IFERROR(__xludf.DUMMYFUNCTION("""COMPUTED_VALUE"""),44617)</f>
        <v>44617</v>
      </c>
      <c r="AR650" s="11">
        <v>43969</v>
      </c>
      <c r="AS650" s="11">
        <f t="shared" si="5"/>
        <v>43969</v>
      </c>
      <c r="AT650" s="11">
        <f ca="1">IFERROR(__xludf.DUMMYFUNCTION("""COMPUTED_VALUE"""),43968)</f>
        <v>43968</v>
      </c>
    </row>
    <row r="651" spans="1:46" ht="13">
      <c r="A651" s="11">
        <v>43967</v>
      </c>
      <c r="B651">
        <f>IFERROR(VLOOKUP($A651,koronahun!$A:$AM,2,FALSE),"")</f>
        <v>3473</v>
      </c>
      <c r="C651">
        <f>IFERROR(VLOOKUP($A651,koronahun!$A:$AM,3,FALSE),"")</f>
        <v>56</v>
      </c>
      <c r="D651">
        <f>IFERROR(VLOOKUP($A651,koronahun!$A:$AM,4,FALSE),"")</f>
        <v>448</v>
      </c>
      <c r="E651">
        <f>IFERROR(VLOOKUP($A651,koronahun!$A:$AM,5,FALSE),"")</f>
        <v>1371</v>
      </c>
      <c r="F651">
        <f>IFERROR(VLOOKUP($A651,koronahun!$A:$AM,6,FALSE),"")</f>
        <v>131429</v>
      </c>
      <c r="G651" s="12">
        <f>IFERROR(VLOOKUP($A651,koronahun!$A:$AM,7,FALSE),"")</f>
        <v>13411.122448979591</v>
      </c>
      <c r="H651">
        <f>IFERROR(VLOOKUP($A651,koronahun!$A:$AM,8,FALSE),"")</f>
        <v>0</v>
      </c>
      <c r="I651" s="13">
        <f>IFERROR(VLOOKUP($A651,koronahun!$A:$AM,9,FALSE),"")</f>
        <v>1.6400000000000001E-2</v>
      </c>
      <c r="J651" s="13">
        <f>IFERROR(VLOOKUP($A651,koronahun!$A:$AM,10,FALSE),"")</f>
        <v>2.64E-2</v>
      </c>
      <c r="K651" s="13">
        <f>IFERROR(VLOOKUP($A651,koronahun!$A:$AM,11,FALSE),"")</f>
        <v>3.3000000000000002E-2</v>
      </c>
      <c r="L651">
        <f>IFERROR(VLOOKUP($A651,koronahun!$A:$AM,12,FALSE),"")</f>
        <v>1654</v>
      </c>
      <c r="M651" s="13">
        <f>IFERROR(VLOOKUP($A651,koronahun!$A:$AM,13,FALSE),"")</f>
        <v>0.129</v>
      </c>
      <c r="N651" s="13">
        <f>IFERROR(VLOOKUP($A651,koronahun!$A:$AM,14,FALSE),"")</f>
        <v>0.39479999999999998</v>
      </c>
      <c r="O651">
        <f>IFERROR(VLOOKUP($A651,koronahun!$A:$AM,15,FALSE),"")</f>
        <v>10742</v>
      </c>
      <c r="P651">
        <f>IFERROR(VLOOKUP($A651,koronahun!$A:$AM,16,FALSE),"")</f>
        <v>4192</v>
      </c>
      <c r="Q651" s="13">
        <f>IFERROR(VLOOKUP($A651,koronahun!$A:$AM,17,FALSE),"")</f>
        <v>1.34E-2</v>
      </c>
      <c r="R651">
        <f>IFERROR(VLOOKUP($A651,koronahun!$A:$AM,18,FALSE),"")</f>
        <v>6</v>
      </c>
      <c r="S651">
        <f>IFERROR(VLOOKUP($A651,koronahun!$A:$AM,19,FALSE),"")</f>
        <v>84</v>
      </c>
      <c r="T651">
        <f>IFERROR(VLOOKUP($A651,koronahun!$A:$AM,20,FALSE),"")</f>
        <v>570</v>
      </c>
      <c r="U651">
        <f>IFERROR(VLOOKUP($A651,koronahun!$A:$AM,21,FALSE),"")</f>
        <v>45</v>
      </c>
      <c r="V651" s="13">
        <f>IFERROR(VLOOKUP($A651,koronahun!$A:$AM,22,FALSE),"")</f>
        <v>0.4762453210480852</v>
      </c>
      <c r="W651">
        <f>IFERROR(VLOOKUP($A651,koronahun!$A:$AM,23,FALSE),"")</f>
        <v>-44</v>
      </c>
      <c r="X651">
        <f>IFERROR(VLOOKUP($A651,koronahun!$A:$AM,24,FALSE),"")</f>
        <v>-1</v>
      </c>
      <c r="Y651" s="14">
        <f>IFERROR(VLOOKUP($A651,koronahun!$A:$AM,25,FALSE),"")</f>
        <v>0.34461910519951633</v>
      </c>
      <c r="Z651" s="14">
        <f>IFERROR(VLOOKUP($A651,koronahun!$A:$AM,26,FALSE),"")</f>
        <v>7.8947368421052627E-2</v>
      </c>
      <c r="AA651" s="14">
        <f>IFERROR(VLOOKUP($A651,koronahun!$A:$AM,27,FALSE),"")</f>
        <v>0.95940959409594095</v>
      </c>
      <c r="AB651" s="14">
        <f>IFERROR(VLOOKUP($A651,koronahun!$A:$AM,28,FALSE),"")</f>
        <v>0.65851410506500707</v>
      </c>
      <c r="AC651" s="14">
        <f>IFERROR(VLOOKUP($A651,koronahun!$A:$AM,29,FALSE),"")</f>
        <v>37.142857142857146</v>
      </c>
      <c r="AD651" s="14">
        <f>IFERROR(VLOOKUP($A651,koronahun!$A:$AM,30,FALSE),"")</f>
        <v>6.1428571428571432</v>
      </c>
      <c r="AE651" s="14">
        <f>IFERROR(VLOOKUP($A651,koronahun!$A:$AM,31,FALSE),"")</f>
        <v>4024.4285714285716</v>
      </c>
      <c r="AF651" s="13">
        <f>IFERROR(VLOOKUP($A651,koronahun!$A:$AM,32,FALSE),"")</f>
        <v>9.2999999999999992E-3</v>
      </c>
      <c r="AG651">
        <f>IFERROR(VLOOKUP($A651,koronahun!$A:$AM,33,FALSE),"")</f>
        <v>0</v>
      </c>
      <c r="AH651">
        <f>IFERROR(VLOOKUP($A651,koronahun!$A:$AM,34,FALSE),"")</f>
        <v>0</v>
      </c>
      <c r="AI651">
        <f>IFERROR(VLOOKUP($A651,koronahun!$A:$AM,35,FALSE),"")</f>
        <v>0</v>
      </c>
      <c r="AJ651">
        <f>IFERROR(VLOOKUP($A651,koronahun!$A:$AM,36,FALSE),"")</f>
        <v>0</v>
      </c>
      <c r="AK651">
        <f>IFERROR(VLOOKUP($A651,koronahun!$A:$AM,37,FALSE),"")</f>
        <v>0</v>
      </c>
      <c r="AL651">
        <f>IFERROR(VLOOKUP($A651,koronahun!$A:$AM,38,FALSE),"")</f>
        <v>0</v>
      </c>
      <c r="AM651" s="14">
        <f>IFERROR(VLOOKUP($A651,koronahun!$A:$AM,39,FALSE),"")</f>
        <v>66.714285714285708</v>
      </c>
      <c r="AN651" s="11">
        <f ca="1">IFERROR(__xludf.DUMMYFUNCTION("""COMPUTED_VALUE"""),44543)</f>
        <v>44543</v>
      </c>
      <c r="AO651" s="12">
        <f ca="1">IFERROR(VLOOKUP(AN651,koronahun!A:B,2,FALSE),"")</f>
        <v>1198939</v>
      </c>
      <c r="AP651" s="11">
        <f t="shared" ca="1" si="4"/>
        <v>44543</v>
      </c>
      <c r="AQ651" s="11">
        <f ca="1">IFERROR(__xludf.DUMMYFUNCTION("""COMPUTED_VALUE"""),44620)</f>
        <v>44620</v>
      </c>
      <c r="AR651" s="11">
        <v>43968</v>
      </c>
      <c r="AS651" s="11">
        <f t="shared" si="5"/>
        <v>43968</v>
      </c>
      <c r="AT651" s="11">
        <f ca="1">IFERROR(__xludf.DUMMYFUNCTION("""COMPUTED_VALUE"""),43967)</f>
        <v>43967</v>
      </c>
    </row>
    <row r="652" spans="1:46" ht="13">
      <c r="A652" s="11">
        <v>43966</v>
      </c>
      <c r="B652">
        <f>IFERROR(VLOOKUP($A652,koronahun!$A:$AM,2,FALSE),"")</f>
        <v>3417</v>
      </c>
      <c r="C652">
        <f>IFERROR(VLOOKUP($A652,koronahun!$A:$AM,3,FALSE),"")</f>
        <v>37</v>
      </c>
      <c r="D652">
        <f>IFERROR(VLOOKUP($A652,koronahun!$A:$AM,4,FALSE),"")</f>
        <v>442</v>
      </c>
      <c r="E652">
        <f>IFERROR(VLOOKUP($A652,koronahun!$A:$AM,5,FALSE),"")</f>
        <v>1287</v>
      </c>
      <c r="F652">
        <f>IFERROR(VLOOKUP($A652,koronahun!$A:$AM,6,FALSE),"")</f>
        <v>127237</v>
      </c>
      <c r="G652" s="12">
        <f>IFERROR(VLOOKUP($A652,koronahun!$A:$AM,7,FALSE),"")</f>
        <v>12983.367346938774</v>
      </c>
      <c r="H652">
        <f>IFERROR(VLOOKUP($A652,koronahun!$A:$AM,8,FALSE),"")</f>
        <v>0</v>
      </c>
      <c r="I652" s="13">
        <f>IFERROR(VLOOKUP($A652,koronahun!$A:$AM,9,FALSE),"")</f>
        <v>1.09E-2</v>
      </c>
      <c r="J652" s="13">
        <f>IFERROR(VLOOKUP($A652,koronahun!$A:$AM,10,FALSE),"")</f>
        <v>2.69E-2</v>
      </c>
      <c r="K652" s="13">
        <f>IFERROR(VLOOKUP($A652,koronahun!$A:$AM,11,FALSE),"")</f>
        <v>3.2000000000000001E-2</v>
      </c>
      <c r="L652">
        <f>IFERROR(VLOOKUP($A652,koronahun!$A:$AM,12,FALSE),"")</f>
        <v>1688</v>
      </c>
      <c r="M652" s="13">
        <f>IFERROR(VLOOKUP($A652,koronahun!$A:$AM,13,FALSE),"")</f>
        <v>0.12939999999999999</v>
      </c>
      <c r="N652" s="13">
        <f>IFERROR(VLOOKUP($A652,koronahun!$A:$AM,14,FALSE),"")</f>
        <v>0.37659999999999999</v>
      </c>
      <c r="O652">
        <f>IFERROR(VLOOKUP($A652,koronahun!$A:$AM,15,FALSE),"")</f>
        <v>10954</v>
      </c>
      <c r="P652">
        <f>IFERROR(VLOOKUP($A652,koronahun!$A:$AM,16,FALSE),"")</f>
        <v>3979</v>
      </c>
      <c r="Q652" s="13">
        <f>IFERROR(VLOOKUP($A652,koronahun!$A:$AM,17,FALSE),"")</f>
        <v>9.2999999999999992E-3</v>
      </c>
      <c r="R652">
        <f>IFERROR(VLOOKUP($A652,koronahun!$A:$AM,18,FALSE),"")</f>
        <v>6</v>
      </c>
      <c r="S652">
        <f>IFERROR(VLOOKUP($A652,koronahun!$A:$AM,19,FALSE),"")</f>
        <v>118</v>
      </c>
      <c r="T652">
        <f>IFERROR(VLOOKUP($A652,koronahun!$A:$AM,20,FALSE),"")</f>
        <v>614</v>
      </c>
      <c r="U652">
        <f>IFERROR(VLOOKUP($A652,koronahun!$A:$AM,21,FALSE),"")</f>
        <v>46</v>
      </c>
      <c r="V652" s="13">
        <f>IFERROR(VLOOKUP($A652,koronahun!$A:$AM,22,FALSE),"")</f>
        <v>0.49400058530875035</v>
      </c>
      <c r="W652">
        <f>IFERROR(VLOOKUP($A652,koronahun!$A:$AM,23,FALSE),"")</f>
        <v>-44</v>
      </c>
      <c r="X652">
        <f>IFERROR(VLOOKUP($A652,koronahun!$A:$AM,24,FALSE),"")</f>
        <v>-3</v>
      </c>
      <c r="Y652" s="14">
        <f>IFERROR(VLOOKUP($A652,koronahun!$A:$AM,25,FALSE),"")</f>
        <v>0.36374407582938389</v>
      </c>
      <c r="Z652" s="14">
        <f>IFERROR(VLOOKUP($A652,koronahun!$A:$AM,26,FALSE),"")</f>
        <v>7.4918566775244305E-2</v>
      </c>
      <c r="AA652" s="14">
        <f>IFERROR(VLOOKUP($A652,koronahun!$A:$AM,27,FALSE),"")</f>
        <v>0.7587301587301587</v>
      </c>
      <c r="AB652" s="14">
        <f>IFERROR(VLOOKUP($A652,koronahun!$A:$AM,28,FALSE),"")</f>
        <v>0.59903933052911407</v>
      </c>
      <c r="AC652" s="14">
        <f>IFERROR(VLOOKUP($A652,koronahun!$A:$AM,29,FALSE),"")</f>
        <v>34.142857142857146</v>
      </c>
      <c r="AD652" s="14">
        <f>IFERROR(VLOOKUP($A652,koronahun!$A:$AM,30,FALSE),"")</f>
        <v>7.1428571428571432</v>
      </c>
      <c r="AE652" s="14">
        <f>IFERROR(VLOOKUP($A652,koronahun!$A:$AM,31,FALSE),"")</f>
        <v>4025.5714285714284</v>
      </c>
      <c r="AF652" s="13">
        <f>IFERROR(VLOOKUP($A652,koronahun!$A:$AM,32,FALSE),"")</f>
        <v>8.5714285714285719E-3</v>
      </c>
      <c r="AG652">
        <f>IFERROR(VLOOKUP($A652,koronahun!$A:$AM,33,FALSE),"")</f>
        <v>0</v>
      </c>
      <c r="AH652">
        <f>IFERROR(VLOOKUP($A652,koronahun!$A:$AM,34,FALSE),"")</f>
        <v>0</v>
      </c>
      <c r="AI652">
        <f>IFERROR(VLOOKUP($A652,koronahun!$A:$AM,35,FALSE),"")</f>
        <v>0</v>
      </c>
      <c r="AJ652">
        <f>IFERROR(VLOOKUP($A652,koronahun!$A:$AM,36,FALSE),"")</f>
        <v>0</v>
      </c>
      <c r="AK652">
        <f>IFERROR(VLOOKUP($A652,koronahun!$A:$AM,37,FALSE),"")</f>
        <v>0</v>
      </c>
      <c r="AL652">
        <f>IFERROR(VLOOKUP($A652,koronahun!$A:$AM,38,FALSE),"")</f>
        <v>0</v>
      </c>
      <c r="AM652" s="14">
        <f>IFERROR(VLOOKUP($A652,koronahun!$A:$AM,39,FALSE),"")</f>
        <v>60.285714285714285</v>
      </c>
      <c r="AN652" s="11">
        <f ca="1">IFERROR(__xludf.DUMMYFUNCTION("""COMPUTED_VALUE"""),44544)</f>
        <v>44544</v>
      </c>
      <c r="AO652" s="12">
        <f ca="1">IFERROR(VLOOKUP(AN652,koronahun!A:B,2,FALSE),"")</f>
        <v>1202514</v>
      </c>
      <c r="AP652" s="11">
        <f t="shared" ca="1" si="4"/>
        <v>44544</v>
      </c>
      <c r="AQ652" s="11">
        <f ca="1">IFERROR(__xludf.DUMMYFUNCTION("""COMPUTED_VALUE"""),44621)</f>
        <v>44621</v>
      </c>
      <c r="AR652" s="11">
        <v>43967</v>
      </c>
      <c r="AS652" s="11">
        <f t="shared" si="5"/>
        <v>43967</v>
      </c>
      <c r="AT652" s="11">
        <f ca="1">IFERROR(__xludf.DUMMYFUNCTION("""COMPUTED_VALUE"""),43966)</f>
        <v>43966</v>
      </c>
    </row>
    <row r="653" spans="1:46" ht="13">
      <c r="A653" s="11">
        <v>43965</v>
      </c>
      <c r="B653">
        <f>IFERROR(VLOOKUP($A653,koronahun!$A:$AM,2,FALSE),"")</f>
        <v>3380</v>
      </c>
      <c r="C653">
        <f>IFERROR(VLOOKUP($A653,koronahun!$A:$AM,3,FALSE),"")</f>
        <v>39</v>
      </c>
      <c r="D653">
        <f>IFERROR(VLOOKUP($A653,koronahun!$A:$AM,4,FALSE),"")</f>
        <v>436</v>
      </c>
      <c r="E653">
        <f>IFERROR(VLOOKUP($A653,koronahun!$A:$AM,5,FALSE),"")</f>
        <v>1169</v>
      </c>
      <c r="F653">
        <f>IFERROR(VLOOKUP($A653,koronahun!$A:$AM,6,FALSE),"")</f>
        <v>123258</v>
      </c>
      <c r="G653" s="12">
        <f>IFERROR(VLOOKUP($A653,koronahun!$A:$AM,7,FALSE),"")</f>
        <v>12577.346938775509</v>
      </c>
      <c r="H653">
        <f>IFERROR(VLOOKUP($A653,koronahun!$A:$AM,8,FALSE),"")</f>
        <v>0</v>
      </c>
      <c r="I653" s="13">
        <f>IFERROR(VLOOKUP($A653,koronahun!$A:$AM,9,FALSE),"")</f>
        <v>1.17E-2</v>
      </c>
      <c r="J653" s="13">
        <f>IFERROR(VLOOKUP($A653,koronahun!$A:$AM,10,FALSE),"")</f>
        <v>2.7400000000000001E-2</v>
      </c>
      <c r="K653" s="13">
        <f>IFERROR(VLOOKUP($A653,koronahun!$A:$AM,11,FALSE),"")</f>
        <v>0.04</v>
      </c>
      <c r="L653">
        <f>IFERROR(VLOOKUP($A653,koronahun!$A:$AM,12,FALSE),"")</f>
        <v>1775</v>
      </c>
      <c r="M653" s="13">
        <f>IFERROR(VLOOKUP($A653,koronahun!$A:$AM,13,FALSE),"")</f>
        <v>0.129</v>
      </c>
      <c r="N653" s="13">
        <f>IFERROR(VLOOKUP($A653,koronahun!$A:$AM,14,FALSE),"")</f>
        <v>0.34589999999999999</v>
      </c>
      <c r="O653">
        <f>IFERROR(VLOOKUP($A653,koronahun!$A:$AM,15,FALSE),"")</f>
        <v>11084</v>
      </c>
      <c r="P653">
        <f>IFERROR(VLOOKUP($A653,koronahun!$A:$AM,16,FALSE),"")</f>
        <v>4758</v>
      </c>
      <c r="Q653" s="13">
        <f>IFERROR(VLOOKUP($A653,koronahun!$A:$AM,17,FALSE),"")</f>
        <v>8.2000000000000007E-3</v>
      </c>
      <c r="R653">
        <f>IFERROR(VLOOKUP($A653,koronahun!$A:$AM,18,FALSE),"")</f>
        <v>6</v>
      </c>
      <c r="S653">
        <f>IFERROR(VLOOKUP($A653,koronahun!$A:$AM,19,FALSE),"")</f>
        <v>67</v>
      </c>
      <c r="T653">
        <f>IFERROR(VLOOKUP($A653,koronahun!$A:$AM,20,FALSE),"")</f>
        <v>658</v>
      </c>
      <c r="U653">
        <f>IFERROR(VLOOKUP($A653,koronahun!$A:$AM,21,FALSE),"")</f>
        <v>49</v>
      </c>
      <c r="V653" s="13">
        <f>IFERROR(VLOOKUP($A653,koronahun!$A:$AM,22,FALSE),"")</f>
        <v>0.5251479289940828</v>
      </c>
      <c r="W653">
        <f>IFERROR(VLOOKUP($A653,koronahun!$A:$AM,23,FALSE),"")</f>
        <v>-30</v>
      </c>
      <c r="X653">
        <f>IFERROR(VLOOKUP($A653,koronahun!$A:$AM,24,FALSE),"")</f>
        <v>4</v>
      </c>
      <c r="Y653" s="14">
        <f>IFERROR(VLOOKUP($A653,koronahun!$A:$AM,25,FALSE),"")</f>
        <v>0.37070422535211267</v>
      </c>
      <c r="Z653" s="14">
        <f>IFERROR(VLOOKUP($A653,koronahun!$A:$AM,26,FALSE),"")</f>
        <v>7.4468085106382975E-2</v>
      </c>
      <c r="AA653" s="14">
        <f>IFERROR(VLOOKUP($A653,koronahun!$A:$AM,27,FALSE),"")</f>
        <v>0.61333333333333329</v>
      </c>
      <c r="AB653" s="14">
        <f>IFERROR(VLOOKUP($A653,koronahun!$A:$AM,28,FALSE),"")</f>
        <v>0.58439930785337701</v>
      </c>
      <c r="AC653" s="14">
        <f>IFERROR(VLOOKUP($A653,koronahun!$A:$AM,29,FALSE),"")</f>
        <v>32.857142857142854</v>
      </c>
      <c r="AD653" s="14">
        <f>IFERROR(VLOOKUP($A653,koronahun!$A:$AM,30,FALSE),"")</f>
        <v>7.5714285714285712</v>
      </c>
      <c r="AE653" s="14">
        <f>IFERROR(VLOOKUP($A653,koronahun!$A:$AM,31,FALSE),"")</f>
        <v>4174.5714285714284</v>
      </c>
      <c r="AF653" s="13">
        <f>IFERROR(VLOOKUP($A653,koronahun!$A:$AM,32,FALSE),"")</f>
        <v>8.0428571428571433E-3</v>
      </c>
      <c r="AG653">
        <f>IFERROR(VLOOKUP($A653,koronahun!$A:$AM,33,FALSE),"")</f>
        <v>0</v>
      </c>
      <c r="AH653">
        <f>IFERROR(VLOOKUP($A653,koronahun!$A:$AM,34,FALSE),"")</f>
        <v>0</v>
      </c>
      <c r="AI653">
        <f>IFERROR(VLOOKUP($A653,koronahun!$A:$AM,35,FALSE),"")</f>
        <v>0</v>
      </c>
      <c r="AJ653">
        <f>IFERROR(VLOOKUP($A653,koronahun!$A:$AM,36,FALSE),"")</f>
        <v>0</v>
      </c>
      <c r="AK653">
        <f>IFERROR(VLOOKUP($A653,koronahun!$A:$AM,37,FALSE),"")</f>
        <v>0</v>
      </c>
      <c r="AL653">
        <f>IFERROR(VLOOKUP($A653,koronahun!$A:$AM,38,FALSE),"")</f>
        <v>0</v>
      </c>
      <c r="AM653" s="14">
        <f>IFERROR(VLOOKUP($A653,koronahun!$A:$AM,39,FALSE),"")</f>
        <v>52.571428571428569</v>
      </c>
      <c r="AN653" s="11">
        <f ca="1">IFERROR(__xludf.DUMMYFUNCTION("""COMPUTED_VALUE"""),44545)</f>
        <v>44545</v>
      </c>
      <c r="AO653" s="12">
        <f ca="1">IFERROR(VLOOKUP(AN653,koronahun!A:B,2,FALSE),"")</f>
        <v>1208020</v>
      </c>
      <c r="AP653" s="11">
        <f t="shared" ca="1" si="4"/>
        <v>44545</v>
      </c>
      <c r="AQ653" s="11">
        <f ca="1">IFERROR(__xludf.DUMMYFUNCTION("""COMPUTED_VALUE"""),44622)</f>
        <v>44622</v>
      </c>
      <c r="AR653" s="11">
        <v>43966</v>
      </c>
      <c r="AS653" s="11">
        <f t="shared" si="5"/>
        <v>43966</v>
      </c>
      <c r="AT653" s="11">
        <f ca="1">IFERROR(__xludf.DUMMYFUNCTION("""COMPUTED_VALUE"""),43965)</f>
        <v>43965</v>
      </c>
    </row>
    <row r="654" spans="1:46" ht="13">
      <c r="A654" s="11">
        <v>43964</v>
      </c>
      <c r="B654">
        <f>IFERROR(VLOOKUP($A654,koronahun!$A:$AM,2,FALSE),"")</f>
        <v>3341</v>
      </c>
      <c r="C654">
        <f>IFERROR(VLOOKUP($A654,koronahun!$A:$AM,3,FALSE),"")</f>
        <v>28</v>
      </c>
      <c r="D654">
        <f>IFERROR(VLOOKUP($A654,koronahun!$A:$AM,4,FALSE),"")</f>
        <v>430</v>
      </c>
      <c r="E654">
        <f>IFERROR(VLOOKUP($A654,koronahun!$A:$AM,5,FALSE),"")</f>
        <v>1102</v>
      </c>
      <c r="F654">
        <f>IFERROR(VLOOKUP($A654,koronahun!$A:$AM,6,FALSE),"")</f>
        <v>118500</v>
      </c>
      <c r="G654" s="12">
        <f>IFERROR(VLOOKUP($A654,koronahun!$A:$AM,7,FALSE),"")</f>
        <v>12091.836734693876</v>
      </c>
      <c r="H654">
        <f>IFERROR(VLOOKUP($A654,koronahun!$A:$AM,8,FALSE),"")</f>
        <v>0</v>
      </c>
      <c r="I654" s="13">
        <f>IFERROR(VLOOKUP($A654,koronahun!$A:$AM,9,FALSE),"")</f>
        <v>8.5000000000000006E-3</v>
      </c>
      <c r="J654" s="13">
        <f>IFERROR(VLOOKUP($A654,koronahun!$A:$AM,10,FALSE),"")</f>
        <v>2.8199999999999999E-2</v>
      </c>
      <c r="K654" s="13">
        <f>IFERROR(VLOOKUP($A654,koronahun!$A:$AM,11,FALSE),"")</f>
        <v>3.3000000000000002E-2</v>
      </c>
      <c r="L654">
        <f>IFERROR(VLOOKUP($A654,koronahun!$A:$AM,12,FALSE),"")</f>
        <v>1809</v>
      </c>
      <c r="M654" s="13">
        <f>IFERROR(VLOOKUP($A654,koronahun!$A:$AM,13,FALSE),"")</f>
        <v>0.12870000000000001</v>
      </c>
      <c r="N654" s="13">
        <f>IFERROR(VLOOKUP($A654,koronahun!$A:$AM,14,FALSE),"")</f>
        <v>0.32979999999999998</v>
      </c>
      <c r="O654">
        <f>IFERROR(VLOOKUP($A654,koronahun!$A:$AM,15,FALSE),"")</f>
        <v>11053</v>
      </c>
      <c r="P654">
        <f>IFERROR(VLOOKUP($A654,koronahun!$A:$AM,16,FALSE),"")</f>
        <v>3781</v>
      </c>
      <c r="Q654" s="13">
        <f>IFERROR(VLOOKUP($A654,koronahun!$A:$AM,17,FALSE),"")</f>
        <v>7.4000000000000003E-3</v>
      </c>
      <c r="R654">
        <f>IFERROR(VLOOKUP($A654,koronahun!$A:$AM,18,FALSE),"")</f>
        <v>5</v>
      </c>
      <c r="S654">
        <f>IFERROR(VLOOKUP($A654,koronahun!$A:$AM,19,FALSE),"")</f>
        <v>95</v>
      </c>
      <c r="T654">
        <f>IFERROR(VLOOKUP($A654,koronahun!$A:$AM,20,FALSE),"")</f>
        <v>688</v>
      </c>
      <c r="U654">
        <f>IFERROR(VLOOKUP($A654,koronahun!$A:$AM,21,FALSE),"")</f>
        <v>45</v>
      </c>
      <c r="V654" s="13">
        <f>IFERROR(VLOOKUP($A654,koronahun!$A:$AM,22,FALSE),"")</f>
        <v>0.54145465429512118</v>
      </c>
      <c r="W654">
        <f>IFERROR(VLOOKUP($A654,koronahun!$A:$AM,23,FALSE),"")</f>
        <v>-58</v>
      </c>
      <c r="X654">
        <f>IFERROR(VLOOKUP($A654,koronahun!$A:$AM,24,FALSE),"")</f>
        <v>0</v>
      </c>
      <c r="Y654" s="14">
        <f>IFERROR(VLOOKUP($A654,koronahun!$A:$AM,25,FALSE),"")</f>
        <v>0.38032061912658927</v>
      </c>
      <c r="Z654" s="14">
        <f>IFERROR(VLOOKUP($A654,koronahun!$A:$AM,26,FALSE),"")</f>
        <v>6.5406976744186052E-2</v>
      </c>
      <c r="AA654" s="14">
        <f>IFERROR(VLOOKUP($A654,koronahun!$A:$AM,27,FALSE),"")</f>
        <v>0.59895833333333337</v>
      </c>
      <c r="AB654" s="14">
        <f>IFERROR(VLOOKUP($A654,koronahun!$A:$AM,28,FALSE),"")</f>
        <v>0.60588703940220845</v>
      </c>
      <c r="AC654" s="14">
        <f>IFERROR(VLOOKUP($A654,koronahun!$A:$AM,29,FALSE),"")</f>
        <v>32.857142857142854</v>
      </c>
      <c r="AD654" s="14">
        <f>IFERROR(VLOOKUP($A654,koronahun!$A:$AM,30,FALSE),"")</f>
        <v>8.1428571428571423</v>
      </c>
      <c r="AE654" s="14">
        <f>IFERROR(VLOOKUP($A654,koronahun!$A:$AM,31,FALSE),"")</f>
        <v>4252.1428571428569</v>
      </c>
      <c r="AF654" s="13">
        <f>IFERROR(VLOOKUP($A654,koronahun!$A:$AM,32,FALSE),"")</f>
        <v>7.9285714285714289E-3</v>
      </c>
      <c r="AG654">
        <f>IFERROR(VLOOKUP($A654,koronahun!$A:$AM,33,FALSE),"")</f>
        <v>0</v>
      </c>
      <c r="AH654">
        <f>IFERROR(VLOOKUP($A654,koronahun!$A:$AM,34,FALSE),"")</f>
        <v>0</v>
      </c>
      <c r="AI654">
        <f>IFERROR(VLOOKUP($A654,koronahun!$A:$AM,35,FALSE),"")</f>
        <v>0</v>
      </c>
      <c r="AJ654">
        <f>IFERROR(VLOOKUP($A654,koronahun!$A:$AM,36,FALSE),"")</f>
        <v>0</v>
      </c>
      <c r="AK654">
        <f>IFERROR(VLOOKUP($A654,koronahun!$A:$AM,37,FALSE),"")</f>
        <v>0</v>
      </c>
      <c r="AL654">
        <f>IFERROR(VLOOKUP($A654,koronahun!$A:$AM,38,FALSE),"")</f>
        <v>0</v>
      </c>
      <c r="AM654" s="14">
        <f>IFERROR(VLOOKUP($A654,koronahun!$A:$AM,39,FALSE),"")</f>
        <v>49</v>
      </c>
      <c r="AN654" s="11">
        <f ca="1">IFERROR(__xludf.DUMMYFUNCTION("""COMPUTED_VALUE"""),44546)</f>
        <v>44546</v>
      </c>
      <c r="AO654" s="12">
        <f ca="1">IFERROR(VLOOKUP(AN654,koronahun!A:B,2,FALSE),"")</f>
        <v>1213318</v>
      </c>
      <c r="AP654" s="11">
        <f t="shared" ca="1" si="4"/>
        <v>44546</v>
      </c>
      <c r="AQ654" s="11">
        <f ca="1">IFERROR(__xludf.DUMMYFUNCTION("""COMPUTED_VALUE"""),44623)</f>
        <v>44623</v>
      </c>
      <c r="AR654" s="11">
        <v>43965</v>
      </c>
      <c r="AS654" s="11">
        <f t="shared" si="5"/>
        <v>43965</v>
      </c>
      <c r="AT654" s="11">
        <f ca="1">IFERROR(__xludf.DUMMYFUNCTION("""COMPUTED_VALUE"""),43964)</f>
        <v>43964</v>
      </c>
    </row>
    <row r="655" spans="1:46" ht="13">
      <c r="A655" s="11">
        <v>43963</v>
      </c>
      <c r="B655">
        <f>IFERROR(VLOOKUP($A655,koronahun!$A:$AM,2,FALSE),"")</f>
        <v>3313</v>
      </c>
      <c r="C655">
        <f>IFERROR(VLOOKUP($A655,koronahun!$A:$AM,3,FALSE),"")</f>
        <v>29</v>
      </c>
      <c r="D655">
        <f>IFERROR(VLOOKUP($A655,koronahun!$A:$AM,4,FALSE),"")</f>
        <v>425</v>
      </c>
      <c r="E655">
        <f>IFERROR(VLOOKUP($A655,koronahun!$A:$AM,5,FALSE),"")</f>
        <v>1007</v>
      </c>
      <c r="F655">
        <f>IFERROR(VLOOKUP($A655,koronahun!$A:$AM,6,FALSE),"")</f>
        <v>114719</v>
      </c>
      <c r="G655" s="12">
        <f>IFERROR(VLOOKUP($A655,koronahun!$A:$AM,7,FALSE),"")</f>
        <v>11706.020408163264</v>
      </c>
      <c r="H655">
        <f>IFERROR(VLOOKUP($A655,koronahun!$A:$AM,8,FALSE),"")</f>
        <v>0</v>
      </c>
      <c r="I655" s="13">
        <f>IFERROR(VLOOKUP($A655,koronahun!$A:$AM,9,FALSE),"")</f>
        <v>8.8000000000000005E-3</v>
      </c>
      <c r="J655" s="13">
        <f>IFERROR(VLOOKUP($A655,koronahun!$A:$AM,10,FALSE),"")</f>
        <v>2.8899999999999999E-2</v>
      </c>
      <c r="K655" s="13">
        <f>IFERROR(VLOOKUP($A655,koronahun!$A:$AM,11,FALSE),"")</f>
        <v>2.3E-2</v>
      </c>
      <c r="L655">
        <f>IFERROR(VLOOKUP($A655,koronahun!$A:$AM,12,FALSE),"")</f>
        <v>1881</v>
      </c>
      <c r="M655" s="13">
        <f>IFERROR(VLOOKUP($A655,koronahun!$A:$AM,13,FALSE),"")</f>
        <v>0.1283</v>
      </c>
      <c r="N655" s="13">
        <f>IFERROR(VLOOKUP($A655,koronahun!$A:$AM,14,FALSE),"")</f>
        <v>0.30399999999999999</v>
      </c>
      <c r="O655">
        <f>IFERROR(VLOOKUP($A655,koronahun!$A:$AM,15,FALSE),"")</f>
        <v>11016</v>
      </c>
      <c r="P655">
        <f>IFERROR(VLOOKUP($A655,koronahun!$A:$AM,16,FALSE),"")</f>
        <v>2554</v>
      </c>
      <c r="Q655" s="13">
        <f>IFERROR(VLOOKUP($A655,koronahun!$A:$AM,17,FALSE),"")</f>
        <v>1.14E-2</v>
      </c>
      <c r="R655">
        <f>IFERROR(VLOOKUP($A655,koronahun!$A:$AM,18,FALSE),"")</f>
        <v>4</v>
      </c>
      <c r="S655">
        <f>IFERROR(VLOOKUP($A655,koronahun!$A:$AM,19,FALSE),"")</f>
        <v>49</v>
      </c>
      <c r="T655">
        <f>IFERROR(VLOOKUP($A655,koronahun!$A:$AM,20,FALSE),"")</f>
        <v>746</v>
      </c>
      <c r="U655">
        <f>IFERROR(VLOOKUP($A655,koronahun!$A:$AM,21,FALSE),"")</f>
        <v>45</v>
      </c>
      <c r="V655" s="13">
        <f>IFERROR(VLOOKUP($A655,koronahun!$A:$AM,22,FALSE),"")</f>
        <v>0.56776335647449439</v>
      </c>
      <c r="W655">
        <f>IFERROR(VLOOKUP($A655,koronahun!$A:$AM,23,FALSE),"")</f>
        <v>-36</v>
      </c>
      <c r="X655">
        <f>IFERROR(VLOOKUP($A655,koronahun!$A:$AM,24,FALSE),"")</f>
        <v>0</v>
      </c>
      <c r="Y655" s="14">
        <f>IFERROR(VLOOKUP($A655,koronahun!$A:$AM,25,FALSE),"")</f>
        <v>0.39659755449229134</v>
      </c>
      <c r="Z655" s="14">
        <f>IFERROR(VLOOKUP($A655,koronahun!$A:$AM,26,FALSE),"")</f>
        <v>6.0321715817694369E-2</v>
      </c>
      <c r="AA655" s="14">
        <f>IFERROR(VLOOKUP($A655,koronahun!$A:$AM,27,FALSE),"")</f>
        <v>0.59615384615384615</v>
      </c>
      <c r="AB655" s="14">
        <f>IFERROR(VLOOKUP($A655,koronahun!$A:$AM,28,FALSE),"")</f>
        <v>0.61845598692755122</v>
      </c>
      <c r="AC655" s="14">
        <f>IFERROR(VLOOKUP($A655,koronahun!$A:$AM,29,FALSE),"")</f>
        <v>35.428571428571431</v>
      </c>
      <c r="AD655" s="14">
        <f>IFERROR(VLOOKUP($A655,koronahun!$A:$AM,30,FALSE),"")</f>
        <v>8.8571428571428577</v>
      </c>
      <c r="AE655" s="14">
        <f>IFERROR(VLOOKUP($A655,koronahun!$A:$AM,31,FALSE),"")</f>
        <v>4166</v>
      </c>
      <c r="AF655" s="13">
        <f>IFERROR(VLOOKUP($A655,koronahun!$A:$AM,32,FALSE),"")</f>
        <v>8.9428571428571448E-3</v>
      </c>
      <c r="AG655">
        <f>IFERROR(VLOOKUP($A655,koronahun!$A:$AM,33,FALSE),"")</f>
        <v>0</v>
      </c>
      <c r="AH655">
        <f>IFERROR(VLOOKUP($A655,koronahun!$A:$AM,34,FALSE),"")</f>
        <v>0</v>
      </c>
      <c r="AI655">
        <f>IFERROR(VLOOKUP($A655,koronahun!$A:$AM,35,FALSE),"")</f>
        <v>0</v>
      </c>
      <c r="AJ655">
        <f>IFERROR(VLOOKUP($A655,koronahun!$A:$AM,36,FALSE),"")</f>
        <v>0</v>
      </c>
      <c r="AK655">
        <f>IFERROR(VLOOKUP($A655,koronahun!$A:$AM,37,FALSE),"")</f>
        <v>0</v>
      </c>
      <c r="AL655">
        <f>IFERROR(VLOOKUP($A655,koronahun!$A:$AM,38,FALSE),"")</f>
        <v>0</v>
      </c>
      <c r="AM655" s="14">
        <f>IFERROR(VLOOKUP($A655,koronahun!$A:$AM,39,FALSE),"")</f>
        <v>42.571428571428569</v>
      </c>
      <c r="AN655" s="11">
        <f ca="1">IFERROR(__xludf.DUMMYFUNCTION("""COMPUTED_VALUE"""),44547)</f>
        <v>44547</v>
      </c>
      <c r="AO655" s="12">
        <f ca="1">IFERROR(VLOOKUP(AN655,koronahun!A:B,2,FALSE),"")</f>
        <v>1218295</v>
      </c>
      <c r="AP655" s="11">
        <f t="shared" ca="1" si="4"/>
        <v>44547</v>
      </c>
      <c r="AQ655" s="11">
        <f ca="1">IFERROR(__xludf.DUMMYFUNCTION("""COMPUTED_VALUE"""),44624)</f>
        <v>44624</v>
      </c>
      <c r="AR655" s="11">
        <v>43964</v>
      </c>
      <c r="AS655" s="11">
        <f t="shared" si="5"/>
        <v>43964</v>
      </c>
      <c r="AT655" s="11">
        <f ca="1">IFERROR(__xludf.DUMMYFUNCTION("""COMPUTED_VALUE"""),43963)</f>
        <v>43963</v>
      </c>
    </row>
    <row r="656" spans="1:46" ht="13">
      <c r="A656" s="11">
        <v>43962</v>
      </c>
      <c r="B656">
        <f>IFERROR(VLOOKUP($A656,koronahun!$A:$AM,2,FALSE),"")</f>
        <v>3284</v>
      </c>
      <c r="C656">
        <f>IFERROR(VLOOKUP($A656,koronahun!$A:$AM,3,FALSE),"")</f>
        <v>21</v>
      </c>
      <c r="D656">
        <f>IFERROR(VLOOKUP($A656,koronahun!$A:$AM,4,FALSE),"")</f>
        <v>421</v>
      </c>
      <c r="E656">
        <f>IFERROR(VLOOKUP($A656,koronahun!$A:$AM,5,FALSE),"")</f>
        <v>958</v>
      </c>
      <c r="F656">
        <f>IFERROR(VLOOKUP($A656,koronahun!$A:$AM,6,FALSE),"")</f>
        <v>112165</v>
      </c>
      <c r="G656" s="12">
        <f>IFERROR(VLOOKUP($A656,koronahun!$A:$AM,7,FALSE),"")</f>
        <v>11445.408163265305</v>
      </c>
      <c r="H656">
        <f>IFERROR(VLOOKUP($A656,koronahun!$A:$AM,8,FALSE),"")</f>
        <v>0</v>
      </c>
      <c r="I656" s="13">
        <f>IFERROR(VLOOKUP($A656,koronahun!$A:$AM,9,FALSE),"")</f>
        <v>6.4000000000000003E-3</v>
      </c>
      <c r="J656" s="13">
        <f>IFERROR(VLOOKUP($A656,koronahun!$A:$AM,10,FALSE),"")</f>
        <v>2.93E-2</v>
      </c>
      <c r="K656" s="13">
        <f>IFERROR(VLOOKUP($A656,koronahun!$A:$AM,11,FALSE),"")</f>
        <v>3.5999999999999997E-2</v>
      </c>
      <c r="L656">
        <f>IFERROR(VLOOKUP($A656,koronahun!$A:$AM,12,FALSE),"")</f>
        <v>1905</v>
      </c>
      <c r="M656" s="13">
        <f>IFERROR(VLOOKUP($A656,koronahun!$A:$AM,13,FALSE),"")</f>
        <v>0.12820000000000001</v>
      </c>
      <c r="N656" s="13">
        <f>IFERROR(VLOOKUP($A656,koronahun!$A:$AM,14,FALSE),"")</f>
        <v>0.29170000000000001</v>
      </c>
      <c r="O656">
        <f>IFERROR(VLOOKUP($A656,koronahun!$A:$AM,15,FALSE),"")</f>
        <v>10955</v>
      </c>
      <c r="P656">
        <f>IFERROR(VLOOKUP($A656,koronahun!$A:$AM,16,FALSE),"")</f>
        <v>3908</v>
      </c>
      <c r="Q656" s="13">
        <f>IFERROR(VLOOKUP($A656,koronahun!$A:$AM,17,FALSE),"")</f>
        <v>5.4000000000000003E-3</v>
      </c>
      <c r="R656">
        <f>IFERROR(VLOOKUP($A656,koronahun!$A:$AM,18,FALSE),"")</f>
        <v>8</v>
      </c>
      <c r="S656">
        <f>IFERROR(VLOOKUP($A656,koronahun!$A:$AM,19,FALSE),"")</f>
        <v>25</v>
      </c>
      <c r="T656">
        <f>IFERROR(VLOOKUP($A656,koronahun!$A:$AM,20,FALSE),"")</f>
        <v>782</v>
      </c>
      <c r="U656">
        <f>IFERROR(VLOOKUP($A656,koronahun!$A:$AM,21,FALSE),"")</f>
        <v>45</v>
      </c>
      <c r="V656" s="13">
        <f>IFERROR(VLOOKUP($A656,koronahun!$A:$AM,22,FALSE),"")</f>
        <v>0.58008526187576126</v>
      </c>
      <c r="W656">
        <f>IFERROR(VLOOKUP($A656,koronahun!$A:$AM,23,FALSE),"")</f>
        <v>-30</v>
      </c>
      <c r="X656">
        <f>IFERROR(VLOOKUP($A656,koronahun!$A:$AM,24,FALSE),"")</f>
        <v>-5</v>
      </c>
      <c r="Y656" s="14">
        <f>IFERROR(VLOOKUP($A656,koronahun!$A:$AM,25,FALSE),"")</f>
        <v>0.41049868766404202</v>
      </c>
      <c r="Z656" s="14">
        <f>IFERROR(VLOOKUP($A656,koronahun!$A:$AM,26,FALSE),"")</f>
        <v>5.754475703324808E-2</v>
      </c>
      <c r="AA656" s="14">
        <f>IFERROR(VLOOKUP($A656,koronahun!$A:$AM,27,FALSE),"")</f>
        <v>0.55088495575221241</v>
      </c>
      <c r="AB656" s="14">
        <f>IFERROR(VLOOKUP($A656,koronahun!$A:$AM,28,FALSE),"")</f>
        <v>0.64114699827555</v>
      </c>
      <c r="AC656" s="14">
        <f>IFERROR(VLOOKUP($A656,koronahun!$A:$AM,29,FALSE),"")</f>
        <v>35.571428571428569</v>
      </c>
      <c r="AD656" s="14">
        <f>IFERROR(VLOOKUP($A656,koronahun!$A:$AM,30,FALSE),"")</f>
        <v>10</v>
      </c>
      <c r="AE656" s="14">
        <f>IFERROR(VLOOKUP($A656,koronahun!$A:$AM,31,FALSE),"")</f>
        <v>4029.5714285714284</v>
      </c>
      <c r="AF656" s="13">
        <f>IFERROR(VLOOKUP($A656,koronahun!$A:$AM,32,FALSE),"")</f>
        <v>0.01</v>
      </c>
      <c r="AG656">
        <f>IFERROR(VLOOKUP($A656,koronahun!$A:$AM,33,FALSE),"")</f>
        <v>0</v>
      </c>
      <c r="AH656">
        <f>IFERROR(VLOOKUP($A656,koronahun!$A:$AM,34,FALSE),"")</f>
        <v>0</v>
      </c>
      <c r="AI656">
        <f>IFERROR(VLOOKUP($A656,koronahun!$A:$AM,35,FALSE),"")</f>
        <v>0</v>
      </c>
      <c r="AJ656">
        <f>IFERROR(VLOOKUP($A656,koronahun!$A:$AM,36,FALSE),"")</f>
        <v>0</v>
      </c>
      <c r="AK656">
        <f>IFERROR(VLOOKUP($A656,koronahun!$A:$AM,37,FALSE),"")</f>
        <v>0</v>
      </c>
      <c r="AL656">
        <f>IFERROR(VLOOKUP($A656,koronahun!$A:$AM,38,FALSE),"")</f>
        <v>0</v>
      </c>
      <c r="AM656" s="14">
        <f>IFERROR(VLOOKUP($A656,koronahun!$A:$AM,39,FALSE),"")</f>
        <v>46.857142857142854</v>
      </c>
      <c r="AN656" s="11">
        <f ca="1">IFERROR(__xludf.DUMMYFUNCTION("""COMPUTED_VALUE"""),44548)</f>
        <v>44548</v>
      </c>
      <c r="AO656" s="12">
        <f ca="1">IFERROR(VLOOKUP(AN656,koronahun!A:B,2,FALSE),"")</f>
        <v>0</v>
      </c>
      <c r="AP656" s="11">
        <f t="shared" ca="1" si="4"/>
        <v>44548</v>
      </c>
      <c r="AQ656" s="11">
        <f ca="1">IFERROR(__xludf.DUMMYFUNCTION("""COMPUTED_VALUE"""),44627)</f>
        <v>44627</v>
      </c>
      <c r="AR656" s="11">
        <v>43963</v>
      </c>
      <c r="AS656" s="11">
        <f t="shared" si="5"/>
        <v>43963</v>
      </c>
      <c r="AT656" s="11">
        <f ca="1">IFERROR(__xludf.DUMMYFUNCTION("""COMPUTED_VALUE"""),43962)</f>
        <v>43962</v>
      </c>
    </row>
    <row r="657" spans="1:46" ht="13">
      <c r="A657" s="11">
        <v>43961</v>
      </c>
      <c r="B657">
        <f>IFERROR(VLOOKUP($A657,koronahun!$A:$AM,2,FALSE),"")</f>
        <v>3263</v>
      </c>
      <c r="C657">
        <f>IFERROR(VLOOKUP($A657,koronahun!$A:$AM,3,FALSE),"")</f>
        <v>50</v>
      </c>
      <c r="D657">
        <f>IFERROR(VLOOKUP($A657,koronahun!$A:$AM,4,FALSE),"")</f>
        <v>413</v>
      </c>
      <c r="E657">
        <f>IFERROR(VLOOKUP($A657,koronahun!$A:$AM,5,FALSE),"")</f>
        <v>933</v>
      </c>
      <c r="F657">
        <f>IFERROR(VLOOKUP($A657,koronahun!$A:$AM,6,FALSE),"")</f>
        <v>108257</v>
      </c>
      <c r="G657" s="12">
        <f>IFERROR(VLOOKUP($A657,koronahun!$A:$AM,7,FALSE),"")</f>
        <v>11046.632653061224</v>
      </c>
      <c r="H657">
        <f>IFERROR(VLOOKUP($A657,koronahun!$A:$AM,8,FALSE),"")</f>
        <v>0</v>
      </c>
      <c r="I657" s="13">
        <f>IFERROR(VLOOKUP($A657,koronahun!$A:$AM,9,FALSE),"")</f>
        <v>1.5599999999999999E-2</v>
      </c>
      <c r="J657" s="13">
        <f>IFERROR(VLOOKUP($A657,koronahun!$A:$AM,10,FALSE),"")</f>
        <v>3.0099999999999998E-2</v>
      </c>
      <c r="K657" s="13">
        <f>IFERROR(VLOOKUP($A657,koronahun!$A:$AM,11,FALSE),"")</f>
        <v>4.8000000000000001E-2</v>
      </c>
      <c r="L657">
        <f>IFERROR(VLOOKUP($A657,koronahun!$A:$AM,12,FALSE),"")</f>
        <v>1917</v>
      </c>
      <c r="M657" s="13">
        <f>IFERROR(VLOOKUP($A657,koronahun!$A:$AM,13,FALSE),"")</f>
        <v>0.12659999999999999</v>
      </c>
      <c r="N657" s="13">
        <f>IFERROR(VLOOKUP($A657,koronahun!$A:$AM,14,FALSE),"")</f>
        <v>0.28589999999999999</v>
      </c>
      <c r="O657">
        <f>IFERROR(VLOOKUP($A657,koronahun!$A:$AM,15,FALSE),"")</f>
        <v>10356</v>
      </c>
      <c r="P657">
        <f>IFERROR(VLOOKUP($A657,koronahun!$A:$AM,16,FALSE),"")</f>
        <v>4999</v>
      </c>
      <c r="Q657" s="13">
        <f>IFERROR(VLOOKUP($A657,koronahun!$A:$AM,17,FALSE),"")</f>
        <v>0.01</v>
      </c>
      <c r="R657">
        <f>IFERROR(VLOOKUP($A657,koronahun!$A:$AM,18,FALSE),"")</f>
        <v>8</v>
      </c>
      <c r="S657">
        <f>IFERROR(VLOOKUP($A657,koronahun!$A:$AM,19,FALSE),"")</f>
        <v>29</v>
      </c>
      <c r="T657">
        <f>IFERROR(VLOOKUP($A657,koronahun!$A:$AM,20,FALSE),"")</f>
        <v>812</v>
      </c>
      <c r="U657">
        <f>IFERROR(VLOOKUP($A657,koronahun!$A:$AM,21,FALSE),"")</f>
        <v>50</v>
      </c>
      <c r="V657" s="13">
        <f>IFERROR(VLOOKUP($A657,koronahun!$A:$AM,22,FALSE),"")</f>
        <v>0.58749616916947589</v>
      </c>
      <c r="W657">
        <f>IFERROR(VLOOKUP($A657,koronahun!$A:$AM,23,FALSE),"")</f>
        <v>-63</v>
      </c>
      <c r="X657">
        <f>IFERROR(VLOOKUP($A657,koronahun!$A:$AM,24,FALSE),"")</f>
        <v>50</v>
      </c>
      <c r="Y657" s="14">
        <f>IFERROR(VLOOKUP($A657,koronahun!$A:$AM,25,FALSE),"")</f>
        <v>0.42357850808555036</v>
      </c>
      <c r="Z657" s="14">
        <f>IFERROR(VLOOKUP($A657,koronahun!$A:$AM,26,FALSE),"")</f>
        <v>6.1576354679802957E-2</v>
      </c>
      <c r="AA657" s="14">
        <f>IFERROR(VLOOKUP($A657,koronahun!$A:$AM,27,FALSE),"")</f>
        <v>0.53212851405622486</v>
      </c>
      <c r="AB657" s="14">
        <f>IFERROR(VLOOKUP($A657,koronahun!$A:$AM,28,FALSE),"")</f>
        <v>0.67024785959308508</v>
      </c>
      <c r="AC657" s="14">
        <f>IFERROR(VLOOKUP($A657,koronahun!$A:$AM,29,FALSE),"")</f>
        <v>37.857142857142854</v>
      </c>
      <c r="AD657" s="14">
        <f>IFERROR(VLOOKUP($A657,koronahun!$A:$AM,30,FALSE),"")</f>
        <v>10.428571428571429</v>
      </c>
      <c r="AE657" s="14">
        <f>IFERROR(VLOOKUP($A657,koronahun!$A:$AM,31,FALSE),"")</f>
        <v>3749.5714285714284</v>
      </c>
      <c r="AF657" s="13">
        <f>IFERROR(VLOOKUP($A657,koronahun!$A:$AM,32,FALSE),"")</f>
        <v>1.1942857142857142E-2</v>
      </c>
      <c r="AG657">
        <f>IFERROR(VLOOKUP($A657,koronahun!$A:$AM,33,FALSE),"")</f>
        <v>0</v>
      </c>
      <c r="AH657">
        <f>IFERROR(VLOOKUP($A657,koronahun!$A:$AM,34,FALSE),"")</f>
        <v>0</v>
      </c>
      <c r="AI657">
        <f>IFERROR(VLOOKUP($A657,koronahun!$A:$AM,35,FALSE),"")</f>
        <v>0</v>
      </c>
      <c r="AJ657">
        <f>IFERROR(VLOOKUP($A657,koronahun!$A:$AM,36,FALSE),"")</f>
        <v>0</v>
      </c>
      <c r="AK657">
        <f>IFERROR(VLOOKUP($A657,koronahun!$A:$AM,37,FALSE),"")</f>
        <v>0</v>
      </c>
      <c r="AL657">
        <f>IFERROR(VLOOKUP($A657,koronahun!$A:$AM,38,FALSE),"")</f>
        <v>0</v>
      </c>
      <c r="AM657" s="14">
        <f>IFERROR(VLOOKUP($A657,koronahun!$A:$AM,39,FALSE),"")</f>
        <v>43.428571428571431</v>
      </c>
      <c r="AN657" s="11">
        <f ca="1">IFERROR(__xludf.DUMMYFUNCTION("""COMPUTED_VALUE"""),44549)</f>
        <v>44549</v>
      </c>
      <c r="AO657" s="12">
        <f ca="1">IFERROR(VLOOKUP(AN657,koronahun!A:B,2,FALSE),"")</f>
        <v>0</v>
      </c>
      <c r="AP657" s="11">
        <f t="shared" ca="1" si="4"/>
        <v>44549</v>
      </c>
      <c r="AQ657" s="11">
        <f ca="1">IFERROR(__xludf.DUMMYFUNCTION("""COMPUTED_VALUE"""),44628)</f>
        <v>44628</v>
      </c>
      <c r="AR657" s="11">
        <v>43962</v>
      </c>
      <c r="AS657" s="11">
        <f t="shared" si="5"/>
        <v>43962</v>
      </c>
      <c r="AT657" s="11">
        <f ca="1">IFERROR(__xludf.DUMMYFUNCTION("""COMPUTED_VALUE"""),43961)</f>
        <v>43961</v>
      </c>
    </row>
    <row r="658" spans="1:46" ht="13">
      <c r="A658" s="11">
        <v>43960</v>
      </c>
      <c r="B658">
        <f>IFERROR(VLOOKUP($A658,koronahun!$A:$AM,2,FALSE),"")</f>
        <v>3213</v>
      </c>
      <c r="C658">
        <f>IFERROR(VLOOKUP($A658,koronahun!$A:$AM,3,FALSE),"")</f>
        <v>35</v>
      </c>
      <c r="D658">
        <f>IFERROR(VLOOKUP($A658,koronahun!$A:$AM,4,FALSE),"")</f>
        <v>405</v>
      </c>
      <c r="E658">
        <f>IFERROR(VLOOKUP($A658,koronahun!$A:$AM,5,FALSE),"")</f>
        <v>904</v>
      </c>
      <c r="F658">
        <f>IFERROR(VLOOKUP($A658,koronahun!$A:$AM,6,FALSE),"")</f>
        <v>103258</v>
      </c>
      <c r="G658" s="12">
        <f>IFERROR(VLOOKUP($A658,koronahun!$A:$AM,7,FALSE),"")</f>
        <v>10536.530612244896</v>
      </c>
      <c r="H658">
        <f>IFERROR(VLOOKUP($A658,koronahun!$A:$AM,8,FALSE),"")</f>
        <v>0</v>
      </c>
      <c r="I658" s="13">
        <f>IFERROR(VLOOKUP($A658,koronahun!$A:$AM,9,FALSE),"")</f>
        <v>1.0999999999999999E-2</v>
      </c>
      <c r="J658" s="13">
        <f>IFERROR(VLOOKUP($A658,koronahun!$A:$AM,10,FALSE),"")</f>
        <v>3.1099999999999999E-2</v>
      </c>
      <c r="K658" s="13">
        <f>IFERROR(VLOOKUP($A658,koronahun!$A:$AM,11,FALSE),"")</f>
        <v>4.2000000000000003E-2</v>
      </c>
      <c r="L658">
        <f>IFERROR(VLOOKUP($A658,koronahun!$A:$AM,12,FALSE),"")</f>
        <v>1904</v>
      </c>
      <c r="M658" s="13">
        <f>IFERROR(VLOOKUP($A658,koronahun!$A:$AM,13,FALSE),"")</f>
        <v>0.12609999999999999</v>
      </c>
      <c r="N658" s="13">
        <f>IFERROR(VLOOKUP($A658,koronahun!$A:$AM,14,FALSE),"")</f>
        <v>0.28139999999999998</v>
      </c>
      <c r="O658">
        <f>IFERROR(VLOOKUP($A658,koronahun!$A:$AM,15,FALSE),"")</f>
        <v>10927</v>
      </c>
      <c r="P658">
        <f>IFERROR(VLOOKUP($A658,koronahun!$A:$AM,16,FALSE),"")</f>
        <v>4200</v>
      </c>
      <c r="Q658" s="13">
        <f>IFERROR(VLOOKUP($A658,koronahun!$A:$AM,17,FALSE),"")</f>
        <v>8.3000000000000001E-3</v>
      </c>
      <c r="R658">
        <f>IFERROR(VLOOKUP($A658,koronahun!$A:$AM,18,FALSE),"")</f>
        <v>13</v>
      </c>
      <c r="S658">
        <f>IFERROR(VLOOKUP($A658,koronahun!$A:$AM,19,FALSE),"")</f>
        <v>39</v>
      </c>
      <c r="T658">
        <f>IFERROR(VLOOKUP($A658,koronahun!$A:$AM,20,FALSE),"")</f>
        <v>875</v>
      </c>
      <c r="U658">
        <f>IFERROR(VLOOKUP($A658,koronahun!$A:$AM,21,FALSE),"")</f>
        <v>0</v>
      </c>
      <c r="V658" s="13">
        <f>IFERROR(VLOOKUP($A658,koronahun!$A:$AM,22,FALSE),"")</f>
        <v>0.59259259259259256</v>
      </c>
      <c r="W658">
        <f>IFERROR(VLOOKUP($A658,koronahun!$A:$AM,23,FALSE),"")</f>
        <v>-16</v>
      </c>
      <c r="X658">
        <f>IFERROR(VLOOKUP($A658,koronahun!$A:$AM,24,FALSE),"")</f>
        <v>0</v>
      </c>
      <c r="Y658" s="14">
        <f>IFERROR(VLOOKUP($A658,koronahun!$A:$AM,25,FALSE),"")</f>
        <v>0.45955882352941174</v>
      </c>
      <c r="Z658" s="14">
        <f>IFERROR(VLOOKUP($A658,koronahun!$A:$AM,26,FALSE),"")</f>
        <v>0</v>
      </c>
      <c r="AA658" s="14">
        <f>IFERROR(VLOOKUP($A658,koronahun!$A:$AM,27,FALSE),"")</f>
        <v>0.54308617234468937</v>
      </c>
      <c r="AB658" s="14">
        <f>IFERROR(VLOOKUP($A658,koronahun!$A:$AM,28,FALSE),"")</f>
        <v>0.71604946130325253</v>
      </c>
      <c r="AC658" s="14">
        <f>IFERROR(VLOOKUP($A658,koronahun!$A:$AM,29,FALSE),"")</f>
        <v>38.714285714285715</v>
      </c>
      <c r="AD658" s="14">
        <f>IFERROR(VLOOKUP($A658,koronahun!$A:$AM,30,FALSE),"")</f>
        <v>10</v>
      </c>
      <c r="AE658" s="14">
        <f>IFERROR(VLOOKUP($A658,koronahun!$A:$AM,31,FALSE),"")</f>
        <v>3386.7142857142858</v>
      </c>
      <c r="AF658" s="13">
        <f>IFERROR(VLOOKUP($A658,koronahun!$A:$AM,32,FALSE),"")</f>
        <v>1.3771428571428572E-2</v>
      </c>
      <c r="AG658">
        <f>IFERROR(VLOOKUP($A658,koronahun!$A:$AM,33,FALSE),"")</f>
        <v>0</v>
      </c>
      <c r="AH658">
        <f>IFERROR(VLOOKUP($A658,koronahun!$A:$AM,34,FALSE),"")</f>
        <v>0</v>
      </c>
      <c r="AI658">
        <f>IFERROR(VLOOKUP($A658,koronahun!$A:$AM,35,FALSE),"")</f>
        <v>0</v>
      </c>
      <c r="AJ658">
        <f>IFERROR(VLOOKUP($A658,koronahun!$A:$AM,36,FALSE),"")</f>
        <v>0</v>
      </c>
      <c r="AK658">
        <f>IFERROR(VLOOKUP($A658,koronahun!$A:$AM,37,FALSE),"")</f>
        <v>0</v>
      </c>
      <c r="AL658">
        <f>IFERROR(VLOOKUP($A658,koronahun!$A:$AM,38,FALSE),"")</f>
        <v>0</v>
      </c>
      <c r="AM658" s="14">
        <f>IFERROR(VLOOKUP($A658,koronahun!$A:$AM,39,FALSE),"")</f>
        <v>39.857142857142854</v>
      </c>
      <c r="AN658" s="11">
        <f ca="1">IFERROR(__xludf.DUMMYFUNCTION("""COMPUTED_VALUE"""),44550)</f>
        <v>44550</v>
      </c>
      <c r="AO658" s="12">
        <f ca="1">IFERROR(VLOOKUP(AN658,koronahun!A:B,2,FALSE),"")</f>
        <v>1228400</v>
      </c>
      <c r="AP658" s="11">
        <f t="shared" ca="1" si="4"/>
        <v>44550</v>
      </c>
      <c r="AQ658" s="11">
        <f ca="1">IFERROR(__xludf.DUMMYFUNCTION("""COMPUTED_VALUE"""),44629)</f>
        <v>44629</v>
      </c>
      <c r="AR658" s="11">
        <v>43961</v>
      </c>
      <c r="AS658" s="11">
        <f t="shared" si="5"/>
        <v>43961</v>
      </c>
      <c r="AT658" s="11">
        <f ca="1">IFERROR(__xludf.DUMMYFUNCTION("""COMPUTED_VALUE"""),43960)</f>
        <v>43960</v>
      </c>
    </row>
    <row r="659" spans="1:46" ht="13">
      <c r="A659" s="11">
        <v>43959</v>
      </c>
      <c r="B659">
        <f>IFERROR(VLOOKUP($A659,koronahun!$A:$AM,2,FALSE),"")</f>
        <v>3178</v>
      </c>
      <c r="C659">
        <f>IFERROR(VLOOKUP($A659,koronahun!$A:$AM,3,FALSE),"")</f>
        <v>28</v>
      </c>
      <c r="D659">
        <f>IFERROR(VLOOKUP($A659,koronahun!$A:$AM,4,FALSE),"")</f>
        <v>392</v>
      </c>
      <c r="E659">
        <f>IFERROR(VLOOKUP($A659,koronahun!$A:$AM,5,FALSE),"")</f>
        <v>865</v>
      </c>
      <c r="F659">
        <f>IFERROR(VLOOKUP($A659,koronahun!$A:$AM,6,FALSE),"")</f>
        <v>99058</v>
      </c>
      <c r="G659" s="12">
        <f>IFERROR(VLOOKUP($A659,koronahun!$A:$AM,7,FALSE),"")</f>
        <v>10107.959183673469</v>
      </c>
      <c r="H659">
        <f>IFERROR(VLOOKUP($A659,koronahun!$A:$AM,8,FALSE),"")</f>
        <v>0</v>
      </c>
      <c r="I659" s="13">
        <f>IFERROR(VLOOKUP($A659,koronahun!$A:$AM,9,FALSE),"")</f>
        <v>8.8999999999999999E-3</v>
      </c>
      <c r="J659" s="13">
        <f>IFERROR(VLOOKUP($A659,koronahun!$A:$AM,10,FALSE),"")</f>
        <v>3.2099999999999997E-2</v>
      </c>
      <c r="K659" s="13">
        <f>IFERROR(VLOOKUP($A659,koronahun!$A:$AM,11,FALSE),"")</f>
        <v>5.2999999999999999E-2</v>
      </c>
      <c r="L659">
        <f>IFERROR(VLOOKUP($A659,koronahun!$A:$AM,12,FALSE),"")</f>
        <v>1921</v>
      </c>
      <c r="M659" s="13">
        <f>IFERROR(VLOOKUP($A659,koronahun!$A:$AM,13,FALSE),"")</f>
        <v>0.12330000000000001</v>
      </c>
      <c r="N659" s="13">
        <f>IFERROR(VLOOKUP($A659,koronahun!$A:$AM,14,FALSE),"")</f>
        <v>0.2722</v>
      </c>
      <c r="O659">
        <f>IFERROR(VLOOKUP($A659,koronahun!$A:$AM,15,FALSE),"")</f>
        <v>11036</v>
      </c>
      <c r="P659">
        <f>IFERROR(VLOOKUP($A659,koronahun!$A:$AM,16,FALSE),"")</f>
        <v>5022</v>
      </c>
      <c r="Q659" s="13">
        <f>IFERROR(VLOOKUP($A659,koronahun!$A:$AM,17,FALSE),"")</f>
        <v>5.5999999999999999E-3</v>
      </c>
      <c r="R659">
        <f>IFERROR(VLOOKUP($A659,koronahun!$A:$AM,18,FALSE),"")</f>
        <v>9</v>
      </c>
      <c r="S659">
        <f>IFERROR(VLOOKUP($A659,koronahun!$A:$AM,19,FALSE),"")</f>
        <v>64</v>
      </c>
      <c r="T659">
        <f>IFERROR(VLOOKUP($A659,koronahun!$A:$AM,20,FALSE),"")</f>
        <v>891</v>
      </c>
      <c r="U659">
        <f>IFERROR(VLOOKUP($A659,koronahun!$A:$AM,21,FALSE),"")</f>
        <v>0</v>
      </c>
      <c r="V659" s="13">
        <f>IFERROR(VLOOKUP($A659,koronahun!$A:$AM,22,FALSE),"")</f>
        <v>0.60446821900566394</v>
      </c>
      <c r="W659">
        <f>IFERROR(VLOOKUP($A659,koronahun!$A:$AM,23,FALSE),"")</f>
        <v>-77</v>
      </c>
      <c r="X659">
        <f>IFERROR(VLOOKUP($A659,koronahun!$A:$AM,24,FALSE),"")</f>
        <v>-50</v>
      </c>
      <c r="Y659" s="14">
        <f>IFERROR(VLOOKUP($A659,koronahun!$A:$AM,25,FALSE),"")</f>
        <v>0.46382092660072877</v>
      </c>
      <c r="Z659" s="14">
        <f>IFERROR(VLOOKUP($A659,koronahun!$A:$AM,26,FALSE),"")</f>
        <v>0</v>
      </c>
      <c r="AA659" s="14">
        <f>IFERROR(VLOOKUP($A659,koronahun!$A:$AM,27,FALSE),"")</f>
        <v>0.65625</v>
      </c>
      <c r="AB659" s="14">
        <f>IFERROR(VLOOKUP($A659,koronahun!$A:$AM,28,FALSE),"")</f>
        <v>0.7555194404358081</v>
      </c>
      <c r="AC659" s="14">
        <f>IFERROR(VLOOKUP($A659,koronahun!$A:$AM,29,FALSE),"")</f>
        <v>45</v>
      </c>
      <c r="AD659" s="14">
        <f>IFERROR(VLOOKUP($A659,koronahun!$A:$AM,30,FALSE),"")</f>
        <v>9.8571428571428577</v>
      </c>
      <c r="AE659" s="14">
        <f>IFERROR(VLOOKUP($A659,koronahun!$A:$AM,31,FALSE),"")</f>
        <v>3246.7142857142858</v>
      </c>
      <c r="AF659" s="13">
        <f>IFERROR(VLOOKUP($A659,koronahun!$A:$AM,32,FALSE),"")</f>
        <v>1.6085714285714283E-2</v>
      </c>
      <c r="AG659">
        <f>IFERROR(VLOOKUP($A659,koronahun!$A:$AM,33,FALSE),"")</f>
        <v>0</v>
      </c>
      <c r="AH659">
        <f>IFERROR(VLOOKUP($A659,koronahun!$A:$AM,34,FALSE),"")</f>
        <v>0</v>
      </c>
      <c r="AI659">
        <f>IFERROR(VLOOKUP($A659,koronahun!$A:$AM,35,FALSE),"")</f>
        <v>0</v>
      </c>
      <c r="AJ659">
        <f>IFERROR(VLOOKUP($A659,koronahun!$A:$AM,36,FALSE),"")</f>
        <v>0</v>
      </c>
      <c r="AK659">
        <f>IFERROR(VLOOKUP($A659,koronahun!$A:$AM,37,FALSE),"")</f>
        <v>0</v>
      </c>
      <c r="AL659">
        <f>IFERROR(VLOOKUP($A659,koronahun!$A:$AM,38,FALSE),"")</f>
        <v>0</v>
      </c>
      <c r="AM659" s="14">
        <f>IFERROR(VLOOKUP($A659,koronahun!$A:$AM,39,FALSE),"")</f>
        <v>36.571428571428569</v>
      </c>
      <c r="AN659" s="11">
        <f ca="1">IFERROR(__xludf.DUMMYFUNCTION("""COMPUTED_VALUE"""),44551)</f>
        <v>44551</v>
      </c>
      <c r="AO659" s="12">
        <f ca="1">IFERROR(VLOOKUP(AN659,koronahun!A:B,2,FALSE),"")</f>
        <v>1230385</v>
      </c>
      <c r="AP659" s="11">
        <f t="shared" ca="1" si="4"/>
        <v>44551</v>
      </c>
      <c r="AQ659" s="11">
        <f ca="1">IFERROR(__xludf.DUMMYFUNCTION("""COMPUTED_VALUE"""),44630)</f>
        <v>44630</v>
      </c>
      <c r="AR659" s="11">
        <v>43960</v>
      </c>
      <c r="AS659" s="11">
        <f t="shared" si="5"/>
        <v>43960</v>
      </c>
      <c r="AT659" s="11">
        <f ca="1">IFERROR(__xludf.DUMMYFUNCTION("""COMPUTED_VALUE"""),43959)</f>
        <v>43959</v>
      </c>
    </row>
    <row r="660" spans="1:46" ht="13">
      <c r="A660" s="11">
        <v>43958</v>
      </c>
      <c r="B660">
        <f>IFERROR(VLOOKUP($A660,koronahun!$A:$AM,2,FALSE),"")</f>
        <v>3150</v>
      </c>
      <c r="C660">
        <f>IFERROR(VLOOKUP($A660,koronahun!$A:$AM,3,FALSE),"")</f>
        <v>39</v>
      </c>
      <c r="D660">
        <f>IFERROR(VLOOKUP($A660,koronahun!$A:$AM,4,FALSE),"")</f>
        <v>383</v>
      </c>
      <c r="E660">
        <f>IFERROR(VLOOKUP($A660,koronahun!$A:$AM,5,FALSE),"")</f>
        <v>801</v>
      </c>
      <c r="F660">
        <f>IFERROR(VLOOKUP($A660,koronahun!$A:$AM,6,FALSE),"")</f>
        <v>94036</v>
      </c>
      <c r="G660" s="12">
        <f>IFERROR(VLOOKUP($A660,koronahun!$A:$AM,7,FALSE),"")</f>
        <v>9595.5102040816328</v>
      </c>
      <c r="H660">
        <f>IFERROR(VLOOKUP($A660,koronahun!$A:$AM,8,FALSE),"")</f>
        <v>0</v>
      </c>
      <c r="I660" s="13">
        <f>IFERROR(VLOOKUP($A660,koronahun!$A:$AM,9,FALSE),"")</f>
        <v>1.2500000000000001E-2</v>
      </c>
      <c r="J660" s="13">
        <f>IFERROR(VLOOKUP($A660,koronahun!$A:$AM,10,FALSE),"")</f>
        <v>3.3500000000000002E-2</v>
      </c>
      <c r="K660" s="13">
        <f>IFERROR(VLOOKUP($A660,koronahun!$A:$AM,11,FALSE),"")</f>
        <v>0.06</v>
      </c>
      <c r="L660">
        <f>IFERROR(VLOOKUP($A660,koronahun!$A:$AM,12,FALSE),"")</f>
        <v>1966</v>
      </c>
      <c r="M660" s="13">
        <f>IFERROR(VLOOKUP($A660,koronahun!$A:$AM,13,FALSE),"")</f>
        <v>0.1216</v>
      </c>
      <c r="N660" s="13">
        <f>IFERROR(VLOOKUP($A660,koronahun!$A:$AM,14,FALSE),"")</f>
        <v>0.25430000000000003</v>
      </c>
      <c r="O660">
        <f>IFERROR(VLOOKUP($A660,koronahun!$A:$AM,15,FALSE),"")</f>
        <v>10956</v>
      </c>
      <c r="P660">
        <f>IFERROR(VLOOKUP($A660,koronahun!$A:$AM,16,FALSE),"")</f>
        <v>5301</v>
      </c>
      <c r="Q660" s="13">
        <f>IFERROR(VLOOKUP($A660,koronahun!$A:$AM,17,FALSE),"")</f>
        <v>7.4000000000000003E-3</v>
      </c>
      <c r="R660">
        <f>IFERROR(VLOOKUP($A660,koronahun!$A:$AM,18,FALSE),"")</f>
        <v>10</v>
      </c>
      <c r="S660">
        <f>IFERROR(VLOOKUP($A660,koronahun!$A:$AM,19,FALSE),"")</f>
        <v>42</v>
      </c>
      <c r="T660">
        <f>IFERROR(VLOOKUP($A660,koronahun!$A:$AM,20,FALSE),"")</f>
        <v>968</v>
      </c>
      <c r="U660">
        <f>IFERROR(VLOOKUP($A660,koronahun!$A:$AM,21,FALSE),"")</f>
        <v>50</v>
      </c>
      <c r="V660" s="13">
        <f>IFERROR(VLOOKUP($A660,koronahun!$A:$AM,22,FALSE),"")</f>
        <v>0.62412698412698409</v>
      </c>
      <c r="W660">
        <f>IFERROR(VLOOKUP($A660,koronahun!$A:$AM,23,FALSE),"")</f>
        <v>4</v>
      </c>
      <c r="X660">
        <f>IFERROR(VLOOKUP($A660,koronahun!$A:$AM,24,FALSE),"")</f>
        <v>0</v>
      </c>
      <c r="Y660" s="14">
        <f>IFERROR(VLOOKUP($A660,koronahun!$A:$AM,25,FALSE),"")</f>
        <v>0.49237029501525942</v>
      </c>
      <c r="Z660" s="14">
        <f>IFERROR(VLOOKUP($A660,koronahun!$A:$AM,26,FALSE),"")</f>
        <v>5.1652892561983473E-2</v>
      </c>
      <c r="AA660" s="14">
        <f>IFERROR(VLOOKUP($A660,koronahun!$A:$AM,27,FALSE),"")</f>
        <v>0.76374745417515277</v>
      </c>
      <c r="AB660" s="14">
        <f>IFERROR(VLOOKUP($A660,koronahun!$A:$AM,28,FALSE),"")</f>
        <v>0.77236851877682189</v>
      </c>
      <c r="AC660" s="14">
        <f>IFERROR(VLOOKUP($A660,koronahun!$A:$AM,29,FALSE),"")</f>
        <v>53.571428571428569</v>
      </c>
      <c r="AD660" s="14">
        <f>IFERROR(VLOOKUP($A660,koronahun!$A:$AM,30,FALSE),"")</f>
        <v>10.142857142857142</v>
      </c>
      <c r="AE660" s="14">
        <f>IFERROR(VLOOKUP($A660,koronahun!$A:$AM,31,FALSE),"")</f>
        <v>3012.1428571428573</v>
      </c>
      <c r="AF660" s="13">
        <f>IFERROR(VLOOKUP($A660,koronahun!$A:$AM,32,FALSE),"")</f>
        <v>1.9E-2</v>
      </c>
      <c r="AG660">
        <f>IFERROR(VLOOKUP($A660,koronahun!$A:$AM,33,FALSE),"")</f>
        <v>0</v>
      </c>
      <c r="AH660">
        <f>IFERROR(VLOOKUP($A660,koronahun!$A:$AM,34,FALSE),"")</f>
        <v>0</v>
      </c>
      <c r="AI660">
        <f>IFERROR(VLOOKUP($A660,koronahun!$A:$AM,35,FALSE),"")</f>
        <v>0</v>
      </c>
      <c r="AJ660">
        <f>IFERROR(VLOOKUP($A660,koronahun!$A:$AM,36,FALSE),"")</f>
        <v>0</v>
      </c>
      <c r="AK660">
        <f>IFERROR(VLOOKUP($A660,koronahun!$A:$AM,37,FALSE),"")</f>
        <v>0</v>
      </c>
      <c r="AL660">
        <f>IFERROR(VLOOKUP($A660,koronahun!$A:$AM,38,FALSE),"")</f>
        <v>0</v>
      </c>
      <c r="AM660" s="14">
        <f>IFERROR(VLOOKUP($A660,koronahun!$A:$AM,39,FALSE),"")</f>
        <v>31.428571428571427</v>
      </c>
      <c r="AN660" s="11">
        <f ca="1">IFERROR(__xludf.DUMMYFUNCTION("""COMPUTED_VALUE"""),44552)</f>
        <v>44552</v>
      </c>
      <c r="AO660" s="12">
        <f ca="1">IFERROR(VLOOKUP(AN660,koronahun!A:B,2,FALSE),"")</f>
        <v>1233744</v>
      </c>
      <c r="AP660" s="11">
        <f t="shared" ca="1" si="4"/>
        <v>44552</v>
      </c>
      <c r="AQ660" s="11">
        <f ca="1">IFERROR(__xludf.DUMMYFUNCTION("""COMPUTED_VALUE"""),44631)</f>
        <v>44631</v>
      </c>
      <c r="AR660" s="11">
        <v>43959</v>
      </c>
      <c r="AS660" s="11">
        <f t="shared" si="5"/>
        <v>43959</v>
      </c>
      <c r="AT660" s="11">
        <f ca="1">IFERROR(__xludf.DUMMYFUNCTION("""COMPUTED_VALUE"""),43958)</f>
        <v>43958</v>
      </c>
    </row>
    <row r="661" spans="1:46" ht="13">
      <c r="A661" s="11">
        <v>43957</v>
      </c>
      <c r="B661">
        <f>IFERROR(VLOOKUP($A661,koronahun!$A:$AM,2,FALSE),"")</f>
        <v>3111</v>
      </c>
      <c r="C661">
        <f>IFERROR(VLOOKUP($A661,koronahun!$A:$AM,3,FALSE),"")</f>
        <v>46</v>
      </c>
      <c r="D661">
        <f>IFERROR(VLOOKUP($A661,koronahun!$A:$AM,4,FALSE),"")</f>
        <v>373</v>
      </c>
      <c r="E661">
        <f>IFERROR(VLOOKUP($A661,koronahun!$A:$AM,5,FALSE),"")</f>
        <v>759</v>
      </c>
      <c r="F661">
        <f>IFERROR(VLOOKUP($A661,koronahun!$A:$AM,6,FALSE),"")</f>
        <v>88735</v>
      </c>
      <c r="G661" s="12">
        <f>IFERROR(VLOOKUP($A661,koronahun!$A:$AM,7,FALSE),"")</f>
        <v>9054.5918367346931</v>
      </c>
      <c r="H661">
        <f>IFERROR(VLOOKUP($A661,koronahun!$A:$AM,8,FALSE),"")</f>
        <v>0</v>
      </c>
      <c r="I661" s="13">
        <f>IFERROR(VLOOKUP($A661,koronahun!$A:$AM,9,FALSE),"")</f>
        <v>1.4999999999999999E-2</v>
      </c>
      <c r="J661" s="13">
        <f>IFERROR(VLOOKUP($A661,koronahun!$A:$AM,10,FALSE),"")</f>
        <v>3.5099999999999999E-2</v>
      </c>
      <c r="K661" s="13">
        <f>IFERROR(VLOOKUP($A661,koronahun!$A:$AM,11,FALSE),"")</f>
        <v>3.6999999999999998E-2</v>
      </c>
      <c r="L661">
        <f>IFERROR(VLOOKUP($A661,koronahun!$A:$AM,12,FALSE),"")</f>
        <v>1979</v>
      </c>
      <c r="M661" s="13">
        <f>IFERROR(VLOOKUP($A661,koronahun!$A:$AM,13,FALSE),"")</f>
        <v>0.11990000000000001</v>
      </c>
      <c r="N661" s="13">
        <f>IFERROR(VLOOKUP($A661,koronahun!$A:$AM,14,FALSE),"")</f>
        <v>0.24399999999999999</v>
      </c>
      <c r="O661">
        <f>IFERROR(VLOOKUP($A661,koronahun!$A:$AM,15,FALSE),"")</f>
        <v>10628</v>
      </c>
      <c r="P661">
        <f>IFERROR(VLOOKUP($A661,koronahun!$A:$AM,16,FALSE),"")</f>
        <v>3178</v>
      </c>
      <c r="Q661" s="13">
        <f>IFERROR(VLOOKUP($A661,koronahun!$A:$AM,17,FALSE),"")</f>
        <v>1.4500000000000001E-2</v>
      </c>
      <c r="R661">
        <f>IFERROR(VLOOKUP($A661,koronahun!$A:$AM,18,FALSE),"")</f>
        <v>10</v>
      </c>
      <c r="S661">
        <f>IFERROR(VLOOKUP($A661,koronahun!$A:$AM,19,FALSE),"")</f>
        <v>50</v>
      </c>
      <c r="T661">
        <f>IFERROR(VLOOKUP($A661,koronahun!$A:$AM,20,FALSE),"")</f>
        <v>964</v>
      </c>
      <c r="U661">
        <f>IFERROR(VLOOKUP($A661,koronahun!$A:$AM,21,FALSE),"")</f>
        <v>50</v>
      </c>
      <c r="V661" s="13">
        <f>IFERROR(VLOOKUP($A661,koronahun!$A:$AM,22,FALSE),"")</f>
        <v>0.63612986178077791</v>
      </c>
      <c r="W661">
        <f>IFERROR(VLOOKUP($A661,koronahun!$A:$AM,23,FALSE),"")</f>
        <v>-18</v>
      </c>
      <c r="X661">
        <f>IFERROR(VLOOKUP($A661,koronahun!$A:$AM,24,FALSE),"")</f>
        <v>-5</v>
      </c>
      <c r="Y661" s="14">
        <f>IFERROR(VLOOKUP($A661,koronahun!$A:$AM,25,FALSE),"")</f>
        <v>0.48711470439615967</v>
      </c>
      <c r="Z661" s="14">
        <f>IFERROR(VLOOKUP($A661,koronahun!$A:$AM,26,FALSE),"")</f>
        <v>5.1867219917012451E-2</v>
      </c>
      <c r="AA661" s="14">
        <f>IFERROR(VLOOKUP($A661,koronahun!$A:$AM,27,FALSE),"")</f>
        <v>0.6869409660107334</v>
      </c>
      <c r="AB661" s="14">
        <f>IFERROR(VLOOKUP($A661,koronahun!$A:$AM,28,FALSE),"")</f>
        <v>0.77424727306283081</v>
      </c>
      <c r="AC661" s="14">
        <f>IFERROR(VLOOKUP($A661,koronahun!$A:$AM,29,FALSE),"")</f>
        <v>54.857142857142854</v>
      </c>
      <c r="AD661" s="14">
        <f>IFERROR(VLOOKUP($A661,koronahun!$A:$AM,30,FALSE),"")</f>
        <v>10.428571428571429</v>
      </c>
      <c r="AE661" s="14">
        <f>IFERROR(VLOOKUP($A661,koronahun!$A:$AM,31,FALSE),"")</f>
        <v>2633.5714285714284</v>
      </c>
      <c r="AF661" s="13">
        <f>IFERROR(VLOOKUP($A661,koronahun!$A:$AM,32,FALSE),"")</f>
        <v>2.0528571428571431E-2</v>
      </c>
      <c r="AG661">
        <f>IFERROR(VLOOKUP($A661,koronahun!$A:$AM,33,FALSE),"")</f>
        <v>0</v>
      </c>
      <c r="AH661">
        <f>IFERROR(VLOOKUP($A661,koronahun!$A:$AM,34,FALSE),"")</f>
        <v>0</v>
      </c>
      <c r="AI661">
        <f>IFERROR(VLOOKUP($A661,koronahun!$A:$AM,35,FALSE),"")</f>
        <v>0</v>
      </c>
      <c r="AJ661">
        <f>IFERROR(VLOOKUP($A661,koronahun!$A:$AM,36,FALSE),"")</f>
        <v>0</v>
      </c>
      <c r="AK661">
        <f>IFERROR(VLOOKUP($A661,koronahun!$A:$AM,37,FALSE),"")</f>
        <v>0</v>
      </c>
      <c r="AL661">
        <f>IFERROR(VLOOKUP($A661,koronahun!$A:$AM,38,FALSE),"")</f>
        <v>0</v>
      </c>
      <c r="AM661" s="14">
        <f>IFERROR(VLOOKUP($A661,koronahun!$A:$AM,39,FALSE),"")</f>
        <v>31.857142857142858</v>
      </c>
      <c r="AN661" s="11">
        <f ca="1">IFERROR(__xludf.DUMMYFUNCTION("""COMPUTED_VALUE"""),44553)</f>
        <v>44553</v>
      </c>
      <c r="AO661" s="12">
        <f ca="1">IFERROR(VLOOKUP(AN661,koronahun!A:B,2,FALSE),"")</f>
        <v>1237330</v>
      </c>
      <c r="AP661" s="11">
        <f t="shared" ca="1" si="4"/>
        <v>44553</v>
      </c>
      <c r="AQ661" s="11">
        <f ca="1">IFERROR(__xludf.DUMMYFUNCTION("""COMPUTED_VALUE"""),44636)</f>
        <v>44636</v>
      </c>
      <c r="AR661" s="11">
        <v>43958</v>
      </c>
      <c r="AS661" s="11">
        <f t="shared" si="5"/>
        <v>43958</v>
      </c>
      <c r="AT661" s="11">
        <f ca="1">IFERROR(__xludf.DUMMYFUNCTION("""COMPUTED_VALUE"""),43957)</f>
        <v>43957</v>
      </c>
    </row>
    <row r="662" spans="1:46" ht="13">
      <c r="A662" s="11">
        <v>43956</v>
      </c>
      <c r="B662">
        <f>IFERROR(VLOOKUP($A662,koronahun!$A:$AM,2,FALSE),"")</f>
        <v>3065</v>
      </c>
      <c r="C662">
        <f>IFERROR(VLOOKUP($A662,koronahun!$A:$AM,3,FALSE),"")</f>
        <v>30</v>
      </c>
      <c r="D662">
        <f>IFERROR(VLOOKUP($A662,koronahun!$A:$AM,4,FALSE),"")</f>
        <v>363</v>
      </c>
      <c r="E662">
        <f>IFERROR(VLOOKUP($A662,koronahun!$A:$AM,5,FALSE),"")</f>
        <v>709</v>
      </c>
      <c r="F662">
        <f>IFERROR(VLOOKUP($A662,koronahun!$A:$AM,6,FALSE),"")</f>
        <v>85557</v>
      </c>
      <c r="G662" s="12">
        <f>IFERROR(VLOOKUP($A662,koronahun!$A:$AM,7,FALSE),"")</f>
        <v>8730.3061224489793</v>
      </c>
      <c r="H662">
        <f>IFERROR(VLOOKUP($A662,koronahun!$A:$AM,8,FALSE),"")</f>
        <v>0</v>
      </c>
      <c r="I662" s="13">
        <f>IFERROR(VLOOKUP($A662,koronahun!$A:$AM,9,FALSE),"")</f>
        <v>9.9000000000000008E-3</v>
      </c>
      <c r="J662" s="13">
        <f>IFERROR(VLOOKUP($A662,koronahun!$A:$AM,10,FALSE),"")</f>
        <v>3.5799999999999998E-2</v>
      </c>
      <c r="K662" s="13">
        <f>IFERROR(VLOOKUP($A662,koronahun!$A:$AM,11,FALSE),"")</f>
        <v>1.9E-2</v>
      </c>
      <c r="L662">
        <f>IFERROR(VLOOKUP($A662,koronahun!$A:$AM,12,FALSE),"")</f>
        <v>1993</v>
      </c>
      <c r="M662" s="13">
        <f>IFERROR(VLOOKUP($A662,koronahun!$A:$AM,13,FALSE),"")</f>
        <v>0.11840000000000001</v>
      </c>
      <c r="N662" s="13">
        <f>IFERROR(VLOOKUP($A662,koronahun!$A:$AM,14,FALSE),"")</f>
        <v>0.23130000000000001</v>
      </c>
      <c r="O662">
        <f>IFERROR(VLOOKUP($A662,koronahun!$A:$AM,15,FALSE),"")</f>
        <v>10547</v>
      </c>
      <c r="P662">
        <f>IFERROR(VLOOKUP($A662,koronahun!$A:$AM,16,FALSE),"")</f>
        <v>1599</v>
      </c>
      <c r="Q662" s="13">
        <f>IFERROR(VLOOKUP($A662,koronahun!$A:$AM,17,FALSE),"")</f>
        <v>1.8800000000000001E-2</v>
      </c>
      <c r="R662">
        <f>IFERROR(VLOOKUP($A662,koronahun!$A:$AM,18,FALSE),"")</f>
        <v>12</v>
      </c>
      <c r="S662">
        <f>IFERROR(VLOOKUP($A662,koronahun!$A:$AM,19,FALSE),"")</f>
        <v>79</v>
      </c>
      <c r="T662">
        <f>IFERROR(VLOOKUP($A662,koronahun!$A:$AM,20,FALSE),"")</f>
        <v>982</v>
      </c>
      <c r="U662">
        <f>IFERROR(VLOOKUP($A662,koronahun!$A:$AM,21,FALSE),"")</f>
        <v>55</v>
      </c>
      <c r="V662" s="13">
        <f>IFERROR(VLOOKUP($A662,koronahun!$A:$AM,22,FALSE),"")</f>
        <v>0.65024469820554653</v>
      </c>
      <c r="W662">
        <f>IFERROR(VLOOKUP($A662,koronahun!$A:$AM,23,FALSE),"")</f>
        <v>-45</v>
      </c>
      <c r="X662">
        <f>IFERROR(VLOOKUP($A662,koronahun!$A:$AM,24,FALSE),"")</f>
        <v>0</v>
      </c>
      <c r="Y662" s="14">
        <f>IFERROR(VLOOKUP($A662,koronahun!$A:$AM,25,FALSE),"")</f>
        <v>0.49272453587556447</v>
      </c>
      <c r="Z662" s="14">
        <f>IFERROR(VLOOKUP($A662,koronahun!$A:$AM,26,FALSE),"")</f>
        <v>5.6008146639511203E-2</v>
      </c>
      <c r="AA662" s="14">
        <f>IFERROR(VLOOKUP($A662,koronahun!$A:$AM,27,FALSE),"")</f>
        <v>0.75499092558983671</v>
      </c>
      <c r="AB662" s="14">
        <f>IFERROR(VLOOKUP($A662,koronahun!$A:$AM,28,FALSE),"")</f>
        <v>0.81169373705014058</v>
      </c>
      <c r="AC662" s="14">
        <f>IFERROR(VLOOKUP($A662,koronahun!$A:$AM,29,FALSE),"")</f>
        <v>59.428571428571431</v>
      </c>
      <c r="AD662" s="14">
        <f>IFERROR(VLOOKUP($A662,koronahun!$A:$AM,30,FALSE),"")</f>
        <v>10.285714285714286</v>
      </c>
      <c r="AE662" s="14">
        <f>IFERROR(VLOOKUP($A662,koronahun!$A:$AM,31,FALSE),"")</f>
        <v>2626.4285714285716</v>
      </c>
      <c r="AF662" s="13">
        <f>IFERROR(VLOOKUP($A662,koronahun!$A:$AM,32,FALSE),"")</f>
        <v>2.2014285714285715E-2</v>
      </c>
      <c r="AG662">
        <f>IFERROR(VLOOKUP($A662,koronahun!$A:$AM,33,FALSE),"")</f>
        <v>0</v>
      </c>
      <c r="AH662">
        <f>IFERROR(VLOOKUP($A662,koronahun!$A:$AM,34,FALSE),"")</f>
        <v>0</v>
      </c>
      <c r="AI662">
        <f>IFERROR(VLOOKUP($A662,koronahun!$A:$AM,35,FALSE),"")</f>
        <v>0</v>
      </c>
      <c r="AJ662">
        <f>IFERROR(VLOOKUP($A662,koronahun!$A:$AM,36,FALSE),"")</f>
        <v>0</v>
      </c>
      <c r="AK662">
        <f>IFERROR(VLOOKUP($A662,koronahun!$A:$AM,37,FALSE),"")</f>
        <v>0</v>
      </c>
      <c r="AL662">
        <f>IFERROR(VLOOKUP($A662,koronahun!$A:$AM,38,FALSE),"")</f>
        <v>0</v>
      </c>
      <c r="AM662" s="14">
        <f>IFERROR(VLOOKUP($A662,koronahun!$A:$AM,39,FALSE),"")</f>
        <v>27.571428571428573</v>
      </c>
      <c r="AN662" s="11">
        <f ca="1">IFERROR(__xludf.DUMMYFUNCTION("""COMPUTED_VALUE"""),44554)</f>
        <v>44554</v>
      </c>
      <c r="AO662" s="12">
        <f ca="1">IFERROR(VLOOKUP(AN662,koronahun!A:B,2,FALSE),"")</f>
        <v>0</v>
      </c>
      <c r="AP662" s="11">
        <f t="shared" ca="1" si="4"/>
        <v>44554</v>
      </c>
      <c r="AQ662" s="11">
        <f ca="1">IFERROR(__xludf.DUMMYFUNCTION("""COMPUTED_VALUE"""),44637)</f>
        <v>44637</v>
      </c>
      <c r="AR662" s="11">
        <v>43957</v>
      </c>
      <c r="AS662" s="11">
        <f t="shared" si="5"/>
        <v>43957</v>
      </c>
      <c r="AT662" s="11">
        <f ca="1">IFERROR(__xludf.DUMMYFUNCTION("""COMPUTED_VALUE"""),43956)</f>
        <v>43956</v>
      </c>
    </row>
    <row r="663" spans="1:46" ht="13">
      <c r="A663" s="11">
        <v>43955</v>
      </c>
      <c r="B663">
        <f>IFERROR(VLOOKUP($A663,koronahun!$A:$AM,2,FALSE),"")</f>
        <v>3035</v>
      </c>
      <c r="C663">
        <f>IFERROR(VLOOKUP($A663,koronahun!$A:$AM,3,FALSE),"")</f>
        <v>37</v>
      </c>
      <c r="D663">
        <f>IFERROR(VLOOKUP($A663,koronahun!$A:$AM,4,FALSE),"")</f>
        <v>351</v>
      </c>
      <c r="E663">
        <f>IFERROR(VLOOKUP($A663,koronahun!$A:$AM,5,FALSE),"")</f>
        <v>630</v>
      </c>
      <c r="F663">
        <f>IFERROR(VLOOKUP($A663,koronahun!$A:$AM,6,FALSE),"")</f>
        <v>83958</v>
      </c>
      <c r="G663" s="12">
        <f>IFERROR(VLOOKUP($A663,koronahun!$A:$AM,7,FALSE),"")</f>
        <v>8567.1428571428569</v>
      </c>
      <c r="H663">
        <f>IFERROR(VLOOKUP($A663,koronahun!$A:$AM,8,FALSE),"")</f>
        <v>0</v>
      </c>
      <c r="I663" s="13">
        <f>IFERROR(VLOOKUP($A663,koronahun!$A:$AM,9,FALSE),"")</f>
        <v>1.23E-2</v>
      </c>
      <c r="J663" s="13">
        <f>IFERROR(VLOOKUP($A663,koronahun!$A:$AM,10,FALSE),"")</f>
        <v>3.61E-2</v>
      </c>
      <c r="K663" s="13">
        <f>IFERROR(VLOOKUP($A663,koronahun!$A:$AM,11,FALSE),"")</f>
        <v>2.4E-2</v>
      </c>
      <c r="L663">
        <f>IFERROR(VLOOKUP($A663,koronahun!$A:$AM,12,FALSE),"")</f>
        <v>2054</v>
      </c>
      <c r="M663" s="13">
        <f>IFERROR(VLOOKUP($A663,koronahun!$A:$AM,13,FALSE),"")</f>
        <v>0.1157</v>
      </c>
      <c r="N663" s="13">
        <f>IFERROR(VLOOKUP($A663,koronahun!$A:$AM,14,FALSE),"")</f>
        <v>0.20760000000000001</v>
      </c>
      <c r="O663">
        <f>IFERROR(VLOOKUP($A663,koronahun!$A:$AM,15,FALSE),"")</f>
        <v>10459</v>
      </c>
      <c r="P663">
        <f>IFERROR(VLOOKUP($A663,koronahun!$A:$AM,16,FALSE),"")</f>
        <v>1948</v>
      </c>
      <c r="Q663" s="13">
        <f>IFERROR(VLOOKUP($A663,koronahun!$A:$AM,17,FALSE),"")</f>
        <v>1.9E-2</v>
      </c>
      <c r="R663">
        <f>IFERROR(VLOOKUP($A663,koronahun!$A:$AM,18,FALSE),"")</f>
        <v>11</v>
      </c>
      <c r="S663">
        <f>IFERROR(VLOOKUP($A663,koronahun!$A:$AM,19,FALSE),"")</f>
        <v>1</v>
      </c>
      <c r="T663">
        <f>IFERROR(VLOOKUP($A663,koronahun!$A:$AM,20,FALSE),"")</f>
        <v>1027</v>
      </c>
      <c r="U663">
        <f>IFERROR(VLOOKUP($A663,koronahun!$A:$AM,21,FALSE),"")</f>
        <v>55</v>
      </c>
      <c r="V663" s="13">
        <f>IFERROR(VLOOKUP($A663,koronahun!$A:$AM,22,FALSE),"")</f>
        <v>0.67677100494233933</v>
      </c>
      <c r="W663">
        <f>IFERROR(VLOOKUP($A663,koronahun!$A:$AM,23,FALSE),"")</f>
        <v>22</v>
      </c>
      <c r="X663">
        <f>IFERROR(VLOOKUP($A663,koronahun!$A:$AM,24,FALSE),"")</f>
        <v>4</v>
      </c>
      <c r="Y663" s="14">
        <f>IFERROR(VLOOKUP($A663,koronahun!$A:$AM,25,FALSE),"")</f>
        <v>0.5</v>
      </c>
      <c r="Z663" s="14">
        <f>IFERROR(VLOOKUP($A663,koronahun!$A:$AM,26,FALSE),"")</f>
        <v>5.3554040895813046E-2</v>
      </c>
      <c r="AA663" s="14">
        <f>IFERROR(VLOOKUP($A663,koronahun!$A:$AM,27,FALSE),"")</f>
        <v>0.75459098497495825</v>
      </c>
      <c r="AB663" s="14">
        <f>IFERROR(VLOOKUP($A663,koronahun!$A:$AM,28,FALSE),"")</f>
        <v>0.83816261018625837</v>
      </c>
      <c r="AC663" s="14">
        <f>IFERROR(VLOOKUP($A663,koronahun!$A:$AM,29,FALSE),"")</f>
        <v>64.571428571428569</v>
      </c>
      <c r="AD663" s="14">
        <f>IFERROR(VLOOKUP($A663,koronahun!$A:$AM,30,FALSE),"")</f>
        <v>10.142857142857142</v>
      </c>
      <c r="AE663" s="14">
        <f>IFERROR(VLOOKUP($A663,koronahun!$A:$AM,31,FALSE),"")</f>
        <v>2619</v>
      </c>
      <c r="AF663" s="13">
        <f>IFERROR(VLOOKUP($A663,koronahun!$A:$AM,32,FALSE),"")</f>
        <v>2.5428571428571422E-2</v>
      </c>
      <c r="AG663">
        <f>IFERROR(VLOOKUP($A663,koronahun!$A:$AM,33,FALSE),"")</f>
        <v>0</v>
      </c>
      <c r="AH663">
        <f>IFERROR(VLOOKUP($A663,koronahun!$A:$AM,34,FALSE),"")</f>
        <v>0</v>
      </c>
      <c r="AI663">
        <f>IFERROR(VLOOKUP($A663,koronahun!$A:$AM,35,FALSE),"")</f>
        <v>0</v>
      </c>
      <c r="AJ663">
        <f>IFERROR(VLOOKUP($A663,koronahun!$A:$AM,36,FALSE),"")</f>
        <v>0</v>
      </c>
      <c r="AK663">
        <f>IFERROR(VLOOKUP($A663,koronahun!$A:$AM,37,FALSE),"")</f>
        <v>0</v>
      </c>
      <c r="AL663">
        <f>IFERROR(VLOOKUP($A663,koronahun!$A:$AM,38,FALSE),"")</f>
        <v>0</v>
      </c>
      <c r="AM663" s="14">
        <f>IFERROR(VLOOKUP($A663,koronahun!$A:$AM,39,FALSE),"")</f>
        <v>18.857142857142858</v>
      </c>
      <c r="AN663" s="11">
        <f ca="1">IFERROR(__xludf.DUMMYFUNCTION("""COMPUTED_VALUE"""),44555)</f>
        <v>44555</v>
      </c>
      <c r="AO663" s="12">
        <f ca="1">IFERROR(VLOOKUP(AN663,koronahun!A:B,2,FALSE),"")</f>
        <v>0</v>
      </c>
      <c r="AP663" s="11">
        <f t="shared" ca="1" si="4"/>
        <v>44555</v>
      </c>
      <c r="AQ663" s="11">
        <f ca="1">IFERROR(__xludf.DUMMYFUNCTION("""COMPUTED_VALUE"""),44638)</f>
        <v>44638</v>
      </c>
      <c r="AR663" s="11">
        <v>43956</v>
      </c>
      <c r="AS663" s="11">
        <f t="shared" si="5"/>
        <v>43956</v>
      </c>
      <c r="AT663" s="11">
        <f ca="1">IFERROR(__xludf.DUMMYFUNCTION("""COMPUTED_VALUE"""),43955)</f>
        <v>43955</v>
      </c>
    </row>
    <row r="664" spans="1:46" ht="13">
      <c r="A664" s="11">
        <v>43954</v>
      </c>
      <c r="B664">
        <f>IFERROR(VLOOKUP($A664,koronahun!$A:$AM,2,FALSE),"")</f>
        <v>2998</v>
      </c>
      <c r="C664">
        <f>IFERROR(VLOOKUP($A664,koronahun!$A:$AM,3,FALSE),"")</f>
        <v>56</v>
      </c>
      <c r="D664">
        <f>IFERROR(VLOOKUP($A664,koronahun!$A:$AM,4,FALSE),"")</f>
        <v>340</v>
      </c>
      <c r="E664">
        <f>IFERROR(VLOOKUP($A664,koronahun!$A:$AM,5,FALSE),"")</f>
        <v>629</v>
      </c>
      <c r="F664">
        <f>IFERROR(VLOOKUP($A664,koronahun!$A:$AM,6,FALSE),"")</f>
        <v>82010</v>
      </c>
      <c r="G664" s="12">
        <f>IFERROR(VLOOKUP($A664,koronahun!$A:$AM,7,FALSE),"")</f>
        <v>8368.3673469387741</v>
      </c>
      <c r="H664">
        <f>IFERROR(VLOOKUP($A664,koronahun!$A:$AM,8,FALSE),"")</f>
        <v>0</v>
      </c>
      <c r="I664" s="13">
        <f>IFERROR(VLOOKUP($A664,koronahun!$A:$AM,9,FALSE),"")</f>
        <v>1.9E-2</v>
      </c>
      <c r="J664" s="13">
        <f>IFERROR(VLOOKUP($A664,koronahun!$A:$AM,10,FALSE),"")</f>
        <v>3.6600000000000001E-2</v>
      </c>
      <c r="K664" s="13">
        <f>IFERROR(VLOOKUP($A664,koronahun!$A:$AM,11,FALSE),"")</f>
        <v>3.1E-2</v>
      </c>
      <c r="L664">
        <f>IFERROR(VLOOKUP($A664,koronahun!$A:$AM,12,FALSE),"")</f>
        <v>2029</v>
      </c>
      <c r="M664" s="13">
        <f>IFERROR(VLOOKUP($A664,koronahun!$A:$AM,13,FALSE),"")</f>
        <v>0.1134</v>
      </c>
      <c r="N664" s="13">
        <f>IFERROR(VLOOKUP($A664,koronahun!$A:$AM,14,FALSE),"")</f>
        <v>0.20979999999999999</v>
      </c>
      <c r="O664">
        <f>IFERROR(VLOOKUP($A664,koronahun!$A:$AM,15,FALSE),"")</f>
        <v>10786</v>
      </c>
      <c r="P664">
        <f>IFERROR(VLOOKUP($A664,koronahun!$A:$AM,16,FALSE),"")</f>
        <v>2459</v>
      </c>
      <c r="Q664" s="13">
        <f>IFERROR(VLOOKUP($A664,koronahun!$A:$AM,17,FALSE),"")</f>
        <v>2.2800000000000001E-2</v>
      </c>
      <c r="R664">
        <f>IFERROR(VLOOKUP($A664,koronahun!$A:$AM,18,FALSE),"")</f>
        <v>5</v>
      </c>
      <c r="S664">
        <f>IFERROR(VLOOKUP($A664,koronahun!$A:$AM,19,FALSE),"")</f>
        <v>4</v>
      </c>
      <c r="T664">
        <f>IFERROR(VLOOKUP($A664,koronahun!$A:$AM,20,FALSE),"")</f>
        <v>1005</v>
      </c>
      <c r="U664">
        <f>IFERROR(VLOOKUP($A664,koronahun!$A:$AM,21,FALSE),"")</f>
        <v>51</v>
      </c>
      <c r="V664" s="13">
        <f>IFERROR(VLOOKUP($A664,koronahun!$A:$AM,22,FALSE),"")</f>
        <v>0.67678452301534353</v>
      </c>
      <c r="W664">
        <f>IFERROR(VLOOKUP($A664,koronahun!$A:$AM,23,FALSE),"")</f>
        <v>-3</v>
      </c>
      <c r="X664">
        <f>IFERROR(VLOOKUP($A664,koronahun!$A:$AM,24,FALSE),"")</f>
        <v>-1</v>
      </c>
      <c r="Y664" s="14">
        <f>IFERROR(VLOOKUP($A664,koronahun!$A:$AM,25,FALSE),"")</f>
        <v>0.49531789058649583</v>
      </c>
      <c r="Z664" s="14">
        <f>IFERROR(VLOOKUP($A664,koronahun!$A:$AM,26,FALSE),"")</f>
        <v>5.0746268656716415E-2</v>
      </c>
      <c r="AA664" s="14">
        <f>IFERROR(VLOOKUP($A664,koronahun!$A:$AM,27,FALSE),"")</f>
        <v>0.85273972602739723</v>
      </c>
      <c r="AB664" s="14">
        <f>IFERROR(VLOOKUP($A664,koronahun!$A:$AM,28,FALSE),"")</f>
        <v>0.89304722232726108</v>
      </c>
      <c r="AC664" s="14">
        <f>IFERROR(VLOOKUP($A664,koronahun!$A:$AM,29,FALSE),"")</f>
        <v>71.142857142857139</v>
      </c>
      <c r="AD664" s="14">
        <f>IFERROR(VLOOKUP($A664,koronahun!$A:$AM,30,FALSE),"")</f>
        <v>9.7142857142857135</v>
      </c>
      <c r="AE664" s="14">
        <f>IFERROR(VLOOKUP($A664,koronahun!$A:$AM,31,FALSE),"")</f>
        <v>2643.5714285714284</v>
      </c>
      <c r="AF664" s="13">
        <f>IFERROR(VLOOKUP($A664,koronahun!$A:$AM,32,FALSE),"")</f>
        <v>2.8314285714285712E-2</v>
      </c>
      <c r="AG664">
        <f>IFERROR(VLOOKUP($A664,koronahun!$A:$AM,33,FALSE),"")</f>
        <v>0</v>
      </c>
      <c r="AH664">
        <f>IFERROR(VLOOKUP($A664,koronahun!$A:$AM,34,FALSE),"")</f>
        <v>0</v>
      </c>
      <c r="AI664">
        <f>IFERROR(VLOOKUP($A664,koronahun!$A:$AM,35,FALSE),"")</f>
        <v>0</v>
      </c>
      <c r="AJ664">
        <f>IFERROR(VLOOKUP($A664,koronahun!$A:$AM,36,FALSE),"")</f>
        <v>0</v>
      </c>
      <c r="AK664">
        <f>IFERROR(VLOOKUP($A664,koronahun!$A:$AM,37,FALSE),"")</f>
        <v>0</v>
      </c>
      <c r="AL664">
        <f>IFERROR(VLOOKUP($A664,koronahun!$A:$AM,38,FALSE),"")</f>
        <v>0</v>
      </c>
      <c r="AM664" s="14">
        <f>IFERROR(VLOOKUP($A664,koronahun!$A:$AM,39,FALSE),"")</f>
        <v>20.571428571428573</v>
      </c>
      <c r="AN664" s="11">
        <f ca="1">IFERROR(__xludf.DUMMYFUNCTION("""COMPUTED_VALUE"""),44556)</f>
        <v>44556</v>
      </c>
      <c r="AO664" s="12">
        <f ca="1">IFERROR(VLOOKUP(AN664,koronahun!A:B,2,FALSE),"")</f>
        <v>0</v>
      </c>
      <c r="AP664" s="11">
        <f t="shared" ca="1" si="4"/>
        <v>44556</v>
      </c>
      <c r="AQ664" s="11">
        <f ca="1">IFERROR(__xludf.DUMMYFUNCTION("""COMPUTED_VALUE"""),44641)</f>
        <v>44641</v>
      </c>
      <c r="AR664" s="11">
        <v>43955</v>
      </c>
      <c r="AS664" s="11">
        <f t="shared" si="5"/>
        <v>43955</v>
      </c>
      <c r="AT664" s="11">
        <f ca="1">IFERROR(__xludf.DUMMYFUNCTION("""COMPUTED_VALUE"""),43954)</f>
        <v>43954</v>
      </c>
    </row>
    <row r="665" spans="1:46" ht="13">
      <c r="A665" s="11">
        <v>43953</v>
      </c>
      <c r="B665">
        <f>IFERROR(VLOOKUP($A665,koronahun!$A:$AM,2,FALSE),"")</f>
        <v>2942</v>
      </c>
      <c r="C665">
        <f>IFERROR(VLOOKUP($A665,koronahun!$A:$AM,3,FALSE),"")</f>
        <v>79</v>
      </c>
      <c r="D665">
        <f>IFERROR(VLOOKUP($A665,koronahun!$A:$AM,4,FALSE),"")</f>
        <v>335</v>
      </c>
      <c r="E665">
        <f>IFERROR(VLOOKUP($A665,koronahun!$A:$AM,5,FALSE),"")</f>
        <v>625</v>
      </c>
      <c r="F665">
        <f>IFERROR(VLOOKUP($A665,koronahun!$A:$AM,6,FALSE),"")</f>
        <v>79551</v>
      </c>
      <c r="G665" s="12">
        <f>IFERROR(VLOOKUP($A665,koronahun!$A:$AM,7,FALSE),"")</f>
        <v>8117.4489795918362</v>
      </c>
      <c r="H665">
        <f>IFERROR(VLOOKUP($A665,koronahun!$A:$AM,8,FALSE),"")</f>
        <v>0</v>
      </c>
      <c r="I665" s="13">
        <f>IFERROR(VLOOKUP($A665,koronahun!$A:$AM,9,FALSE),"")</f>
        <v>2.76E-2</v>
      </c>
      <c r="J665" s="13">
        <f>IFERROR(VLOOKUP($A665,koronahun!$A:$AM,10,FALSE),"")</f>
        <v>3.6999999999999998E-2</v>
      </c>
      <c r="K665" s="13">
        <f>IFERROR(VLOOKUP($A665,koronahun!$A:$AM,11,FALSE),"")</f>
        <v>4.2000000000000003E-2</v>
      </c>
      <c r="L665">
        <f>IFERROR(VLOOKUP($A665,koronahun!$A:$AM,12,FALSE),"")</f>
        <v>1982</v>
      </c>
      <c r="M665" s="13">
        <f>IFERROR(VLOOKUP($A665,koronahun!$A:$AM,13,FALSE),"")</f>
        <v>0.1139</v>
      </c>
      <c r="N665" s="13">
        <f>IFERROR(VLOOKUP($A665,koronahun!$A:$AM,14,FALSE),"")</f>
        <v>0.21240000000000001</v>
      </c>
      <c r="O665">
        <f>IFERROR(VLOOKUP($A665,koronahun!$A:$AM,15,FALSE),"")</f>
        <v>10754</v>
      </c>
      <c r="P665">
        <f>IFERROR(VLOOKUP($A665,koronahun!$A:$AM,16,FALSE),"")</f>
        <v>3220</v>
      </c>
      <c r="Q665" s="13">
        <f>IFERROR(VLOOKUP($A665,koronahun!$A:$AM,17,FALSE),"")</f>
        <v>2.4500000000000001E-2</v>
      </c>
      <c r="R665">
        <f>IFERROR(VLOOKUP($A665,koronahun!$A:$AM,18,FALSE),"")</f>
        <v>12</v>
      </c>
      <c r="S665">
        <f>IFERROR(VLOOKUP($A665,koronahun!$A:$AM,19,FALSE),"")</f>
        <v>16</v>
      </c>
      <c r="T665">
        <f>IFERROR(VLOOKUP($A665,koronahun!$A:$AM,20,FALSE),"")</f>
        <v>1008</v>
      </c>
      <c r="U665">
        <f>IFERROR(VLOOKUP($A665,koronahun!$A:$AM,21,FALSE),"")</f>
        <v>52</v>
      </c>
      <c r="V665" s="13">
        <f>IFERROR(VLOOKUP($A665,koronahun!$A:$AM,22,FALSE),"")</f>
        <v>0.67369136641740313</v>
      </c>
      <c r="W665">
        <f>IFERROR(VLOOKUP($A665,koronahun!$A:$AM,23,FALSE),"")</f>
        <v>25</v>
      </c>
      <c r="X665">
        <f>IFERROR(VLOOKUP($A665,koronahun!$A:$AM,24,FALSE),"")</f>
        <v>3</v>
      </c>
      <c r="Y665" s="14">
        <f>IFERROR(VLOOKUP($A665,koronahun!$A:$AM,25,FALSE),"")</f>
        <v>0.50857719475277496</v>
      </c>
      <c r="Z665" s="14">
        <f>IFERROR(VLOOKUP($A665,koronahun!$A:$AM,26,FALSE),"")</f>
        <v>5.1587301587301584E-2</v>
      </c>
      <c r="AA665" s="14">
        <f>IFERROR(VLOOKUP($A665,koronahun!$A:$AM,27,FALSE),"")</f>
        <v>0.819376026272578</v>
      </c>
      <c r="AB665" s="14">
        <f>IFERROR(VLOOKUP($A665,koronahun!$A:$AM,28,FALSE),"")</f>
        <v>0.93610586112741268</v>
      </c>
      <c r="AC665" s="14">
        <f>IFERROR(VLOOKUP($A665,koronahun!$A:$AM,29,FALSE),"")</f>
        <v>71.285714285714292</v>
      </c>
      <c r="AD665" s="14">
        <f>IFERROR(VLOOKUP($A665,koronahun!$A:$AM,30,FALSE),"")</f>
        <v>10.428571428571429</v>
      </c>
      <c r="AE665" s="14">
        <f>IFERROR(VLOOKUP($A665,koronahun!$A:$AM,31,FALSE),"")</f>
        <v>2678.5714285714284</v>
      </c>
      <c r="AF665" s="13">
        <f>IFERROR(VLOOKUP($A665,koronahun!$A:$AM,32,FALSE),"")</f>
        <v>2.8071428571428574E-2</v>
      </c>
      <c r="AG665">
        <f>IFERROR(VLOOKUP($A665,koronahun!$A:$AM,33,FALSE),"")</f>
        <v>0</v>
      </c>
      <c r="AH665">
        <f>IFERROR(VLOOKUP($A665,koronahun!$A:$AM,34,FALSE),"")</f>
        <v>0</v>
      </c>
      <c r="AI665">
        <f>IFERROR(VLOOKUP($A665,koronahun!$A:$AM,35,FALSE),"")</f>
        <v>0</v>
      </c>
      <c r="AJ665">
        <f>IFERROR(VLOOKUP($A665,koronahun!$A:$AM,36,FALSE),"")</f>
        <v>0</v>
      </c>
      <c r="AK665">
        <f>IFERROR(VLOOKUP($A665,koronahun!$A:$AM,37,FALSE),"")</f>
        <v>0</v>
      </c>
      <c r="AL665">
        <f>IFERROR(VLOOKUP($A665,koronahun!$A:$AM,38,FALSE),"")</f>
        <v>0</v>
      </c>
      <c r="AM665" s="14">
        <f>IFERROR(VLOOKUP($A665,koronahun!$A:$AM,39,FALSE),"")</f>
        <v>23.857142857142858</v>
      </c>
      <c r="AN665" s="11">
        <f ca="1">IFERROR(__xludf.DUMMYFUNCTION("""COMPUTED_VALUE"""),44557)</f>
        <v>44557</v>
      </c>
      <c r="AO665" s="12">
        <f ca="1">IFERROR(VLOOKUP(AN665,koronahun!A:B,2,FALSE),"")</f>
        <v>1245319</v>
      </c>
      <c r="AP665" s="11">
        <f t="shared" ca="1" si="4"/>
        <v>44557</v>
      </c>
      <c r="AQ665" s="11">
        <f ca="1">IFERROR(__xludf.DUMMYFUNCTION("""COMPUTED_VALUE"""),44642)</f>
        <v>44642</v>
      </c>
      <c r="AR665" s="11">
        <v>43954</v>
      </c>
      <c r="AS665" s="11">
        <f t="shared" si="5"/>
        <v>43954</v>
      </c>
      <c r="AT665" s="11">
        <f ca="1">IFERROR(__xludf.DUMMYFUNCTION("""COMPUTED_VALUE"""),43953)</f>
        <v>43953</v>
      </c>
    </row>
    <row r="666" spans="1:46" ht="13">
      <c r="A666" s="11">
        <v>43952</v>
      </c>
      <c r="B666">
        <f>IFERROR(VLOOKUP($A666,koronahun!$A:$AM,2,FALSE),"")</f>
        <v>2863</v>
      </c>
      <c r="C666">
        <f>IFERROR(VLOOKUP($A666,koronahun!$A:$AM,3,FALSE),"")</f>
        <v>88</v>
      </c>
      <c r="D666">
        <f>IFERROR(VLOOKUP($A666,koronahun!$A:$AM,4,FALSE),"")</f>
        <v>323</v>
      </c>
      <c r="E666">
        <f>IFERROR(VLOOKUP($A666,koronahun!$A:$AM,5,FALSE),"")</f>
        <v>609</v>
      </c>
      <c r="F666">
        <f>IFERROR(VLOOKUP($A666,koronahun!$A:$AM,6,FALSE),"")</f>
        <v>76331</v>
      </c>
      <c r="G666" s="12">
        <f>IFERROR(VLOOKUP($A666,koronahun!$A:$AM,7,FALSE),"")</f>
        <v>7788.8775510204077</v>
      </c>
      <c r="H666">
        <f>IFERROR(VLOOKUP($A666,koronahun!$A:$AM,8,FALSE),"")</f>
        <v>0</v>
      </c>
      <c r="I666" s="13">
        <f>IFERROR(VLOOKUP($A666,koronahun!$A:$AM,9,FALSE),"")</f>
        <v>3.1699999999999999E-2</v>
      </c>
      <c r="J666" s="13">
        <f>IFERROR(VLOOKUP($A666,koronahun!$A:$AM,10,FALSE),"")</f>
        <v>3.7499999999999999E-2</v>
      </c>
      <c r="K666" s="13">
        <f>IFERROR(VLOOKUP($A666,koronahun!$A:$AM,11,FALSE),"")</f>
        <v>4.5999999999999999E-2</v>
      </c>
      <c r="L666">
        <f>IFERROR(VLOOKUP($A666,koronahun!$A:$AM,12,FALSE),"")</f>
        <v>1931</v>
      </c>
      <c r="M666" s="13">
        <f>IFERROR(VLOOKUP($A666,koronahun!$A:$AM,13,FALSE),"")</f>
        <v>0.1128</v>
      </c>
      <c r="N666" s="13">
        <f>IFERROR(VLOOKUP($A666,koronahun!$A:$AM,14,FALSE),"")</f>
        <v>0.2127</v>
      </c>
      <c r="O666">
        <f>IFERROR(VLOOKUP($A666,koronahun!$A:$AM,15,FALSE),"")</f>
        <v>10384</v>
      </c>
      <c r="P666">
        <f>IFERROR(VLOOKUP($A666,koronahun!$A:$AM,16,FALSE),"")</f>
        <v>3380</v>
      </c>
      <c r="Q666" s="13">
        <f>IFERROR(VLOOKUP($A666,koronahun!$A:$AM,17,FALSE),"")</f>
        <v>2.5999999999999999E-2</v>
      </c>
      <c r="R666">
        <f>IFERROR(VLOOKUP($A666,koronahun!$A:$AM,18,FALSE),"")</f>
        <v>11</v>
      </c>
      <c r="S666">
        <f>IFERROR(VLOOKUP($A666,koronahun!$A:$AM,19,FALSE),"")</f>
        <v>28</v>
      </c>
      <c r="T666">
        <f>IFERROR(VLOOKUP($A666,koronahun!$A:$AM,20,FALSE),"")</f>
        <v>983</v>
      </c>
      <c r="U666">
        <f>IFERROR(VLOOKUP($A666,koronahun!$A:$AM,21,FALSE),"")</f>
        <v>49</v>
      </c>
      <c r="V666" s="13">
        <f>IFERROR(VLOOKUP($A666,koronahun!$A:$AM,22,FALSE),"")</f>
        <v>0.6744673419490046</v>
      </c>
      <c r="W666">
        <f>IFERROR(VLOOKUP($A666,koronahun!$A:$AM,23,FALSE),"")</f>
        <v>-15</v>
      </c>
      <c r="X666">
        <f>IFERROR(VLOOKUP($A666,koronahun!$A:$AM,24,FALSE),"")</f>
        <v>-5</v>
      </c>
      <c r="Y666" s="14">
        <f>IFERROR(VLOOKUP($A666,koronahun!$A:$AM,25,FALSE),"")</f>
        <v>0.509062661833247</v>
      </c>
      <c r="Z666" s="14">
        <f>IFERROR(VLOOKUP($A666,koronahun!$A:$AM,26,FALSE),"")</f>
        <v>4.9847405900305189E-2</v>
      </c>
      <c r="AA666" s="14">
        <f>IFERROR(VLOOKUP($A666,koronahun!$A:$AM,27,FALSE),"")</f>
        <v>0.77419354838709675</v>
      </c>
      <c r="AB666" s="14">
        <f>IFERROR(VLOOKUP($A666,koronahun!$A:$AM,28,FALSE),"")</f>
        <v>0.98508267743961808</v>
      </c>
      <c r="AC666" s="14">
        <f>IFERROR(VLOOKUP($A666,koronahun!$A:$AM,29,FALSE),"")</f>
        <v>68.571428571428569</v>
      </c>
      <c r="AD666" s="14">
        <f>IFERROR(VLOOKUP($A666,koronahun!$A:$AM,30,FALSE),"")</f>
        <v>10.428571428571429</v>
      </c>
      <c r="AE666" s="14">
        <f>IFERROR(VLOOKUP($A666,koronahun!$A:$AM,31,FALSE),"")</f>
        <v>2582.8571428571427</v>
      </c>
      <c r="AF666" s="13">
        <f>IFERROR(VLOOKUP($A666,koronahun!$A:$AM,32,FALSE),"")</f>
        <v>2.7928571428571431E-2</v>
      </c>
      <c r="AG666">
        <f>IFERROR(VLOOKUP($A666,koronahun!$A:$AM,33,FALSE),"")</f>
        <v>0</v>
      </c>
      <c r="AH666">
        <f>IFERROR(VLOOKUP($A666,koronahun!$A:$AM,34,FALSE),"")</f>
        <v>0</v>
      </c>
      <c r="AI666">
        <f>IFERROR(VLOOKUP($A666,koronahun!$A:$AM,35,FALSE),"")</f>
        <v>0</v>
      </c>
      <c r="AJ666">
        <f>IFERROR(VLOOKUP($A666,koronahun!$A:$AM,36,FALSE),"")</f>
        <v>0</v>
      </c>
      <c r="AK666">
        <f>IFERROR(VLOOKUP($A666,koronahun!$A:$AM,37,FALSE),"")</f>
        <v>0</v>
      </c>
      <c r="AL666">
        <f>IFERROR(VLOOKUP($A666,koronahun!$A:$AM,38,FALSE),"")</f>
        <v>0</v>
      </c>
      <c r="AM666" s="14">
        <f>IFERROR(VLOOKUP($A666,koronahun!$A:$AM,39,FALSE),"")</f>
        <v>29.714285714285715</v>
      </c>
      <c r="AN666" s="11">
        <f ca="1">IFERROR(__xludf.DUMMYFUNCTION("""COMPUTED_VALUE"""),44558)</f>
        <v>44558</v>
      </c>
      <c r="AO666" s="12">
        <f ca="1">IFERROR(VLOOKUP(AN666,koronahun!A:B,2,FALSE),"")</f>
        <v>1246689</v>
      </c>
      <c r="AP666" s="11">
        <f t="shared" ca="1" si="4"/>
        <v>44558</v>
      </c>
      <c r="AQ666" s="11">
        <f ca="1">IFERROR(__xludf.DUMMYFUNCTION("""COMPUTED_VALUE"""),44643)</f>
        <v>44643</v>
      </c>
      <c r="AR666" s="11">
        <v>43953</v>
      </c>
      <c r="AS666" s="11">
        <f t="shared" si="5"/>
        <v>43953</v>
      </c>
      <c r="AT666" s="11">
        <f ca="1">IFERROR(__xludf.DUMMYFUNCTION("""COMPUTED_VALUE"""),43952)</f>
        <v>43952</v>
      </c>
    </row>
    <row r="667" spans="1:46" ht="13">
      <c r="A667" s="11">
        <v>43951</v>
      </c>
      <c r="B667">
        <f>IFERROR(VLOOKUP($A667,koronahun!$A:$AM,2,FALSE),"")</f>
        <v>2775</v>
      </c>
      <c r="C667">
        <f>IFERROR(VLOOKUP($A667,koronahun!$A:$AM,3,FALSE),"")</f>
        <v>48</v>
      </c>
      <c r="D667">
        <f>IFERROR(VLOOKUP($A667,koronahun!$A:$AM,4,FALSE),"")</f>
        <v>312</v>
      </c>
      <c r="E667">
        <f>IFERROR(VLOOKUP($A667,koronahun!$A:$AM,5,FALSE),"")</f>
        <v>581</v>
      </c>
      <c r="F667">
        <f>IFERROR(VLOOKUP($A667,koronahun!$A:$AM,6,FALSE),"")</f>
        <v>72951</v>
      </c>
      <c r="G667" s="12">
        <f>IFERROR(VLOOKUP($A667,koronahun!$A:$AM,7,FALSE),"")</f>
        <v>7443.9795918367345</v>
      </c>
      <c r="H667">
        <f>IFERROR(VLOOKUP($A667,koronahun!$A:$AM,8,FALSE),"")</f>
        <v>0</v>
      </c>
      <c r="I667" s="13">
        <f>IFERROR(VLOOKUP($A667,koronahun!$A:$AM,9,FALSE),"")</f>
        <v>1.7600000000000001E-2</v>
      </c>
      <c r="J667" s="13">
        <f>IFERROR(VLOOKUP($A667,koronahun!$A:$AM,10,FALSE),"")</f>
        <v>3.7999999999999999E-2</v>
      </c>
      <c r="K667" s="13">
        <f>IFERROR(VLOOKUP($A667,koronahun!$A:$AM,11,FALSE),"")</f>
        <v>3.7999999999999999E-2</v>
      </c>
      <c r="L667">
        <f>IFERROR(VLOOKUP($A667,koronahun!$A:$AM,12,FALSE),"")</f>
        <v>1882</v>
      </c>
      <c r="M667" s="13">
        <f>IFERROR(VLOOKUP($A667,koronahun!$A:$AM,13,FALSE),"")</f>
        <v>0.1124</v>
      </c>
      <c r="N667" s="13">
        <f>IFERROR(VLOOKUP($A667,koronahun!$A:$AM,14,FALSE),"")</f>
        <v>0.2094</v>
      </c>
      <c r="O667">
        <f>IFERROR(VLOOKUP($A667,koronahun!$A:$AM,15,FALSE),"")</f>
        <v>10199</v>
      </c>
      <c r="P667">
        <f>IFERROR(VLOOKUP($A667,koronahun!$A:$AM,16,FALSE),"")</f>
        <v>2651</v>
      </c>
      <c r="Q667" s="13">
        <f>IFERROR(VLOOKUP($A667,koronahun!$A:$AM,17,FALSE),"")</f>
        <v>1.8100000000000002E-2</v>
      </c>
      <c r="R667">
        <f>IFERROR(VLOOKUP($A667,koronahun!$A:$AM,18,FALSE),"")</f>
        <v>12</v>
      </c>
      <c r="S667">
        <f>IFERROR(VLOOKUP($A667,koronahun!$A:$AM,19,FALSE),"")</f>
        <v>45</v>
      </c>
      <c r="T667">
        <f>IFERROR(VLOOKUP($A667,koronahun!$A:$AM,20,FALSE),"")</f>
        <v>998</v>
      </c>
      <c r="U667">
        <f>IFERROR(VLOOKUP($A667,koronahun!$A:$AM,21,FALSE),"")</f>
        <v>54</v>
      </c>
      <c r="V667" s="13">
        <f>IFERROR(VLOOKUP($A667,koronahun!$A:$AM,22,FALSE),"")</f>
        <v>0.67819819819819815</v>
      </c>
      <c r="W667">
        <f>IFERROR(VLOOKUP($A667,koronahun!$A:$AM,23,FALSE),"")</f>
        <v>15</v>
      </c>
      <c r="X667">
        <f>IFERROR(VLOOKUP($A667,koronahun!$A:$AM,24,FALSE),"")</f>
        <v>4</v>
      </c>
      <c r="Y667" s="14">
        <f>IFERROR(VLOOKUP($A667,koronahun!$A:$AM,25,FALSE),"")</f>
        <v>0.53028692879914985</v>
      </c>
      <c r="Z667" s="14">
        <f>IFERROR(VLOOKUP($A667,koronahun!$A:$AM,26,FALSE),"")</f>
        <v>5.410821643286573E-2</v>
      </c>
      <c r="AA667" s="14">
        <f>IFERROR(VLOOKUP($A667,koronahun!$A:$AM,27,FALSE),"")</f>
        <v>0.77689873417721522</v>
      </c>
      <c r="AB667" s="14">
        <f>IFERROR(VLOOKUP($A667,koronahun!$A:$AM,28,FALSE),"")</f>
        <v>1.0290585180714289</v>
      </c>
      <c r="AC667" s="14">
        <f>IFERROR(VLOOKUP($A667,koronahun!$A:$AM,29,FALSE),"")</f>
        <v>70.142857142857139</v>
      </c>
      <c r="AD667" s="14">
        <f>IFERROR(VLOOKUP($A667,koronahun!$A:$AM,30,FALSE),"")</f>
        <v>10.428571428571429</v>
      </c>
      <c r="AE667" s="14">
        <f>IFERROR(VLOOKUP($A667,koronahun!$A:$AM,31,FALSE),"")</f>
        <v>2508.7142857142858</v>
      </c>
      <c r="AF667" s="13">
        <f>IFERROR(VLOOKUP($A667,koronahun!$A:$AM,32,FALSE),"")</f>
        <v>2.9157142857142857E-2</v>
      </c>
      <c r="AG667">
        <f>IFERROR(VLOOKUP($A667,koronahun!$A:$AM,33,FALSE),"")</f>
        <v>0</v>
      </c>
      <c r="AH667">
        <f>IFERROR(VLOOKUP($A667,koronahun!$A:$AM,34,FALSE),"")</f>
        <v>0</v>
      </c>
      <c r="AI667">
        <f>IFERROR(VLOOKUP($A667,koronahun!$A:$AM,35,FALSE),"")</f>
        <v>0</v>
      </c>
      <c r="AJ667">
        <f>IFERROR(VLOOKUP($A667,koronahun!$A:$AM,36,FALSE),"")</f>
        <v>0</v>
      </c>
      <c r="AK667">
        <f>IFERROR(VLOOKUP($A667,koronahun!$A:$AM,37,FALSE),"")</f>
        <v>0</v>
      </c>
      <c r="AL667">
        <f>IFERROR(VLOOKUP($A667,koronahun!$A:$AM,38,FALSE),"")</f>
        <v>0</v>
      </c>
      <c r="AM667" s="14">
        <f>IFERROR(VLOOKUP($A667,koronahun!$A:$AM,39,FALSE),"")</f>
        <v>27.285714285714285</v>
      </c>
      <c r="AN667" s="11">
        <f ca="1">IFERROR(__xludf.DUMMYFUNCTION("""COMPUTED_VALUE"""),44559)</f>
        <v>44559</v>
      </c>
      <c r="AO667" s="12">
        <f ca="1">IFERROR(VLOOKUP(AN667,koronahun!A:B,2,FALSE),"")</f>
        <v>1249694</v>
      </c>
      <c r="AP667" s="11">
        <f t="shared" ca="1" si="4"/>
        <v>44559</v>
      </c>
      <c r="AQ667" s="11">
        <f ca="1">IFERROR(__xludf.DUMMYFUNCTION("""COMPUTED_VALUE"""),44644)</f>
        <v>44644</v>
      </c>
      <c r="AR667" s="11">
        <v>43952</v>
      </c>
      <c r="AS667" s="11">
        <f t="shared" si="5"/>
        <v>43952</v>
      </c>
      <c r="AT667" s="11">
        <f ca="1">IFERROR(__xludf.DUMMYFUNCTION("""COMPUTED_VALUE"""),43951)</f>
        <v>43951</v>
      </c>
    </row>
    <row r="668" spans="1:46" ht="13">
      <c r="A668" s="11">
        <v>43950</v>
      </c>
      <c r="B668">
        <f>IFERROR(VLOOKUP($A668,koronahun!$A:$AM,2,FALSE),"")</f>
        <v>2727</v>
      </c>
      <c r="C668">
        <f>IFERROR(VLOOKUP($A668,koronahun!$A:$AM,3,FALSE),"")</f>
        <v>78</v>
      </c>
      <c r="D668">
        <f>IFERROR(VLOOKUP($A668,koronahun!$A:$AM,4,FALSE),"")</f>
        <v>300</v>
      </c>
      <c r="E668">
        <f>IFERROR(VLOOKUP($A668,koronahun!$A:$AM,5,FALSE),"")</f>
        <v>536</v>
      </c>
      <c r="F668">
        <f>IFERROR(VLOOKUP($A668,koronahun!$A:$AM,6,FALSE),"")</f>
        <v>70300</v>
      </c>
      <c r="G668" s="12">
        <f>IFERROR(VLOOKUP($A668,koronahun!$A:$AM,7,FALSE),"")</f>
        <v>7173.4693877551017</v>
      </c>
      <c r="H668">
        <f>IFERROR(VLOOKUP($A668,koronahun!$A:$AM,8,FALSE),"")</f>
        <v>0</v>
      </c>
      <c r="I668" s="13">
        <f>IFERROR(VLOOKUP($A668,koronahun!$A:$AM,9,FALSE),"")</f>
        <v>2.9399999999999999E-2</v>
      </c>
      <c r="J668" s="13">
        <f>IFERROR(VLOOKUP($A668,koronahun!$A:$AM,10,FALSE),"")</f>
        <v>3.8800000000000001E-2</v>
      </c>
      <c r="K668" s="13">
        <f>IFERROR(VLOOKUP($A668,koronahun!$A:$AM,11,FALSE),"")</f>
        <v>4.7E-2</v>
      </c>
      <c r="L668">
        <f>IFERROR(VLOOKUP($A668,koronahun!$A:$AM,12,FALSE),"")</f>
        <v>1891</v>
      </c>
      <c r="M668" s="13">
        <f>IFERROR(VLOOKUP($A668,koronahun!$A:$AM,13,FALSE),"")</f>
        <v>0.11</v>
      </c>
      <c r="N668" s="13">
        <f>IFERROR(VLOOKUP($A668,koronahun!$A:$AM,14,FALSE),"")</f>
        <v>0.1966</v>
      </c>
      <c r="O668">
        <f>IFERROR(VLOOKUP($A668,koronahun!$A:$AM,15,FALSE),"")</f>
        <v>10071</v>
      </c>
      <c r="P668">
        <f>IFERROR(VLOOKUP($A668,koronahun!$A:$AM,16,FALSE),"")</f>
        <v>3128</v>
      </c>
      <c r="Q668" s="13">
        <f>IFERROR(VLOOKUP($A668,koronahun!$A:$AM,17,FALSE),"")</f>
        <v>2.4899999999999999E-2</v>
      </c>
      <c r="R668">
        <f>IFERROR(VLOOKUP($A668,koronahun!$A:$AM,18,FALSE),"")</f>
        <v>9</v>
      </c>
      <c r="S668">
        <f>IFERROR(VLOOKUP($A668,koronahun!$A:$AM,19,FALSE),"")</f>
        <v>20</v>
      </c>
      <c r="T668">
        <f>IFERROR(VLOOKUP($A668,koronahun!$A:$AM,20,FALSE),"")</f>
        <v>983</v>
      </c>
      <c r="U668">
        <f>IFERROR(VLOOKUP($A668,koronahun!$A:$AM,21,FALSE),"")</f>
        <v>50</v>
      </c>
      <c r="V668" s="13">
        <f>IFERROR(VLOOKUP($A668,koronahun!$A:$AM,22,FALSE),"")</f>
        <v>0.69343601026769341</v>
      </c>
      <c r="W668">
        <f>IFERROR(VLOOKUP($A668,koronahun!$A:$AM,23,FALSE),"")</f>
        <v>37</v>
      </c>
      <c r="X668">
        <f>IFERROR(VLOOKUP($A668,koronahun!$A:$AM,24,FALSE),"")</f>
        <v>1</v>
      </c>
      <c r="Y668" s="14">
        <f>IFERROR(VLOOKUP($A668,koronahun!$A:$AM,25,FALSE),"")</f>
        <v>0.51983077736647276</v>
      </c>
      <c r="Z668" s="14">
        <f>IFERROR(VLOOKUP($A668,koronahun!$A:$AM,26,FALSE),"")</f>
        <v>5.0864699898270603E-2</v>
      </c>
      <c r="AA668" s="14">
        <f>IFERROR(VLOOKUP($A668,koronahun!$A:$AM,27,FALSE),"")</f>
        <v>0.94906621392190149</v>
      </c>
      <c r="AB668" s="14">
        <f>IFERROR(VLOOKUP($A668,koronahun!$A:$AM,28,FALSE),"")</f>
        <v>1.0524267261141398</v>
      </c>
      <c r="AC668" s="14">
        <f>IFERROR(VLOOKUP($A668,koronahun!$A:$AM,29,FALSE),"")</f>
        <v>79.857142857142861</v>
      </c>
      <c r="AD668" s="14">
        <f>IFERROR(VLOOKUP($A668,koronahun!$A:$AM,30,FALSE),"")</f>
        <v>10.714285714285714</v>
      </c>
      <c r="AE668" s="14">
        <f>IFERROR(VLOOKUP($A668,koronahun!$A:$AM,31,FALSE),"")</f>
        <v>2514</v>
      </c>
      <c r="AF668" s="13">
        <f>IFERROR(VLOOKUP($A668,koronahun!$A:$AM,32,FALSE),"")</f>
        <v>3.274285714285715E-2</v>
      </c>
      <c r="AG668">
        <f>IFERROR(VLOOKUP($A668,koronahun!$A:$AM,33,FALSE),"")</f>
        <v>0</v>
      </c>
      <c r="AH668">
        <f>IFERROR(VLOOKUP($A668,koronahun!$A:$AM,34,FALSE),"")</f>
        <v>0</v>
      </c>
      <c r="AI668">
        <f>IFERROR(VLOOKUP($A668,koronahun!$A:$AM,35,FALSE),"")</f>
        <v>0</v>
      </c>
      <c r="AJ668">
        <f>IFERROR(VLOOKUP($A668,koronahun!$A:$AM,36,FALSE),"")</f>
        <v>0</v>
      </c>
      <c r="AK668">
        <f>IFERROR(VLOOKUP($A668,koronahun!$A:$AM,37,FALSE),"")</f>
        <v>0</v>
      </c>
      <c r="AL668">
        <f>IFERROR(VLOOKUP($A668,koronahun!$A:$AM,38,FALSE),"")</f>
        <v>0</v>
      </c>
      <c r="AM668" s="14">
        <f>IFERROR(VLOOKUP($A668,koronahun!$A:$AM,39,FALSE),"")</f>
        <v>34.428571428571431</v>
      </c>
      <c r="AN668" s="11">
        <f ca="1">IFERROR(__xludf.DUMMYFUNCTION("""COMPUTED_VALUE"""),44560)</f>
        <v>44560</v>
      </c>
      <c r="AO668" s="12">
        <f ca="1">IFERROR(VLOOKUP(AN668,koronahun!A:B,2,FALSE),"")</f>
        <v>1253055</v>
      </c>
      <c r="AP668" s="11">
        <f t="shared" ca="1" si="4"/>
        <v>44560</v>
      </c>
      <c r="AQ668" s="11">
        <f ca="1">IFERROR(__xludf.DUMMYFUNCTION("""COMPUTED_VALUE"""),44645)</f>
        <v>44645</v>
      </c>
      <c r="AR668" s="11">
        <v>43951</v>
      </c>
      <c r="AS668" s="11">
        <f t="shared" si="5"/>
        <v>43951</v>
      </c>
      <c r="AT668" s="11">
        <f ca="1">IFERROR(__xludf.DUMMYFUNCTION("""COMPUTED_VALUE"""),43950)</f>
        <v>43950</v>
      </c>
    </row>
    <row r="669" spans="1:46" ht="13">
      <c r="A669" s="11">
        <v>43949</v>
      </c>
      <c r="B669">
        <f>IFERROR(VLOOKUP($A669,koronahun!$A:$AM,2,FALSE),"")</f>
        <v>2649</v>
      </c>
      <c r="C669">
        <f>IFERROR(VLOOKUP($A669,koronahun!$A:$AM,3,FALSE),"")</f>
        <v>66</v>
      </c>
      <c r="D669">
        <f>IFERROR(VLOOKUP($A669,koronahun!$A:$AM,4,FALSE),"")</f>
        <v>291</v>
      </c>
      <c r="E669">
        <f>IFERROR(VLOOKUP($A669,koronahun!$A:$AM,5,FALSE),"")</f>
        <v>516</v>
      </c>
      <c r="F669">
        <f>IFERROR(VLOOKUP($A669,koronahun!$A:$AM,6,FALSE),"")</f>
        <v>67172</v>
      </c>
      <c r="G669" s="12">
        <f>IFERROR(VLOOKUP($A669,koronahun!$A:$AM,7,FALSE),"")</f>
        <v>6854.2857142857138</v>
      </c>
      <c r="H669">
        <f>IFERROR(VLOOKUP($A669,koronahun!$A:$AM,8,FALSE),"")</f>
        <v>0</v>
      </c>
      <c r="I669" s="13">
        <f>IFERROR(VLOOKUP($A669,koronahun!$A:$AM,9,FALSE),"")</f>
        <v>2.5600000000000001E-2</v>
      </c>
      <c r="J669" s="13">
        <f>IFERROR(VLOOKUP($A669,koronahun!$A:$AM,10,FALSE),"")</f>
        <v>3.9399999999999998E-2</v>
      </c>
      <c r="K669" s="13">
        <f>IFERROR(VLOOKUP($A669,koronahun!$A:$AM,11,FALSE),"")</f>
        <v>2.4E-2</v>
      </c>
      <c r="L669">
        <f>IFERROR(VLOOKUP($A669,koronahun!$A:$AM,12,FALSE),"")</f>
        <v>1842</v>
      </c>
      <c r="M669" s="13">
        <f>IFERROR(VLOOKUP($A669,koronahun!$A:$AM,13,FALSE),"")</f>
        <v>0.1099</v>
      </c>
      <c r="N669" s="13">
        <f>IFERROR(VLOOKUP($A669,koronahun!$A:$AM,14,FALSE),"")</f>
        <v>0.1948</v>
      </c>
      <c r="O669">
        <f>IFERROR(VLOOKUP($A669,koronahun!$A:$AM,15,FALSE),"")</f>
        <v>9889</v>
      </c>
      <c r="P669">
        <f>IFERROR(VLOOKUP($A669,koronahun!$A:$AM,16,FALSE),"")</f>
        <v>1547</v>
      </c>
      <c r="Q669" s="13">
        <f>IFERROR(VLOOKUP($A669,koronahun!$A:$AM,17,FALSE),"")</f>
        <v>4.2700000000000002E-2</v>
      </c>
      <c r="R669">
        <f>IFERROR(VLOOKUP($A669,koronahun!$A:$AM,18,FALSE),"")</f>
        <v>11</v>
      </c>
      <c r="S669">
        <f>IFERROR(VLOOKUP($A669,koronahun!$A:$AM,19,FALSE),"")</f>
        <v>18</v>
      </c>
      <c r="T669">
        <f>IFERROR(VLOOKUP($A669,koronahun!$A:$AM,20,FALSE),"")</f>
        <v>946</v>
      </c>
      <c r="U669">
        <f>IFERROR(VLOOKUP($A669,koronahun!$A:$AM,21,FALSE),"")</f>
        <v>49</v>
      </c>
      <c r="V669" s="13">
        <f>IFERROR(VLOOKUP($A669,koronahun!$A:$AM,22,FALSE),"")</f>
        <v>0.69535673839184597</v>
      </c>
      <c r="W669">
        <f>IFERROR(VLOOKUP($A669,koronahun!$A:$AM,23,FALSE),"")</f>
        <v>15</v>
      </c>
      <c r="X669">
        <f>IFERROR(VLOOKUP($A669,koronahun!$A:$AM,24,FALSE),"")</f>
        <v>-3</v>
      </c>
      <c r="Y669" s="14">
        <f>IFERROR(VLOOKUP($A669,koronahun!$A:$AM,25,FALSE),"")</f>
        <v>0.51357220412595006</v>
      </c>
      <c r="Z669" s="14">
        <f>IFERROR(VLOOKUP($A669,koronahun!$A:$AM,26,FALSE),"")</f>
        <v>5.1797040169133189E-2</v>
      </c>
      <c r="AA669" s="14">
        <f>IFERROR(VLOOKUP($A669,koronahun!$A:$AM,27,FALSE),"")</f>
        <v>0.94027303754266212</v>
      </c>
      <c r="AB669" s="14">
        <f>IFERROR(VLOOKUP($A669,koronahun!$A:$AM,28,FALSE),"")</f>
        <v>1.039861711426884</v>
      </c>
      <c r="AC669" s="14">
        <f>IFERROR(VLOOKUP($A669,koronahun!$A:$AM,29,FALSE),"")</f>
        <v>78.714285714285708</v>
      </c>
      <c r="AD669" s="14">
        <f>IFERROR(VLOOKUP($A669,koronahun!$A:$AM,30,FALSE),"")</f>
        <v>11.142857142857142</v>
      </c>
      <c r="AE669" s="14">
        <f>IFERROR(VLOOKUP($A669,koronahun!$A:$AM,31,FALSE),"")</f>
        <v>2445.7142857142858</v>
      </c>
      <c r="AF669" s="13">
        <f>IFERROR(VLOOKUP($A669,koronahun!$A:$AM,32,FALSE),"")</f>
        <v>3.2957142857142858E-2</v>
      </c>
      <c r="AG669">
        <f>IFERROR(VLOOKUP($A669,koronahun!$A:$AM,33,FALSE),"")</f>
        <v>0</v>
      </c>
      <c r="AH669">
        <f>IFERROR(VLOOKUP($A669,koronahun!$A:$AM,34,FALSE),"")</f>
        <v>0</v>
      </c>
      <c r="AI669">
        <f>IFERROR(VLOOKUP($A669,koronahun!$A:$AM,35,FALSE),"")</f>
        <v>0</v>
      </c>
      <c r="AJ669">
        <f>IFERROR(VLOOKUP($A669,koronahun!$A:$AM,36,FALSE),"")</f>
        <v>0</v>
      </c>
      <c r="AK669">
        <f>IFERROR(VLOOKUP($A669,koronahun!$A:$AM,37,FALSE),"")</f>
        <v>0</v>
      </c>
      <c r="AL669">
        <f>IFERROR(VLOOKUP($A669,koronahun!$A:$AM,38,FALSE),"")</f>
        <v>0</v>
      </c>
      <c r="AM669" s="14">
        <f>IFERROR(VLOOKUP($A669,koronahun!$A:$AM,39,FALSE),"")</f>
        <v>32.714285714285715</v>
      </c>
      <c r="AN669" s="11">
        <f ca="1">IFERROR(__xludf.DUMMYFUNCTION("""COMPUTED_VALUE"""),44561)</f>
        <v>44561</v>
      </c>
      <c r="AO669" s="12">
        <f ca="1">IFERROR(VLOOKUP(AN669,koronahun!A:B,2,FALSE),"")</f>
        <v>1256415</v>
      </c>
      <c r="AP669" s="11">
        <f t="shared" ca="1" si="4"/>
        <v>44561</v>
      </c>
      <c r="AQ669" s="11">
        <f ca="1">IFERROR(__xludf.DUMMYFUNCTION("""COMPUTED_VALUE"""),44648)</f>
        <v>44648</v>
      </c>
      <c r="AR669" s="11">
        <v>43950</v>
      </c>
      <c r="AS669" s="11">
        <f t="shared" si="5"/>
        <v>43950</v>
      </c>
      <c r="AT669" s="11">
        <f ca="1">IFERROR(__xludf.DUMMYFUNCTION("""COMPUTED_VALUE"""),43949)</f>
        <v>43949</v>
      </c>
    </row>
    <row r="670" spans="1:46" ht="13">
      <c r="A670" s="11">
        <v>43948</v>
      </c>
      <c r="B670">
        <f>IFERROR(VLOOKUP($A670,koronahun!$A:$AM,2,FALSE),"")</f>
        <v>2583</v>
      </c>
      <c r="C670">
        <f>IFERROR(VLOOKUP($A670,koronahun!$A:$AM,3,FALSE),"")</f>
        <v>83</v>
      </c>
      <c r="D670">
        <f>IFERROR(VLOOKUP($A670,koronahun!$A:$AM,4,FALSE),"")</f>
        <v>280</v>
      </c>
      <c r="E670">
        <f>IFERROR(VLOOKUP($A670,koronahun!$A:$AM,5,FALSE),"")</f>
        <v>498</v>
      </c>
      <c r="F670">
        <f>IFERROR(VLOOKUP($A670,koronahun!$A:$AM,6,FALSE),"")</f>
        <v>65625</v>
      </c>
      <c r="G670" s="12">
        <f>IFERROR(VLOOKUP($A670,koronahun!$A:$AM,7,FALSE),"")</f>
        <v>6696.4285714285706</v>
      </c>
      <c r="H670">
        <f>IFERROR(VLOOKUP($A670,koronahun!$A:$AM,8,FALSE),"")</f>
        <v>0</v>
      </c>
      <c r="I670" s="13">
        <f>IFERROR(VLOOKUP($A670,koronahun!$A:$AM,9,FALSE),"")</f>
        <v>3.32E-2</v>
      </c>
      <c r="J670" s="13">
        <f>IFERROR(VLOOKUP($A670,koronahun!$A:$AM,10,FALSE),"")</f>
        <v>3.9399999999999998E-2</v>
      </c>
      <c r="K670" s="13">
        <f>IFERROR(VLOOKUP($A670,koronahun!$A:$AM,11,FALSE),"")</f>
        <v>3.3000000000000002E-2</v>
      </c>
      <c r="L670">
        <f>IFERROR(VLOOKUP($A670,koronahun!$A:$AM,12,FALSE),"")</f>
        <v>1805</v>
      </c>
      <c r="M670" s="13">
        <f>IFERROR(VLOOKUP($A670,koronahun!$A:$AM,13,FALSE),"")</f>
        <v>0.1084</v>
      </c>
      <c r="N670" s="13">
        <f>IFERROR(VLOOKUP($A670,koronahun!$A:$AM,14,FALSE),"")</f>
        <v>0.1928</v>
      </c>
      <c r="O670">
        <f>IFERROR(VLOOKUP($A670,koronahun!$A:$AM,15,FALSE),"")</f>
        <v>9829</v>
      </c>
      <c r="P670">
        <f>IFERROR(VLOOKUP($A670,koronahun!$A:$AM,16,FALSE),"")</f>
        <v>2120</v>
      </c>
      <c r="Q670" s="13">
        <f>IFERROR(VLOOKUP($A670,koronahun!$A:$AM,17,FALSE),"")</f>
        <v>3.9199999999999999E-2</v>
      </c>
      <c r="R670">
        <f>IFERROR(VLOOKUP($A670,koronahun!$A:$AM,18,FALSE),"")</f>
        <v>8</v>
      </c>
      <c r="S670">
        <f>IFERROR(VLOOKUP($A670,koronahun!$A:$AM,19,FALSE),"")</f>
        <v>13</v>
      </c>
      <c r="T670">
        <f>IFERROR(VLOOKUP($A670,koronahun!$A:$AM,20,FALSE),"")</f>
        <v>931</v>
      </c>
      <c r="U670">
        <f>IFERROR(VLOOKUP($A670,koronahun!$A:$AM,21,FALSE),"")</f>
        <v>52</v>
      </c>
      <c r="V670" s="13">
        <f>IFERROR(VLOOKUP($A670,koronahun!$A:$AM,22,FALSE),"")</f>
        <v>0.69879984514130855</v>
      </c>
      <c r="W670">
        <f>IFERROR(VLOOKUP($A670,koronahun!$A:$AM,23,FALSE),"")</f>
        <v>4</v>
      </c>
      <c r="X670">
        <f>IFERROR(VLOOKUP($A670,koronahun!$A:$AM,24,FALSE),"")</f>
        <v>-4</v>
      </c>
      <c r="Y670" s="14">
        <f>IFERROR(VLOOKUP($A670,koronahun!$A:$AM,25,FALSE),"")</f>
        <v>0.51578947368421058</v>
      </c>
      <c r="Z670" s="14">
        <f>IFERROR(VLOOKUP($A670,koronahun!$A:$AM,26,FALSE),"")</f>
        <v>5.5853920515574654E-2</v>
      </c>
      <c r="AA670" s="14">
        <f>IFERROR(VLOOKUP($A670,koronahun!$A:$AM,27,FALSE),"")</f>
        <v>1.1387832699619771</v>
      </c>
      <c r="AB670" s="14">
        <f>IFERROR(VLOOKUP($A670,koronahun!$A:$AM,28,FALSE),"")</f>
        <v>1.025989201438775</v>
      </c>
      <c r="AC670" s="14">
        <f>IFERROR(VLOOKUP($A670,koronahun!$A:$AM,29,FALSE),"")</f>
        <v>85.571428571428569</v>
      </c>
      <c r="AD670" s="14">
        <f>IFERROR(VLOOKUP($A670,koronahun!$A:$AM,30,FALSE),"")</f>
        <v>11.571428571428571</v>
      </c>
      <c r="AE670" s="14">
        <f>IFERROR(VLOOKUP($A670,koronahun!$A:$AM,31,FALSE),"")</f>
        <v>2509.7142857142858</v>
      </c>
      <c r="AF670" s="13">
        <f>IFERROR(VLOOKUP($A670,koronahun!$A:$AM,32,FALSE),"")</f>
        <v>3.5014285714285713E-2</v>
      </c>
      <c r="AG670">
        <f>IFERROR(VLOOKUP($A670,koronahun!$A:$AM,33,FALSE),"")</f>
        <v>0</v>
      </c>
      <c r="AH670">
        <f>IFERROR(VLOOKUP($A670,koronahun!$A:$AM,34,FALSE),"")</f>
        <v>0</v>
      </c>
      <c r="AI670">
        <f>IFERROR(VLOOKUP($A670,koronahun!$A:$AM,35,FALSE),"")</f>
        <v>0</v>
      </c>
      <c r="AJ670">
        <f>IFERROR(VLOOKUP($A670,koronahun!$A:$AM,36,FALSE),"")</f>
        <v>0</v>
      </c>
      <c r="AK670">
        <f>IFERROR(VLOOKUP($A670,koronahun!$A:$AM,37,FALSE),"")</f>
        <v>0</v>
      </c>
      <c r="AL670">
        <f>IFERROR(VLOOKUP($A670,koronahun!$A:$AM,38,FALSE),"")</f>
        <v>0</v>
      </c>
      <c r="AM670" s="14">
        <f>IFERROR(VLOOKUP($A670,koronahun!$A:$AM,39,FALSE),"")</f>
        <v>33</v>
      </c>
      <c r="AN670" s="11">
        <f ca="1">IFERROR(__xludf.DUMMYFUNCTION("""COMPUTED_VALUE"""),44562)</f>
        <v>44562</v>
      </c>
      <c r="AO670" s="12">
        <f ca="1">IFERROR(VLOOKUP(AN670,koronahun!A:B,2,FALSE),"")</f>
        <v>0</v>
      </c>
      <c r="AP670" s="11">
        <f t="shared" ca="1" si="4"/>
        <v>44562</v>
      </c>
      <c r="AQ670" s="11">
        <f ca="1">IFERROR(__xludf.DUMMYFUNCTION("""COMPUTED_VALUE"""),44649)</f>
        <v>44649</v>
      </c>
      <c r="AR670" s="11">
        <v>43949</v>
      </c>
      <c r="AS670" s="11">
        <f t="shared" si="5"/>
        <v>43949</v>
      </c>
      <c r="AT670" s="11">
        <f ca="1">IFERROR(__xludf.DUMMYFUNCTION("""COMPUTED_VALUE"""),43948)</f>
        <v>43948</v>
      </c>
    </row>
    <row r="671" spans="1:46" ht="13">
      <c r="A671" s="11">
        <v>43947</v>
      </c>
      <c r="B671">
        <f>IFERROR(VLOOKUP($A671,koronahun!$A:$AM,2,FALSE),"")</f>
        <v>2500</v>
      </c>
      <c r="C671">
        <f>IFERROR(VLOOKUP($A671,koronahun!$A:$AM,3,FALSE),"")</f>
        <v>57</v>
      </c>
      <c r="D671">
        <f>IFERROR(VLOOKUP($A671,koronahun!$A:$AM,4,FALSE),"")</f>
        <v>272</v>
      </c>
      <c r="E671">
        <f>IFERROR(VLOOKUP($A671,koronahun!$A:$AM,5,FALSE),"")</f>
        <v>485</v>
      </c>
      <c r="F671">
        <f>IFERROR(VLOOKUP($A671,koronahun!$A:$AM,6,FALSE),"")</f>
        <v>63505</v>
      </c>
      <c r="G671" s="12">
        <f>IFERROR(VLOOKUP($A671,koronahun!$A:$AM,7,FALSE),"")</f>
        <v>6480.1020408163258</v>
      </c>
      <c r="H671">
        <f>IFERROR(VLOOKUP($A671,koronahun!$A:$AM,8,FALSE),"")</f>
        <v>0</v>
      </c>
      <c r="I671" s="13">
        <f>IFERROR(VLOOKUP($A671,koronahun!$A:$AM,9,FALSE),"")</f>
        <v>2.3300000000000001E-2</v>
      </c>
      <c r="J671" s="13">
        <f>IFERROR(VLOOKUP($A671,koronahun!$A:$AM,10,FALSE),"")</f>
        <v>3.9399999999999998E-2</v>
      </c>
      <c r="K671" s="13">
        <f>IFERROR(VLOOKUP($A671,koronahun!$A:$AM,11,FALSE),"")</f>
        <v>4.3999999999999997E-2</v>
      </c>
      <c r="L671">
        <f>IFERROR(VLOOKUP($A671,koronahun!$A:$AM,12,FALSE),"")</f>
        <v>1743</v>
      </c>
      <c r="M671" s="13">
        <f>IFERROR(VLOOKUP($A671,koronahun!$A:$AM,13,FALSE),"")</f>
        <v>0.10879999999999999</v>
      </c>
      <c r="N671" s="13">
        <f>IFERROR(VLOOKUP($A671,koronahun!$A:$AM,14,FALSE),"")</f>
        <v>0.19400000000000001</v>
      </c>
      <c r="O671">
        <f>IFERROR(VLOOKUP($A671,koronahun!$A:$AM,15,FALSE),"")</f>
        <v>9589</v>
      </c>
      <c r="P671">
        <f>IFERROR(VLOOKUP($A671,koronahun!$A:$AM,16,FALSE),"")</f>
        <v>2704</v>
      </c>
      <c r="Q671" s="13">
        <f>IFERROR(VLOOKUP($A671,koronahun!$A:$AM,17,FALSE),"")</f>
        <v>2.1100000000000001E-2</v>
      </c>
      <c r="R671">
        <f>IFERROR(VLOOKUP($A671,koronahun!$A:$AM,18,FALSE),"")</f>
        <v>10</v>
      </c>
      <c r="S671">
        <f>IFERROR(VLOOKUP($A671,koronahun!$A:$AM,19,FALSE),"")</f>
        <v>27</v>
      </c>
      <c r="T671">
        <f>IFERROR(VLOOKUP($A671,koronahun!$A:$AM,20,FALSE),"")</f>
        <v>927</v>
      </c>
      <c r="U671">
        <f>IFERROR(VLOOKUP($A671,koronahun!$A:$AM,21,FALSE),"")</f>
        <v>56</v>
      </c>
      <c r="V671" s="13">
        <f>IFERROR(VLOOKUP($A671,koronahun!$A:$AM,22,FALSE),"")</f>
        <v>0.69720000000000004</v>
      </c>
      <c r="W671">
        <f>IFERROR(VLOOKUP($A671,koronahun!$A:$AM,23,FALSE),"")</f>
        <v>28</v>
      </c>
      <c r="X671">
        <f>IFERROR(VLOOKUP($A671,koronahun!$A:$AM,24,FALSE),"")</f>
        <v>2</v>
      </c>
      <c r="Y671" s="14">
        <f>IFERROR(VLOOKUP($A671,koronahun!$A:$AM,25,FALSE),"")</f>
        <v>0.53184165232358005</v>
      </c>
      <c r="Z671" s="14">
        <f>IFERROR(VLOOKUP($A671,koronahun!$A:$AM,26,FALSE),"")</f>
        <v>6.0409924487594392E-2</v>
      </c>
      <c r="AA671" s="14">
        <f>IFERROR(VLOOKUP($A671,koronahun!$A:$AM,27,FALSE),"")</f>
        <v>1.1541501976284585</v>
      </c>
      <c r="AB671" s="14">
        <f>IFERROR(VLOOKUP($A671,koronahun!$A:$AM,28,FALSE),"")</f>
        <v>0.96854797399722814</v>
      </c>
      <c r="AC671" s="14">
        <f>IFERROR(VLOOKUP($A671,koronahun!$A:$AM,29,FALSE),"")</f>
        <v>83.428571428571431</v>
      </c>
      <c r="AD671" s="14">
        <f>IFERROR(VLOOKUP($A671,koronahun!$A:$AM,30,FALSE),"")</f>
        <v>11.857142857142858</v>
      </c>
      <c r="AE671" s="14">
        <f>IFERROR(VLOOKUP($A671,koronahun!$A:$AM,31,FALSE),"")</f>
        <v>2450.2857142857142</v>
      </c>
      <c r="AF671" s="13">
        <f>IFERROR(VLOOKUP($A671,koronahun!$A:$AM,32,FALSE),"")</f>
        <v>3.5114285714285716E-2</v>
      </c>
      <c r="AG671">
        <f>IFERROR(VLOOKUP($A671,koronahun!$A:$AM,33,FALSE),"")</f>
        <v>0</v>
      </c>
      <c r="AH671">
        <f>IFERROR(VLOOKUP($A671,koronahun!$A:$AM,34,FALSE),"")</f>
        <v>0</v>
      </c>
      <c r="AI671">
        <f>IFERROR(VLOOKUP($A671,koronahun!$A:$AM,35,FALSE),"")</f>
        <v>0</v>
      </c>
      <c r="AJ671">
        <f>IFERROR(VLOOKUP($A671,koronahun!$A:$AM,36,FALSE),"")</f>
        <v>0</v>
      </c>
      <c r="AK671">
        <f>IFERROR(VLOOKUP($A671,koronahun!$A:$AM,37,FALSE),"")</f>
        <v>0</v>
      </c>
      <c r="AL671">
        <f>IFERROR(VLOOKUP($A671,koronahun!$A:$AM,38,FALSE),"")</f>
        <v>0</v>
      </c>
      <c r="AM671" s="14">
        <f>IFERROR(VLOOKUP($A671,koronahun!$A:$AM,39,FALSE),"")</f>
        <v>33.571428571428569</v>
      </c>
      <c r="AN671" s="11">
        <f ca="1">IFERROR(__xludf.DUMMYFUNCTION("""COMPUTED_VALUE"""),44563)</f>
        <v>44563</v>
      </c>
      <c r="AO671" s="12">
        <f ca="1">IFERROR(VLOOKUP(AN671,koronahun!A:B,2,FALSE),"")</f>
        <v>0</v>
      </c>
      <c r="AP671" s="11">
        <f t="shared" ca="1" si="4"/>
        <v>44563</v>
      </c>
      <c r="AQ671" s="11">
        <f ca="1">IFERROR(__xludf.DUMMYFUNCTION("""COMPUTED_VALUE"""),44650)</f>
        <v>44650</v>
      </c>
      <c r="AR671" s="11">
        <v>43948</v>
      </c>
      <c r="AS671" s="11">
        <f t="shared" si="5"/>
        <v>43948</v>
      </c>
      <c r="AT671" s="11">
        <f ca="1">IFERROR(__xludf.DUMMYFUNCTION("""COMPUTED_VALUE"""),43947)</f>
        <v>43947</v>
      </c>
    </row>
    <row r="672" spans="1:46" ht="13">
      <c r="A672" s="11">
        <v>43946</v>
      </c>
      <c r="B672">
        <f>IFERROR(VLOOKUP($A672,koronahun!$A:$AM,2,FALSE),"")</f>
        <v>2443</v>
      </c>
      <c r="C672">
        <f>IFERROR(VLOOKUP($A672,koronahun!$A:$AM,3,FALSE),"")</f>
        <v>60</v>
      </c>
      <c r="D672">
        <f>IFERROR(VLOOKUP($A672,koronahun!$A:$AM,4,FALSE),"")</f>
        <v>262</v>
      </c>
      <c r="E672">
        <f>IFERROR(VLOOKUP($A672,koronahun!$A:$AM,5,FALSE),"")</f>
        <v>458</v>
      </c>
      <c r="F672">
        <f>IFERROR(VLOOKUP($A672,koronahun!$A:$AM,6,FALSE),"")</f>
        <v>60801</v>
      </c>
      <c r="G672" s="12">
        <f>IFERROR(VLOOKUP($A672,koronahun!$A:$AM,7,FALSE),"")</f>
        <v>6204.183673469387</v>
      </c>
      <c r="H672">
        <f>IFERROR(VLOOKUP($A672,koronahun!$A:$AM,8,FALSE),"")</f>
        <v>0</v>
      </c>
      <c r="I672" s="13">
        <f>IFERROR(VLOOKUP($A672,koronahun!$A:$AM,9,FALSE),"")</f>
        <v>2.52E-2</v>
      </c>
      <c r="J672" s="13">
        <f>IFERROR(VLOOKUP($A672,koronahun!$A:$AM,10,FALSE),"")</f>
        <v>4.02E-2</v>
      </c>
      <c r="K672" s="13">
        <f>IFERROR(VLOOKUP($A672,koronahun!$A:$AM,11,FALSE),"")</f>
        <v>4.3999999999999997E-2</v>
      </c>
      <c r="L672">
        <f>IFERROR(VLOOKUP($A672,koronahun!$A:$AM,12,FALSE),"")</f>
        <v>1723</v>
      </c>
      <c r="M672" s="13">
        <f>IFERROR(VLOOKUP($A672,koronahun!$A:$AM,13,FALSE),"")</f>
        <v>0.1072</v>
      </c>
      <c r="N672" s="13">
        <f>IFERROR(VLOOKUP($A672,koronahun!$A:$AM,14,FALSE),"")</f>
        <v>0.1875</v>
      </c>
      <c r="O672">
        <f>IFERROR(VLOOKUP($A672,koronahun!$A:$AM,15,FALSE),"")</f>
        <v>10942</v>
      </c>
      <c r="P672">
        <f>IFERROR(VLOOKUP($A672,koronahun!$A:$AM,16,FALSE),"")</f>
        <v>2550</v>
      </c>
      <c r="Q672" s="13">
        <f>IFERROR(VLOOKUP($A672,koronahun!$A:$AM,17,FALSE),"")</f>
        <v>2.35E-2</v>
      </c>
      <c r="R672">
        <f>IFERROR(VLOOKUP($A672,koronahun!$A:$AM,18,FALSE),"")</f>
        <v>12</v>
      </c>
      <c r="S672">
        <f>IFERROR(VLOOKUP($A672,koronahun!$A:$AM,19,FALSE),"")</f>
        <v>57</v>
      </c>
      <c r="T672">
        <f>IFERROR(VLOOKUP($A672,koronahun!$A:$AM,20,FALSE),"")</f>
        <v>899</v>
      </c>
      <c r="U672">
        <f>IFERROR(VLOOKUP($A672,koronahun!$A:$AM,21,FALSE),"")</f>
        <v>54</v>
      </c>
      <c r="V672" s="13">
        <f>IFERROR(VLOOKUP($A672,koronahun!$A:$AM,22,FALSE),"")</f>
        <v>0.70528039295947609</v>
      </c>
      <c r="W672">
        <f>IFERROR(VLOOKUP($A672,koronahun!$A:$AM,23,FALSE),"")</f>
        <v>22</v>
      </c>
      <c r="X672">
        <f>IFERROR(VLOOKUP($A672,koronahun!$A:$AM,24,FALSE),"")</f>
        <v>-7</v>
      </c>
      <c r="Y672" s="14">
        <f>IFERROR(VLOOKUP($A672,koronahun!$A:$AM,25,FALSE),"")</f>
        <v>0.52176436448055719</v>
      </c>
      <c r="Z672" s="14">
        <f>IFERROR(VLOOKUP($A672,koronahun!$A:$AM,26,FALSE),"")</f>
        <v>6.0066740823136816E-2</v>
      </c>
      <c r="AA672" s="14">
        <f>IFERROR(VLOOKUP($A672,koronahun!$A:$AM,27,FALSE),"")</f>
        <v>1.1622137404580153</v>
      </c>
      <c r="AB672" s="14">
        <f>IFERROR(VLOOKUP($A672,koronahun!$A:$AM,28,FALSE),"")</f>
        <v>0.91044295526026531</v>
      </c>
      <c r="AC672" s="14">
        <f>IFERROR(VLOOKUP($A672,koronahun!$A:$AM,29,FALSE),"")</f>
        <v>87</v>
      </c>
      <c r="AD672" s="14">
        <f>IFERROR(VLOOKUP($A672,koronahun!$A:$AM,30,FALSE),"")</f>
        <v>12.857142857142858</v>
      </c>
      <c r="AE672" s="14">
        <f>IFERROR(VLOOKUP($A672,koronahun!$A:$AM,31,FALSE),"")</f>
        <v>2414.2857142857142</v>
      </c>
      <c r="AF672" s="13">
        <f>IFERROR(VLOOKUP($A672,koronahun!$A:$AM,32,FALSE),"")</f>
        <v>3.6871428571428569E-2</v>
      </c>
      <c r="AG672">
        <f>IFERROR(VLOOKUP($A672,koronahun!$A:$AM,33,FALSE),"")</f>
        <v>0</v>
      </c>
      <c r="AH672">
        <f>IFERROR(VLOOKUP($A672,koronahun!$A:$AM,34,FALSE),"")</f>
        <v>0</v>
      </c>
      <c r="AI672">
        <f>IFERROR(VLOOKUP($A672,koronahun!$A:$AM,35,FALSE),"")</f>
        <v>0</v>
      </c>
      <c r="AJ672">
        <f>IFERROR(VLOOKUP($A672,koronahun!$A:$AM,36,FALSE),"")</f>
        <v>0</v>
      </c>
      <c r="AK672">
        <f>IFERROR(VLOOKUP($A672,koronahun!$A:$AM,37,FALSE),"")</f>
        <v>0</v>
      </c>
      <c r="AL672">
        <f>IFERROR(VLOOKUP($A672,koronahun!$A:$AM,38,FALSE),"")</f>
        <v>0</v>
      </c>
      <c r="AM672" s="14">
        <f>IFERROR(VLOOKUP($A672,koronahun!$A:$AM,39,FALSE),"")</f>
        <v>32.428571428571431</v>
      </c>
      <c r="AN672" s="11">
        <f ca="1">IFERROR(__xludf.DUMMYFUNCTION("""COMPUTED_VALUE"""),44564)</f>
        <v>44564</v>
      </c>
      <c r="AO672" s="12">
        <f ca="1">IFERROR(VLOOKUP(AN672,koronahun!A:B,2,FALSE),"")</f>
        <v>1262280</v>
      </c>
      <c r="AP672" s="11">
        <f t="shared" ca="1" si="4"/>
        <v>44564</v>
      </c>
      <c r="AQ672" s="11">
        <f ca="1">IFERROR(__xludf.DUMMYFUNCTION("""COMPUTED_VALUE"""),44651)</f>
        <v>44651</v>
      </c>
      <c r="AR672" s="11">
        <v>43947</v>
      </c>
      <c r="AS672" s="11">
        <f t="shared" si="5"/>
        <v>43947</v>
      </c>
      <c r="AT672" s="11">
        <f ca="1">IFERROR(__xludf.DUMMYFUNCTION("""COMPUTED_VALUE"""),43946)</f>
        <v>43946</v>
      </c>
    </row>
    <row r="673" spans="1:46" ht="13">
      <c r="A673" s="11">
        <v>43945</v>
      </c>
      <c r="B673">
        <f>IFERROR(VLOOKUP($A673,koronahun!$A:$AM,2,FALSE),"")</f>
        <v>2383</v>
      </c>
      <c r="C673">
        <f>IFERROR(VLOOKUP($A673,koronahun!$A:$AM,3,FALSE),"")</f>
        <v>99</v>
      </c>
      <c r="D673">
        <f>IFERROR(VLOOKUP($A673,koronahun!$A:$AM,4,FALSE),"")</f>
        <v>250</v>
      </c>
      <c r="E673">
        <f>IFERROR(VLOOKUP($A673,koronahun!$A:$AM,5,FALSE),"")</f>
        <v>401</v>
      </c>
      <c r="F673">
        <f>IFERROR(VLOOKUP($A673,koronahun!$A:$AM,6,FALSE),"")</f>
        <v>58251</v>
      </c>
      <c r="G673" s="12">
        <f>IFERROR(VLOOKUP($A673,koronahun!$A:$AM,7,FALSE),"")</f>
        <v>5943.9795918367345</v>
      </c>
      <c r="H673">
        <f>IFERROR(VLOOKUP($A673,koronahun!$A:$AM,8,FALSE),"")</f>
        <v>0</v>
      </c>
      <c r="I673" s="13">
        <f>IFERROR(VLOOKUP($A673,koronahun!$A:$AM,9,FALSE),"")</f>
        <v>4.3299999999999998E-2</v>
      </c>
      <c r="J673" s="13">
        <f>IFERROR(VLOOKUP($A673,koronahun!$A:$AM,10,FALSE),"")</f>
        <v>4.0899999999999999E-2</v>
      </c>
      <c r="K673" s="13">
        <f>IFERROR(VLOOKUP($A673,koronahun!$A:$AM,11,FALSE),"")</f>
        <v>5.1999999999999998E-2</v>
      </c>
      <c r="L673">
        <f>IFERROR(VLOOKUP($A673,koronahun!$A:$AM,12,FALSE),"")</f>
        <v>1732</v>
      </c>
      <c r="M673" s="13">
        <f>IFERROR(VLOOKUP($A673,koronahun!$A:$AM,13,FALSE),"")</f>
        <v>0.10489999999999999</v>
      </c>
      <c r="N673" s="13">
        <f>IFERROR(VLOOKUP($A673,koronahun!$A:$AM,14,FALSE),"")</f>
        <v>0.16830000000000001</v>
      </c>
      <c r="O673">
        <f>IFERROR(VLOOKUP($A673,koronahun!$A:$AM,15,FALSE),"")</f>
        <v>10942</v>
      </c>
      <c r="P673">
        <f>IFERROR(VLOOKUP($A673,koronahun!$A:$AM,16,FALSE),"")</f>
        <v>2861</v>
      </c>
      <c r="Q673" s="13">
        <f>IFERROR(VLOOKUP($A673,koronahun!$A:$AM,17,FALSE),"")</f>
        <v>3.4599999999999999E-2</v>
      </c>
      <c r="R673">
        <f>IFERROR(VLOOKUP($A673,koronahun!$A:$AM,18,FALSE),"")</f>
        <v>11</v>
      </c>
      <c r="S673">
        <f>IFERROR(VLOOKUP($A673,koronahun!$A:$AM,19,FALSE),"")</f>
        <v>11</v>
      </c>
      <c r="T673">
        <f>IFERROR(VLOOKUP($A673,koronahun!$A:$AM,20,FALSE),"")</f>
        <v>877</v>
      </c>
      <c r="U673">
        <f>IFERROR(VLOOKUP($A673,koronahun!$A:$AM,21,FALSE),"")</f>
        <v>61</v>
      </c>
      <c r="V673" s="13">
        <f>IFERROR(VLOOKUP($A673,koronahun!$A:$AM,22,FALSE),"")</f>
        <v>0.72681493915232898</v>
      </c>
      <c r="W673">
        <f>IFERROR(VLOOKUP($A673,koronahun!$A:$AM,23,FALSE),"")</f>
        <v>27</v>
      </c>
      <c r="X673">
        <f>IFERROR(VLOOKUP($A673,koronahun!$A:$AM,24,FALSE),"")</f>
        <v>0</v>
      </c>
      <c r="Y673" s="14">
        <f>IFERROR(VLOOKUP($A673,koronahun!$A:$AM,25,FALSE),"")</f>
        <v>0.50635103926097003</v>
      </c>
      <c r="Z673" s="14">
        <f>IFERROR(VLOOKUP($A673,koronahun!$A:$AM,26,FALSE),"")</f>
        <v>6.9555302166476624E-2</v>
      </c>
      <c r="AA673" s="14">
        <f>IFERROR(VLOOKUP($A673,koronahun!$A:$AM,27,FALSE),"")</f>
        <v>1.0820244328097732</v>
      </c>
      <c r="AB673" s="14">
        <f>IFERROR(VLOOKUP($A673,koronahun!$A:$AM,28,FALSE),"")</f>
        <v>0.8628572672020679</v>
      </c>
      <c r="AC673" s="14">
        <f>IFERROR(VLOOKUP($A673,koronahun!$A:$AM,29,FALSE),"")</f>
        <v>88.571428571428569</v>
      </c>
      <c r="AD673" s="14">
        <f>IFERROR(VLOOKUP($A673,koronahun!$A:$AM,30,FALSE),"")</f>
        <v>13.428571428571429</v>
      </c>
      <c r="AE673" s="14">
        <f>IFERROR(VLOOKUP($A673,koronahun!$A:$AM,31,FALSE),"")</f>
        <v>2380.1428571428573</v>
      </c>
      <c r="AF673" s="13">
        <f>IFERROR(VLOOKUP($A673,koronahun!$A:$AM,32,FALSE),"")</f>
        <v>3.7900000000000003E-2</v>
      </c>
      <c r="AG673">
        <f>IFERROR(VLOOKUP($A673,koronahun!$A:$AM,33,FALSE),"")</f>
        <v>0</v>
      </c>
      <c r="AH673">
        <f>IFERROR(VLOOKUP($A673,koronahun!$A:$AM,34,FALSE),"")</f>
        <v>0</v>
      </c>
      <c r="AI673">
        <f>IFERROR(VLOOKUP($A673,koronahun!$A:$AM,35,FALSE),"")</f>
        <v>0</v>
      </c>
      <c r="AJ673">
        <f>IFERROR(VLOOKUP($A673,koronahun!$A:$AM,36,FALSE),"")</f>
        <v>0</v>
      </c>
      <c r="AK673">
        <f>IFERROR(VLOOKUP($A673,koronahun!$A:$AM,37,FALSE),"")</f>
        <v>0</v>
      </c>
      <c r="AL673">
        <f>IFERROR(VLOOKUP($A673,koronahun!$A:$AM,38,FALSE),"")</f>
        <v>0</v>
      </c>
      <c r="AM673" s="14">
        <f>IFERROR(VLOOKUP($A673,koronahun!$A:$AM,39,FALSE),"")</f>
        <v>27.714285714285715</v>
      </c>
      <c r="AN673" s="11">
        <f ca="1">IFERROR(__xludf.DUMMYFUNCTION("""COMPUTED_VALUE"""),44565)</f>
        <v>44565</v>
      </c>
      <c r="AO673" s="12">
        <f ca="1">IFERROR(VLOOKUP(AN673,koronahun!A:B,2,FALSE),"")</f>
        <v>1264709</v>
      </c>
      <c r="AP673" s="11">
        <f t="shared" ca="1" si="4"/>
        <v>44565</v>
      </c>
      <c r="AQ673" s="11">
        <f ca="1">IFERROR(__xludf.DUMMYFUNCTION("""COMPUTED_VALUE"""),44652)</f>
        <v>44652</v>
      </c>
      <c r="AR673" s="11">
        <v>43946</v>
      </c>
      <c r="AS673" s="11">
        <f t="shared" si="5"/>
        <v>43946</v>
      </c>
      <c r="AT673" s="11">
        <f ca="1">IFERROR(__xludf.DUMMYFUNCTION("""COMPUTED_VALUE"""),43945)</f>
        <v>43945</v>
      </c>
    </row>
    <row r="674" spans="1:46" ht="13">
      <c r="A674" s="11">
        <v>43944</v>
      </c>
      <c r="B674">
        <f>IFERROR(VLOOKUP($A674,koronahun!$A:$AM,2,FALSE),"")</f>
        <v>2284</v>
      </c>
      <c r="C674">
        <f>IFERROR(VLOOKUP($A674,koronahun!$A:$AM,3,FALSE),"")</f>
        <v>116</v>
      </c>
      <c r="D674">
        <f>IFERROR(VLOOKUP($A674,koronahun!$A:$AM,4,FALSE),"")</f>
        <v>239</v>
      </c>
      <c r="E674">
        <f>IFERROR(VLOOKUP($A674,koronahun!$A:$AM,5,FALSE),"")</f>
        <v>390</v>
      </c>
      <c r="F674">
        <f>IFERROR(VLOOKUP($A674,koronahun!$A:$AM,6,FALSE),"")</f>
        <v>55390</v>
      </c>
      <c r="G674" s="12">
        <f>IFERROR(VLOOKUP($A674,koronahun!$A:$AM,7,FALSE),"")</f>
        <v>5652.0408163265301</v>
      </c>
      <c r="H674">
        <f>IFERROR(VLOOKUP($A674,koronahun!$A:$AM,8,FALSE),"")</f>
        <v>0</v>
      </c>
      <c r="I674" s="13">
        <f>IFERROR(VLOOKUP($A674,koronahun!$A:$AM,9,FALSE),"")</f>
        <v>5.3499999999999999E-2</v>
      </c>
      <c r="J674" s="13">
        <f>IFERROR(VLOOKUP($A674,koronahun!$A:$AM,10,FALSE),"")</f>
        <v>4.1200000000000001E-2</v>
      </c>
      <c r="K674" s="13">
        <f>IFERROR(VLOOKUP($A674,koronahun!$A:$AM,11,FALSE),"")</f>
        <v>5.0999999999999997E-2</v>
      </c>
      <c r="L674">
        <f>IFERROR(VLOOKUP($A674,koronahun!$A:$AM,12,FALSE),"")</f>
        <v>1655</v>
      </c>
      <c r="M674" s="13">
        <f>IFERROR(VLOOKUP($A674,koronahun!$A:$AM,13,FALSE),"")</f>
        <v>0.1046</v>
      </c>
      <c r="N674" s="13">
        <f>IFERROR(VLOOKUP($A674,koronahun!$A:$AM,14,FALSE),"")</f>
        <v>0.17080000000000001</v>
      </c>
      <c r="O674">
        <f>IFERROR(VLOOKUP($A674,koronahun!$A:$AM,15,FALSE),"")</f>
        <v>10942</v>
      </c>
      <c r="P674">
        <f>IFERROR(VLOOKUP($A674,koronahun!$A:$AM,16,FALSE),"")</f>
        <v>2688</v>
      </c>
      <c r="Q674" s="13">
        <f>IFERROR(VLOOKUP($A674,koronahun!$A:$AM,17,FALSE),"")</f>
        <v>4.3200000000000002E-2</v>
      </c>
      <c r="R674">
        <f>IFERROR(VLOOKUP($A674,koronahun!$A:$AM,18,FALSE),"")</f>
        <v>14</v>
      </c>
      <c r="S674">
        <f>IFERROR(VLOOKUP($A674,koronahun!$A:$AM,19,FALSE),"")</f>
        <v>95</v>
      </c>
      <c r="T674">
        <f>IFERROR(VLOOKUP($A674,koronahun!$A:$AM,20,FALSE),"")</f>
        <v>850</v>
      </c>
      <c r="U674">
        <f>IFERROR(VLOOKUP($A674,koronahun!$A:$AM,21,FALSE),"")</f>
        <v>61</v>
      </c>
      <c r="V674" s="13">
        <f>IFERROR(VLOOKUP($A674,koronahun!$A:$AM,22,FALSE),"")</f>
        <v>0.72460595446584941</v>
      </c>
      <c r="W674">
        <f>IFERROR(VLOOKUP($A674,koronahun!$A:$AM,23,FALSE),"")</f>
        <v>25</v>
      </c>
      <c r="X674">
        <f>IFERROR(VLOOKUP($A674,koronahun!$A:$AM,24,FALSE),"")</f>
        <v>-2</v>
      </c>
      <c r="Y674" s="14">
        <f>IFERROR(VLOOKUP($A674,koronahun!$A:$AM,25,FALSE),"")</f>
        <v>0.51359516616314205</v>
      </c>
      <c r="Z674" s="14">
        <f>IFERROR(VLOOKUP($A674,koronahun!$A:$AM,26,FALSE),"")</f>
        <v>7.1764705882352939E-2</v>
      </c>
      <c r="AA674" s="14">
        <f>IFERROR(VLOOKUP($A674,koronahun!$A:$AM,27,FALSE),"")</f>
        <v>0.94047619047619047</v>
      </c>
      <c r="AB674" s="14">
        <f>IFERROR(VLOOKUP($A674,koronahun!$A:$AM,28,FALSE),"")</f>
        <v>0.8526512068838159</v>
      </c>
      <c r="AC674" s="14">
        <f>IFERROR(VLOOKUP($A674,koronahun!$A:$AM,29,FALSE),"")</f>
        <v>90.285714285714292</v>
      </c>
      <c r="AD674" s="14">
        <f>IFERROR(VLOOKUP($A674,koronahun!$A:$AM,30,FALSE),"")</f>
        <v>13.857142857142858</v>
      </c>
      <c r="AE674" s="14">
        <f>IFERROR(VLOOKUP($A674,koronahun!$A:$AM,31,FALSE),"")</f>
        <v>2414.4285714285716</v>
      </c>
      <c r="AF674" s="13">
        <f>IFERROR(VLOOKUP($A674,koronahun!$A:$AM,32,FALSE),"")</f>
        <v>3.8071428571428576E-2</v>
      </c>
      <c r="AG674">
        <f>IFERROR(VLOOKUP($A674,koronahun!$A:$AM,33,FALSE),"")</f>
        <v>0</v>
      </c>
      <c r="AH674">
        <f>IFERROR(VLOOKUP($A674,koronahun!$A:$AM,34,FALSE),"")</f>
        <v>0</v>
      </c>
      <c r="AI674">
        <f>IFERROR(VLOOKUP($A674,koronahun!$A:$AM,35,FALSE),"")</f>
        <v>0</v>
      </c>
      <c r="AJ674">
        <f>IFERROR(VLOOKUP($A674,koronahun!$A:$AM,36,FALSE),"")</f>
        <v>0</v>
      </c>
      <c r="AK674">
        <f>IFERROR(VLOOKUP($A674,koronahun!$A:$AM,37,FALSE),"")</f>
        <v>0</v>
      </c>
      <c r="AL674">
        <f>IFERROR(VLOOKUP($A674,koronahun!$A:$AM,38,FALSE),"")</f>
        <v>0</v>
      </c>
      <c r="AM674" s="14">
        <f>IFERROR(VLOOKUP($A674,koronahun!$A:$AM,39,FALSE),"")</f>
        <v>27.285714285714285</v>
      </c>
      <c r="AN674" s="11">
        <f ca="1">IFERROR(__xludf.DUMMYFUNCTION("""COMPUTED_VALUE"""),44566)</f>
        <v>44566</v>
      </c>
      <c r="AO674" s="12">
        <f ca="1">IFERROR(VLOOKUP(AN674,koronahun!A:B,2,FALSE),"")</f>
        <v>1269979</v>
      </c>
      <c r="AP674" s="11">
        <f t="shared" ca="1" si="4"/>
        <v>44566</v>
      </c>
      <c r="AQ674" s="11">
        <f ca="1">IFERROR(__xludf.DUMMYFUNCTION("""COMPUTED_VALUE"""),44656)</f>
        <v>44656</v>
      </c>
      <c r="AR674" s="11">
        <v>43945</v>
      </c>
      <c r="AS674" s="11">
        <f t="shared" si="5"/>
        <v>43945</v>
      </c>
      <c r="AT674" s="11">
        <f ca="1">IFERROR(__xludf.DUMMYFUNCTION("""COMPUTED_VALUE"""),43944)</f>
        <v>43944</v>
      </c>
    </row>
    <row r="675" spans="1:46" ht="13">
      <c r="A675" s="11">
        <v>43943</v>
      </c>
      <c r="B675">
        <f>IFERROR(VLOOKUP($A675,koronahun!$A:$AM,2,FALSE),"")</f>
        <v>2168</v>
      </c>
      <c r="C675">
        <f>IFERROR(VLOOKUP($A675,koronahun!$A:$AM,3,FALSE),"")</f>
        <v>70</v>
      </c>
      <c r="D675">
        <f>IFERROR(VLOOKUP($A675,koronahun!$A:$AM,4,FALSE),"")</f>
        <v>225</v>
      </c>
      <c r="E675">
        <f>IFERROR(VLOOKUP($A675,koronahun!$A:$AM,5,FALSE),"")</f>
        <v>295</v>
      </c>
      <c r="F675">
        <f>IFERROR(VLOOKUP($A675,koronahun!$A:$AM,6,FALSE),"")</f>
        <v>52702</v>
      </c>
      <c r="G675" s="12">
        <f>IFERROR(VLOOKUP($A675,koronahun!$A:$AM,7,FALSE),"")</f>
        <v>5377.7551020408164</v>
      </c>
      <c r="H675">
        <f>IFERROR(VLOOKUP($A675,koronahun!$A:$AM,8,FALSE),"")</f>
        <v>0</v>
      </c>
      <c r="I675" s="13">
        <f>IFERROR(VLOOKUP($A675,koronahun!$A:$AM,9,FALSE),"")</f>
        <v>3.3399999999999999E-2</v>
      </c>
      <c r="J675" s="13">
        <f>IFERROR(VLOOKUP($A675,koronahun!$A:$AM,10,FALSE),"")</f>
        <v>4.1099999999999998E-2</v>
      </c>
      <c r="K675" s="13">
        <f>IFERROR(VLOOKUP($A675,koronahun!$A:$AM,11,FALSE),"")</f>
        <v>5.2999999999999999E-2</v>
      </c>
      <c r="L675">
        <f>IFERROR(VLOOKUP($A675,koronahun!$A:$AM,12,FALSE),"")</f>
        <v>1648</v>
      </c>
      <c r="M675" s="13">
        <f>IFERROR(VLOOKUP($A675,koronahun!$A:$AM,13,FALSE),"")</f>
        <v>0.1038</v>
      </c>
      <c r="N675" s="13">
        <f>IFERROR(VLOOKUP($A675,koronahun!$A:$AM,14,FALSE),"")</f>
        <v>0.1361</v>
      </c>
      <c r="O675">
        <f>IFERROR(VLOOKUP($A675,koronahun!$A:$AM,15,FALSE),"")</f>
        <v>11049</v>
      </c>
      <c r="P675">
        <f>IFERROR(VLOOKUP($A675,koronahun!$A:$AM,16,FALSE),"")</f>
        <v>2650</v>
      </c>
      <c r="Q675" s="13">
        <f>IFERROR(VLOOKUP($A675,koronahun!$A:$AM,17,FALSE),"")</f>
        <v>2.64E-2</v>
      </c>
      <c r="R675">
        <f>IFERROR(VLOOKUP($A675,koronahun!$A:$AM,18,FALSE),"")</f>
        <v>12</v>
      </c>
      <c r="S675">
        <f>IFERROR(VLOOKUP($A675,koronahun!$A:$AM,19,FALSE),"")</f>
        <v>8</v>
      </c>
      <c r="T675">
        <f>IFERROR(VLOOKUP($A675,koronahun!$A:$AM,20,FALSE),"")</f>
        <v>825</v>
      </c>
      <c r="U675">
        <f>IFERROR(VLOOKUP($A675,koronahun!$A:$AM,21,FALSE),"")</f>
        <v>63</v>
      </c>
      <c r="V675" s="13">
        <f>IFERROR(VLOOKUP($A675,koronahun!$A:$AM,22,FALSE),"")</f>
        <v>0.76014760147601479</v>
      </c>
      <c r="W675">
        <f>IFERROR(VLOOKUP($A675,koronahun!$A:$AM,23,FALSE),"")</f>
        <v>-17</v>
      </c>
      <c r="X675">
        <f>IFERROR(VLOOKUP($A675,koronahun!$A:$AM,24,FALSE),"")</f>
        <v>-19</v>
      </c>
      <c r="Y675" s="14">
        <f>IFERROR(VLOOKUP($A675,koronahun!$A:$AM,25,FALSE),"")</f>
        <v>0.50060679611650483</v>
      </c>
      <c r="Z675" s="14">
        <f>IFERROR(VLOOKUP($A675,koronahun!$A:$AM,26,FALSE),"")</f>
        <v>7.636363636363637E-2</v>
      </c>
      <c r="AA675" s="14">
        <f>IFERROR(VLOOKUP($A675,koronahun!$A:$AM,27,FALSE),"")</f>
        <v>0.86111111111111116</v>
      </c>
      <c r="AB675" s="14">
        <f>IFERROR(VLOOKUP($A675,koronahun!$A:$AM,28,FALSE),"")</f>
        <v>0.96133544007076155</v>
      </c>
      <c r="AC675" s="14">
        <f>IFERROR(VLOOKUP($A675,koronahun!$A:$AM,29,FALSE),"")</f>
        <v>84.142857142857139</v>
      </c>
      <c r="AD675" s="14">
        <f>IFERROR(VLOOKUP($A675,koronahun!$A:$AM,30,FALSE),"")</f>
        <v>13</v>
      </c>
      <c r="AE675" s="14">
        <f>IFERROR(VLOOKUP($A675,koronahun!$A:$AM,31,FALSE),"")</f>
        <v>2196.5714285714284</v>
      </c>
      <c r="AF675" s="13">
        <f>IFERROR(VLOOKUP($A675,koronahun!$A:$AM,32,FALSE),"")</f>
        <v>4.0871428571428566E-2</v>
      </c>
      <c r="AG675">
        <f>IFERROR(VLOOKUP($A675,koronahun!$A:$AM,33,FALSE),"")</f>
        <v>0</v>
      </c>
      <c r="AH675">
        <f>IFERROR(VLOOKUP($A675,koronahun!$A:$AM,34,FALSE),"")</f>
        <v>0</v>
      </c>
      <c r="AI675">
        <f>IFERROR(VLOOKUP($A675,koronahun!$A:$AM,35,FALSE),"")</f>
        <v>0</v>
      </c>
      <c r="AJ675">
        <f>IFERROR(VLOOKUP($A675,koronahun!$A:$AM,36,FALSE),"")</f>
        <v>0</v>
      </c>
      <c r="AK675">
        <f>IFERROR(VLOOKUP($A675,koronahun!$A:$AM,37,FALSE),"")</f>
        <v>0</v>
      </c>
      <c r="AL675">
        <f>IFERROR(VLOOKUP($A675,koronahun!$A:$AM,38,FALSE),"")</f>
        <v>0</v>
      </c>
      <c r="AM675" s="14">
        <f>IFERROR(VLOOKUP($A675,koronahun!$A:$AM,39,FALSE),"")</f>
        <v>14.714285714285714</v>
      </c>
      <c r="AN675" s="11">
        <f ca="1">IFERROR(__xludf.DUMMYFUNCTION("""COMPUTED_VALUE"""),44567)</f>
        <v>44567</v>
      </c>
      <c r="AO675" s="12">
        <f ca="1">IFERROR(VLOOKUP(AN675,koronahun!A:B,2,FALSE),"")</f>
        <v>1276433</v>
      </c>
      <c r="AP675" s="11">
        <f t="shared" ca="1" si="4"/>
        <v>44567</v>
      </c>
      <c r="AQ675" s="11">
        <f ca="1">IFERROR(__xludf.DUMMYFUNCTION("""COMPUTED_VALUE"""),44657)</f>
        <v>44657</v>
      </c>
      <c r="AR675" s="11">
        <v>43944</v>
      </c>
      <c r="AS675" s="11">
        <f t="shared" si="5"/>
        <v>43944</v>
      </c>
      <c r="AT675" s="11">
        <f ca="1">IFERROR(__xludf.DUMMYFUNCTION("""COMPUTED_VALUE"""),43943)</f>
        <v>43943</v>
      </c>
    </row>
    <row r="676" spans="1:46" ht="13">
      <c r="A676" s="11">
        <v>43942</v>
      </c>
      <c r="B676">
        <f>IFERROR(VLOOKUP($A676,koronahun!$A:$AM,2,FALSE),"")</f>
        <v>2098</v>
      </c>
      <c r="C676">
        <f>IFERROR(VLOOKUP($A676,koronahun!$A:$AM,3,FALSE),"")</f>
        <v>114</v>
      </c>
      <c r="D676">
        <f>IFERROR(VLOOKUP($A676,koronahun!$A:$AM,4,FALSE),"")</f>
        <v>213</v>
      </c>
      <c r="E676">
        <f>IFERROR(VLOOKUP($A676,koronahun!$A:$AM,5,FALSE),"")</f>
        <v>287</v>
      </c>
      <c r="F676">
        <f>IFERROR(VLOOKUP($A676,koronahun!$A:$AM,6,FALSE),"")</f>
        <v>50052</v>
      </c>
      <c r="G676" s="12">
        <f>IFERROR(VLOOKUP($A676,koronahun!$A:$AM,7,FALSE),"")</f>
        <v>5107.3469387755094</v>
      </c>
      <c r="H676">
        <f>IFERROR(VLOOKUP($A676,koronahun!$A:$AM,8,FALSE),"")</f>
        <v>0</v>
      </c>
      <c r="I676" s="13">
        <f>IFERROR(VLOOKUP($A676,koronahun!$A:$AM,9,FALSE),"")</f>
        <v>5.7500000000000002E-2</v>
      </c>
      <c r="J676" s="13">
        <f>IFERROR(VLOOKUP($A676,koronahun!$A:$AM,10,FALSE),"")</f>
        <v>4.19E-2</v>
      </c>
      <c r="K676" s="13">
        <f>IFERROR(VLOOKUP($A676,koronahun!$A:$AM,11,FALSE),"")</f>
        <v>4.2000000000000003E-2</v>
      </c>
      <c r="L676">
        <f>IFERROR(VLOOKUP($A676,koronahun!$A:$AM,12,FALSE),"")</f>
        <v>1598</v>
      </c>
      <c r="M676" s="13">
        <f>IFERROR(VLOOKUP($A676,koronahun!$A:$AM,13,FALSE),"")</f>
        <v>0.10150000000000001</v>
      </c>
      <c r="N676" s="13">
        <f>IFERROR(VLOOKUP($A676,koronahun!$A:$AM,14,FALSE),"")</f>
        <v>0.1368</v>
      </c>
      <c r="O676">
        <f>IFERROR(VLOOKUP($A676,koronahun!$A:$AM,15,FALSE),"")</f>
        <v>11172</v>
      </c>
      <c r="P676">
        <f>IFERROR(VLOOKUP($A676,koronahun!$A:$AM,16,FALSE),"")</f>
        <v>1995</v>
      </c>
      <c r="Q676" s="13">
        <f>IFERROR(VLOOKUP($A676,koronahun!$A:$AM,17,FALSE),"")</f>
        <v>5.7099999999999998E-2</v>
      </c>
      <c r="R676">
        <f>IFERROR(VLOOKUP($A676,koronahun!$A:$AM,18,FALSE),"")</f>
        <v>14</v>
      </c>
      <c r="S676">
        <f>IFERROR(VLOOKUP($A676,koronahun!$A:$AM,19,FALSE),"")</f>
        <v>20</v>
      </c>
      <c r="T676">
        <f>IFERROR(VLOOKUP($A676,koronahun!$A:$AM,20,FALSE),"")</f>
        <v>842</v>
      </c>
      <c r="U676">
        <f>IFERROR(VLOOKUP($A676,koronahun!$A:$AM,21,FALSE),"")</f>
        <v>82</v>
      </c>
      <c r="V676" s="13">
        <f>IFERROR(VLOOKUP($A676,koronahun!$A:$AM,22,FALSE),"")</f>
        <v>0.7616777883698761</v>
      </c>
      <c r="W676">
        <f>IFERROR(VLOOKUP($A676,koronahun!$A:$AM,23,FALSE),"")</f>
        <v>31</v>
      </c>
      <c r="X676">
        <f>IFERROR(VLOOKUP($A676,koronahun!$A:$AM,24,FALSE),"")</f>
        <v>22</v>
      </c>
      <c r="Y676" s="14">
        <f>IFERROR(VLOOKUP($A676,koronahun!$A:$AM,25,FALSE),"")</f>
        <v>0.52690863579474345</v>
      </c>
      <c r="Z676" s="14">
        <f>IFERROR(VLOOKUP($A676,koronahun!$A:$AM,26,FALSE),"")</f>
        <v>9.7387173396674589E-2</v>
      </c>
      <c r="AA676" s="14">
        <f>IFERROR(VLOOKUP($A676,koronahun!$A:$AM,27,FALSE),"")</f>
        <v>0.84316546762589928</v>
      </c>
      <c r="AB676" s="14">
        <f>IFERROR(VLOOKUP($A676,koronahun!$A:$AM,28,FALSE),"")</f>
        <v>1.102412231147553</v>
      </c>
      <c r="AC676" s="14">
        <f>IFERROR(VLOOKUP($A676,koronahun!$A:$AM,29,FALSE),"")</f>
        <v>83.714285714285708</v>
      </c>
      <c r="AD676" s="14">
        <f>IFERROR(VLOOKUP($A676,koronahun!$A:$AM,30,FALSE),"")</f>
        <v>13</v>
      </c>
      <c r="AE676" s="14">
        <f>IFERROR(VLOOKUP($A676,koronahun!$A:$AM,31,FALSE),"")</f>
        <v>2032.4285714285713</v>
      </c>
      <c r="AF676" s="13">
        <f>IFERROR(VLOOKUP($A676,koronahun!$A:$AM,32,FALSE),"")</f>
        <v>4.3471428571428564E-2</v>
      </c>
      <c r="AG676">
        <f>IFERROR(VLOOKUP($A676,koronahun!$A:$AM,33,FALSE),"")</f>
        <v>0</v>
      </c>
      <c r="AH676">
        <f>IFERROR(VLOOKUP($A676,koronahun!$A:$AM,34,FALSE),"")</f>
        <v>0</v>
      </c>
      <c r="AI676">
        <f>IFERROR(VLOOKUP($A676,koronahun!$A:$AM,35,FALSE),"")</f>
        <v>0</v>
      </c>
      <c r="AJ676">
        <f>IFERROR(VLOOKUP($A676,koronahun!$A:$AM,36,FALSE),"")</f>
        <v>0</v>
      </c>
      <c r="AK676">
        <f>IFERROR(VLOOKUP($A676,koronahun!$A:$AM,37,FALSE),"")</f>
        <v>0</v>
      </c>
      <c r="AL676">
        <f>IFERROR(VLOOKUP($A676,koronahun!$A:$AM,38,FALSE),"")</f>
        <v>0</v>
      </c>
      <c r="AM676" s="14">
        <f>IFERROR(VLOOKUP($A676,koronahun!$A:$AM,39,FALSE),"")</f>
        <v>23.571428571428573</v>
      </c>
      <c r="AN676" s="11">
        <f ca="1">IFERROR(__xludf.DUMMYFUNCTION("""COMPUTED_VALUE"""),44568)</f>
        <v>44568</v>
      </c>
      <c r="AO676" s="12">
        <f ca="1">IFERROR(VLOOKUP(AN676,koronahun!A:B,2,FALSE),"")</f>
        <v>1282957</v>
      </c>
      <c r="AP676" s="11">
        <f t="shared" ca="1" si="4"/>
        <v>44568</v>
      </c>
      <c r="AQ676" s="11">
        <f ca="1">IFERROR(__xludf.DUMMYFUNCTION("""COMPUTED_VALUE"""),44658)</f>
        <v>44658</v>
      </c>
      <c r="AR676" s="11">
        <v>43943</v>
      </c>
      <c r="AS676" s="11">
        <f t="shared" si="5"/>
        <v>43943</v>
      </c>
      <c r="AT676" s="11">
        <f ca="1">IFERROR(__xludf.DUMMYFUNCTION("""COMPUTED_VALUE"""),43942)</f>
        <v>43942</v>
      </c>
    </row>
    <row r="677" spans="1:46" ht="13">
      <c r="A677" s="11">
        <v>43941</v>
      </c>
      <c r="B677">
        <f>IFERROR(VLOOKUP($A677,koronahun!$A:$AM,2,FALSE),"")</f>
        <v>1984</v>
      </c>
      <c r="C677">
        <f>IFERROR(VLOOKUP($A677,koronahun!$A:$AM,3,FALSE),"")</f>
        <v>68</v>
      </c>
      <c r="D677">
        <f>IFERROR(VLOOKUP($A677,koronahun!$A:$AM,4,FALSE),"")</f>
        <v>199</v>
      </c>
      <c r="E677">
        <f>IFERROR(VLOOKUP($A677,koronahun!$A:$AM,5,FALSE),"")</f>
        <v>267</v>
      </c>
      <c r="F677">
        <f>IFERROR(VLOOKUP($A677,koronahun!$A:$AM,6,FALSE),"")</f>
        <v>48057</v>
      </c>
      <c r="G677" s="12">
        <f>IFERROR(VLOOKUP($A677,koronahun!$A:$AM,7,FALSE),"")</f>
        <v>4903.775510204081</v>
      </c>
      <c r="H677">
        <f>IFERROR(VLOOKUP($A677,koronahun!$A:$AM,8,FALSE),"")</f>
        <v>0</v>
      </c>
      <c r="I677" s="13">
        <f>IFERROR(VLOOKUP($A677,koronahun!$A:$AM,9,FALSE),"")</f>
        <v>3.5499999999999997E-2</v>
      </c>
      <c r="J677" s="13">
        <f>IFERROR(VLOOKUP($A677,koronahun!$A:$AM,10,FALSE),"")</f>
        <v>4.1300000000000003E-2</v>
      </c>
      <c r="K677" s="13">
        <f>IFERROR(VLOOKUP($A677,koronahun!$A:$AM,11,FALSE),"")</f>
        <v>3.6999999999999998E-2</v>
      </c>
      <c r="L677">
        <f>IFERROR(VLOOKUP($A677,koronahun!$A:$AM,12,FALSE),"")</f>
        <v>1518</v>
      </c>
      <c r="M677" s="13">
        <f>IFERROR(VLOOKUP($A677,koronahun!$A:$AM,13,FALSE),"")</f>
        <v>0.1003</v>
      </c>
      <c r="N677" s="13">
        <f>IFERROR(VLOOKUP($A677,koronahun!$A:$AM,14,FALSE),"")</f>
        <v>0.1346</v>
      </c>
      <c r="O677">
        <f>IFERROR(VLOOKUP($A677,koronahun!$A:$AM,15,FALSE),"")</f>
        <v>11240</v>
      </c>
      <c r="P677">
        <f>IFERROR(VLOOKUP($A677,koronahun!$A:$AM,16,FALSE),"")</f>
        <v>1704</v>
      </c>
      <c r="Q677" s="13">
        <f>IFERROR(VLOOKUP($A677,koronahun!$A:$AM,17,FALSE),"")</f>
        <v>3.9899999999999998E-2</v>
      </c>
      <c r="R677">
        <f>IFERROR(VLOOKUP($A677,koronahun!$A:$AM,18,FALSE),"")</f>
        <v>10</v>
      </c>
      <c r="S677">
        <f>IFERROR(VLOOKUP($A677,koronahun!$A:$AM,19,FALSE),"")</f>
        <v>17</v>
      </c>
      <c r="T677">
        <f>IFERROR(VLOOKUP($A677,koronahun!$A:$AM,20,FALSE),"")</f>
        <v>811</v>
      </c>
      <c r="U677">
        <f>IFERROR(VLOOKUP($A677,koronahun!$A:$AM,21,FALSE),"")</f>
        <v>60</v>
      </c>
      <c r="V677" s="13">
        <f>IFERROR(VLOOKUP($A677,koronahun!$A:$AM,22,FALSE),"")</f>
        <v>0.7651209677419355</v>
      </c>
      <c r="W677">
        <f>IFERROR(VLOOKUP($A677,koronahun!$A:$AM,23,FALSE),"")</f>
        <v>27</v>
      </c>
      <c r="X677">
        <f>IFERROR(VLOOKUP($A677,koronahun!$A:$AM,24,FALSE),"")</f>
        <v>-1</v>
      </c>
      <c r="Y677" s="14">
        <f>IFERROR(VLOOKUP($A677,koronahun!$A:$AM,25,FALSE),"")</f>
        <v>0.53425559947299073</v>
      </c>
      <c r="Z677" s="14">
        <f>IFERROR(VLOOKUP($A677,koronahun!$A:$AM,26,FALSE),"")</f>
        <v>7.3982737361282372E-2</v>
      </c>
      <c r="AA677" s="14">
        <f>IFERROR(VLOOKUP($A677,koronahun!$A:$AM,27,FALSE),"")</f>
        <v>0.73669467787114851</v>
      </c>
      <c r="AB677" s="14">
        <f>IFERROR(VLOOKUP($A677,koronahun!$A:$AM,28,FALSE),"")</f>
        <v>1.2874545269812157</v>
      </c>
      <c r="AC677" s="14">
        <f>IFERROR(VLOOKUP($A677,koronahun!$A:$AM,29,FALSE),"")</f>
        <v>75.142857142857139</v>
      </c>
      <c r="AD677" s="14">
        <f>IFERROR(VLOOKUP($A677,koronahun!$A:$AM,30,FALSE),"")</f>
        <v>12.857142857142858</v>
      </c>
      <c r="AE677" s="14">
        <f>IFERROR(VLOOKUP($A677,koronahun!$A:$AM,31,FALSE),"")</f>
        <v>1891.1428571428571</v>
      </c>
      <c r="AF677" s="13">
        <f>IFERROR(VLOOKUP($A677,koronahun!$A:$AM,32,FALSE),"")</f>
        <v>4.2985714285714287E-2</v>
      </c>
      <c r="AG677">
        <f>IFERROR(VLOOKUP($A677,koronahun!$A:$AM,33,FALSE),"")</f>
        <v>0</v>
      </c>
      <c r="AH677">
        <f>IFERROR(VLOOKUP($A677,koronahun!$A:$AM,34,FALSE),"")</f>
        <v>0</v>
      </c>
      <c r="AI677">
        <f>IFERROR(VLOOKUP($A677,koronahun!$A:$AM,35,FALSE),"")</f>
        <v>0</v>
      </c>
      <c r="AJ677">
        <f>IFERROR(VLOOKUP($A677,koronahun!$A:$AM,36,FALSE),"")</f>
        <v>0</v>
      </c>
      <c r="AK677">
        <f>IFERROR(VLOOKUP($A677,koronahun!$A:$AM,37,FALSE),"")</f>
        <v>0</v>
      </c>
      <c r="AL677">
        <f>IFERROR(VLOOKUP($A677,koronahun!$A:$AM,38,FALSE),"")</f>
        <v>0</v>
      </c>
      <c r="AM677" s="14">
        <f>IFERROR(VLOOKUP($A677,koronahun!$A:$AM,39,FALSE),"")</f>
        <v>21</v>
      </c>
      <c r="AN677" s="11">
        <f ca="1">IFERROR(__xludf.DUMMYFUNCTION("""COMPUTED_VALUE"""),44569)</f>
        <v>44569</v>
      </c>
      <c r="AO677" s="12">
        <f ca="1">IFERROR(VLOOKUP(AN677,koronahun!A:B,2,FALSE),"")</f>
        <v>0</v>
      </c>
      <c r="AP677" s="11">
        <f t="shared" ca="1" si="4"/>
        <v>44569</v>
      </c>
      <c r="AQ677" s="11">
        <f ca="1">IFERROR(__xludf.DUMMYFUNCTION("""COMPUTED_VALUE"""),44659)</f>
        <v>44659</v>
      </c>
      <c r="AR677" s="11">
        <v>43942</v>
      </c>
      <c r="AS677" s="11">
        <f t="shared" si="5"/>
        <v>43942</v>
      </c>
      <c r="AT677" s="11">
        <f ca="1">IFERROR(__xludf.DUMMYFUNCTION("""COMPUTED_VALUE"""),43941)</f>
        <v>43941</v>
      </c>
    </row>
    <row r="678" spans="1:46" ht="13">
      <c r="A678" s="11">
        <v>43940</v>
      </c>
      <c r="B678">
        <f>IFERROR(VLOOKUP($A678,koronahun!$A:$AM,2,FALSE),"")</f>
        <v>1916</v>
      </c>
      <c r="C678">
        <f>IFERROR(VLOOKUP($A678,koronahun!$A:$AM,3,FALSE),"")</f>
        <v>82</v>
      </c>
      <c r="D678">
        <f>IFERROR(VLOOKUP($A678,koronahun!$A:$AM,4,FALSE),"")</f>
        <v>189</v>
      </c>
      <c r="E678">
        <f>IFERROR(VLOOKUP($A678,koronahun!$A:$AM,5,FALSE),"")</f>
        <v>250</v>
      </c>
      <c r="F678">
        <f>IFERROR(VLOOKUP($A678,koronahun!$A:$AM,6,FALSE),"")</f>
        <v>46353</v>
      </c>
      <c r="G678" s="12">
        <f>IFERROR(VLOOKUP($A678,koronahun!$A:$AM,7,FALSE),"")</f>
        <v>4729.8979591836733</v>
      </c>
      <c r="H678">
        <f>IFERROR(VLOOKUP($A678,koronahun!$A:$AM,8,FALSE),"")</f>
        <v>0</v>
      </c>
      <c r="I678" s="13">
        <f>IFERROR(VLOOKUP($A678,koronahun!$A:$AM,9,FALSE),"")</f>
        <v>4.4699999999999997E-2</v>
      </c>
      <c r="J678" s="13">
        <f>IFERROR(VLOOKUP($A678,koronahun!$A:$AM,10,FALSE),"")</f>
        <v>4.1300000000000003E-2</v>
      </c>
      <c r="K678" s="13">
        <f>IFERROR(VLOOKUP($A678,koronahun!$A:$AM,11,FALSE),"")</f>
        <v>5.6000000000000001E-2</v>
      </c>
      <c r="L678">
        <f>IFERROR(VLOOKUP($A678,koronahun!$A:$AM,12,FALSE),"")</f>
        <v>1477</v>
      </c>
      <c r="M678" s="13">
        <f>IFERROR(VLOOKUP($A678,koronahun!$A:$AM,13,FALSE),"")</f>
        <v>9.8599999999999993E-2</v>
      </c>
      <c r="N678" s="13">
        <f>IFERROR(VLOOKUP($A678,koronahun!$A:$AM,14,FALSE),"")</f>
        <v>0.1305</v>
      </c>
      <c r="O678">
        <f>IFERROR(VLOOKUP($A678,koronahun!$A:$AM,15,FALSE),"")</f>
        <v>11959</v>
      </c>
      <c r="P678">
        <f>IFERROR(VLOOKUP($A678,koronahun!$A:$AM,16,FALSE),"")</f>
        <v>2452</v>
      </c>
      <c r="Q678" s="13">
        <f>IFERROR(VLOOKUP($A678,koronahun!$A:$AM,17,FALSE),"")</f>
        <v>3.3399999999999999E-2</v>
      </c>
      <c r="R678">
        <f>IFERROR(VLOOKUP($A678,koronahun!$A:$AM,18,FALSE),"")</f>
        <v>17</v>
      </c>
      <c r="S678">
        <f>IFERROR(VLOOKUP($A678,koronahun!$A:$AM,19,FALSE),"")</f>
        <v>19</v>
      </c>
      <c r="T678">
        <f>IFERROR(VLOOKUP($A678,koronahun!$A:$AM,20,FALSE),"")</f>
        <v>784</v>
      </c>
      <c r="U678">
        <f>IFERROR(VLOOKUP($A678,koronahun!$A:$AM,21,FALSE),"")</f>
        <v>61</v>
      </c>
      <c r="V678" s="13">
        <f>IFERROR(VLOOKUP($A678,koronahun!$A:$AM,22,FALSE),"")</f>
        <v>0.77087682672233826</v>
      </c>
      <c r="W678">
        <f>IFERROR(VLOOKUP($A678,koronahun!$A:$AM,23,FALSE),"")</f>
        <v>-45</v>
      </c>
      <c r="X678">
        <f>IFERROR(VLOOKUP($A678,koronahun!$A:$AM,24,FALSE),"")</f>
        <v>1</v>
      </c>
      <c r="Y678" s="14">
        <f>IFERROR(VLOOKUP($A678,koronahun!$A:$AM,25,FALSE),"")</f>
        <v>0.53080568720379151</v>
      </c>
      <c r="Z678" s="14">
        <f>IFERROR(VLOOKUP($A678,koronahun!$A:$AM,26,FALSE),"")</f>
        <v>7.7806122448979595E-2</v>
      </c>
      <c r="AA678" s="14">
        <f>IFERROR(VLOOKUP($A678,koronahun!$A:$AM,27,FALSE),"")</f>
        <v>0.74741506646971934</v>
      </c>
      <c r="AB678" s="14">
        <f>IFERROR(VLOOKUP($A678,koronahun!$A:$AM,28,FALSE),"")</f>
        <v>1.5256467735768235</v>
      </c>
      <c r="AC678" s="14">
        <f>IFERROR(VLOOKUP($A678,koronahun!$A:$AM,29,FALSE),"")</f>
        <v>72.285714285714292</v>
      </c>
      <c r="AD678" s="14">
        <f>IFERROR(VLOOKUP($A678,koronahun!$A:$AM,30,FALSE),"")</f>
        <v>12.857142857142858</v>
      </c>
      <c r="AE678" s="14">
        <f>IFERROR(VLOOKUP($A678,koronahun!$A:$AM,31,FALSE),"")</f>
        <v>1831.5714285714287</v>
      </c>
      <c r="AF678" s="13">
        <f>IFERROR(VLOOKUP($A678,koronahun!$A:$AM,32,FALSE),"")</f>
        <v>4.2614285714285709E-2</v>
      </c>
      <c r="AG678">
        <f>IFERROR(VLOOKUP($A678,koronahun!$A:$AM,33,FALSE),"")</f>
        <v>0</v>
      </c>
      <c r="AH678">
        <f>IFERROR(VLOOKUP($A678,koronahun!$A:$AM,34,FALSE),"")</f>
        <v>0</v>
      </c>
      <c r="AI678">
        <f>IFERROR(VLOOKUP($A678,koronahun!$A:$AM,35,FALSE),"")</f>
        <v>0</v>
      </c>
      <c r="AJ678">
        <f>IFERROR(VLOOKUP($A678,koronahun!$A:$AM,36,FALSE),"")</f>
        <v>0</v>
      </c>
      <c r="AK678">
        <f>IFERROR(VLOOKUP($A678,koronahun!$A:$AM,37,FALSE),"")</f>
        <v>0</v>
      </c>
      <c r="AL678">
        <f>IFERROR(VLOOKUP($A678,koronahun!$A:$AM,38,FALSE),"")</f>
        <v>0</v>
      </c>
      <c r="AM678" s="14">
        <f>IFERROR(VLOOKUP($A678,koronahun!$A:$AM,39,FALSE),"")</f>
        <v>18.857142857142858</v>
      </c>
      <c r="AN678" s="11">
        <f ca="1">IFERROR(__xludf.DUMMYFUNCTION("""COMPUTED_VALUE"""),44570)</f>
        <v>44570</v>
      </c>
      <c r="AO678" s="12">
        <f ca="1">IFERROR(VLOOKUP(AN678,koronahun!A:B,2,FALSE),"")</f>
        <v>0</v>
      </c>
      <c r="AP678" s="11">
        <f t="shared" ca="1" si="4"/>
        <v>44570</v>
      </c>
      <c r="AQ678" s="11">
        <f ca="1">IFERROR(__xludf.DUMMYFUNCTION("""COMPUTED_VALUE"""),44662)</f>
        <v>44662</v>
      </c>
      <c r="AR678" s="11">
        <v>43941</v>
      </c>
      <c r="AS678" s="11">
        <f t="shared" si="5"/>
        <v>43941</v>
      </c>
      <c r="AT678" s="11">
        <f ca="1">IFERROR(__xludf.DUMMYFUNCTION("""COMPUTED_VALUE"""),43940)</f>
        <v>43940</v>
      </c>
    </row>
    <row r="679" spans="1:46" ht="13">
      <c r="A679" s="11">
        <v>43939</v>
      </c>
      <c r="B679">
        <f>IFERROR(VLOOKUP($A679,koronahun!$A:$AM,2,FALSE),"")</f>
        <v>1834</v>
      </c>
      <c r="C679">
        <f>IFERROR(VLOOKUP($A679,koronahun!$A:$AM,3,FALSE),"")</f>
        <v>71</v>
      </c>
      <c r="D679">
        <f>IFERROR(VLOOKUP($A679,koronahun!$A:$AM,4,FALSE),"")</f>
        <v>172</v>
      </c>
      <c r="E679">
        <f>IFERROR(VLOOKUP($A679,koronahun!$A:$AM,5,FALSE),"")</f>
        <v>231</v>
      </c>
      <c r="F679">
        <f>IFERROR(VLOOKUP($A679,koronahun!$A:$AM,6,FALSE),"")</f>
        <v>43901</v>
      </c>
      <c r="G679" s="12">
        <f>IFERROR(VLOOKUP($A679,koronahun!$A:$AM,7,FALSE),"")</f>
        <v>4479.6938775510198</v>
      </c>
      <c r="H679">
        <f>IFERROR(VLOOKUP($A679,koronahun!$A:$AM,8,FALSE),"")</f>
        <v>0</v>
      </c>
      <c r="I679" s="13">
        <f>IFERROR(VLOOKUP($A679,koronahun!$A:$AM,9,FALSE),"")</f>
        <v>4.0300000000000002E-2</v>
      </c>
      <c r="J679" s="13">
        <f>IFERROR(VLOOKUP($A679,koronahun!$A:$AM,10,FALSE),"")</f>
        <v>4.1799999999999997E-2</v>
      </c>
      <c r="K679" s="13">
        <f>IFERROR(VLOOKUP($A679,koronahun!$A:$AM,11,FALSE),"")</f>
        <v>5.6000000000000001E-2</v>
      </c>
      <c r="L679">
        <f>IFERROR(VLOOKUP($A679,koronahun!$A:$AM,12,FALSE),"")</f>
        <v>1431</v>
      </c>
      <c r="M679" s="13">
        <f>IFERROR(VLOOKUP($A679,koronahun!$A:$AM,13,FALSE),"")</f>
        <v>9.3799999999999994E-2</v>
      </c>
      <c r="N679" s="13">
        <f>IFERROR(VLOOKUP($A679,koronahun!$A:$AM,14,FALSE),"")</f>
        <v>0.126</v>
      </c>
      <c r="O679">
        <f>IFERROR(VLOOKUP($A679,koronahun!$A:$AM,15,FALSE),"")</f>
        <v>12150</v>
      </c>
      <c r="P679">
        <f>IFERROR(VLOOKUP($A679,koronahun!$A:$AM,16,FALSE),"")</f>
        <v>2311</v>
      </c>
      <c r="Q679" s="13">
        <f>IFERROR(VLOOKUP($A679,koronahun!$A:$AM,17,FALSE),"")</f>
        <v>3.0700000000000002E-2</v>
      </c>
      <c r="R679">
        <f>IFERROR(VLOOKUP($A679,koronahun!$A:$AM,18,FALSE),"")</f>
        <v>16</v>
      </c>
      <c r="S679">
        <f>IFERROR(VLOOKUP($A679,koronahun!$A:$AM,19,FALSE),"")</f>
        <v>24</v>
      </c>
      <c r="T679">
        <f>IFERROR(VLOOKUP($A679,koronahun!$A:$AM,20,FALSE),"")</f>
        <v>829</v>
      </c>
      <c r="U679">
        <f>IFERROR(VLOOKUP($A679,koronahun!$A:$AM,21,FALSE),"")</f>
        <v>60</v>
      </c>
      <c r="V679" s="13">
        <f>IFERROR(VLOOKUP($A679,koronahun!$A:$AM,22,FALSE),"")</f>
        <v>0.78026172300981467</v>
      </c>
      <c r="W679">
        <f>IFERROR(VLOOKUP($A679,koronahun!$A:$AM,23,FALSE),"")</f>
        <v>-18</v>
      </c>
      <c r="X679">
        <f>IFERROR(VLOOKUP($A679,koronahun!$A:$AM,24,FALSE),"")</f>
        <v>-3</v>
      </c>
      <c r="Y679" s="14">
        <f>IFERROR(VLOOKUP($A679,koronahun!$A:$AM,25,FALSE),"")</f>
        <v>0.57931516422082463</v>
      </c>
      <c r="Z679" s="14">
        <f>IFERROR(VLOOKUP($A679,koronahun!$A:$AM,26,FALSE),"")</f>
        <v>7.2376357056694818E-2</v>
      </c>
      <c r="AA679" s="14">
        <f>IFERROR(VLOOKUP($A679,koronahun!$A:$AM,27,FALSE),"")</f>
        <v>0.82911392405063289</v>
      </c>
      <c r="AB679" s="14">
        <f>IFERROR(VLOOKUP($A679,koronahun!$A:$AM,28,FALSE),"")</f>
        <v>1.7164556102349953</v>
      </c>
      <c r="AC679" s="14">
        <f>IFERROR(VLOOKUP($A679,koronahun!$A:$AM,29,FALSE),"")</f>
        <v>74.857142857142861</v>
      </c>
      <c r="AD679" s="14">
        <f>IFERROR(VLOOKUP($A679,koronahun!$A:$AM,30,FALSE),"")</f>
        <v>12.428571428571429</v>
      </c>
      <c r="AE679" s="14">
        <f>IFERROR(VLOOKUP($A679,koronahun!$A:$AM,31,FALSE),"")</f>
        <v>1705.7142857142858</v>
      </c>
      <c r="AF679" s="13">
        <f>IFERROR(VLOOKUP($A679,koronahun!$A:$AM,32,FALSE),"")</f>
        <v>4.694285714285714E-2</v>
      </c>
      <c r="AG679">
        <f>IFERROR(VLOOKUP($A679,koronahun!$A:$AM,33,FALSE),"")</f>
        <v>0</v>
      </c>
      <c r="AH679">
        <f>IFERROR(VLOOKUP($A679,koronahun!$A:$AM,34,FALSE),"")</f>
        <v>0</v>
      </c>
      <c r="AI679">
        <f>IFERROR(VLOOKUP($A679,koronahun!$A:$AM,35,FALSE),"")</f>
        <v>0</v>
      </c>
      <c r="AJ679">
        <f>IFERROR(VLOOKUP($A679,koronahun!$A:$AM,36,FALSE),"")</f>
        <v>0</v>
      </c>
      <c r="AK679">
        <f>IFERROR(VLOOKUP($A679,koronahun!$A:$AM,37,FALSE),"")</f>
        <v>0</v>
      </c>
      <c r="AL679">
        <f>IFERROR(VLOOKUP($A679,koronahun!$A:$AM,38,FALSE),"")</f>
        <v>0</v>
      </c>
      <c r="AM679" s="14">
        <f>IFERROR(VLOOKUP($A679,koronahun!$A:$AM,39,FALSE),"")</f>
        <v>16.571428571428573</v>
      </c>
      <c r="AN679" s="11">
        <f ca="1">IFERROR(__xludf.DUMMYFUNCTION("""COMPUTED_VALUE"""),44571)</f>
        <v>44571</v>
      </c>
      <c r="AO679" s="12">
        <f ca="1">IFERROR(VLOOKUP(AN679,koronahun!A:B,2,FALSE),"")</f>
        <v>1297612</v>
      </c>
      <c r="AP679" s="11">
        <f t="shared" ca="1" si="4"/>
        <v>44571</v>
      </c>
      <c r="AQ679" s="11">
        <f ca="1">IFERROR(__xludf.DUMMYFUNCTION("""COMPUTED_VALUE"""),44663)</f>
        <v>44663</v>
      </c>
      <c r="AR679" s="11">
        <v>43940</v>
      </c>
      <c r="AS679" s="11">
        <f t="shared" si="5"/>
        <v>43940</v>
      </c>
      <c r="AT679" s="11">
        <f ca="1">IFERROR(__xludf.DUMMYFUNCTION("""COMPUTED_VALUE"""),43939)</f>
        <v>43939</v>
      </c>
    </row>
    <row r="680" spans="1:46" ht="13">
      <c r="A680" s="11">
        <v>43938</v>
      </c>
      <c r="B680">
        <f>IFERROR(VLOOKUP($A680,koronahun!$A:$AM,2,FALSE),"")</f>
        <v>1763</v>
      </c>
      <c r="C680">
        <f>IFERROR(VLOOKUP($A680,koronahun!$A:$AM,3,FALSE),"")</f>
        <v>111</v>
      </c>
      <c r="D680">
        <f>IFERROR(VLOOKUP($A680,koronahun!$A:$AM,4,FALSE),"")</f>
        <v>156</v>
      </c>
      <c r="E680">
        <f>IFERROR(VLOOKUP($A680,koronahun!$A:$AM,5,FALSE),"")</f>
        <v>207</v>
      </c>
      <c r="F680">
        <f>IFERROR(VLOOKUP($A680,koronahun!$A:$AM,6,FALSE),"")</f>
        <v>41590</v>
      </c>
      <c r="G680" s="12">
        <f>IFERROR(VLOOKUP($A680,koronahun!$A:$AM,7,FALSE),"")</f>
        <v>4243.8775510204077</v>
      </c>
      <c r="H680">
        <f>IFERROR(VLOOKUP($A680,koronahun!$A:$AM,8,FALSE),"")</f>
        <v>0</v>
      </c>
      <c r="I680" s="13">
        <f>IFERROR(VLOOKUP($A680,koronahun!$A:$AM,9,FALSE),"")</f>
        <v>6.7199999999999996E-2</v>
      </c>
      <c r="J680" s="13">
        <f>IFERROR(VLOOKUP($A680,koronahun!$A:$AM,10,FALSE),"")</f>
        <v>4.24E-2</v>
      </c>
      <c r="K680" s="13">
        <f>IFERROR(VLOOKUP($A680,koronahun!$A:$AM,11,FALSE),"")</f>
        <v>8.1000000000000003E-2</v>
      </c>
      <c r="L680">
        <f>IFERROR(VLOOKUP($A680,koronahun!$A:$AM,12,FALSE),"")</f>
        <v>1400</v>
      </c>
      <c r="M680" s="13">
        <f>IFERROR(VLOOKUP($A680,koronahun!$A:$AM,13,FALSE),"")</f>
        <v>8.8499999999999995E-2</v>
      </c>
      <c r="N680" s="13">
        <f>IFERROR(VLOOKUP($A680,koronahun!$A:$AM,14,FALSE),"")</f>
        <v>0.1174</v>
      </c>
      <c r="O680">
        <f>IFERROR(VLOOKUP($A680,koronahun!$A:$AM,15,FALSE),"")</f>
        <v>12401</v>
      </c>
      <c r="P680">
        <f>IFERROR(VLOOKUP($A680,koronahun!$A:$AM,16,FALSE),"")</f>
        <v>3101</v>
      </c>
      <c r="Q680" s="13">
        <f>IFERROR(VLOOKUP($A680,koronahun!$A:$AM,17,FALSE),"")</f>
        <v>3.5799999999999998E-2</v>
      </c>
      <c r="R680">
        <f>IFERROR(VLOOKUP($A680,koronahun!$A:$AM,18,FALSE),"")</f>
        <v>14</v>
      </c>
      <c r="S680">
        <f>IFERROR(VLOOKUP($A680,koronahun!$A:$AM,19,FALSE),"")</f>
        <v>8</v>
      </c>
      <c r="T680">
        <f>IFERROR(VLOOKUP($A680,koronahun!$A:$AM,20,FALSE),"")</f>
        <v>847</v>
      </c>
      <c r="U680">
        <f>IFERROR(VLOOKUP($A680,koronahun!$A:$AM,21,FALSE),"")</f>
        <v>63</v>
      </c>
      <c r="V680" s="13">
        <f>IFERROR(VLOOKUP($A680,koronahun!$A:$AM,22,FALSE),"")</f>
        <v>0.79410096426545662</v>
      </c>
      <c r="W680">
        <f>IFERROR(VLOOKUP($A680,koronahun!$A:$AM,23,FALSE),"")</f>
        <v>118</v>
      </c>
      <c r="X680">
        <f>IFERROR(VLOOKUP($A680,koronahun!$A:$AM,24,FALSE),"")</f>
        <v>3</v>
      </c>
      <c r="Y680" s="14">
        <f>IFERROR(VLOOKUP($A680,koronahun!$A:$AM,25,FALSE),"")</f>
        <v>0.60499999999999998</v>
      </c>
      <c r="Z680" s="14">
        <f>IFERROR(VLOOKUP($A680,koronahun!$A:$AM,26,FALSE),"")</f>
        <v>7.43801652892562E-2</v>
      </c>
      <c r="AA680" s="14">
        <f>IFERROR(VLOOKUP($A680,koronahun!$A:$AM,27,FALSE),"")</f>
        <v>1.0105820105820107</v>
      </c>
      <c r="AB680" s="14">
        <f>IFERROR(VLOOKUP($A680,koronahun!$A:$AM,28,FALSE),"")</f>
        <v>1.8675203588247771</v>
      </c>
      <c r="AC680" s="14">
        <f>IFERROR(VLOOKUP($A680,koronahun!$A:$AM,29,FALSE),"")</f>
        <v>81.857142857142861</v>
      </c>
      <c r="AD680" s="14">
        <f>IFERROR(VLOOKUP($A680,koronahun!$A:$AM,30,FALSE),"")</f>
        <v>11.285714285714286</v>
      </c>
      <c r="AE680" s="14">
        <f>IFERROR(VLOOKUP($A680,koronahun!$A:$AM,31,FALSE),"")</f>
        <v>1663.1428571428571</v>
      </c>
      <c r="AF680" s="13">
        <f>IFERROR(VLOOKUP($A680,koronahun!$A:$AM,32,FALSE),"")</f>
        <v>5.1071428571428566E-2</v>
      </c>
      <c r="AG680">
        <f>IFERROR(VLOOKUP($A680,koronahun!$A:$AM,33,FALSE),"")</f>
        <v>0</v>
      </c>
      <c r="AH680">
        <f>IFERROR(VLOOKUP($A680,koronahun!$A:$AM,34,FALSE),"")</f>
        <v>0</v>
      </c>
      <c r="AI680">
        <f>IFERROR(VLOOKUP($A680,koronahun!$A:$AM,35,FALSE),"")</f>
        <v>0</v>
      </c>
      <c r="AJ680">
        <f>IFERROR(VLOOKUP($A680,koronahun!$A:$AM,36,FALSE),"")</f>
        <v>0</v>
      </c>
      <c r="AK680">
        <f>IFERROR(VLOOKUP($A680,koronahun!$A:$AM,37,FALSE),"")</f>
        <v>0</v>
      </c>
      <c r="AL680">
        <f>IFERROR(VLOOKUP($A680,koronahun!$A:$AM,38,FALSE),"")</f>
        <v>0</v>
      </c>
      <c r="AM680" s="14">
        <f>IFERROR(VLOOKUP($A680,koronahun!$A:$AM,39,FALSE),"")</f>
        <v>13.571428571428571</v>
      </c>
      <c r="AN680" s="11">
        <f ca="1">IFERROR(__xludf.DUMMYFUNCTION("""COMPUTED_VALUE"""),44572)</f>
        <v>44572</v>
      </c>
      <c r="AO680" s="12">
        <f ca="1">IFERROR(VLOOKUP(AN680,koronahun!A:B,2,FALSE),"")</f>
        <v>1300994</v>
      </c>
      <c r="AP680" s="11">
        <f t="shared" ca="1" si="4"/>
        <v>44572</v>
      </c>
      <c r="AQ680" s="11">
        <f ca="1">IFERROR(__xludf.DUMMYFUNCTION("""COMPUTED_VALUE"""),44664)</f>
        <v>44664</v>
      </c>
      <c r="AR680" s="11">
        <v>43939</v>
      </c>
      <c r="AS680" s="11">
        <f t="shared" si="5"/>
        <v>43939</v>
      </c>
      <c r="AT680" s="11">
        <f ca="1">IFERROR(__xludf.DUMMYFUNCTION("""COMPUTED_VALUE"""),43938)</f>
        <v>43938</v>
      </c>
    </row>
    <row r="681" spans="1:46" ht="13">
      <c r="A681" s="11">
        <v>43937</v>
      </c>
      <c r="B681">
        <f>IFERROR(VLOOKUP($A681,koronahun!$A:$AM,2,FALSE),"")</f>
        <v>1652</v>
      </c>
      <c r="C681">
        <f>IFERROR(VLOOKUP($A681,koronahun!$A:$AM,3,FALSE),"")</f>
        <v>73</v>
      </c>
      <c r="D681">
        <f>IFERROR(VLOOKUP($A681,koronahun!$A:$AM,4,FALSE),"")</f>
        <v>142</v>
      </c>
      <c r="E681">
        <f>IFERROR(VLOOKUP($A681,koronahun!$A:$AM,5,FALSE),"")</f>
        <v>199</v>
      </c>
      <c r="F681">
        <f>IFERROR(VLOOKUP($A681,koronahun!$A:$AM,6,FALSE),"")</f>
        <v>38489</v>
      </c>
      <c r="G681" s="12">
        <f>IFERROR(VLOOKUP($A681,koronahun!$A:$AM,7,FALSE),"")</f>
        <v>3927.4489795918366</v>
      </c>
      <c r="H681">
        <f>IFERROR(VLOOKUP($A681,koronahun!$A:$AM,8,FALSE),"")</f>
        <v>0</v>
      </c>
      <c r="I681" s="13">
        <f>IFERROR(VLOOKUP($A681,koronahun!$A:$AM,9,FALSE),"")</f>
        <v>4.6199999999999998E-2</v>
      </c>
      <c r="J681" s="13">
        <f>IFERROR(VLOOKUP($A681,koronahun!$A:$AM,10,FALSE),"")</f>
        <v>4.2900000000000001E-2</v>
      </c>
      <c r="K681" s="13">
        <f>IFERROR(VLOOKUP($A681,koronahun!$A:$AM,11,FALSE),"")</f>
        <v>3.1E-2</v>
      </c>
      <c r="L681">
        <f>IFERROR(VLOOKUP($A681,koronahun!$A:$AM,12,FALSE),"")</f>
        <v>1311</v>
      </c>
      <c r="M681" s="13">
        <f>IFERROR(VLOOKUP($A681,koronahun!$A:$AM,13,FALSE),"")</f>
        <v>8.5999999999999993E-2</v>
      </c>
      <c r="N681" s="13">
        <f>IFERROR(VLOOKUP($A681,koronahun!$A:$AM,14,FALSE),"")</f>
        <v>0.1205</v>
      </c>
      <c r="O681">
        <f>IFERROR(VLOOKUP($A681,koronahun!$A:$AM,15,FALSE),"")</f>
        <v>12737</v>
      </c>
      <c r="P681">
        <f>IFERROR(VLOOKUP($A681,koronahun!$A:$AM,16,FALSE),"")</f>
        <v>1163</v>
      </c>
      <c r="Q681" s="13">
        <f>IFERROR(VLOOKUP($A681,koronahun!$A:$AM,17,FALSE),"")</f>
        <v>6.2799999999999995E-2</v>
      </c>
      <c r="R681">
        <f>IFERROR(VLOOKUP($A681,koronahun!$A:$AM,18,FALSE),"")</f>
        <v>8</v>
      </c>
      <c r="S681">
        <f>IFERROR(VLOOKUP($A681,koronahun!$A:$AM,19,FALSE),"")</f>
        <v>7</v>
      </c>
      <c r="T681">
        <f>IFERROR(VLOOKUP($A681,koronahun!$A:$AM,20,FALSE),"")</f>
        <v>729</v>
      </c>
      <c r="U681">
        <f>IFERROR(VLOOKUP($A681,koronahun!$A:$AM,21,FALSE),"")</f>
        <v>60</v>
      </c>
      <c r="V681" s="13">
        <f>IFERROR(VLOOKUP($A681,koronahun!$A:$AM,22,FALSE),"")</f>
        <v>0.79358353510895885</v>
      </c>
      <c r="W681">
        <f>IFERROR(VLOOKUP($A681,koronahun!$A:$AM,23,FALSE),"")</f>
        <v>729</v>
      </c>
      <c r="X681">
        <f>IFERROR(VLOOKUP($A681,koronahun!$A:$AM,24,FALSE),"")</f>
        <v>60</v>
      </c>
      <c r="Y681" s="14">
        <f>IFERROR(VLOOKUP($A681,koronahun!$A:$AM,25,FALSE),"")</f>
        <v>0.55606407322654461</v>
      </c>
      <c r="Z681" s="14">
        <f>IFERROR(VLOOKUP($A681,koronahun!$A:$AM,26,FALSE),"")</f>
        <v>8.2304526748971193E-2</v>
      </c>
      <c r="AA681" s="14">
        <f>IFERROR(VLOOKUP($A681,koronahun!$A:$AM,27,FALSE),"")</f>
        <v>1.7012658227848101</v>
      </c>
      <c r="AB681" s="14">
        <f>IFERROR(VLOOKUP($A681,koronahun!$A:$AM,28,FALSE),"")</f>
        <v>1.9739254939782536</v>
      </c>
      <c r="AC681" s="14">
        <f>IFERROR(VLOOKUP($A681,koronahun!$A:$AM,29,FALSE),"")</f>
        <v>96</v>
      </c>
      <c r="AD681" s="14">
        <f>IFERROR(VLOOKUP($A681,koronahun!$A:$AM,30,FALSE),"")</f>
        <v>10.857142857142858</v>
      </c>
      <c r="AE681" s="14">
        <f>IFERROR(VLOOKUP($A681,koronahun!$A:$AM,31,FALSE),"")</f>
        <v>1523.2857142857142</v>
      </c>
      <c r="AF681" s="13">
        <f>IFERROR(VLOOKUP($A681,koronahun!$A:$AM,32,FALSE),"")</f>
        <v>6.0099999999999994E-2</v>
      </c>
      <c r="AG681">
        <f>IFERROR(VLOOKUP($A681,koronahun!$A:$AM,33,FALSE),"")</f>
        <v>0</v>
      </c>
      <c r="AH681">
        <f>IFERROR(VLOOKUP($A681,koronahun!$A:$AM,34,FALSE),"")</f>
        <v>0</v>
      </c>
      <c r="AI681">
        <f>IFERROR(VLOOKUP($A681,koronahun!$A:$AM,35,FALSE),"")</f>
        <v>0</v>
      </c>
      <c r="AJ681">
        <f>IFERROR(VLOOKUP($A681,koronahun!$A:$AM,36,FALSE),"")</f>
        <v>0</v>
      </c>
      <c r="AK681">
        <f>IFERROR(VLOOKUP($A681,koronahun!$A:$AM,37,FALSE),"")</f>
        <v>0</v>
      </c>
      <c r="AL681">
        <f>IFERROR(VLOOKUP($A681,koronahun!$A:$AM,38,FALSE),"")</f>
        <v>0</v>
      </c>
      <c r="AM681" s="14">
        <f>IFERROR(VLOOKUP($A681,koronahun!$A:$AM,39,FALSE),"")</f>
        <v>14.714285714285714</v>
      </c>
      <c r="AN681" s="11">
        <f ca="1">IFERROR(__xludf.DUMMYFUNCTION("""COMPUTED_VALUE"""),44573)</f>
        <v>44573</v>
      </c>
      <c r="AO681" s="12">
        <f ca="1">IFERROR(VLOOKUP(AN681,koronahun!A:B,2,FALSE),"")</f>
        <v>1308877</v>
      </c>
      <c r="AP681" s="11">
        <f t="shared" ca="1" si="4"/>
        <v>44573</v>
      </c>
      <c r="AQ681" s="11">
        <f ca="1">IFERROR(__xludf.DUMMYFUNCTION("""COMPUTED_VALUE"""),44665)</f>
        <v>44665</v>
      </c>
      <c r="AR681" s="11">
        <v>43938</v>
      </c>
      <c r="AS681" s="11">
        <f t="shared" si="5"/>
        <v>43938</v>
      </c>
      <c r="AT681" s="11">
        <f ca="1">IFERROR(__xludf.DUMMYFUNCTION("""COMPUTED_VALUE"""),43937)</f>
        <v>43937</v>
      </c>
    </row>
    <row r="682" spans="1:46" ht="13">
      <c r="A682" s="11">
        <v>43936</v>
      </c>
      <c r="B682">
        <f>IFERROR(VLOOKUP($A682,koronahun!$A:$AM,2,FALSE),"")</f>
        <v>1579</v>
      </c>
      <c r="C682">
        <f>IFERROR(VLOOKUP($A682,koronahun!$A:$AM,3,FALSE),"")</f>
        <v>67</v>
      </c>
      <c r="D682">
        <f>IFERROR(VLOOKUP($A682,koronahun!$A:$AM,4,FALSE),"")</f>
        <v>134</v>
      </c>
      <c r="E682">
        <f>IFERROR(VLOOKUP($A682,koronahun!$A:$AM,5,FALSE),"")</f>
        <v>192</v>
      </c>
      <c r="F682">
        <f>IFERROR(VLOOKUP($A682,koronahun!$A:$AM,6,FALSE),"")</f>
        <v>37326</v>
      </c>
      <c r="G682" s="12">
        <f>IFERROR(VLOOKUP($A682,koronahun!$A:$AM,7,FALSE),"")</f>
        <v>3808.7755102040815</v>
      </c>
      <c r="H682">
        <f>IFERROR(VLOOKUP($A682,koronahun!$A:$AM,8,FALSE),"")</f>
        <v>0</v>
      </c>
      <c r="I682" s="13">
        <f>IFERROR(VLOOKUP($A682,koronahun!$A:$AM,9,FALSE),"")</f>
        <v>4.4299999999999999E-2</v>
      </c>
      <c r="J682" s="13">
        <f>IFERROR(VLOOKUP($A682,koronahun!$A:$AM,10,FALSE),"")</f>
        <v>4.2299999999999997E-2</v>
      </c>
      <c r="K682" s="13">
        <f>IFERROR(VLOOKUP($A682,koronahun!$A:$AM,11,FALSE),"")</f>
        <v>4.2000000000000003E-2</v>
      </c>
      <c r="L682">
        <f>IFERROR(VLOOKUP($A682,koronahun!$A:$AM,12,FALSE),"")</f>
        <v>1253</v>
      </c>
      <c r="M682" s="13">
        <f>IFERROR(VLOOKUP($A682,koronahun!$A:$AM,13,FALSE),"")</f>
        <v>8.4900000000000003E-2</v>
      </c>
      <c r="N682" s="13">
        <f>IFERROR(VLOOKUP($A682,koronahun!$A:$AM,14,FALSE),"")</f>
        <v>0.1216</v>
      </c>
      <c r="O682">
        <f>IFERROR(VLOOKUP($A682,koronahun!$A:$AM,15,FALSE),"")</f>
        <v>13360</v>
      </c>
      <c r="P682">
        <f>IFERROR(VLOOKUP($A682,koronahun!$A:$AM,16,FALSE),"")</f>
        <v>1501</v>
      </c>
      <c r="Q682" s="13">
        <f>IFERROR(VLOOKUP($A682,koronahun!$A:$AM,17,FALSE),"")</f>
        <v>4.4600000000000001E-2</v>
      </c>
      <c r="R682">
        <f>IFERROR(VLOOKUP($A682,koronahun!$A:$AM,18,FALSE),"")</f>
        <v>12</v>
      </c>
      <c r="S682">
        <f>IFERROR(VLOOKUP($A682,koronahun!$A:$AM,19,FALSE),"")</f>
        <v>70</v>
      </c>
      <c r="T682">
        <f>IFERROR(VLOOKUP($A682,koronahun!$A:$AM,20,FALSE),"")</f>
        <v>0</v>
      </c>
      <c r="U682">
        <f>IFERROR(VLOOKUP($A682,koronahun!$A:$AM,21,FALSE),"")</f>
        <v>0</v>
      </c>
      <c r="V682" s="13">
        <f>IFERROR(VLOOKUP($A682,koronahun!$A:$AM,22,FALSE),"")</f>
        <v>0.79354021532615582</v>
      </c>
      <c r="W682">
        <f>IFERROR(VLOOKUP($A682,koronahun!$A:$AM,23,FALSE),"")</f>
        <v>0</v>
      </c>
      <c r="X682">
        <f>IFERROR(VLOOKUP($A682,koronahun!$A:$AM,24,FALSE),"")</f>
        <v>0</v>
      </c>
      <c r="Y682" s="14">
        <f>IFERROR(VLOOKUP($A682,koronahun!$A:$AM,25,FALSE),"")</f>
        <v>0</v>
      </c>
      <c r="Z682" s="14">
        <f>IFERROR(VLOOKUP($A682,koronahun!$A:$AM,26,FALSE),"")</f>
        <v>0</v>
      </c>
      <c r="AA682" s="14">
        <f>IFERROR(VLOOKUP($A682,koronahun!$A:$AM,27,FALSE),"")</f>
        <v>1.8486486486486486</v>
      </c>
      <c r="AB682" s="14">
        <f>IFERROR(VLOOKUP($A682,koronahun!$A:$AM,28,FALSE),"")</f>
        <v>1.9050497767903001</v>
      </c>
      <c r="AC682" s="14">
        <f>IFERROR(VLOOKUP($A682,koronahun!$A:$AM,29,FALSE),"")</f>
        <v>97.714285714285708</v>
      </c>
      <c r="AD682" s="14">
        <f>IFERROR(VLOOKUP($A682,koronahun!$A:$AM,30,FALSE),"")</f>
        <v>10.857142857142858</v>
      </c>
      <c r="AE682" s="14">
        <f>IFERROR(VLOOKUP($A682,koronahun!$A:$AM,31,FALSE),"")</f>
        <v>1654</v>
      </c>
      <c r="AF682" s="13">
        <f>IFERROR(VLOOKUP($A682,koronahun!$A:$AM,32,FALSE),"")</f>
        <v>5.6971428571428562E-2</v>
      </c>
      <c r="AG682">
        <f>IFERROR(VLOOKUP($A682,koronahun!$A:$AM,33,FALSE),"")</f>
        <v>0</v>
      </c>
      <c r="AH682">
        <f>IFERROR(VLOOKUP($A682,koronahun!$A:$AM,34,FALSE),"")</f>
        <v>0</v>
      </c>
      <c r="AI682">
        <f>IFERROR(VLOOKUP($A682,koronahun!$A:$AM,35,FALSE),"")</f>
        <v>0</v>
      </c>
      <c r="AJ682">
        <f>IFERROR(VLOOKUP($A682,koronahun!$A:$AM,36,FALSE),"")</f>
        <v>0</v>
      </c>
      <c r="AK682">
        <f>IFERROR(VLOOKUP($A682,koronahun!$A:$AM,37,FALSE),"")</f>
        <v>0</v>
      </c>
      <c r="AL682">
        <f>IFERROR(VLOOKUP($A682,koronahun!$A:$AM,38,FALSE),"")</f>
        <v>0</v>
      </c>
      <c r="AM682" s="14">
        <f>IFERROR(VLOOKUP($A682,koronahun!$A:$AM,39,FALSE),"")</f>
        <v>14</v>
      </c>
      <c r="AN682" s="11">
        <f ca="1">IFERROR(__xludf.DUMMYFUNCTION("""COMPUTED_VALUE"""),44574)</f>
        <v>44574</v>
      </c>
      <c r="AO682" s="12">
        <f ca="1">IFERROR(VLOOKUP(AN682,koronahun!A:B,2,FALSE),"")</f>
        <v>1318093</v>
      </c>
      <c r="AP682" s="11">
        <f t="shared" ca="1" si="4"/>
        <v>44574</v>
      </c>
      <c r="AQ682" s="11">
        <f ca="1">IFERROR(__xludf.DUMMYFUNCTION("""COMPUTED_VALUE"""),44670)</f>
        <v>44670</v>
      </c>
      <c r="AR682" s="11">
        <v>43937</v>
      </c>
      <c r="AS682" s="11">
        <f t="shared" si="5"/>
        <v>43937</v>
      </c>
      <c r="AT682" s="11">
        <f ca="1">IFERROR(__xludf.DUMMYFUNCTION("""COMPUTED_VALUE"""),43936)</f>
        <v>43936</v>
      </c>
    </row>
    <row r="683" spans="1:46" ht="13">
      <c r="A683" s="11">
        <v>43935</v>
      </c>
      <c r="B683">
        <f>IFERROR(VLOOKUP($A683,koronahun!$A:$AM,2,FALSE),"")</f>
        <v>1512</v>
      </c>
      <c r="C683">
        <f>IFERROR(VLOOKUP($A683,koronahun!$A:$AM,3,FALSE),"")</f>
        <v>54</v>
      </c>
      <c r="D683">
        <f>IFERROR(VLOOKUP($A683,koronahun!$A:$AM,4,FALSE),"")</f>
        <v>122</v>
      </c>
      <c r="E683">
        <f>IFERROR(VLOOKUP($A683,koronahun!$A:$AM,5,FALSE),"")</f>
        <v>122</v>
      </c>
      <c r="F683">
        <f>IFERROR(VLOOKUP($A683,koronahun!$A:$AM,6,FALSE),"")</f>
        <v>35825</v>
      </c>
      <c r="G683" s="12">
        <f>IFERROR(VLOOKUP($A683,koronahun!$A:$AM,7,FALSE),"")</f>
        <v>3655.612244897959</v>
      </c>
      <c r="H683">
        <f>IFERROR(VLOOKUP($A683,koronahun!$A:$AM,8,FALSE),"")</f>
        <v>0</v>
      </c>
      <c r="I683" s="13">
        <f>IFERROR(VLOOKUP($A683,koronahun!$A:$AM,9,FALSE),"")</f>
        <v>3.6999999999999998E-2</v>
      </c>
      <c r="J683" s="13">
        <f>IFERROR(VLOOKUP($A683,koronahun!$A:$AM,10,FALSE),"")</f>
        <v>4.2200000000000001E-2</v>
      </c>
      <c r="K683" s="13">
        <f>IFERROR(VLOOKUP($A683,koronahun!$A:$AM,11,FALSE),"")</f>
        <v>2.9000000000000001E-2</v>
      </c>
      <c r="L683">
        <f>IFERROR(VLOOKUP($A683,koronahun!$A:$AM,12,FALSE),"")</f>
        <v>1268</v>
      </c>
      <c r="M683" s="13">
        <f>IFERROR(VLOOKUP($A683,koronahun!$A:$AM,13,FALSE),"")</f>
        <v>8.0699999999999994E-2</v>
      </c>
      <c r="N683" s="13">
        <f>IFERROR(VLOOKUP($A683,koronahun!$A:$AM,14,FALSE),"")</f>
        <v>8.0699999999999994E-2</v>
      </c>
      <c r="O683">
        <f>IFERROR(VLOOKUP($A683,koronahun!$A:$AM,15,FALSE),"")</f>
        <v>14355</v>
      </c>
      <c r="P683">
        <f>IFERROR(VLOOKUP($A683,koronahun!$A:$AM,16,FALSE),"")</f>
        <v>1006</v>
      </c>
      <c r="Q683" s="13">
        <f>IFERROR(VLOOKUP($A683,koronahun!$A:$AM,17,FALSE),"")</f>
        <v>5.3699999999999998E-2</v>
      </c>
      <c r="R683">
        <f>IFERROR(VLOOKUP($A683,koronahun!$A:$AM,18,FALSE),"")</f>
        <v>13</v>
      </c>
      <c r="S683">
        <f>IFERROR(VLOOKUP($A683,koronahun!$A:$AM,19,FALSE),"")</f>
        <v>2</v>
      </c>
      <c r="T683">
        <f>IFERROR(VLOOKUP($A683,koronahun!$A:$AM,20,FALSE),"")</f>
        <v>0</v>
      </c>
      <c r="U683">
        <f>IFERROR(VLOOKUP($A683,koronahun!$A:$AM,21,FALSE),"")</f>
        <v>0</v>
      </c>
      <c r="V683" s="13">
        <f>IFERROR(VLOOKUP($A683,koronahun!$A:$AM,22,FALSE),"")</f>
        <v>0.83862433862433861</v>
      </c>
      <c r="W683">
        <f>IFERROR(VLOOKUP($A683,koronahun!$A:$AM,23,FALSE),"")</f>
        <v>0</v>
      </c>
      <c r="X683">
        <f>IFERROR(VLOOKUP($A683,koronahun!$A:$AM,24,FALSE),"")</f>
        <v>0</v>
      </c>
      <c r="Y683" s="14">
        <f>IFERROR(VLOOKUP($A683,koronahun!$A:$AM,25,FALSE),"")</f>
        <v>0</v>
      </c>
      <c r="Z683" s="14">
        <f>IFERROR(VLOOKUP($A683,koronahun!$A:$AM,26,FALSE),"")</f>
        <v>0</v>
      </c>
      <c r="AA683" s="14">
        <f>IFERROR(VLOOKUP($A683,koronahun!$A:$AM,27,FALSE),"")</f>
        <v>2.1384615384615384</v>
      </c>
      <c r="AB683" s="14">
        <f>IFERROR(VLOOKUP($A683,koronahun!$A:$AM,28,FALSE),"")</f>
        <v>1.8177368546947694</v>
      </c>
      <c r="AC683" s="14">
        <f>IFERROR(VLOOKUP($A683,koronahun!$A:$AM,29,FALSE),"")</f>
        <v>99.285714285714292</v>
      </c>
      <c r="AD683" s="14">
        <f>IFERROR(VLOOKUP($A683,koronahun!$A:$AM,30,FALSE),"")</f>
        <v>10.714285714285714</v>
      </c>
      <c r="AE683" s="14">
        <f>IFERROR(VLOOKUP($A683,koronahun!$A:$AM,31,FALSE),"")</f>
        <v>1725.5714285714287</v>
      </c>
      <c r="AF683" s="13">
        <f>IFERROR(VLOOKUP($A683,koronahun!$A:$AM,32,FALSE),"")</f>
        <v>5.6171428571428574E-2</v>
      </c>
      <c r="AG683">
        <f>IFERROR(VLOOKUP($A683,koronahun!$A:$AM,33,FALSE),"")</f>
        <v>0</v>
      </c>
      <c r="AH683">
        <f>IFERROR(VLOOKUP($A683,koronahun!$A:$AM,34,FALSE),"")</f>
        <v>0</v>
      </c>
      <c r="AI683">
        <f>IFERROR(VLOOKUP($A683,koronahun!$A:$AM,35,FALSE),"")</f>
        <v>0</v>
      </c>
      <c r="AJ683">
        <f>IFERROR(VLOOKUP($A683,koronahun!$A:$AM,36,FALSE),"")</f>
        <v>0</v>
      </c>
      <c r="AK683">
        <f>IFERROR(VLOOKUP($A683,koronahun!$A:$AM,37,FALSE),"")</f>
        <v>0</v>
      </c>
      <c r="AL683">
        <f>IFERROR(VLOOKUP($A683,koronahun!$A:$AM,38,FALSE),"")</f>
        <v>0</v>
      </c>
      <c r="AM683" s="14">
        <f>IFERROR(VLOOKUP($A683,koronahun!$A:$AM,39,FALSE),"")</f>
        <v>7.2857142857142856</v>
      </c>
      <c r="AN683" s="11">
        <f ca="1">IFERROR(__xludf.DUMMYFUNCTION("""COMPUTED_VALUE"""),44575)</f>
        <v>44575</v>
      </c>
      <c r="AO683" s="12">
        <f ca="1">IFERROR(VLOOKUP(AN683,koronahun!A:B,2,FALSE),"")</f>
        <v>1327014</v>
      </c>
      <c r="AP683" s="11">
        <f t="shared" ca="1" si="4"/>
        <v>44575</v>
      </c>
      <c r="AQ683" s="11">
        <f ca="1">IFERROR(__xludf.DUMMYFUNCTION("""COMPUTED_VALUE"""),44671)</f>
        <v>44671</v>
      </c>
      <c r="AR683" s="11">
        <v>43936</v>
      </c>
      <c r="AS683" s="11">
        <f t="shared" si="5"/>
        <v>43936</v>
      </c>
      <c r="AT683" s="11">
        <f ca="1">IFERROR(__xludf.DUMMYFUNCTION("""COMPUTED_VALUE"""),43935)</f>
        <v>43935</v>
      </c>
    </row>
    <row r="684" spans="1:46" ht="13">
      <c r="A684" s="11">
        <v>43934</v>
      </c>
      <c r="B684">
        <f>IFERROR(VLOOKUP($A684,koronahun!$A:$AM,2,FALSE),"")</f>
        <v>1458</v>
      </c>
      <c r="C684">
        <f>IFERROR(VLOOKUP($A684,koronahun!$A:$AM,3,FALSE),"")</f>
        <v>48</v>
      </c>
      <c r="D684">
        <f>IFERROR(VLOOKUP($A684,koronahun!$A:$AM,4,FALSE),"")</f>
        <v>109</v>
      </c>
      <c r="E684">
        <f>IFERROR(VLOOKUP($A684,koronahun!$A:$AM,5,FALSE),"")</f>
        <v>120</v>
      </c>
      <c r="F684">
        <f>IFERROR(VLOOKUP($A684,koronahun!$A:$AM,6,FALSE),"")</f>
        <v>34819</v>
      </c>
      <c r="G684" s="12">
        <f>IFERROR(VLOOKUP($A684,koronahun!$A:$AM,7,FALSE),"")</f>
        <v>3552.9591836734689</v>
      </c>
      <c r="H684">
        <f>IFERROR(VLOOKUP($A684,koronahun!$A:$AM,8,FALSE),"")</f>
        <v>0</v>
      </c>
      <c r="I684" s="13">
        <f>IFERROR(VLOOKUP($A684,koronahun!$A:$AM,9,FALSE),"")</f>
        <v>3.4000000000000002E-2</v>
      </c>
      <c r="J684" s="13">
        <f>IFERROR(VLOOKUP($A684,koronahun!$A:$AM,10,FALSE),"")</f>
        <v>4.19E-2</v>
      </c>
      <c r="K684" s="13">
        <f>IFERROR(VLOOKUP($A684,koronahun!$A:$AM,11,FALSE),"")</f>
        <v>3.7999999999999999E-2</v>
      </c>
      <c r="L684">
        <f>IFERROR(VLOOKUP($A684,koronahun!$A:$AM,12,FALSE),"")</f>
        <v>1229</v>
      </c>
      <c r="M684" s="13">
        <f>IFERROR(VLOOKUP($A684,koronahun!$A:$AM,13,FALSE),"")</f>
        <v>7.4800000000000005E-2</v>
      </c>
      <c r="N684" s="13">
        <f>IFERROR(VLOOKUP($A684,koronahun!$A:$AM,14,FALSE),"")</f>
        <v>8.2299999999999998E-2</v>
      </c>
      <c r="O684">
        <f>IFERROR(VLOOKUP($A684,koronahun!$A:$AM,15,FALSE),"")</f>
        <v>15333</v>
      </c>
      <c r="P684">
        <f>IFERROR(VLOOKUP($A684,koronahun!$A:$AM,16,FALSE),"")</f>
        <v>1287</v>
      </c>
      <c r="Q684" s="13">
        <f>IFERROR(VLOOKUP($A684,koronahun!$A:$AM,17,FALSE),"")</f>
        <v>3.73E-2</v>
      </c>
      <c r="R684">
        <f>IFERROR(VLOOKUP($A684,koronahun!$A:$AM,18,FALSE),"")</f>
        <v>10</v>
      </c>
      <c r="S684">
        <f>IFERROR(VLOOKUP($A684,koronahun!$A:$AM,19,FALSE),"")</f>
        <v>2</v>
      </c>
      <c r="T684">
        <f>IFERROR(VLOOKUP($A684,koronahun!$A:$AM,20,FALSE),"")</f>
        <v>0</v>
      </c>
      <c r="U684">
        <f>IFERROR(VLOOKUP($A684,koronahun!$A:$AM,21,FALSE),"")</f>
        <v>0</v>
      </c>
      <c r="V684" s="13">
        <f>IFERROR(VLOOKUP($A684,koronahun!$A:$AM,22,FALSE),"")</f>
        <v>0.84293552812071326</v>
      </c>
      <c r="W684">
        <f>IFERROR(VLOOKUP($A684,koronahun!$A:$AM,23,FALSE),"")</f>
        <v>0</v>
      </c>
      <c r="X684">
        <f>IFERROR(VLOOKUP($A684,koronahun!$A:$AM,24,FALSE),"")</f>
        <v>0</v>
      </c>
      <c r="Y684" s="14">
        <f>IFERROR(VLOOKUP($A684,koronahun!$A:$AM,25,FALSE),"")</f>
        <v>0</v>
      </c>
      <c r="Z684" s="14">
        <f>IFERROR(VLOOKUP($A684,koronahun!$A:$AM,26,FALSE),"")</f>
        <v>0</v>
      </c>
      <c r="AA684" s="14">
        <f>IFERROR(VLOOKUP($A684,koronahun!$A:$AM,27,FALSE),"")</f>
        <v>2.404040404040404</v>
      </c>
      <c r="AB684" s="14">
        <f>IFERROR(VLOOKUP($A684,koronahun!$A:$AM,28,FALSE),"")</f>
        <v>1.6644671735562357</v>
      </c>
      <c r="AC684" s="14">
        <f>IFERROR(VLOOKUP($A684,koronahun!$A:$AM,29,FALSE),"")</f>
        <v>102</v>
      </c>
      <c r="AD684" s="14">
        <f>IFERROR(VLOOKUP($A684,koronahun!$A:$AM,30,FALSE),"")</f>
        <v>10.142857142857142</v>
      </c>
      <c r="AE684" s="14">
        <f>IFERROR(VLOOKUP($A684,koronahun!$A:$AM,31,FALSE),"")</f>
        <v>1791</v>
      </c>
      <c r="AF684" s="13">
        <f>IFERROR(VLOOKUP($A684,koronahun!$A:$AM,32,FALSE),"")</f>
        <v>5.5628571428571423E-2</v>
      </c>
      <c r="AG684">
        <f>IFERROR(VLOOKUP($A684,koronahun!$A:$AM,33,FALSE),"")</f>
        <v>0</v>
      </c>
      <c r="AH684">
        <f>IFERROR(VLOOKUP($A684,koronahun!$A:$AM,34,FALSE),"")</f>
        <v>0</v>
      </c>
      <c r="AI684">
        <f>IFERROR(VLOOKUP($A684,koronahun!$A:$AM,35,FALSE),"")</f>
        <v>0</v>
      </c>
      <c r="AJ684">
        <f>IFERROR(VLOOKUP($A684,koronahun!$A:$AM,36,FALSE),"")</f>
        <v>0</v>
      </c>
      <c r="AK684">
        <f>IFERROR(VLOOKUP($A684,koronahun!$A:$AM,37,FALSE),"")</f>
        <v>0</v>
      </c>
      <c r="AL684">
        <f>IFERROR(VLOOKUP($A684,koronahun!$A:$AM,38,FALSE),"")</f>
        <v>0</v>
      </c>
      <c r="AM684" s="14">
        <f>IFERROR(VLOOKUP($A684,koronahun!$A:$AM,39,FALSE),"")</f>
        <v>7.5714285714285712</v>
      </c>
      <c r="AN684" s="11">
        <f ca="1">IFERROR(__xludf.DUMMYFUNCTION("""COMPUTED_VALUE"""),44576)</f>
        <v>44576</v>
      </c>
      <c r="AO684" s="12">
        <f ca="1">IFERROR(VLOOKUP(AN684,koronahun!A:B,2,FALSE),"")</f>
        <v>0</v>
      </c>
      <c r="AP684" s="11">
        <f t="shared" ca="1" si="4"/>
        <v>44576</v>
      </c>
      <c r="AQ684" s="11">
        <f ca="1">IFERROR(__xludf.DUMMYFUNCTION("""COMPUTED_VALUE"""),44672)</f>
        <v>44672</v>
      </c>
      <c r="AR684" s="11">
        <v>43935</v>
      </c>
      <c r="AS684" s="11">
        <f t="shared" si="5"/>
        <v>43935</v>
      </c>
      <c r="AT684" s="11">
        <f ca="1">IFERROR(__xludf.DUMMYFUNCTION("""COMPUTED_VALUE"""),43934)</f>
        <v>43934</v>
      </c>
    </row>
    <row r="685" spans="1:46" ht="13">
      <c r="A685" s="11">
        <v>43933</v>
      </c>
      <c r="B685">
        <f>IFERROR(VLOOKUP($A685,koronahun!$A:$AM,2,FALSE),"")</f>
        <v>1410</v>
      </c>
      <c r="C685">
        <f>IFERROR(VLOOKUP($A685,koronahun!$A:$AM,3,FALSE),"")</f>
        <v>100</v>
      </c>
      <c r="D685">
        <f>IFERROR(VLOOKUP($A685,koronahun!$A:$AM,4,FALSE),"")</f>
        <v>99</v>
      </c>
      <c r="E685">
        <f>IFERROR(VLOOKUP($A685,koronahun!$A:$AM,5,FALSE),"")</f>
        <v>118</v>
      </c>
      <c r="F685">
        <f>IFERROR(VLOOKUP($A685,koronahun!$A:$AM,6,FALSE),"")</f>
        <v>33532</v>
      </c>
      <c r="G685" s="12">
        <f>IFERROR(VLOOKUP($A685,koronahun!$A:$AM,7,FALSE),"")</f>
        <v>3421.6326530612241</v>
      </c>
      <c r="H685">
        <f>IFERROR(VLOOKUP($A685,koronahun!$A:$AM,8,FALSE),"")</f>
        <v>0</v>
      </c>
      <c r="I685" s="13">
        <f>IFERROR(VLOOKUP($A685,koronahun!$A:$AM,9,FALSE),"")</f>
        <v>7.6300000000000007E-2</v>
      </c>
      <c r="J685" s="13">
        <f>IFERROR(VLOOKUP($A685,koronahun!$A:$AM,10,FALSE),"")</f>
        <v>4.2000000000000003E-2</v>
      </c>
      <c r="K685" s="13">
        <f>IFERROR(VLOOKUP($A685,koronahun!$A:$AM,11,FALSE),"")</f>
        <v>4.9000000000000002E-2</v>
      </c>
      <c r="L685">
        <f>IFERROR(VLOOKUP($A685,koronahun!$A:$AM,12,FALSE),"")</f>
        <v>1193</v>
      </c>
      <c r="M685" s="13">
        <f>IFERROR(VLOOKUP($A685,koronahun!$A:$AM,13,FALSE),"")</f>
        <v>7.0199999999999999E-2</v>
      </c>
      <c r="N685" s="13">
        <f>IFERROR(VLOOKUP($A685,koronahun!$A:$AM,14,FALSE),"")</f>
        <v>8.3699999999999997E-2</v>
      </c>
      <c r="O685">
        <f>IFERROR(VLOOKUP($A685,koronahun!$A:$AM,15,FALSE),"")</f>
        <v>15333</v>
      </c>
      <c r="P685">
        <f>IFERROR(VLOOKUP($A685,koronahun!$A:$AM,16,FALSE),"")</f>
        <v>1571</v>
      </c>
      <c r="Q685" s="13">
        <f>IFERROR(VLOOKUP($A685,koronahun!$A:$AM,17,FALSE),"")</f>
        <v>6.3700000000000007E-2</v>
      </c>
      <c r="R685">
        <f>IFERROR(VLOOKUP($A685,koronahun!$A:$AM,18,FALSE),"")</f>
        <v>14</v>
      </c>
      <c r="S685">
        <f>IFERROR(VLOOKUP($A685,koronahun!$A:$AM,19,FALSE),"")</f>
        <v>3</v>
      </c>
      <c r="T685">
        <f>IFERROR(VLOOKUP($A685,koronahun!$A:$AM,20,FALSE),"")</f>
        <v>0</v>
      </c>
      <c r="U685">
        <f>IFERROR(VLOOKUP($A685,koronahun!$A:$AM,21,FALSE),"")</f>
        <v>0</v>
      </c>
      <c r="V685" s="13">
        <f>IFERROR(VLOOKUP($A685,koronahun!$A:$AM,22,FALSE),"")</f>
        <v>0.8460992907801419</v>
      </c>
      <c r="W685">
        <f>IFERROR(VLOOKUP($A685,koronahun!$A:$AM,23,FALSE),"")</f>
        <v>0</v>
      </c>
      <c r="X685">
        <f>IFERROR(VLOOKUP($A685,koronahun!$A:$AM,24,FALSE),"")</f>
        <v>0</v>
      </c>
      <c r="Y685" s="14">
        <f>IFERROR(VLOOKUP($A685,koronahun!$A:$AM,25,FALSE),"")</f>
        <v>0</v>
      </c>
      <c r="Z685" s="14">
        <f>IFERROR(VLOOKUP($A685,koronahun!$A:$AM,26,FALSE),"")</f>
        <v>0</v>
      </c>
      <c r="AA685" s="14">
        <f>IFERROR(VLOOKUP($A685,koronahun!$A:$AM,27,FALSE),"")</f>
        <v>2.083076923076923</v>
      </c>
      <c r="AB685" s="14">
        <f>IFERROR(VLOOKUP($A685,koronahun!$A:$AM,28,FALSE),"")</f>
        <v>1.4725634423667902</v>
      </c>
      <c r="AC685" s="14">
        <f>IFERROR(VLOOKUP($A685,koronahun!$A:$AM,29,FALSE),"")</f>
        <v>96.714285714285708</v>
      </c>
      <c r="AD685" s="14">
        <f>IFERROR(VLOOKUP($A685,koronahun!$A:$AM,30,FALSE),"")</f>
        <v>9.2857142857142865</v>
      </c>
      <c r="AE685" s="14">
        <f>IFERROR(VLOOKUP($A685,koronahun!$A:$AM,31,FALSE),"")</f>
        <v>1754.5714285714287</v>
      </c>
      <c r="AF685" s="13">
        <f>IFERROR(VLOOKUP($A685,koronahun!$A:$AM,32,FALSE),"")</f>
        <v>5.1828571428571432E-2</v>
      </c>
      <c r="AG685">
        <f>IFERROR(VLOOKUP($A685,koronahun!$A:$AM,33,FALSE),"")</f>
        <v>0</v>
      </c>
      <c r="AH685">
        <f>IFERROR(VLOOKUP($A685,koronahun!$A:$AM,34,FALSE),"")</f>
        <v>0</v>
      </c>
      <c r="AI685">
        <f>IFERROR(VLOOKUP($A685,koronahun!$A:$AM,35,FALSE),"")</f>
        <v>0</v>
      </c>
      <c r="AJ685">
        <f>IFERROR(VLOOKUP($A685,koronahun!$A:$AM,36,FALSE),"")</f>
        <v>0</v>
      </c>
      <c r="AK685">
        <f>IFERROR(VLOOKUP($A685,koronahun!$A:$AM,37,FALSE),"")</f>
        <v>0</v>
      </c>
      <c r="AL685">
        <f>IFERROR(VLOOKUP($A685,koronahun!$A:$AM,38,FALSE),"")</f>
        <v>0</v>
      </c>
      <c r="AM685" s="14">
        <f>IFERROR(VLOOKUP($A685,koronahun!$A:$AM,39,FALSE),"")</f>
        <v>7.4285714285714288</v>
      </c>
      <c r="AN685" s="11">
        <f ca="1">IFERROR(__xludf.DUMMYFUNCTION("""COMPUTED_VALUE"""),44577)</f>
        <v>44577</v>
      </c>
      <c r="AO685" s="12">
        <f ca="1">IFERROR(VLOOKUP(AN685,koronahun!A:B,2,FALSE),"")</f>
        <v>0</v>
      </c>
      <c r="AP685" s="11">
        <f t="shared" ca="1" si="4"/>
        <v>44577</v>
      </c>
      <c r="AQ685" s="11">
        <f ca="1">IFERROR(__xludf.DUMMYFUNCTION("""COMPUTED_VALUE"""),44673)</f>
        <v>44673</v>
      </c>
      <c r="AR685" s="11">
        <v>43934</v>
      </c>
      <c r="AS685" s="11">
        <f t="shared" si="5"/>
        <v>43934</v>
      </c>
      <c r="AT685" s="11">
        <f ca="1">IFERROR(__xludf.DUMMYFUNCTION("""COMPUTED_VALUE"""),43933)</f>
        <v>43933</v>
      </c>
    </row>
    <row r="686" spans="1:46" ht="13">
      <c r="A686" s="11">
        <v>43932</v>
      </c>
      <c r="B686">
        <f>IFERROR(VLOOKUP($A686,koronahun!$A:$AM,2,FALSE),"")</f>
        <v>1310</v>
      </c>
      <c r="C686">
        <f>IFERROR(VLOOKUP($A686,koronahun!$A:$AM,3,FALSE),"")</f>
        <v>120</v>
      </c>
      <c r="D686">
        <f>IFERROR(VLOOKUP($A686,koronahun!$A:$AM,4,FALSE),"")</f>
        <v>85</v>
      </c>
      <c r="E686">
        <f>IFERROR(VLOOKUP($A686,koronahun!$A:$AM,5,FALSE),"")</f>
        <v>115</v>
      </c>
      <c r="F686">
        <f>IFERROR(VLOOKUP($A686,koronahun!$A:$AM,6,FALSE),"")</f>
        <v>31961</v>
      </c>
      <c r="G686" s="12">
        <f>IFERROR(VLOOKUP($A686,koronahun!$A:$AM,7,FALSE),"")</f>
        <v>3261.3265306122448</v>
      </c>
      <c r="H686">
        <f>IFERROR(VLOOKUP($A686,koronahun!$A:$AM,8,FALSE),"")</f>
        <v>0</v>
      </c>
      <c r="I686" s="13">
        <f>IFERROR(VLOOKUP($A686,koronahun!$A:$AM,9,FALSE),"")</f>
        <v>0.1008</v>
      </c>
      <c r="J686" s="13">
        <f>IFERROR(VLOOKUP($A686,koronahun!$A:$AM,10,FALSE),"")</f>
        <v>4.1000000000000002E-2</v>
      </c>
      <c r="K686" s="13">
        <f>IFERROR(VLOOKUP($A686,koronahun!$A:$AM,11,FALSE),"")</f>
        <v>6.7000000000000004E-2</v>
      </c>
      <c r="L686">
        <f>IFERROR(VLOOKUP($A686,koronahun!$A:$AM,12,FALSE),"")</f>
        <v>1110</v>
      </c>
      <c r="M686" s="13">
        <f>IFERROR(VLOOKUP($A686,koronahun!$A:$AM,13,FALSE),"")</f>
        <v>6.4899999999999999E-2</v>
      </c>
      <c r="N686" s="13">
        <f>IFERROR(VLOOKUP($A686,koronahun!$A:$AM,14,FALSE),"")</f>
        <v>8.7800000000000003E-2</v>
      </c>
      <c r="O686">
        <f>IFERROR(VLOOKUP($A686,koronahun!$A:$AM,15,FALSE),"")</f>
        <v>17490</v>
      </c>
      <c r="P686">
        <f>IFERROR(VLOOKUP($A686,koronahun!$A:$AM,16,FALSE),"")</f>
        <v>2013</v>
      </c>
      <c r="Q686" s="13">
        <f>IFERROR(VLOOKUP($A686,koronahun!$A:$AM,17,FALSE),"")</f>
        <v>5.96E-2</v>
      </c>
      <c r="R686">
        <f>IFERROR(VLOOKUP($A686,koronahun!$A:$AM,18,FALSE),"")</f>
        <v>8</v>
      </c>
      <c r="S686">
        <f>IFERROR(VLOOKUP($A686,koronahun!$A:$AM,19,FALSE),"")</f>
        <v>3</v>
      </c>
      <c r="T686">
        <f>IFERROR(VLOOKUP($A686,koronahun!$A:$AM,20,FALSE),"")</f>
        <v>0</v>
      </c>
      <c r="U686">
        <f>IFERROR(VLOOKUP($A686,koronahun!$A:$AM,21,FALSE),"")</f>
        <v>0</v>
      </c>
      <c r="V686" s="13">
        <f>IFERROR(VLOOKUP($A686,koronahun!$A:$AM,22,FALSE),"")</f>
        <v>0.84732824427480913</v>
      </c>
      <c r="W686">
        <f>IFERROR(VLOOKUP($A686,koronahun!$A:$AM,23,FALSE),"")</f>
        <v>0</v>
      </c>
      <c r="X686">
        <f>IFERROR(VLOOKUP($A686,koronahun!$A:$AM,24,FALSE),"")</f>
        <v>0</v>
      </c>
      <c r="Y686" s="14">
        <f>IFERROR(VLOOKUP($A686,koronahun!$A:$AM,25,FALSE),"")</f>
        <v>0</v>
      </c>
      <c r="Z686" s="14">
        <f>IFERROR(VLOOKUP($A686,koronahun!$A:$AM,26,FALSE),"")</f>
        <v>0</v>
      </c>
      <c r="AA686" s="14">
        <f>IFERROR(VLOOKUP($A686,koronahun!$A:$AM,27,FALSE),"")</f>
        <v>1.8865671641791044</v>
      </c>
      <c r="AB686" s="14">
        <f>IFERROR(VLOOKUP($A686,koronahun!$A:$AM,28,FALSE),"")</f>
        <v>1.3425931960066524</v>
      </c>
      <c r="AC686" s="14">
        <f>IFERROR(VLOOKUP($A686,koronahun!$A:$AM,29,FALSE),"")</f>
        <v>90.285714285714292</v>
      </c>
      <c r="AD686" s="14">
        <f>IFERROR(VLOOKUP($A686,koronahun!$A:$AM,30,FALSE),"")</f>
        <v>7.5714285714285712</v>
      </c>
      <c r="AE686" s="14">
        <f>IFERROR(VLOOKUP($A686,koronahun!$A:$AM,31,FALSE),"")</f>
        <v>1791</v>
      </c>
      <c r="AF686" s="13">
        <f>IFERROR(VLOOKUP($A686,koronahun!$A:$AM,32,FALSE),"")</f>
        <v>4.7028571428571427E-2</v>
      </c>
      <c r="AG686">
        <f>IFERROR(VLOOKUP($A686,koronahun!$A:$AM,33,FALSE),"")</f>
        <v>0</v>
      </c>
      <c r="AH686">
        <f>IFERROR(VLOOKUP($A686,koronahun!$A:$AM,34,FALSE),"")</f>
        <v>0</v>
      </c>
      <c r="AI686">
        <f>IFERROR(VLOOKUP($A686,koronahun!$A:$AM,35,FALSE),"")</f>
        <v>0</v>
      </c>
      <c r="AJ686">
        <f>IFERROR(VLOOKUP($A686,koronahun!$A:$AM,36,FALSE),"")</f>
        <v>0</v>
      </c>
      <c r="AK686">
        <f>IFERROR(VLOOKUP($A686,koronahun!$A:$AM,37,FALSE),"")</f>
        <v>0</v>
      </c>
      <c r="AL686">
        <f>IFERROR(VLOOKUP($A686,koronahun!$A:$AM,38,FALSE),"")</f>
        <v>0</v>
      </c>
      <c r="AM686" s="14">
        <f>IFERROR(VLOOKUP($A686,koronahun!$A:$AM,39,FALSE),"")</f>
        <v>8.1428571428571423</v>
      </c>
      <c r="AN686" s="11">
        <f ca="1">IFERROR(__xludf.DUMMYFUNCTION("""COMPUTED_VALUE"""),44578)</f>
        <v>44578</v>
      </c>
      <c r="AO686" s="12">
        <f ca="1">IFERROR(VLOOKUP(AN686,koronahun!A:B,2,FALSE),"")</f>
        <v>1348233</v>
      </c>
      <c r="AP686" s="11">
        <f t="shared" ca="1" si="4"/>
        <v>44578</v>
      </c>
      <c r="AQ686" s="11">
        <f ca="1">IFERROR(__xludf.DUMMYFUNCTION("""COMPUTED_VALUE"""),44676)</f>
        <v>44676</v>
      </c>
      <c r="AR686" s="11">
        <v>43933</v>
      </c>
      <c r="AS686" s="11">
        <f t="shared" si="5"/>
        <v>43933</v>
      </c>
      <c r="AT686" s="11">
        <f ca="1">IFERROR(__xludf.DUMMYFUNCTION("""COMPUTED_VALUE"""),43932)</f>
        <v>43932</v>
      </c>
    </row>
    <row r="687" spans="1:46" ht="13">
      <c r="A687" s="11">
        <v>43931</v>
      </c>
      <c r="B687">
        <f>IFERROR(VLOOKUP($A687,koronahun!$A:$AM,2,FALSE),"")</f>
        <v>1190</v>
      </c>
      <c r="C687">
        <f>IFERROR(VLOOKUP($A687,koronahun!$A:$AM,3,FALSE),"")</f>
        <v>210</v>
      </c>
      <c r="D687">
        <f>IFERROR(VLOOKUP($A687,koronahun!$A:$AM,4,FALSE),"")</f>
        <v>77</v>
      </c>
      <c r="E687">
        <f>IFERROR(VLOOKUP($A687,koronahun!$A:$AM,5,FALSE),"")</f>
        <v>112</v>
      </c>
      <c r="F687">
        <f>IFERROR(VLOOKUP($A687,koronahun!$A:$AM,6,FALSE),"")</f>
        <v>29948</v>
      </c>
      <c r="G687" s="12">
        <f>IFERROR(VLOOKUP($A687,koronahun!$A:$AM,7,FALSE),"")</f>
        <v>3055.9183673469383</v>
      </c>
      <c r="H687">
        <f>IFERROR(VLOOKUP($A687,koronahun!$A:$AM,8,FALSE),"")</f>
        <v>0</v>
      </c>
      <c r="I687" s="13">
        <f>IFERROR(VLOOKUP($A687,koronahun!$A:$AM,9,FALSE),"")</f>
        <v>0.21429999999999999</v>
      </c>
      <c r="J687" s="13">
        <f>IFERROR(VLOOKUP($A687,koronahun!$A:$AM,10,FALSE),"")</f>
        <v>3.9699999999999999E-2</v>
      </c>
      <c r="K687" s="13">
        <f>IFERROR(VLOOKUP($A687,koronahun!$A:$AM,11,FALSE),"")</f>
        <v>7.5999999999999998E-2</v>
      </c>
      <c r="L687">
        <f>IFERROR(VLOOKUP($A687,koronahun!$A:$AM,12,FALSE),"")</f>
        <v>1001</v>
      </c>
      <c r="M687" s="13">
        <f>IFERROR(VLOOKUP($A687,koronahun!$A:$AM,13,FALSE),"")</f>
        <v>6.4699999999999994E-2</v>
      </c>
      <c r="N687" s="13">
        <f>IFERROR(VLOOKUP($A687,koronahun!$A:$AM,14,FALSE),"")</f>
        <v>9.4100000000000003E-2</v>
      </c>
      <c r="O687">
        <f>IFERROR(VLOOKUP($A687,koronahun!$A:$AM,15,FALSE),"")</f>
        <v>16006</v>
      </c>
      <c r="P687">
        <f>IFERROR(VLOOKUP($A687,koronahun!$A:$AM,16,FALSE),"")</f>
        <v>2122</v>
      </c>
      <c r="Q687" s="13">
        <f>IFERROR(VLOOKUP($A687,koronahun!$A:$AM,17,FALSE),"")</f>
        <v>9.9000000000000005E-2</v>
      </c>
      <c r="R687">
        <f>IFERROR(VLOOKUP($A687,koronahun!$A:$AM,18,FALSE),"")</f>
        <v>11</v>
      </c>
      <c r="S687">
        <f>IFERROR(VLOOKUP($A687,koronahun!$A:$AM,19,FALSE),"")</f>
        <v>16</v>
      </c>
      <c r="T687">
        <f>IFERROR(VLOOKUP($A687,koronahun!$A:$AM,20,FALSE),"")</f>
        <v>0</v>
      </c>
      <c r="U687">
        <f>IFERROR(VLOOKUP($A687,koronahun!$A:$AM,21,FALSE),"")</f>
        <v>0</v>
      </c>
      <c r="V687" s="13">
        <f>IFERROR(VLOOKUP($A687,koronahun!$A:$AM,22,FALSE),"")</f>
        <v>0.8411764705882353</v>
      </c>
      <c r="W687">
        <f>IFERROR(VLOOKUP($A687,koronahun!$A:$AM,23,FALSE),"")</f>
        <v>0</v>
      </c>
      <c r="X687">
        <f>IFERROR(VLOOKUP($A687,koronahun!$A:$AM,24,FALSE),"")</f>
        <v>0</v>
      </c>
      <c r="Y687" s="14">
        <f>IFERROR(VLOOKUP($A687,koronahun!$A:$AM,25,FALSE),"")</f>
        <v>0</v>
      </c>
      <c r="Z687" s="14">
        <f>IFERROR(VLOOKUP($A687,koronahun!$A:$AM,26,FALSE),"")</f>
        <v>0</v>
      </c>
      <c r="AA687" s="14">
        <f>IFERROR(VLOOKUP($A687,koronahun!$A:$AM,27,FALSE),"")</f>
        <v>1.7554179566563468</v>
      </c>
      <c r="AB687" s="14">
        <f>IFERROR(VLOOKUP($A687,koronahun!$A:$AM,28,FALSE),"")</f>
        <v>1.272488363028685</v>
      </c>
      <c r="AC687" s="14">
        <f>IFERROR(VLOOKUP($A687,koronahun!$A:$AM,29,FALSE),"")</f>
        <v>81</v>
      </c>
      <c r="AD687" s="14">
        <f>IFERROR(VLOOKUP($A687,koronahun!$A:$AM,30,FALSE),"")</f>
        <v>7.2857142857142856</v>
      </c>
      <c r="AE687" s="14">
        <f>IFERROR(VLOOKUP($A687,koronahun!$A:$AM,31,FALSE),"")</f>
        <v>1739.8571428571429</v>
      </c>
      <c r="AF687" s="13">
        <f>IFERROR(VLOOKUP($A687,koronahun!$A:$AM,32,FALSE),"")</f>
        <v>4.3257142857142848E-2</v>
      </c>
      <c r="AG687">
        <f>IFERROR(VLOOKUP($A687,koronahun!$A:$AM,33,FALSE),"")</f>
        <v>0</v>
      </c>
      <c r="AH687">
        <f>IFERROR(VLOOKUP($A687,koronahun!$A:$AM,34,FALSE),"")</f>
        <v>0</v>
      </c>
      <c r="AI687">
        <f>IFERROR(VLOOKUP($A687,koronahun!$A:$AM,35,FALSE),"")</f>
        <v>0</v>
      </c>
      <c r="AJ687">
        <f>IFERROR(VLOOKUP($A687,koronahun!$A:$AM,36,FALSE),"")</f>
        <v>0</v>
      </c>
      <c r="AK687">
        <f>IFERROR(VLOOKUP($A687,koronahun!$A:$AM,37,FALSE),"")</f>
        <v>0</v>
      </c>
      <c r="AL687">
        <f>IFERROR(VLOOKUP($A687,koronahun!$A:$AM,38,FALSE),"")</f>
        <v>0</v>
      </c>
      <c r="AM687" s="14">
        <f>IFERROR(VLOOKUP($A687,koronahun!$A:$AM,39,FALSE),"")</f>
        <v>9.8571428571428577</v>
      </c>
      <c r="AN687" s="11">
        <f ca="1">IFERROR(__xludf.DUMMYFUNCTION("""COMPUTED_VALUE"""),44579)</f>
        <v>44579</v>
      </c>
      <c r="AO687" s="12">
        <f ca="1">IFERROR(VLOOKUP(AN687,koronahun!A:B,2,FALSE),"")</f>
        <v>1355084</v>
      </c>
      <c r="AP687" s="11">
        <f t="shared" ca="1" si="4"/>
        <v>44579</v>
      </c>
      <c r="AQ687" s="11">
        <f ca="1">IFERROR(__xludf.DUMMYFUNCTION("""COMPUTED_VALUE"""),44677)</f>
        <v>44677</v>
      </c>
      <c r="AR687" s="11">
        <v>43932</v>
      </c>
      <c r="AS687" s="11">
        <f t="shared" si="5"/>
        <v>43932</v>
      </c>
      <c r="AT687" s="11">
        <f ca="1">IFERROR(__xludf.DUMMYFUNCTION("""COMPUTED_VALUE"""),43931)</f>
        <v>43931</v>
      </c>
    </row>
    <row r="688" spans="1:46" ht="13">
      <c r="A688" s="11">
        <v>43930</v>
      </c>
      <c r="B688">
        <f>IFERROR(VLOOKUP($A688,koronahun!$A:$AM,2,FALSE),"")</f>
        <v>980</v>
      </c>
      <c r="C688">
        <f>IFERROR(VLOOKUP($A688,koronahun!$A:$AM,3,FALSE),"")</f>
        <v>85</v>
      </c>
      <c r="D688">
        <f>IFERROR(VLOOKUP($A688,koronahun!$A:$AM,4,FALSE),"")</f>
        <v>66</v>
      </c>
      <c r="E688">
        <f>IFERROR(VLOOKUP($A688,koronahun!$A:$AM,5,FALSE),"")</f>
        <v>96</v>
      </c>
      <c r="F688">
        <f>IFERROR(VLOOKUP($A688,koronahun!$A:$AM,6,FALSE),"")</f>
        <v>27826</v>
      </c>
      <c r="G688" s="12">
        <f>IFERROR(VLOOKUP($A688,koronahun!$A:$AM,7,FALSE),"")</f>
        <v>2839.3877551020405</v>
      </c>
      <c r="H688">
        <f>IFERROR(VLOOKUP($A688,koronahun!$A:$AM,8,FALSE),"")</f>
        <v>0</v>
      </c>
      <c r="I688" s="13">
        <f>IFERROR(VLOOKUP($A688,koronahun!$A:$AM,9,FALSE),"")</f>
        <v>9.5000000000000001E-2</v>
      </c>
      <c r="J688" s="13">
        <f>IFERROR(VLOOKUP($A688,koronahun!$A:$AM,10,FALSE),"")</f>
        <v>3.5200000000000002E-2</v>
      </c>
      <c r="K688" s="13">
        <f>IFERROR(VLOOKUP($A688,koronahun!$A:$AM,11,FALSE),"")</f>
        <v>8.1000000000000003E-2</v>
      </c>
      <c r="L688">
        <f>IFERROR(VLOOKUP($A688,koronahun!$A:$AM,12,FALSE),"")</f>
        <v>818</v>
      </c>
      <c r="M688" s="13">
        <f>IFERROR(VLOOKUP($A688,koronahun!$A:$AM,13,FALSE),"")</f>
        <v>6.7299999999999999E-2</v>
      </c>
      <c r="N688" s="13">
        <f>IFERROR(VLOOKUP($A688,koronahun!$A:$AM,14,FALSE),"")</f>
        <v>9.8000000000000004E-2</v>
      </c>
      <c r="O688">
        <f>IFERROR(VLOOKUP($A688,koronahun!$A:$AM,15,FALSE),"")</f>
        <v>16006</v>
      </c>
      <c r="P688">
        <f>IFERROR(VLOOKUP($A688,koronahun!$A:$AM,16,FALSE),"")</f>
        <v>2078</v>
      </c>
      <c r="Q688" s="13">
        <f>IFERROR(VLOOKUP($A688,koronahun!$A:$AM,17,FALSE),"")</f>
        <v>4.0899999999999999E-2</v>
      </c>
      <c r="R688">
        <f>IFERROR(VLOOKUP($A688,koronahun!$A:$AM,18,FALSE),"")</f>
        <v>8</v>
      </c>
      <c r="S688">
        <f>IFERROR(VLOOKUP($A688,koronahun!$A:$AM,19,FALSE),"")</f>
        <v>2</v>
      </c>
      <c r="T688">
        <f>IFERROR(VLOOKUP($A688,koronahun!$A:$AM,20,FALSE),"")</f>
        <v>0</v>
      </c>
      <c r="U688">
        <f>IFERROR(VLOOKUP($A688,koronahun!$A:$AM,21,FALSE),"")</f>
        <v>0</v>
      </c>
      <c r="V688" s="13">
        <f>IFERROR(VLOOKUP($A688,koronahun!$A:$AM,22,FALSE),"")</f>
        <v>0.83469387755102042</v>
      </c>
      <c r="W688">
        <f>IFERROR(VLOOKUP($A688,koronahun!$A:$AM,23,FALSE),"")</f>
        <v>0</v>
      </c>
      <c r="X688">
        <f>IFERROR(VLOOKUP($A688,koronahun!$A:$AM,24,FALSE),"")</f>
        <v>0</v>
      </c>
      <c r="Y688" s="14">
        <f>IFERROR(VLOOKUP($A688,koronahun!$A:$AM,25,FALSE),"")</f>
        <v>0</v>
      </c>
      <c r="Z688" s="14">
        <f>IFERROR(VLOOKUP($A688,koronahun!$A:$AM,26,FALSE),"")</f>
        <v>0</v>
      </c>
      <c r="AA688" s="14">
        <f>IFERROR(VLOOKUP($A688,koronahun!$A:$AM,27,FALSE),"")</f>
        <v>1.2191358024691359</v>
      </c>
      <c r="AB688" s="14">
        <f>IFERROR(VLOOKUP($A688,koronahun!$A:$AM,28,FALSE),"")</f>
        <v>1.2363323094199712</v>
      </c>
      <c r="AC688" s="14">
        <f>IFERROR(VLOOKUP($A688,koronahun!$A:$AM,29,FALSE),"")</f>
        <v>56.428571428571431</v>
      </c>
      <c r="AD688" s="14">
        <f>IFERROR(VLOOKUP($A688,koronahun!$A:$AM,30,FALSE),"")</f>
        <v>6.4285714285714288</v>
      </c>
      <c r="AE688" s="14">
        <f>IFERROR(VLOOKUP($A688,koronahun!$A:$AM,31,FALSE),"")</f>
        <v>1632.1428571428571</v>
      </c>
      <c r="AF688" s="13">
        <f>IFERROR(VLOOKUP($A688,koronahun!$A:$AM,32,FALSE),"")</f>
        <v>3.3085714285714288E-2</v>
      </c>
      <c r="AG688">
        <f>IFERROR(VLOOKUP($A688,koronahun!$A:$AM,33,FALSE),"")</f>
        <v>0</v>
      </c>
      <c r="AH688">
        <f>IFERROR(VLOOKUP($A688,koronahun!$A:$AM,34,FALSE),"")</f>
        <v>0</v>
      </c>
      <c r="AI688">
        <f>IFERROR(VLOOKUP($A688,koronahun!$A:$AM,35,FALSE),"")</f>
        <v>0</v>
      </c>
      <c r="AJ688">
        <f>IFERROR(VLOOKUP($A688,koronahun!$A:$AM,36,FALSE),"")</f>
        <v>0</v>
      </c>
      <c r="AK688">
        <f>IFERROR(VLOOKUP($A688,koronahun!$A:$AM,37,FALSE),"")</f>
        <v>0</v>
      </c>
      <c r="AL688">
        <f>IFERROR(VLOOKUP($A688,koronahun!$A:$AM,38,FALSE),"")</f>
        <v>0</v>
      </c>
      <c r="AM688" s="14">
        <f>IFERROR(VLOOKUP($A688,koronahun!$A:$AM,39,FALSE),"")</f>
        <v>7.7142857142857144</v>
      </c>
      <c r="AN688" s="11">
        <f ca="1">IFERROR(__xludf.DUMMYFUNCTION("""COMPUTED_VALUE"""),44580)</f>
        <v>44580</v>
      </c>
      <c r="AO688" s="12">
        <f ca="1">IFERROR(VLOOKUP(AN688,koronahun!A:B,2,FALSE),"")</f>
        <v>1369974</v>
      </c>
      <c r="AP688" s="11">
        <f t="shared" ca="1" si="4"/>
        <v>44580</v>
      </c>
      <c r="AQ688" s="11">
        <f ca="1">IFERROR(__xludf.DUMMYFUNCTION("""COMPUTED_VALUE"""),44678)</f>
        <v>44678</v>
      </c>
      <c r="AR688" s="11">
        <v>43931</v>
      </c>
      <c r="AS688" s="11">
        <f t="shared" si="5"/>
        <v>43931</v>
      </c>
      <c r="AT688" s="11">
        <f ca="1">IFERROR(__xludf.DUMMYFUNCTION("""COMPUTED_VALUE"""),43930)</f>
        <v>43930</v>
      </c>
    </row>
    <row r="689" spans="1:46" ht="13">
      <c r="A689" s="11">
        <v>43929</v>
      </c>
      <c r="B689">
        <f>IFERROR(VLOOKUP($A689,koronahun!$A:$AM,2,FALSE),"")</f>
        <v>895</v>
      </c>
      <c r="C689">
        <f>IFERROR(VLOOKUP($A689,koronahun!$A:$AM,3,FALSE),"")</f>
        <v>78</v>
      </c>
      <c r="D689">
        <f>IFERROR(VLOOKUP($A689,koronahun!$A:$AM,4,FALSE),"")</f>
        <v>58</v>
      </c>
      <c r="E689">
        <f>IFERROR(VLOOKUP($A689,koronahun!$A:$AM,5,FALSE),"")</f>
        <v>94</v>
      </c>
      <c r="F689">
        <f>IFERROR(VLOOKUP($A689,koronahun!$A:$AM,6,FALSE),"")</f>
        <v>25748</v>
      </c>
      <c r="G689" s="12">
        <f>IFERROR(VLOOKUP($A689,koronahun!$A:$AM,7,FALSE),"")</f>
        <v>2627.3469387755099</v>
      </c>
      <c r="H689">
        <f>IFERROR(VLOOKUP($A689,koronahun!$A:$AM,8,FALSE),"")</f>
        <v>0</v>
      </c>
      <c r="I689" s="13">
        <f>IFERROR(VLOOKUP($A689,koronahun!$A:$AM,9,FALSE),"")</f>
        <v>9.5500000000000002E-2</v>
      </c>
      <c r="J689" s="13">
        <f>IFERROR(VLOOKUP($A689,koronahun!$A:$AM,10,FALSE),"")</f>
        <v>3.4799999999999998E-2</v>
      </c>
      <c r="K689" s="13">
        <f>IFERROR(VLOOKUP($A689,koronahun!$A:$AM,11,FALSE),"")</f>
        <v>8.4000000000000005E-2</v>
      </c>
      <c r="L689">
        <f>IFERROR(VLOOKUP($A689,koronahun!$A:$AM,12,FALSE),"")</f>
        <v>743</v>
      </c>
      <c r="M689" s="13">
        <f>IFERROR(VLOOKUP($A689,koronahun!$A:$AM,13,FALSE),"")</f>
        <v>6.4799999999999996E-2</v>
      </c>
      <c r="N689" s="13">
        <f>IFERROR(VLOOKUP($A689,koronahun!$A:$AM,14,FALSE),"")</f>
        <v>0.105</v>
      </c>
      <c r="O689">
        <f>IFERROR(VLOOKUP($A689,koronahun!$A:$AM,15,FALSE),"")</f>
        <v>15481</v>
      </c>
      <c r="P689">
        <f>IFERROR(VLOOKUP($A689,koronahun!$A:$AM,16,FALSE),"")</f>
        <v>2002</v>
      </c>
      <c r="Q689" s="13">
        <f>IFERROR(VLOOKUP($A689,koronahun!$A:$AM,17,FALSE),"")</f>
        <v>3.9E-2</v>
      </c>
      <c r="R689">
        <f>IFERROR(VLOOKUP($A689,koronahun!$A:$AM,18,FALSE),"")</f>
        <v>11</v>
      </c>
      <c r="S689">
        <f>IFERROR(VLOOKUP($A689,koronahun!$A:$AM,19,FALSE),"")</f>
        <v>23</v>
      </c>
      <c r="T689">
        <f>IFERROR(VLOOKUP($A689,koronahun!$A:$AM,20,FALSE),"")</f>
        <v>0</v>
      </c>
      <c r="U689">
        <f>IFERROR(VLOOKUP($A689,koronahun!$A:$AM,21,FALSE),"")</f>
        <v>0</v>
      </c>
      <c r="V689" s="13">
        <f>IFERROR(VLOOKUP($A689,koronahun!$A:$AM,22,FALSE),"")</f>
        <v>0.83016759776536309</v>
      </c>
      <c r="W689">
        <f>IFERROR(VLOOKUP($A689,koronahun!$A:$AM,23,FALSE),"")</f>
        <v>0</v>
      </c>
      <c r="X689">
        <f>IFERROR(VLOOKUP($A689,koronahun!$A:$AM,24,FALSE),"")</f>
        <v>0</v>
      </c>
      <c r="Y689" s="14">
        <f>IFERROR(VLOOKUP($A689,koronahun!$A:$AM,25,FALSE),"")</f>
        <v>0</v>
      </c>
      <c r="Z689" s="14">
        <f>IFERROR(VLOOKUP($A689,koronahun!$A:$AM,26,FALSE),"")</f>
        <v>0</v>
      </c>
      <c r="AA689" s="14">
        <f>IFERROR(VLOOKUP($A689,koronahun!$A:$AM,27,FALSE),"")</f>
        <v>1.2374581939799332</v>
      </c>
      <c r="AB689" s="14">
        <f>IFERROR(VLOOKUP($A689,koronahun!$A:$AM,28,FALSE),"")</f>
        <v>1.3083706598271156</v>
      </c>
      <c r="AC689" s="14">
        <f>IFERROR(VLOOKUP($A689,koronahun!$A:$AM,29,FALSE),"")</f>
        <v>52.857142857142854</v>
      </c>
      <c r="AD689" s="14">
        <f>IFERROR(VLOOKUP($A689,koronahun!$A:$AM,30,FALSE),"")</f>
        <v>5.4285714285714288</v>
      </c>
      <c r="AE689" s="14">
        <f>IFERROR(VLOOKUP($A689,koronahun!$A:$AM,31,FALSE),"")</f>
        <v>1505.7142857142858</v>
      </c>
      <c r="AF689" s="13">
        <f>IFERROR(VLOOKUP($A689,koronahun!$A:$AM,32,FALSE),"")</f>
        <v>3.4428571428571426E-2</v>
      </c>
      <c r="AG689">
        <f>IFERROR(VLOOKUP($A689,koronahun!$A:$AM,33,FALSE),"")</f>
        <v>0</v>
      </c>
      <c r="AH689">
        <f>IFERROR(VLOOKUP($A689,koronahun!$A:$AM,34,FALSE),"")</f>
        <v>0</v>
      </c>
      <c r="AI689">
        <f>IFERROR(VLOOKUP($A689,koronahun!$A:$AM,35,FALSE),"")</f>
        <v>0</v>
      </c>
      <c r="AJ689">
        <f>IFERROR(VLOOKUP($A689,koronahun!$A:$AM,36,FALSE),"")</f>
        <v>0</v>
      </c>
      <c r="AK689">
        <f>IFERROR(VLOOKUP($A689,koronahun!$A:$AM,37,FALSE),"")</f>
        <v>0</v>
      </c>
      <c r="AL689">
        <f>IFERROR(VLOOKUP($A689,koronahun!$A:$AM,38,FALSE),"")</f>
        <v>0</v>
      </c>
      <c r="AM689" s="14">
        <f>IFERROR(VLOOKUP($A689,koronahun!$A:$AM,39,FALSE),"")</f>
        <v>7.7142857142857144</v>
      </c>
      <c r="AN689" s="11">
        <f ca="1">IFERROR(__xludf.DUMMYFUNCTION("""COMPUTED_VALUE"""),44581)</f>
        <v>44581</v>
      </c>
      <c r="AO689" s="12">
        <f ca="1">IFERROR(VLOOKUP(AN689,koronahun!A:B,2,FALSE),"")</f>
        <v>1385500</v>
      </c>
      <c r="AP689" s="11">
        <f t="shared" ca="1" si="4"/>
        <v>44581</v>
      </c>
      <c r="AQ689" s="11">
        <f ca="1">IFERROR(__xludf.DUMMYFUNCTION("""COMPUTED_VALUE"""),44679)</f>
        <v>44679</v>
      </c>
      <c r="AR689" s="11">
        <v>43930</v>
      </c>
      <c r="AS689" s="11">
        <f t="shared" si="5"/>
        <v>43930</v>
      </c>
      <c r="AT689" s="11">
        <f ca="1">IFERROR(__xludf.DUMMYFUNCTION("""COMPUTED_VALUE"""),43929)</f>
        <v>43929</v>
      </c>
    </row>
    <row r="690" spans="1:46" ht="13">
      <c r="A690" s="11">
        <v>43928</v>
      </c>
      <c r="B690">
        <f>IFERROR(VLOOKUP($A690,koronahun!$A:$AM,2,FALSE),"")</f>
        <v>817</v>
      </c>
      <c r="C690">
        <f>IFERROR(VLOOKUP($A690,koronahun!$A:$AM,3,FALSE),"")</f>
        <v>73</v>
      </c>
      <c r="D690">
        <f>IFERROR(VLOOKUP($A690,koronahun!$A:$AM,4,FALSE),"")</f>
        <v>47</v>
      </c>
      <c r="E690">
        <f>IFERROR(VLOOKUP($A690,koronahun!$A:$AM,5,FALSE),"")</f>
        <v>71</v>
      </c>
      <c r="F690">
        <f>IFERROR(VLOOKUP($A690,koronahun!$A:$AM,6,FALSE),"")</f>
        <v>23746</v>
      </c>
      <c r="G690" s="12">
        <f>IFERROR(VLOOKUP($A690,koronahun!$A:$AM,7,FALSE),"")</f>
        <v>2423.0612244897957</v>
      </c>
      <c r="H690">
        <f>IFERROR(VLOOKUP($A690,koronahun!$A:$AM,8,FALSE),"")</f>
        <v>0</v>
      </c>
      <c r="I690" s="13">
        <f>IFERROR(VLOOKUP($A690,koronahun!$A:$AM,9,FALSE),"")</f>
        <v>9.8100000000000007E-2</v>
      </c>
      <c r="J690" s="13">
        <f>IFERROR(VLOOKUP($A690,koronahun!$A:$AM,10,FALSE),"")</f>
        <v>3.44E-2</v>
      </c>
      <c r="K690" s="13">
        <f>IFERROR(VLOOKUP($A690,koronahun!$A:$AM,11,FALSE),"")</f>
        <v>6.6000000000000003E-2</v>
      </c>
      <c r="L690">
        <f>IFERROR(VLOOKUP($A690,koronahun!$A:$AM,12,FALSE),"")</f>
        <v>699</v>
      </c>
      <c r="M690" s="13">
        <f>IFERROR(VLOOKUP($A690,koronahun!$A:$AM,13,FALSE),"")</f>
        <v>5.7500000000000002E-2</v>
      </c>
      <c r="N690" s="13">
        <f>IFERROR(VLOOKUP($A690,koronahun!$A:$AM,14,FALSE),"")</f>
        <v>8.6900000000000005E-2</v>
      </c>
      <c r="O690">
        <f>IFERROR(VLOOKUP($A690,koronahun!$A:$AM,15,FALSE),"")</f>
        <v>14997</v>
      </c>
      <c r="P690">
        <f>IFERROR(VLOOKUP($A690,koronahun!$A:$AM,16,FALSE),"")</f>
        <v>1464</v>
      </c>
      <c r="Q690" s="13">
        <f>IFERROR(VLOOKUP($A690,koronahun!$A:$AM,17,FALSE),"")</f>
        <v>4.99E-2</v>
      </c>
      <c r="R690">
        <f>IFERROR(VLOOKUP($A690,koronahun!$A:$AM,18,FALSE),"")</f>
        <v>9</v>
      </c>
      <c r="S690">
        <f>IFERROR(VLOOKUP($A690,koronahun!$A:$AM,19,FALSE),"")</f>
        <v>4</v>
      </c>
      <c r="T690">
        <f>IFERROR(VLOOKUP($A690,koronahun!$A:$AM,20,FALSE),"")</f>
        <v>0</v>
      </c>
      <c r="U690">
        <f>IFERROR(VLOOKUP($A690,koronahun!$A:$AM,21,FALSE),"")</f>
        <v>0</v>
      </c>
      <c r="V690" s="13">
        <f>IFERROR(VLOOKUP($A690,koronahun!$A:$AM,22,FALSE),"")</f>
        <v>0.85556915544675638</v>
      </c>
      <c r="W690">
        <f>IFERROR(VLOOKUP($A690,koronahun!$A:$AM,23,FALSE),"")</f>
        <v>0</v>
      </c>
      <c r="X690">
        <f>IFERROR(VLOOKUP($A690,koronahun!$A:$AM,24,FALSE),"")</f>
        <v>0</v>
      </c>
      <c r="Y690" s="14">
        <f>IFERROR(VLOOKUP($A690,koronahun!$A:$AM,25,FALSE),"")</f>
        <v>0</v>
      </c>
      <c r="Z690" s="14">
        <f>IFERROR(VLOOKUP($A690,koronahun!$A:$AM,26,FALSE),"")</f>
        <v>0</v>
      </c>
      <c r="AA690" s="14">
        <f>IFERROR(VLOOKUP($A690,koronahun!$A:$AM,27,FALSE),"")</f>
        <v>1.0655737704918034</v>
      </c>
      <c r="AB690" s="14">
        <f>IFERROR(VLOOKUP($A690,koronahun!$A:$AM,28,FALSE),"")</f>
        <v>1.3858426185102546</v>
      </c>
      <c r="AC690" s="14">
        <f>IFERROR(VLOOKUP($A690,koronahun!$A:$AM,29,FALSE),"")</f>
        <v>46.428571428571431</v>
      </c>
      <c r="AD690" s="14">
        <f>IFERROR(VLOOKUP($A690,koronahun!$A:$AM,30,FALSE),"")</f>
        <v>4.4285714285714288</v>
      </c>
      <c r="AE690" s="14">
        <f>IFERROR(VLOOKUP($A690,koronahun!$A:$AM,31,FALSE),"")</f>
        <v>1371.4285714285713</v>
      </c>
      <c r="AF690" s="13">
        <f>IFERROR(VLOOKUP($A690,koronahun!$A:$AM,32,FALSE),"")</f>
        <v>3.3299999999999996E-2</v>
      </c>
      <c r="AG690">
        <f>IFERROR(VLOOKUP($A690,koronahun!$A:$AM,33,FALSE),"")</f>
        <v>0</v>
      </c>
      <c r="AH690">
        <f>IFERROR(VLOOKUP($A690,koronahun!$A:$AM,34,FALSE),"")</f>
        <v>0</v>
      </c>
      <c r="AI690">
        <f>IFERROR(VLOOKUP($A690,koronahun!$A:$AM,35,FALSE),"")</f>
        <v>0</v>
      </c>
      <c r="AJ690">
        <f>IFERROR(VLOOKUP($A690,koronahun!$A:$AM,36,FALSE),"")</f>
        <v>0</v>
      </c>
      <c r="AK690">
        <f>IFERROR(VLOOKUP($A690,koronahun!$A:$AM,37,FALSE),"")</f>
        <v>0</v>
      </c>
      <c r="AL690">
        <f>IFERROR(VLOOKUP($A690,koronahun!$A:$AM,38,FALSE),"")</f>
        <v>0</v>
      </c>
      <c r="AM690" s="14">
        <f>IFERROR(VLOOKUP($A690,koronahun!$A:$AM,39,FALSE),"")</f>
        <v>4.8571428571428568</v>
      </c>
      <c r="AN690" s="11">
        <f ca="1">IFERROR(__xludf.DUMMYFUNCTION("""COMPUTED_VALUE"""),44582)</f>
        <v>44582</v>
      </c>
      <c r="AO690" s="12">
        <f ca="1">IFERROR(VLOOKUP(AN690,koronahun!A:B,2,FALSE),"")</f>
        <v>1401457</v>
      </c>
      <c r="AP690" s="11">
        <f t="shared" ca="1" si="4"/>
        <v>44582</v>
      </c>
      <c r="AQ690" s="11">
        <f ca="1">IFERROR(__xludf.DUMMYFUNCTION("""COMPUTED_VALUE"""),44680)</f>
        <v>44680</v>
      </c>
      <c r="AR690" s="11">
        <v>43929</v>
      </c>
      <c r="AS690" s="11">
        <f t="shared" si="5"/>
        <v>43929</v>
      </c>
      <c r="AT690" s="11">
        <f ca="1">IFERROR(__xludf.DUMMYFUNCTION("""COMPUTED_VALUE"""),43928)</f>
        <v>43928</v>
      </c>
    </row>
    <row r="691" spans="1:46" ht="13">
      <c r="A691" s="11">
        <v>43927</v>
      </c>
      <c r="B691">
        <f>IFERROR(VLOOKUP($A691,koronahun!$A:$AM,2,FALSE),"")</f>
        <v>744</v>
      </c>
      <c r="C691">
        <f>IFERROR(VLOOKUP($A691,koronahun!$A:$AM,3,FALSE),"")</f>
        <v>11</v>
      </c>
      <c r="D691">
        <f>IFERROR(VLOOKUP($A691,koronahun!$A:$AM,4,FALSE),"")</f>
        <v>38</v>
      </c>
      <c r="E691">
        <f>IFERROR(VLOOKUP($A691,koronahun!$A:$AM,5,FALSE),"")</f>
        <v>67</v>
      </c>
      <c r="F691">
        <f>IFERROR(VLOOKUP($A691,koronahun!$A:$AM,6,FALSE),"")</f>
        <v>22282</v>
      </c>
      <c r="G691" s="12">
        <f>IFERROR(VLOOKUP($A691,koronahun!$A:$AM,7,FALSE),"")</f>
        <v>2273.6734693877547</v>
      </c>
      <c r="H691">
        <f>IFERROR(VLOOKUP($A691,koronahun!$A:$AM,8,FALSE),"")</f>
        <v>0</v>
      </c>
      <c r="I691" s="13">
        <f>IFERROR(VLOOKUP($A691,koronahun!$A:$AM,9,FALSE),"")</f>
        <v>1.4999999999999999E-2</v>
      </c>
      <c r="J691" s="13">
        <f>IFERROR(VLOOKUP($A691,koronahun!$A:$AM,10,FALSE),"")</f>
        <v>3.3399999999999999E-2</v>
      </c>
      <c r="K691" s="13">
        <f>IFERROR(VLOOKUP($A691,koronahun!$A:$AM,11,FALSE),"")</f>
        <v>4.9000000000000002E-2</v>
      </c>
      <c r="L691">
        <f>IFERROR(VLOOKUP($A691,koronahun!$A:$AM,12,FALSE),"")</f>
        <v>639</v>
      </c>
      <c r="M691" s="13">
        <f>IFERROR(VLOOKUP($A691,koronahun!$A:$AM,13,FALSE),"")</f>
        <v>5.11E-2</v>
      </c>
      <c r="N691" s="13">
        <f>IFERROR(VLOOKUP($A691,koronahun!$A:$AM,14,FALSE),"")</f>
        <v>9.01E-2</v>
      </c>
      <c r="O691">
        <f>IFERROR(VLOOKUP($A691,koronahun!$A:$AM,15,FALSE),"")</f>
        <v>14345</v>
      </c>
      <c r="P691">
        <f>IFERROR(VLOOKUP($A691,koronahun!$A:$AM,16,FALSE),"")</f>
        <v>1032</v>
      </c>
      <c r="Q691" s="13">
        <f>IFERROR(VLOOKUP($A691,koronahun!$A:$AM,17,FALSE),"")</f>
        <v>1.0699999999999999E-2</v>
      </c>
      <c r="R691">
        <f>IFERROR(VLOOKUP($A691,koronahun!$A:$AM,18,FALSE),"")</f>
        <v>4</v>
      </c>
      <c r="S691">
        <f>IFERROR(VLOOKUP($A691,koronahun!$A:$AM,19,FALSE),"")</f>
        <v>1</v>
      </c>
      <c r="T691">
        <f>IFERROR(VLOOKUP($A691,koronahun!$A:$AM,20,FALSE),"")</f>
        <v>0</v>
      </c>
      <c r="U691">
        <f>IFERROR(VLOOKUP($A691,koronahun!$A:$AM,21,FALSE),"")</f>
        <v>0</v>
      </c>
      <c r="V691" s="13">
        <f>IFERROR(VLOOKUP($A691,koronahun!$A:$AM,22,FALSE),"")</f>
        <v>0.8588709677419355</v>
      </c>
      <c r="W691">
        <f>IFERROR(VLOOKUP($A691,koronahun!$A:$AM,23,FALSE),"")</f>
        <v>0</v>
      </c>
      <c r="X691">
        <f>IFERROR(VLOOKUP($A691,koronahun!$A:$AM,24,FALSE),"")</f>
        <v>0</v>
      </c>
      <c r="Y691" s="14">
        <f>IFERROR(VLOOKUP($A691,koronahun!$A:$AM,25,FALSE),"")</f>
        <v>0</v>
      </c>
      <c r="Z691" s="14">
        <f>IFERROR(VLOOKUP($A691,koronahun!$A:$AM,26,FALSE),"")</f>
        <v>0</v>
      </c>
      <c r="AA691" s="14">
        <f>IFERROR(VLOOKUP($A691,koronahun!$A:$AM,27,FALSE),"")</f>
        <v>1.0607142857142857</v>
      </c>
      <c r="AB691" s="14">
        <f>IFERROR(VLOOKUP($A691,koronahun!$A:$AM,28,FALSE),"")</f>
        <v>1.5516574187632504</v>
      </c>
      <c r="AC691" s="14">
        <f>IFERROR(VLOOKUP($A691,koronahun!$A:$AM,29,FALSE),"")</f>
        <v>42.428571428571431</v>
      </c>
      <c r="AD691" s="14">
        <f>IFERROR(VLOOKUP($A691,koronahun!$A:$AM,30,FALSE),"")</f>
        <v>3.4285714285714284</v>
      </c>
      <c r="AE691" s="14">
        <f>IFERROR(VLOOKUP($A691,koronahun!$A:$AM,31,FALSE),"")</f>
        <v>1283</v>
      </c>
      <c r="AF691" s="13">
        <f>IFERROR(VLOOKUP($A691,koronahun!$A:$AM,32,FALSE),"")</f>
        <v>3.378571428571428E-2</v>
      </c>
      <c r="AG691">
        <f>IFERROR(VLOOKUP($A691,koronahun!$A:$AM,33,FALSE),"")</f>
        <v>0</v>
      </c>
      <c r="AH691">
        <f>IFERROR(VLOOKUP($A691,koronahun!$A:$AM,34,FALSE),"")</f>
        <v>0</v>
      </c>
      <c r="AI691">
        <f>IFERROR(VLOOKUP($A691,koronahun!$A:$AM,35,FALSE),"")</f>
        <v>0</v>
      </c>
      <c r="AJ691">
        <f>IFERROR(VLOOKUP($A691,koronahun!$A:$AM,36,FALSE),"")</f>
        <v>0</v>
      </c>
      <c r="AK691">
        <f>IFERROR(VLOOKUP($A691,koronahun!$A:$AM,37,FALSE),"")</f>
        <v>0</v>
      </c>
      <c r="AL691">
        <f>IFERROR(VLOOKUP($A691,koronahun!$A:$AM,38,FALSE),"")</f>
        <v>0</v>
      </c>
      <c r="AM691" s="14">
        <f>IFERROR(VLOOKUP($A691,koronahun!$A:$AM,39,FALSE),"")</f>
        <v>4.7142857142857144</v>
      </c>
      <c r="AN691" s="11">
        <f ca="1">IFERROR(__xludf.DUMMYFUNCTION("""COMPUTED_VALUE"""),44583)</f>
        <v>44583</v>
      </c>
      <c r="AO691" s="12">
        <f ca="1">IFERROR(VLOOKUP(AN691,koronahun!A:B,2,FALSE),"")</f>
        <v>0</v>
      </c>
      <c r="AP691" s="11">
        <f t="shared" ca="1" si="4"/>
        <v>44583</v>
      </c>
      <c r="AQ691" s="11">
        <f ca="1">IFERROR(__xludf.DUMMYFUNCTION("""COMPUTED_VALUE"""),44683)</f>
        <v>44683</v>
      </c>
      <c r="AR691" s="11">
        <v>43928</v>
      </c>
      <c r="AS691" s="11">
        <f t="shared" si="5"/>
        <v>43928</v>
      </c>
      <c r="AT691" s="11">
        <f ca="1">IFERROR(__xludf.DUMMYFUNCTION("""COMPUTED_VALUE"""),43927)</f>
        <v>43927</v>
      </c>
    </row>
    <row r="692" spans="1:46" ht="13">
      <c r="A692" s="11">
        <v>43926</v>
      </c>
      <c r="B692">
        <f>IFERROR(VLOOKUP($A692,koronahun!$A:$AM,2,FALSE),"")</f>
        <v>733</v>
      </c>
      <c r="C692">
        <f>IFERROR(VLOOKUP($A692,koronahun!$A:$AM,3,FALSE),"")</f>
        <v>55</v>
      </c>
      <c r="D692">
        <f>IFERROR(VLOOKUP($A692,koronahun!$A:$AM,4,FALSE),"")</f>
        <v>34</v>
      </c>
      <c r="E692">
        <f>IFERROR(VLOOKUP($A692,koronahun!$A:$AM,5,FALSE),"")</f>
        <v>66</v>
      </c>
      <c r="F692">
        <f>IFERROR(VLOOKUP($A692,koronahun!$A:$AM,6,FALSE),"")</f>
        <v>21250</v>
      </c>
      <c r="G692" s="12">
        <f>IFERROR(VLOOKUP($A692,koronahun!$A:$AM,7,FALSE),"")</f>
        <v>2168.3673469387754</v>
      </c>
      <c r="H692">
        <f>IFERROR(VLOOKUP($A692,koronahun!$A:$AM,8,FALSE),"")</f>
        <v>0</v>
      </c>
      <c r="I692" s="13">
        <f>IFERROR(VLOOKUP($A692,koronahun!$A:$AM,9,FALSE),"")</f>
        <v>8.1100000000000005E-2</v>
      </c>
      <c r="J692" s="13">
        <f>IFERROR(VLOOKUP($A692,koronahun!$A:$AM,10,FALSE),"")</f>
        <v>3.4500000000000003E-2</v>
      </c>
      <c r="K692" s="13">
        <f>IFERROR(VLOOKUP($A692,koronahun!$A:$AM,11,FALSE),"")</f>
        <v>9.4E-2</v>
      </c>
      <c r="L692">
        <f>IFERROR(VLOOKUP($A692,koronahun!$A:$AM,12,FALSE),"")</f>
        <v>633</v>
      </c>
      <c r="M692" s="13">
        <f>IFERROR(VLOOKUP($A692,koronahun!$A:$AM,13,FALSE),"")</f>
        <v>4.6399999999999997E-2</v>
      </c>
      <c r="N692" s="13">
        <f>IFERROR(VLOOKUP($A692,koronahun!$A:$AM,14,FALSE),"")</f>
        <v>0.09</v>
      </c>
      <c r="O692">
        <f>IFERROR(VLOOKUP($A692,koronahun!$A:$AM,15,FALSE),"")</f>
        <v>13435</v>
      </c>
      <c r="P692">
        <f>IFERROR(VLOOKUP($A692,koronahun!$A:$AM,16,FALSE),"")</f>
        <v>1826</v>
      </c>
      <c r="Q692" s="13">
        <f>IFERROR(VLOOKUP($A692,koronahun!$A:$AM,17,FALSE),"")</f>
        <v>3.0099999999999998E-2</v>
      </c>
      <c r="R692">
        <f>IFERROR(VLOOKUP($A692,koronahun!$A:$AM,18,FALSE),"")</f>
        <v>2</v>
      </c>
      <c r="S692">
        <f>IFERROR(VLOOKUP($A692,koronahun!$A:$AM,19,FALSE),"")</f>
        <v>8</v>
      </c>
      <c r="T692">
        <f>IFERROR(VLOOKUP($A692,koronahun!$A:$AM,20,FALSE),"")</f>
        <v>0</v>
      </c>
      <c r="U692">
        <f>IFERROR(VLOOKUP($A692,koronahun!$A:$AM,21,FALSE),"")</f>
        <v>0</v>
      </c>
      <c r="V692" s="13">
        <f>IFERROR(VLOOKUP($A692,koronahun!$A:$AM,22,FALSE),"")</f>
        <v>0.86357435197817189</v>
      </c>
      <c r="W692">
        <f>IFERROR(VLOOKUP($A692,koronahun!$A:$AM,23,FALSE),"")</f>
        <v>0</v>
      </c>
      <c r="X692">
        <f>IFERROR(VLOOKUP($A692,koronahun!$A:$AM,24,FALSE),"")</f>
        <v>0</v>
      </c>
      <c r="Y692" s="14">
        <f>IFERROR(VLOOKUP($A692,koronahun!$A:$AM,25,FALSE),"")</f>
        <v>0</v>
      </c>
      <c r="Z692" s="14">
        <f>IFERROR(VLOOKUP($A692,koronahun!$A:$AM,26,FALSE),"")</f>
        <v>0</v>
      </c>
      <c r="AA692" s="14">
        <f>IFERROR(VLOOKUP($A692,koronahun!$A:$AM,27,FALSE),"")</f>
        <v>1.1732851985559567</v>
      </c>
      <c r="AB692" s="14">
        <f>IFERROR(VLOOKUP($A692,koronahun!$A:$AM,28,FALSE),"")</f>
        <v>1.7126268065183525</v>
      </c>
      <c r="AC692" s="14">
        <f>IFERROR(VLOOKUP($A692,koronahun!$A:$AM,29,FALSE),"")</f>
        <v>46.428571428571431</v>
      </c>
      <c r="AD692" s="14">
        <f>IFERROR(VLOOKUP($A692,koronahun!$A:$AM,30,FALSE),"")</f>
        <v>3.1428571428571428</v>
      </c>
      <c r="AE692" s="14">
        <f>IFERROR(VLOOKUP($A692,koronahun!$A:$AM,31,FALSE),"")</f>
        <v>1300.2857142857142</v>
      </c>
      <c r="AF692" s="13">
        <f>IFERROR(VLOOKUP($A692,koronahun!$A:$AM,32,FALSE),"")</f>
        <v>3.7085714285714284E-2</v>
      </c>
      <c r="AG692">
        <f>IFERROR(VLOOKUP($A692,koronahun!$A:$AM,33,FALSE),"")</f>
        <v>0</v>
      </c>
      <c r="AH692">
        <f>IFERROR(VLOOKUP($A692,koronahun!$A:$AM,34,FALSE),"")</f>
        <v>0</v>
      </c>
      <c r="AI692">
        <f>IFERROR(VLOOKUP($A692,koronahun!$A:$AM,35,FALSE),"")</f>
        <v>0</v>
      </c>
      <c r="AJ692">
        <f>IFERROR(VLOOKUP($A692,koronahun!$A:$AM,36,FALSE),"")</f>
        <v>0</v>
      </c>
      <c r="AK692">
        <f>IFERROR(VLOOKUP($A692,koronahun!$A:$AM,37,FALSE),"")</f>
        <v>0</v>
      </c>
      <c r="AL692">
        <f>IFERROR(VLOOKUP($A692,koronahun!$A:$AM,38,FALSE),"")</f>
        <v>0</v>
      </c>
      <c r="AM692" s="14">
        <f>IFERROR(VLOOKUP($A692,koronahun!$A:$AM,39,FALSE),"")</f>
        <v>4.5714285714285712</v>
      </c>
      <c r="AN692" s="11">
        <f ca="1">IFERROR(__xludf.DUMMYFUNCTION("""COMPUTED_VALUE"""),44584)</f>
        <v>44584</v>
      </c>
      <c r="AO692" s="12">
        <f ca="1">IFERROR(VLOOKUP(AN692,koronahun!A:B,2,FALSE),"")</f>
        <v>0</v>
      </c>
      <c r="AP692" s="11">
        <f t="shared" ca="1" si="4"/>
        <v>44584</v>
      </c>
      <c r="AQ692" s="11">
        <f ca="1">IFERROR(__xludf.DUMMYFUNCTION("""COMPUTED_VALUE"""),44692)</f>
        <v>44692</v>
      </c>
      <c r="AR692" s="11">
        <v>43927</v>
      </c>
      <c r="AS692" s="11">
        <f t="shared" si="5"/>
        <v>43927</v>
      </c>
      <c r="AT692" s="11">
        <f ca="1">IFERROR(__xludf.DUMMYFUNCTION("""COMPUTED_VALUE"""),43926)</f>
        <v>43926</v>
      </c>
    </row>
    <row r="693" spans="1:46" ht="13">
      <c r="A693" s="11">
        <v>43925</v>
      </c>
      <c r="B693">
        <f>IFERROR(VLOOKUP($A693,koronahun!$A:$AM,2,FALSE),"")</f>
        <v>678</v>
      </c>
      <c r="C693">
        <f>IFERROR(VLOOKUP($A693,koronahun!$A:$AM,3,FALSE),"")</f>
        <v>55</v>
      </c>
      <c r="D693">
        <f>IFERROR(VLOOKUP($A693,koronahun!$A:$AM,4,FALSE),"")</f>
        <v>32</v>
      </c>
      <c r="E693">
        <f>IFERROR(VLOOKUP($A693,koronahun!$A:$AM,5,FALSE),"")</f>
        <v>58</v>
      </c>
      <c r="F693">
        <f>IFERROR(VLOOKUP($A693,koronahun!$A:$AM,6,FALSE),"")</f>
        <v>19424</v>
      </c>
      <c r="G693" s="12">
        <f>IFERROR(VLOOKUP($A693,koronahun!$A:$AM,7,FALSE),"")</f>
        <v>1982.0408163265304</v>
      </c>
      <c r="H693">
        <f>IFERROR(VLOOKUP($A693,koronahun!$A:$AM,8,FALSE),"")</f>
        <v>0</v>
      </c>
      <c r="I693" s="13">
        <f>IFERROR(VLOOKUP($A693,koronahun!$A:$AM,9,FALSE),"")</f>
        <v>8.8300000000000003E-2</v>
      </c>
      <c r="J693" s="13">
        <f>IFERROR(VLOOKUP($A693,koronahun!$A:$AM,10,FALSE),"")</f>
        <v>3.49E-2</v>
      </c>
      <c r="K693" s="13">
        <f>IFERROR(VLOOKUP($A693,koronahun!$A:$AM,11,FALSE),"")</f>
        <v>9.2999999999999999E-2</v>
      </c>
      <c r="L693">
        <f>IFERROR(VLOOKUP($A693,koronahun!$A:$AM,12,FALSE),"")</f>
        <v>588</v>
      </c>
      <c r="M693" s="13">
        <f>IFERROR(VLOOKUP($A693,koronahun!$A:$AM,13,FALSE),"")</f>
        <v>4.7199999999999999E-2</v>
      </c>
      <c r="N693" s="13">
        <f>IFERROR(VLOOKUP($A693,koronahun!$A:$AM,14,FALSE),"")</f>
        <v>8.5500000000000007E-2</v>
      </c>
      <c r="O693">
        <f>IFERROR(VLOOKUP($A693,koronahun!$A:$AM,15,FALSE),"")</f>
        <v>12492</v>
      </c>
      <c r="P693">
        <f>IFERROR(VLOOKUP($A693,koronahun!$A:$AM,16,FALSE),"")</f>
        <v>1655</v>
      </c>
      <c r="Q693" s="13">
        <f>IFERROR(VLOOKUP($A693,koronahun!$A:$AM,17,FALSE),"")</f>
        <v>3.32E-2</v>
      </c>
      <c r="R693">
        <f>IFERROR(VLOOKUP($A693,koronahun!$A:$AM,18,FALSE),"")</f>
        <v>6</v>
      </c>
      <c r="S693">
        <f>IFERROR(VLOOKUP($A693,koronahun!$A:$AM,19,FALSE),"")</f>
        <v>15</v>
      </c>
      <c r="T693">
        <f>IFERROR(VLOOKUP($A693,koronahun!$A:$AM,20,FALSE),"")</f>
        <v>0</v>
      </c>
      <c r="U693">
        <f>IFERROR(VLOOKUP($A693,koronahun!$A:$AM,21,FALSE),"")</f>
        <v>0</v>
      </c>
      <c r="V693" s="13">
        <f>IFERROR(VLOOKUP($A693,koronahun!$A:$AM,22,FALSE),"")</f>
        <v>0.86725663716814161</v>
      </c>
      <c r="W693">
        <f>IFERROR(VLOOKUP($A693,koronahun!$A:$AM,23,FALSE),"")</f>
        <v>0</v>
      </c>
      <c r="X693">
        <f>IFERROR(VLOOKUP($A693,koronahun!$A:$AM,24,FALSE),"")</f>
        <v>0</v>
      </c>
      <c r="Y693" s="14">
        <f>IFERROR(VLOOKUP($A693,koronahun!$A:$AM,25,FALSE),"")</f>
        <v>0</v>
      </c>
      <c r="Z693" s="14">
        <f>IFERROR(VLOOKUP($A693,koronahun!$A:$AM,26,FALSE),"")</f>
        <v>0</v>
      </c>
      <c r="AA693" s="14">
        <f>IFERROR(VLOOKUP($A693,koronahun!$A:$AM,27,FALSE),"")</f>
        <v>1.3958333333333333</v>
      </c>
      <c r="AB693" s="14">
        <f>IFERROR(VLOOKUP($A693,koronahun!$A:$AM,28,FALSE),"")</f>
        <v>1.9447260350074724</v>
      </c>
      <c r="AC693" s="14">
        <f>IFERROR(VLOOKUP($A693,koronahun!$A:$AM,29,FALSE),"")</f>
        <v>47.857142857142854</v>
      </c>
      <c r="AD693" s="14">
        <f>IFERROR(VLOOKUP($A693,koronahun!$A:$AM,30,FALSE),"")</f>
        <v>3.1428571428571428</v>
      </c>
      <c r="AE693" s="14">
        <f>IFERROR(VLOOKUP($A693,koronahun!$A:$AM,31,FALSE),"")</f>
        <v>1303</v>
      </c>
      <c r="AF693" s="13">
        <f>IFERROR(VLOOKUP($A693,koronahun!$A:$AM,32,FALSE),"")</f>
        <v>3.781428571428571E-2</v>
      </c>
      <c r="AG693">
        <f>IFERROR(VLOOKUP($A693,koronahun!$A:$AM,33,FALSE),"")</f>
        <v>0</v>
      </c>
      <c r="AH693">
        <f>IFERROR(VLOOKUP($A693,koronahun!$A:$AM,34,FALSE),"")</f>
        <v>0</v>
      </c>
      <c r="AI693">
        <f>IFERROR(VLOOKUP($A693,koronahun!$A:$AM,35,FALSE),"")</f>
        <v>0</v>
      </c>
      <c r="AJ693">
        <f>IFERROR(VLOOKUP($A693,koronahun!$A:$AM,36,FALSE),"")</f>
        <v>0</v>
      </c>
      <c r="AK693">
        <f>IFERROR(VLOOKUP($A693,koronahun!$A:$AM,37,FALSE),"")</f>
        <v>0</v>
      </c>
      <c r="AL693">
        <f>IFERROR(VLOOKUP($A693,koronahun!$A:$AM,38,FALSE),"")</f>
        <v>0</v>
      </c>
      <c r="AM693" s="14">
        <f>IFERROR(VLOOKUP($A693,koronahun!$A:$AM,39,FALSE),"")</f>
        <v>3.4285714285714284</v>
      </c>
      <c r="AN693" s="11">
        <f ca="1">IFERROR(__xludf.DUMMYFUNCTION("""COMPUTED_VALUE"""),44585)</f>
        <v>44585</v>
      </c>
      <c r="AO693" s="12">
        <f ca="1">IFERROR(VLOOKUP(AN693,koronahun!A:B,2,FALSE),"")</f>
        <v>1441385</v>
      </c>
      <c r="AP693" s="11">
        <f t="shared" ca="1" si="4"/>
        <v>44585</v>
      </c>
      <c r="AQ693" s="11">
        <f ca="1">IFERROR(__xludf.DUMMYFUNCTION("""COMPUTED_VALUE"""),44699)</f>
        <v>44699</v>
      </c>
      <c r="AR693" s="11">
        <v>43926</v>
      </c>
      <c r="AS693" s="11">
        <f t="shared" si="5"/>
        <v>43926</v>
      </c>
      <c r="AT693" s="11">
        <f ca="1">IFERROR(__xludf.DUMMYFUNCTION("""COMPUTED_VALUE"""),43925)</f>
        <v>43925</v>
      </c>
    </row>
    <row r="694" spans="1:46" ht="13">
      <c r="A694" s="11">
        <v>43924</v>
      </c>
      <c r="B694">
        <f>IFERROR(VLOOKUP($A694,koronahun!$A:$AM,2,FALSE),"")</f>
        <v>623</v>
      </c>
      <c r="C694">
        <f>IFERROR(VLOOKUP($A694,koronahun!$A:$AM,3,FALSE),"")</f>
        <v>38</v>
      </c>
      <c r="D694">
        <f>IFERROR(VLOOKUP($A694,koronahun!$A:$AM,4,FALSE),"")</f>
        <v>26</v>
      </c>
      <c r="E694">
        <f>IFERROR(VLOOKUP($A694,koronahun!$A:$AM,5,FALSE),"")</f>
        <v>43</v>
      </c>
      <c r="F694">
        <f>IFERROR(VLOOKUP($A694,koronahun!$A:$AM,6,FALSE),"")</f>
        <v>17769</v>
      </c>
      <c r="G694" s="12">
        <f>IFERROR(VLOOKUP($A694,koronahun!$A:$AM,7,FALSE),"")</f>
        <v>1813.1632653061224</v>
      </c>
      <c r="H694">
        <f>IFERROR(VLOOKUP($A694,koronahun!$A:$AM,8,FALSE),"")</f>
        <v>0</v>
      </c>
      <c r="I694" s="13">
        <f>IFERROR(VLOOKUP($A694,koronahun!$A:$AM,9,FALSE),"")</f>
        <v>6.5000000000000002E-2</v>
      </c>
      <c r="J694" s="13">
        <f>IFERROR(VLOOKUP($A694,koronahun!$A:$AM,10,FALSE),"")</f>
        <v>3.5099999999999999E-2</v>
      </c>
      <c r="K694" s="13">
        <f>IFERROR(VLOOKUP($A694,koronahun!$A:$AM,11,FALSE),"")</f>
        <v>8.3000000000000004E-2</v>
      </c>
      <c r="L694">
        <f>IFERROR(VLOOKUP($A694,koronahun!$A:$AM,12,FALSE),"")</f>
        <v>554</v>
      </c>
      <c r="M694" s="13">
        <f>IFERROR(VLOOKUP($A694,koronahun!$A:$AM,13,FALSE),"")</f>
        <v>4.1700000000000001E-2</v>
      </c>
      <c r="N694" s="13">
        <f>IFERROR(VLOOKUP($A694,koronahun!$A:$AM,14,FALSE),"")</f>
        <v>6.9000000000000006E-2</v>
      </c>
      <c r="O694">
        <f>IFERROR(VLOOKUP($A694,koronahun!$A:$AM,15,FALSE),"")</f>
        <v>10668</v>
      </c>
      <c r="P694">
        <f>IFERROR(VLOOKUP($A694,koronahun!$A:$AM,16,FALSE),"")</f>
        <v>1368</v>
      </c>
      <c r="Q694" s="13">
        <f>IFERROR(VLOOKUP($A694,koronahun!$A:$AM,17,FALSE),"")</f>
        <v>2.7799999999999998E-2</v>
      </c>
      <c r="R694">
        <f>IFERROR(VLOOKUP($A694,koronahun!$A:$AM,18,FALSE),"")</f>
        <v>5</v>
      </c>
      <c r="S694">
        <f>IFERROR(VLOOKUP($A694,koronahun!$A:$AM,19,FALSE),"")</f>
        <v>1</v>
      </c>
      <c r="T694">
        <f>IFERROR(VLOOKUP($A694,koronahun!$A:$AM,20,FALSE),"")</f>
        <v>0</v>
      </c>
      <c r="U694">
        <f>IFERROR(VLOOKUP($A694,koronahun!$A:$AM,21,FALSE),"")</f>
        <v>0</v>
      </c>
      <c r="V694" s="13">
        <f>IFERROR(VLOOKUP($A694,koronahun!$A:$AM,22,FALSE),"")</f>
        <v>0.8892455858747994</v>
      </c>
      <c r="W694">
        <f>IFERROR(VLOOKUP($A694,koronahun!$A:$AM,23,FALSE),"")</f>
        <v>0</v>
      </c>
      <c r="X694">
        <f>IFERROR(VLOOKUP($A694,koronahun!$A:$AM,24,FALSE),"")</f>
        <v>0</v>
      </c>
      <c r="Y694" s="14">
        <f>IFERROR(VLOOKUP($A694,koronahun!$A:$AM,25,FALSE),"")</f>
        <v>0</v>
      </c>
      <c r="Z694" s="14">
        <f>IFERROR(VLOOKUP($A694,koronahun!$A:$AM,26,FALSE),"")</f>
        <v>0</v>
      </c>
      <c r="AA694" s="14">
        <f>IFERROR(VLOOKUP($A694,koronahun!$A:$AM,27,FALSE),"")</f>
        <v>1.5023255813953489</v>
      </c>
      <c r="AB694" s="14">
        <f>IFERROR(VLOOKUP($A694,koronahun!$A:$AM,28,FALSE),"")</f>
        <v>2.2149885920850982</v>
      </c>
      <c r="AC694" s="14">
        <f>IFERROR(VLOOKUP($A694,koronahun!$A:$AM,29,FALSE),"")</f>
        <v>46.142857142857146</v>
      </c>
      <c r="AD694" s="14">
        <f>IFERROR(VLOOKUP($A694,koronahun!$A:$AM,30,FALSE),"")</f>
        <v>2.4285714285714284</v>
      </c>
      <c r="AE694" s="14">
        <f>IFERROR(VLOOKUP($A694,koronahun!$A:$AM,31,FALSE),"")</f>
        <v>1213.4285714285713</v>
      </c>
      <c r="AF694" s="13">
        <f>IFERROR(VLOOKUP($A694,koronahun!$A:$AM,32,FALSE),"")</f>
        <v>3.9042857142857143E-2</v>
      </c>
      <c r="AG694">
        <f>IFERROR(VLOOKUP($A694,koronahun!$A:$AM,33,FALSE),"")</f>
        <v>0</v>
      </c>
      <c r="AH694">
        <f>IFERROR(VLOOKUP($A694,koronahun!$A:$AM,34,FALSE),"")</f>
        <v>0</v>
      </c>
      <c r="AI694">
        <f>IFERROR(VLOOKUP($A694,koronahun!$A:$AM,35,FALSE),"")</f>
        <v>0</v>
      </c>
      <c r="AJ694">
        <f>IFERROR(VLOOKUP($A694,koronahun!$A:$AM,36,FALSE),"")</f>
        <v>0</v>
      </c>
      <c r="AK694">
        <f>IFERROR(VLOOKUP($A694,koronahun!$A:$AM,37,FALSE),"")</f>
        <v>0</v>
      </c>
      <c r="AL694">
        <f>IFERROR(VLOOKUP($A694,koronahun!$A:$AM,38,FALSE),"")</f>
        <v>0</v>
      </c>
      <c r="AM694" s="14">
        <f>IFERROR(VLOOKUP($A694,koronahun!$A:$AM,39,FALSE),"")</f>
        <v>1.2857142857142858</v>
      </c>
      <c r="AN694" s="11">
        <f ca="1">IFERROR(__xludf.DUMMYFUNCTION("""COMPUTED_VALUE"""),44586)</f>
        <v>44586</v>
      </c>
      <c r="AO694" s="12">
        <f ca="1">IFERROR(VLOOKUP(AN694,koronahun!A:B,2,FALSE),"")</f>
        <v>1451102</v>
      </c>
      <c r="AP694" s="11">
        <f t="shared" ca="1" si="4"/>
        <v>44586</v>
      </c>
      <c r="AQ694" s="11">
        <f ca="1">IFERROR(__xludf.DUMMYFUNCTION("""COMPUTED_VALUE"""),44706)</f>
        <v>44706</v>
      </c>
      <c r="AR694" s="11">
        <v>43925</v>
      </c>
      <c r="AS694" s="11">
        <f t="shared" si="5"/>
        <v>43925</v>
      </c>
      <c r="AT694" s="11">
        <f ca="1">IFERROR(__xludf.DUMMYFUNCTION("""COMPUTED_VALUE"""),43924)</f>
        <v>43924</v>
      </c>
    </row>
    <row r="695" spans="1:46" ht="13">
      <c r="A695" s="11">
        <v>43923</v>
      </c>
      <c r="B695">
        <f>IFERROR(VLOOKUP($A695,koronahun!$A:$AM,2,FALSE),"")</f>
        <v>585</v>
      </c>
      <c r="C695">
        <f>IFERROR(VLOOKUP($A695,koronahun!$A:$AM,3,FALSE),"")</f>
        <v>60</v>
      </c>
      <c r="D695">
        <f>IFERROR(VLOOKUP($A695,koronahun!$A:$AM,4,FALSE),"")</f>
        <v>21</v>
      </c>
      <c r="E695">
        <f>IFERROR(VLOOKUP($A695,koronahun!$A:$AM,5,FALSE),"")</f>
        <v>42</v>
      </c>
      <c r="F695">
        <f>IFERROR(VLOOKUP($A695,koronahun!$A:$AM,6,FALSE),"")</f>
        <v>16401</v>
      </c>
      <c r="G695" s="12">
        <f>IFERROR(VLOOKUP($A695,koronahun!$A:$AM,7,FALSE),"")</f>
        <v>1673.5714285714284</v>
      </c>
      <c r="H695">
        <f>IFERROR(VLOOKUP($A695,koronahun!$A:$AM,8,FALSE),"")</f>
        <v>59</v>
      </c>
      <c r="I695" s="13">
        <f>IFERROR(VLOOKUP($A695,koronahun!$A:$AM,9,FALSE),"")</f>
        <v>0.1143</v>
      </c>
      <c r="J695" s="13">
        <f>IFERROR(VLOOKUP($A695,koronahun!$A:$AM,10,FALSE),"")</f>
        <v>3.5700000000000003E-2</v>
      </c>
      <c r="K695" s="13">
        <f>IFERROR(VLOOKUP($A695,koronahun!$A:$AM,11,FALSE),"")</f>
        <v>7.8E-2</v>
      </c>
      <c r="L695">
        <f>IFERROR(VLOOKUP($A695,koronahun!$A:$AM,12,FALSE),"")</f>
        <v>522</v>
      </c>
      <c r="M695" s="13">
        <f>IFERROR(VLOOKUP($A695,koronahun!$A:$AM,13,FALSE),"")</f>
        <v>3.5900000000000001E-2</v>
      </c>
      <c r="N695" s="13">
        <f>IFERROR(VLOOKUP($A695,koronahun!$A:$AM,14,FALSE),"")</f>
        <v>7.1800000000000003E-2</v>
      </c>
      <c r="O695">
        <f>IFERROR(VLOOKUP($A695,koronahun!$A:$AM,15,FALSE),"")</f>
        <v>0</v>
      </c>
      <c r="P695">
        <f>IFERROR(VLOOKUP($A695,koronahun!$A:$AM,16,FALSE),"")</f>
        <v>1193</v>
      </c>
      <c r="Q695" s="13">
        <f>IFERROR(VLOOKUP($A695,koronahun!$A:$AM,17,FALSE),"")</f>
        <v>5.0299999999999997E-2</v>
      </c>
      <c r="R695">
        <f>IFERROR(VLOOKUP($A695,koronahun!$A:$AM,18,FALSE),"")</f>
        <v>1</v>
      </c>
      <c r="S695">
        <f>IFERROR(VLOOKUP($A695,koronahun!$A:$AM,19,FALSE),"")</f>
        <v>2</v>
      </c>
      <c r="T695">
        <f>IFERROR(VLOOKUP($A695,koronahun!$A:$AM,20,FALSE),"")</f>
        <v>0</v>
      </c>
      <c r="U695">
        <f>IFERROR(VLOOKUP($A695,koronahun!$A:$AM,21,FALSE),"")</f>
        <v>0</v>
      </c>
      <c r="V695" s="13">
        <f>IFERROR(VLOOKUP($A695,koronahun!$A:$AM,22,FALSE),"")</f>
        <v>0.89230769230769236</v>
      </c>
      <c r="W695">
        <f>IFERROR(VLOOKUP($A695,koronahun!$A:$AM,23,FALSE),"")</f>
        <v>0</v>
      </c>
      <c r="X695">
        <f>IFERROR(VLOOKUP($A695,koronahun!$A:$AM,24,FALSE),"")</f>
        <v>0</v>
      </c>
      <c r="Y695" s="14">
        <f>IFERROR(VLOOKUP($A695,koronahun!$A:$AM,25,FALSE),"")</f>
        <v>0</v>
      </c>
      <c r="Z695" s="14">
        <f>IFERROR(VLOOKUP($A695,koronahun!$A:$AM,26,FALSE),"")</f>
        <v>0</v>
      </c>
      <c r="AA695" s="14">
        <f>IFERROR(VLOOKUP($A695,koronahun!$A:$AM,27,FALSE),"")</f>
        <v>1.7234042553191489</v>
      </c>
      <c r="AB695" s="14">
        <f>IFERROR(VLOOKUP($A695,koronahun!$A:$AM,28,FALSE),"")</f>
        <v>2.4657386172537277</v>
      </c>
      <c r="AC695" s="14">
        <f>IFERROR(VLOOKUP($A695,koronahun!$A:$AM,29,FALSE),"")</f>
        <v>46.285714285714285</v>
      </c>
      <c r="AD695" s="14">
        <f>IFERROR(VLOOKUP($A695,koronahun!$A:$AM,30,FALSE),"")</f>
        <v>1.7142857142857142</v>
      </c>
      <c r="AE695" s="14">
        <f>IFERROR(VLOOKUP($A695,koronahun!$A:$AM,31,FALSE),"")</f>
        <v>1199.4285714285713</v>
      </c>
      <c r="AF695" s="13">
        <f>IFERROR(VLOOKUP($A695,koronahun!$A:$AM,32,FALSE),"")</f>
        <v>3.945714285714285E-2</v>
      </c>
      <c r="AG695">
        <f>IFERROR(VLOOKUP($A695,koronahun!$A:$AM,33,FALSE),"")</f>
        <v>0</v>
      </c>
      <c r="AH695">
        <f>IFERROR(VLOOKUP($A695,koronahun!$A:$AM,34,FALSE),"")</f>
        <v>0</v>
      </c>
      <c r="AI695">
        <f>IFERROR(VLOOKUP($A695,koronahun!$A:$AM,35,FALSE),"")</f>
        <v>0</v>
      </c>
      <c r="AJ695">
        <f>IFERROR(VLOOKUP($A695,koronahun!$A:$AM,36,FALSE),"")</f>
        <v>0</v>
      </c>
      <c r="AK695">
        <f>IFERROR(VLOOKUP($A695,koronahun!$A:$AM,37,FALSE),"")</f>
        <v>0</v>
      </c>
      <c r="AL695">
        <f>IFERROR(VLOOKUP($A695,koronahun!$A:$AM,38,FALSE),"")</f>
        <v>0</v>
      </c>
      <c r="AM695" s="14">
        <f>IFERROR(VLOOKUP($A695,koronahun!$A:$AM,39,FALSE),"")</f>
        <v>2</v>
      </c>
      <c r="AN695" s="11">
        <f ca="1">IFERROR(__xludf.DUMMYFUNCTION("""COMPUTED_VALUE"""),44587)</f>
        <v>44587</v>
      </c>
      <c r="AO695" s="12">
        <f ca="1">IFERROR(VLOOKUP(AN695,koronahun!A:B,2,FALSE),"")</f>
        <v>1471276</v>
      </c>
      <c r="AP695" s="11">
        <f t="shared" ca="1" si="4"/>
        <v>44587</v>
      </c>
      <c r="AQ695" s="11">
        <f ca="1">IFERROR(__xludf.DUMMYFUNCTION("""COMPUTED_VALUE"""),44713)</f>
        <v>44713</v>
      </c>
      <c r="AR695" s="11">
        <v>43924</v>
      </c>
      <c r="AS695" s="11">
        <f t="shared" si="5"/>
        <v>43924</v>
      </c>
      <c r="AT695" s="11">
        <f ca="1">IFERROR(__xludf.DUMMYFUNCTION("""COMPUTED_VALUE"""),43923)</f>
        <v>43923</v>
      </c>
    </row>
    <row r="696" spans="1:46" ht="13">
      <c r="A696" s="11">
        <v>43922</v>
      </c>
      <c r="B696">
        <f>IFERROR(VLOOKUP($A696,koronahun!$A:$AM,2,FALSE),"")</f>
        <v>525</v>
      </c>
      <c r="C696">
        <f>IFERROR(VLOOKUP($A696,koronahun!$A:$AM,3,FALSE),"")</f>
        <v>33</v>
      </c>
      <c r="D696">
        <f>IFERROR(VLOOKUP($A696,koronahun!$A:$AM,4,FALSE),"")</f>
        <v>20</v>
      </c>
      <c r="E696">
        <f>IFERROR(VLOOKUP($A696,koronahun!$A:$AM,5,FALSE),"")</f>
        <v>40</v>
      </c>
      <c r="F696">
        <f>IFERROR(VLOOKUP($A696,koronahun!$A:$AM,6,FALSE),"")</f>
        <v>15208</v>
      </c>
      <c r="G696" s="12">
        <f>IFERROR(VLOOKUP($A696,koronahun!$A:$AM,7,FALSE),"")</f>
        <v>1551.8367346938774</v>
      </c>
      <c r="H696">
        <f>IFERROR(VLOOKUP($A696,koronahun!$A:$AM,8,FALSE),"")</f>
        <v>61</v>
      </c>
      <c r="I696" s="13">
        <f>IFERROR(VLOOKUP($A696,koronahun!$A:$AM,9,FALSE),"")</f>
        <v>6.7100000000000007E-2</v>
      </c>
      <c r="J696" s="13">
        <f>IFERROR(VLOOKUP($A696,koronahun!$A:$AM,10,FALSE),"")</f>
        <v>3.4500000000000003E-2</v>
      </c>
      <c r="K696" s="13">
        <f>IFERROR(VLOOKUP($A696,koronahun!$A:$AM,11,FALSE),"")</f>
        <v>7.4999999999999997E-2</v>
      </c>
      <c r="L696">
        <f>IFERROR(VLOOKUP($A696,koronahun!$A:$AM,12,FALSE),"")</f>
        <v>465</v>
      </c>
      <c r="M696" s="13">
        <f>IFERROR(VLOOKUP($A696,koronahun!$A:$AM,13,FALSE),"")</f>
        <v>3.8100000000000002E-2</v>
      </c>
      <c r="N696" s="13">
        <f>IFERROR(VLOOKUP($A696,koronahun!$A:$AM,14,FALSE),"")</f>
        <v>7.6200000000000004E-2</v>
      </c>
      <c r="O696">
        <f>IFERROR(VLOOKUP($A696,koronahun!$A:$AM,15,FALSE),"")</f>
        <v>0</v>
      </c>
      <c r="P696">
        <f>IFERROR(VLOOKUP($A696,koronahun!$A:$AM,16,FALSE),"")</f>
        <v>1062</v>
      </c>
      <c r="Q696" s="13">
        <f>IFERROR(VLOOKUP($A696,koronahun!$A:$AM,17,FALSE),"")</f>
        <v>3.1099999999999999E-2</v>
      </c>
      <c r="R696">
        <f>IFERROR(VLOOKUP($A696,koronahun!$A:$AM,18,FALSE),"")</f>
        <v>4</v>
      </c>
      <c r="S696">
        <f>IFERROR(VLOOKUP($A696,koronahun!$A:$AM,19,FALSE),"")</f>
        <v>3</v>
      </c>
      <c r="T696">
        <f>IFERROR(VLOOKUP($A696,koronahun!$A:$AM,20,FALSE),"")</f>
        <v>0</v>
      </c>
      <c r="U696">
        <f>IFERROR(VLOOKUP($A696,koronahun!$A:$AM,21,FALSE),"")</f>
        <v>0</v>
      </c>
      <c r="V696" s="13">
        <f>IFERROR(VLOOKUP($A696,koronahun!$A:$AM,22,FALSE),"")</f>
        <v>0.88571428571428568</v>
      </c>
      <c r="W696">
        <f>IFERROR(VLOOKUP($A696,koronahun!$A:$AM,23,FALSE),"")</f>
        <v>0</v>
      </c>
      <c r="X696">
        <f>IFERROR(VLOOKUP($A696,koronahun!$A:$AM,24,FALSE),"")</f>
        <v>0</v>
      </c>
      <c r="Y696" s="14">
        <f>IFERROR(VLOOKUP($A696,koronahun!$A:$AM,25,FALSE),"")</f>
        <v>0</v>
      </c>
      <c r="Z696" s="14">
        <f>IFERROR(VLOOKUP($A696,koronahun!$A:$AM,26,FALSE),"")</f>
        <v>0</v>
      </c>
      <c r="AA696" s="14">
        <f>IFERROR(VLOOKUP($A696,koronahun!$A:$AM,27,FALSE),"")</f>
        <v>1.7797619047619047</v>
      </c>
      <c r="AB696" s="14">
        <f>IFERROR(VLOOKUP($A696,koronahun!$A:$AM,28,FALSE),"")</f>
        <v>2.6907159542131476</v>
      </c>
      <c r="AC696" s="14">
        <f>IFERROR(VLOOKUP($A696,koronahun!$A:$AM,29,FALSE),"")</f>
        <v>42.714285714285715</v>
      </c>
      <c r="AD696" s="14">
        <f>IFERROR(VLOOKUP($A696,koronahun!$A:$AM,30,FALSE),"")</f>
        <v>1.5714285714285714</v>
      </c>
      <c r="AE696" s="14">
        <f>IFERROR(VLOOKUP($A696,koronahun!$A:$AM,31,FALSE),"")</f>
        <v>1198.7142857142858</v>
      </c>
      <c r="AF696" s="13">
        <f>IFERROR(VLOOKUP($A696,koronahun!$A:$AM,32,FALSE),"")</f>
        <v>3.6485714285714288E-2</v>
      </c>
      <c r="AG696">
        <f>IFERROR(VLOOKUP($A696,koronahun!$A:$AM,33,FALSE),"")</f>
        <v>0</v>
      </c>
      <c r="AH696">
        <f>IFERROR(VLOOKUP($A696,koronahun!$A:$AM,34,FALSE),"")</f>
        <v>0</v>
      </c>
      <c r="AI696">
        <f>IFERROR(VLOOKUP($A696,koronahun!$A:$AM,35,FALSE),"")</f>
        <v>0</v>
      </c>
      <c r="AJ696">
        <f>IFERROR(VLOOKUP($A696,koronahun!$A:$AM,36,FALSE),"")</f>
        <v>0</v>
      </c>
      <c r="AK696">
        <f>IFERROR(VLOOKUP($A696,koronahun!$A:$AM,37,FALSE),"")</f>
        <v>0</v>
      </c>
      <c r="AL696">
        <f>IFERROR(VLOOKUP($A696,koronahun!$A:$AM,38,FALSE),"")</f>
        <v>0</v>
      </c>
      <c r="AM696" s="14">
        <f>IFERROR(VLOOKUP($A696,koronahun!$A:$AM,39,FALSE),"")</f>
        <v>2.7142857142857144</v>
      </c>
      <c r="AN696" s="11">
        <f ca="1">IFERROR(__xludf.DUMMYFUNCTION("""COMPUTED_VALUE"""),44588)</f>
        <v>44588</v>
      </c>
      <c r="AO696" s="12">
        <f ca="1">IFERROR(VLOOKUP(AN696,koronahun!A:B,2,FALSE),"")</f>
        <v>1490489</v>
      </c>
      <c r="AP696" s="11">
        <f t="shared" ca="1" si="4"/>
        <v>44588</v>
      </c>
      <c r="AQ696" s="11">
        <f ca="1">IFERROR(__xludf.DUMMYFUNCTION("""COMPUTED_VALUE"""),44720)</f>
        <v>44720</v>
      </c>
      <c r="AR696" s="11">
        <v>43923</v>
      </c>
      <c r="AS696" s="11">
        <f t="shared" si="5"/>
        <v>43923</v>
      </c>
      <c r="AT696" s="11">
        <f ca="1">IFERROR(__xludf.DUMMYFUNCTION("""COMPUTED_VALUE"""),43922)</f>
        <v>43922</v>
      </c>
    </row>
    <row r="697" spans="1:46" ht="13">
      <c r="A697" s="11">
        <v>43921</v>
      </c>
      <c r="B697">
        <f>IFERROR(VLOOKUP($A697,koronahun!$A:$AM,2,FALSE),"")</f>
        <v>492</v>
      </c>
      <c r="C697">
        <f>IFERROR(VLOOKUP($A697,koronahun!$A:$AM,3,FALSE),"")</f>
        <v>45</v>
      </c>
      <c r="D697">
        <f>IFERROR(VLOOKUP($A697,koronahun!$A:$AM,4,FALSE),"")</f>
        <v>16</v>
      </c>
      <c r="E697">
        <f>IFERROR(VLOOKUP($A697,koronahun!$A:$AM,5,FALSE),"")</f>
        <v>37</v>
      </c>
      <c r="F697">
        <f>IFERROR(VLOOKUP($A697,koronahun!$A:$AM,6,FALSE),"")</f>
        <v>14146</v>
      </c>
      <c r="G697" s="12">
        <f>IFERROR(VLOOKUP($A697,koronahun!$A:$AM,7,FALSE),"")</f>
        <v>1443.4693877551019</v>
      </c>
      <c r="H697">
        <f>IFERROR(VLOOKUP($A697,koronahun!$A:$AM,8,FALSE),"")</f>
        <v>61</v>
      </c>
      <c r="I697" s="13">
        <f>IFERROR(VLOOKUP($A697,koronahun!$A:$AM,9,FALSE),"")</f>
        <v>0.1007</v>
      </c>
      <c r="J697" s="13">
        <f>IFERROR(VLOOKUP($A697,koronahun!$A:$AM,10,FALSE),"")</f>
        <v>3.4799999999999998E-2</v>
      </c>
      <c r="K697" s="13">
        <f>IFERROR(VLOOKUP($A697,koronahun!$A:$AM,11,FALSE),"")</f>
        <v>6.4000000000000001E-2</v>
      </c>
      <c r="L697">
        <f>IFERROR(VLOOKUP($A697,koronahun!$A:$AM,12,FALSE),"")</f>
        <v>439</v>
      </c>
      <c r="M697" s="13">
        <f>IFERROR(VLOOKUP($A697,koronahun!$A:$AM,13,FALSE),"")</f>
        <v>3.2500000000000001E-2</v>
      </c>
      <c r="N697" s="13">
        <f>IFERROR(VLOOKUP($A697,koronahun!$A:$AM,14,FALSE),"")</f>
        <v>7.5200000000000003E-2</v>
      </c>
      <c r="O697">
        <f>IFERROR(VLOOKUP($A697,koronahun!$A:$AM,15,FALSE),"")</f>
        <v>0</v>
      </c>
      <c r="P697">
        <f>IFERROR(VLOOKUP($A697,koronahun!$A:$AM,16,FALSE),"")</f>
        <v>845</v>
      </c>
      <c r="Q697" s="13">
        <f>IFERROR(VLOOKUP($A697,koronahun!$A:$AM,17,FALSE),"")</f>
        <v>5.33E-2</v>
      </c>
      <c r="R697">
        <f>IFERROR(VLOOKUP($A697,koronahun!$A:$AM,18,FALSE),"")</f>
        <v>2</v>
      </c>
      <c r="S697">
        <f>IFERROR(VLOOKUP($A697,koronahun!$A:$AM,19,FALSE),"")</f>
        <v>3</v>
      </c>
      <c r="T697">
        <f>IFERROR(VLOOKUP($A697,koronahun!$A:$AM,20,FALSE),"")</f>
        <v>0</v>
      </c>
      <c r="U697">
        <f>IFERROR(VLOOKUP($A697,koronahun!$A:$AM,21,FALSE),"")</f>
        <v>0</v>
      </c>
      <c r="V697" s="13">
        <f>IFERROR(VLOOKUP($A697,koronahun!$A:$AM,22,FALSE),"")</f>
        <v>0.89227642276422769</v>
      </c>
      <c r="W697">
        <f>IFERROR(VLOOKUP($A697,koronahun!$A:$AM,23,FALSE),"")</f>
        <v>0</v>
      </c>
      <c r="X697">
        <f>IFERROR(VLOOKUP($A697,koronahun!$A:$AM,24,FALSE),"")</f>
        <v>0</v>
      </c>
      <c r="Y697" s="14">
        <f>IFERROR(VLOOKUP($A697,koronahun!$A:$AM,25,FALSE),"")</f>
        <v>0</v>
      </c>
      <c r="Z697" s="14">
        <f>IFERROR(VLOOKUP($A697,koronahun!$A:$AM,26,FALSE),"")</f>
        <v>0</v>
      </c>
      <c r="AA697" s="14">
        <f>IFERROR(VLOOKUP($A697,koronahun!$A:$AM,27,FALSE),"")</f>
        <v>2.2262773722627736</v>
      </c>
      <c r="AB697" s="14">
        <f>IFERROR(VLOOKUP($A697,koronahun!$A:$AM,28,FALSE),"")</f>
        <v>2.9697975868662096</v>
      </c>
      <c r="AC697" s="14">
        <f>IFERROR(VLOOKUP($A697,koronahun!$A:$AM,29,FALSE),"")</f>
        <v>43.571428571428569</v>
      </c>
      <c r="AD697" s="14">
        <f>IFERROR(VLOOKUP($A697,koronahun!$A:$AM,30,FALSE),"")</f>
        <v>1.1428571428571428</v>
      </c>
      <c r="AE697" s="14">
        <f>IFERROR(VLOOKUP($A697,koronahun!$A:$AM,31,FALSE),"")</f>
        <v>1147.5714285714287</v>
      </c>
      <c r="AF697" s="13">
        <f>IFERROR(VLOOKUP($A697,koronahun!$A:$AM,32,FALSE),"")</f>
        <v>3.9957142857142858E-2</v>
      </c>
      <c r="AG697">
        <f>IFERROR(VLOOKUP($A697,koronahun!$A:$AM,33,FALSE),"")</f>
        <v>0</v>
      </c>
      <c r="AH697">
        <f>IFERROR(VLOOKUP($A697,koronahun!$A:$AM,34,FALSE),"")</f>
        <v>0</v>
      </c>
      <c r="AI697">
        <f>IFERROR(VLOOKUP($A697,koronahun!$A:$AM,35,FALSE),"")</f>
        <v>0</v>
      </c>
      <c r="AJ697">
        <f>IFERROR(VLOOKUP($A697,koronahun!$A:$AM,36,FALSE),"")</f>
        <v>0</v>
      </c>
      <c r="AK697">
        <f>IFERROR(VLOOKUP($A697,koronahun!$A:$AM,37,FALSE),"")</f>
        <v>0</v>
      </c>
      <c r="AL697">
        <f>IFERROR(VLOOKUP($A697,koronahun!$A:$AM,38,FALSE),"")</f>
        <v>0</v>
      </c>
      <c r="AM697" s="14">
        <f>IFERROR(VLOOKUP($A697,koronahun!$A:$AM,39,FALSE),"")</f>
        <v>2.2857142857142856</v>
      </c>
      <c r="AN697" s="11">
        <f ca="1">IFERROR(__xludf.DUMMYFUNCTION("""COMPUTED_VALUE"""),44589)</f>
        <v>44589</v>
      </c>
      <c r="AO697" s="12">
        <f ca="1">IFERROR(VLOOKUP(AN697,koronahun!A:B,2,FALSE),"")</f>
        <v>1508358</v>
      </c>
      <c r="AP697" s="11">
        <f t="shared" ca="1" si="4"/>
        <v>44589</v>
      </c>
      <c r="AQ697" s="11">
        <f ca="1">IFERROR(__xludf.DUMMYFUNCTION("""COMPUTED_VALUE"""),44727)</f>
        <v>44727</v>
      </c>
      <c r="AR697" s="11">
        <v>43922</v>
      </c>
      <c r="AS697" s="11">
        <f t="shared" si="5"/>
        <v>43922</v>
      </c>
      <c r="AT697" s="11">
        <f ca="1">IFERROR(__xludf.DUMMYFUNCTION("""COMPUTED_VALUE"""),43921)</f>
        <v>43921</v>
      </c>
    </row>
    <row r="698" spans="1:46" ht="13">
      <c r="A698" s="11">
        <v>43920</v>
      </c>
      <c r="B698">
        <f>IFERROR(VLOOKUP($A698,koronahun!$A:$AM,2,FALSE),"")</f>
        <v>447</v>
      </c>
      <c r="C698">
        <f>IFERROR(VLOOKUP($A698,koronahun!$A:$AM,3,FALSE),"")</f>
        <v>39</v>
      </c>
      <c r="D698">
        <f>IFERROR(VLOOKUP($A698,koronahun!$A:$AM,4,FALSE),"")</f>
        <v>15</v>
      </c>
      <c r="E698">
        <f>IFERROR(VLOOKUP($A698,koronahun!$A:$AM,5,FALSE),"")</f>
        <v>34</v>
      </c>
      <c r="F698">
        <f>IFERROR(VLOOKUP($A698,koronahun!$A:$AM,6,FALSE),"")</f>
        <v>13301</v>
      </c>
      <c r="G698" s="12">
        <f>IFERROR(VLOOKUP($A698,koronahun!$A:$AM,7,FALSE),"")</f>
        <v>1357.2448979591836</v>
      </c>
      <c r="H698">
        <f>IFERROR(VLOOKUP($A698,koronahun!$A:$AM,8,FALSE),"")</f>
        <v>73</v>
      </c>
      <c r="I698" s="13">
        <f>IFERROR(VLOOKUP($A698,koronahun!$A:$AM,9,FALSE),"")</f>
        <v>9.5600000000000004E-2</v>
      </c>
      <c r="J698" s="13">
        <f>IFERROR(VLOOKUP($A698,koronahun!$A:$AM,10,FALSE),"")</f>
        <v>3.3599999999999998E-2</v>
      </c>
      <c r="K698" s="13">
        <f>IFERROR(VLOOKUP($A698,koronahun!$A:$AM,11,FALSE),"")</f>
        <v>9.5000000000000001E-2</v>
      </c>
      <c r="L698">
        <f>IFERROR(VLOOKUP($A698,koronahun!$A:$AM,12,FALSE),"")</f>
        <v>398</v>
      </c>
      <c r="M698" s="13">
        <f>IFERROR(VLOOKUP($A698,koronahun!$A:$AM,13,FALSE),"")</f>
        <v>3.3599999999999998E-2</v>
      </c>
      <c r="N698" s="13">
        <f>IFERROR(VLOOKUP($A698,koronahun!$A:$AM,14,FALSE),"")</f>
        <v>7.6100000000000001E-2</v>
      </c>
      <c r="O698">
        <f>IFERROR(VLOOKUP($A698,koronahun!$A:$AM,15,FALSE),"")</f>
        <v>0</v>
      </c>
      <c r="P698">
        <f>IFERROR(VLOOKUP($A698,koronahun!$A:$AM,16,FALSE),"")</f>
        <v>1153</v>
      </c>
      <c r="Q698" s="13">
        <f>IFERROR(VLOOKUP($A698,koronahun!$A:$AM,17,FALSE),"")</f>
        <v>3.3799999999999997E-2</v>
      </c>
      <c r="R698">
        <f>IFERROR(VLOOKUP($A698,koronahun!$A:$AM,18,FALSE),"")</f>
        <v>2</v>
      </c>
      <c r="S698">
        <f>IFERROR(VLOOKUP($A698,koronahun!$A:$AM,19,FALSE),"")</f>
        <v>0</v>
      </c>
      <c r="T698">
        <f>IFERROR(VLOOKUP($A698,koronahun!$A:$AM,20,FALSE),"")</f>
        <v>0</v>
      </c>
      <c r="U698">
        <f>IFERROR(VLOOKUP($A698,koronahun!$A:$AM,21,FALSE),"")</f>
        <v>0</v>
      </c>
      <c r="V698" s="13">
        <f>IFERROR(VLOOKUP($A698,koronahun!$A:$AM,22,FALSE),"")</f>
        <v>0.89038031319910516</v>
      </c>
      <c r="W698">
        <f>IFERROR(VLOOKUP($A698,koronahun!$A:$AM,23,FALSE),"")</f>
        <v>0</v>
      </c>
      <c r="X698">
        <f>IFERROR(VLOOKUP($A698,koronahun!$A:$AM,24,FALSE),"")</f>
        <v>0</v>
      </c>
      <c r="Y698" s="14">
        <f>IFERROR(VLOOKUP($A698,koronahun!$A:$AM,25,FALSE),"")</f>
        <v>0</v>
      </c>
      <c r="Z698" s="14">
        <f>IFERROR(VLOOKUP($A698,koronahun!$A:$AM,26,FALSE),"")</f>
        <v>0</v>
      </c>
      <c r="AA698" s="14">
        <f>IFERROR(VLOOKUP($A698,koronahun!$A:$AM,27,FALSE),"")</f>
        <v>2.1875</v>
      </c>
      <c r="AB698" s="14">
        <f>IFERROR(VLOOKUP($A698,koronahun!$A:$AM,28,FALSE),"")</f>
        <v>3.1667955562422039</v>
      </c>
      <c r="AC698" s="14">
        <f>IFERROR(VLOOKUP($A698,koronahun!$A:$AM,29,FALSE),"")</f>
        <v>40</v>
      </c>
      <c r="AD698" s="14">
        <f>IFERROR(VLOOKUP($A698,koronahun!$A:$AM,30,FALSE),"")</f>
        <v>1</v>
      </c>
      <c r="AE698" s="14">
        <f>IFERROR(VLOOKUP($A698,koronahun!$A:$AM,31,FALSE),"")</f>
        <v>1112.2857142857142</v>
      </c>
      <c r="AF698" s="13">
        <f>IFERROR(VLOOKUP($A698,koronahun!$A:$AM,32,FALSE),"")</f>
        <v>3.7114285714285718E-2</v>
      </c>
      <c r="AG698">
        <f>IFERROR(VLOOKUP($A698,koronahun!$A:$AM,33,FALSE),"")</f>
        <v>0</v>
      </c>
      <c r="AH698">
        <f>IFERROR(VLOOKUP($A698,koronahun!$A:$AM,34,FALSE),"")</f>
        <v>0</v>
      </c>
      <c r="AI698">
        <f>IFERROR(VLOOKUP($A698,koronahun!$A:$AM,35,FALSE),"")</f>
        <v>0</v>
      </c>
      <c r="AJ698">
        <f>IFERROR(VLOOKUP($A698,koronahun!$A:$AM,36,FALSE),"")</f>
        <v>0</v>
      </c>
      <c r="AK698">
        <f>IFERROR(VLOOKUP($A698,koronahun!$A:$AM,37,FALSE),"")</f>
        <v>0</v>
      </c>
      <c r="AL698">
        <f>IFERROR(VLOOKUP($A698,koronahun!$A:$AM,38,FALSE),"")</f>
        <v>0</v>
      </c>
      <c r="AM698" s="14">
        <f>IFERROR(VLOOKUP($A698,koronahun!$A:$AM,39,FALSE),"")</f>
        <v>1.8571428571428572</v>
      </c>
      <c r="AN698" s="11">
        <f ca="1">IFERROR(__xludf.DUMMYFUNCTION("""COMPUTED_VALUE"""),44590)</f>
        <v>44590</v>
      </c>
      <c r="AO698" s="12">
        <f ca="1">IFERROR(VLOOKUP(AN698,koronahun!A:B,2,FALSE),"")</f>
        <v>0</v>
      </c>
      <c r="AP698" s="11">
        <f t="shared" ca="1" si="4"/>
        <v>44590</v>
      </c>
      <c r="AQ698" s="11">
        <f ca="1">IFERROR(__xludf.DUMMYFUNCTION("""COMPUTED_VALUE"""),44734)</f>
        <v>44734</v>
      </c>
      <c r="AR698" s="11">
        <v>43921</v>
      </c>
      <c r="AS698" s="11">
        <f t="shared" si="5"/>
        <v>43921</v>
      </c>
      <c r="AT698" s="11">
        <f ca="1">IFERROR(__xludf.DUMMYFUNCTION("""COMPUTED_VALUE"""),43920)</f>
        <v>43920</v>
      </c>
    </row>
    <row r="699" spans="1:46" ht="13">
      <c r="A699" s="11">
        <v>43919</v>
      </c>
      <c r="B699">
        <f>IFERROR(VLOOKUP($A699,koronahun!$A:$AM,2,FALSE),"")</f>
        <v>408</v>
      </c>
      <c r="C699">
        <f>IFERROR(VLOOKUP($A699,koronahun!$A:$AM,3,FALSE),"")</f>
        <v>65</v>
      </c>
      <c r="D699">
        <f>IFERROR(VLOOKUP($A699,koronahun!$A:$AM,4,FALSE),"")</f>
        <v>13</v>
      </c>
      <c r="E699">
        <f>IFERROR(VLOOKUP($A699,koronahun!$A:$AM,5,FALSE),"")</f>
        <v>34</v>
      </c>
      <c r="F699">
        <f>IFERROR(VLOOKUP($A699,koronahun!$A:$AM,6,FALSE),"")</f>
        <v>12148</v>
      </c>
      <c r="G699" s="12">
        <f>IFERROR(VLOOKUP($A699,koronahun!$A:$AM,7,FALSE),"")</f>
        <v>1239.5918367346937</v>
      </c>
      <c r="H699">
        <f>IFERROR(VLOOKUP($A699,koronahun!$A:$AM,8,FALSE),"")</f>
        <v>71</v>
      </c>
      <c r="I699" s="13">
        <f>IFERROR(VLOOKUP($A699,koronahun!$A:$AM,9,FALSE),"")</f>
        <v>0.1895</v>
      </c>
      <c r="J699" s="13">
        <f>IFERROR(VLOOKUP($A699,koronahun!$A:$AM,10,FALSE),"")</f>
        <v>3.3599999999999998E-2</v>
      </c>
      <c r="K699" s="13">
        <f>IFERROR(VLOOKUP($A699,koronahun!$A:$AM,11,FALSE),"")</f>
        <v>0.17899999999999999</v>
      </c>
      <c r="L699">
        <f>IFERROR(VLOOKUP($A699,koronahun!$A:$AM,12,FALSE),"")</f>
        <v>361</v>
      </c>
      <c r="M699" s="13">
        <f>IFERROR(VLOOKUP($A699,koronahun!$A:$AM,13,FALSE),"")</f>
        <v>3.1899999999999998E-2</v>
      </c>
      <c r="N699" s="13">
        <f>IFERROR(VLOOKUP($A699,koronahun!$A:$AM,14,FALSE),"")</f>
        <v>8.3299999999999999E-2</v>
      </c>
      <c r="O699">
        <f>IFERROR(VLOOKUP($A699,koronahun!$A:$AM,15,FALSE),"")</f>
        <v>0</v>
      </c>
      <c r="P699">
        <f>IFERROR(VLOOKUP($A699,koronahun!$A:$AM,16,FALSE),"")</f>
        <v>1845</v>
      </c>
      <c r="Q699" s="13">
        <f>IFERROR(VLOOKUP($A699,koronahun!$A:$AM,17,FALSE),"")</f>
        <v>3.5200000000000002E-2</v>
      </c>
      <c r="R699">
        <f>IFERROR(VLOOKUP($A699,koronahun!$A:$AM,18,FALSE),"")</f>
        <v>2</v>
      </c>
      <c r="S699">
        <f>IFERROR(VLOOKUP($A699,koronahun!$A:$AM,19,FALSE),"")</f>
        <v>0</v>
      </c>
      <c r="T699">
        <f>IFERROR(VLOOKUP($A699,koronahun!$A:$AM,20,FALSE),"")</f>
        <v>0</v>
      </c>
      <c r="U699">
        <f>IFERROR(VLOOKUP($A699,koronahun!$A:$AM,21,FALSE),"")</f>
        <v>0</v>
      </c>
      <c r="V699" s="13">
        <f>IFERROR(VLOOKUP($A699,koronahun!$A:$AM,22,FALSE),"")</f>
        <v>0.88480392156862742</v>
      </c>
      <c r="W699">
        <f>IFERROR(VLOOKUP($A699,koronahun!$A:$AM,23,FALSE),"")</f>
        <v>0</v>
      </c>
      <c r="X699">
        <f>IFERROR(VLOOKUP($A699,koronahun!$A:$AM,24,FALSE),"")</f>
        <v>0</v>
      </c>
      <c r="Y699" s="14">
        <f>IFERROR(VLOOKUP($A699,koronahun!$A:$AM,25,FALSE),"")</f>
        <v>0</v>
      </c>
      <c r="Z699" s="14">
        <f>IFERROR(VLOOKUP($A699,koronahun!$A:$AM,26,FALSE),"")</f>
        <v>0</v>
      </c>
      <c r="AA699" s="14">
        <f>IFERROR(VLOOKUP($A699,koronahun!$A:$AM,27,FALSE),"")</f>
        <v>2.797979797979798</v>
      </c>
      <c r="AB699" s="14">
        <f>IFERROR(VLOOKUP($A699,koronahun!$A:$AM,28,FALSE),"")</f>
        <v>3.463819365766013</v>
      </c>
      <c r="AC699" s="14">
        <f>IFERROR(VLOOKUP($A699,koronahun!$A:$AM,29,FALSE),"")</f>
        <v>39.571428571428569</v>
      </c>
      <c r="AD699" s="14">
        <f>IFERROR(VLOOKUP($A699,koronahun!$A:$AM,30,FALSE),"")</f>
        <v>1</v>
      </c>
      <c r="AE699" s="14">
        <f>IFERROR(VLOOKUP($A699,koronahun!$A:$AM,31,FALSE),"")</f>
        <v>1100.7142857142858</v>
      </c>
      <c r="AF699" s="13">
        <f>IFERROR(VLOOKUP($A699,koronahun!$A:$AM,32,FALSE),"")</f>
        <v>3.7085714285714284E-2</v>
      </c>
      <c r="AG699">
        <f>IFERROR(VLOOKUP($A699,koronahun!$A:$AM,33,FALSE),"")</f>
        <v>0</v>
      </c>
      <c r="AH699">
        <f>IFERROR(VLOOKUP($A699,koronahun!$A:$AM,34,FALSE),"")</f>
        <v>0</v>
      </c>
      <c r="AI699">
        <f>IFERROR(VLOOKUP($A699,koronahun!$A:$AM,35,FALSE),"")</f>
        <v>0</v>
      </c>
      <c r="AJ699">
        <f>IFERROR(VLOOKUP($A699,koronahun!$A:$AM,36,FALSE),"")</f>
        <v>0</v>
      </c>
      <c r="AK699">
        <f>IFERROR(VLOOKUP($A699,koronahun!$A:$AM,37,FALSE),"")</f>
        <v>0</v>
      </c>
      <c r="AL699">
        <f>IFERROR(VLOOKUP($A699,koronahun!$A:$AM,38,FALSE),"")</f>
        <v>0</v>
      </c>
      <c r="AM699" s="14">
        <f>IFERROR(VLOOKUP($A699,koronahun!$A:$AM,39,FALSE),"")</f>
        <v>2.5714285714285716</v>
      </c>
      <c r="AN699" s="11">
        <f ca="1">IFERROR(__xludf.DUMMYFUNCTION("""COMPUTED_VALUE"""),44591)</f>
        <v>44591</v>
      </c>
      <c r="AO699" s="12">
        <f ca="1">IFERROR(VLOOKUP(AN699,koronahun!A:B,2,FALSE),"")</f>
        <v>0</v>
      </c>
      <c r="AP699" s="11">
        <f t="shared" ca="1" si="4"/>
        <v>44591</v>
      </c>
      <c r="AQ699" s="11">
        <f ca="1">IFERROR(__xludf.DUMMYFUNCTION("""COMPUTED_VALUE"""),44741)</f>
        <v>44741</v>
      </c>
      <c r="AR699" s="11">
        <v>43920</v>
      </c>
      <c r="AS699" s="11">
        <f t="shared" si="5"/>
        <v>43920</v>
      </c>
      <c r="AT699" s="11">
        <f ca="1">IFERROR(__xludf.DUMMYFUNCTION("""COMPUTED_VALUE"""),43919)</f>
        <v>43919</v>
      </c>
    </row>
    <row r="700" spans="1:46" ht="13">
      <c r="A700" s="11">
        <v>43918</v>
      </c>
      <c r="B700">
        <f>IFERROR(VLOOKUP($A700,koronahun!$A:$AM,2,FALSE),"")</f>
        <v>343</v>
      </c>
      <c r="C700">
        <f>IFERROR(VLOOKUP($A700,koronahun!$A:$AM,3,FALSE),"")</f>
        <v>43</v>
      </c>
      <c r="D700">
        <f>IFERROR(VLOOKUP($A700,koronahun!$A:$AM,4,FALSE),"")</f>
        <v>11</v>
      </c>
      <c r="E700">
        <f>IFERROR(VLOOKUP($A700,koronahun!$A:$AM,5,FALSE),"")</f>
        <v>34</v>
      </c>
      <c r="F700">
        <f>IFERROR(VLOOKUP($A700,koronahun!$A:$AM,6,FALSE),"")</f>
        <v>10303</v>
      </c>
      <c r="G700" s="12">
        <f>IFERROR(VLOOKUP($A700,koronahun!$A:$AM,7,FALSE),"")</f>
        <v>1051.3265306122448</v>
      </c>
      <c r="H700">
        <f>IFERROR(VLOOKUP($A700,koronahun!$A:$AM,8,FALSE),"")</f>
        <v>87</v>
      </c>
      <c r="I700" s="13">
        <f>IFERROR(VLOOKUP($A700,koronahun!$A:$AM,9,FALSE),"")</f>
        <v>0.14330000000000001</v>
      </c>
      <c r="J700" s="13">
        <f>IFERROR(VLOOKUP($A700,koronahun!$A:$AM,10,FALSE),"")</f>
        <v>3.3300000000000003E-2</v>
      </c>
      <c r="K700" s="13">
        <f>IFERROR(VLOOKUP($A700,koronahun!$A:$AM,11,FALSE),"")</f>
        <v>0.111</v>
      </c>
      <c r="L700">
        <f>IFERROR(VLOOKUP($A700,koronahun!$A:$AM,12,FALSE),"")</f>
        <v>298</v>
      </c>
      <c r="M700" s="13">
        <f>IFERROR(VLOOKUP($A700,koronahun!$A:$AM,13,FALSE),"")</f>
        <v>3.2099999999999997E-2</v>
      </c>
      <c r="N700" s="13">
        <f>IFERROR(VLOOKUP($A700,koronahun!$A:$AM,14,FALSE),"")</f>
        <v>9.9099999999999994E-2</v>
      </c>
      <c r="O700">
        <f>IFERROR(VLOOKUP($A700,koronahun!$A:$AM,15,FALSE),"")</f>
        <v>0</v>
      </c>
      <c r="P700">
        <f>IFERROR(VLOOKUP($A700,koronahun!$A:$AM,16,FALSE),"")</f>
        <v>1028</v>
      </c>
      <c r="Q700" s="13">
        <f>IFERROR(VLOOKUP($A700,koronahun!$A:$AM,17,FALSE),"")</f>
        <v>4.1799999999999997E-2</v>
      </c>
      <c r="R700">
        <f>IFERROR(VLOOKUP($A700,koronahun!$A:$AM,18,FALSE),"")</f>
        <v>1</v>
      </c>
      <c r="S700">
        <f>IFERROR(VLOOKUP($A700,koronahun!$A:$AM,19,FALSE),"")</f>
        <v>0</v>
      </c>
      <c r="T700">
        <f>IFERROR(VLOOKUP($A700,koronahun!$A:$AM,20,FALSE),"")</f>
        <v>0</v>
      </c>
      <c r="U700">
        <f>IFERROR(VLOOKUP($A700,koronahun!$A:$AM,21,FALSE),"")</f>
        <v>0</v>
      </c>
      <c r="V700" s="13">
        <f>IFERROR(VLOOKUP($A700,koronahun!$A:$AM,22,FALSE),"")</f>
        <v>0.86880466472303208</v>
      </c>
      <c r="W700">
        <f>IFERROR(VLOOKUP($A700,koronahun!$A:$AM,23,FALSE),"")</f>
        <v>0</v>
      </c>
      <c r="X700">
        <f>IFERROR(VLOOKUP($A700,koronahun!$A:$AM,24,FALSE),"")</f>
        <v>0</v>
      </c>
      <c r="Y700" s="14">
        <f>IFERROR(VLOOKUP($A700,koronahun!$A:$AM,25,FALSE),"")</f>
        <v>0</v>
      </c>
      <c r="Z700" s="14">
        <f>IFERROR(VLOOKUP($A700,koronahun!$A:$AM,26,FALSE),"")</f>
        <v>0</v>
      </c>
      <c r="AA700" s="14">
        <f>IFERROR(VLOOKUP($A700,koronahun!$A:$AM,27,FALSE),"")</f>
        <v>3.2876712328767121</v>
      </c>
      <c r="AB700" s="14">
        <f>IFERROR(VLOOKUP($A700,koronahun!$A:$AM,28,FALSE),"")</f>
        <v>3.6298222517688994</v>
      </c>
      <c r="AC700" s="14">
        <f>IFERROR(VLOOKUP($A700,koronahun!$A:$AM,29,FALSE),"")</f>
        <v>34.285714285714285</v>
      </c>
      <c r="AD700" s="14">
        <f>IFERROR(VLOOKUP($A700,koronahun!$A:$AM,30,FALSE),"")</f>
        <v>1</v>
      </c>
      <c r="AE700" s="14">
        <f>IFERROR(VLOOKUP($A700,koronahun!$A:$AM,31,FALSE),"")</f>
        <v>975.14285714285711</v>
      </c>
      <c r="AF700" s="13">
        <f>IFERROR(VLOOKUP($A700,koronahun!$A:$AM,32,FALSE),"")</f>
        <v>3.6200000000000003E-2</v>
      </c>
      <c r="AG700">
        <f>IFERROR(VLOOKUP($A700,koronahun!$A:$AM,33,FALSE),"")</f>
        <v>0</v>
      </c>
      <c r="AH700">
        <f>IFERROR(VLOOKUP($A700,koronahun!$A:$AM,34,FALSE),"")</f>
        <v>0</v>
      </c>
      <c r="AI700">
        <f>IFERROR(VLOOKUP($A700,koronahun!$A:$AM,35,FALSE),"")</f>
        <v>0</v>
      </c>
      <c r="AJ700">
        <f>IFERROR(VLOOKUP($A700,koronahun!$A:$AM,36,FALSE),"")</f>
        <v>0</v>
      </c>
      <c r="AK700">
        <f>IFERROR(VLOOKUP($A700,koronahun!$A:$AM,37,FALSE),"")</f>
        <v>0</v>
      </c>
      <c r="AL700">
        <f>IFERROR(VLOOKUP($A700,koronahun!$A:$AM,38,FALSE),"")</f>
        <v>0</v>
      </c>
      <c r="AM700" s="14">
        <f>IFERROR(VLOOKUP($A700,koronahun!$A:$AM,39,FALSE),"")</f>
        <v>3.8571428571428572</v>
      </c>
      <c r="AN700" s="11">
        <f ca="1">IFERROR(__xludf.DUMMYFUNCTION("""COMPUTED_VALUE"""),44592)</f>
        <v>44592</v>
      </c>
      <c r="AO700" s="12">
        <f ca="1">IFERROR(VLOOKUP(AN700,koronahun!A:B,2,FALSE),"")</f>
        <v>1553405</v>
      </c>
      <c r="AP700" s="11">
        <f t="shared" ca="1" si="4"/>
        <v>44592</v>
      </c>
      <c r="AQ700" s="11">
        <f ca="1">IFERROR(__xludf.DUMMYFUNCTION("""COMPUTED_VALUE"""),44748)</f>
        <v>44748</v>
      </c>
      <c r="AR700" s="11">
        <v>43919</v>
      </c>
      <c r="AS700" s="11">
        <f t="shared" si="5"/>
        <v>43919</v>
      </c>
      <c r="AT700" s="11">
        <f ca="1">IFERROR(__xludf.DUMMYFUNCTION("""COMPUTED_VALUE"""),43918)</f>
        <v>43918</v>
      </c>
    </row>
    <row r="701" spans="1:46" ht="13">
      <c r="A701" s="11">
        <v>43917</v>
      </c>
      <c r="B701">
        <f>IFERROR(VLOOKUP($A701,koronahun!$A:$AM,2,FALSE),"")</f>
        <v>300</v>
      </c>
      <c r="C701">
        <f>IFERROR(VLOOKUP($A701,koronahun!$A:$AM,3,FALSE),"")</f>
        <v>39</v>
      </c>
      <c r="D701">
        <f>IFERROR(VLOOKUP($A701,koronahun!$A:$AM,4,FALSE),"")</f>
        <v>10</v>
      </c>
      <c r="E701">
        <f>IFERROR(VLOOKUP($A701,koronahun!$A:$AM,5,FALSE),"")</f>
        <v>34</v>
      </c>
      <c r="F701">
        <f>IFERROR(VLOOKUP($A701,koronahun!$A:$AM,6,FALSE),"")</f>
        <v>9275</v>
      </c>
      <c r="G701" s="12">
        <f>IFERROR(VLOOKUP($A701,koronahun!$A:$AM,7,FALSE),"")</f>
        <v>946.42857142857133</v>
      </c>
      <c r="H701">
        <f>IFERROR(VLOOKUP($A701,koronahun!$A:$AM,8,FALSE),"")</f>
        <v>84</v>
      </c>
      <c r="I701" s="13">
        <f>IFERROR(VLOOKUP($A701,koronahun!$A:$AM,9,FALSE),"")</f>
        <v>0.14940000000000001</v>
      </c>
      <c r="J701" s="13">
        <f>IFERROR(VLOOKUP($A701,koronahun!$A:$AM,10,FALSE),"")</f>
        <v>3.2300000000000002E-2</v>
      </c>
      <c r="K701" s="13">
        <f>IFERROR(VLOOKUP($A701,koronahun!$A:$AM,11,FALSE),"")</f>
        <v>0.159</v>
      </c>
      <c r="L701">
        <f>IFERROR(VLOOKUP($A701,koronahun!$A:$AM,12,FALSE),"")</f>
        <v>256</v>
      </c>
      <c r="M701" s="13">
        <f>IFERROR(VLOOKUP($A701,koronahun!$A:$AM,13,FALSE),"")</f>
        <v>3.3300000000000003E-2</v>
      </c>
      <c r="N701" s="13">
        <f>IFERROR(VLOOKUP($A701,koronahun!$A:$AM,14,FALSE),"")</f>
        <v>0.1133</v>
      </c>
      <c r="O701">
        <f>IFERROR(VLOOKUP($A701,koronahun!$A:$AM,15,FALSE),"")</f>
        <v>0</v>
      </c>
      <c r="P701">
        <f>IFERROR(VLOOKUP($A701,koronahun!$A:$AM,16,FALSE),"")</f>
        <v>1270</v>
      </c>
      <c r="Q701" s="13">
        <f>IFERROR(VLOOKUP($A701,koronahun!$A:$AM,17,FALSE),"")</f>
        <v>3.0700000000000002E-2</v>
      </c>
      <c r="R701">
        <f>IFERROR(VLOOKUP($A701,koronahun!$A:$AM,18,FALSE),"")</f>
        <v>0</v>
      </c>
      <c r="S701">
        <f>IFERROR(VLOOKUP($A701,koronahun!$A:$AM,19,FALSE),"")</f>
        <v>6</v>
      </c>
      <c r="T701">
        <f>IFERROR(VLOOKUP($A701,koronahun!$A:$AM,20,FALSE),"")</f>
        <v>0</v>
      </c>
      <c r="U701">
        <f>IFERROR(VLOOKUP($A701,koronahun!$A:$AM,21,FALSE),"")</f>
        <v>0</v>
      </c>
      <c r="V701" s="13">
        <f>IFERROR(VLOOKUP($A701,koronahun!$A:$AM,22,FALSE),"")</f>
        <v>0.85333333333333339</v>
      </c>
      <c r="W701">
        <f>IFERROR(VLOOKUP($A701,koronahun!$A:$AM,23,FALSE),"")</f>
        <v>0</v>
      </c>
      <c r="X701">
        <f>IFERROR(VLOOKUP($A701,koronahun!$A:$AM,24,FALSE),"")</f>
        <v>0</v>
      </c>
      <c r="Y701" s="14">
        <f>IFERROR(VLOOKUP($A701,koronahun!$A:$AM,25,FALSE),"")</f>
        <v>0</v>
      </c>
      <c r="Z701" s="14">
        <f>IFERROR(VLOOKUP($A701,koronahun!$A:$AM,26,FALSE),"")</f>
        <v>0</v>
      </c>
      <c r="AA701" s="14">
        <f>IFERROR(VLOOKUP($A701,koronahun!$A:$AM,27,FALSE),"")</f>
        <v>3.2575757575757578</v>
      </c>
      <c r="AB701" s="14">
        <f>IFERROR(VLOOKUP($A701,koronahun!$A:$AM,28,FALSE),"")</f>
        <v>3.5772977899293688</v>
      </c>
      <c r="AC701" s="14">
        <f>IFERROR(VLOOKUP($A701,koronahun!$A:$AM,29,FALSE),"")</f>
        <v>30.714285714285715</v>
      </c>
      <c r="AD701" s="14">
        <f>IFERROR(VLOOKUP($A701,koronahun!$A:$AM,30,FALSE),"")</f>
        <v>0.8571428571428571</v>
      </c>
      <c r="AE701" s="14">
        <f>IFERROR(VLOOKUP($A701,koronahun!$A:$AM,31,FALSE),"")</f>
        <v>895.42857142857144</v>
      </c>
      <c r="AF701" s="13">
        <f>IFERROR(VLOOKUP($A701,koronahun!$A:$AM,32,FALSE),"")</f>
        <v>3.5699999999999996E-2</v>
      </c>
      <c r="AG701">
        <f>IFERROR(VLOOKUP($A701,koronahun!$A:$AM,33,FALSE),"")</f>
        <v>0</v>
      </c>
      <c r="AH701">
        <f>IFERROR(VLOOKUP($A701,koronahun!$A:$AM,34,FALSE),"")</f>
        <v>0</v>
      </c>
      <c r="AI701">
        <f>IFERROR(VLOOKUP($A701,koronahun!$A:$AM,35,FALSE),"")</f>
        <v>0</v>
      </c>
      <c r="AJ701">
        <f>IFERROR(VLOOKUP($A701,koronahun!$A:$AM,36,FALSE),"")</f>
        <v>0</v>
      </c>
      <c r="AK701">
        <f>IFERROR(VLOOKUP($A701,koronahun!$A:$AM,37,FALSE),"")</f>
        <v>0</v>
      </c>
      <c r="AL701">
        <f>IFERROR(VLOOKUP($A701,koronahun!$A:$AM,38,FALSE),"")</f>
        <v>0</v>
      </c>
      <c r="AM701" s="14">
        <f>IFERROR(VLOOKUP($A701,koronahun!$A:$AM,39,FALSE),"")</f>
        <v>3.8571428571428572</v>
      </c>
      <c r="AN701" s="11">
        <f ca="1">IFERROR(__xludf.DUMMYFUNCTION("""COMPUTED_VALUE"""),44593)</f>
        <v>44593</v>
      </c>
      <c r="AO701" s="12">
        <f ca="1">IFERROR(VLOOKUP(AN701,koronahun!A:B,2,FALSE),"")</f>
        <v>1562827</v>
      </c>
      <c r="AP701" s="11">
        <f t="shared" ca="1" si="4"/>
        <v>44593</v>
      </c>
      <c r="AQ701" s="11">
        <f ca="1">IFERROR(__xludf.DUMMYFUNCTION("""COMPUTED_VALUE"""),44755)</f>
        <v>44755</v>
      </c>
      <c r="AR701" s="11">
        <v>43918</v>
      </c>
      <c r="AS701" s="11">
        <f t="shared" si="5"/>
        <v>43918</v>
      </c>
      <c r="AT701" s="11">
        <f ca="1">IFERROR(__xludf.DUMMYFUNCTION("""COMPUTED_VALUE"""),43917)</f>
        <v>43917</v>
      </c>
    </row>
    <row r="702" spans="1:46" ht="13">
      <c r="A702" s="11">
        <v>43916</v>
      </c>
      <c r="B702">
        <f>IFERROR(VLOOKUP($A702,koronahun!$A:$AM,2,FALSE),"")</f>
        <v>261</v>
      </c>
      <c r="C702">
        <f>IFERROR(VLOOKUP($A702,koronahun!$A:$AM,3,FALSE),"")</f>
        <v>35</v>
      </c>
      <c r="D702">
        <f>IFERROR(VLOOKUP($A702,koronahun!$A:$AM,4,FALSE),"")</f>
        <v>10</v>
      </c>
      <c r="E702">
        <f>IFERROR(VLOOKUP($A702,koronahun!$A:$AM,5,FALSE),"")</f>
        <v>28</v>
      </c>
      <c r="F702">
        <f>IFERROR(VLOOKUP($A702,koronahun!$A:$AM,6,FALSE),"")</f>
        <v>8005</v>
      </c>
      <c r="G702" s="12">
        <f>IFERROR(VLOOKUP($A702,koronahun!$A:$AM,7,FALSE),"")</f>
        <v>816.83673469387747</v>
      </c>
      <c r="H702">
        <f>IFERROR(VLOOKUP($A702,koronahun!$A:$AM,8,FALSE),"")</f>
        <v>100</v>
      </c>
      <c r="I702" s="13">
        <f>IFERROR(VLOOKUP($A702,koronahun!$A:$AM,9,FALSE),"")</f>
        <v>0.15490000000000001</v>
      </c>
      <c r="J702" s="13">
        <f>IFERROR(VLOOKUP($A702,koronahun!$A:$AM,10,FALSE),"")</f>
        <v>3.2599999999999997E-2</v>
      </c>
      <c r="K702" s="13">
        <f>IFERROR(VLOOKUP($A702,koronahun!$A:$AM,11,FALSE),"")</f>
        <v>0.17399999999999999</v>
      </c>
      <c r="L702">
        <f>IFERROR(VLOOKUP($A702,koronahun!$A:$AM,12,FALSE),"")</f>
        <v>223</v>
      </c>
      <c r="M702" s="13">
        <f>IFERROR(VLOOKUP($A702,koronahun!$A:$AM,13,FALSE),"")</f>
        <v>3.8300000000000001E-2</v>
      </c>
      <c r="N702" s="13">
        <f>IFERROR(VLOOKUP($A702,koronahun!$A:$AM,14,FALSE),"")</f>
        <v>0.10730000000000001</v>
      </c>
      <c r="O702">
        <f>IFERROR(VLOOKUP($A702,koronahun!$A:$AM,15,FALSE),"")</f>
        <v>0</v>
      </c>
      <c r="P702">
        <f>IFERROR(VLOOKUP($A702,koronahun!$A:$AM,16,FALSE),"")</f>
        <v>1188</v>
      </c>
      <c r="Q702" s="13">
        <f>IFERROR(VLOOKUP($A702,koronahun!$A:$AM,17,FALSE),"")</f>
        <v>2.9499999999999998E-2</v>
      </c>
      <c r="R702">
        <f>IFERROR(VLOOKUP($A702,koronahun!$A:$AM,18,FALSE),"")</f>
        <v>0</v>
      </c>
      <c r="S702">
        <f>IFERROR(VLOOKUP($A702,koronahun!$A:$AM,19,FALSE),"")</f>
        <v>7</v>
      </c>
      <c r="T702">
        <f>IFERROR(VLOOKUP($A702,koronahun!$A:$AM,20,FALSE),"")</f>
        <v>0</v>
      </c>
      <c r="U702">
        <f>IFERROR(VLOOKUP($A702,koronahun!$A:$AM,21,FALSE),"")</f>
        <v>0</v>
      </c>
      <c r="V702" s="13">
        <f>IFERROR(VLOOKUP($A702,koronahun!$A:$AM,22,FALSE),"")</f>
        <v>0.85440613026819923</v>
      </c>
      <c r="W702">
        <f>IFERROR(VLOOKUP($A702,koronahun!$A:$AM,23,FALSE),"")</f>
        <v>0</v>
      </c>
      <c r="X702">
        <f>IFERROR(VLOOKUP($A702,koronahun!$A:$AM,24,FALSE),"")</f>
        <v>0</v>
      </c>
      <c r="Y702" s="14">
        <f>IFERROR(VLOOKUP($A702,koronahun!$A:$AM,25,FALSE),"")</f>
        <v>0</v>
      </c>
      <c r="Z702" s="14">
        <f>IFERROR(VLOOKUP($A702,koronahun!$A:$AM,26,FALSE),"")</f>
        <v>0</v>
      </c>
      <c r="AA702" s="14">
        <f>IFERROR(VLOOKUP($A702,koronahun!$A:$AM,27,FALSE),"")</f>
        <v>3.2982456140350878</v>
      </c>
      <c r="AB702" s="14">
        <f>IFERROR(VLOOKUP($A702,koronahun!$A:$AM,28,FALSE),"")</f>
        <v>3.7405012531328325</v>
      </c>
      <c r="AC702" s="14">
        <f>IFERROR(VLOOKUP($A702,koronahun!$A:$AM,29,FALSE),"")</f>
        <v>26.857142857142858</v>
      </c>
      <c r="AD702" s="14">
        <f>IFERROR(VLOOKUP($A702,koronahun!$A:$AM,30,FALSE),"")</f>
        <v>1.2857142857142858</v>
      </c>
      <c r="AE702" s="14">
        <f>IFERROR(VLOOKUP($A702,koronahun!$A:$AM,31,FALSE),"")</f>
        <v>811.85714285714289</v>
      </c>
      <c r="AF702" s="13">
        <f>IFERROR(VLOOKUP($A702,koronahun!$A:$AM,32,FALSE),"")</f>
        <v>3.3814285714285713E-2</v>
      </c>
      <c r="AG702">
        <f>IFERROR(VLOOKUP($A702,koronahun!$A:$AM,33,FALSE),"")</f>
        <v>0</v>
      </c>
      <c r="AH702">
        <f>IFERROR(VLOOKUP($A702,koronahun!$A:$AM,34,FALSE),"")</f>
        <v>0</v>
      </c>
      <c r="AI702">
        <f>IFERROR(VLOOKUP($A702,koronahun!$A:$AM,35,FALSE),"")</f>
        <v>0</v>
      </c>
      <c r="AJ702">
        <f>IFERROR(VLOOKUP($A702,koronahun!$A:$AM,36,FALSE),"")</f>
        <v>0</v>
      </c>
      <c r="AK702">
        <f>IFERROR(VLOOKUP($A702,koronahun!$A:$AM,37,FALSE),"")</f>
        <v>0</v>
      </c>
      <c r="AL702">
        <f>IFERROR(VLOOKUP($A702,koronahun!$A:$AM,38,FALSE),"")</f>
        <v>0</v>
      </c>
      <c r="AM702" s="14">
        <f>IFERROR(VLOOKUP($A702,koronahun!$A:$AM,39,FALSE),"")</f>
        <v>3.7142857142857144</v>
      </c>
      <c r="AN702" s="11">
        <f ca="1">IFERROR(__xludf.DUMMYFUNCTION("""COMPUTED_VALUE"""),44594)</f>
        <v>44594</v>
      </c>
      <c r="AO702" s="12">
        <f ca="1">IFERROR(VLOOKUP(AN702,koronahun!A:B,2,FALSE),"")</f>
        <v>1582517</v>
      </c>
      <c r="AP702" s="11">
        <f t="shared" ca="1" si="4"/>
        <v>44594</v>
      </c>
      <c r="AQ702" s="11">
        <f ca="1">IFERROR(__xludf.DUMMYFUNCTION("""COMPUTED_VALUE"""),44762)</f>
        <v>44762</v>
      </c>
      <c r="AR702" s="11">
        <v>43917</v>
      </c>
      <c r="AS702" s="11">
        <f t="shared" si="5"/>
        <v>43917</v>
      </c>
      <c r="AT702" s="11">
        <f ca="1">IFERROR(__xludf.DUMMYFUNCTION("""COMPUTED_VALUE"""),43916)</f>
        <v>43916</v>
      </c>
    </row>
    <row r="703" spans="1:46" ht="13">
      <c r="A703" s="11">
        <v>43915</v>
      </c>
      <c r="B703">
        <f>IFERROR(VLOOKUP($A703,koronahun!$A:$AM,2,FALSE),"")</f>
        <v>226</v>
      </c>
      <c r="C703">
        <f>IFERROR(VLOOKUP($A703,koronahun!$A:$AM,3,FALSE),"")</f>
        <v>39</v>
      </c>
      <c r="D703">
        <f>IFERROR(VLOOKUP($A703,koronahun!$A:$AM,4,FALSE),"")</f>
        <v>10</v>
      </c>
      <c r="E703">
        <f>IFERROR(VLOOKUP($A703,koronahun!$A:$AM,5,FALSE),"")</f>
        <v>21</v>
      </c>
      <c r="F703">
        <f>IFERROR(VLOOKUP($A703,koronahun!$A:$AM,6,FALSE),"")</f>
        <v>6817</v>
      </c>
      <c r="G703" s="12">
        <f>IFERROR(VLOOKUP($A703,koronahun!$A:$AM,7,FALSE),"")</f>
        <v>695.61224489795916</v>
      </c>
      <c r="H703">
        <f>IFERROR(VLOOKUP($A703,koronahun!$A:$AM,8,FALSE),"")</f>
        <v>85</v>
      </c>
      <c r="I703" s="13">
        <f>IFERROR(VLOOKUP($A703,koronahun!$A:$AM,9,FALSE),"")</f>
        <v>0.20860000000000001</v>
      </c>
      <c r="J703" s="13">
        <f>IFERROR(VLOOKUP($A703,koronahun!$A:$AM,10,FALSE),"")</f>
        <v>3.32E-2</v>
      </c>
      <c r="K703" s="13">
        <f>IFERROR(VLOOKUP($A703,koronahun!$A:$AM,11,FALSE),"")</f>
        <v>0.115</v>
      </c>
      <c r="L703">
        <f>IFERROR(VLOOKUP($A703,koronahun!$A:$AM,12,FALSE),"")</f>
        <v>195</v>
      </c>
      <c r="M703" s="13">
        <f>IFERROR(VLOOKUP($A703,koronahun!$A:$AM,13,FALSE),"")</f>
        <v>4.4200000000000003E-2</v>
      </c>
      <c r="N703" s="13">
        <f>IFERROR(VLOOKUP($A703,koronahun!$A:$AM,14,FALSE),"")</f>
        <v>9.2899999999999996E-2</v>
      </c>
      <c r="O703">
        <f>IFERROR(VLOOKUP($A703,koronahun!$A:$AM,15,FALSE),"")</f>
        <v>0</v>
      </c>
      <c r="P703">
        <f>IFERROR(VLOOKUP($A703,koronahun!$A:$AM,16,FALSE),"")</f>
        <v>704</v>
      </c>
      <c r="Q703" s="13">
        <f>IFERROR(VLOOKUP($A703,koronahun!$A:$AM,17,FALSE),"")</f>
        <v>5.5399999999999998E-2</v>
      </c>
      <c r="R703">
        <f>IFERROR(VLOOKUP($A703,koronahun!$A:$AM,18,FALSE),"")</f>
        <v>1</v>
      </c>
      <c r="S703">
        <f>IFERROR(VLOOKUP($A703,koronahun!$A:$AM,19,FALSE),"")</f>
        <v>0</v>
      </c>
      <c r="T703">
        <f>IFERROR(VLOOKUP($A703,koronahun!$A:$AM,20,FALSE),"")</f>
        <v>0</v>
      </c>
      <c r="U703">
        <f>IFERROR(VLOOKUP($A703,koronahun!$A:$AM,21,FALSE),"")</f>
        <v>0</v>
      </c>
      <c r="V703" s="13">
        <f>IFERROR(VLOOKUP($A703,koronahun!$A:$AM,22,FALSE),"")</f>
        <v>0.86283185840707965</v>
      </c>
      <c r="W703">
        <f>IFERROR(VLOOKUP($A703,koronahun!$A:$AM,23,FALSE),"")</f>
        <v>0</v>
      </c>
      <c r="X703">
        <f>IFERROR(VLOOKUP($A703,koronahun!$A:$AM,24,FALSE),"")</f>
        <v>0</v>
      </c>
      <c r="Y703" s="14">
        <f>IFERROR(VLOOKUP($A703,koronahun!$A:$AM,25,FALSE),"")</f>
        <v>0</v>
      </c>
      <c r="Z703" s="14">
        <f>IFERROR(VLOOKUP($A703,koronahun!$A:$AM,26,FALSE),"")</f>
        <v>0</v>
      </c>
      <c r="AA703" s="14">
        <f>IFERROR(VLOOKUP($A703,koronahun!$A:$AM,27,FALSE),"")</f>
        <v>3.7333333333333334</v>
      </c>
      <c r="AB703" s="14">
        <f>IFERROR(VLOOKUP($A703,koronahun!$A:$AM,28,FALSE),"")</f>
        <v>3.9478947368421053</v>
      </c>
      <c r="AC703" s="14">
        <f>IFERROR(VLOOKUP($A703,koronahun!$A:$AM,29,FALSE),"")</f>
        <v>24</v>
      </c>
      <c r="AD703" s="14">
        <f>IFERROR(VLOOKUP($A703,koronahun!$A:$AM,30,FALSE),"")</f>
        <v>1.2857142857142858</v>
      </c>
      <c r="AE703" s="14">
        <f>IFERROR(VLOOKUP($A703,koronahun!$A:$AM,31,FALSE),"")</f>
        <v>716.28571428571433</v>
      </c>
      <c r="AF703" s="13">
        <f>IFERROR(VLOOKUP($A703,koronahun!$A:$AM,32,FALSE),"")</f>
        <v>3.3728571428571427E-2</v>
      </c>
      <c r="AG703">
        <f>IFERROR(VLOOKUP($A703,koronahun!$A:$AM,33,FALSE),"")</f>
        <v>0</v>
      </c>
      <c r="AH703">
        <f>IFERROR(VLOOKUP($A703,koronahun!$A:$AM,34,FALSE),"")</f>
        <v>0</v>
      </c>
      <c r="AI703">
        <f>IFERROR(VLOOKUP($A703,koronahun!$A:$AM,35,FALSE),"")</f>
        <v>0</v>
      </c>
      <c r="AJ703">
        <f>IFERROR(VLOOKUP($A703,koronahun!$A:$AM,36,FALSE),"")</f>
        <v>0</v>
      </c>
      <c r="AK703">
        <f>IFERROR(VLOOKUP($A703,koronahun!$A:$AM,37,FALSE),"")</f>
        <v>0</v>
      </c>
      <c r="AL703">
        <f>IFERROR(VLOOKUP($A703,koronahun!$A:$AM,38,FALSE),"")</f>
        <v>0</v>
      </c>
      <c r="AM703" s="14">
        <f>IFERROR(VLOOKUP($A703,koronahun!$A:$AM,39,FALSE),"")</f>
        <v>2.7142857142857144</v>
      </c>
      <c r="AN703" s="11">
        <f ca="1">IFERROR(__xludf.DUMMYFUNCTION("""COMPUTED_VALUE"""),44595)</f>
        <v>44595</v>
      </c>
      <c r="AO703" s="12">
        <f ca="1">IFERROR(VLOOKUP(AN703,koronahun!A:B,2,FALSE),"")</f>
        <v>1600411</v>
      </c>
      <c r="AP703" s="11">
        <f t="shared" ca="1" si="4"/>
        <v>44595</v>
      </c>
      <c r="AQ703" s="11">
        <f ca="1">IFERROR(__xludf.DUMMYFUNCTION("""COMPUTED_VALUE"""),44769)</f>
        <v>44769</v>
      </c>
      <c r="AR703" s="11">
        <v>43916</v>
      </c>
      <c r="AS703" s="11">
        <f t="shared" si="5"/>
        <v>43916</v>
      </c>
      <c r="AT703" s="11">
        <f ca="1">IFERROR(__xludf.DUMMYFUNCTION("""COMPUTED_VALUE"""),43915)</f>
        <v>43915</v>
      </c>
    </row>
    <row r="704" spans="1:46" ht="13">
      <c r="A704" s="11">
        <v>43914</v>
      </c>
      <c r="B704">
        <f>IFERROR(VLOOKUP($A704,koronahun!$A:$AM,2,FALSE),"")</f>
        <v>187</v>
      </c>
      <c r="C704">
        <f>IFERROR(VLOOKUP($A704,koronahun!$A:$AM,3,FALSE),"")</f>
        <v>20</v>
      </c>
      <c r="D704">
        <f>IFERROR(VLOOKUP($A704,koronahun!$A:$AM,4,FALSE),"")</f>
        <v>9</v>
      </c>
      <c r="E704">
        <f>IFERROR(VLOOKUP($A704,koronahun!$A:$AM,5,FALSE),"")</f>
        <v>21</v>
      </c>
      <c r="F704">
        <f>IFERROR(VLOOKUP($A704,koronahun!$A:$AM,6,FALSE),"")</f>
        <v>6113</v>
      </c>
      <c r="G704" s="12">
        <f>IFERROR(VLOOKUP($A704,koronahun!$A:$AM,7,FALSE),"")</f>
        <v>623.77551020408157</v>
      </c>
      <c r="H704">
        <f>IFERROR(VLOOKUP($A704,koronahun!$A:$AM,8,FALSE),"")</f>
        <v>92</v>
      </c>
      <c r="I704" s="13">
        <f>IFERROR(VLOOKUP($A704,koronahun!$A:$AM,9,FALSE),"")</f>
        <v>0.1198</v>
      </c>
      <c r="J704" s="13">
        <f>IFERROR(VLOOKUP($A704,koronahun!$A:$AM,10,FALSE),"")</f>
        <v>3.0599999999999999E-2</v>
      </c>
      <c r="K704" s="13">
        <f>IFERROR(VLOOKUP($A704,koronahun!$A:$AM,11,FALSE),"")</f>
        <v>0.108</v>
      </c>
      <c r="L704">
        <f>IFERROR(VLOOKUP($A704,koronahun!$A:$AM,12,FALSE),"")</f>
        <v>157</v>
      </c>
      <c r="M704" s="13">
        <f>IFERROR(VLOOKUP($A704,koronahun!$A:$AM,13,FALSE),"")</f>
        <v>4.8099999999999997E-2</v>
      </c>
      <c r="N704" s="13">
        <f>IFERROR(VLOOKUP($A704,koronahun!$A:$AM,14,FALSE),"")</f>
        <v>0.1123</v>
      </c>
      <c r="O704">
        <f>IFERROR(VLOOKUP($A704,koronahun!$A:$AM,15,FALSE),"")</f>
        <v>4207</v>
      </c>
      <c r="P704">
        <f>IFERROR(VLOOKUP($A704,koronahun!$A:$AM,16,FALSE),"")</f>
        <v>598</v>
      </c>
      <c r="Q704" s="13">
        <f>IFERROR(VLOOKUP($A704,koronahun!$A:$AM,17,FALSE),"")</f>
        <v>3.3399999999999999E-2</v>
      </c>
      <c r="R704">
        <f>IFERROR(VLOOKUP($A704,koronahun!$A:$AM,18,FALSE),"")</f>
        <v>1</v>
      </c>
      <c r="S704">
        <f>IFERROR(VLOOKUP($A704,koronahun!$A:$AM,19,FALSE),"")</f>
        <v>0</v>
      </c>
      <c r="T704">
        <f>IFERROR(VLOOKUP($A704,koronahun!$A:$AM,20,FALSE),"")</f>
        <v>0</v>
      </c>
      <c r="U704">
        <f>IFERROR(VLOOKUP($A704,koronahun!$A:$AM,21,FALSE),"")</f>
        <v>0</v>
      </c>
      <c r="V704" s="13">
        <f>IFERROR(VLOOKUP($A704,koronahun!$A:$AM,22,FALSE),"")</f>
        <v>0.83957219251336901</v>
      </c>
      <c r="W704">
        <f>IFERROR(VLOOKUP($A704,koronahun!$A:$AM,23,FALSE),"")</f>
        <v>0</v>
      </c>
      <c r="X704">
        <f>IFERROR(VLOOKUP($A704,koronahun!$A:$AM,24,FALSE),"")</f>
        <v>0</v>
      </c>
      <c r="Y704" s="14">
        <f>IFERROR(VLOOKUP($A704,koronahun!$A:$AM,25,FALSE),"")</f>
        <v>0</v>
      </c>
      <c r="Z704" s="14">
        <f>IFERROR(VLOOKUP($A704,koronahun!$A:$AM,26,FALSE),"")</f>
        <v>0</v>
      </c>
      <c r="AA704" s="14">
        <f>IFERROR(VLOOKUP($A704,koronahun!$A:$AM,27,FALSE),"")</f>
        <v>3.6052631578947367</v>
      </c>
      <c r="AB704" s="14">
        <f>IFERROR(VLOOKUP($A704,koronahun!$A:$AM,28,FALSE),"")</f>
        <v>3.998976987924356</v>
      </c>
      <c r="AC704" s="14">
        <f>IFERROR(VLOOKUP($A704,koronahun!$A:$AM,29,FALSE),"")</f>
        <v>19.571428571428573</v>
      </c>
      <c r="AD704" s="14">
        <f>IFERROR(VLOOKUP($A704,koronahun!$A:$AM,30,FALSE),"")</f>
        <v>1.1428571428571428</v>
      </c>
      <c r="AE704" s="14">
        <f>IFERROR(VLOOKUP($A704,koronahun!$A:$AM,31,FALSE),"")</f>
        <v>646.57142857142856</v>
      </c>
      <c r="AF704" s="13">
        <f>IFERROR(VLOOKUP($A704,koronahun!$A:$AM,32,FALSE),"")</f>
        <v>3.1099999999999999E-2</v>
      </c>
      <c r="AG704">
        <f>IFERROR(VLOOKUP($A704,koronahun!$A:$AM,33,FALSE),"")</f>
        <v>0</v>
      </c>
      <c r="AH704">
        <f>IFERROR(VLOOKUP($A704,koronahun!$A:$AM,34,FALSE),"")</f>
        <v>0</v>
      </c>
      <c r="AI704">
        <f>IFERROR(VLOOKUP($A704,koronahun!$A:$AM,35,FALSE),"")</f>
        <v>0</v>
      </c>
      <c r="AJ704">
        <f>IFERROR(VLOOKUP($A704,koronahun!$A:$AM,36,FALSE),"")</f>
        <v>0</v>
      </c>
      <c r="AK704">
        <f>IFERROR(VLOOKUP($A704,koronahun!$A:$AM,37,FALSE),"")</f>
        <v>0</v>
      </c>
      <c r="AL704">
        <f>IFERROR(VLOOKUP($A704,koronahun!$A:$AM,38,FALSE),"")</f>
        <v>0</v>
      </c>
      <c r="AM704" s="14">
        <f>IFERROR(VLOOKUP($A704,koronahun!$A:$AM,39,FALSE),"")</f>
        <v>2.7142857142857144</v>
      </c>
      <c r="AN704" s="11">
        <f ca="1">IFERROR(__xludf.DUMMYFUNCTION("""COMPUTED_VALUE"""),44596)</f>
        <v>44596</v>
      </c>
      <c r="AO704" s="12">
        <f ca="1">IFERROR(VLOOKUP(AN704,koronahun!A:B,2,FALSE),"")</f>
        <v>1616846</v>
      </c>
      <c r="AP704" s="11">
        <f t="shared" ca="1" si="4"/>
        <v>44596</v>
      </c>
      <c r="AQ704" s="11">
        <f ca="1">IFERROR(__xludf.DUMMYFUNCTION("""COMPUTED_VALUE"""),44776)</f>
        <v>44776</v>
      </c>
      <c r="AR704" s="11">
        <v>43915</v>
      </c>
      <c r="AS704" s="11">
        <f t="shared" si="5"/>
        <v>43915</v>
      </c>
      <c r="AT704" s="11">
        <f ca="1">IFERROR(__xludf.DUMMYFUNCTION("""COMPUTED_VALUE"""),43914)</f>
        <v>43914</v>
      </c>
    </row>
    <row r="705" spans="1:46" ht="13">
      <c r="A705" s="11">
        <v>43913</v>
      </c>
      <c r="B705">
        <f>IFERROR(VLOOKUP($A705,koronahun!$A:$AM,2,FALSE),"")</f>
        <v>167</v>
      </c>
      <c r="C705">
        <f>IFERROR(VLOOKUP($A705,koronahun!$A:$AM,3,FALSE),"")</f>
        <v>36</v>
      </c>
      <c r="D705">
        <f>IFERROR(VLOOKUP($A705,koronahun!$A:$AM,4,FALSE),"")</f>
        <v>8</v>
      </c>
      <c r="E705">
        <f>IFERROR(VLOOKUP($A705,koronahun!$A:$AM,5,FALSE),"")</f>
        <v>21</v>
      </c>
      <c r="F705">
        <f>IFERROR(VLOOKUP($A705,koronahun!$A:$AM,6,FALSE),"")</f>
        <v>5515</v>
      </c>
      <c r="G705" s="12">
        <f>IFERROR(VLOOKUP($A705,koronahun!$A:$AM,7,FALSE),"")</f>
        <v>562.75510204081627</v>
      </c>
      <c r="H705">
        <f>IFERROR(VLOOKUP($A705,koronahun!$A:$AM,8,FALSE),"")</f>
        <v>101</v>
      </c>
      <c r="I705" s="13">
        <f>IFERROR(VLOOKUP($A705,koronahun!$A:$AM,9,FALSE),"")</f>
        <v>0.27479999999999999</v>
      </c>
      <c r="J705" s="13">
        <f>IFERROR(VLOOKUP($A705,koronahun!$A:$AM,10,FALSE),"")</f>
        <v>3.0300000000000001E-2</v>
      </c>
      <c r="K705" s="13">
        <f>IFERROR(VLOOKUP($A705,koronahun!$A:$AM,11,FALSE),"")</f>
        <v>0.24099999999999999</v>
      </c>
      <c r="L705">
        <f>IFERROR(VLOOKUP($A705,koronahun!$A:$AM,12,FALSE),"")</f>
        <v>138</v>
      </c>
      <c r="M705" s="13">
        <f>IFERROR(VLOOKUP($A705,koronahun!$A:$AM,13,FALSE),"")</f>
        <v>4.7899999999999998E-2</v>
      </c>
      <c r="N705" s="13">
        <f>IFERROR(VLOOKUP($A705,koronahun!$A:$AM,14,FALSE),"")</f>
        <v>0.12570000000000001</v>
      </c>
      <c r="O705">
        <f>IFERROR(VLOOKUP($A705,koronahun!$A:$AM,15,FALSE),"")</f>
        <v>4001</v>
      </c>
      <c r="P705">
        <f>IFERROR(VLOOKUP($A705,koronahun!$A:$AM,16,FALSE),"")</f>
        <v>1072</v>
      </c>
      <c r="Q705" s="13">
        <f>IFERROR(VLOOKUP($A705,koronahun!$A:$AM,17,FALSE),"")</f>
        <v>3.3599999999999998E-2</v>
      </c>
      <c r="R705">
        <f>IFERROR(VLOOKUP($A705,koronahun!$A:$AM,18,FALSE),"")</f>
        <v>2</v>
      </c>
      <c r="S705">
        <f>IFERROR(VLOOKUP($A705,koronahun!$A:$AM,19,FALSE),"")</f>
        <v>5</v>
      </c>
      <c r="T705">
        <f>IFERROR(VLOOKUP($A705,koronahun!$A:$AM,20,FALSE),"")</f>
        <v>0</v>
      </c>
      <c r="U705">
        <f>IFERROR(VLOOKUP($A705,koronahun!$A:$AM,21,FALSE),"")</f>
        <v>0</v>
      </c>
      <c r="V705" s="13">
        <f>IFERROR(VLOOKUP($A705,koronahun!$A:$AM,22,FALSE),"")</f>
        <v>0.82634730538922152</v>
      </c>
      <c r="W705">
        <f>IFERROR(VLOOKUP($A705,koronahun!$A:$AM,23,FALSE),"")</f>
        <v>0</v>
      </c>
      <c r="X705">
        <f>IFERROR(VLOOKUP($A705,koronahun!$A:$AM,24,FALSE),"")</f>
        <v>0</v>
      </c>
      <c r="Y705" s="14">
        <f>IFERROR(VLOOKUP($A705,koronahun!$A:$AM,25,FALSE),"")</f>
        <v>0</v>
      </c>
      <c r="Z705" s="14">
        <f>IFERROR(VLOOKUP($A705,koronahun!$A:$AM,26,FALSE),"")</f>
        <v>0</v>
      </c>
      <c r="AA705" s="14">
        <f>IFERROR(VLOOKUP($A705,koronahun!$A:$AM,27,FALSE),"")</f>
        <v>4.2666666666666666</v>
      </c>
      <c r="AB705" s="14">
        <f>IFERROR(VLOOKUP($A705,koronahun!$A:$AM,28,FALSE),"")</f>
        <v>3.9363203463203464</v>
      </c>
      <c r="AC705" s="14">
        <f>IFERROR(VLOOKUP($A705,koronahun!$A:$AM,29,FALSE),"")</f>
        <v>18.285714285714285</v>
      </c>
      <c r="AD705" s="14">
        <f>IFERROR(VLOOKUP($A705,koronahun!$A:$AM,30,FALSE),"")</f>
        <v>1</v>
      </c>
      <c r="AE705" s="14">
        <f>IFERROR(VLOOKUP($A705,koronahun!$A:$AM,31,FALSE),"")</f>
        <v>577.85714285714289</v>
      </c>
      <c r="AF705" s="13">
        <f>IFERROR(VLOOKUP($A705,koronahun!$A:$AM,32,FALSE),"")</f>
        <v>3.9757142857142859E-2</v>
      </c>
      <c r="AG705">
        <f>IFERROR(VLOOKUP($A705,koronahun!$A:$AM,33,FALSE),"")</f>
        <v>0</v>
      </c>
      <c r="AH705">
        <f>IFERROR(VLOOKUP($A705,koronahun!$A:$AM,34,FALSE),"")</f>
        <v>0</v>
      </c>
      <c r="AI705">
        <f>IFERROR(VLOOKUP($A705,koronahun!$A:$AM,35,FALSE),"")</f>
        <v>0</v>
      </c>
      <c r="AJ705">
        <f>IFERROR(VLOOKUP($A705,koronahun!$A:$AM,36,FALSE),"")</f>
        <v>0</v>
      </c>
      <c r="AK705">
        <f>IFERROR(VLOOKUP($A705,koronahun!$A:$AM,37,FALSE),"")</f>
        <v>0</v>
      </c>
      <c r="AL705">
        <f>IFERROR(VLOOKUP($A705,koronahun!$A:$AM,38,FALSE),"")</f>
        <v>0</v>
      </c>
      <c r="AM705" s="14">
        <f>IFERROR(VLOOKUP($A705,koronahun!$A:$AM,39,FALSE),"")</f>
        <v>2.7142857142857144</v>
      </c>
      <c r="AN705" s="11">
        <f ca="1">IFERROR(__xludf.DUMMYFUNCTION("""COMPUTED_VALUE"""),44597)</f>
        <v>44597</v>
      </c>
      <c r="AO705" s="12">
        <f ca="1">IFERROR(VLOOKUP(AN705,koronahun!A:B,2,FALSE),"")</f>
        <v>0</v>
      </c>
      <c r="AP705" s="11">
        <f t="shared" ca="1" si="4"/>
        <v>44597</v>
      </c>
      <c r="AQ705" s="11">
        <f ca="1">IFERROR(__xludf.DUMMYFUNCTION("""COMPUTED_VALUE"""),44783)</f>
        <v>44783</v>
      </c>
      <c r="AR705" s="11">
        <v>43914</v>
      </c>
      <c r="AS705" s="11">
        <f t="shared" si="5"/>
        <v>43914</v>
      </c>
      <c r="AT705" s="11">
        <f ca="1">IFERROR(__xludf.DUMMYFUNCTION("""COMPUTED_VALUE"""),43913)</f>
        <v>43913</v>
      </c>
    </row>
    <row r="706" spans="1:46" ht="13">
      <c r="A706" s="11">
        <v>43912</v>
      </c>
      <c r="B706">
        <f>IFERROR(VLOOKUP($A706,koronahun!$A:$AM,2,FALSE),"")</f>
        <v>131</v>
      </c>
      <c r="C706">
        <f>IFERROR(VLOOKUP($A706,koronahun!$A:$AM,3,FALSE),"")</f>
        <v>28</v>
      </c>
      <c r="D706">
        <f>IFERROR(VLOOKUP($A706,koronahun!$A:$AM,4,FALSE),"")</f>
        <v>6</v>
      </c>
      <c r="E706">
        <f>IFERROR(VLOOKUP($A706,koronahun!$A:$AM,5,FALSE),"")</f>
        <v>16</v>
      </c>
      <c r="F706">
        <f>IFERROR(VLOOKUP($A706,koronahun!$A:$AM,6,FALSE),"")</f>
        <v>4443</v>
      </c>
      <c r="G706" s="12">
        <f>IFERROR(VLOOKUP($A706,koronahun!$A:$AM,7,FALSE),"")</f>
        <v>453.36734693877548</v>
      </c>
      <c r="H706">
        <f>IFERROR(VLOOKUP($A706,koronahun!$A:$AM,8,FALSE),"")</f>
        <v>115</v>
      </c>
      <c r="I706" s="13">
        <f>IFERROR(VLOOKUP($A706,koronahun!$A:$AM,9,FALSE),"")</f>
        <v>0.27179999999999999</v>
      </c>
      <c r="J706" s="13">
        <f>IFERROR(VLOOKUP($A706,koronahun!$A:$AM,10,FALSE),"")</f>
        <v>2.9499999999999998E-2</v>
      </c>
      <c r="K706" s="13">
        <f>IFERROR(VLOOKUP($A706,koronahun!$A:$AM,11,FALSE),"")</f>
        <v>0.27800000000000002</v>
      </c>
      <c r="L706">
        <f>IFERROR(VLOOKUP($A706,koronahun!$A:$AM,12,FALSE),"")</f>
        <v>109</v>
      </c>
      <c r="M706" s="13">
        <f>IFERROR(VLOOKUP($A706,koronahun!$A:$AM,13,FALSE),"")</f>
        <v>4.58E-2</v>
      </c>
      <c r="N706" s="13">
        <f>IFERROR(VLOOKUP($A706,koronahun!$A:$AM,14,FALSE),"")</f>
        <v>0.1221</v>
      </c>
      <c r="O706">
        <f>IFERROR(VLOOKUP($A706,koronahun!$A:$AM,15,FALSE),"")</f>
        <v>3945</v>
      </c>
      <c r="P706">
        <f>IFERROR(VLOOKUP($A706,koronahun!$A:$AM,16,FALSE),"")</f>
        <v>966</v>
      </c>
      <c r="Q706" s="13">
        <f>IFERROR(VLOOKUP($A706,koronahun!$A:$AM,17,FALSE),"")</f>
        <v>2.9000000000000001E-2</v>
      </c>
      <c r="R706">
        <f>IFERROR(VLOOKUP($A706,koronahun!$A:$AM,18,FALSE),"")</f>
        <v>2</v>
      </c>
      <c r="S706">
        <f>IFERROR(VLOOKUP($A706,koronahun!$A:$AM,19,FALSE),"")</f>
        <v>9</v>
      </c>
      <c r="T706">
        <f>IFERROR(VLOOKUP($A706,koronahun!$A:$AM,20,FALSE),"")</f>
        <v>0</v>
      </c>
      <c r="U706">
        <f>IFERROR(VLOOKUP($A706,koronahun!$A:$AM,21,FALSE),"")</f>
        <v>0</v>
      </c>
      <c r="V706" s="13">
        <f>IFERROR(VLOOKUP($A706,koronahun!$A:$AM,22,FALSE),"")</f>
        <v>0.83206106870229013</v>
      </c>
      <c r="W706">
        <f>IFERROR(VLOOKUP($A706,koronahun!$A:$AM,23,FALSE),"")</f>
        <v>0</v>
      </c>
      <c r="X706">
        <f>IFERROR(VLOOKUP($A706,koronahun!$A:$AM,24,FALSE),"")</f>
        <v>0</v>
      </c>
      <c r="Y706" s="14">
        <f>IFERROR(VLOOKUP($A706,koronahun!$A:$AM,25,FALSE),"")</f>
        <v>0</v>
      </c>
      <c r="Z706" s="14">
        <f>IFERROR(VLOOKUP($A706,koronahun!$A:$AM,26,FALSE),"")</f>
        <v>0</v>
      </c>
      <c r="AA706" s="14">
        <f>IFERROR(VLOOKUP($A706,koronahun!$A:$AM,27,FALSE),"")</f>
        <v>3.96</v>
      </c>
      <c r="AB706" s="14">
        <f>IFERROR(VLOOKUP($A706,koronahun!$A:$AM,28,FALSE),"")</f>
        <v>0</v>
      </c>
      <c r="AC706" s="14">
        <f>IFERROR(VLOOKUP($A706,koronahun!$A:$AM,29,FALSE),"")</f>
        <v>14.142857142857142</v>
      </c>
      <c r="AD706" s="14">
        <f>IFERROR(VLOOKUP($A706,koronahun!$A:$AM,30,FALSE),"")</f>
        <v>0.8571428571428571</v>
      </c>
      <c r="AE706" s="14">
        <f>IFERROR(VLOOKUP($A706,koronahun!$A:$AM,31,FALSE),"")</f>
        <v>458.14285714285717</v>
      </c>
      <c r="AF706" s="13">
        <f>IFERROR(VLOOKUP($A706,koronahun!$A:$AM,32,FALSE),"")</f>
        <v>3.9228571428571432E-2</v>
      </c>
      <c r="AG706">
        <f>IFERROR(VLOOKUP($A706,koronahun!$A:$AM,33,FALSE),"")</f>
        <v>0</v>
      </c>
      <c r="AH706">
        <f>IFERROR(VLOOKUP($A706,koronahun!$A:$AM,34,FALSE),"")</f>
        <v>0</v>
      </c>
      <c r="AI706">
        <f>IFERROR(VLOOKUP($A706,koronahun!$A:$AM,35,FALSE),"")</f>
        <v>0</v>
      </c>
      <c r="AJ706">
        <f>IFERROR(VLOOKUP($A706,koronahun!$A:$AM,36,FALSE),"")</f>
        <v>0</v>
      </c>
      <c r="AK706">
        <f>IFERROR(VLOOKUP($A706,koronahun!$A:$AM,37,FALSE),"")</f>
        <v>0</v>
      </c>
      <c r="AL706">
        <f>IFERROR(VLOOKUP($A706,koronahun!$A:$AM,38,FALSE),"")</f>
        <v>0</v>
      </c>
      <c r="AM706" s="14">
        <f>IFERROR(VLOOKUP($A706,koronahun!$A:$AM,39,FALSE),"")</f>
        <v>2.1428571428571428</v>
      </c>
      <c r="AN706" s="11">
        <f ca="1">IFERROR(__xludf.DUMMYFUNCTION("""COMPUTED_VALUE"""),44598)</f>
        <v>44598</v>
      </c>
      <c r="AO706" s="12">
        <f ca="1">IFERROR(VLOOKUP(AN706,koronahun!A:B,2,FALSE),"")</f>
        <v>0</v>
      </c>
      <c r="AP706" s="11">
        <f t="shared" ca="1" si="4"/>
        <v>44598</v>
      </c>
      <c r="AQ706" s="11">
        <f ca="1">IFERROR(__xludf.DUMMYFUNCTION("""COMPUTED_VALUE"""),44790)</f>
        <v>44790</v>
      </c>
      <c r="AR706" s="11">
        <v>43913</v>
      </c>
      <c r="AS706" s="11">
        <f t="shared" si="5"/>
        <v>43913</v>
      </c>
      <c r="AT706" s="11">
        <f ca="1">IFERROR(__xludf.DUMMYFUNCTION("""COMPUTED_VALUE"""),43912)</f>
        <v>43912</v>
      </c>
    </row>
    <row r="707" spans="1:46" ht="13">
      <c r="A707" s="11">
        <v>43911</v>
      </c>
      <c r="B707">
        <f>IFERROR(VLOOKUP($A707,koronahun!$A:$AM,2,FALSE),"")</f>
        <v>103</v>
      </c>
      <c r="C707">
        <f>IFERROR(VLOOKUP($A707,koronahun!$A:$AM,3,FALSE),"")</f>
        <v>18</v>
      </c>
      <c r="D707">
        <f>IFERROR(VLOOKUP($A707,koronahun!$A:$AM,4,FALSE),"")</f>
        <v>4</v>
      </c>
      <c r="E707">
        <f>IFERROR(VLOOKUP($A707,koronahun!$A:$AM,5,FALSE),"")</f>
        <v>7</v>
      </c>
      <c r="F707">
        <f>IFERROR(VLOOKUP($A707,koronahun!$A:$AM,6,FALSE),"")</f>
        <v>3477</v>
      </c>
      <c r="G707" s="12">
        <f>IFERROR(VLOOKUP($A707,koronahun!$A:$AM,7,FALSE),"")</f>
        <v>354.79591836734693</v>
      </c>
      <c r="H707">
        <f>IFERROR(VLOOKUP($A707,koronahun!$A:$AM,8,FALSE),"")</f>
        <v>117</v>
      </c>
      <c r="I707" s="13">
        <f>IFERROR(VLOOKUP($A707,koronahun!$A:$AM,9,FALSE),"")</f>
        <v>0.21179999999999999</v>
      </c>
      <c r="J707" s="13">
        <f>IFERROR(VLOOKUP($A707,koronahun!$A:$AM,10,FALSE),"")</f>
        <v>2.9600000000000001E-2</v>
      </c>
      <c r="K707" s="13">
        <f>IFERROR(VLOOKUP($A707,koronahun!$A:$AM,11,FALSE),"")</f>
        <v>0.156</v>
      </c>
      <c r="L707">
        <f>IFERROR(VLOOKUP($A707,koronahun!$A:$AM,12,FALSE),"")</f>
        <v>92</v>
      </c>
      <c r="M707" s="13">
        <f>IFERROR(VLOOKUP($A707,koronahun!$A:$AM,13,FALSE),"")</f>
        <v>3.8800000000000001E-2</v>
      </c>
      <c r="N707" s="13">
        <f>IFERROR(VLOOKUP($A707,koronahun!$A:$AM,14,FALSE),"")</f>
        <v>6.8000000000000005E-2</v>
      </c>
      <c r="O707">
        <f>IFERROR(VLOOKUP($A707,koronahun!$A:$AM,15,FALSE),"")</f>
        <v>3771</v>
      </c>
      <c r="P707">
        <f>IFERROR(VLOOKUP($A707,koronahun!$A:$AM,16,FALSE),"")</f>
        <v>470</v>
      </c>
      <c r="Q707" s="13">
        <f>IFERROR(VLOOKUP($A707,koronahun!$A:$AM,17,FALSE),"")</f>
        <v>3.8300000000000001E-2</v>
      </c>
      <c r="R707">
        <f>IFERROR(VLOOKUP($A707,koronahun!$A:$AM,18,FALSE),"")</f>
        <v>0</v>
      </c>
      <c r="S707">
        <f>IFERROR(VLOOKUP($A707,koronahun!$A:$AM,19,FALSE),"")</f>
        <v>0</v>
      </c>
      <c r="T707">
        <f>IFERROR(VLOOKUP($A707,koronahun!$A:$AM,20,FALSE),"")</f>
        <v>0</v>
      </c>
      <c r="U707">
        <f>IFERROR(VLOOKUP($A707,koronahun!$A:$AM,21,FALSE),"")</f>
        <v>0</v>
      </c>
      <c r="V707" s="13">
        <f>IFERROR(VLOOKUP($A707,koronahun!$A:$AM,22,FALSE),"")</f>
        <v>0.89320388349514568</v>
      </c>
      <c r="W707">
        <f>IFERROR(VLOOKUP($A707,koronahun!$A:$AM,23,FALSE),"")</f>
        <v>0</v>
      </c>
      <c r="X707">
        <f>IFERROR(VLOOKUP($A707,koronahun!$A:$AM,24,FALSE),"")</f>
        <v>0</v>
      </c>
      <c r="Y707" s="14">
        <f>IFERROR(VLOOKUP($A707,koronahun!$A:$AM,25,FALSE),"")</f>
        <v>0</v>
      </c>
      <c r="Z707" s="14">
        <f>IFERROR(VLOOKUP($A707,koronahun!$A:$AM,26,FALSE),"")</f>
        <v>0</v>
      </c>
      <c r="AA707" s="14">
        <f>IFERROR(VLOOKUP($A707,koronahun!$A:$AM,27,FALSE),"")</f>
        <v>2.92</v>
      </c>
      <c r="AB707" s="14">
        <f>IFERROR(VLOOKUP($A707,koronahun!$A:$AM,28,FALSE),"")</f>
        <v>0</v>
      </c>
      <c r="AC707" s="14">
        <f>IFERROR(VLOOKUP($A707,koronahun!$A:$AM,29,FALSE),"")</f>
        <v>10.428571428571429</v>
      </c>
      <c r="AD707" s="14">
        <f>IFERROR(VLOOKUP($A707,koronahun!$A:$AM,30,FALSE),"")</f>
        <v>0</v>
      </c>
      <c r="AE707" s="14">
        <f>IFERROR(VLOOKUP($A707,koronahun!$A:$AM,31,FALSE),"")</f>
        <v>351.85714285714283</v>
      </c>
      <c r="AF707" s="13">
        <f>IFERROR(VLOOKUP($A707,koronahun!$A:$AM,32,FALSE),"")</f>
        <v>3.6371428571428568E-2</v>
      </c>
      <c r="AG707">
        <f>IFERROR(VLOOKUP($A707,koronahun!$A:$AM,33,FALSE),"")</f>
        <v>0</v>
      </c>
      <c r="AH707">
        <f>IFERROR(VLOOKUP($A707,koronahun!$A:$AM,34,FALSE),"")</f>
        <v>0</v>
      </c>
      <c r="AI707">
        <f>IFERROR(VLOOKUP($A707,koronahun!$A:$AM,35,FALSE),"")</f>
        <v>0</v>
      </c>
      <c r="AJ707">
        <f>IFERROR(VLOOKUP($A707,koronahun!$A:$AM,36,FALSE),"")</f>
        <v>0</v>
      </c>
      <c r="AK707">
        <f>IFERROR(VLOOKUP($A707,koronahun!$A:$AM,37,FALSE),"")</f>
        <v>0</v>
      </c>
      <c r="AL707">
        <f>IFERROR(VLOOKUP($A707,koronahun!$A:$AM,38,FALSE),"")</f>
        <v>0</v>
      </c>
      <c r="AM707" s="14">
        <f>IFERROR(VLOOKUP($A707,koronahun!$A:$AM,39,FALSE),"")</f>
        <v>0.8571428571428571</v>
      </c>
      <c r="AN707" s="11">
        <f ca="1">IFERROR(__xludf.DUMMYFUNCTION("""COMPUTED_VALUE"""),44599)</f>
        <v>44599</v>
      </c>
      <c r="AO707" s="12">
        <f ca="1">IFERROR(VLOOKUP(AN707,koronahun!A:B,2,FALSE),"")</f>
        <v>1650562</v>
      </c>
      <c r="AP707" s="11">
        <f t="shared" ca="1" si="4"/>
        <v>44599</v>
      </c>
      <c r="AQ707" s="11">
        <f ca="1">IFERROR(__xludf.DUMMYFUNCTION("""COMPUTED_VALUE"""),44797)</f>
        <v>44797</v>
      </c>
      <c r="AR707" s="11">
        <v>43912</v>
      </c>
      <c r="AS707" s="11">
        <f t="shared" si="5"/>
        <v>43912</v>
      </c>
      <c r="AT707" s="11">
        <f ca="1">IFERROR(__xludf.DUMMYFUNCTION("""COMPUTED_VALUE"""),43911)</f>
        <v>43911</v>
      </c>
    </row>
    <row r="708" spans="1:46" ht="13">
      <c r="A708" s="11">
        <v>43910</v>
      </c>
      <c r="B708">
        <f>IFERROR(VLOOKUP($A708,koronahun!$A:$AM,2,FALSE),"")</f>
        <v>85</v>
      </c>
      <c r="C708">
        <f>IFERROR(VLOOKUP($A708,koronahun!$A:$AM,3,FALSE),"")</f>
        <v>12</v>
      </c>
      <c r="D708">
        <f>IFERROR(VLOOKUP($A708,koronahun!$A:$AM,4,FALSE),"")</f>
        <v>4</v>
      </c>
      <c r="E708">
        <f>IFERROR(VLOOKUP($A708,koronahun!$A:$AM,5,FALSE),"")</f>
        <v>7</v>
      </c>
      <c r="F708">
        <f>IFERROR(VLOOKUP($A708,koronahun!$A:$AM,6,FALSE),"")</f>
        <v>3007</v>
      </c>
      <c r="G708" s="12">
        <f>IFERROR(VLOOKUP($A708,koronahun!$A:$AM,7,FALSE),"")</f>
        <v>306.83673469387753</v>
      </c>
      <c r="H708">
        <f>IFERROR(VLOOKUP($A708,koronahun!$A:$AM,8,FALSE),"")</f>
        <v>116</v>
      </c>
      <c r="I708" s="13">
        <f>IFERROR(VLOOKUP($A708,koronahun!$A:$AM,9,FALSE),"")</f>
        <v>0.16439999999999999</v>
      </c>
      <c r="J708" s="13">
        <f>IFERROR(VLOOKUP($A708,koronahun!$A:$AM,10,FALSE),"")</f>
        <v>2.8299999999999999E-2</v>
      </c>
      <c r="K708" s="13">
        <f>IFERROR(VLOOKUP($A708,koronahun!$A:$AM,11,FALSE),"")</f>
        <v>0.29499999999999998</v>
      </c>
      <c r="L708">
        <f>IFERROR(VLOOKUP($A708,koronahun!$A:$AM,12,FALSE),"")</f>
        <v>74</v>
      </c>
      <c r="M708" s="13">
        <f>IFERROR(VLOOKUP($A708,koronahun!$A:$AM,13,FALSE),"")</f>
        <v>4.7100000000000003E-2</v>
      </c>
      <c r="N708" s="13">
        <f>IFERROR(VLOOKUP($A708,koronahun!$A:$AM,14,FALSE),"")</f>
        <v>8.2400000000000001E-2</v>
      </c>
      <c r="O708">
        <f>IFERROR(VLOOKUP($A708,koronahun!$A:$AM,15,FALSE),"")</f>
        <v>3506</v>
      </c>
      <c r="P708">
        <f>IFERROR(VLOOKUP($A708,koronahun!$A:$AM,16,FALSE),"")</f>
        <v>685</v>
      </c>
      <c r="Q708" s="13">
        <f>IFERROR(VLOOKUP($A708,koronahun!$A:$AM,17,FALSE),"")</f>
        <v>1.7500000000000002E-2</v>
      </c>
      <c r="R708">
        <f>IFERROR(VLOOKUP($A708,koronahun!$A:$AM,18,FALSE),"")</f>
        <v>3</v>
      </c>
      <c r="S708">
        <f>IFERROR(VLOOKUP($A708,koronahun!$A:$AM,19,FALSE),"")</f>
        <v>5</v>
      </c>
      <c r="T708">
        <f>IFERROR(VLOOKUP($A708,koronahun!$A:$AM,20,FALSE),"")</f>
        <v>0</v>
      </c>
      <c r="U708">
        <f>IFERROR(VLOOKUP($A708,koronahun!$A:$AM,21,FALSE),"")</f>
        <v>0</v>
      </c>
      <c r="V708" s="13">
        <f>IFERROR(VLOOKUP($A708,koronahun!$A:$AM,22,FALSE),"")</f>
        <v>0.87058823529411766</v>
      </c>
      <c r="W708">
        <f>IFERROR(VLOOKUP($A708,koronahun!$A:$AM,23,FALSE),"")</f>
        <v>0</v>
      </c>
      <c r="X708">
        <f>IFERROR(VLOOKUP($A708,koronahun!$A:$AM,24,FALSE),"")</f>
        <v>0</v>
      </c>
      <c r="Y708" s="14">
        <f>IFERROR(VLOOKUP($A708,koronahun!$A:$AM,25,FALSE),"")</f>
        <v>0</v>
      </c>
      <c r="Z708" s="14">
        <f>IFERROR(VLOOKUP($A708,koronahun!$A:$AM,26,FALSE),"")</f>
        <v>0</v>
      </c>
      <c r="AA708" s="14">
        <f>IFERROR(VLOOKUP($A708,koronahun!$A:$AM,27,FALSE),"")</f>
        <v>4.4000000000000004</v>
      </c>
      <c r="AB708" s="14">
        <f>IFERROR(VLOOKUP($A708,koronahun!$A:$AM,28,FALSE),"")</f>
        <v>0</v>
      </c>
      <c r="AC708" s="14">
        <f>IFERROR(VLOOKUP($A708,koronahun!$A:$AM,29,FALSE),"")</f>
        <v>9.4285714285714288</v>
      </c>
      <c r="AD708" s="14">
        <f>IFERROR(VLOOKUP($A708,koronahun!$A:$AM,30,FALSE),"")</f>
        <v>0</v>
      </c>
      <c r="AE708" s="14">
        <f>IFERROR(VLOOKUP($A708,koronahun!$A:$AM,31,FALSE),"")</f>
        <v>307</v>
      </c>
      <c r="AF708" s="13">
        <f>IFERROR(VLOOKUP($A708,koronahun!$A:$AM,32,FALSE),"")</f>
        <v>4.0971428571428568E-2</v>
      </c>
      <c r="AG708">
        <f>IFERROR(VLOOKUP($A708,koronahun!$A:$AM,33,FALSE),"")</f>
        <v>0</v>
      </c>
      <c r="AH708">
        <f>IFERROR(VLOOKUP($A708,koronahun!$A:$AM,34,FALSE),"")</f>
        <v>0</v>
      </c>
      <c r="AI708">
        <f>IFERROR(VLOOKUP($A708,koronahun!$A:$AM,35,FALSE),"")</f>
        <v>0</v>
      </c>
      <c r="AJ708">
        <f>IFERROR(VLOOKUP($A708,koronahun!$A:$AM,36,FALSE),"")</f>
        <v>0</v>
      </c>
      <c r="AK708">
        <f>IFERROR(VLOOKUP($A708,koronahun!$A:$AM,37,FALSE),"")</f>
        <v>0</v>
      </c>
      <c r="AL708">
        <f>IFERROR(VLOOKUP($A708,koronahun!$A:$AM,38,FALSE),"")</f>
        <v>0</v>
      </c>
      <c r="AM708" s="14">
        <f>IFERROR(VLOOKUP($A708,koronahun!$A:$AM,39,FALSE),"")</f>
        <v>0.8571428571428571</v>
      </c>
      <c r="AN708" s="11">
        <f ca="1">IFERROR(__xludf.DUMMYFUNCTION("""COMPUTED_VALUE"""),44600)</f>
        <v>44600</v>
      </c>
      <c r="AO708" s="12">
        <f ca="1">IFERROR(VLOOKUP(AN708,koronahun!A:B,2,FALSE),"")</f>
        <v>1657615</v>
      </c>
      <c r="AP708" s="11">
        <f t="shared" ca="1" si="4"/>
        <v>44600</v>
      </c>
      <c r="AQ708" s="11">
        <f ca="1">IFERROR(__xludf.DUMMYFUNCTION("""COMPUTED_VALUE"""),44804)</f>
        <v>44804</v>
      </c>
      <c r="AR708" s="11">
        <v>43911</v>
      </c>
      <c r="AS708" s="11">
        <f t="shared" si="5"/>
        <v>43911</v>
      </c>
      <c r="AT708" s="11">
        <f ca="1">IFERROR(__xludf.DUMMYFUNCTION("""COMPUTED_VALUE"""),43910)</f>
        <v>43910</v>
      </c>
    </row>
    <row r="709" spans="1:46" ht="13">
      <c r="A709" s="11">
        <v>43909</v>
      </c>
      <c r="B709">
        <f>IFERROR(VLOOKUP($A709,koronahun!$A:$AM,2,FALSE),"")</f>
        <v>73</v>
      </c>
      <c r="C709">
        <f>IFERROR(VLOOKUP($A709,koronahun!$A:$AM,3,FALSE),"")</f>
        <v>15</v>
      </c>
      <c r="D709">
        <f>IFERROR(VLOOKUP($A709,koronahun!$A:$AM,4,FALSE),"")</f>
        <v>1</v>
      </c>
      <c r="E709">
        <f>IFERROR(VLOOKUP($A709,koronahun!$A:$AM,5,FALSE),"")</f>
        <v>2</v>
      </c>
      <c r="F709">
        <f>IFERROR(VLOOKUP($A709,koronahun!$A:$AM,6,FALSE),"")</f>
        <v>2322</v>
      </c>
      <c r="G709" s="12">
        <f>IFERROR(VLOOKUP($A709,koronahun!$A:$AM,7,FALSE),"")</f>
        <v>236.93877551020407</v>
      </c>
      <c r="H709">
        <f>IFERROR(VLOOKUP($A709,koronahun!$A:$AM,8,FALSE),"")</f>
        <v>124</v>
      </c>
      <c r="I709" s="13">
        <f>IFERROR(VLOOKUP($A709,koronahun!$A:$AM,9,FALSE),"")</f>
        <v>0.2586</v>
      </c>
      <c r="J709" s="13">
        <f>IFERROR(VLOOKUP($A709,koronahun!$A:$AM,10,FALSE),"")</f>
        <v>3.1399999999999997E-2</v>
      </c>
      <c r="K709" s="13">
        <f>IFERROR(VLOOKUP($A709,koronahun!$A:$AM,11,FALSE),"")</f>
        <v>0.28799999999999998</v>
      </c>
      <c r="L709">
        <f>IFERROR(VLOOKUP($A709,koronahun!$A:$AM,12,FALSE),"")</f>
        <v>70</v>
      </c>
      <c r="M709" s="13">
        <f>IFERROR(VLOOKUP($A709,koronahun!$A:$AM,13,FALSE),"")</f>
        <v>1.37E-2</v>
      </c>
      <c r="N709" s="13">
        <f>IFERROR(VLOOKUP($A709,koronahun!$A:$AM,14,FALSE),"")</f>
        <v>2.7400000000000001E-2</v>
      </c>
      <c r="O709">
        <f>IFERROR(VLOOKUP($A709,koronahun!$A:$AM,15,FALSE),"")</f>
        <v>3065</v>
      </c>
      <c r="P709">
        <f>IFERROR(VLOOKUP($A709,koronahun!$A:$AM,16,FALSE),"")</f>
        <v>519</v>
      </c>
      <c r="Q709" s="13">
        <f>IFERROR(VLOOKUP($A709,koronahun!$A:$AM,17,FALSE),"")</f>
        <v>2.8899999999999999E-2</v>
      </c>
      <c r="R709">
        <f>IFERROR(VLOOKUP($A709,koronahun!$A:$AM,18,FALSE),"")</f>
        <v>0</v>
      </c>
      <c r="S709">
        <f>IFERROR(VLOOKUP($A709,koronahun!$A:$AM,19,FALSE),"")</f>
        <v>0</v>
      </c>
      <c r="T709">
        <f>IFERROR(VLOOKUP($A709,koronahun!$A:$AM,20,FALSE),"")</f>
        <v>0</v>
      </c>
      <c r="U709">
        <f>IFERROR(VLOOKUP($A709,koronahun!$A:$AM,21,FALSE),"")</f>
        <v>0</v>
      </c>
      <c r="V709" s="13">
        <f>IFERROR(VLOOKUP($A709,koronahun!$A:$AM,22,FALSE),"")</f>
        <v>0.95890410958904104</v>
      </c>
      <c r="W709">
        <f>IFERROR(VLOOKUP($A709,koronahun!$A:$AM,23,FALSE),"")</f>
        <v>0</v>
      </c>
      <c r="X709">
        <f>IFERROR(VLOOKUP($A709,koronahun!$A:$AM,24,FALSE),"")</f>
        <v>0</v>
      </c>
      <c r="Y709" s="14">
        <f>IFERROR(VLOOKUP($A709,koronahun!$A:$AM,25,FALSE),"")</f>
        <v>0</v>
      </c>
      <c r="Z709" s="14">
        <f>IFERROR(VLOOKUP($A709,koronahun!$A:$AM,26,FALSE),"")</f>
        <v>0</v>
      </c>
      <c r="AA709" s="14">
        <f>IFERROR(VLOOKUP($A709,koronahun!$A:$AM,27,FALSE),"")</f>
        <v>4.75</v>
      </c>
      <c r="AB709" s="14">
        <f>IFERROR(VLOOKUP($A709,koronahun!$A:$AM,28,FALSE),"")</f>
        <v>0</v>
      </c>
      <c r="AC709" s="14">
        <f>IFERROR(VLOOKUP($A709,koronahun!$A:$AM,29,FALSE),"")</f>
        <v>8.1428571428571423</v>
      </c>
      <c r="AD709" s="14">
        <f>IFERROR(VLOOKUP($A709,koronahun!$A:$AM,30,FALSE),"")</f>
        <v>0</v>
      </c>
      <c r="AE709" s="14">
        <f>IFERROR(VLOOKUP($A709,koronahun!$A:$AM,31,FALSE),"")</f>
        <v>227.42857142857142</v>
      </c>
      <c r="AF709" s="13">
        <f>IFERROR(VLOOKUP($A709,koronahun!$A:$AM,32,FALSE),"")</f>
        <v>4.1814285714285707E-2</v>
      </c>
      <c r="AG709">
        <f>IFERROR(VLOOKUP($A709,koronahun!$A:$AM,33,FALSE),"")</f>
        <v>0</v>
      </c>
      <c r="AH709">
        <f>IFERROR(VLOOKUP($A709,koronahun!$A:$AM,34,FALSE),"")</f>
        <v>0</v>
      </c>
      <c r="AI709">
        <f>IFERROR(VLOOKUP($A709,koronahun!$A:$AM,35,FALSE),"")</f>
        <v>0</v>
      </c>
      <c r="AJ709">
        <f>IFERROR(VLOOKUP($A709,koronahun!$A:$AM,36,FALSE),"")</f>
        <v>0</v>
      </c>
      <c r="AK709">
        <f>IFERROR(VLOOKUP($A709,koronahun!$A:$AM,37,FALSE),"")</f>
        <v>0</v>
      </c>
      <c r="AL709">
        <f>IFERROR(VLOOKUP($A709,koronahun!$A:$AM,38,FALSE),"")</f>
        <v>0</v>
      </c>
      <c r="AM709" s="14">
        <f>IFERROR(VLOOKUP($A709,koronahun!$A:$AM,39,FALSE),"")</f>
        <v>0.2857142857142857</v>
      </c>
      <c r="AN709" s="11">
        <f ca="1">IFERROR(__xludf.DUMMYFUNCTION("""COMPUTED_VALUE"""),44601)</f>
        <v>44601</v>
      </c>
      <c r="AO709" s="12">
        <f ca="1">IFERROR(VLOOKUP(AN709,koronahun!A:B,2,FALSE),"")</f>
        <v>1671547</v>
      </c>
      <c r="AP709" s="11">
        <f t="shared" ca="1" si="4"/>
        <v>44601</v>
      </c>
      <c r="AQ709" s="11">
        <f ca="1">IFERROR(__xludf.DUMMYFUNCTION("""COMPUTED_VALUE"""),44811)</f>
        <v>44811</v>
      </c>
      <c r="AR709" s="11">
        <v>43910</v>
      </c>
      <c r="AS709" s="11">
        <f t="shared" si="5"/>
        <v>43910</v>
      </c>
      <c r="AT709" s="11">
        <f ca="1">IFERROR(__xludf.DUMMYFUNCTION("""COMPUTED_VALUE"""),43909)</f>
        <v>43909</v>
      </c>
    </row>
    <row r="710" spans="1:46" ht="13">
      <c r="A710" s="11">
        <v>43908</v>
      </c>
      <c r="B710">
        <f>IFERROR(VLOOKUP($A710,koronahun!$A:$AM,2,FALSE),"")</f>
        <v>58</v>
      </c>
      <c r="C710">
        <f>IFERROR(VLOOKUP($A710,koronahun!$A:$AM,3,FALSE),"")</f>
        <v>8</v>
      </c>
      <c r="D710">
        <f>IFERROR(VLOOKUP($A710,koronahun!$A:$AM,4,FALSE),"")</f>
        <v>1</v>
      </c>
      <c r="E710">
        <f>IFERROR(VLOOKUP($A710,koronahun!$A:$AM,5,FALSE),"")</f>
        <v>2</v>
      </c>
      <c r="F710">
        <f>IFERROR(VLOOKUP($A710,koronahun!$A:$AM,6,FALSE),"")</f>
        <v>1803</v>
      </c>
      <c r="G710" s="12">
        <f>IFERROR(VLOOKUP($A710,koronahun!$A:$AM,7,FALSE),"")</f>
        <v>183.97959183673467</v>
      </c>
      <c r="H710">
        <f>IFERROR(VLOOKUP($A710,koronahun!$A:$AM,8,FALSE),"")</f>
        <v>122</v>
      </c>
      <c r="I710" s="13">
        <f>IFERROR(VLOOKUP($A710,koronahun!$A:$AM,9,FALSE),"")</f>
        <v>0.16</v>
      </c>
      <c r="J710" s="13">
        <f>IFERROR(VLOOKUP($A710,koronahun!$A:$AM,10,FALSE),"")</f>
        <v>3.2199999999999999E-2</v>
      </c>
      <c r="K710" s="13">
        <f>IFERROR(VLOOKUP($A710,koronahun!$A:$AM,11,FALSE),"")</f>
        <v>0.13600000000000001</v>
      </c>
      <c r="L710">
        <f>IFERROR(VLOOKUP($A710,koronahun!$A:$AM,12,FALSE),"")</f>
        <v>55</v>
      </c>
      <c r="M710" s="13">
        <f>IFERROR(VLOOKUP($A710,koronahun!$A:$AM,13,FALSE),"")</f>
        <v>1.72E-2</v>
      </c>
      <c r="N710" s="13">
        <f>IFERROR(VLOOKUP($A710,koronahun!$A:$AM,14,FALSE),"")</f>
        <v>3.4500000000000003E-2</v>
      </c>
      <c r="O710">
        <f>IFERROR(VLOOKUP($A710,koronahun!$A:$AM,15,FALSE),"")</f>
        <v>2817</v>
      </c>
      <c r="P710">
        <f>IFERROR(VLOOKUP($A710,koronahun!$A:$AM,16,FALSE),"")</f>
        <v>216</v>
      </c>
      <c r="Q710" s="13">
        <f>IFERROR(VLOOKUP($A710,koronahun!$A:$AM,17,FALSE),"")</f>
        <v>3.6999999999999998E-2</v>
      </c>
      <c r="R710">
        <f>IFERROR(VLOOKUP($A710,koronahun!$A:$AM,18,FALSE),"")</f>
        <v>0</v>
      </c>
      <c r="S710">
        <f>IFERROR(VLOOKUP($A710,koronahun!$A:$AM,19,FALSE),"")</f>
        <v>0</v>
      </c>
      <c r="T710">
        <f>IFERROR(VLOOKUP($A710,koronahun!$A:$AM,20,FALSE),"")</f>
        <v>0</v>
      </c>
      <c r="U710">
        <f>IFERROR(VLOOKUP($A710,koronahun!$A:$AM,21,FALSE),"")</f>
        <v>0</v>
      </c>
      <c r="V710" s="13">
        <f>IFERROR(VLOOKUP($A710,koronahun!$A:$AM,22,FALSE),"")</f>
        <v>0.94827586206896552</v>
      </c>
      <c r="W710">
        <f>IFERROR(VLOOKUP($A710,koronahun!$A:$AM,23,FALSE),"")</f>
        <v>0</v>
      </c>
      <c r="X710">
        <f>IFERROR(VLOOKUP($A710,koronahun!$A:$AM,24,FALSE),"")</f>
        <v>0</v>
      </c>
      <c r="Y710" s="14">
        <f>IFERROR(VLOOKUP($A710,koronahun!$A:$AM,25,FALSE),"")</f>
        <v>0</v>
      </c>
      <c r="Z710" s="14">
        <f>IFERROR(VLOOKUP($A710,koronahun!$A:$AM,26,FALSE),"")</f>
        <v>0</v>
      </c>
      <c r="AA710" s="14">
        <f>IFERROR(VLOOKUP($A710,koronahun!$A:$AM,27,FALSE),"")</f>
        <v>4.0909090909090908</v>
      </c>
      <c r="AB710" s="14">
        <f>IFERROR(VLOOKUP($A710,koronahun!$A:$AM,28,FALSE),"")</f>
        <v>0</v>
      </c>
      <c r="AC710" s="14">
        <f>IFERROR(VLOOKUP($A710,koronahun!$A:$AM,29,FALSE),"")</f>
        <v>6.4285714285714288</v>
      </c>
      <c r="AD710" s="14">
        <f>IFERROR(VLOOKUP($A710,koronahun!$A:$AM,30,FALSE),"")</f>
        <v>0</v>
      </c>
      <c r="AE710" s="14">
        <f>IFERROR(VLOOKUP($A710,koronahun!$A:$AM,31,FALSE),"")</f>
        <v>170.57142857142858</v>
      </c>
      <c r="AF710" s="13">
        <f>IFERROR(VLOOKUP($A710,koronahun!$A:$AM,32,FALSE),"")</f>
        <v>4.1228571428571434E-2</v>
      </c>
      <c r="AG710">
        <f>IFERROR(VLOOKUP($A710,koronahun!$A:$AM,33,FALSE),"")</f>
        <v>0</v>
      </c>
      <c r="AH710">
        <f>IFERROR(VLOOKUP($A710,koronahun!$A:$AM,34,FALSE),"")</f>
        <v>0</v>
      </c>
      <c r="AI710">
        <f>IFERROR(VLOOKUP($A710,koronahun!$A:$AM,35,FALSE),"")</f>
        <v>0</v>
      </c>
      <c r="AJ710">
        <f>IFERROR(VLOOKUP($A710,koronahun!$A:$AM,36,FALSE),"")</f>
        <v>0</v>
      </c>
      <c r="AK710">
        <f>IFERROR(VLOOKUP($A710,koronahun!$A:$AM,37,FALSE),"")</f>
        <v>0</v>
      </c>
      <c r="AL710">
        <f>IFERROR(VLOOKUP($A710,koronahun!$A:$AM,38,FALSE),"")</f>
        <v>0</v>
      </c>
      <c r="AM710" s="14">
        <f>IFERROR(VLOOKUP($A710,koronahun!$A:$AM,39,FALSE),"")</f>
        <v>0</v>
      </c>
      <c r="AN710" s="11">
        <f ca="1">IFERROR(__xludf.DUMMYFUNCTION("""COMPUTED_VALUE"""),44602)</f>
        <v>44602</v>
      </c>
      <c r="AO710" s="12">
        <f ca="1">IFERROR(VLOOKUP(AN710,koronahun!A:B,2,FALSE),"")</f>
        <v>1684432</v>
      </c>
      <c r="AP710" s="11">
        <f t="shared" ca="1" si="4"/>
        <v>44602</v>
      </c>
      <c r="AQ710" s="11">
        <f ca="1">IFERROR(__xludf.DUMMYFUNCTION("""COMPUTED_VALUE"""),44818)</f>
        <v>44818</v>
      </c>
      <c r="AR710" s="11">
        <v>43909</v>
      </c>
      <c r="AS710" s="11">
        <f t="shared" si="5"/>
        <v>43909</v>
      </c>
      <c r="AT710" s="11">
        <f ca="1">IFERROR(__xludf.DUMMYFUNCTION("""COMPUTED_VALUE"""),43908)</f>
        <v>43908</v>
      </c>
    </row>
    <row r="711" spans="1:46" ht="13">
      <c r="A711" s="11">
        <v>43907</v>
      </c>
      <c r="B711">
        <f>IFERROR(VLOOKUP($A711,koronahun!$A:$AM,2,FALSE),"")</f>
        <v>50</v>
      </c>
      <c r="C711">
        <f>IFERROR(VLOOKUP($A711,koronahun!$A:$AM,3,FALSE),"")</f>
        <v>11</v>
      </c>
      <c r="D711">
        <f>IFERROR(VLOOKUP($A711,koronahun!$A:$AM,4,FALSE),"")</f>
        <v>1</v>
      </c>
      <c r="E711">
        <f>IFERROR(VLOOKUP($A711,koronahun!$A:$AM,5,FALSE),"")</f>
        <v>2</v>
      </c>
      <c r="F711">
        <f>IFERROR(VLOOKUP($A711,koronahun!$A:$AM,6,FALSE),"")</f>
        <v>1587</v>
      </c>
      <c r="G711" s="12">
        <f>IFERROR(VLOOKUP($A711,koronahun!$A:$AM,7,FALSE),"")</f>
        <v>161.93877551020407</v>
      </c>
      <c r="H711">
        <f>IFERROR(VLOOKUP($A711,koronahun!$A:$AM,8,FALSE),"")</f>
        <v>137</v>
      </c>
      <c r="I711" s="13">
        <f>IFERROR(VLOOKUP($A711,koronahun!$A:$AM,9,FALSE),"")</f>
        <v>0.28210000000000002</v>
      </c>
      <c r="J711" s="13">
        <f>IFERROR(VLOOKUP($A711,koronahun!$A:$AM,10,FALSE),"")</f>
        <v>3.15E-2</v>
      </c>
      <c r="K711" s="13">
        <f>IFERROR(VLOOKUP($A711,koronahun!$A:$AM,11,FALSE),"")</f>
        <v>0.08</v>
      </c>
      <c r="L711">
        <f>IFERROR(VLOOKUP($A711,koronahun!$A:$AM,12,FALSE),"")</f>
        <v>47</v>
      </c>
      <c r="M711" s="13">
        <f>IFERROR(VLOOKUP($A711,koronahun!$A:$AM,13,FALSE),"")</f>
        <v>0.02</v>
      </c>
      <c r="N711" s="13">
        <f>IFERROR(VLOOKUP($A711,koronahun!$A:$AM,14,FALSE),"")</f>
        <v>0.04</v>
      </c>
      <c r="O711">
        <f>IFERROR(VLOOKUP($A711,koronahun!$A:$AM,15,FALSE),"")</f>
        <v>0</v>
      </c>
      <c r="P711">
        <f>IFERROR(VLOOKUP($A711,koronahun!$A:$AM,16,FALSE),"")</f>
        <v>117</v>
      </c>
      <c r="Q711" s="13">
        <f>IFERROR(VLOOKUP($A711,koronahun!$A:$AM,17,FALSE),"")</f>
        <v>9.4E-2</v>
      </c>
      <c r="R711">
        <f>IFERROR(VLOOKUP($A711,koronahun!$A:$AM,18,FALSE),"")</f>
        <v>0</v>
      </c>
      <c r="S711">
        <f>IFERROR(VLOOKUP($A711,koronahun!$A:$AM,19,FALSE),"")</f>
        <v>0</v>
      </c>
      <c r="T711">
        <f>IFERROR(VLOOKUP($A711,koronahun!$A:$AM,20,FALSE),"")</f>
        <v>0</v>
      </c>
      <c r="U711">
        <f>IFERROR(VLOOKUP($A711,koronahun!$A:$AM,21,FALSE),"")</f>
        <v>0</v>
      </c>
      <c r="V711" s="13">
        <f>IFERROR(VLOOKUP($A711,koronahun!$A:$AM,22,FALSE),"")</f>
        <v>0.94</v>
      </c>
      <c r="W711">
        <f>IFERROR(VLOOKUP($A711,koronahun!$A:$AM,23,FALSE),"")</f>
        <v>0</v>
      </c>
      <c r="X711">
        <f>IFERROR(VLOOKUP($A711,koronahun!$A:$AM,24,FALSE),"")</f>
        <v>0</v>
      </c>
      <c r="Y711" s="14">
        <f>IFERROR(VLOOKUP($A711,koronahun!$A:$AM,25,FALSE),"")</f>
        <v>0</v>
      </c>
      <c r="Z711" s="14">
        <f>IFERROR(VLOOKUP($A711,koronahun!$A:$AM,26,FALSE),"")</f>
        <v>0</v>
      </c>
      <c r="AA711" s="14">
        <f>IFERROR(VLOOKUP($A711,koronahun!$A:$AM,27,FALSE),"")</f>
        <v>3.1666666666666665</v>
      </c>
      <c r="AB711" s="14">
        <f>IFERROR(VLOOKUP($A711,koronahun!$A:$AM,28,FALSE),"")</f>
        <v>0</v>
      </c>
      <c r="AC711" s="14">
        <f>IFERROR(VLOOKUP($A711,koronahun!$A:$AM,29,FALSE),"")</f>
        <v>5.4285714285714288</v>
      </c>
      <c r="AD711" s="14">
        <f>IFERROR(VLOOKUP($A711,koronahun!$A:$AM,30,FALSE),"")</f>
        <v>0</v>
      </c>
      <c r="AE711" s="14">
        <f>IFERROR(VLOOKUP($A711,koronahun!$A:$AM,31,FALSE),"")</f>
        <v>150.85714285714286</v>
      </c>
      <c r="AF711" s="13">
        <f>IFERROR(VLOOKUP($A711,koronahun!$A:$AM,32,FALSE),"")</f>
        <v>3.7771428571428574E-2</v>
      </c>
      <c r="AG711">
        <f>IFERROR(VLOOKUP($A711,koronahun!$A:$AM,33,FALSE),"")</f>
        <v>0</v>
      </c>
      <c r="AH711">
        <f>IFERROR(VLOOKUP($A711,koronahun!$A:$AM,34,FALSE),"")</f>
        <v>0</v>
      </c>
      <c r="AI711">
        <f>IFERROR(VLOOKUP($A711,koronahun!$A:$AM,35,FALSE),"")</f>
        <v>0</v>
      </c>
      <c r="AJ711">
        <f>IFERROR(VLOOKUP($A711,koronahun!$A:$AM,36,FALSE),"")</f>
        <v>0</v>
      </c>
      <c r="AK711">
        <f>IFERROR(VLOOKUP($A711,koronahun!$A:$AM,37,FALSE),"")</f>
        <v>0</v>
      </c>
      <c r="AL711">
        <f>IFERROR(VLOOKUP($A711,koronahun!$A:$AM,38,FALSE),"")</f>
        <v>0</v>
      </c>
      <c r="AM711" s="14">
        <f>IFERROR(VLOOKUP($A711,koronahun!$A:$AM,39,FALSE),"")</f>
        <v>0</v>
      </c>
      <c r="AN711" s="11">
        <f ca="1">IFERROR(__xludf.DUMMYFUNCTION("""COMPUTED_VALUE"""),44603)</f>
        <v>44603</v>
      </c>
      <c r="AO711" s="12">
        <f ca="1">IFERROR(VLOOKUP(AN711,koronahun!A:B,2,FALSE),"")</f>
        <v>1695991</v>
      </c>
      <c r="AP711" s="11">
        <f t="shared" ca="1" si="4"/>
        <v>44603</v>
      </c>
      <c r="AQ711" s="11">
        <f ca="1">IFERROR(__xludf.DUMMYFUNCTION("""COMPUTED_VALUE"""),44825)</f>
        <v>44825</v>
      </c>
      <c r="AR711" s="11">
        <v>43908</v>
      </c>
      <c r="AS711" s="11">
        <f t="shared" si="5"/>
        <v>43908</v>
      </c>
      <c r="AT711" s="11">
        <f ca="1">IFERROR(__xludf.DUMMYFUNCTION("""COMPUTED_VALUE"""),43907)</f>
        <v>43907</v>
      </c>
    </row>
    <row r="712" spans="1:46" ht="13">
      <c r="A712" s="11">
        <v>43906</v>
      </c>
      <c r="B712">
        <f>IFERROR(VLOOKUP($A712,koronahun!$A:$AM,2,FALSE),"")</f>
        <v>39</v>
      </c>
      <c r="C712">
        <f>IFERROR(VLOOKUP($A712,koronahun!$A:$AM,3,FALSE),"")</f>
        <v>7</v>
      </c>
      <c r="D712">
        <f>IFERROR(VLOOKUP($A712,koronahun!$A:$AM,4,FALSE),"")</f>
        <v>1</v>
      </c>
      <c r="E712">
        <f>IFERROR(VLOOKUP($A712,koronahun!$A:$AM,5,FALSE),"")</f>
        <v>2</v>
      </c>
      <c r="F712">
        <f>IFERROR(VLOOKUP($A712,koronahun!$A:$AM,6,FALSE),"")</f>
        <v>1470</v>
      </c>
      <c r="G712" s="12">
        <f>IFERROR(VLOOKUP($A712,koronahun!$A:$AM,7,FALSE),"")</f>
        <v>150</v>
      </c>
      <c r="H712">
        <f>IFERROR(VLOOKUP($A712,koronahun!$A:$AM,8,FALSE),"")</f>
        <v>137</v>
      </c>
      <c r="I712" s="13">
        <f>IFERROR(VLOOKUP($A712,koronahun!$A:$AM,9,FALSE),"")</f>
        <v>0.21879999999999999</v>
      </c>
      <c r="J712" s="13">
        <f>IFERROR(VLOOKUP($A712,koronahun!$A:$AM,10,FALSE),"")</f>
        <v>2.6499999999999999E-2</v>
      </c>
      <c r="K712" s="13">
        <f>IFERROR(VLOOKUP($A712,koronahun!$A:$AM,11,FALSE),"")</f>
        <v>0.189</v>
      </c>
      <c r="L712">
        <f>IFERROR(VLOOKUP($A712,koronahun!$A:$AM,12,FALSE),"")</f>
        <v>36</v>
      </c>
      <c r="M712" s="13">
        <f>IFERROR(VLOOKUP($A712,koronahun!$A:$AM,13,FALSE),"")</f>
        <v>2.5600000000000001E-2</v>
      </c>
      <c r="N712" s="13">
        <f>IFERROR(VLOOKUP($A712,koronahun!$A:$AM,14,FALSE),"")</f>
        <v>5.1299999999999998E-2</v>
      </c>
      <c r="O712">
        <f>IFERROR(VLOOKUP($A712,koronahun!$A:$AM,15,FALSE),"")</f>
        <v>0</v>
      </c>
      <c r="P712">
        <f>IFERROR(VLOOKUP($A712,koronahun!$A:$AM,16,FALSE),"")</f>
        <v>234</v>
      </c>
      <c r="Q712" s="13">
        <f>IFERROR(VLOOKUP($A712,koronahun!$A:$AM,17,FALSE),"")</f>
        <v>2.9899999999999999E-2</v>
      </c>
      <c r="R712">
        <f>IFERROR(VLOOKUP($A712,koronahun!$A:$AM,18,FALSE),"")</f>
        <v>1</v>
      </c>
      <c r="S712">
        <f>IFERROR(VLOOKUP($A712,koronahun!$A:$AM,19,FALSE),"")</f>
        <v>1</v>
      </c>
      <c r="T712">
        <f>IFERROR(VLOOKUP($A712,koronahun!$A:$AM,20,FALSE),"")</f>
        <v>0</v>
      </c>
      <c r="U712">
        <f>IFERROR(VLOOKUP($A712,koronahun!$A:$AM,21,FALSE),"")</f>
        <v>0</v>
      </c>
      <c r="V712" s="13">
        <f>IFERROR(VLOOKUP($A712,koronahun!$A:$AM,22,FALSE),"")</f>
        <v>0.92307692307692313</v>
      </c>
      <c r="W712">
        <f>IFERROR(VLOOKUP($A712,koronahun!$A:$AM,23,FALSE),"")</f>
        <v>0</v>
      </c>
      <c r="X712">
        <f>IFERROR(VLOOKUP($A712,koronahun!$A:$AM,24,FALSE),"")</f>
        <v>0</v>
      </c>
      <c r="Y712" s="14">
        <f>IFERROR(VLOOKUP($A712,koronahun!$A:$AM,25,FALSE),"")</f>
        <v>0</v>
      </c>
      <c r="Z712" s="14">
        <f>IFERROR(VLOOKUP($A712,koronahun!$A:$AM,26,FALSE),"")</f>
        <v>0</v>
      </c>
      <c r="AA712" s="14">
        <f>IFERROR(VLOOKUP($A712,koronahun!$A:$AM,27,FALSE),"")</f>
        <v>0</v>
      </c>
      <c r="AB712" s="14">
        <f>IFERROR(VLOOKUP($A712,koronahun!$A:$AM,28,FALSE),"")</f>
        <v>0</v>
      </c>
      <c r="AC712" s="14">
        <f>IFERROR(VLOOKUP($A712,koronahun!$A:$AM,29,FALSE),"")</f>
        <v>4.2857142857142856</v>
      </c>
      <c r="AD712" s="14">
        <f>IFERROR(VLOOKUP($A712,koronahun!$A:$AM,30,FALSE),"")</f>
        <v>0</v>
      </c>
      <c r="AE712" s="14">
        <f>IFERROR(VLOOKUP($A712,koronahun!$A:$AM,31,FALSE),"")</f>
        <v>158.28571428571428</v>
      </c>
      <c r="AF712" s="13">
        <f>IFERROR(VLOOKUP($A712,koronahun!$A:$AM,32,FALSE),"")</f>
        <v>2.6885714285714287E-2</v>
      </c>
      <c r="AG712">
        <f>IFERROR(VLOOKUP($A712,koronahun!$A:$AM,33,FALSE),"")</f>
        <v>0</v>
      </c>
      <c r="AH712">
        <f>IFERROR(VLOOKUP($A712,koronahun!$A:$AM,34,FALSE),"")</f>
        <v>0</v>
      </c>
      <c r="AI712">
        <f>IFERROR(VLOOKUP($A712,koronahun!$A:$AM,35,FALSE),"")</f>
        <v>0</v>
      </c>
      <c r="AJ712">
        <f>IFERROR(VLOOKUP($A712,koronahun!$A:$AM,36,FALSE),"")</f>
        <v>0</v>
      </c>
      <c r="AK712">
        <f>IFERROR(VLOOKUP($A712,koronahun!$A:$AM,37,FALSE),"")</f>
        <v>0</v>
      </c>
      <c r="AL712">
        <f>IFERROR(VLOOKUP($A712,koronahun!$A:$AM,38,FALSE),"")</f>
        <v>0</v>
      </c>
      <c r="AM712" s="14">
        <f>IFERROR(VLOOKUP($A712,koronahun!$A:$AM,39,FALSE),"")</f>
        <v>0</v>
      </c>
      <c r="AN712" s="11">
        <f ca="1">IFERROR(__xludf.DUMMYFUNCTION("""COMPUTED_VALUE"""),44604)</f>
        <v>44604</v>
      </c>
      <c r="AO712" s="12">
        <f ca="1">IFERROR(VLOOKUP(AN712,koronahun!A:B,2,FALSE),"")</f>
        <v>0</v>
      </c>
      <c r="AP712" s="11">
        <f t="shared" ca="1" si="4"/>
        <v>44604</v>
      </c>
      <c r="AQ712" s="11">
        <f ca="1">IFERROR(__xludf.DUMMYFUNCTION("""COMPUTED_VALUE"""),44832)</f>
        <v>44832</v>
      </c>
      <c r="AR712" s="11">
        <v>43907</v>
      </c>
      <c r="AS712" s="11">
        <f t="shared" si="5"/>
        <v>43907</v>
      </c>
      <c r="AT712" s="11">
        <f ca="1">IFERROR(__xludf.DUMMYFUNCTION("""COMPUTED_VALUE"""),43906)</f>
        <v>43906</v>
      </c>
    </row>
    <row r="713" spans="1:46" ht="13">
      <c r="A713" s="11">
        <v>43905</v>
      </c>
      <c r="B713">
        <f>IFERROR(VLOOKUP($A713,koronahun!$A:$AM,2,FALSE),"")</f>
        <v>32</v>
      </c>
      <c r="C713">
        <f>IFERROR(VLOOKUP($A713,koronahun!$A:$AM,3,FALSE),"")</f>
        <v>2</v>
      </c>
      <c r="D713">
        <f>IFERROR(VLOOKUP($A713,koronahun!$A:$AM,4,FALSE),"")</f>
        <v>0</v>
      </c>
      <c r="E713">
        <f>IFERROR(VLOOKUP($A713,koronahun!$A:$AM,5,FALSE),"")</f>
        <v>1</v>
      </c>
      <c r="F713">
        <f>IFERROR(VLOOKUP($A713,koronahun!$A:$AM,6,FALSE),"")</f>
        <v>1236</v>
      </c>
      <c r="G713" s="12">
        <f>IFERROR(VLOOKUP($A713,koronahun!$A:$AM,7,FALSE),"")</f>
        <v>126.12244897959182</v>
      </c>
      <c r="H713">
        <f>IFERROR(VLOOKUP($A713,koronahun!$A:$AM,8,FALSE),"")</f>
        <v>159</v>
      </c>
      <c r="I713" s="13">
        <f>IFERROR(VLOOKUP($A713,koronahun!$A:$AM,9,FALSE),"")</f>
        <v>6.6699999999999995E-2</v>
      </c>
      <c r="J713" s="13">
        <f>IFERROR(VLOOKUP($A713,koronahun!$A:$AM,10,FALSE),"")</f>
        <v>2.5899999999999999E-2</v>
      </c>
      <c r="K713" s="13">
        <f>IFERROR(VLOOKUP($A713,koronahun!$A:$AM,11,FALSE),"")</f>
        <v>0.219</v>
      </c>
      <c r="L713">
        <f>IFERROR(VLOOKUP($A713,koronahun!$A:$AM,12,FALSE),"")</f>
        <v>31</v>
      </c>
      <c r="M713" s="13">
        <f>IFERROR(VLOOKUP($A713,koronahun!$A:$AM,13,FALSE),"")</f>
        <v>0</v>
      </c>
      <c r="N713" s="13">
        <f>IFERROR(VLOOKUP($A713,koronahun!$A:$AM,14,FALSE),"")</f>
        <v>3.1300000000000001E-2</v>
      </c>
      <c r="O713">
        <f>IFERROR(VLOOKUP($A713,koronahun!$A:$AM,15,FALSE),"")</f>
        <v>0</v>
      </c>
      <c r="P713">
        <f>IFERROR(VLOOKUP($A713,koronahun!$A:$AM,16,FALSE),"")</f>
        <v>222</v>
      </c>
      <c r="Q713" s="13">
        <f>IFERROR(VLOOKUP($A713,koronahun!$A:$AM,17,FALSE),"")</f>
        <v>8.9999999999999993E-3</v>
      </c>
      <c r="R713">
        <f>IFERROR(VLOOKUP($A713,koronahun!$A:$AM,18,FALSE),"")</f>
        <v>0</v>
      </c>
      <c r="S713">
        <f>IFERROR(VLOOKUP($A713,koronahun!$A:$AM,19,FALSE),"")</f>
        <v>0</v>
      </c>
      <c r="T713">
        <f>IFERROR(VLOOKUP($A713,koronahun!$A:$AM,20,FALSE),"")</f>
        <v>0</v>
      </c>
      <c r="U713">
        <f>IFERROR(VLOOKUP($A713,koronahun!$A:$AM,21,FALSE),"")</f>
        <v>0</v>
      </c>
      <c r="V713" s="13">
        <f>IFERROR(VLOOKUP($A713,koronahun!$A:$AM,22,FALSE),"")</f>
        <v>0.96875</v>
      </c>
      <c r="W713">
        <f>IFERROR(VLOOKUP($A713,koronahun!$A:$AM,23,FALSE),"")</f>
        <v>0</v>
      </c>
      <c r="X713">
        <f>IFERROR(VLOOKUP($A713,koronahun!$A:$AM,24,FALSE),"")</f>
        <v>0</v>
      </c>
      <c r="Y713" s="14">
        <f>IFERROR(VLOOKUP($A713,koronahun!$A:$AM,25,FALSE),"")</f>
        <v>0</v>
      </c>
      <c r="Z713" s="14">
        <f>IFERROR(VLOOKUP($A713,koronahun!$A:$AM,26,FALSE),"")</f>
        <v>0</v>
      </c>
      <c r="AA713" s="14">
        <f>IFERROR(VLOOKUP($A713,koronahun!$A:$AM,27,FALSE),"")</f>
        <v>0</v>
      </c>
      <c r="AB713" s="14">
        <f>IFERROR(VLOOKUP($A713,koronahun!$A:$AM,28,FALSE),"")</f>
        <v>0</v>
      </c>
      <c r="AC713" s="14">
        <f>IFERROR(VLOOKUP($A713,koronahun!$A:$AM,29,FALSE),"")</f>
        <v>3.5714285714285716</v>
      </c>
      <c r="AD713" s="14">
        <f>IFERROR(VLOOKUP($A713,koronahun!$A:$AM,30,FALSE),"")</f>
        <v>0</v>
      </c>
      <c r="AE713" s="14">
        <f>IFERROR(VLOOKUP($A713,koronahun!$A:$AM,31,FALSE),"")</f>
        <v>124.85714285714286</v>
      </c>
      <c r="AF713" s="13">
        <f>IFERROR(VLOOKUP($A713,koronahun!$A:$AM,32,FALSE),"")</f>
        <v>2.2614285714285715E-2</v>
      </c>
      <c r="AG713">
        <f>IFERROR(VLOOKUP($A713,koronahun!$A:$AM,33,FALSE),"")</f>
        <v>0</v>
      </c>
      <c r="AH713">
        <f>IFERROR(VLOOKUP($A713,koronahun!$A:$AM,34,FALSE),"")</f>
        <v>0</v>
      </c>
      <c r="AI713">
        <f>IFERROR(VLOOKUP($A713,koronahun!$A:$AM,35,FALSE),"")</f>
        <v>0</v>
      </c>
      <c r="AJ713">
        <f>IFERROR(VLOOKUP($A713,koronahun!$A:$AM,36,FALSE),"")</f>
        <v>0</v>
      </c>
      <c r="AK713">
        <f>IFERROR(VLOOKUP($A713,koronahun!$A:$AM,37,FALSE),"")</f>
        <v>0</v>
      </c>
      <c r="AL713">
        <f>IFERROR(VLOOKUP($A713,koronahun!$A:$AM,38,FALSE),"")</f>
        <v>0</v>
      </c>
      <c r="AM713" s="14">
        <f>IFERROR(VLOOKUP($A713,koronahun!$A:$AM,39,FALSE),"")</f>
        <v>0</v>
      </c>
      <c r="AN713" s="11">
        <f ca="1">IFERROR(__xludf.DUMMYFUNCTION("""COMPUTED_VALUE"""),44605)</f>
        <v>44605</v>
      </c>
      <c r="AO713" s="12">
        <f ca="1">IFERROR(VLOOKUP(AN713,koronahun!A:B,2,FALSE),"")</f>
        <v>0</v>
      </c>
      <c r="AP713" s="11">
        <f t="shared" ca="1" si="4"/>
        <v>44605</v>
      </c>
      <c r="AQ713" s="11">
        <f ca="1">IFERROR(__xludf.DUMMYFUNCTION("""COMPUTED_VALUE"""),44839)</f>
        <v>44839</v>
      </c>
      <c r="AR713" s="11">
        <v>43906</v>
      </c>
      <c r="AS713" s="11">
        <f t="shared" si="5"/>
        <v>43906</v>
      </c>
      <c r="AT713" s="11">
        <f ca="1">IFERROR(__xludf.DUMMYFUNCTION("""COMPUTED_VALUE"""),43905)</f>
        <v>43905</v>
      </c>
    </row>
    <row r="714" spans="1:46" ht="13">
      <c r="A714" s="11">
        <v>43904</v>
      </c>
      <c r="B714">
        <f>IFERROR(VLOOKUP($A714,koronahun!$A:$AM,2,FALSE),"")</f>
        <v>30</v>
      </c>
      <c r="C714">
        <f>IFERROR(VLOOKUP($A714,koronahun!$A:$AM,3,FALSE),"")</f>
        <v>11</v>
      </c>
      <c r="D714">
        <f>IFERROR(VLOOKUP($A714,koronahun!$A:$AM,4,FALSE),"")</f>
        <v>0</v>
      </c>
      <c r="E714">
        <f>IFERROR(VLOOKUP($A714,koronahun!$A:$AM,5,FALSE),"")</f>
        <v>1</v>
      </c>
      <c r="F714">
        <f>IFERROR(VLOOKUP($A714,koronahun!$A:$AM,6,FALSE),"")</f>
        <v>1014</v>
      </c>
      <c r="G714" s="12">
        <f>IFERROR(VLOOKUP($A714,koronahun!$A:$AM,7,FALSE),"")</f>
        <v>103.46938775510203</v>
      </c>
      <c r="H714">
        <f>IFERROR(VLOOKUP($A714,koronahun!$A:$AM,8,FALSE),"")</f>
        <v>79</v>
      </c>
      <c r="I714" s="13">
        <f>IFERROR(VLOOKUP($A714,koronahun!$A:$AM,9,FALSE),"")</f>
        <v>0.57889999999999997</v>
      </c>
      <c r="J714" s="13">
        <f>IFERROR(VLOOKUP($A714,koronahun!$A:$AM,10,FALSE),"")</f>
        <v>2.9600000000000001E-2</v>
      </c>
      <c r="K714" s="13">
        <f>IFERROR(VLOOKUP($A714,koronahun!$A:$AM,11,FALSE),"")</f>
        <v>0.182</v>
      </c>
      <c r="L714">
        <f>IFERROR(VLOOKUP($A714,koronahun!$A:$AM,12,FALSE),"")</f>
        <v>29</v>
      </c>
      <c r="M714" s="13">
        <f>IFERROR(VLOOKUP($A714,koronahun!$A:$AM,13,FALSE),"")</f>
        <v>0</v>
      </c>
      <c r="N714" s="13">
        <f>IFERROR(VLOOKUP($A714,koronahun!$A:$AM,14,FALSE),"")</f>
        <v>3.3300000000000003E-2</v>
      </c>
      <c r="O714">
        <f>IFERROR(VLOOKUP($A714,koronahun!$A:$AM,15,FALSE),"")</f>
        <v>0</v>
      </c>
      <c r="P714">
        <f>IFERROR(VLOOKUP($A714,koronahun!$A:$AM,16,FALSE),"")</f>
        <v>156</v>
      </c>
      <c r="Q714" s="13">
        <f>IFERROR(VLOOKUP($A714,koronahun!$A:$AM,17,FALSE),"")</f>
        <v>7.0499999999999993E-2</v>
      </c>
      <c r="R714">
        <f>IFERROR(VLOOKUP($A714,koronahun!$A:$AM,18,FALSE),"")</f>
        <v>0</v>
      </c>
      <c r="S714">
        <f>IFERROR(VLOOKUP($A714,koronahun!$A:$AM,19,FALSE),"")</f>
        <v>0</v>
      </c>
      <c r="T714">
        <f>IFERROR(VLOOKUP($A714,koronahun!$A:$AM,20,FALSE),"")</f>
        <v>0</v>
      </c>
      <c r="U714">
        <f>IFERROR(VLOOKUP($A714,koronahun!$A:$AM,21,FALSE),"")</f>
        <v>0</v>
      </c>
      <c r="V714" s="13">
        <f>IFERROR(VLOOKUP($A714,koronahun!$A:$AM,22,FALSE),"")</f>
        <v>0.96666666666666667</v>
      </c>
      <c r="W714">
        <f>IFERROR(VLOOKUP($A714,koronahun!$A:$AM,23,FALSE),"")</f>
        <v>0</v>
      </c>
      <c r="X714">
        <f>IFERROR(VLOOKUP($A714,koronahun!$A:$AM,24,FALSE),"")</f>
        <v>0</v>
      </c>
      <c r="Y714" s="14">
        <f>IFERROR(VLOOKUP($A714,koronahun!$A:$AM,25,FALSE),"")</f>
        <v>0</v>
      </c>
      <c r="Z714" s="14">
        <f>IFERROR(VLOOKUP($A714,koronahun!$A:$AM,26,FALSE),"")</f>
        <v>0</v>
      </c>
      <c r="AA714" s="14">
        <f>IFERROR(VLOOKUP($A714,koronahun!$A:$AM,27,FALSE),"")</f>
        <v>0</v>
      </c>
      <c r="AB714" s="14">
        <f>IFERROR(VLOOKUP($A714,koronahun!$A:$AM,28,FALSE),"")</f>
        <v>0</v>
      </c>
      <c r="AC714" s="14">
        <f>IFERROR(VLOOKUP($A714,koronahun!$A:$AM,29,FALSE),"")</f>
        <v>3.5714285714285716</v>
      </c>
      <c r="AD714" s="14">
        <f>IFERROR(VLOOKUP($A714,koronahun!$A:$AM,30,FALSE),"")</f>
        <v>0</v>
      </c>
      <c r="AE714" s="14">
        <f>IFERROR(VLOOKUP($A714,koronahun!$A:$AM,31,FALSE),"")</f>
        <v>99.285714285714292</v>
      </c>
      <c r="AF714" s="13">
        <f>IFERROR(VLOOKUP($A714,koronahun!$A:$AM,32,FALSE),"")</f>
        <v>2.7971428571428567E-2</v>
      </c>
      <c r="AG714">
        <f>IFERROR(VLOOKUP($A714,koronahun!$A:$AM,33,FALSE),"")</f>
        <v>0</v>
      </c>
      <c r="AH714">
        <f>IFERROR(VLOOKUP($A714,koronahun!$A:$AM,34,FALSE),"")</f>
        <v>0</v>
      </c>
      <c r="AI714">
        <f>IFERROR(VLOOKUP($A714,koronahun!$A:$AM,35,FALSE),"")</f>
        <v>0</v>
      </c>
      <c r="AJ714">
        <f>IFERROR(VLOOKUP($A714,koronahun!$A:$AM,36,FALSE),"")</f>
        <v>0</v>
      </c>
      <c r="AK714">
        <f>IFERROR(VLOOKUP($A714,koronahun!$A:$AM,37,FALSE),"")</f>
        <v>0</v>
      </c>
      <c r="AL714">
        <f>IFERROR(VLOOKUP($A714,koronahun!$A:$AM,38,FALSE),"")</f>
        <v>0</v>
      </c>
      <c r="AM714" s="14">
        <f>IFERROR(VLOOKUP($A714,koronahun!$A:$AM,39,FALSE),"")</f>
        <v>0</v>
      </c>
      <c r="AN714" s="11">
        <f ca="1">IFERROR(__xludf.DUMMYFUNCTION("""COMPUTED_VALUE"""),44606)</f>
        <v>44606</v>
      </c>
      <c r="AO714" s="12">
        <f ca="1">IFERROR(VLOOKUP(AN714,koronahun!A:B,2,FALSE),"")</f>
        <v>1717072</v>
      </c>
      <c r="AP714" s="11">
        <f t="shared" ca="1" si="4"/>
        <v>44606</v>
      </c>
      <c r="AQ714" s="11">
        <f ca="1">IFERROR(__xludf.DUMMYFUNCTION("""COMPUTED_VALUE"""),44846)</f>
        <v>44846</v>
      </c>
      <c r="AR714" s="11">
        <v>43905</v>
      </c>
      <c r="AS714" s="11">
        <f t="shared" si="5"/>
        <v>43905</v>
      </c>
      <c r="AT714" s="11">
        <f ca="1">IFERROR(__xludf.DUMMYFUNCTION("""COMPUTED_VALUE"""),43904)</f>
        <v>43904</v>
      </c>
    </row>
    <row r="715" spans="1:46" ht="13">
      <c r="A715" s="11">
        <v>43903</v>
      </c>
      <c r="B715">
        <f>IFERROR(VLOOKUP($A715,koronahun!$A:$AM,2,FALSE),"")</f>
        <v>19</v>
      </c>
      <c r="C715">
        <f>IFERROR(VLOOKUP($A715,koronahun!$A:$AM,3,FALSE),"")</f>
        <v>3</v>
      </c>
      <c r="D715">
        <f>IFERROR(VLOOKUP($A715,koronahun!$A:$AM,4,FALSE),"")</f>
        <v>0</v>
      </c>
      <c r="E715">
        <f>IFERROR(VLOOKUP($A715,koronahun!$A:$AM,5,FALSE),"")</f>
        <v>1</v>
      </c>
      <c r="F715">
        <f>IFERROR(VLOOKUP($A715,koronahun!$A:$AM,6,FALSE),"")</f>
        <v>858</v>
      </c>
      <c r="G715" s="12">
        <f>IFERROR(VLOOKUP($A715,koronahun!$A:$AM,7,FALSE),"")</f>
        <v>87.551020408163254</v>
      </c>
      <c r="H715">
        <f>IFERROR(VLOOKUP($A715,koronahun!$A:$AM,8,FALSE),"")</f>
        <v>79</v>
      </c>
      <c r="I715" s="13">
        <f>IFERROR(VLOOKUP($A715,koronahun!$A:$AM,9,FALSE),"")</f>
        <v>0.1875</v>
      </c>
      <c r="J715" s="13">
        <f>IFERROR(VLOOKUP($A715,koronahun!$A:$AM,10,FALSE),"")</f>
        <v>2.2100000000000002E-2</v>
      </c>
      <c r="K715" s="13">
        <f>IFERROR(VLOOKUP($A715,koronahun!$A:$AM,11,FALSE),"")</f>
        <v>0.17499999999999999</v>
      </c>
      <c r="L715">
        <f>IFERROR(VLOOKUP($A715,koronahun!$A:$AM,12,FALSE),"")</f>
        <v>18</v>
      </c>
      <c r="M715" s="13">
        <f>IFERROR(VLOOKUP($A715,koronahun!$A:$AM,13,FALSE),"")</f>
        <v>0</v>
      </c>
      <c r="N715" s="13">
        <f>IFERROR(VLOOKUP($A715,koronahun!$A:$AM,14,FALSE),"")</f>
        <v>5.2600000000000001E-2</v>
      </c>
      <c r="O715">
        <f>IFERROR(VLOOKUP($A715,koronahun!$A:$AM,15,FALSE),"")</f>
        <v>0</v>
      </c>
      <c r="P715">
        <f>IFERROR(VLOOKUP($A715,koronahun!$A:$AM,16,FALSE),"")</f>
        <v>128</v>
      </c>
      <c r="Q715" s="13">
        <f>IFERROR(VLOOKUP($A715,koronahun!$A:$AM,17,FALSE),"")</f>
        <v>2.3400000000000001E-2</v>
      </c>
      <c r="R715">
        <f>IFERROR(VLOOKUP($A715,koronahun!$A:$AM,18,FALSE),"")</f>
        <v>0</v>
      </c>
      <c r="S715">
        <f>IFERROR(VLOOKUP($A715,koronahun!$A:$AM,19,FALSE),"")</f>
        <v>1</v>
      </c>
      <c r="T715">
        <f>IFERROR(VLOOKUP($A715,koronahun!$A:$AM,20,FALSE),"")</f>
        <v>0</v>
      </c>
      <c r="U715">
        <f>IFERROR(VLOOKUP($A715,koronahun!$A:$AM,21,FALSE),"")</f>
        <v>0</v>
      </c>
      <c r="V715" s="13">
        <f>IFERROR(VLOOKUP($A715,koronahun!$A:$AM,22,FALSE),"")</f>
        <v>0.94736842105263153</v>
      </c>
      <c r="W715">
        <f>IFERROR(VLOOKUP($A715,koronahun!$A:$AM,23,FALSE),"")</f>
        <v>0</v>
      </c>
      <c r="X715">
        <f>IFERROR(VLOOKUP($A715,koronahun!$A:$AM,24,FALSE),"")</f>
        <v>0</v>
      </c>
      <c r="Y715" s="14">
        <f>IFERROR(VLOOKUP($A715,koronahun!$A:$AM,25,FALSE),"")</f>
        <v>0</v>
      </c>
      <c r="Z715" s="14">
        <f>IFERROR(VLOOKUP($A715,koronahun!$A:$AM,26,FALSE),"")</f>
        <v>0</v>
      </c>
      <c r="AA715" s="14">
        <f>IFERROR(VLOOKUP($A715,koronahun!$A:$AM,27,FALSE),"")</f>
        <v>0</v>
      </c>
      <c r="AB715" s="14">
        <f>IFERROR(VLOOKUP($A715,koronahun!$A:$AM,28,FALSE),"")</f>
        <v>0</v>
      </c>
      <c r="AC715" s="14">
        <f>IFERROR(VLOOKUP($A715,koronahun!$A:$AM,29,FALSE),"")</f>
        <v>2.1428571428571428</v>
      </c>
      <c r="AD715" s="14">
        <f>IFERROR(VLOOKUP($A715,koronahun!$A:$AM,30,FALSE),"")</f>
        <v>0</v>
      </c>
      <c r="AE715" s="14">
        <f>IFERROR(VLOOKUP($A715,koronahun!$A:$AM,31,FALSE),"")</f>
        <v>84.142857142857139</v>
      </c>
      <c r="AF715" s="13">
        <f>IFERROR(VLOOKUP($A715,koronahun!$A:$AM,32,FALSE),"")</f>
        <v>2.0757142857142859E-2</v>
      </c>
      <c r="AG715">
        <f>IFERROR(VLOOKUP($A715,koronahun!$A:$AM,33,FALSE),"")</f>
        <v>0</v>
      </c>
      <c r="AH715">
        <f>IFERROR(VLOOKUP($A715,koronahun!$A:$AM,34,FALSE),"")</f>
        <v>0</v>
      </c>
      <c r="AI715">
        <f>IFERROR(VLOOKUP($A715,koronahun!$A:$AM,35,FALSE),"")</f>
        <v>0</v>
      </c>
      <c r="AJ715">
        <f>IFERROR(VLOOKUP($A715,koronahun!$A:$AM,36,FALSE),"")</f>
        <v>0</v>
      </c>
      <c r="AK715">
        <f>IFERROR(VLOOKUP($A715,koronahun!$A:$AM,37,FALSE),"")</f>
        <v>0</v>
      </c>
      <c r="AL715">
        <f>IFERROR(VLOOKUP($A715,koronahun!$A:$AM,38,FALSE),"")</f>
        <v>0</v>
      </c>
      <c r="AM715" s="14">
        <f>IFERROR(VLOOKUP($A715,koronahun!$A:$AM,39,FALSE),"")</f>
        <v>0</v>
      </c>
      <c r="AN715" s="11">
        <f ca="1">IFERROR(__xludf.DUMMYFUNCTION("""COMPUTED_VALUE"""),44607)</f>
        <v>44607</v>
      </c>
      <c r="AO715" s="12">
        <f ca="1">IFERROR(VLOOKUP(AN715,koronahun!A:B,2,FALSE),"")</f>
        <v>1721483</v>
      </c>
      <c r="AP715" s="11">
        <f t="shared" ca="1" si="4"/>
        <v>44607</v>
      </c>
      <c r="AQ715" s="11">
        <f ca="1">IFERROR(__xludf.DUMMYFUNCTION("""COMPUTED_VALUE"""),44853)</f>
        <v>44853</v>
      </c>
      <c r="AR715" s="11">
        <v>43904</v>
      </c>
      <c r="AS715" s="11">
        <f t="shared" si="5"/>
        <v>43904</v>
      </c>
      <c r="AT715" s="11">
        <f ca="1">IFERROR(__xludf.DUMMYFUNCTION("""COMPUTED_VALUE"""),43903)</f>
        <v>43903</v>
      </c>
    </row>
    <row r="716" spans="1:46" ht="13">
      <c r="A716" s="11">
        <v>43902</v>
      </c>
      <c r="B716">
        <f>IFERROR(VLOOKUP($A716,koronahun!$A:$AM,2,FALSE),"")</f>
        <v>16</v>
      </c>
      <c r="C716">
        <f>IFERROR(VLOOKUP($A716,koronahun!$A:$AM,3,FALSE),"")</f>
        <v>3</v>
      </c>
      <c r="D716">
        <f>IFERROR(VLOOKUP($A716,koronahun!$A:$AM,4,FALSE),"")</f>
        <v>0</v>
      </c>
      <c r="E716">
        <f>IFERROR(VLOOKUP($A716,koronahun!$A:$AM,5,FALSE),"")</f>
        <v>0</v>
      </c>
      <c r="F716">
        <f>IFERROR(VLOOKUP($A716,koronahun!$A:$AM,6,FALSE),"")</f>
        <v>730</v>
      </c>
      <c r="G716" s="12">
        <f>IFERROR(VLOOKUP($A716,koronahun!$A:$AM,7,FALSE),"")</f>
        <v>74.489795918367335</v>
      </c>
      <c r="H716">
        <f>IFERROR(VLOOKUP($A716,koronahun!$A:$AM,8,FALSE),"")</f>
        <v>65</v>
      </c>
      <c r="I716" s="13">
        <f>IFERROR(VLOOKUP($A716,koronahun!$A:$AM,9,FALSE),"")</f>
        <v>0.23080000000000001</v>
      </c>
      <c r="J716" s="13">
        <f>IFERROR(VLOOKUP($A716,koronahun!$A:$AM,10,FALSE),"")</f>
        <v>2.1899999999999999E-2</v>
      </c>
      <c r="K716" s="13">
        <f>IFERROR(VLOOKUP($A716,koronahun!$A:$AM,11,FALSE),"")</f>
        <v>0.19900000000000001</v>
      </c>
      <c r="L716">
        <f>IFERROR(VLOOKUP($A716,koronahun!$A:$AM,12,FALSE),"")</f>
        <v>16</v>
      </c>
      <c r="M716" s="13">
        <f>IFERROR(VLOOKUP($A716,koronahun!$A:$AM,13,FALSE),"")</f>
        <v>0</v>
      </c>
      <c r="N716" s="13">
        <f>IFERROR(VLOOKUP($A716,koronahun!$A:$AM,14,FALSE),"")</f>
        <v>0</v>
      </c>
      <c r="O716">
        <f>IFERROR(VLOOKUP($A716,koronahun!$A:$AM,15,FALSE),"")</f>
        <v>0</v>
      </c>
      <c r="P716">
        <f>IFERROR(VLOOKUP($A716,koronahun!$A:$AM,16,FALSE),"")</f>
        <v>121</v>
      </c>
      <c r="Q716" s="13">
        <f>IFERROR(VLOOKUP($A716,koronahun!$A:$AM,17,FALSE),"")</f>
        <v>2.4799999999999999E-2</v>
      </c>
      <c r="R716">
        <f>IFERROR(VLOOKUP($A716,koronahun!$A:$AM,18,FALSE),"")</f>
        <v>0</v>
      </c>
      <c r="S716">
        <f>IFERROR(VLOOKUP($A716,koronahun!$A:$AM,19,FALSE),"")</f>
        <v>0</v>
      </c>
      <c r="T716">
        <f>IFERROR(VLOOKUP($A716,koronahun!$A:$AM,20,FALSE),"")</f>
        <v>0</v>
      </c>
      <c r="U716">
        <f>IFERROR(VLOOKUP($A716,koronahun!$A:$AM,21,FALSE),"")</f>
        <v>0</v>
      </c>
      <c r="V716" s="13">
        <f>IFERROR(VLOOKUP($A716,koronahun!$A:$AM,22,FALSE),"")</f>
        <v>1</v>
      </c>
      <c r="W716">
        <f>IFERROR(VLOOKUP($A716,koronahun!$A:$AM,23,FALSE),"")</f>
        <v>0</v>
      </c>
      <c r="X716">
        <f>IFERROR(VLOOKUP($A716,koronahun!$A:$AM,24,FALSE),"")</f>
        <v>0</v>
      </c>
      <c r="Y716" s="14">
        <f>IFERROR(VLOOKUP($A716,koronahun!$A:$AM,25,FALSE),"")</f>
        <v>0</v>
      </c>
      <c r="Z716" s="14">
        <f>IFERROR(VLOOKUP($A716,koronahun!$A:$AM,26,FALSE),"")</f>
        <v>0</v>
      </c>
      <c r="AA716" s="14">
        <f>IFERROR(VLOOKUP($A716,koronahun!$A:$AM,27,FALSE),"")</f>
        <v>0</v>
      </c>
      <c r="AB716" s="14">
        <f>IFERROR(VLOOKUP($A716,koronahun!$A:$AM,28,FALSE),"")</f>
        <v>0</v>
      </c>
      <c r="AC716" s="14">
        <f>IFERROR(VLOOKUP($A716,koronahun!$A:$AM,29,FALSE),"")</f>
        <v>1.7142857142857142</v>
      </c>
      <c r="AD716" s="14">
        <f>IFERROR(VLOOKUP($A716,koronahun!$A:$AM,30,FALSE),"")</f>
        <v>0</v>
      </c>
      <c r="AE716" s="14">
        <f>IFERROR(VLOOKUP($A716,koronahun!$A:$AM,31,FALSE),"")</f>
        <v>71.428571428571431</v>
      </c>
      <c r="AF716" s="13">
        <f>IFERROR(VLOOKUP($A716,koronahun!$A:$AM,32,FALSE),"")</f>
        <v>0</v>
      </c>
      <c r="AG716">
        <f>IFERROR(VLOOKUP($A716,koronahun!$A:$AM,33,FALSE),"")</f>
        <v>0</v>
      </c>
      <c r="AH716">
        <f>IFERROR(VLOOKUP($A716,koronahun!$A:$AM,34,FALSE),"")</f>
        <v>0</v>
      </c>
      <c r="AI716">
        <f>IFERROR(VLOOKUP($A716,koronahun!$A:$AM,35,FALSE),"")</f>
        <v>0</v>
      </c>
      <c r="AJ716">
        <f>IFERROR(VLOOKUP($A716,koronahun!$A:$AM,36,FALSE),"")</f>
        <v>0</v>
      </c>
      <c r="AK716">
        <f>IFERROR(VLOOKUP($A716,koronahun!$A:$AM,37,FALSE),"")</f>
        <v>0</v>
      </c>
      <c r="AL716">
        <f>IFERROR(VLOOKUP($A716,koronahun!$A:$AM,38,FALSE),"")</f>
        <v>0</v>
      </c>
      <c r="AM716" s="14">
        <f>IFERROR(VLOOKUP($A716,koronahun!$A:$AM,39,FALSE),"")</f>
        <v>0</v>
      </c>
      <c r="AN716" s="11">
        <f ca="1">IFERROR(__xludf.DUMMYFUNCTION("""COMPUTED_VALUE"""),44608)</f>
        <v>44608</v>
      </c>
      <c r="AO716" s="12">
        <f ca="1">IFERROR(VLOOKUP(AN716,koronahun!A:B,2,FALSE),"")</f>
        <v>1730366</v>
      </c>
      <c r="AP716" s="11">
        <f t="shared" ca="1" si="4"/>
        <v>44608</v>
      </c>
      <c r="AQ716" s="11">
        <f ca="1">IFERROR(__xludf.DUMMYFUNCTION("""COMPUTED_VALUE"""),44860)</f>
        <v>44860</v>
      </c>
      <c r="AR716" s="11">
        <v>43903</v>
      </c>
      <c r="AS716" s="11">
        <f t="shared" si="5"/>
        <v>43903</v>
      </c>
      <c r="AT716" s="11">
        <f ca="1">IFERROR(__xludf.DUMMYFUNCTION("""COMPUTED_VALUE"""),43902)</f>
        <v>43902</v>
      </c>
    </row>
    <row r="717" spans="1:46" ht="13">
      <c r="A717" s="11">
        <v>43901</v>
      </c>
      <c r="B717">
        <f>IFERROR(VLOOKUP($A717,koronahun!$A:$AM,2,FALSE),"")</f>
        <v>13</v>
      </c>
      <c r="C717">
        <f>IFERROR(VLOOKUP($A717,koronahun!$A:$AM,3,FALSE),"")</f>
        <v>1</v>
      </c>
      <c r="D717">
        <f>IFERROR(VLOOKUP($A717,koronahun!$A:$AM,4,FALSE),"")</f>
        <v>0</v>
      </c>
      <c r="E717">
        <f>IFERROR(VLOOKUP($A717,koronahun!$A:$AM,5,FALSE),"")</f>
        <v>0</v>
      </c>
      <c r="F717">
        <f>IFERROR(VLOOKUP($A717,koronahun!$A:$AM,6,FALSE),"")</f>
        <v>609</v>
      </c>
      <c r="G717" s="12">
        <f>IFERROR(VLOOKUP($A717,koronahun!$A:$AM,7,FALSE),"")</f>
        <v>62.142857142857139</v>
      </c>
      <c r="H717">
        <f>IFERROR(VLOOKUP($A717,koronahun!$A:$AM,8,FALSE),"")</f>
        <v>69</v>
      </c>
      <c r="I717" s="13">
        <f>IFERROR(VLOOKUP($A717,koronahun!$A:$AM,9,FALSE),"")</f>
        <v>8.3299999999999999E-2</v>
      </c>
      <c r="J717" s="13">
        <f>IFERROR(VLOOKUP($A717,koronahun!$A:$AM,10,FALSE),"")</f>
        <v>2.1299999999999999E-2</v>
      </c>
      <c r="K717" s="13">
        <f>IFERROR(VLOOKUP($A717,koronahun!$A:$AM,11,FALSE),"")</f>
        <v>0.14699999999999999</v>
      </c>
      <c r="L717">
        <f>IFERROR(VLOOKUP($A717,koronahun!$A:$AM,12,FALSE),"")</f>
        <v>13</v>
      </c>
      <c r="M717" s="13">
        <f>IFERROR(VLOOKUP($A717,koronahun!$A:$AM,13,FALSE),"")</f>
        <v>0</v>
      </c>
      <c r="N717" s="13">
        <f>IFERROR(VLOOKUP($A717,koronahun!$A:$AM,14,FALSE),"")</f>
        <v>0</v>
      </c>
      <c r="O717">
        <f>IFERROR(VLOOKUP($A717,koronahun!$A:$AM,15,FALSE),"")</f>
        <v>0</v>
      </c>
      <c r="P717">
        <f>IFERROR(VLOOKUP($A717,koronahun!$A:$AM,16,FALSE),"")</f>
        <v>78</v>
      </c>
      <c r="Q717" s="13">
        <f>IFERROR(VLOOKUP($A717,koronahun!$A:$AM,17,FALSE),"")</f>
        <v>1.2800000000000001E-2</v>
      </c>
      <c r="R717">
        <f>IFERROR(VLOOKUP($A717,koronahun!$A:$AM,18,FALSE),"")</f>
        <v>0</v>
      </c>
      <c r="S717">
        <f>IFERROR(VLOOKUP($A717,koronahun!$A:$AM,19,FALSE),"")</f>
        <v>0</v>
      </c>
      <c r="T717">
        <f>IFERROR(VLOOKUP($A717,koronahun!$A:$AM,20,FALSE),"")</f>
        <v>0</v>
      </c>
      <c r="U717">
        <f>IFERROR(VLOOKUP($A717,koronahun!$A:$AM,21,FALSE),"")</f>
        <v>0</v>
      </c>
      <c r="V717" s="13">
        <f>IFERROR(VLOOKUP($A717,koronahun!$A:$AM,22,FALSE),"")</f>
        <v>1</v>
      </c>
      <c r="W717">
        <f>IFERROR(VLOOKUP($A717,koronahun!$A:$AM,23,FALSE),"")</f>
        <v>0</v>
      </c>
      <c r="X717">
        <f>IFERROR(VLOOKUP($A717,koronahun!$A:$AM,24,FALSE),"")</f>
        <v>0</v>
      </c>
      <c r="Y717" s="14">
        <f>IFERROR(VLOOKUP($A717,koronahun!$A:$AM,25,FALSE),"")</f>
        <v>0</v>
      </c>
      <c r="Z717" s="14">
        <f>IFERROR(VLOOKUP($A717,koronahun!$A:$AM,26,FALSE),"")</f>
        <v>0</v>
      </c>
      <c r="AA717" s="14">
        <f>IFERROR(VLOOKUP($A717,koronahun!$A:$AM,27,FALSE),"")</f>
        <v>0</v>
      </c>
      <c r="AB717" s="14">
        <f>IFERROR(VLOOKUP($A717,koronahun!$A:$AM,28,FALSE),"")</f>
        <v>0</v>
      </c>
      <c r="AC717" s="14">
        <f>IFERROR(VLOOKUP($A717,koronahun!$A:$AM,29,FALSE),"")</f>
        <v>1.5714285714285714</v>
      </c>
      <c r="AD717" s="14">
        <f>IFERROR(VLOOKUP($A717,koronahun!$A:$AM,30,FALSE),"")</f>
        <v>0</v>
      </c>
      <c r="AE717" s="14">
        <f>IFERROR(VLOOKUP($A717,koronahun!$A:$AM,31,FALSE),"")</f>
        <v>54.142857142857146</v>
      </c>
      <c r="AF717" s="13">
        <f>IFERROR(VLOOKUP($A717,koronahun!$A:$AM,32,FALSE),"")</f>
        <v>0</v>
      </c>
      <c r="AG717">
        <f>IFERROR(VLOOKUP($A717,koronahun!$A:$AM,33,FALSE),"")</f>
        <v>0</v>
      </c>
      <c r="AH717">
        <f>IFERROR(VLOOKUP($A717,koronahun!$A:$AM,34,FALSE),"")</f>
        <v>0</v>
      </c>
      <c r="AI717">
        <f>IFERROR(VLOOKUP($A717,koronahun!$A:$AM,35,FALSE),"")</f>
        <v>0</v>
      </c>
      <c r="AJ717">
        <f>IFERROR(VLOOKUP($A717,koronahun!$A:$AM,36,FALSE),"")</f>
        <v>0</v>
      </c>
      <c r="AK717">
        <f>IFERROR(VLOOKUP($A717,koronahun!$A:$AM,37,FALSE),"")</f>
        <v>0</v>
      </c>
      <c r="AL717">
        <f>IFERROR(VLOOKUP($A717,koronahun!$A:$AM,38,FALSE),"")</f>
        <v>0</v>
      </c>
      <c r="AM717" s="14">
        <f>IFERROR(VLOOKUP($A717,koronahun!$A:$AM,39,FALSE),"")</f>
        <v>0</v>
      </c>
      <c r="AN717" s="11">
        <f ca="1">IFERROR(__xludf.DUMMYFUNCTION("""COMPUTED_VALUE"""),44609)</f>
        <v>44609</v>
      </c>
      <c r="AO717" s="12">
        <f ca="1">IFERROR(VLOOKUP(AN717,koronahun!A:B,2,FALSE),"")</f>
        <v>1738944</v>
      </c>
      <c r="AP717" s="11">
        <f t="shared" ca="1" si="4"/>
        <v>44609</v>
      </c>
      <c r="AQ717" s="11">
        <f ca="1">IFERROR(__xludf.DUMMYFUNCTION("""COMPUTED_VALUE"""),44867)</f>
        <v>44867</v>
      </c>
      <c r="AR717" s="11">
        <v>43902</v>
      </c>
      <c r="AS717" s="11">
        <f t="shared" si="5"/>
        <v>43902</v>
      </c>
      <c r="AT717" s="11">
        <f ca="1">IFERROR(__xludf.DUMMYFUNCTION("""COMPUTED_VALUE"""),43901)</f>
        <v>43901</v>
      </c>
    </row>
    <row r="718" spans="1:46" ht="13">
      <c r="A718" s="11">
        <v>43900</v>
      </c>
      <c r="B718">
        <f>IFERROR(VLOOKUP($A718,koronahun!$A:$AM,2,FALSE),"")</f>
        <v>12</v>
      </c>
      <c r="C718">
        <f>IFERROR(VLOOKUP($A718,koronahun!$A:$AM,3,FALSE),"")</f>
        <v>3</v>
      </c>
      <c r="D718">
        <f>IFERROR(VLOOKUP($A718,koronahun!$A:$AM,4,FALSE),"")</f>
        <v>0</v>
      </c>
      <c r="E718">
        <f>IFERROR(VLOOKUP($A718,koronahun!$A:$AM,5,FALSE),"")</f>
        <v>0</v>
      </c>
      <c r="F718">
        <f>IFERROR(VLOOKUP($A718,koronahun!$A:$AM,6,FALSE),"")</f>
        <v>531</v>
      </c>
      <c r="G718" s="12">
        <f>IFERROR(VLOOKUP($A718,koronahun!$A:$AM,7,FALSE),"")</f>
        <v>54.183673469387749</v>
      </c>
      <c r="H718">
        <f>IFERROR(VLOOKUP($A718,koronahun!$A:$AM,8,FALSE),"")</f>
        <v>53</v>
      </c>
      <c r="I718" s="13">
        <f>IFERROR(VLOOKUP($A718,koronahun!$A:$AM,9,FALSE),"")</f>
        <v>0.33329999999999999</v>
      </c>
      <c r="J718" s="13">
        <f>IFERROR(VLOOKUP($A718,koronahun!$A:$AM,10,FALSE),"")</f>
        <v>2.2599999999999999E-2</v>
      </c>
      <c r="K718" s="13">
        <f>IFERROR(VLOOKUP($A718,koronahun!$A:$AM,11,FALSE),"")</f>
        <v>0.46700000000000003</v>
      </c>
      <c r="L718">
        <f>IFERROR(VLOOKUP($A718,koronahun!$A:$AM,12,FALSE),"")</f>
        <v>12</v>
      </c>
      <c r="M718" s="13">
        <f>IFERROR(VLOOKUP($A718,koronahun!$A:$AM,13,FALSE),"")</f>
        <v>0</v>
      </c>
      <c r="N718" s="13">
        <f>IFERROR(VLOOKUP($A718,koronahun!$A:$AM,14,FALSE),"")</f>
        <v>0</v>
      </c>
      <c r="O718">
        <f>IFERROR(VLOOKUP($A718,koronahun!$A:$AM,15,FALSE),"")</f>
        <v>0</v>
      </c>
      <c r="P718">
        <f>IFERROR(VLOOKUP($A718,koronahun!$A:$AM,16,FALSE),"")</f>
        <v>169</v>
      </c>
      <c r="Q718" s="13">
        <f>IFERROR(VLOOKUP($A718,koronahun!$A:$AM,17,FALSE),"")</f>
        <v>1.78E-2</v>
      </c>
      <c r="R718">
        <f>IFERROR(VLOOKUP($A718,koronahun!$A:$AM,18,FALSE),"")</f>
        <v>0</v>
      </c>
      <c r="S718">
        <f>IFERROR(VLOOKUP($A718,koronahun!$A:$AM,19,FALSE),"")</f>
        <v>0</v>
      </c>
      <c r="T718">
        <f>IFERROR(VLOOKUP($A718,koronahun!$A:$AM,20,FALSE),"")</f>
        <v>0</v>
      </c>
      <c r="U718">
        <f>IFERROR(VLOOKUP($A718,koronahun!$A:$AM,21,FALSE),"")</f>
        <v>0</v>
      </c>
      <c r="V718" s="13">
        <f>IFERROR(VLOOKUP($A718,koronahun!$A:$AM,22,FALSE),"")</f>
        <v>1</v>
      </c>
      <c r="W718">
        <f>IFERROR(VLOOKUP($A718,koronahun!$A:$AM,23,FALSE),"")</f>
        <v>0</v>
      </c>
      <c r="X718">
        <f>IFERROR(VLOOKUP($A718,koronahun!$A:$AM,24,FALSE),"")</f>
        <v>0</v>
      </c>
      <c r="Y718" s="14">
        <f>IFERROR(VLOOKUP($A718,koronahun!$A:$AM,25,FALSE),"")</f>
        <v>0</v>
      </c>
      <c r="Z718" s="14">
        <f>IFERROR(VLOOKUP($A718,koronahun!$A:$AM,26,FALSE),"")</f>
        <v>0</v>
      </c>
      <c r="AA718" s="14">
        <f>IFERROR(VLOOKUP($A718,koronahun!$A:$AM,27,FALSE),"")</f>
        <v>0</v>
      </c>
      <c r="AB718" s="14">
        <f>IFERROR(VLOOKUP($A718,koronahun!$A:$AM,28,FALSE),"")</f>
        <v>0</v>
      </c>
      <c r="AC718" s="14">
        <f>IFERROR(VLOOKUP($A718,koronahun!$A:$AM,29,FALSE),"")</f>
        <v>1.7142857142857142</v>
      </c>
      <c r="AD718" s="14">
        <f>IFERROR(VLOOKUP($A718,koronahun!$A:$AM,30,FALSE),"")</f>
        <v>0</v>
      </c>
      <c r="AE718" s="14">
        <f>IFERROR(VLOOKUP($A718,koronahun!$A:$AM,31,FALSE),"")</f>
        <v>43</v>
      </c>
      <c r="AF718" s="13">
        <f>IFERROR(VLOOKUP($A718,koronahun!$A:$AM,32,FALSE),"")</f>
        <v>0</v>
      </c>
      <c r="AG718">
        <f>IFERROR(VLOOKUP($A718,koronahun!$A:$AM,33,FALSE),"")</f>
        <v>0</v>
      </c>
      <c r="AH718">
        <f>IFERROR(VLOOKUP($A718,koronahun!$A:$AM,34,FALSE),"")</f>
        <v>0</v>
      </c>
      <c r="AI718">
        <f>IFERROR(VLOOKUP($A718,koronahun!$A:$AM,35,FALSE),"")</f>
        <v>0</v>
      </c>
      <c r="AJ718">
        <f>IFERROR(VLOOKUP($A718,koronahun!$A:$AM,36,FALSE),"")</f>
        <v>0</v>
      </c>
      <c r="AK718">
        <f>IFERROR(VLOOKUP($A718,koronahun!$A:$AM,37,FALSE),"")</f>
        <v>0</v>
      </c>
      <c r="AL718">
        <f>IFERROR(VLOOKUP($A718,koronahun!$A:$AM,38,FALSE),"")</f>
        <v>0</v>
      </c>
      <c r="AM718" s="14">
        <f>IFERROR(VLOOKUP($A718,koronahun!$A:$AM,39,FALSE),"")</f>
        <v>0</v>
      </c>
      <c r="AN718" s="11">
        <f ca="1">IFERROR(__xludf.DUMMYFUNCTION("""COMPUTED_VALUE"""),44610)</f>
        <v>44610</v>
      </c>
      <c r="AO718" s="12">
        <f ca="1">IFERROR(VLOOKUP(AN718,koronahun!A:B,2,FALSE),"")</f>
        <v>1746424</v>
      </c>
      <c r="AP718" s="11">
        <f t="shared" ca="1" si="4"/>
        <v>44610</v>
      </c>
      <c r="AQ718" s="11">
        <f ca="1">IFERROR(__xludf.DUMMYFUNCTION("""COMPUTED_VALUE"""),44874)</f>
        <v>44874</v>
      </c>
      <c r="AR718" s="11">
        <v>43901</v>
      </c>
      <c r="AS718" s="11">
        <f t="shared" si="5"/>
        <v>43901</v>
      </c>
      <c r="AT718" s="11">
        <f ca="1">IFERROR(__xludf.DUMMYFUNCTION("""COMPUTED_VALUE"""),43900)</f>
        <v>43900</v>
      </c>
    </row>
    <row r="719" spans="1:46" ht="13">
      <c r="A719" s="11">
        <v>43899</v>
      </c>
      <c r="B719">
        <f>IFERROR(VLOOKUP($A719,koronahun!$A:$AM,2,FALSE),"")</f>
        <v>9</v>
      </c>
      <c r="C719">
        <f>IFERROR(VLOOKUP($A719,koronahun!$A:$AM,3,FALSE),"")</f>
        <v>2</v>
      </c>
      <c r="D719">
        <f>IFERROR(VLOOKUP($A719,koronahun!$A:$AM,4,FALSE),"")</f>
        <v>0</v>
      </c>
      <c r="E719">
        <f>IFERROR(VLOOKUP($A719,koronahun!$A:$AM,5,FALSE),"")</f>
        <v>0</v>
      </c>
      <c r="F719">
        <f>IFERROR(VLOOKUP($A719,koronahun!$A:$AM,6,FALSE),"")</f>
        <v>362</v>
      </c>
      <c r="G719" s="12">
        <f>IFERROR(VLOOKUP($A719,koronahun!$A:$AM,7,FALSE),"")</f>
        <v>36.938775510204081</v>
      </c>
      <c r="H719">
        <f>IFERROR(VLOOKUP($A719,koronahun!$A:$AM,8,FALSE),"")</f>
        <v>67</v>
      </c>
      <c r="I719" s="13">
        <f>IFERROR(VLOOKUP($A719,koronahun!$A:$AM,9,FALSE),"")</f>
        <v>0.28570000000000001</v>
      </c>
      <c r="J719" s="13">
        <f>IFERROR(VLOOKUP($A719,koronahun!$A:$AM,10,FALSE),"")</f>
        <v>2.4899999999999999E-2</v>
      </c>
      <c r="K719" s="13">
        <f>IFERROR(VLOOKUP($A719,koronahun!$A:$AM,11,FALSE),"")</f>
        <v>0</v>
      </c>
      <c r="L719">
        <f>IFERROR(VLOOKUP($A719,koronahun!$A:$AM,12,FALSE),"")</f>
        <v>9</v>
      </c>
      <c r="M719" s="13">
        <f>IFERROR(VLOOKUP($A719,koronahun!$A:$AM,13,FALSE),"")</f>
        <v>0</v>
      </c>
      <c r="N719" s="13">
        <f>IFERROR(VLOOKUP($A719,koronahun!$A:$AM,14,FALSE),"")</f>
        <v>0</v>
      </c>
      <c r="O719">
        <f>IFERROR(VLOOKUP($A719,koronahun!$A:$AM,15,FALSE),"")</f>
        <v>0</v>
      </c>
      <c r="P719">
        <f>IFERROR(VLOOKUP($A719,koronahun!$A:$AM,16,FALSE),"")</f>
        <v>0</v>
      </c>
      <c r="Q719" s="13">
        <f>IFERROR(VLOOKUP($A719,koronahun!$A:$AM,17,FALSE),"")</f>
        <v>0</v>
      </c>
      <c r="R719">
        <f>IFERROR(VLOOKUP($A719,koronahun!$A:$AM,18,FALSE),"")</f>
        <v>0</v>
      </c>
      <c r="S719">
        <f>IFERROR(VLOOKUP($A719,koronahun!$A:$AM,19,FALSE),"")</f>
        <v>0</v>
      </c>
      <c r="T719">
        <f>IFERROR(VLOOKUP($A719,koronahun!$A:$AM,20,FALSE),"")</f>
        <v>0</v>
      </c>
      <c r="U719">
        <f>IFERROR(VLOOKUP($A719,koronahun!$A:$AM,21,FALSE),"")</f>
        <v>0</v>
      </c>
      <c r="V719" s="13">
        <f>IFERROR(VLOOKUP($A719,koronahun!$A:$AM,22,FALSE),"")</f>
        <v>1</v>
      </c>
      <c r="W719">
        <f>IFERROR(VLOOKUP($A719,koronahun!$A:$AM,23,FALSE),"")</f>
        <v>0</v>
      </c>
      <c r="X719">
        <f>IFERROR(VLOOKUP($A719,koronahun!$A:$AM,24,FALSE),"")</f>
        <v>0</v>
      </c>
      <c r="Y719" s="14">
        <f>IFERROR(VLOOKUP($A719,koronahun!$A:$AM,25,FALSE),"")</f>
        <v>0</v>
      </c>
      <c r="Z719" s="14">
        <f>IFERROR(VLOOKUP($A719,koronahun!$A:$AM,26,FALSE),"")</f>
        <v>0</v>
      </c>
      <c r="AA719" s="14">
        <f>IFERROR(VLOOKUP($A719,koronahun!$A:$AM,27,FALSE),"")</f>
        <v>0</v>
      </c>
      <c r="AB719" s="14">
        <f>IFERROR(VLOOKUP($A719,koronahun!$A:$AM,28,FALSE),"")</f>
        <v>0</v>
      </c>
      <c r="AC719" s="14">
        <f>IFERROR(VLOOKUP($A719,koronahun!$A:$AM,29,FALSE),"")</f>
        <v>0</v>
      </c>
      <c r="AD719" s="14">
        <f>IFERROR(VLOOKUP($A719,koronahun!$A:$AM,30,FALSE),"")</f>
        <v>0</v>
      </c>
      <c r="AE719" s="14">
        <f>IFERROR(VLOOKUP($A719,koronahun!$A:$AM,31,FALSE),"")</f>
        <v>0</v>
      </c>
      <c r="AF719" s="13">
        <f>IFERROR(VLOOKUP($A719,koronahun!$A:$AM,32,FALSE),"")</f>
        <v>0</v>
      </c>
      <c r="AG719">
        <f>IFERROR(VLOOKUP($A719,koronahun!$A:$AM,33,FALSE),"")</f>
        <v>0</v>
      </c>
      <c r="AH719">
        <f>IFERROR(VLOOKUP($A719,koronahun!$A:$AM,34,FALSE),"")</f>
        <v>0</v>
      </c>
      <c r="AI719">
        <f>IFERROR(VLOOKUP($A719,koronahun!$A:$AM,35,FALSE),"")</f>
        <v>0</v>
      </c>
      <c r="AJ719">
        <f>IFERROR(VLOOKUP($A719,koronahun!$A:$AM,36,FALSE),"")</f>
        <v>0</v>
      </c>
      <c r="AK719">
        <f>IFERROR(VLOOKUP($A719,koronahun!$A:$AM,37,FALSE),"")</f>
        <v>0</v>
      </c>
      <c r="AL719">
        <f>IFERROR(VLOOKUP($A719,koronahun!$A:$AM,38,FALSE),"")</f>
        <v>0</v>
      </c>
      <c r="AM719" s="14">
        <f>IFERROR(VLOOKUP($A719,koronahun!$A:$AM,39,FALSE),"")</f>
        <v>0</v>
      </c>
      <c r="AN719" s="11">
        <f ca="1">IFERROR(__xludf.DUMMYFUNCTION("""COMPUTED_VALUE"""),44611)</f>
        <v>44611</v>
      </c>
      <c r="AO719" s="12">
        <f ca="1">IFERROR(VLOOKUP(AN719,koronahun!A:B,2,FALSE),"")</f>
        <v>0</v>
      </c>
      <c r="AP719" s="11">
        <f t="shared" ca="1" si="4"/>
        <v>44611</v>
      </c>
      <c r="AQ719" s="11">
        <f ca="1">IFERROR(__xludf.DUMMYFUNCTION("""COMPUTED_VALUE"""),44881)</f>
        <v>44881</v>
      </c>
      <c r="AR719" s="11">
        <v>43900</v>
      </c>
      <c r="AS719" s="11">
        <f t="shared" si="5"/>
        <v>43900</v>
      </c>
      <c r="AT719" s="11">
        <f ca="1">IFERROR(__xludf.DUMMYFUNCTION("""COMPUTED_VALUE"""),43899)</f>
        <v>43899</v>
      </c>
    </row>
    <row r="720" spans="1:46" ht="13">
      <c r="A720" s="11">
        <v>43898</v>
      </c>
      <c r="B720">
        <f>IFERROR(VLOOKUP($A720,koronahun!$A:$AM,2,FALSE),"")</f>
        <v>7</v>
      </c>
      <c r="C720">
        <f>IFERROR(VLOOKUP($A720,koronahun!$A:$AM,3,FALSE),"")</f>
        <v>2</v>
      </c>
      <c r="D720">
        <f>IFERROR(VLOOKUP($A720,koronahun!$A:$AM,4,FALSE),"")</f>
        <v>0</v>
      </c>
      <c r="E720">
        <f>IFERROR(VLOOKUP($A720,koronahun!$A:$AM,5,FALSE),"")</f>
        <v>0</v>
      </c>
      <c r="F720">
        <f>IFERROR(VLOOKUP($A720,koronahun!$A:$AM,6,FALSE),"")</f>
        <v>362</v>
      </c>
      <c r="G720" s="12">
        <f>IFERROR(VLOOKUP($A720,koronahun!$A:$AM,7,FALSE),"")</f>
        <v>36.938775510204081</v>
      </c>
      <c r="H720">
        <f>IFERROR(VLOOKUP($A720,koronahun!$A:$AM,8,FALSE),"")</f>
        <v>67</v>
      </c>
      <c r="I720" s="13">
        <f>IFERROR(VLOOKUP($A720,koronahun!$A:$AM,9,FALSE),"")</f>
        <v>0.4</v>
      </c>
      <c r="J720" s="13">
        <f>IFERROR(VLOOKUP($A720,koronahun!$A:$AM,10,FALSE),"")</f>
        <v>1.9300000000000001E-2</v>
      </c>
      <c r="K720" s="13">
        <f>IFERROR(VLOOKUP($A720,koronahun!$A:$AM,11,FALSE),"")</f>
        <v>0.13500000000000001</v>
      </c>
      <c r="L720">
        <f>IFERROR(VLOOKUP($A720,koronahun!$A:$AM,12,FALSE),"")</f>
        <v>7</v>
      </c>
      <c r="M720" s="13">
        <f>IFERROR(VLOOKUP($A720,koronahun!$A:$AM,13,FALSE),"")</f>
        <v>0</v>
      </c>
      <c r="N720" s="13">
        <f>IFERROR(VLOOKUP($A720,koronahun!$A:$AM,14,FALSE),"")</f>
        <v>0</v>
      </c>
      <c r="O720">
        <f>IFERROR(VLOOKUP($A720,koronahun!$A:$AM,15,FALSE),"")</f>
        <v>0</v>
      </c>
      <c r="P720">
        <f>IFERROR(VLOOKUP($A720,koronahun!$A:$AM,16,FALSE),"")</f>
        <v>43</v>
      </c>
      <c r="Q720" s="13">
        <f>IFERROR(VLOOKUP($A720,koronahun!$A:$AM,17,FALSE),"")</f>
        <v>4.65E-2</v>
      </c>
      <c r="R720">
        <f>IFERROR(VLOOKUP($A720,koronahun!$A:$AM,18,FALSE),"")</f>
        <v>0</v>
      </c>
      <c r="S720">
        <f>IFERROR(VLOOKUP($A720,koronahun!$A:$AM,19,FALSE),"")</f>
        <v>0</v>
      </c>
      <c r="T720">
        <f>IFERROR(VLOOKUP($A720,koronahun!$A:$AM,20,FALSE),"")</f>
        <v>0</v>
      </c>
      <c r="U720">
        <f>IFERROR(VLOOKUP($A720,koronahun!$A:$AM,21,FALSE),"")</f>
        <v>0</v>
      </c>
      <c r="V720" s="13">
        <f>IFERROR(VLOOKUP($A720,koronahun!$A:$AM,22,FALSE),"")</f>
        <v>1</v>
      </c>
      <c r="W720">
        <f>IFERROR(VLOOKUP($A720,koronahun!$A:$AM,23,FALSE),"")</f>
        <v>0</v>
      </c>
      <c r="X720">
        <f>IFERROR(VLOOKUP($A720,koronahun!$A:$AM,24,FALSE),"")</f>
        <v>0</v>
      </c>
      <c r="Y720" s="14">
        <f>IFERROR(VLOOKUP($A720,koronahun!$A:$AM,25,FALSE),"")</f>
        <v>0</v>
      </c>
      <c r="Z720" s="14">
        <f>IFERROR(VLOOKUP($A720,koronahun!$A:$AM,26,FALSE),"")</f>
        <v>0</v>
      </c>
      <c r="AA720" s="14">
        <f>IFERROR(VLOOKUP($A720,koronahun!$A:$AM,27,FALSE),"")</f>
        <v>0</v>
      </c>
      <c r="AB720" s="14">
        <f>IFERROR(VLOOKUP($A720,koronahun!$A:$AM,28,FALSE),"")</f>
        <v>0</v>
      </c>
      <c r="AC720" s="14">
        <f>IFERROR(VLOOKUP($A720,koronahun!$A:$AM,29,FALSE),"")</f>
        <v>0</v>
      </c>
      <c r="AD720" s="14">
        <f>IFERROR(VLOOKUP($A720,koronahun!$A:$AM,30,FALSE),"")</f>
        <v>0</v>
      </c>
      <c r="AE720" s="14">
        <f>IFERROR(VLOOKUP($A720,koronahun!$A:$AM,31,FALSE),"")</f>
        <v>0</v>
      </c>
      <c r="AF720" s="13">
        <f>IFERROR(VLOOKUP($A720,koronahun!$A:$AM,32,FALSE),"")</f>
        <v>0</v>
      </c>
      <c r="AG720">
        <f>IFERROR(VLOOKUP($A720,koronahun!$A:$AM,33,FALSE),"")</f>
        <v>0</v>
      </c>
      <c r="AH720">
        <f>IFERROR(VLOOKUP($A720,koronahun!$A:$AM,34,FALSE),"")</f>
        <v>0</v>
      </c>
      <c r="AI720">
        <f>IFERROR(VLOOKUP($A720,koronahun!$A:$AM,35,FALSE),"")</f>
        <v>0</v>
      </c>
      <c r="AJ720">
        <f>IFERROR(VLOOKUP($A720,koronahun!$A:$AM,36,FALSE),"")</f>
        <v>0</v>
      </c>
      <c r="AK720">
        <f>IFERROR(VLOOKUP($A720,koronahun!$A:$AM,37,FALSE),"")</f>
        <v>0</v>
      </c>
      <c r="AL720">
        <f>IFERROR(VLOOKUP($A720,koronahun!$A:$AM,38,FALSE),"")</f>
        <v>0</v>
      </c>
      <c r="AM720" s="14">
        <f>IFERROR(VLOOKUP($A720,koronahun!$A:$AM,39,FALSE),"")</f>
        <v>0</v>
      </c>
      <c r="AN720" s="11">
        <f ca="1">IFERROR(__xludf.DUMMYFUNCTION("""COMPUTED_VALUE"""),44612)</f>
        <v>44612</v>
      </c>
      <c r="AO720" s="12">
        <f ca="1">IFERROR(VLOOKUP(AN720,koronahun!A:B,2,FALSE),"")</f>
        <v>0</v>
      </c>
      <c r="AP720" s="11">
        <f t="shared" ca="1" si="4"/>
        <v>44612</v>
      </c>
      <c r="AQ720" s="11">
        <f ca="1">IFERROR(__xludf.DUMMYFUNCTION("""COMPUTED_VALUE"""),44888)</f>
        <v>44888</v>
      </c>
      <c r="AR720" s="11">
        <v>43899</v>
      </c>
      <c r="AS720" s="11">
        <f t="shared" si="5"/>
        <v>43899</v>
      </c>
      <c r="AT720" s="11">
        <f ca="1">IFERROR(__xludf.DUMMYFUNCTION("""COMPUTED_VALUE"""),43898)</f>
        <v>43898</v>
      </c>
    </row>
    <row r="721" spans="1:46" ht="13">
      <c r="A721" s="11">
        <v>43897</v>
      </c>
      <c r="B721">
        <f>IFERROR(VLOOKUP($A721,koronahun!$A:$AM,2,FALSE),"")</f>
        <v>5</v>
      </c>
      <c r="C721">
        <f>IFERROR(VLOOKUP($A721,koronahun!$A:$AM,3,FALSE),"")</f>
        <v>1</v>
      </c>
      <c r="D721">
        <f>IFERROR(VLOOKUP($A721,koronahun!$A:$AM,4,FALSE),"")</f>
        <v>0</v>
      </c>
      <c r="E721">
        <f>IFERROR(VLOOKUP($A721,koronahun!$A:$AM,5,FALSE),"")</f>
        <v>0</v>
      </c>
      <c r="F721">
        <f>IFERROR(VLOOKUP($A721,koronahun!$A:$AM,6,FALSE),"")</f>
        <v>319</v>
      </c>
      <c r="G721" s="12">
        <f>IFERROR(VLOOKUP($A721,koronahun!$A:$AM,7,FALSE),"")</f>
        <v>32.551020408163261</v>
      </c>
      <c r="H721">
        <f>IFERROR(VLOOKUP($A721,koronahun!$A:$AM,8,FALSE),"")</f>
        <v>48</v>
      </c>
      <c r="I721" s="13">
        <f>IFERROR(VLOOKUP($A721,koronahun!$A:$AM,9,FALSE),"")</f>
        <v>0.25</v>
      </c>
      <c r="J721" s="13">
        <f>IFERROR(VLOOKUP($A721,koronahun!$A:$AM,10,FALSE),"")</f>
        <v>1.5699999999999999E-2</v>
      </c>
      <c r="K721" s="13">
        <f>IFERROR(VLOOKUP($A721,koronahun!$A:$AM,11,FALSE),"")</f>
        <v>0.186</v>
      </c>
      <c r="L721">
        <f>IFERROR(VLOOKUP($A721,koronahun!$A:$AM,12,FALSE),"")</f>
        <v>5</v>
      </c>
      <c r="M721" s="13">
        <f>IFERROR(VLOOKUP($A721,koronahun!$A:$AM,13,FALSE),"")</f>
        <v>0</v>
      </c>
      <c r="N721" s="13">
        <f>IFERROR(VLOOKUP($A721,koronahun!$A:$AM,14,FALSE),"")</f>
        <v>0</v>
      </c>
      <c r="O721">
        <f>IFERROR(VLOOKUP($A721,koronahun!$A:$AM,15,FALSE),"")</f>
        <v>0</v>
      </c>
      <c r="P721">
        <f>IFERROR(VLOOKUP($A721,koronahun!$A:$AM,16,FALSE),"")</f>
        <v>50</v>
      </c>
      <c r="Q721" s="13">
        <f>IFERROR(VLOOKUP($A721,koronahun!$A:$AM,17,FALSE),"")</f>
        <v>0.02</v>
      </c>
      <c r="R721">
        <f>IFERROR(VLOOKUP($A721,koronahun!$A:$AM,18,FALSE),"")</f>
        <v>0</v>
      </c>
      <c r="S721">
        <f>IFERROR(VLOOKUP($A721,koronahun!$A:$AM,19,FALSE),"")</f>
        <v>0</v>
      </c>
      <c r="T721">
        <f>IFERROR(VLOOKUP($A721,koronahun!$A:$AM,20,FALSE),"")</f>
        <v>0</v>
      </c>
      <c r="U721">
        <f>IFERROR(VLOOKUP($A721,koronahun!$A:$AM,21,FALSE),"")</f>
        <v>0</v>
      </c>
      <c r="V721" s="13">
        <f>IFERROR(VLOOKUP($A721,koronahun!$A:$AM,22,FALSE),"")</f>
        <v>1</v>
      </c>
      <c r="W721">
        <f>IFERROR(VLOOKUP($A721,koronahun!$A:$AM,23,FALSE),"")</f>
        <v>0</v>
      </c>
      <c r="X721">
        <f>IFERROR(VLOOKUP($A721,koronahun!$A:$AM,24,FALSE),"")</f>
        <v>0</v>
      </c>
      <c r="Y721" s="14">
        <f>IFERROR(VLOOKUP($A721,koronahun!$A:$AM,25,FALSE),"")</f>
        <v>0</v>
      </c>
      <c r="Z721" s="14">
        <f>IFERROR(VLOOKUP($A721,koronahun!$A:$AM,26,FALSE),"")</f>
        <v>0</v>
      </c>
      <c r="AA721" s="14">
        <f>IFERROR(VLOOKUP($A721,koronahun!$A:$AM,27,FALSE),"")</f>
        <v>0</v>
      </c>
      <c r="AB721" s="14">
        <f>IFERROR(VLOOKUP($A721,koronahun!$A:$AM,28,FALSE),"")</f>
        <v>0</v>
      </c>
      <c r="AC721" s="14">
        <f>IFERROR(VLOOKUP($A721,koronahun!$A:$AM,29,FALSE),"")</f>
        <v>0</v>
      </c>
      <c r="AD721" s="14">
        <f>IFERROR(VLOOKUP($A721,koronahun!$A:$AM,30,FALSE),"")</f>
        <v>0</v>
      </c>
      <c r="AE721" s="14">
        <f>IFERROR(VLOOKUP($A721,koronahun!$A:$AM,31,FALSE),"")</f>
        <v>0</v>
      </c>
      <c r="AF721" s="13">
        <f>IFERROR(VLOOKUP($A721,koronahun!$A:$AM,32,FALSE),"")</f>
        <v>0</v>
      </c>
      <c r="AG721">
        <f>IFERROR(VLOOKUP($A721,koronahun!$A:$AM,33,FALSE),"")</f>
        <v>0</v>
      </c>
      <c r="AH721">
        <f>IFERROR(VLOOKUP($A721,koronahun!$A:$AM,34,FALSE),"")</f>
        <v>0</v>
      </c>
      <c r="AI721">
        <f>IFERROR(VLOOKUP($A721,koronahun!$A:$AM,35,FALSE),"")</f>
        <v>0</v>
      </c>
      <c r="AJ721">
        <f>IFERROR(VLOOKUP($A721,koronahun!$A:$AM,36,FALSE),"")</f>
        <v>0</v>
      </c>
      <c r="AK721">
        <f>IFERROR(VLOOKUP($A721,koronahun!$A:$AM,37,FALSE),"")</f>
        <v>0</v>
      </c>
      <c r="AL721">
        <f>IFERROR(VLOOKUP($A721,koronahun!$A:$AM,38,FALSE),"")</f>
        <v>0</v>
      </c>
      <c r="AM721" s="14">
        <f>IFERROR(VLOOKUP($A721,koronahun!$A:$AM,39,FALSE),"")</f>
        <v>0</v>
      </c>
      <c r="AN721" s="11">
        <f ca="1">IFERROR(__xludf.DUMMYFUNCTION("""COMPUTED_VALUE"""),44613)</f>
        <v>44613</v>
      </c>
      <c r="AO721" s="12">
        <f ca="1">IFERROR(VLOOKUP(AN721,koronahun!A:B,2,FALSE),"")</f>
        <v>1759685</v>
      </c>
      <c r="AP721" s="11">
        <f t="shared" ca="1" si="4"/>
        <v>44613</v>
      </c>
      <c r="AQ721" s="11">
        <f ca="1">IFERROR(__xludf.DUMMYFUNCTION("""COMPUTED_VALUE"""),44895)</f>
        <v>44895</v>
      </c>
      <c r="AR721" s="11">
        <v>43898</v>
      </c>
      <c r="AS721" s="11">
        <f t="shared" si="5"/>
        <v>43898</v>
      </c>
      <c r="AT721" s="11">
        <f ca="1">IFERROR(__xludf.DUMMYFUNCTION("""COMPUTED_VALUE"""),43897)</f>
        <v>43897</v>
      </c>
    </row>
    <row r="722" spans="1:46" ht="13">
      <c r="A722" s="11">
        <v>43896</v>
      </c>
      <c r="B722">
        <f>IFERROR(VLOOKUP($A722,koronahun!$A:$AM,2,FALSE),"")</f>
        <v>4</v>
      </c>
      <c r="C722">
        <f>IFERROR(VLOOKUP($A722,koronahun!$A:$AM,3,FALSE),"")</f>
        <v>0</v>
      </c>
      <c r="D722">
        <f>IFERROR(VLOOKUP($A722,koronahun!$A:$AM,4,FALSE),"")</f>
        <v>0</v>
      </c>
      <c r="E722">
        <f>IFERROR(VLOOKUP($A722,koronahun!$A:$AM,5,FALSE),"")</f>
        <v>0</v>
      </c>
      <c r="F722">
        <f>IFERROR(VLOOKUP($A722,koronahun!$A:$AM,6,FALSE),"")</f>
        <v>269</v>
      </c>
      <c r="G722" s="12">
        <f>IFERROR(VLOOKUP($A722,koronahun!$A:$AM,7,FALSE),"")</f>
        <v>27.448979591836732</v>
      </c>
      <c r="H722">
        <f>IFERROR(VLOOKUP($A722,koronahun!$A:$AM,8,FALSE),"")</f>
        <v>39</v>
      </c>
      <c r="I722" s="13">
        <f>IFERROR(VLOOKUP($A722,koronahun!$A:$AM,9,FALSE),"")</f>
        <v>0</v>
      </c>
      <c r="J722" s="13">
        <f>IFERROR(VLOOKUP($A722,koronahun!$A:$AM,10,FALSE),"")</f>
        <v>1.49E-2</v>
      </c>
      <c r="K722" s="13">
        <f>IFERROR(VLOOKUP($A722,koronahun!$A:$AM,11,FALSE),"")</f>
        <v>0.17</v>
      </c>
      <c r="L722">
        <f>IFERROR(VLOOKUP($A722,koronahun!$A:$AM,12,FALSE),"")</f>
        <v>4</v>
      </c>
      <c r="M722" s="13">
        <f>IFERROR(VLOOKUP($A722,koronahun!$A:$AM,13,FALSE),"")</f>
        <v>0</v>
      </c>
      <c r="N722" s="13">
        <f>IFERROR(VLOOKUP($A722,koronahun!$A:$AM,14,FALSE),"")</f>
        <v>0</v>
      </c>
      <c r="O722">
        <f>IFERROR(VLOOKUP($A722,koronahun!$A:$AM,15,FALSE),"")</f>
        <v>0</v>
      </c>
      <c r="P722">
        <f>IFERROR(VLOOKUP($A722,koronahun!$A:$AM,16,FALSE),"")</f>
        <v>39</v>
      </c>
      <c r="Q722" s="13">
        <f>IFERROR(VLOOKUP($A722,koronahun!$A:$AM,17,FALSE),"")</f>
        <v>0</v>
      </c>
      <c r="R722">
        <f>IFERROR(VLOOKUP($A722,koronahun!$A:$AM,18,FALSE),"")</f>
        <v>0</v>
      </c>
      <c r="S722">
        <f>IFERROR(VLOOKUP($A722,koronahun!$A:$AM,19,FALSE),"")</f>
        <v>0</v>
      </c>
      <c r="T722">
        <f>IFERROR(VLOOKUP($A722,koronahun!$A:$AM,20,FALSE),"")</f>
        <v>0</v>
      </c>
      <c r="U722">
        <f>IFERROR(VLOOKUP($A722,koronahun!$A:$AM,21,FALSE),"")</f>
        <v>0</v>
      </c>
      <c r="V722" s="13">
        <f>IFERROR(VLOOKUP($A722,koronahun!$A:$AM,22,FALSE),"")</f>
        <v>1</v>
      </c>
      <c r="W722">
        <f>IFERROR(VLOOKUP($A722,koronahun!$A:$AM,23,FALSE),"")</f>
        <v>0</v>
      </c>
      <c r="X722">
        <f>IFERROR(VLOOKUP($A722,koronahun!$A:$AM,24,FALSE),"")</f>
        <v>0</v>
      </c>
      <c r="Y722" s="14">
        <f>IFERROR(VLOOKUP($A722,koronahun!$A:$AM,25,FALSE),"")</f>
        <v>0</v>
      </c>
      <c r="Z722" s="14">
        <f>IFERROR(VLOOKUP($A722,koronahun!$A:$AM,26,FALSE),"")</f>
        <v>0</v>
      </c>
      <c r="AA722" s="14">
        <f>IFERROR(VLOOKUP($A722,koronahun!$A:$AM,27,FALSE),"")</f>
        <v>0</v>
      </c>
      <c r="AB722" s="14">
        <f>IFERROR(VLOOKUP($A722,koronahun!$A:$AM,28,FALSE),"")</f>
        <v>0</v>
      </c>
      <c r="AC722" s="14">
        <f>IFERROR(VLOOKUP($A722,koronahun!$A:$AM,29,FALSE),"")</f>
        <v>0</v>
      </c>
      <c r="AD722" s="14">
        <f>IFERROR(VLOOKUP($A722,koronahun!$A:$AM,30,FALSE),"")</f>
        <v>0</v>
      </c>
      <c r="AE722" s="14">
        <f>IFERROR(VLOOKUP($A722,koronahun!$A:$AM,31,FALSE),"")</f>
        <v>0</v>
      </c>
      <c r="AF722" s="13">
        <f>IFERROR(VLOOKUP($A722,koronahun!$A:$AM,32,FALSE),"")</f>
        <v>0</v>
      </c>
      <c r="AG722">
        <f>IFERROR(VLOOKUP($A722,koronahun!$A:$AM,33,FALSE),"")</f>
        <v>0</v>
      </c>
      <c r="AH722">
        <f>IFERROR(VLOOKUP($A722,koronahun!$A:$AM,34,FALSE),"")</f>
        <v>0</v>
      </c>
      <c r="AI722">
        <f>IFERROR(VLOOKUP($A722,koronahun!$A:$AM,35,FALSE),"")</f>
        <v>0</v>
      </c>
      <c r="AJ722">
        <f>IFERROR(VLOOKUP($A722,koronahun!$A:$AM,36,FALSE),"")</f>
        <v>0</v>
      </c>
      <c r="AK722">
        <f>IFERROR(VLOOKUP($A722,koronahun!$A:$AM,37,FALSE),"")</f>
        <v>0</v>
      </c>
      <c r="AL722">
        <f>IFERROR(VLOOKUP($A722,koronahun!$A:$AM,38,FALSE),"")</f>
        <v>0</v>
      </c>
      <c r="AM722" s="14">
        <f>IFERROR(VLOOKUP($A722,koronahun!$A:$AM,39,FALSE),"")</f>
        <v>0</v>
      </c>
      <c r="AN722" s="11">
        <f ca="1">IFERROR(__xludf.DUMMYFUNCTION("""COMPUTED_VALUE"""),44614)</f>
        <v>44614</v>
      </c>
      <c r="AO722" s="12">
        <f ca="1">IFERROR(VLOOKUP(AN722,koronahun!A:B,2,FALSE),"")</f>
        <v>1762878</v>
      </c>
      <c r="AP722" s="11">
        <f t="shared" ca="1" si="4"/>
        <v>44614</v>
      </c>
      <c r="AQ722" s="11">
        <f ca="1">IFERROR(__xludf.DUMMYFUNCTION("""COMPUTED_VALUE"""),44902)</f>
        <v>44902</v>
      </c>
      <c r="AR722" s="11">
        <v>43897</v>
      </c>
      <c r="AS722" s="11">
        <f t="shared" si="5"/>
        <v>43897</v>
      </c>
      <c r="AT722" s="11">
        <f ca="1">IFERROR(__xludf.DUMMYFUNCTION("""COMPUTED_VALUE"""),43896)</f>
        <v>43896</v>
      </c>
    </row>
    <row r="723" spans="1:46" ht="13">
      <c r="A723" s="11">
        <v>43895</v>
      </c>
      <c r="B723">
        <f>IFERROR(VLOOKUP($A723,koronahun!$A:$AM,2,FALSE),"")</f>
        <v>4</v>
      </c>
      <c r="C723">
        <f>IFERROR(VLOOKUP($A723,koronahun!$A:$AM,3,FALSE),"")</f>
        <v>2</v>
      </c>
      <c r="D723">
        <f>IFERROR(VLOOKUP($A723,koronahun!$A:$AM,4,FALSE),"")</f>
        <v>0</v>
      </c>
      <c r="E723">
        <f>IFERROR(VLOOKUP($A723,koronahun!$A:$AM,5,FALSE),"")</f>
        <v>0</v>
      </c>
      <c r="F723">
        <f>IFERROR(VLOOKUP($A723,koronahun!$A:$AM,6,FALSE),"")</f>
        <v>230</v>
      </c>
      <c r="G723" s="12">
        <f>IFERROR(VLOOKUP($A723,koronahun!$A:$AM,7,FALSE),"")</f>
        <v>0</v>
      </c>
      <c r="H723">
        <f>IFERROR(VLOOKUP($A723,koronahun!$A:$AM,8,FALSE),"")</f>
        <v>40</v>
      </c>
      <c r="I723" s="13">
        <f>IFERROR(VLOOKUP($A723,koronahun!$A:$AM,9,FALSE),"")</f>
        <v>0</v>
      </c>
      <c r="J723" s="13">
        <f>IFERROR(VLOOKUP($A723,koronahun!$A:$AM,10,FALSE),"")</f>
        <v>1.7399999999999999E-2</v>
      </c>
      <c r="K723" s="13">
        <f>IFERROR(VLOOKUP($A723,koronahun!$A:$AM,11,FALSE),"")</f>
        <v>0</v>
      </c>
      <c r="L723">
        <f>IFERROR(VLOOKUP($A723,koronahun!$A:$AM,12,FALSE),"")</f>
        <v>4</v>
      </c>
      <c r="M723" s="13">
        <f>IFERROR(VLOOKUP($A723,koronahun!$A:$AM,13,FALSE),"")</f>
        <v>0</v>
      </c>
      <c r="N723" s="13">
        <f>IFERROR(VLOOKUP($A723,koronahun!$A:$AM,14,FALSE),"")</f>
        <v>0</v>
      </c>
      <c r="O723">
        <f>IFERROR(VLOOKUP($A723,koronahun!$A:$AM,15,FALSE),"")</f>
        <v>0</v>
      </c>
      <c r="P723">
        <f>IFERROR(VLOOKUP($A723,koronahun!$A:$AM,16,FALSE),"")</f>
        <v>0</v>
      </c>
      <c r="Q723" s="13">
        <f>IFERROR(VLOOKUP($A723,koronahun!$A:$AM,17,FALSE),"")</f>
        <v>0</v>
      </c>
      <c r="R723">
        <f>IFERROR(VLOOKUP($A723,koronahun!$A:$AM,18,FALSE),"")</f>
        <v>0</v>
      </c>
      <c r="S723">
        <f>IFERROR(VLOOKUP($A723,koronahun!$A:$AM,19,FALSE),"")</f>
        <v>0</v>
      </c>
      <c r="T723">
        <f>IFERROR(VLOOKUP($A723,koronahun!$A:$AM,20,FALSE),"")</f>
        <v>0</v>
      </c>
      <c r="U723">
        <f>IFERROR(VLOOKUP($A723,koronahun!$A:$AM,21,FALSE),"")</f>
        <v>0</v>
      </c>
      <c r="V723" s="13">
        <f>IFERROR(VLOOKUP($A723,koronahun!$A:$AM,22,FALSE),"")</f>
        <v>1</v>
      </c>
      <c r="W723">
        <f>IFERROR(VLOOKUP($A723,koronahun!$A:$AM,23,FALSE),"")</f>
        <v>0</v>
      </c>
      <c r="X723">
        <f>IFERROR(VLOOKUP($A723,koronahun!$A:$AM,24,FALSE),"")</f>
        <v>0</v>
      </c>
      <c r="Y723" s="14">
        <f>IFERROR(VLOOKUP($A723,koronahun!$A:$AM,25,FALSE),"")</f>
        <v>0</v>
      </c>
      <c r="Z723" s="14">
        <f>IFERROR(VLOOKUP($A723,koronahun!$A:$AM,26,FALSE),"")</f>
        <v>0</v>
      </c>
      <c r="AA723" s="14">
        <f>IFERROR(VLOOKUP($A723,koronahun!$A:$AM,27,FALSE),"")</f>
        <v>0</v>
      </c>
      <c r="AB723" s="14">
        <f>IFERROR(VLOOKUP($A723,koronahun!$A:$AM,28,FALSE),"")</f>
        <v>0</v>
      </c>
      <c r="AC723" s="14">
        <f>IFERROR(VLOOKUP($A723,koronahun!$A:$AM,29,FALSE),"")</f>
        <v>0</v>
      </c>
      <c r="AD723" s="14">
        <f>IFERROR(VLOOKUP($A723,koronahun!$A:$AM,30,FALSE),"")</f>
        <v>0</v>
      </c>
      <c r="AE723" s="14">
        <f>IFERROR(VLOOKUP($A723,koronahun!$A:$AM,31,FALSE),"")</f>
        <v>0</v>
      </c>
      <c r="AF723" s="13">
        <f>IFERROR(VLOOKUP($A723,koronahun!$A:$AM,32,FALSE),"")</f>
        <v>0</v>
      </c>
      <c r="AG723">
        <f>IFERROR(VLOOKUP($A723,koronahun!$A:$AM,33,FALSE),"")</f>
        <v>0</v>
      </c>
      <c r="AH723">
        <f>IFERROR(VLOOKUP($A723,koronahun!$A:$AM,34,FALSE),"")</f>
        <v>0</v>
      </c>
      <c r="AI723">
        <f>IFERROR(VLOOKUP($A723,koronahun!$A:$AM,35,FALSE),"")</f>
        <v>0</v>
      </c>
      <c r="AJ723">
        <f>IFERROR(VLOOKUP($A723,koronahun!$A:$AM,36,FALSE),"")</f>
        <v>0</v>
      </c>
      <c r="AK723">
        <f>IFERROR(VLOOKUP($A723,koronahun!$A:$AM,37,FALSE),"")</f>
        <v>0</v>
      </c>
      <c r="AL723">
        <f>IFERROR(VLOOKUP($A723,koronahun!$A:$AM,38,FALSE),"")</f>
        <v>0</v>
      </c>
      <c r="AM723" s="14">
        <f>IFERROR(VLOOKUP($A723,koronahun!$A:$AM,39,FALSE),"")</f>
        <v>0</v>
      </c>
      <c r="AN723" s="11">
        <f ca="1">IFERROR(__xludf.DUMMYFUNCTION("""COMPUTED_VALUE"""),44615)</f>
        <v>44615</v>
      </c>
      <c r="AO723" s="12">
        <f ca="1">IFERROR(VLOOKUP(AN723,koronahun!A:B,2,FALSE),"")</f>
        <v>1769164</v>
      </c>
      <c r="AP723" s="11">
        <f t="shared" ca="1" si="4"/>
        <v>44615</v>
      </c>
      <c r="AQ723" s="11">
        <f ca="1">IFERROR(__xludf.DUMMYFUNCTION("""COMPUTED_VALUE"""),44909)</f>
        <v>44909</v>
      </c>
      <c r="AR723" s="11">
        <v>43896</v>
      </c>
      <c r="AS723" s="11">
        <f t="shared" si="5"/>
        <v>43896</v>
      </c>
      <c r="AT723" s="11">
        <f ca="1">IFERROR(__xludf.DUMMYFUNCTION("""COMPUTED_VALUE"""),43895)</f>
        <v>43895</v>
      </c>
    </row>
    <row r="724" spans="1:46" ht="13">
      <c r="A724" s="11">
        <v>43894</v>
      </c>
      <c r="B724">
        <f>IFERROR(VLOOKUP($A724,koronahun!$A:$AM,2,FALSE),"")</f>
        <v>2</v>
      </c>
      <c r="C724">
        <f>IFERROR(VLOOKUP($A724,koronahun!$A:$AM,3,FALSE),"")</f>
        <v>2</v>
      </c>
      <c r="D724">
        <f>IFERROR(VLOOKUP($A724,koronahun!$A:$AM,4,FALSE),"")</f>
        <v>0</v>
      </c>
      <c r="E724">
        <f>IFERROR(VLOOKUP($A724,koronahun!$A:$AM,5,FALSE),"")</f>
        <v>0</v>
      </c>
      <c r="F724">
        <f>IFERROR(VLOOKUP($A724,koronahun!$A:$AM,6,FALSE),"")</f>
        <v>230</v>
      </c>
      <c r="G724" s="12">
        <f>IFERROR(VLOOKUP($A724,koronahun!$A:$AM,7,FALSE),"")</f>
        <v>0</v>
      </c>
      <c r="H724">
        <f>IFERROR(VLOOKUP($A724,koronahun!$A:$AM,8,FALSE),"")</f>
        <v>21</v>
      </c>
      <c r="I724" s="13">
        <f>IFERROR(VLOOKUP($A724,koronahun!$A:$AM,9,FALSE),"")</f>
        <v>0</v>
      </c>
      <c r="J724" s="13">
        <f>IFERROR(VLOOKUP($A724,koronahun!$A:$AM,10,FALSE),"")</f>
        <v>8.6999999999999994E-3</v>
      </c>
      <c r="K724" s="13">
        <f>IFERROR(VLOOKUP($A724,koronahun!$A:$AM,11,FALSE),"")</f>
        <v>0</v>
      </c>
      <c r="L724">
        <f>IFERROR(VLOOKUP($A724,koronahun!$A:$AM,12,FALSE),"")</f>
        <v>2</v>
      </c>
      <c r="M724" s="13">
        <f>IFERROR(VLOOKUP($A724,koronahun!$A:$AM,13,FALSE),"")</f>
        <v>0</v>
      </c>
      <c r="N724" s="13">
        <f>IFERROR(VLOOKUP($A724,koronahun!$A:$AM,14,FALSE),"")</f>
        <v>0</v>
      </c>
      <c r="O724">
        <f>IFERROR(VLOOKUP($A724,koronahun!$A:$AM,15,FALSE),"")</f>
        <v>0</v>
      </c>
      <c r="P724">
        <f>IFERROR(VLOOKUP($A724,koronahun!$A:$AM,16,FALSE),"")</f>
        <v>0</v>
      </c>
      <c r="Q724" s="13">
        <f>IFERROR(VLOOKUP($A724,koronahun!$A:$AM,17,FALSE),"")</f>
        <v>0</v>
      </c>
      <c r="R724">
        <f>IFERROR(VLOOKUP($A724,koronahun!$A:$AM,18,FALSE),"")</f>
        <v>0</v>
      </c>
      <c r="S724">
        <f>IFERROR(VLOOKUP($A724,koronahun!$A:$AM,19,FALSE),"")</f>
        <v>0</v>
      </c>
      <c r="T724">
        <f>IFERROR(VLOOKUP($A724,koronahun!$A:$AM,20,FALSE),"")</f>
        <v>0</v>
      </c>
      <c r="U724">
        <f>IFERROR(VLOOKUP($A724,koronahun!$A:$AM,21,FALSE),"")</f>
        <v>0</v>
      </c>
      <c r="V724" s="13">
        <f>IFERROR(VLOOKUP($A724,koronahun!$A:$AM,22,FALSE),"")</f>
        <v>1</v>
      </c>
      <c r="W724">
        <f>IFERROR(VLOOKUP($A724,koronahun!$A:$AM,23,FALSE),"")</f>
        <v>0</v>
      </c>
      <c r="X724">
        <f>IFERROR(VLOOKUP($A724,koronahun!$A:$AM,24,FALSE),"")</f>
        <v>0</v>
      </c>
      <c r="Y724" s="14">
        <f>IFERROR(VLOOKUP($A724,koronahun!$A:$AM,25,FALSE),"")</f>
        <v>0</v>
      </c>
      <c r="Z724" s="14">
        <f>IFERROR(VLOOKUP($A724,koronahun!$A:$AM,26,FALSE),"")</f>
        <v>0</v>
      </c>
      <c r="AA724" s="14">
        <f>IFERROR(VLOOKUP($A724,koronahun!$A:$AM,27,FALSE),"")</f>
        <v>0</v>
      </c>
      <c r="AB724" s="14">
        <f>IFERROR(VLOOKUP($A724,koronahun!$A:$AM,28,FALSE),"")</f>
        <v>0</v>
      </c>
      <c r="AC724" s="14">
        <f>IFERROR(VLOOKUP($A724,koronahun!$A:$AM,29,FALSE),"")</f>
        <v>0</v>
      </c>
      <c r="AD724" s="14">
        <f>IFERROR(VLOOKUP($A724,koronahun!$A:$AM,30,FALSE),"")</f>
        <v>0</v>
      </c>
      <c r="AE724" s="14">
        <f>IFERROR(VLOOKUP($A724,koronahun!$A:$AM,31,FALSE),"")</f>
        <v>0</v>
      </c>
      <c r="AF724" s="13">
        <f>IFERROR(VLOOKUP($A724,koronahun!$A:$AM,32,FALSE),"")</f>
        <v>0</v>
      </c>
      <c r="AG724">
        <f>IFERROR(VLOOKUP($A724,koronahun!$A:$AM,33,FALSE),"")</f>
        <v>0</v>
      </c>
      <c r="AH724">
        <f>IFERROR(VLOOKUP($A724,koronahun!$A:$AM,34,FALSE),"")</f>
        <v>0</v>
      </c>
      <c r="AI724">
        <f>IFERROR(VLOOKUP($A724,koronahun!$A:$AM,35,FALSE),"")</f>
        <v>0</v>
      </c>
      <c r="AJ724">
        <f>IFERROR(VLOOKUP($A724,koronahun!$A:$AM,36,FALSE),"")</f>
        <v>0</v>
      </c>
      <c r="AK724">
        <f>IFERROR(VLOOKUP($A724,koronahun!$A:$AM,37,FALSE),"")</f>
        <v>0</v>
      </c>
      <c r="AL724">
        <f>IFERROR(VLOOKUP($A724,koronahun!$A:$AM,38,FALSE),"")</f>
        <v>0</v>
      </c>
      <c r="AM724" s="14">
        <f>IFERROR(VLOOKUP($A724,koronahun!$A:$AM,39,FALSE),"")</f>
        <v>0</v>
      </c>
      <c r="AN724" s="11">
        <f ca="1">IFERROR(__xludf.DUMMYFUNCTION("""COMPUTED_VALUE"""),44616)</f>
        <v>44616</v>
      </c>
      <c r="AO724" s="12">
        <f ca="1">IFERROR(VLOOKUP(AN724,koronahun!A:B,2,FALSE),"")</f>
        <v>1774676</v>
      </c>
      <c r="AP724" s="11">
        <f t="shared" ca="1" si="4"/>
        <v>44616</v>
      </c>
      <c r="AQ724" s="11">
        <f ca="1">IFERROR(__xludf.DUMMYFUNCTION("""COMPUTED_VALUE"""),44916)</f>
        <v>44916</v>
      </c>
      <c r="AR724" s="11">
        <v>43895</v>
      </c>
      <c r="AS724" s="11">
        <f t="shared" si="5"/>
        <v>43895</v>
      </c>
      <c r="AT724" s="11">
        <f ca="1">IFERROR(__xludf.DUMMYFUNCTION("""COMPUTED_VALUE"""),43894)</f>
        <v>43894</v>
      </c>
    </row>
    <row r="725" spans="1:46" ht="13">
      <c r="A725" s="11"/>
      <c r="B725" t="str">
        <f>IFERROR(VLOOKUP($A725,koronahun!$A:$AM,2,FALSE),"")</f>
        <v/>
      </c>
      <c r="C725" t="str">
        <f>IFERROR(VLOOKUP($A725,koronahun!$A:$AM,3,FALSE),"")</f>
        <v/>
      </c>
      <c r="D725" t="str">
        <f>IFERROR(VLOOKUP($A725,koronahun!$A:$AM,4,FALSE),"")</f>
        <v/>
      </c>
      <c r="E725" t="str">
        <f>IFERROR(VLOOKUP($A725,koronahun!$A:$AM,5,FALSE),"")</f>
        <v/>
      </c>
      <c r="F725" t="str">
        <f>IFERROR(VLOOKUP($A725,koronahun!$A:$AM,6,FALSE),"")</f>
        <v/>
      </c>
      <c r="G725" s="12" t="str">
        <f>IFERROR(VLOOKUP($A725,koronahun!$A:$AM,7,FALSE),"")</f>
        <v/>
      </c>
      <c r="H725" t="str">
        <f>IFERROR(VLOOKUP($A725,koronahun!$A:$AM,8,FALSE),"")</f>
        <v/>
      </c>
      <c r="I725" s="13" t="str">
        <f>IFERROR(VLOOKUP($A725,koronahun!$A:$AM,9,FALSE),"")</f>
        <v/>
      </c>
      <c r="J725" s="13" t="str">
        <f>IFERROR(VLOOKUP($A725,koronahun!$A:$AM,10,FALSE),"")</f>
        <v/>
      </c>
      <c r="K725" s="13" t="str">
        <f>IFERROR(VLOOKUP($A725,koronahun!$A:$AM,11,FALSE),"")</f>
        <v/>
      </c>
      <c r="L725" t="str">
        <f>IFERROR(VLOOKUP($A725,koronahun!$A:$AM,12,FALSE),"")</f>
        <v/>
      </c>
      <c r="M725" s="13" t="str">
        <f>IFERROR(VLOOKUP($A725,koronahun!$A:$AM,13,FALSE),"")</f>
        <v/>
      </c>
      <c r="N725" s="13" t="str">
        <f>IFERROR(VLOOKUP($A725,koronahun!$A:$AM,14,FALSE),"")</f>
        <v/>
      </c>
      <c r="O725" t="str">
        <f>IFERROR(VLOOKUP($A725,koronahun!$A:$AM,15,FALSE),"")</f>
        <v/>
      </c>
      <c r="P725" t="str">
        <f>IFERROR(VLOOKUP($A725,koronahun!$A:$AM,16,FALSE),"")</f>
        <v/>
      </c>
      <c r="Q725" s="13" t="str">
        <f>IFERROR(VLOOKUP($A725,koronahun!$A:$AM,17,FALSE),"")</f>
        <v/>
      </c>
      <c r="R725" t="str">
        <f>IFERROR(VLOOKUP($A725,koronahun!$A:$AM,18,FALSE),"")</f>
        <v/>
      </c>
      <c r="S725" t="str">
        <f>IFERROR(VLOOKUP($A725,koronahun!$A:$AM,19,FALSE),"")</f>
        <v/>
      </c>
      <c r="T725" t="str">
        <f>IFERROR(VLOOKUP($A725,koronahun!$A:$AM,20,FALSE),"")</f>
        <v/>
      </c>
      <c r="U725" t="str">
        <f>IFERROR(VLOOKUP($A725,koronahun!$A:$AM,21,FALSE),"")</f>
        <v/>
      </c>
      <c r="V725" s="13" t="str">
        <f>IFERROR(VLOOKUP($A725,koronahun!$A:$AM,22,FALSE),"")</f>
        <v/>
      </c>
      <c r="W725" t="str">
        <f>IFERROR(VLOOKUP($A725,koronahun!$A:$AM,23,FALSE),"")</f>
        <v/>
      </c>
      <c r="X725" t="str">
        <f>IFERROR(VLOOKUP($A725,koronahun!$A:$AM,24,FALSE),"")</f>
        <v/>
      </c>
      <c r="Y725" s="14" t="str">
        <f>IFERROR(VLOOKUP($A725,koronahun!$A:$AM,25,FALSE),"")</f>
        <v/>
      </c>
      <c r="Z725" s="14" t="str">
        <f>IFERROR(VLOOKUP($A725,koronahun!$A:$AM,26,FALSE),"")</f>
        <v/>
      </c>
      <c r="AA725" s="14" t="str">
        <f>IFERROR(VLOOKUP($A725,koronahun!$A:$AM,27,FALSE),"")</f>
        <v/>
      </c>
      <c r="AB725" s="14" t="str">
        <f>IFERROR(VLOOKUP($A725,koronahun!$A:$AM,28,FALSE),"")</f>
        <v/>
      </c>
      <c r="AC725" s="14" t="str">
        <f>IFERROR(VLOOKUP($A725,koronahun!$A:$AM,29,FALSE),"")</f>
        <v/>
      </c>
      <c r="AD725" s="14" t="str">
        <f>IFERROR(VLOOKUP($A725,koronahun!$A:$AM,30,FALSE),"")</f>
        <v/>
      </c>
      <c r="AE725" s="14" t="str">
        <f>IFERROR(VLOOKUP($A725,koronahun!$A:$AM,31,FALSE),"")</f>
        <v/>
      </c>
      <c r="AF725" s="13" t="str">
        <f>IFERROR(VLOOKUP($A725,koronahun!$A:$AM,32,FALSE),"")</f>
        <v/>
      </c>
      <c r="AG725" t="str">
        <f>IFERROR(VLOOKUP($A725,koronahun!$A:$AM,33,FALSE),"")</f>
        <v/>
      </c>
      <c r="AH725" t="str">
        <f>IFERROR(VLOOKUP($A725,koronahun!$A:$AM,34,FALSE),"")</f>
        <v/>
      </c>
      <c r="AI725" t="str">
        <f>IFERROR(VLOOKUP($A725,koronahun!$A:$AM,35,FALSE),"")</f>
        <v/>
      </c>
      <c r="AJ725" t="str">
        <f>IFERROR(VLOOKUP($A725,koronahun!$A:$AM,36,FALSE),"")</f>
        <v/>
      </c>
      <c r="AK725" t="str">
        <f>IFERROR(VLOOKUP($A725,koronahun!$A:$AM,37,FALSE),"")</f>
        <v/>
      </c>
      <c r="AL725" t="str">
        <f>IFERROR(VLOOKUP($A725,koronahun!$A:$AM,38,FALSE),"")</f>
        <v/>
      </c>
      <c r="AM725" s="14" t="str">
        <f>IFERROR(VLOOKUP($A725,koronahun!$A:$AM,39,FALSE),"")</f>
        <v/>
      </c>
      <c r="AN725" s="11">
        <f ca="1">IFERROR(__xludf.DUMMYFUNCTION("""COMPUTED_VALUE"""),44617)</f>
        <v>44617</v>
      </c>
      <c r="AO725" s="12">
        <f ca="1">IFERROR(VLOOKUP(AN725,koronahun!A:B,2,FALSE),"")</f>
        <v>1779174</v>
      </c>
      <c r="AP725" s="11">
        <f t="shared" ca="1" si="4"/>
        <v>44617</v>
      </c>
      <c r="AQ725" s="11">
        <f ca="1">IFERROR(__xludf.DUMMYFUNCTION("""COMPUTED_VALUE"""),44923)</f>
        <v>44923</v>
      </c>
      <c r="AR725" s="11">
        <v>43894</v>
      </c>
      <c r="AS725" s="11">
        <f t="shared" si="5"/>
        <v>43894</v>
      </c>
      <c r="AT725" s="11"/>
    </row>
    <row r="726" spans="1:46" ht="13">
      <c r="A726" s="11"/>
      <c r="B726" t="str">
        <f>IFERROR(VLOOKUP($A726,koronahun!$A:$AM,2,FALSE),"")</f>
        <v/>
      </c>
      <c r="C726" t="str">
        <f>IFERROR(VLOOKUP($A726,koronahun!$A:$AM,3,FALSE),"")</f>
        <v/>
      </c>
      <c r="D726" t="str">
        <f>IFERROR(VLOOKUP($A726,koronahun!$A:$AM,4,FALSE),"")</f>
        <v/>
      </c>
      <c r="E726" t="str">
        <f>IFERROR(VLOOKUP($A726,koronahun!$A:$AM,5,FALSE),"")</f>
        <v/>
      </c>
      <c r="F726" t="str">
        <f>IFERROR(VLOOKUP($A726,koronahun!$A:$AM,6,FALSE),"")</f>
        <v/>
      </c>
      <c r="G726" s="12" t="str">
        <f>IFERROR(VLOOKUP($A726,koronahun!$A:$AM,7,FALSE),"")</f>
        <v/>
      </c>
      <c r="H726" t="str">
        <f>IFERROR(VLOOKUP($A726,koronahun!$A:$AM,8,FALSE),"")</f>
        <v/>
      </c>
      <c r="I726" s="13" t="str">
        <f>IFERROR(VLOOKUP($A726,koronahun!$A:$AM,9,FALSE),"")</f>
        <v/>
      </c>
      <c r="J726" s="13" t="str">
        <f>IFERROR(VLOOKUP($A726,koronahun!$A:$AM,10,FALSE),"")</f>
        <v/>
      </c>
      <c r="K726" s="13" t="str">
        <f>IFERROR(VLOOKUP($A726,koronahun!$A:$AM,11,FALSE),"")</f>
        <v/>
      </c>
      <c r="L726" t="str">
        <f>IFERROR(VLOOKUP($A726,koronahun!$A:$AM,12,FALSE),"")</f>
        <v/>
      </c>
      <c r="M726" s="13" t="str">
        <f>IFERROR(VLOOKUP($A726,koronahun!$A:$AM,13,FALSE),"")</f>
        <v/>
      </c>
      <c r="N726" s="13" t="str">
        <f>IFERROR(VLOOKUP($A726,koronahun!$A:$AM,14,FALSE),"")</f>
        <v/>
      </c>
      <c r="O726" t="str">
        <f>IFERROR(VLOOKUP($A726,koronahun!$A:$AM,15,FALSE),"")</f>
        <v/>
      </c>
      <c r="P726" t="str">
        <f>IFERROR(VLOOKUP($A726,koronahun!$A:$AM,16,FALSE),"")</f>
        <v/>
      </c>
      <c r="Q726" s="13" t="str">
        <f>IFERROR(VLOOKUP($A726,koronahun!$A:$AM,17,FALSE),"")</f>
        <v/>
      </c>
      <c r="R726" t="str">
        <f>IFERROR(VLOOKUP($A726,koronahun!$A:$AM,18,FALSE),"")</f>
        <v/>
      </c>
      <c r="S726" t="str">
        <f>IFERROR(VLOOKUP($A726,koronahun!$A:$AM,19,FALSE),"")</f>
        <v/>
      </c>
      <c r="T726" t="str">
        <f>IFERROR(VLOOKUP($A726,koronahun!$A:$AM,20,FALSE),"")</f>
        <v/>
      </c>
      <c r="U726" t="str">
        <f>IFERROR(VLOOKUP($A726,koronahun!$A:$AM,21,FALSE),"")</f>
        <v/>
      </c>
      <c r="V726" s="13" t="str">
        <f>IFERROR(VLOOKUP($A726,koronahun!$A:$AM,22,FALSE),"")</f>
        <v/>
      </c>
      <c r="W726" t="str">
        <f>IFERROR(VLOOKUP($A726,koronahun!$A:$AM,23,FALSE),"")</f>
        <v/>
      </c>
      <c r="X726" t="str">
        <f>IFERROR(VLOOKUP($A726,koronahun!$A:$AM,24,FALSE),"")</f>
        <v/>
      </c>
      <c r="Y726" s="14" t="str">
        <f>IFERROR(VLOOKUP($A726,koronahun!$A:$AM,25,FALSE),"")</f>
        <v/>
      </c>
      <c r="Z726" s="14" t="str">
        <f>IFERROR(VLOOKUP($A726,koronahun!$A:$AM,26,FALSE),"")</f>
        <v/>
      </c>
      <c r="AA726" s="14" t="str">
        <f>IFERROR(VLOOKUP($A726,koronahun!$A:$AM,27,FALSE),"")</f>
        <v/>
      </c>
      <c r="AB726" s="14" t="str">
        <f>IFERROR(VLOOKUP($A726,koronahun!$A:$AM,28,FALSE),"")</f>
        <v/>
      </c>
      <c r="AC726" s="14" t="str">
        <f>IFERROR(VLOOKUP($A726,koronahun!$A:$AM,29,FALSE),"")</f>
        <v/>
      </c>
      <c r="AD726" s="14" t="str">
        <f>IFERROR(VLOOKUP($A726,koronahun!$A:$AM,30,FALSE),"")</f>
        <v/>
      </c>
      <c r="AE726" s="14" t="str">
        <f>IFERROR(VLOOKUP($A726,koronahun!$A:$AM,31,FALSE),"")</f>
        <v/>
      </c>
      <c r="AF726" s="13" t="str">
        <f>IFERROR(VLOOKUP($A726,koronahun!$A:$AM,32,FALSE),"")</f>
        <v/>
      </c>
      <c r="AG726" t="str">
        <f>IFERROR(VLOOKUP($A726,koronahun!$A:$AM,33,FALSE),"")</f>
        <v/>
      </c>
      <c r="AH726" t="str">
        <f>IFERROR(VLOOKUP($A726,koronahun!$A:$AM,34,FALSE),"")</f>
        <v/>
      </c>
      <c r="AI726" t="str">
        <f>IFERROR(VLOOKUP($A726,koronahun!$A:$AM,35,FALSE),"")</f>
        <v/>
      </c>
      <c r="AJ726" t="str">
        <f>IFERROR(VLOOKUP($A726,koronahun!$A:$AM,36,FALSE),"")</f>
        <v/>
      </c>
      <c r="AK726" t="str">
        <f>IFERROR(VLOOKUP($A726,koronahun!$A:$AM,37,FALSE),"")</f>
        <v/>
      </c>
      <c r="AL726" t="str">
        <f>IFERROR(VLOOKUP($A726,koronahun!$A:$AM,38,FALSE),"")</f>
        <v/>
      </c>
      <c r="AM726" s="14" t="str">
        <f>IFERROR(VLOOKUP($A726,koronahun!$A:$AM,39,FALSE),"")</f>
        <v/>
      </c>
      <c r="AN726" s="11">
        <f ca="1">IFERROR(__xludf.DUMMYFUNCTION("""COMPUTED_VALUE"""),44618)</f>
        <v>44618</v>
      </c>
      <c r="AO726" s="12">
        <f ca="1">IFERROR(VLOOKUP(AN726,koronahun!A:B,2,FALSE),"")</f>
        <v>0</v>
      </c>
      <c r="AP726" s="11">
        <f t="shared" ca="1" si="4"/>
        <v>44618</v>
      </c>
      <c r="AQ726" s="11"/>
      <c r="AR726" s="11"/>
      <c r="AS726" s="11"/>
      <c r="AT726" s="11"/>
    </row>
    <row r="727" spans="1:46" ht="13">
      <c r="A727" s="11"/>
      <c r="B727" t="str">
        <f>IFERROR(VLOOKUP($A727,koronahun!$A:$AM,2,FALSE),"")</f>
        <v/>
      </c>
      <c r="C727" t="str">
        <f>IFERROR(VLOOKUP($A727,koronahun!$A:$AM,3,FALSE),"")</f>
        <v/>
      </c>
      <c r="D727" t="str">
        <f>IFERROR(VLOOKUP($A727,koronahun!$A:$AM,4,FALSE),"")</f>
        <v/>
      </c>
      <c r="E727" t="str">
        <f>IFERROR(VLOOKUP($A727,koronahun!$A:$AM,5,FALSE),"")</f>
        <v/>
      </c>
      <c r="F727" t="str">
        <f>IFERROR(VLOOKUP($A727,koronahun!$A:$AM,6,FALSE),"")</f>
        <v/>
      </c>
      <c r="G727" s="12" t="str">
        <f>IFERROR(VLOOKUP($A727,koronahun!$A:$AM,7,FALSE),"")</f>
        <v/>
      </c>
      <c r="H727" t="str">
        <f>IFERROR(VLOOKUP($A727,koronahun!$A:$AM,8,FALSE),"")</f>
        <v/>
      </c>
      <c r="I727" s="13" t="str">
        <f>IFERROR(VLOOKUP($A727,koronahun!$A:$AM,9,FALSE),"")</f>
        <v/>
      </c>
      <c r="J727" s="13" t="str">
        <f>IFERROR(VLOOKUP($A727,koronahun!$A:$AM,10,FALSE),"")</f>
        <v/>
      </c>
      <c r="K727" s="13" t="str">
        <f>IFERROR(VLOOKUP($A727,koronahun!$A:$AM,11,FALSE),"")</f>
        <v/>
      </c>
      <c r="L727" t="str">
        <f>IFERROR(VLOOKUP($A727,koronahun!$A:$AM,12,FALSE),"")</f>
        <v/>
      </c>
      <c r="M727" s="13" t="str">
        <f>IFERROR(VLOOKUP($A727,koronahun!$A:$AM,13,FALSE),"")</f>
        <v/>
      </c>
      <c r="N727" s="13" t="str">
        <f>IFERROR(VLOOKUP($A727,koronahun!$A:$AM,14,FALSE),"")</f>
        <v/>
      </c>
      <c r="O727" t="str">
        <f>IFERROR(VLOOKUP($A727,koronahun!$A:$AM,15,FALSE),"")</f>
        <v/>
      </c>
      <c r="P727" t="str">
        <f>IFERROR(VLOOKUP($A727,koronahun!$A:$AM,16,FALSE),"")</f>
        <v/>
      </c>
      <c r="Q727" s="13" t="str">
        <f>IFERROR(VLOOKUP($A727,koronahun!$A:$AM,17,FALSE),"")</f>
        <v/>
      </c>
      <c r="R727" t="str">
        <f>IFERROR(VLOOKUP($A727,koronahun!$A:$AM,18,FALSE),"")</f>
        <v/>
      </c>
      <c r="S727" t="str">
        <f>IFERROR(VLOOKUP($A727,koronahun!$A:$AM,19,FALSE),"")</f>
        <v/>
      </c>
      <c r="T727" t="str">
        <f>IFERROR(VLOOKUP($A727,koronahun!$A:$AM,20,FALSE),"")</f>
        <v/>
      </c>
      <c r="U727" t="str">
        <f>IFERROR(VLOOKUP($A727,koronahun!$A:$AM,21,FALSE),"")</f>
        <v/>
      </c>
      <c r="V727" s="13" t="str">
        <f>IFERROR(VLOOKUP($A727,koronahun!$A:$AM,22,FALSE),"")</f>
        <v/>
      </c>
      <c r="W727" t="str">
        <f>IFERROR(VLOOKUP($A727,koronahun!$A:$AM,23,FALSE),"")</f>
        <v/>
      </c>
      <c r="X727" t="str">
        <f>IFERROR(VLOOKUP($A727,koronahun!$A:$AM,24,FALSE),"")</f>
        <v/>
      </c>
      <c r="Y727" s="14" t="str">
        <f>IFERROR(VLOOKUP($A727,koronahun!$A:$AM,25,FALSE),"")</f>
        <v/>
      </c>
      <c r="Z727" s="14" t="str">
        <f>IFERROR(VLOOKUP($A727,koronahun!$A:$AM,26,FALSE),"")</f>
        <v/>
      </c>
      <c r="AA727" s="14" t="str">
        <f>IFERROR(VLOOKUP($A727,koronahun!$A:$AM,27,FALSE),"")</f>
        <v/>
      </c>
      <c r="AB727" s="14" t="str">
        <f>IFERROR(VLOOKUP($A727,koronahun!$A:$AM,28,FALSE),"")</f>
        <v/>
      </c>
      <c r="AC727" s="14" t="str">
        <f>IFERROR(VLOOKUP($A727,koronahun!$A:$AM,29,FALSE),"")</f>
        <v/>
      </c>
      <c r="AD727" s="14" t="str">
        <f>IFERROR(VLOOKUP($A727,koronahun!$A:$AM,30,FALSE),"")</f>
        <v/>
      </c>
      <c r="AE727" s="14" t="str">
        <f>IFERROR(VLOOKUP($A727,koronahun!$A:$AM,31,FALSE),"")</f>
        <v/>
      </c>
      <c r="AF727" s="13" t="str">
        <f>IFERROR(VLOOKUP($A727,koronahun!$A:$AM,32,FALSE),"")</f>
        <v/>
      </c>
      <c r="AG727" t="str">
        <f>IFERROR(VLOOKUP($A727,koronahun!$A:$AM,33,FALSE),"")</f>
        <v/>
      </c>
      <c r="AH727" t="str">
        <f>IFERROR(VLOOKUP($A727,koronahun!$A:$AM,34,FALSE),"")</f>
        <v/>
      </c>
      <c r="AI727" t="str">
        <f>IFERROR(VLOOKUP($A727,koronahun!$A:$AM,35,FALSE),"")</f>
        <v/>
      </c>
      <c r="AJ727" t="str">
        <f>IFERROR(VLOOKUP($A727,koronahun!$A:$AM,36,FALSE),"")</f>
        <v/>
      </c>
      <c r="AK727" t="str">
        <f>IFERROR(VLOOKUP($A727,koronahun!$A:$AM,37,FALSE),"")</f>
        <v/>
      </c>
      <c r="AL727" t="str">
        <f>IFERROR(VLOOKUP($A727,koronahun!$A:$AM,38,FALSE),"")</f>
        <v/>
      </c>
      <c r="AM727" s="14" t="str">
        <f>IFERROR(VLOOKUP($A727,koronahun!$A:$AM,39,FALSE),"")</f>
        <v/>
      </c>
      <c r="AN727" s="11">
        <f ca="1">IFERROR(__xludf.DUMMYFUNCTION("""COMPUTED_VALUE"""),44619)</f>
        <v>44619</v>
      </c>
      <c r="AO727" s="12">
        <f ca="1">IFERROR(VLOOKUP(AN727,koronahun!A:B,2,FALSE),"")</f>
        <v>0</v>
      </c>
      <c r="AP727" s="11">
        <f t="shared" ca="1" si="4"/>
        <v>44619</v>
      </c>
      <c r="AQ727" s="11"/>
      <c r="AR727" s="11"/>
      <c r="AS727" s="11"/>
      <c r="AT727" s="11"/>
    </row>
    <row r="728" spans="1:46" ht="13">
      <c r="A728" s="11"/>
      <c r="B728" t="str">
        <f>IFERROR(VLOOKUP($A728,koronahun!$A:$AM,2,FALSE),"")</f>
        <v/>
      </c>
      <c r="C728" t="str">
        <f>IFERROR(VLOOKUP($A728,koronahun!$A:$AM,3,FALSE),"")</f>
        <v/>
      </c>
      <c r="D728" t="str">
        <f>IFERROR(VLOOKUP($A728,koronahun!$A:$AM,4,FALSE),"")</f>
        <v/>
      </c>
      <c r="E728" t="str">
        <f>IFERROR(VLOOKUP($A728,koronahun!$A:$AM,5,FALSE),"")</f>
        <v/>
      </c>
      <c r="F728" t="str">
        <f>IFERROR(VLOOKUP($A728,koronahun!$A:$AM,6,FALSE),"")</f>
        <v/>
      </c>
      <c r="G728" s="12" t="str">
        <f>IFERROR(VLOOKUP($A728,koronahun!$A:$AM,7,FALSE),"")</f>
        <v/>
      </c>
      <c r="H728" t="str">
        <f>IFERROR(VLOOKUP($A728,koronahun!$A:$AM,8,FALSE),"")</f>
        <v/>
      </c>
      <c r="I728" s="13" t="str">
        <f>IFERROR(VLOOKUP($A728,koronahun!$A:$AM,9,FALSE),"")</f>
        <v/>
      </c>
      <c r="J728" s="13" t="str">
        <f>IFERROR(VLOOKUP($A728,koronahun!$A:$AM,10,FALSE),"")</f>
        <v/>
      </c>
      <c r="K728" s="13" t="str">
        <f>IFERROR(VLOOKUP($A728,koronahun!$A:$AM,11,FALSE),"")</f>
        <v/>
      </c>
      <c r="L728" t="str">
        <f>IFERROR(VLOOKUP($A728,koronahun!$A:$AM,12,FALSE),"")</f>
        <v/>
      </c>
      <c r="M728" s="13" t="str">
        <f>IFERROR(VLOOKUP($A728,koronahun!$A:$AM,13,FALSE),"")</f>
        <v/>
      </c>
      <c r="N728" s="13" t="str">
        <f>IFERROR(VLOOKUP($A728,koronahun!$A:$AM,14,FALSE),"")</f>
        <v/>
      </c>
      <c r="O728" t="str">
        <f>IFERROR(VLOOKUP($A728,koronahun!$A:$AM,15,FALSE),"")</f>
        <v/>
      </c>
      <c r="P728" t="str">
        <f>IFERROR(VLOOKUP($A728,koronahun!$A:$AM,16,FALSE),"")</f>
        <v/>
      </c>
      <c r="Q728" s="13" t="str">
        <f>IFERROR(VLOOKUP($A728,koronahun!$A:$AM,17,FALSE),"")</f>
        <v/>
      </c>
      <c r="R728" t="str">
        <f>IFERROR(VLOOKUP($A728,koronahun!$A:$AM,18,FALSE),"")</f>
        <v/>
      </c>
      <c r="S728" t="str">
        <f>IFERROR(VLOOKUP($A728,koronahun!$A:$AM,19,FALSE),"")</f>
        <v/>
      </c>
      <c r="T728" t="str">
        <f>IFERROR(VLOOKUP($A728,koronahun!$A:$AM,20,FALSE),"")</f>
        <v/>
      </c>
      <c r="U728" t="str">
        <f>IFERROR(VLOOKUP($A728,koronahun!$A:$AM,21,FALSE),"")</f>
        <v/>
      </c>
      <c r="V728" s="13" t="str">
        <f>IFERROR(VLOOKUP($A728,koronahun!$A:$AM,22,FALSE),"")</f>
        <v/>
      </c>
      <c r="W728" t="str">
        <f>IFERROR(VLOOKUP($A728,koronahun!$A:$AM,23,FALSE),"")</f>
        <v/>
      </c>
      <c r="X728" t="str">
        <f>IFERROR(VLOOKUP($A728,koronahun!$A:$AM,24,FALSE),"")</f>
        <v/>
      </c>
      <c r="Y728" s="14" t="str">
        <f>IFERROR(VLOOKUP($A728,koronahun!$A:$AM,25,FALSE),"")</f>
        <v/>
      </c>
      <c r="Z728" s="14" t="str">
        <f>IFERROR(VLOOKUP($A728,koronahun!$A:$AM,26,FALSE),"")</f>
        <v/>
      </c>
      <c r="AA728" s="14" t="str">
        <f>IFERROR(VLOOKUP($A728,koronahun!$A:$AM,27,FALSE),"")</f>
        <v/>
      </c>
      <c r="AB728" s="14" t="str">
        <f>IFERROR(VLOOKUP($A728,koronahun!$A:$AM,28,FALSE),"")</f>
        <v/>
      </c>
      <c r="AC728" s="14" t="str">
        <f>IFERROR(VLOOKUP($A728,koronahun!$A:$AM,29,FALSE),"")</f>
        <v/>
      </c>
      <c r="AD728" s="14" t="str">
        <f>IFERROR(VLOOKUP($A728,koronahun!$A:$AM,30,FALSE),"")</f>
        <v/>
      </c>
      <c r="AE728" s="14" t="str">
        <f>IFERROR(VLOOKUP($A728,koronahun!$A:$AM,31,FALSE),"")</f>
        <v/>
      </c>
      <c r="AF728" s="13" t="str">
        <f>IFERROR(VLOOKUP($A728,koronahun!$A:$AM,32,FALSE),"")</f>
        <v/>
      </c>
      <c r="AG728" t="str">
        <f>IFERROR(VLOOKUP($A728,koronahun!$A:$AM,33,FALSE),"")</f>
        <v/>
      </c>
      <c r="AH728" t="str">
        <f>IFERROR(VLOOKUP($A728,koronahun!$A:$AM,34,FALSE),"")</f>
        <v/>
      </c>
      <c r="AI728" t="str">
        <f>IFERROR(VLOOKUP($A728,koronahun!$A:$AM,35,FALSE),"")</f>
        <v/>
      </c>
      <c r="AJ728" t="str">
        <f>IFERROR(VLOOKUP($A728,koronahun!$A:$AM,36,FALSE),"")</f>
        <v/>
      </c>
      <c r="AK728" t="str">
        <f>IFERROR(VLOOKUP($A728,koronahun!$A:$AM,37,FALSE),"")</f>
        <v/>
      </c>
      <c r="AL728" t="str">
        <f>IFERROR(VLOOKUP($A728,koronahun!$A:$AM,38,FALSE),"")</f>
        <v/>
      </c>
      <c r="AM728" s="14" t="str">
        <f>IFERROR(VLOOKUP($A728,koronahun!$A:$AM,39,FALSE),"")</f>
        <v/>
      </c>
      <c r="AN728" s="11">
        <f ca="1">IFERROR(__xludf.DUMMYFUNCTION("""COMPUTED_VALUE"""),44620)</f>
        <v>44620</v>
      </c>
      <c r="AO728" s="12">
        <f ca="1">IFERROR(VLOOKUP(AN728,koronahun!A:B,2,FALSE),"")</f>
        <v>1787544</v>
      </c>
      <c r="AP728" s="11">
        <f t="shared" ca="1" si="4"/>
        <v>44620</v>
      </c>
      <c r="AQ728" s="11"/>
      <c r="AR728" s="11"/>
      <c r="AS728" s="11"/>
      <c r="AT728" s="11"/>
    </row>
    <row r="729" spans="1:46" ht="13">
      <c r="A729" s="11"/>
      <c r="B729" t="str">
        <f>IFERROR(VLOOKUP($A729,koronahun!$A:$AM,2,FALSE),"")</f>
        <v/>
      </c>
      <c r="C729" t="str">
        <f>IFERROR(VLOOKUP($A729,koronahun!$A:$AM,3,FALSE),"")</f>
        <v/>
      </c>
      <c r="D729" t="str">
        <f>IFERROR(VLOOKUP($A729,koronahun!$A:$AM,4,FALSE),"")</f>
        <v/>
      </c>
      <c r="E729" t="str">
        <f>IFERROR(VLOOKUP($A729,koronahun!$A:$AM,5,FALSE),"")</f>
        <v/>
      </c>
      <c r="F729" t="str">
        <f>IFERROR(VLOOKUP($A729,koronahun!$A:$AM,6,FALSE),"")</f>
        <v/>
      </c>
      <c r="G729" s="12" t="str">
        <f>IFERROR(VLOOKUP($A729,koronahun!$A:$AM,7,FALSE),"")</f>
        <v/>
      </c>
      <c r="H729" t="str">
        <f>IFERROR(VLOOKUP($A729,koronahun!$A:$AM,8,FALSE),"")</f>
        <v/>
      </c>
      <c r="I729" s="13" t="str">
        <f>IFERROR(VLOOKUP($A729,koronahun!$A:$AM,9,FALSE),"")</f>
        <v/>
      </c>
      <c r="J729" s="13" t="str">
        <f>IFERROR(VLOOKUP($A729,koronahun!$A:$AM,10,FALSE),"")</f>
        <v/>
      </c>
      <c r="K729" s="13" t="str">
        <f>IFERROR(VLOOKUP($A729,koronahun!$A:$AM,11,FALSE),"")</f>
        <v/>
      </c>
      <c r="L729" t="str">
        <f>IFERROR(VLOOKUP($A729,koronahun!$A:$AM,12,FALSE),"")</f>
        <v/>
      </c>
      <c r="M729" s="13" t="str">
        <f>IFERROR(VLOOKUP($A729,koronahun!$A:$AM,13,FALSE),"")</f>
        <v/>
      </c>
      <c r="N729" s="13" t="str">
        <f>IFERROR(VLOOKUP($A729,koronahun!$A:$AM,14,FALSE),"")</f>
        <v/>
      </c>
      <c r="O729" t="str">
        <f>IFERROR(VLOOKUP($A729,koronahun!$A:$AM,15,FALSE),"")</f>
        <v/>
      </c>
      <c r="P729" t="str">
        <f>IFERROR(VLOOKUP($A729,koronahun!$A:$AM,16,FALSE),"")</f>
        <v/>
      </c>
      <c r="Q729" s="13" t="str">
        <f>IFERROR(VLOOKUP($A729,koronahun!$A:$AM,17,FALSE),"")</f>
        <v/>
      </c>
      <c r="R729" t="str">
        <f>IFERROR(VLOOKUP($A729,koronahun!$A:$AM,18,FALSE),"")</f>
        <v/>
      </c>
      <c r="S729" t="str">
        <f>IFERROR(VLOOKUP($A729,koronahun!$A:$AM,19,FALSE),"")</f>
        <v/>
      </c>
      <c r="T729" t="str">
        <f>IFERROR(VLOOKUP($A729,koronahun!$A:$AM,20,FALSE),"")</f>
        <v/>
      </c>
      <c r="U729" t="str">
        <f>IFERROR(VLOOKUP($A729,koronahun!$A:$AM,21,FALSE),"")</f>
        <v/>
      </c>
      <c r="V729" s="13" t="str">
        <f>IFERROR(VLOOKUP($A729,koronahun!$A:$AM,22,FALSE),"")</f>
        <v/>
      </c>
      <c r="W729" t="str">
        <f>IFERROR(VLOOKUP($A729,koronahun!$A:$AM,23,FALSE),"")</f>
        <v/>
      </c>
      <c r="X729" t="str">
        <f>IFERROR(VLOOKUP($A729,koronahun!$A:$AM,24,FALSE),"")</f>
        <v/>
      </c>
      <c r="Y729" s="14" t="str">
        <f>IFERROR(VLOOKUP($A729,koronahun!$A:$AM,25,FALSE),"")</f>
        <v/>
      </c>
      <c r="Z729" s="14" t="str">
        <f>IFERROR(VLOOKUP($A729,koronahun!$A:$AM,26,FALSE),"")</f>
        <v/>
      </c>
      <c r="AA729" s="14" t="str">
        <f>IFERROR(VLOOKUP($A729,koronahun!$A:$AM,27,FALSE),"")</f>
        <v/>
      </c>
      <c r="AB729" s="14" t="str">
        <f>IFERROR(VLOOKUP($A729,koronahun!$A:$AM,28,FALSE),"")</f>
        <v/>
      </c>
      <c r="AC729" s="14" t="str">
        <f>IFERROR(VLOOKUP($A729,koronahun!$A:$AM,29,FALSE),"")</f>
        <v/>
      </c>
      <c r="AD729" s="14" t="str">
        <f>IFERROR(VLOOKUP($A729,koronahun!$A:$AM,30,FALSE),"")</f>
        <v/>
      </c>
      <c r="AE729" s="14" t="str">
        <f>IFERROR(VLOOKUP($A729,koronahun!$A:$AM,31,FALSE),"")</f>
        <v/>
      </c>
      <c r="AF729" s="13" t="str">
        <f>IFERROR(VLOOKUP($A729,koronahun!$A:$AM,32,FALSE),"")</f>
        <v/>
      </c>
      <c r="AG729" t="str">
        <f>IFERROR(VLOOKUP($A729,koronahun!$A:$AM,33,FALSE),"")</f>
        <v/>
      </c>
      <c r="AH729" t="str">
        <f>IFERROR(VLOOKUP($A729,koronahun!$A:$AM,34,FALSE),"")</f>
        <v/>
      </c>
      <c r="AI729" t="str">
        <f>IFERROR(VLOOKUP($A729,koronahun!$A:$AM,35,FALSE),"")</f>
        <v/>
      </c>
      <c r="AJ729" t="str">
        <f>IFERROR(VLOOKUP($A729,koronahun!$A:$AM,36,FALSE),"")</f>
        <v/>
      </c>
      <c r="AK729" t="str">
        <f>IFERROR(VLOOKUP($A729,koronahun!$A:$AM,37,FALSE),"")</f>
        <v/>
      </c>
      <c r="AL729" t="str">
        <f>IFERROR(VLOOKUP($A729,koronahun!$A:$AM,38,FALSE),"")</f>
        <v/>
      </c>
      <c r="AM729" s="14" t="str">
        <f>IFERROR(VLOOKUP($A729,koronahun!$A:$AM,39,FALSE),"")</f>
        <v/>
      </c>
      <c r="AN729" s="11">
        <f ca="1">IFERROR(__xludf.DUMMYFUNCTION("""COMPUTED_VALUE"""),44621)</f>
        <v>44621</v>
      </c>
      <c r="AO729" s="12">
        <f ca="1">IFERROR(VLOOKUP(AN729,koronahun!A:B,2,FALSE),"")</f>
        <v>1789581</v>
      </c>
      <c r="AP729" s="11">
        <f t="shared" ca="1" si="4"/>
        <v>44621</v>
      </c>
      <c r="AQ729" s="11"/>
      <c r="AR729" s="11"/>
      <c r="AS729" s="11"/>
      <c r="AT729" s="11"/>
    </row>
    <row r="730" spans="1:46" ht="13">
      <c r="A730" s="11"/>
      <c r="B730" t="str">
        <f>IFERROR(VLOOKUP($A730,koronahun!$A:$AM,2,FALSE),"")</f>
        <v/>
      </c>
      <c r="C730" t="str">
        <f>IFERROR(VLOOKUP($A730,koronahun!$A:$AM,3,FALSE),"")</f>
        <v/>
      </c>
      <c r="D730" t="str">
        <f>IFERROR(VLOOKUP($A730,koronahun!$A:$AM,4,FALSE),"")</f>
        <v/>
      </c>
      <c r="E730" t="str">
        <f>IFERROR(VLOOKUP($A730,koronahun!$A:$AM,5,FALSE),"")</f>
        <v/>
      </c>
      <c r="F730" t="str">
        <f>IFERROR(VLOOKUP($A730,koronahun!$A:$AM,6,FALSE),"")</f>
        <v/>
      </c>
      <c r="G730" s="12" t="str">
        <f>IFERROR(VLOOKUP($A730,koronahun!$A:$AM,7,FALSE),"")</f>
        <v/>
      </c>
      <c r="H730" t="str">
        <f>IFERROR(VLOOKUP($A730,koronahun!$A:$AM,8,FALSE),"")</f>
        <v/>
      </c>
      <c r="I730" s="13" t="str">
        <f>IFERROR(VLOOKUP($A730,koronahun!$A:$AM,9,FALSE),"")</f>
        <v/>
      </c>
      <c r="J730" s="13" t="str">
        <f>IFERROR(VLOOKUP($A730,koronahun!$A:$AM,10,FALSE),"")</f>
        <v/>
      </c>
      <c r="K730" s="13" t="str">
        <f>IFERROR(VLOOKUP($A730,koronahun!$A:$AM,11,FALSE),"")</f>
        <v/>
      </c>
      <c r="L730" t="str">
        <f>IFERROR(VLOOKUP($A730,koronahun!$A:$AM,12,FALSE),"")</f>
        <v/>
      </c>
      <c r="M730" s="13" t="str">
        <f>IFERROR(VLOOKUP($A730,koronahun!$A:$AM,13,FALSE),"")</f>
        <v/>
      </c>
      <c r="N730" s="13" t="str">
        <f>IFERROR(VLOOKUP($A730,koronahun!$A:$AM,14,FALSE),"")</f>
        <v/>
      </c>
      <c r="O730" t="str">
        <f>IFERROR(VLOOKUP($A730,koronahun!$A:$AM,15,FALSE),"")</f>
        <v/>
      </c>
      <c r="P730" t="str">
        <f>IFERROR(VLOOKUP($A730,koronahun!$A:$AM,16,FALSE),"")</f>
        <v/>
      </c>
      <c r="Q730" s="13" t="str">
        <f>IFERROR(VLOOKUP($A730,koronahun!$A:$AM,17,FALSE),"")</f>
        <v/>
      </c>
      <c r="R730" t="str">
        <f>IFERROR(VLOOKUP($A730,koronahun!$A:$AM,18,FALSE),"")</f>
        <v/>
      </c>
      <c r="S730" t="str">
        <f>IFERROR(VLOOKUP($A730,koronahun!$A:$AM,19,FALSE),"")</f>
        <v/>
      </c>
      <c r="T730" t="str">
        <f>IFERROR(VLOOKUP($A730,koronahun!$A:$AM,20,FALSE),"")</f>
        <v/>
      </c>
      <c r="U730" t="str">
        <f>IFERROR(VLOOKUP($A730,koronahun!$A:$AM,21,FALSE),"")</f>
        <v/>
      </c>
      <c r="V730" s="13" t="str">
        <f>IFERROR(VLOOKUP($A730,koronahun!$A:$AM,22,FALSE),"")</f>
        <v/>
      </c>
      <c r="W730" t="str">
        <f>IFERROR(VLOOKUP($A730,koronahun!$A:$AM,23,FALSE),"")</f>
        <v/>
      </c>
      <c r="X730" t="str">
        <f>IFERROR(VLOOKUP($A730,koronahun!$A:$AM,24,FALSE),"")</f>
        <v/>
      </c>
      <c r="Y730" s="14" t="str">
        <f>IFERROR(VLOOKUP($A730,koronahun!$A:$AM,25,FALSE),"")</f>
        <v/>
      </c>
      <c r="Z730" s="14" t="str">
        <f>IFERROR(VLOOKUP($A730,koronahun!$A:$AM,26,FALSE),"")</f>
        <v/>
      </c>
      <c r="AA730" s="14" t="str">
        <f>IFERROR(VLOOKUP($A730,koronahun!$A:$AM,27,FALSE),"")</f>
        <v/>
      </c>
      <c r="AB730" s="14" t="str">
        <f>IFERROR(VLOOKUP($A730,koronahun!$A:$AM,28,FALSE),"")</f>
        <v/>
      </c>
      <c r="AC730" s="14" t="str">
        <f>IFERROR(VLOOKUP($A730,koronahun!$A:$AM,29,FALSE),"")</f>
        <v/>
      </c>
      <c r="AD730" s="14" t="str">
        <f>IFERROR(VLOOKUP($A730,koronahun!$A:$AM,30,FALSE),"")</f>
        <v/>
      </c>
      <c r="AE730" s="14" t="str">
        <f>IFERROR(VLOOKUP($A730,koronahun!$A:$AM,31,FALSE),"")</f>
        <v/>
      </c>
      <c r="AF730" s="13" t="str">
        <f>IFERROR(VLOOKUP($A730,koronahun!$A:$AM,32,FALSE),"")</f>
        <v/>
      </c>
      <c r="AG730" t="str">
        <f>IFERROR(VLOOKUP($A730,koronahun!$A:$AM,33,FALSE),"")</f>
        <v/>
      </c>
      <c r="AH730" t="str">
        <f>IFERROR(VLOOKUP($A730,koronahun!$A:$AM,34,FALSE),"")</f>
        <v/>
      </c>
      <c r="AI730" t="str">
        <f>IFERROR(VLOOKUP($A730,koronahun!$A:$AM,35,FALSE),"")</f>
        <v/>
      </c>
      <c r="AJ730" t="str">
        <f>IFERROR(VLOOKUP($A730,koronahun!$A:$AM,36,FALSE),"")</f>
        <v/>
      </c>
      <c r="AK730" t="str">
        <f>IFERROR(VLOOKUP($A730,koronahun!$A:$AM,37,FALSE),"")</f>
        <v/>
      </c>
      <c r="AL730" t="str">
        <f>IFERROR(VLOOKUP($A730,koronahun!$A:$AM,38,FALSE),"")</f>
        <v/>
      </c>
      <c r="AM730" s="14" t="str">
        <f>IFERROR(VLOOKUP($A730,koronahun!$A:$AM,39,FALSE),"")</f>
        <v/>
      </c>
      <c r="AN730" s="11">
        <f ca="1">IFERROR(__xludf.DUMMYFUNCTION("""COMPUTED_VALUE"""),44622)</f>
        <v>44622</v>
      </c>
      <c r="AO730" s="12">
        <f ca="1">IFERROR(VLOOKUP(AN730,koronahun!A:B,2,FALSE),"")</f>
        <v>1793120</v>
      </c>
      <c r="AP730" s="11">
        <f t="shared" ca="1" si="4"/>
        <v>44622</v>
      </c>
      <c r="AQ730" s="11"/>
      <c r="AR730" s="11"/>
      <c r="AS730" s="11"/>
      <c r="AT730" s="11"/>
    </row>
    <row r="731" spans="1:46" ht="13">
      <c r="A731" s="11"/>
      <c r="B731" t="str">
        <f>IFERROR(VLOOKUP($A731,koronahun!$A:$AM,2,FALSE),"")</f>
        <v/>
      </c>
      <c r="C731" t="str">
        <f>IFERROR(VLOOKUP($A731,koronahun!$A:$AM,3,FALSE),"")</f>
        <v/>
      </c>
      <c r="D731" t="str">
        <f>IFERROR(VLOOKUP($A731,koronahun!$A:$AM,4,FALSE),"")</f>
        <v/>
      </c>
      <c r="E731" t="str">
        <f>IFERROR(VLOOKUP($A731,koronahun!$A:$AM,5,FALSE),"")</f>
        <v/>
      </c>
      <c r="F731" t="str">
        <f>IFERROR(VLOOKUP($A731,koronahun!$A:$AM,6,FALSE),"")</f>
        <v/>
      </c>
      <c r="G731" s="12" t="str">
        <f>IFERROR(VLOOKUP($A731,koronahun!$A:$AM,7,FALSE),"")</f>
        <v/>
      </c>
      <c r="H731" t="str">
        <f>IFERROR(VLOOKUP($A731,koronahun!$A:$AM,8,FALSE),"")</f>
        <v/>
      </c>
      <c r="I731" s="13" t="str">
        <f>IFERROR(VLOOKUP($A731,koronahun!$A:$AM,9,FALSE),"")</f>
        <v/>
      </c>
      <c r="J731" s="13" t="str">
        <f>IFERROR(VLOOKUP($A731,koronahun!$A:$AM,10,FALSE),"")</f>
        <v/>
      </c>
      <c r="K731" s="13" t="str">
        <f>IFERROR(VLOOKUP($A731,koronahun!$A:$AM,11,FALSE),"")</f>
        <v/>
      </c>
      <c r="L731" t="str">
        <f>IFERROR(VLOOKUP($A731,koronahun!$A:$AM,12,FALSE),"")</f>
        <v/>
      </c>
      <c r="M731" s="13" t="str">
        <f>IFERROR(VLOOKUP($A731,koronahun!$A:$AM,13,FALSE),"")</f>
        <v/>
      </c>
      <c r="N731" s="13" t="str">
        <f>IFERROR(VLOOKUP($A731,koronahun!$A:$AM,14,FALSE),"")</f>
        <v/>
      </c>
      <c r="O731" t="str">
        <f>IFERROR(VLOOKUP($A731,koronahun!$A:$AM,15,FALSE),"")</f>
        <v/>
      </c>
      <c r="P731" t="str">
        <f>IFERROR(VLOOKUP($A731,koronahun!$A:$AM,16,FALSE),"")</f>
        <v/>
      </c>
      <c r="Q731" s="13" t="str">
        <f>IFERROR(VLOOKUP($A731,koronahun!$A:$AM,17,FALSE),"")</f>
        <v/>
      </c>
      <c r="R731" t="str">
        <f>IFERROR(VLOOKUP($A731,koronahun!$A:$AM,18,FALSE),"")</f>
        <v/>
      </c>
      <c r="S731" t="str">
        <f>IFERROR(VLOOKUP($A731,koronahun!$A:$AM,19,FALSE),"")</f>
        <v/>
      </c>
      <c r="T731" t="str">
        <f>IFERROR(VLOOKUP($A731,koronahun!$A:$AM,20,FALSE),"")</f>
        <v/>
      </c>
      <c r="U731" t="str">
        <f>IFERROR(VLOOKUP($A731,koronahun!$A:$AM,21,FALSE),"")</f>
        <v/>
      </c>
      <c r="V731" s="13" t="str">
        <f>IFERROR(VLOOKUP($A731,koronahun!$A:$AM,22,FALSE),"")</f>
        <v/>
      </c>
      <c r="W731" t="str">
        <f>IFERROR(VLOOKUP($A731,koronahun!$A:$AM,23,FALSE),"")</f>
        <v/>
      </c>
      <c r="X731" t="str">
        <f>IFERROR(VLOOKUP($A731,koronahun!$A:$AM,24,FALSE),"")</f>
        <v/>
      </c>
      <c r="Y731" s="14" t="str">
        <f>IFERROR(VLOOKUP($A731,koronahun!$A:$AM,25,FALSE),"")</f>
        <v/>
      </c>
      <c r="Z731" s="14" t="str">
        <f>IFERROR(VLOOKUP($A731,koronahun!$A:$AM,26,FALSE),"")</f>
        <v/>
      </c>
      <c r="AA731" s="14" t="str">
        <f>IFERROR(VLOOKUP($A731,koronahun!$A:$AM,27,FALSE),"")</f>
        <v/>
      </c>
      <c r="AB731" s="14" t="str">
        <f>IFERROR(VLOOKUP($A731,koronahun!$A:$AM,28,FALSE),"")</f>
        <v/>
      </c>
      <c r="AC731" s="14" t="str">
        <f>IFERROR(VLOOKUP($A731,koronahun!$A:$AM,29,FALSE),"")</f>
        <v/>
      </c>
      <c r="AD731" s="14" t="str">
        <f>IFERROR(VLOOKUP($A731,koronahun!$A:$AM,30,FALSE),"")</f>
        <v/>
      </c>
      <c r="AE731" s="14" t="str">
        <f>IFERROR(VLOOKUP($A731,koronahun!$A:$AM,31,FALSE),"")</f>
        <v/>
      </c>
      <c r="AF731" s="13" t="str">
        <f>IFERROR(VLOOKUP($A731,koronahun!$A:$AM,32,FALSE),"")</f>
        <v/>
      </c>
      <c r="AG731" t="str">
        <f>IFERROR(VLOOKUP($A731,koronahun!$A:$AM,33,FALSE),"")</f>
        <v/>
      </c>
      <c r="AH731" t="str">
        <f>IFERROR(VLOOKUP($A731,koronahun!$A:$AM,34,FALSE),"")</f>
        <v/>
      </c>
      <c r="AI731" t="str">
        <f>IFERROR(VLOOKUP($A731,koronahun!$A:$AM,35,FALSE),"")</f>
        <v/>
      </c>
      <c r="AJ731" t="str">
        <f>IFERROR(VLOOKUP($A731,koronahun!$A:$AM,36,FALSE),"")</f>
        <v/>
      </c>
      <c r="AK731" t="str">
        <f>IFERROR(VLOOKUP($A731,koronahun!$A:$AM,37,FALSE),"")</f>
        <v/>
      </c>
      <c r="AL731" t="str">
        <f>IFERROR(VLOOKUP($A731,koronahun!$A:$AM,38,FALSE),"")</f>
        <v/>
      </c>
      <c r="AM731" s="14" t="str">
        <f>IFERROR(VLOOKUP($A731,koronahun!$A:$AM,39,FALSE),"")</f>
        <v/>
      </c>
      <c r="AN731" s="11">
        <f ca="1">IFERROR(__xludf.DUMMYFUNCTION("""COMPUTED_VALUE"""),44623)</f>
        <v>44623</v>
      </c>
      <c r="AO731" s="12">
        <f ca="1">IFERROR(VLOOKUP(AN731,koronahun!A:B,2,FALSE),"")</f>
        <v>1796982</v>
      </c>
      <c r="AP731" s="11">
        <f t="shared" ca="1" si="4"/>
        <v>44623</v>
      </c>
      <c r="AQ731" s="11"/>
      <c r="AR731" s="11"/>
      <c r="AS731" s="11"/>
      <c r="AT731" s="11"/>
    </row>
    <row r="732" spans="1:46" ht="13">
      <c r="A732" s="11"/>
      <c r="B732" t="str">
        <f>IFERROR(VLOOKUP($A732,koronahun!$A:$AM,2,FALSE),"")</f>
        <v/>
      </c>
      <c r="C732" t="str">
        <f>IFERROR(VLOOKUP($A732,koronahun!$A:$AM,3,FALSE),"")</f>
        <v/>
      </c>
      <c r="D732" t="str">
        <f>IFERROR(VLOOKUP($A732,koronahun!$A:$AM,4,FALSE),"")</f>
        <v/>
      </c>
      <c r="E732" t="str">
        <f>IFERROR(VLOOKUP($A732,koronahun!$A:$AM,5,FALSE),"")</f>
        <v/>
      </c>
      <c r="F732" t="str">
        <f>IFERROR(VLOOKUP($A732,koronahun!$A:$AM,6,FALSE),"")</f>
        <v/>
      </c>
      <c r="G732" s="12" t="str">
        <f>IFERROR(VLOOKUP($A732,koronahun!$A:$AM,7,FALSE),"")</f>
        <v/>
      </c>
      <c r="H732" t="str">
        <f>IFERROR(VLOOKUP($A732,koronahun!$A:$AM,8,FALSE),"")</f>
        <v/>
      </c>
      <c r="I732" s="13" t="str">
        <f>IFERROR(VLOOKUP($A732,koronahun!$A:$AM,9,FALSE),"")</f>
        <v/>
      </c>
      <c r="J732" s="13" t="str">
        <f>IFERROR(VLOOKUP($A732,koronahun!$A:$AM,10,FALSE),"")</f>
        <v/>
      </c>
      <c r="K732" s="13" t="str">
        <f>IFERROR(VLOOKUP($A732,koronahun!$A:$AM,11,FALSE),"")</f>
        <v/>
      </c>
      <c r="L732" t="str">
        <f>IFERROR(VLOOKUP($A732,koronahun!$A:$AM,12,FALSE),"")</f>
        <v/>
      </c>
      <c r="M732" s="13" t="str">
        <f>IFERROR(VLOOKUP($A732,koronahun!$A:$AM,13,FALSE),"")</f>
        <v/>
      </c>
      <c r="N732" s="13" t="str">
        <f>IFERROR(VLOOKUP($A732,koronahun!$A:$AM,14,FALSE),"")</f>
        <v/>
      </c>
      <c r="O732" t="str">
        <f>IFERROR(VLOOKUP($A732,koronahun!$A:$AM,15,FALSE),"")</f>
        <v/>
      </c>
      <c r="P732" t="str">
        <f>IFERROR(VLOOKUP($A732,koronahun!$A:$AM,16,FALSE),"")</f>
        <v/>
      </c>
      <c r="Q732" s="13" t="str">
        <f>IFERROR(VLOOKUP($A732,koronahun!$A:$AM,17,FALSE),"")</f>
        <v/>
      </c>
      <c r="R732" t="str">
        <f>IFERROR(VLOOKUP($A732,koronahun!$A:$AM,18,FALSE),"")</f>
        <v/>
      </c>
      <c r="S732" t="str">
        <f>IFERROR(VLOOKUP($A732,koronahun!$A:$AM,19,FALSE),"")</f>
        <v/>
      </c>
      <c r="T732" t="str">
        <f>IFERROR(VLOOKUP($A732,koronahun!$A:$AM,20,FALSE),"")</f>
        <v/>
      </c>
      <c r="U732" t="str">
        <f>IFERROR(VLOOKUP($A732,koronahun!$A:$AM,21,FALSE),"")</f>
        <v/>
      </c>
      <c r="V732" s="13" t="str">
        <f>IFERROR(VLOOKUP($A732,koronahun!$A:$AM,22,FALSE),"")</f>
        <v/>
      </c>
      <c r="W732" t="str">
        <f>IFERROR(VLOOKUP($A732,koronahun!$A:$AM,23,FALSE),"")</f>
        <v/>
      </c>
      <c r="X732" t="str">
        <f>IFERROR(VLOOKUP($A732,koronahun!$A:$AM,24,FALSE),"")</f>
        <v/>
      </c>
      <c r="Y732" s="14" t="str">
        <f>IFERROR(VLOOKUP($A732,koronahun!$A:$AM,25,FALSE),"")</f>
        <v/>
      </c>
      <c r="Z732" s="14" t="str">
        <f>IFERROR(VLOOKUP($A732,koronahun!$A:$AM,26,FALSE),"")</f>
        <v/>
      </c>
      <c r="AA732" s="14" t="str">
        <f>IFERROR(VLOOKUP($A732,koronahun!$A:$AM,27,FALSE),"")</f>
        <v/>
      </c>
      <c r="AB732" s="14" t="str">
        <f>IFERROR(VLOOKUP($A732,koronahun!$A:$AM,28,FALSE),"")</f>
        <v/>
      </c>
      <c r="AC732" s="14" t="str">
        <f>IFERROR(VLOOKUP($A732,koronahun!$A:$AM,29,FALSE),"")</f>
        <v/>
      </c>
      <c r="AD732" s="14" t="str">
        <f>IFERROR(VLOOKUP($A732,koronahun!$A:$AM,30,FALSE),"")</f>
        <v/>
      </c>
      <c r="AE732" s="14" t="str">
        <f>IFERROR(VLOOKUP($A732,koronahun!$A:$AM,31,FALSE),"")</f>
        <v/>
      </c>
      <c r="AF732" s="13" t="str">
        <f>IFERROR(VLOOKUP($A732,koronahun!$A:$AM,32,FALSE),"")</f>
        <v/>
      </c>
      <c r="AG732" t="str">
        <f>IFERROR(VLOOKUP($A732,koronahun!$A:$AM,33,FALSE),"")</f>
        <v/>
      </c>
      <c r="AH732" t="str">
        <f>IFERROR(VLOOKUP($A732,koronahun!$A:$AM,34,FALSE),"")</f>
        <v/>
      </c>
      <c r="AI732" t="str">
        <f>IFERROR(VLOOKUP($A732,koronahun!$A:$AM,35,FALSE),"")</f>
        <v/>
      </c>
      <c r="AJ732" t="str">
        <f>IFERROR(VLOOKUP($A732,koronahun!$A:$AM,36,FALSE),"")</f>
        <v/>
      </c>
      <c r="AK732" t="str">
        <f>IFERROR(VLOOKUP($A732,koronahun!$A:$AM,37,FALSE),"")</f>
        <v/>
      </c>
      <c r="AL732" t="str">
        <f>IFERROR(VLOOKUP($A732,koronahun!$A:$AM,38,FALSE),"")</f>
        <v/>
      </c>
      <c r="AM732" s="14" t="str">
        <f>IFERROR(VLOOKUP($A732,koronahun!$A:$AM,39,FALSE),"")</f>
        <v/>
      </c>
      <c r="AN732" s="11">
        <f ca="1">IFERROR(__xludf.DUMMYFUNCTION("""COMPUTED_VALUE"""),44624)</f>
        <v>44624</v>
      </c>
      <c r="AO732" s="12">
        <f ca="1">IFERROR(VLOOKUP(AN732,koronahun!A:B,2,FALSE),"")</f>
        <v>1800046</v>
      </c>
      <c r="AP732" s="11">
        <f t="shared" ca="1" si="4"/>
        <v>44624</v>
      </c>
      <c r="AQ732" s="11"/>
      <c r="AR732" s="11"/>
      <c r="AS732" s="11"/>
      <c r="AT732" s="11"/>
    </row>
    <row r="733" spans="1:46" ht="13">
      <c r="A733" s="11"/>
      <c r="B733" t="str">
        <f>IFERROR(VLOOKUP($A733,koronahun!$A:$AM,2,FALSE),"")</f>
        <v/>
      </c>
      <c r="C733" t="str">
        <f>IFERROR(VLOOKUP($A733,koronahun!$A:$AM,3,FALSE),"")</f>
        <v/>
      </c>
      <c r="D733" t="str">
        <f>IFERROR(VLOOKUP($A733,koronahun!$A:$AM,4,FALSE),"")</f>
        <v/>
      </c>
      <c r="E733" t="str">
        <f>IFERROR(VLOOKUP($A733,koronahun!$A:$AM,5,FALSE),"")</f>
        <v/>
      </c>
      <c r="F733" t="str">
        <f>IFERROR(VLOOKUP($A733,koronahun!$A:$AM,6,FALSE),"")</f>
        <v/>
      </c>
      <c r="G733" s="12" t="str">
        <f>IFERROR(VLOOKUP($A733,koronahun!$A:$AM,7,FALSE),"")</f>
        <v/>
      </c>
      <c r="H733" t="str">
        <f>IFERROR(VLOOKUP($A733,koronahun!$A:$AM,8,FALSE),"")</f>
        <v/>
      </c>
      <c r="I733" s="13" t="str">
        <f>IFERROR(VLOOKUP($A733,koronahun!$A:$AM,9,FALSE),"")</f>
        <v/>
      </c>
      <c r="J733" s="13" t="str">
        <f>IFERROR(VLOOKUP($A733,koronahun!$A:$AM,10,FALSE),"")</f>
        <v/>
      </c>
      <c r="K733" s="13" t="str">
        <f>IFERROR(VLOOKUP($A733,koronahun!$A:$AM,11,FALSE),"")</f>
        <v/>
      </c>
      <c r="L733" t="str">
        <f>IFERROR(VLOOKUP($A733,koronahun!$A:$AM,12,FALSE),"")</f>
        <v/>
      </c>
      <c r="M733" s="13" t="str">
        <f>IFERROR(VLOOKUP($A733,koronahun!$A:$AM,13,FALSE),"")</f>
        <v/>
      </c>
      <c r="N733" s="13" t="str">
        <f>IFERROR(VLOOKUP($A733,koronahun!$A:$AM,14,FALSE),"")</f>
        <v/>
      </c>
      <c r="O733" t="str">
        <f>IFERROR(VLOOKUP($A733,koronahun!$A:$AM,15,FALSE),"")</f>
        <v/>
      </c>
      <c r="P733" t="str">
        <f>IFERROR(VLOOKUP($A733,koronahun!$A:$AM,16,FALSE),"")</f>
        <v/>
      </c>
      <c r="Q733" s="13" t="str">
        <f>IFERROR(VLOOKUP($A733,koronahun!$A:$AM,17,FALSE),"")</f>
        <v/>
      </c>
      <c r="R733" t="str">
        <f>IFERROR(VLOOKUP($A733,koronahun!$A:$AM,18,FALSE),"")</f>
        <v/>
      </c>
      <c r="S733" t="str">
        <f>IFERROR(VLOOKUP($A733,koronahun!$A:$AM,19,FALSE),"")</f>
        <v/>
      </c>
      <c r="T733" t="str">
        <f>IFERROR(VLOOKUP($A733,koronahun!$A:$AM,20,FALSE),"")</f>
        <v/>
      </c>
      <c r="U733" t="str">
        <f>IFERROR(VLOOKUP($A733,koronahun!$A:$AM,21,FALSE),"")</f>
        <v/>
      </c>
      <c r="V733" s="13" t="str">
        <f>IFERROR(VLOOKUP($A733,koronahun!$A:$AM,22,FALSE),"")</f>
        <v/>
      </c>
      <c r="W733" t="str">
        <f>IFERROR(VLOOKUP($A733,koronahun!$A:$AM,23,FALSE),"")</f>
        <v/>
      </c>
      <c r="X733" t="str">
        <f>IFERROR(VLOOKUP($A733,koronahun!$A:$AM,24,FALSE),"")</f>
        <v/>
      </c>
      <c r="Y733" s="14" t="str">
        <f>IFERROR(VLOOKUP($A733,koronahun!$A:$AM,25,FALSE),"")</f>
        <v/>
      </c>
      <c r="Z733" s="14" t="str">
        <f>IFERROR(VLOOKUP($A733,koronahun!$A:$AM,26,FALSE),"")</f>
        <v/>
      </c>
      <c r="AA733" s="14" t="str">
        <f>IFERROR(VLOOKUP($A733,koronahun!$A:$AM,27,FALSE),"")</f>
        <v/>
      </c>
      <c r="AB733" s="14" t="str">
        <f>IFERROR(VLOOKUP($A733,koronahun!$A:$AM,28,FALSE),"")</f>
        <v/>
      </c>
      <c r="AC733" s="14" t="str">
        <f>IFERROR(VLOOKUP($A733,koronahun!$A:$AM,29,FALSE),"")</f>
        <v/>
      </c>
      <c r="AD733" s="14" t="str">
        <f>IFERROR(VLOOKUP($A733,koronahun!$A:$AM,30,FALSE),"")</f>
        <v/>
      </c>
      <c r="AE733" s="14" t="str">
        <f>IFERROR(VLOOKUP($A733,koronahun!$A:$AM,31,FALSE),"")</f>
        <v/>
      </c>
      <c r="AF733" s="13" t="str">
        <f>IFERROR(VLOOKUP($A733,koronahun!$A:$AM,32,FALSE),"")</f>
        <v/>
      </c>
      <c r="AG733" t="str">
        <f>IFERROR(VLOOKUP($A733,koronahun!$A:$AM,33,FALSE),"")</f>
        <v/>
      </c>
      <c r="AH733" t="str">
        <f>IFERROR(VLOOKUP($A733,koronahun!$A:$AM,34,FALSE),"")</f>
        <v/>
      </c>
      <c r="AI733" t="str">
        <f>IFERROR(VLOOKUP($A733,koronahun!$A:$AM,35,FALSE),"")</f>
        <v/>
      </c>
      <c r="AJ733" t="str">
        <f>IFERROR(VLOOKUP($A733,koronahun!$A:$AM,36,FALSE),"")</f>
        <v/>
      </c>
      <c r="AK733" t="str">
        <f>IFERROR(VLOOKUP($A733,koronahun!$A:$AM,37,FALSE),"")</f>
        <v/>
      </c>
      <c r="AL733" t="str">
        <f>IFERROR(VLOOKUP($A733,koronahun!$A:$AM,38,FALSE),"")</f>
        <v/>
      </c>
      <c r="AM733" s="14" t="str">
        <f>IFERROR(VLOOKUP($A733,koronahun!$A:$AM,39,FALSE),"")</f>
        <v/>
      </c>
      <c r="AN733" s="11">
        <f ca="1">IFERROR(__xludf.DUMMYFUNCTION("""COMPUTED_VALUE"""),44625)</f>
        <v>44625</v>
      </c>
      <c r="AO733" s="12">
        <f ca="1">IFERROR(VLOOKUP(AN733,koronahun!A:B,2,FALSE),"")</f>
        <v>0</v>
      </c>
      <c r="AP733" s="11">
        <f t="shared" ca="1" si="4"/>
        <v>44625</v>
      </c>
      <c r="AQ733" s="11"/>
      <c r="AR733" s="11"/>
      <c r="AS733" s="11"/>
      <c r="AT733" s="11"/>
    </row>
    <row r="734" spans="1:46" ht="13">
      <c r="A734" s="11"/>
      <c r="B734" t="str">
        <f>IFERROR(VLOOKUP($A734,koronahun!$A:$AM,2,FALSE),"")</f>
        <v/>
      </c>
      <c r="C734" t="str">
        <f>IFERROR(VLOOKUP($A734,koronahun!$A:$AM,3,FALSE),"")</f>
        <v/>
      </c>
      <c r="D734" t="str">
        <f>IFERROR(VLOOKUP($A734,koronahun!$A:$AM,4,FALSE),"")</f>
        <v/>
      </c>
      <c r="E734" t="str">
        <f>IFERROR(VLOOKUP($A734,koronahun!$A:$AM,5,FALSE),"")</f>
        <v/>
      </c>
      <c r="F734" t="str">
        <f>IFERROR(VLOOKUP($A734,koronahun!$A:$AM,6,FALSE),"")</f>
        <v/>
      </c>
      <c r="G734" s="12" t="str">
        <f>IFERROR(VLOOKUP($A734,koronahun!$A:$AM,7,FALSE),"")</f>
        <v/>
      </c>
      <c r="H734" t="str">
        <f>IFERROR(VLOOKUP($A734,koronahun!$A:$AM,8,FALSE),"")</f>
        <v/>
      </c>
      <c r="I734" s="13" t="str">
        <f>IFERROR(VLOOKUP($A734,koronahun!$A:$AM,9,FALSE),"")</f>
        <v/>
      </c>
      <c r="J734" s="13" t="str">
        <f>IFERROR(VLOOKUP($A734,koronahun!$A:$AM,10,FALSE),"")</f>
        <v/>
      </c>
      <c r="K734" s="13" t="str">
        <f>IFERROR(VLOOKUP($A734,koronahun!$A:$AM,11,FALSE),"")</f>
        <v/>
      </c>
      <c r="L734" t="str">
        <f>IFERROR(VLOOKUP($A734,koronahun!$A:$AM,12,FALSE),"")</f>
        <v/>
      </c>
      <c r="M734" s="13" t="str">
        <f>IFERROR(VLOOKUP($A734,koronahun!$A:$AM,13,FALSE),"")</f>
        <v/>
      </c>
      <c r="N734" s="13" t="str">
        <f>IFERROR(VLOOKUP($A734,koronahun!$A:$AM,14,FALSE),"")</f>
        <v/>
      </c>
      <c r="O734" t="str">
        <f>IFERROR(VLOOKUP($A734,koronahun!$A:$AM,15,FALSE),"")</f>
        <v/>
      </c>
      <c r="P734" t="str">
        <f>IFERROR(VLOOKUP($A734,koronahun!$A:$AM,16,FALSE),"")</f>
        <v/>
      </c>
      <c r="Q734" s="13" t="str">
        <f>IFERROR(VLOOKUP($A734,koronahun!$A:$AM,17,FALSE),"")</f>
        <v/>
      </c>
      <c r="R734" t="str">
        <f>IFERROR(VLOOKUP($A734,koronahun!$A:$AM,18,FALSE),"")</f>
        <v/>
      </c>
      <c r="S734" t="str">
        <f>IFERROR(VLOOKUP($A734,koronahun!$A:$AM,19,FALSE),"")</f>
        <v/>
      </c>
      <c r="T734" t="str">
        <f>IFERROR(VLOOKUP($A734,koronahun!$A:$AM,20,FALSE),"")</f>
        <v/>
      </c>
      <c r="U734" t="str">
        <f>IFERROR(VLOOKUP($A734,koronahun!$A:$AM,21,FALSE),"")</f>
        <v/>
      </c>
      <c r="V734" s="13" t="str">
        <f>IFERROR(VLOOKUP($A734,koronahun!$A:$AM,22,FALSE),"")</f>
        <v/>
      </c>
      <c r="W734" t="str">
        <f>IFERROR(VLOOKUP($A734,koronahun!$A:$AM,23,FALSE),"")</f>
        <v/>
      </c>
      <c r="X734" t="str">
        <f>IFERROR(VLOOKUP($A734,koronahun!$A:$AM,24,FALSE),"")</f>
        <v/>
      </c>
      <c r="Y734" s="14" t="str">
        <f>IFERROR(VLOOKUP($A734,koronahun!$A:$AM,25,FALSE),"")</f>
        <v/>
      </c>
      <c r="Z734" s="14" t="str">
        <f>IFERROR(VLOOKUP($A734,koronahun!$A:$AM,26,FALSE),"")</f>
        <v/>
      </c>
      <c r="AA734" s="14" t="str">
        <f>IFERROR(VLOOKUP($A734,koronahun!$A:$AM,27,FALSE),"")</f>
        <v/>
      </c>
      <c r="AB734" s="14" t="str">
        <f>IFERROR(VLOOKUP($A734,koronahun!$A:$AM,28,FALSE),"")</f>
        <v/>
      </c>
      <c r="AC734" s="14" t="str">
        <f>IFERROR(VLOOKUP($A734,koronahun!$A:$AM,29,FALSE),"")</f>
        <v/>
      </c>
      <c r="AD734" s="14" t="str">
        <f>IFERROR(VLOOKUP($A734,koronahun!$A:$AM,30,FALSE),"")</f>
        <v/>
      </c>
      <c r="AE734" s="14" t="str">
        <f>IFERROR(VLOOKUP($A734,koronahun!$A:$AM,31,FALSE),"")</f>
        <v/>
      </c>
      <c r="AF734" s="13" t="str">
        <f>IFERROR(VLOOKUP($A734,koronahun!$A:$AM,32,FALSE),"")</f>
        <v/>
      </c>
      <c r="AG734" t="str">
        <f>IFERROR(VLOOKUP($A734,koronahun!$A:$AM,33,FALSE),"")</f>
        <v/>
      </c>
      <c r="AH734" t="str">
        <f>IFERROR(VLOOKUP($A734,koronahun!$A:$AM,34,FALSE),"")</f>
        <v/>
      </c>
      <c r="AI734" t="str">
        <f>IFERROR(VLOOKUP($A734,koronahun!$A:$AM,35,FALSE),"")</f>
        <v/>
      </c>
      <c r="AJ734" t="str">
        <f>IFERROR(VLOOKUP($A734,koronahun!$A:$AM,36,FALSE),"")</f>
        <v/>
      </c>
      <c r="AK734" t="str">
        <f>IFERROR(VLOOKUP($A734,koronahun!$A:$AM,37,FALSE),"")</f>
        <v/>
      </c>
      <c r="AL734" t="str">
        <f>IFERROR(VLOOKUP($A734,koronahun!$A:$AM,38,FALSE),"")</f>
        <v/>
      </c>
      <c r="AM734" s="14" t="str">
        <f>IFERROR(VLOOKUP($A734,koronahun!$A:$AM,39,FALSE),"")</f>
        <v/>
      </c>
      <c r="AN734" s="11">
        <f ca="1">IFERROR(__xludf.DUMMYFUNCTION("""COMPUTED_VALUE"""),44626)</f>
        <v>44626</v>
      </c>
      <c r="AO734" s="12">
        <f ca="1">IFERROR(VLOOKUP(AN734,koronahun!A:B,2,FALSE),"")</f>
        <v>0</v>
      </c>
      <c r="AP734" s="11">
        <f t="shared" ca="1" si="4"/>
        <v>44626</v>
      </c>
      <c r="AQ734" s="11"/>
      <c r="AR734" s="11"/>
      <c r="AS734" s="11"/>
      <c r="AT734" s="11"/>
    </row>
    <row r="735" spans="1:46" ht="13">
      <c r="A735" s="11"/>
      <c r="B735" t="str">
        <f>IFERROR(VLOOKUP($A735,koronahun!$A:$AM,2,FALSE),"")</f>
        <v/>
      </c>
      <c r="C735" t="str">
        <f>IFERROR(VLOOKUP($A735,koronahun!$A:$AM,3,FALSE),"")</f>
        <v/>
      </c>
      <c r="D735" t="str">
        <f>IFERROR(VLOOKUP($A735,koronahun!$A:$AM,4,FALSE),"")</f>
        <v/>
      </c>
      <c r="E735" t="str">
        <f>IFERROR(VLOOKUP($A735,koronahun!$A:$AM,5,FALSE),"")</f>
        <v/>
      </c>
      <c r="F735" t="str">
        <f>IFERROR(VLOOKUP($A735,koronahun!$A:$AM,6,FALSE),"")</f>
        <v/>
      </c>
      <c r="G735" s="12" t="str">
        <f>IFERROR(VLOOKUP($A735,koronahun!$A:$AM,7,FALSE),"")</f>
        <v/>
      </c>
      <c r="H735" t="str">
        <f>IFERROR(VLOOKUP($A735,koronahun!$A:$AM,8,FALSE),"")</f>
        <v/>
      </c>
      <c r="I735" s="13" t="str">
        <f>IFERROR(VLOOKUP($A735,koronahun!$A:$AM,9,FALSE),"")</f>
        <v/>
      </c>
      <c r="J735" s="13" t="str">
        <f>IFERROR(VLOOKUP($A735,koronahun!$A:$AM,10,FALSE),"")</f>
        <v/>
      </c>
      <c r="K735" s="13" t="str">
        <f>IFERROR(VLOOKUP($A735,koronahun!$A:$AM,11,FALSE),"")</f>
        <v/>
      </c>
      <c r="L735" t="str">
        <f>IFERROR(VLOOKUP($A735,koronahun!$A:$AM,12,FALSE),"")</f>
        <v/>
      </c>
      <c r="M735" s="13" t="str">
        <f>IFERROR(VLOOKUP($A735,koronahun!$A:$AM,13,FALSE),"")</f>
        <v/>
      </c>
      <c r="N735" s="13" t="str">
        <f>IFERROR(VLOOKUP($A735,koronahun!$A:$AM,14,FALSE),"")</f>
        <v/>
      </c>
      <c r="O735" t="str">
        <f>IFERROR(VLOOKUP($A735,koronahun!$A:$AM,15,FALSE),"")</f>
        <v/>
      </c>
      <c r="P735" t="str">
        <f>IFERROR(VLOOKUP($A735,koronahun!$A:$AM,16,FALSE),"")</f>
        <v/>
      </c>
      <c r="Q735" s="13" t="str">
        <f>IFERROR(VLOOKUP($A735,koronahun!$A:$AM,17,FALSE),"")</f>
        <v/>
      </c>
      <c r="R735" t="str">
        <f>IFERROR(VLOOKUP($A735,koronahun!$A:$AM,18,FALSE),"")</f>
        <v/>
      </c>
      <c r="S735" t="str">
        <f>IFERROR(VLOOKUP($A735,koronahun!$A:$AM,19,FALSE),"")</f>
        <v/>
      </c>
      <c r="T735" t="str">
        <f>IFERROR(VLOOKUP($A735,koronahun!$A:$AM,20,FALSE),"")</f>
        <v/>
      </c>
      <c r="U735" t="str">
        <f>IFERROR(VLOOKUP($A735,koronahun!$A:$AM,21,FALSE),"")</f>
        <v/>
      </c>
      <c r="V735" s="13" t="str">
        <f>IFERROR(VLOOKUP($A735,koronahun!$A:$AM,22,FALSE),"")</f>
        <v/>
      </c>
      <c r="W735" t="str">
        <f>IFERROR(VLOOKUP($A735,koronahun!$A:$AM,23,FALSE),"")</f>
        <v/>
      </c>
      <c r="X735" t="str">
        <f>IFERROR(VLOOKUP($A735,koronahun!$A:$AM,24,FALSE),"")</f>
        <v/>
      </c>
      <c r="Y735" s="14" t="str">
        <f>IFERROR(VLOOKUP($A735,koronahun!$A:$AM,25,FALSE),"")</f>
        <v/>
      </c>
      <c r="Z735" s="14" t="str">
        <f>IFERROR(VLOOKUP($A735,koronahun!$A:$AM,26,FALSE),"")</f>
        <v/>
      </c>
      <c r="AA735" s="14" t="str">
        <f>IFERROR(VLOOKUP($A735,koronahun!$A:$AM,27,FALSE),"")</f>
        <v/>
      </c>
      <c r="AB735" s="14" t="str">
        <f>IFERROR(VLOOKUP($A735,koronahun!$A:$AM,28,FALSE),"")</f>
        <v/>
      </c>
      <c r="AC735" s="14" t="str">
        <f>IFERROR(VLOOKUP($A735,koronahun!$A:$AM,29,FALSE),"")</f>
        <v/>
      </c>
      <c r="AD735" s="14" t="str">
        <f>IFERROR(VLOOKUP($A735,koronahun!$A:$AM,30,FALSE),"")</f>
        <v/>
      </c>
      <c r="AE735" s="14" t="str">
        <f>IFERROR(VLOOKUP($A735,koronahun!$A:$AM,31,FALSE),"")</f>
        <v/>
      </c>
      <c r="AF735" s="13" t="str">
        <f>IFERROR(VLOOKUP($A735,koronahun!$A:$AM,32,FALSE),"")</f>
        <v/>
      </c>
      <c r="AG735" t="str">
        <f>IFERROR(VLOOKUP($A735,koronahun!$A:$AM,33,FALSE),"")</f>
        <v/>
      </c>
      <c r="AH735" t="str">
        <f>IFERROR(VLOOKUP($A735,koronahun!$A:$AM,34,FALSE),"")</f>
        <v/>
      </c>
      <c r="AI735" t="str">
        <f>IFERROR(VLOOKUP($A735,koronahun!$A:$AM,35,FALSE),"")</f>
        <v/>
      </c>
      <c r="AJ735" t="str">
        <f>IFERROR(VLOOKUP($A735,koronahun!$A:$AM,36,FALSE),"")</f>
        <v/>
      </c>
      <c r="AK735" t="str">
        <f>IFERROR(VLOOKUP($A735,koronahun!$A:$AM,37,FALSE),"")</f>
        <v/>
      </c>
      <c r="AL735" t="str">
        <f>IFERROR(VLOOKUP($A735,koronahun!$A:$AM,38,FALSE),"")</f>
        <v/>
      </c>
      <c r="AM735" s="14" t="str">
        <f>IFERROR(VLOOKUP($A735,koronahun!$A:$AM,39,FALSE),"")</f>
        <v/>
      </c>
      <c r="AN735" s="11">
        <f ca="1">IFERROR(__xludf.DUMMYFUNCTION("""COMPUTED_VALUE"""),44627)</f>
        <v>44627</v>
      </c>
      <c r="AO735" s="12">
        <f ca="1">IFERROR(VLOOKUP(AN735,koronahun!A:B,2,FALSE),"")</f>
        <v>1805898</v>
      </c>
      <c r="AP735" s="11">
        <f t="shared" ca="1" si="4"/>
        <v>44627</v>
      </c>
      <c r="AQ735" s="11"/>
      <c r="AR735" s="11"/>
      <c r="AS735" s="11"/>
      <c r="AT735" s="11"/>
    </row>
    <row r="736" spans="1:46" ht="13">
      <c r="A736" s="11"/>
      <c r="B736" t="str">
        <f>IFERROR(VLOOKUP($A736,koronahun!$A:$AM,2,FALSE),"")</f>
        <v/>
      </c>
      <c r="C736" t="str">
        <f>IFERROR(VLOOKUP($A736,koronahun!$A:$AM,3,FALSE),"")</f>
        <v/>
      </c>
      <c r="D736" t="str">
        <f>IFERROR(VLOOKUP($A736,koronahun!$A:$AM,4,FALSE),"")</f>
        <v/>
      </c>
      <c r="E736" t="str">
        <f>IFERROR(VLOOKUP($A736,koronahun!$A:$AM,5,FALSE),"")</f>
        <v/>
      </c>
      <c r="F736" t="str">
        <f>IFERROR(VLOOKUP($A736,koronahun!$A:$AM,6,FALSE),"")</f>
        <v/>
      </c>
      <c r="G736" s="12" t="str">
        <f>IFERROR(VLOOKUP($A736,koronahun!$A:$AM,7,FALSE),"")</f>
        <v/>
      </c>
      <c r="H736" t="str">
        <f>IFERROR(VLOOKUP($A736,koronahun!$A:$AM,8,FALSE),"")</f>
        <v/>
      </c>
      <c r="I736" s="13" t="str">
        <f>IFERROR(VLOOKUP($A736,koronahun!$A:$AM,9,FALSE),"")</f>
        <v/>
      </c>
      <c r="J736" s="13" t="str">
        <f>IFERROR(VLOOKUP($A736,koronahun!$A:$AM,10,FALSE),"")</f>
        <v/>
      </c>
      <c r="K736" s="13" t="str">
        <f>IFERROR(VLOOKUP($A736,koronahun!$A:$AM,11,FALSE),"")</f>
        <v/>
      </c>
      <c r="L736" t="str">
        <f>IFERROR(VLOOKUP($A736,koronahun!$A:$AM,12,FALSE),"")</f>
        <v/>
      </c>
      <c r="M736" s="13" t="str">
        <f>IFERROR(VLOOKUP($A736,koronahun!$A:$AM,13,FALSE),"")</f>
        <v/>
      </c>
      <c r="N736" s="13" t="str">
        <f>IFERROR(VLOOKUP($A736,koronahun!$A:$AM,14,FALSE),"")</f>
        <v/>
      </c>
      <c r="O736" t="str">
        <f>IFERROR(VLOOKUP($A736,koronahun!$A:$AM,15,FALSE),"")</f>
        <v/>
      </c>
      <c r="P736" t="str">
        <f>IFERROR(VLOOKUP($A736,koronahun!$A:$AM,16,FALSE),"")</f>
        <v/>
      </c>
      <c r="Q736" s="13" t="str">
        <f>IFERROR(VLOOKUP($A736,koronahun!$A:$AM,17,FALSE),"")</f>
        <v/>
      </c>
      <c r="R736" t="str">
        <f>IFERROR(VLOOKUP($A736,koronahun!$A:$AM,18,FALSE),"")</f>
        <v/>
      </c>
      <c r="S736" t="str">
        <f>IFERROR(VLOOKUP($A736,koronahun!$A:$AM,19,FALSE),"")</f>
        <v/>
      </c>
      <c r="T736" t="str">
        <f>IFERROR(VLOOKUP($A736,koronahun!$A:$AM,20,FALSE),"")</f>
        <v/>
      </c>
      <c r="U736" t="str">
        <f>IFERROR(VLOOKUP($A736,koronahun!$A:$AM,21,FALSE),"")</f>
        <v/>
      </c>
      <c r="V736" s="13" t="str">
        <f>IFERROR(VLOOKUP($A736,koronahun!$A:$AM,22,FALSE),"")</f>
        <v/>
      </c>
      <c r="W736" t="str">
        <f>IFERROR(VLOOKUP($A736,koronahun!$A:$AM,23,FALSE),"")</f>
        <v/>
      </c>
      <c r="X736" t="str">
        <f>IFERROR(VLOOKUP($A736,koronahun!$A:$AM,24,FALSE),"")</f>
        <v/>
      </c>
      <c r="Y736" s="14" t="str">
        <f>IFERROR(VLOOKUP($A736,koronahun!$A:$AM,25,FALSE),"")</f>
        <v/>
      </c>
      <c r="Z736" s="14" t="str">
        <f>IFERROR(VLOOKUP($A736,koronahun!$A:$AM,26,FALSE),"")</f>
        <v/>
      </c>
      <c r="AA736" s="14" t="str">
        <f>IFERROR(VLOOKUP($A736,koronahun!$A:$AM,27,FALSE),"")</f>
        <v/>
      </c>
      <c r="AB736" s="14" t="str">
        <f>IFERROR(VLOOKUP($A736,koronahun!$A:$AM,28,FALSE),"")</f>
        <v/>
      </c>
      <c r="AC736" s="14" t="str">
        <f>IFERROR(VLOOKUP($A736,koronahun!$A:$AM,29,FALSE),"")</f>
        <v/>
      </c>
      <c r="AD736" s="14" t="str">
        <f>IFERROR(VLOOKUP($A736,koronahun!$A:$AM,30,FALSE),"")</f>
        <v/>
      </c>
      <c r="AE736" s="14" t="str">
        <f>IFERROR(VLOOKUP($A736,koronahun!$A:$AM,31,FALSE),"")</f>
        <v/>
      </c>
      <c r="AF736" s="13" t="str">
        <f>IFERROR(VLOOKUP($A736,koronahun!$A:$AM,32,FALSE),"")</f>
        <v/>
      </c>
      <c r="AG736" t="str">
        <f>IFERROR(VLOOKUP($A736,koronahun!$A:$AM,33,FALSE),"")</f>
        <v/>
      </c>
      <c r="AH736" t="str">
        <f>IFERROR(VLOOKUP($A736,koronahun!$A:$AM,34,FALSE),"")</f>
        <v/>
      </c>
      <c r="AI736" t="str">
        <f>IFERROR(VLOOKUP($A736,koronahun!$A:$AM,35,FALSE),"")</f>
        <v/>
      </c>
      <c r="AJ736" t="str">
        <f>IFERROR(VLOOKUP($A736,koronahun!$A:$AM,36,FALSE),"")</f>
        <v/>
      </c>
      <c r="AK736" t="str">
        <f>IFERROR(VLOOKUP($A736,koronahun!$A:$AM,37,FALSE),"")</f>
        <v/>
      </c>
      <c r="AL736" t="str">
        <f>IFERROR(VLOOKUP($A736,koronahun!$A:$AM,38,FALSE),"")</f>
        <v/>
      </c>
      <c r="AM736" s="14" t="str">
        <f>IFERROR(VLOOKUP($A736,koronahun!$A:$AM,39,FALSE),"")</f>
        <v/>
      </c>
      <c r="AN736" s="11">
        <f ca="1">IFERROR(__xludf.DUMMYFUNCTION("""COMPUTED_VALUE"""),44628)</f>
        <v>44628</v>
      </c>
      <c r="AO736" s="12">
        <f ca="1">IFERROR(VLOOKUP(AN736,koronahun!A:B,2,FALSE),"")</f>
        <v>1807285</v>
      </c>
      <c r="AP736" s="11">
        <f t="shared" ca="1" si="4"/>
        <v>44628</v>
      </c>
      <c r="AQ736" s="11"/>
      <c r="AR736" s="11"/>
      <c r="AS736" s="11"/>
      <c r="AT736" s="11"/>
    </row>
    <row r="737" spans="1:46" ht="13">
      <c r="A737" s="11"/>
      <c r="B737" t="str">
        <f>IFERROR(VLOOKUP($A737,koronahun!$A:$AM,2,FALSE),"")</f>
        <v/>
      </c>
      <c r="C737" t="str">
        <f>IFERROR(VLOOKUP($A737,koronahun!$A:$AM,3,FALSE),"")</f>
        <v/>
      </c>
      <c r="D737" t="str">
        <f>IFERROR(VLOOKUP($A737,koronahun!$A:$AM,4,FALSE),"")</f>
        <v/>
      </c>
      <c r="E737" t="str">
        <f>IFERROR(VLOOKUP($A737,koronahun!$A:$AM,5,FALSE),"")</f>
        <v/>
      </c>
      <c r="F737" t="str">
        <f>IFERROR(VLOOKUP($A737,koronahun!$A:$AM,6,FALSE),"")</f>
        <v/>
      </c>
      <c r="G737" s="12" t="str">
        <f>IFERROR(VLOOKUP($A737,koronahun!$A:$AM,7,FALSE),"")</f>
        <v/>
      </c>
      <c r="H737" t="str">
        <f>IFERROR(VLOOKUP($A737,koronahun!$A:$AM,8,FALSE),"")</f>
        <v/>
      </c>
      <c r="I737" s="13" t="str">
        <f>IFERROR(VLOOKUP($A737,koronahun!$A:$AM,9,FALSE),"")</f>
        <v/>
      </c>
      <c r="J737" s="13" t="str">
        <f>IFERROR(VLOOKUP($A737,koronahun!$A:$AM,10,FALSE),"")</f>
        <v/>
      </c>
      <c r="K737" s="13" t="str">
        <f>IFERROR(VLOOKUP($A737,koronahun!$A:$AM,11,FALSE),"")</f>
        <v/>
      </c>
      <c r="L737" t="str">
        <f>IFERROR(VLOOKUP($A737,koronahun!$A:$AM,12,FALSE),"")</f>
        <v/>
      </c>
      <c r="M737" s="13" t="str">
        <f>IFERROR(VLOOKUP($A737,koronahun!$A:$AM,13,FALSE),"")</f>
        <v/>
      </c>
      <c r="N737" s="13" t="str">
        <f>IFERROR(VLOOKUP($A737,koronahun!$A:$AM,14,FALSE),"")</f>
        <v/>
      </c>
      <c r="O737" t="str">
        <f>IFERROR(VLOOKUP($A737,koronahun!$A:$AM,15,FALSE),"")</f>
        <v/>
      </c>
      <c r="P737" t="str">
        <f>IFERROR(VLOOKUP($A737,koronahun!$A:$AM,16,FALSE),"")</f>
        <v/>
      </c>
      <c r="Q737" s="13" t="str">
        <f>IFERROR(VLOOKUP($A737,koronahun!$A:$AM,17,FALSE),"")</f>
        <v/>
      </c>
      <c r="R737" t="str">
        <f>IFERROR(VLOOKUP($A737,koronahun!$A:$AM,18,FALSE),"")</f>
        <v/>
      </c>
      <c r="S737" t="str">
        <f>IFERROR(VLOOKUP($A737,koronahun!$A:$AM,19,FALSE),"")</f>
        <v/>
      </c>
      <c r="T737" t="str">
        <f>IFERROR(VLOOKUP($A737,koronahun!$A:$AM,20,FALSE),"")</f>
        <v/>
      </c>
      <c r="U737" t="str">
        <f>IFERROR(VLOOKUP($A737,koronahun!$A:$AM,21,FALSE),"")</f>
        <v/>
      </c>
      <c r="V737" s="13" t="str">
        <f>IFERROR(VLOOKUP($A737,koronahun!$A:$AM,22,FALSE),"")</f>
        <v/>
      </c>
      <c r="W737" t="str">
        <f>IFERROR(VLOOKUP($A737,koronahun!$A:$AM,23,FALSE),"")</f>
        <v/>
      </c>
      <c r="X737" t="str">
        <f>IFERROR(VLOOKUP($A737,koronahun!$A:$AM,24,FALSE),"")</f>
        <v/>
      </c>
      <c r="Y737" s="14" t="str">
        <f>IFERROR(VLOOKUP($A737,koronahun!$A:$AM,25,FALSE),"")</f>
        <v/>
      </c>
      <c r="Z737" s="14" t="str">
        <f>IFERROR(VLOOKUP($A737,koronahun!$A:$AM,26,FALSE),"")</f>
        <v/>
      </c>
      <c r="AA737" s="14" t="str">
        <f>IFERROR(VLOOKUP($A737,koronahun!$A:$AM,27,FALSE),"")</f>
        <v/>
      </c>
      <c r="AB737" s="14" t="str">
        <f>IFERROR(VLOOKUP($A737,koronahun!$A:$AM,28,FALSE),"")</f>
        <v/>
      </c>
      <c r="AC737" s="14" t="str">
        <f>IFERROR(VLOOKUP($A737,koronahun!$A:$AM,29,FALSE),"")</f>
        <v/>
      </c>
      <c r="AD737" s="14" t="str">
        <f>IFERROR(VLOOKUP($A737,koronahun!$A:$AM,30,FALSE),"")</f>
        <v/>
      </c>
      <c r="AE737" s="14" t="str">
        <f>IFERROR(VLOOKUP($A737,koronahun!$A:$AM,31,FALSE),"")</f>
        <v/>
      </c>
      <c r="AF737" s="13" t="str">
        <f>IFERROR(VLOOKUP($A737,koronahun!$A:$AM,32,FALSE),"")</f>
        <v/>
      </c>
      <c r="AG737" t="str">
        <f>IFERROR(VLOOKUP($A737,koronahun!$A:$AM,33,FALSE),"")</f>
        <v/>
      </c>
      <c r="AH737" t="str">
        <f>IFERROR(VLOOKUP($A737,koronahun!$A:$AM,34,FALSE),"")</f>
        <v/>
      </c>
      <c r="AI737" t="str">
        <f>IFERROR(VLOOKUP($A737,koronahun!$A:$AM,35,FALSE),"")</f>
        <v/>
      </c>
      <c r="AJ737" t="str">
        <f>IFERROR(VLOOKUP($A737,koronahun!$A:$AM,36,FALSE),"")</f>
        <v/>
      </c>
      <c r="AK737" t="str">
        <f>IFERROR(VLOOKUP($A737,koronahun!$A:$AM,37,FALSE),"")</f>
        <v/>
      </c>
      <c r="AL737" t="str">
        <f>IFERROR(VLOOKUP($A737,koronahun!$A:$AM,38,FALSE),"")</f>
        <v/>
      </c>
      <c r="AM737" s="14" t="str">
        <f>IFERROR(VLOOKUP($A737,koronahun!$A:$AM,39,FALSE),"")</f>
        <v/>
      </c>
      <c r="AN737" s="11">
        <f ca="1">IFERROR(__xludf.DUMMYFUNCTION("""COMPUTED_VALUE"""),44629)</f>
        <v>44629</v>
      </c>
      <c r="AO737" s="12">
        <f ca="1">IFERROR(VLOOKUP(AN737,koronahun!A:B,2,FALSE),"")</f>
        <v>1809917</v>
      </c>
      <c r="AP737" s="11">
        <f t="shared" ca="1" si="4"/>
        <v>44629</v>
      </c>
      <c r="AQ737" s="11"/>
      <c r="AR737" s="11"/>
      <c r="AS737" s="11"/>
      <c r="AT737" s="11"/>
    </row>
    <row r="738" spans="1:46" ht="13">
      <c r="A738" s="11"/>
      <c r="B738" t="str">
        <f>IFERROR(VLOOKUP($A738,koronahun!$A:$AM,2,FALSE),"")</f>
        <v/>
      </c>
      <c r="C738" t="str">
        <f>IFERROR(VLOOKUP($A738,koronahun!$A:$AM,3,FALSE),"")</f>
        <v/>
      </c>
      <c r="D738" t="str">
        <f>IFERROR(VLOOKUP($A738,koronahun!$A:$AM,4,FALSE),"")</f>
        <v/>
      </c>
      <c r="E738" t="str">
        <f>IFERROR(VLOOKUP($A738,koronahun!$A:$AM,5,FALSE),"")</f>
        <v/>
      </c>
      <c r="F738" t="str">
        <f>IFERROR(VLOOKUP($A738,koronahun!$A:$AM,6,FALSE),"")</f>
        <v/>
      </c>
      <c r="G738" s="12" t="str">
        <f>IFERROR(VLOOKUP($A738,koronahun!$A:$AM,7,FALSE),"")</f>
        <v/>
      </c>
      <c r="H738" t="str">
        <f>IFERROR(VLOOKUP($A738,koronahun!$A:$AM,8,FALSE),"")</f>
        <v/>
      </c>
      <c r="I738" s="13" t="str">
        <f>IFERROR(VLOOKUP($A738,koronahun!$A:$AM,9,FALSE),"")</f>
        <v/>
      </c>
      <c r="J738" s="13" t="str">
        <f>IFERROR(VLOOKUP($A738,koronahun!$A:$AM,10,FALSE),"")</f>
        <v/>
      </c>
      <c r="K738" s="13" t="str">
        <f>IFERROR(VLOOKUP($A738,koronahun!$A:$AM,11,FALSE),"")</f>
        <v/>
      </c>
      <c r="L738" t="str">
        <f>IFERROR(VLOOKUP($A738,koronahun!$A:$AM,12,FALSE),"")</f>
        <v/>
      </c>
      <c r="M738" s="13" t="str">
        <f>IFERROR(VLOOKUP($A738,koronahun!$A:$AM,13,FALSE),"")</f>
        <v/>
      </c>
      <c r="N738" s="13" t="str">
        <f>IFERROR(VLOOKUP($A738,koronahun!$A:$AM,14,FALSE),"")</f>
        <v/>
      </c>
      <c r="O738" t="str">
        <f>IFERROR(VLOOKUP($A738,koronahun!$A:$AM,15,FALSE),"")</f>
        <v/>
      </c>
      <c r="P738" t="str">
        <f>IFERROR(VLOOKUP($A738,koronahun!$A:$AM,16,FALSE),"")</f>
        <v/>
      </c>
      <c r="Q738" s="13" t="str">
        <f>IFERROR(VLOOKUP($A738,koronahun!$A:$AM,17,FALSE),"")</f>
        <v/>
      </c>
      <c r="R738" t="str">
        <f>IFERROR(VLOOKUP($A738,koronahun!$A:$AM,18,FALSE),"")</f>
        <v/>
      </c>
      <c r="S738" t="str">
        <f>IFERROR(VLOOKUP($A738,koronahun!$A:$AM,19,FALSE),"")</f>
        <v/>
      </c>
      <c r="T738" t="str">
        <f>IFERROR(VLOOKUP($A738,koronahun!$A:$AM,20,FALSE),"")</f>
        <v/>
      </c>
      <c r="U738" t="str">
        <f>IFERROR(VLOOKUP($A738,koronahun!$A:$AM,21,FALSE),"")</f>
        <v/>
      </c>
      <c r="V738" s="13" t="str">
        <f>IFERROR(VLOOKUP($A738,koronahun!$A:$AM,22,FALSE),"")</f>
        <v/>
      </c>
      <c r="W738" t="str">
        <f>IFERROR(VLOOKUP($A738,koronahun!$A:$AM,23,FALSE),"")</f>
        <v/>
      </c>
      <c r="X738" t="str">
        <f>IFERROR(VLOOKUP($A738,koronahun!$A:$AM,24,FALSE),"")</f>
        <v/>
      </c>
      <c r="Y738" s="14" t="str">
        <f>IFERROR(VLOOKUP($A738,koronahun!$A:$AM,25,FALSE),"")</f>
        <v/>
      </c>
      <c r="Z738" s="14" t="str">
        <f>IFERROR(VLOOKUP($A738,koronahun!$A:$AM,26,FALSE),"")</f>
        <v/>
      </c>
      <c r="AA738" s="14" t="str">
        <f>IFERROR(VLOOKUP($A738,koronahun!$A:$AM,27,FALSE),"")</f>
        <v/>
      </c>
      <c r="AB738" s="14" t="str">
        <f>IFERROR(VLOOKUP($A738,koronahun!$A:$AM,28,FALSE),"")</f>
        <v/>
      </c>
      <c r="AC738" s="14" t="str">
        <f>IFERROR(VLOOKUP($A738,koronahun!$A:$AM,29,FALSE),"")</f>
        <v/>
      </c>
      <c r="AD738" s="14" t="str">
        <f>IFERROR(VLOOKUP($A738,koronahun!$A:$AM,30,FALSE),"")</f>
        <v/>
      </c>
      <c r="AE738" s="14" t="str">
        <f>IFERROR(VLOOKUP($A738,koronahun!$A:$AM,31,FALSE),"")</f>
        <v/>
      </c>
      <c r="AF738" s="13" t="str">
        <f>IFERROR(VLOOKUP($A738,koronahun!$A:$AM,32,FALSE),"")</f>
        <v/>
      </c>
      <c r="AG738" t="str">
        <f>IFERROR(VLOOKUP($A738,koronahun!$A:$AM,33,FALSE),"")</f>
        <v/>
      </c>
      <c r="AH738" t="str">
        <f>IFERROR(VLOOKUP($A738,koronahun!$A:$AM,34,FALSE),"")</f>
        <v/>
      </c>
      <c r="AI738" t="str">
        <f>IFERROR(VLOOKUP($A738,koronahun!$A:$AM,35,FALSE),"")</f>
        <v/>
      </c>
      <c r="AJ738" t="str">
        <f>IFERROR(VLOOKUP($A738,koronahun!$A:$AM,36,FALSE),"")</f>
        <v/>
      </c>
      <c r="AK738" t="str">
        <f>IFERROR(VLOOKUP($A738,koronahun!$A:$AM,37,FALSE),"")</f>
        <v/>
      </c>
      <c r="AL738" t="str">
        <f>IFERROR(VLOOKUP($A738,koronahun!$A:$AM,38,FALSE),"")</f>
        <v/>
      </c>
      <c r="AM738" s="14" t="str">
        <f>IFERROR(VLOOKUP($A738,koronahun!$A:$AM,39,FALSE),"")</f>
        <v/>
      </c>
      <c r="AN738" s="11">
        <f ca="1">IFERROR(__xludf.DUMMYFUNCTION("""COMPUTED_VALUE"""),44630)</f>
        <v>44630</v>
      </c>
      <c r="AO738" s="12">
        <f ca="1">IFERROR(VLOOKUP(AN738,koronahun!A:B,2,FALSE),"")</f>
        <v>1812294</v>
      </c>
      <c r="AP738" s="11">
        <f t="shared" ca="1" si="4"/>
        <v>44630</v>
      </c>
      <c r="AQ738" s="11"/>
      <c r="AR738" s="11"/>
      <c r="AS738" s="11"/>
      <c r="AT738" s="11"/>
    </row>
    <row r="739" spans="1:46" ht="13">
      <c r="A739" s="11"/>
      <c r="B739" t="str">
        <f>IFERROR(VLOOKUP($A739,koronahun!$A:$AM,2,FALSE),"")</f>
        <v/>
      </c>
      <c r="C739" t="str">
        <f>IFERROR(VLOOKUP($A739,koronahun!$A:$AM,3,FALSE),"")</f>
        <v/>
      </c>
      <c r="D739" t="str">
        <f>IFERROR(VLOOKUP($A739,koronahun!$A:$AM,4,FALSE),"")</f>
        <v/>
      </c>
      <c r="E739" t="str">
        <f>IFERROR(VLOOKUP($A739,koronahun!$A:$AM,5,FALSE),"")</f>
        <v/>
      </c>
      <c r="F739" t="str">
        <f>IFERROR(VLOOKUP($A739,koronahun!$A:$AM,6,FALSE),"")</f>
        <v/>
      </c>
      <c r="G739" s="12" t="str">
        <f>IFERROR(VLOOKUP($A739,koronahun!$A:$AM,7,FALSE),"")</f>
        <v/>
      </c>
      <c r="H739" t="str">
        <f>IFERROR(VLOOKUP($A739,koronahun!$A:$AM,8,FALSE),"")</f>
        <v/>
      </c>
      <c r="I739" s="13" t="str">
        <f>IFERROR(VLOOKUP($A739,koronahun!$A:$AM,9,FALSE),"")</f>
        <v/>
      </c>
      <c r="J739" s="13" t="str">
        <f>IFERROR(VLOOKUP($A739,koronahun!$A:$AM,10,FALSE),"")</f>
        <v/>
      </c>
      <c r="K739" s="13" t="str">
        <f>IFERROR(VLOOKUP($A739,koronahun!$A:$AM,11,FALSE),"")</f>
        <v/>
      </c>
      <c r="L739" t="str">
        <f>IFERROR(VLOOKUP($A739,koronahun!$A:$AM,12,FALSE),"")</f>
        <v/>
      </c>
      <c r="M739" s="13" t="str">
        <f>IFERROR(VLOOKUP($A739,koronahun!$A:$AM,13,FALSE),"")</f>
        <v/>
      </c>
      <c r="N739" s="13" t="str">
        <f>IFERROR(VLOOKUP($A739,koronahun!$A:$AM,14,FALSE),"")</f>
        <v/>
      </c>
      <c r="O739" t="str">
        <f>IFERROR(VLOOKUP($A739,koronahun!$A:$AM,15,FALSE),"")</f>
        <v/>
      </c>
      <c r="P739" t="str">
        <f>IFERROR(VLOOKUP($A739,koronahun!$A:$AM,16,FALSE),"")</f>
        <v/>
      </c>
      <c r="Q739" s="13" t="str">
        <f>IFERROR(VLOOKUP($A739,koronahun!$A:$AM,17,FALSE),"")</f>
        <v/>
      </c>
      <c r="R739" t="str">
        <f>IFERROR(VLOOKUP($A739,koronahun!$A:$AM,18,FALSE),"")</f>
        <v/>
      </c>
      <c r="S739" t="str">
        <f>IFERROR(VLOOKUP($A739,koronahun!$A:$AM,19,FALSE),"")</f>
        <v/>
      </c>
      <c r="T739" t="str">
        <f>IFERROR(VLOOKUP($A739,koronahun!$A:$AM,20,FALSE),"")</f>
        <v/>
      </c>
      <c r="U739" t="str">
        <f>IFERROR(VLOOKUP($A739,koronahun!$A:$AM,21,FALSE),"")</f>
        <v/>
      </c>
      <c r="V739" s="13" t="str">
        <f>IFERROR(VLOOKUP($A739,koronahun!$A:$AM,22,FALSE),"")</f>
        <v/>
      </c>
      <c r="W739" t="str">
        <f>IFERROR(VLOOKUP($A739,koronahun!$A:$AM,23,FALSE),"")</f>
        <v/>
      </c>
      <c r="X739" t="str">
        <f>IFERROR(VLOOKUP($A739,koronahun!$A:$AM,24,FALSE),"")</f>
        <v/>
      </c>
      <c r="Y739" s="14" t="str">
        <f>IFERROR(VLOOKUP($A739,koronahun!$A:$AM,25,FALSE),"")</f>
        <v/>
      </c>
      <c r="Z739" s="14" t="str">
        <f>IFERROR(VLOOKUP($A739,koronahun!$A:$AM,26,FALSE),"")</f>
        <v/>
      </c>
      <c r="AA739" s="14" t="str">
        <f>IFERROR(VLOOKUP($A739,koronahun!$A:$AM,27,FALSE),"")</f>
        <v/>
      </c>
      <c r="AB739" s="14" t="str">
        <f>IFERROR(VLOOKUP($A739,koronahun!$A:$AM,28,FALSE),"")</f>
        <v/>
      </c>
      <c r="AC739" s="14" t="str">
        <f>IFERROR(VLOOKUP($A739,koronahun!$A:$AM,29,FALSE),"")</f>
        <v/>
      </c>
      <c r="AD739" s="14" t="str">
        <f>IFERROR(VLOOKUP($A739,koronahun!$A:$AM,30,FALSE),"")</f>
        <v/>
      </c>
      <c r="AE739" s="14" t="str">
        <f>IFERROR(VLOOKUP($A739,koronahun!$A:$AM,31,FALSE),"")</f>
        <v/>
      </c>
      <c r="AF739" s="13" t="str">
        <f>IFERROR(VLOOKUP($A739,koronahun!$A:$AM,32,FALSE),"")</f>
        <v/>
      </c>
      <c r="AG739" t="str">
        <f>IFERROR(VLOOKUP($A739,koronahun!$A:$AM,33,FALSE),"")</f>
        <v/>
      </c>
      <c r="AH739" t="str">
        <f>IFERROR(VLOOKUP($A739,koronahun!$A:$AM,34,FALSE),"")</f>
        <v/>
      </c>
      <c r="AI739" t="str">
        <f>IFERROR(VLOOKUP($A739,koronahun!$A:$AM,35,FALSE),"")</f>
        <v/>
      </c>
      <c r="AJ739" t="str">
        <f>IFERROR(VLOOKUP($A739,koronahun!$A:$AM,36,FALSE),"")</f>
        <v/>
      </c>
      <c r="AK739" t="str">
        <f>IFERROR(VLOOKUP($A739,koronahun!$A:$AM,37,FALSE),"")</f>
        <v/>
      </c>
      <c r="AL739" t="str">
        <f>IFERROR(VLOOKUP($A739,koronahun!$A:$AM,38,FALSE),"")</f>
        <v/>
      </c>
      <c r="AM739" s="14" t="str">
        <f>IFERROR(VLOOKUP($A739,koronahun!$A:$AM,39,FALSE),"")</f>
        <v/>
      </c>
      <c r="AN739" s="11">
        <f ca="1">IFERROR(__xludf.DUMMYFUNCTION("""COMPUTED_VALUE"""),44631)</f>
        <v>44631</v>
      </c>
      <c r="AO739" s="12">
        <f ca="1">IFERROR(VLOOKUP(AN739,koronahun!A:B,2,FALSE),"")</f>
        <v>1814362</v>
      </c>
      <c r="AP739" s="11">
        <f t="shared" ca="1" si="4"/>
        <v>44631</v>
      </c>
      <c r="AQ739" s="11"/>
      <c r="AR739" s="11"/>
      <c r="AS739" s="11"/>
      <c r="AT739" s="11"/>
    </row>
    <row r="740" spans="1:46" ht="13">
      <c r="A740" s="11"/>
      <c r="B740" t="str">
        <f>IFERROR(VLOOKUP($A740,koronahun!$A:$AM,2,FALSE),"")</f>
        <v/>
      </c>
      <c r="C740" t="str">
        <f>IFERROR(VLOOKUP($A740,koronahun!$A:$AM,3,FALSE),"")</f>
        <v/>
      </c>
      <c r="D740" t="str">
        <f>IFERROR(VLOOKUP($A740,koronahun!$A:$AM,4,FALSE),"")</f>
        <v/>
      </c>
      <c r="E740" t="str">
        <f>IFERROR(VLOOKUP($A740,koronahun!$A:$AM,5,FALSE),"")</f>
        <v/>
      </c>
      <c r="F740" t="str">
        <f>IFERROR(VLOOKUP($A740,koronahun!$A:$AM,6,FALSE),"")</f>
        <v/>
      </c>
      <c r="G740" s="12" t="str">
        <f>IFERROR(VLOOKUP($A740,koronahun!$A:$AM,7,FALSE),"")</f>
        <v/>
      </c>
      <c r="H740" t="str">
        <f>IFERROR(VLOOKUP($A740,koronahun!$A:$AM,8,FALSE),"")</f>
        <v/>
      </c>
      <c r="I740" s="13" t="str">
        <f>IFERROR(VLOOKUP($A740,koronahun!$A:$AM,9,FALSE),"")</f>
        <v/>
      </c>
      <c r="J740" s="13" t="str">
        <f>IFERROR(VLOOKUP($A740,koronahun!$A:$AM,10,FALSE),"")</f>
        <v/>
      </c>
      <c r="K740" s="13" t="str">
        <f>IFERROR(VLOOKUP($A740,koronahun!$A:$AM,11,FALSE),"")</f>
        <v/>
      </c>
      <c r="L740" t="str">
        <f>IFERROR(VLOOKUP($A740,koronahun!$A:$AM,12,FALSE),"")</f>
        <v/>
      </c>
      <c r="M740" s="13" t="str">
        <f>IFERROR(VLOOKUP($A740,koronahun!$A:$AM,13,FALSE),"")</f>
        <v/>
      </c>
      <c r="N740" s="13" t="str">
        <f>IFERROR(VLOOKUP($A740,koronahun!$A:$AM,14,FALSE),"")</f>
        <v/>
      </c>
      <c r="O740" t="str">
        <f>IFERROR(VLOOKUP($A740,koronahun!$A:$AM,15,FALSE),"")</f>
        <v/>
      </c>
      <c r="P740" t="str">
        <f>IFERROR(VLOOKUP($A740,koronahun!$A:$AM,16,FALSE),"")</f>
        <v/>
      </c>
      <c r="Q740" s="13" t="str">
        <f>IFERROR(VLOOKUP($A740,koronahun!$A:$AM,17,FALSE),"")</f>
        <v/>
      </c>
      <c r="R740" t="str">
        <f>IFERROR(VLOOKUP($A740,koronahun!$A:$AM,18,FALSE),"")</f>
        <v/>
      </c>
      <c r="S740" t="str">
        <f>IFERROR(VLOOKUP($A740,koronahun!$A:$AM,19,FALSE),"")</f>
        <v/>
      </c>
      <c r="T740" t="str">
        <f>IFERROR(VLOOKUP($A740,koronahun!$A:$AM,20,FALSE),"")</f>
        <v/>
      </c>
      <c r="U740" t="str">
        <f>IFERROR(VLOOKUP($A740,koronahun!$A:$AM,21,FALSE),"")</f>
        <v/>
      </c>
      <c r="V740" s="13" t="str">
        <f>IFERROR(VLOOKUP($A740,koronahun!$A:$AM,22,FALSE),"")</f>
        <v/>
      </c>
      <c r="W740" t="str">
        <f>IFERROR(VLOOKUP($A740,koronahun!$A:$AM,23,FALSE),"")</f>
        <v/>
      </c>
      <c r="X740" t="str">
        <f>IFERROR(VLOOKUP($A740,koronahun!$A:$AM,24,FALSE),"")</f>
        <v/>
      </c>
      <c r="Y740" s="14" t="str">
        <f>IFERROR(VLOOKUP($A740,koronahun!$A:$AM,25,FALSE),"")</f>
        <v/>
      </c>
      <c r="Z740" s="14" t="str">
        <f>IFERROR(VLOOKUP($A740,koronahun!$A:$AM,26,FALSE),"")</f>
        <v/>
      </c>
      <c r="AA740" s="14" t="str">
        <f>IFERROR(VLOOKUP($A740,koronahun!$A:$AM,27,FALSE),"")</f>
        <v/>
      </c>
      <c r="AB740" s="14" t="str">
        <f>IFERROR(VLOOKUP($A740,koronahun!$A:$AM,28,FALSE),"")</f>
        <v/>
      </c>
      <c r="AC740" s="14" t="str">
        <f>IFERROR(VLOOKUP($A740,koronahun!$A:$AM,29,FALSE),"")</f>
        <v/>
      </c>
      <c r="AD740" s="14" t="str">
        <f>IFERROR(VLOOKUP($A740,koronahun!$A:$AM,30,FALSE),"")</f>
        <v/>
      </c>
      <c r="AE740" s="14" t="str">
        <f>IFERROR(VLOOKUP($A740,koronahun!$A:$AM,31,FALSE),"")</f>
        <v/>
      </c>
      <c r="AF740" s="13" t="str">
        <f>IFERROR(VLOOKUP($A740,koronahun!$A:$AM,32,FALSE),"")</f>
        <v/>
      </c>
      <c r="AG740" t="str">
        <f>IFERROR(VLOOKUP($A740,koronahun!$A:$AM,33,FALSE),"")</f>
        <v/>
      </c>
      <c r="AH740" t="str">
        <f>IFERROR(VLOOKUP($A740,koronahun!$A:$AM,34,FALSE),"")</f>
        <v/>
      </c>
      <c r="AI740" t="str">
        <f>IFERROR(VLOOKUP($A740,koronahun!$A:$AM,35,FALSE),"")</f>
        <v/>
      </c>
      <c r="AJ740" t="str">
        <f>IFERROR(VLOOKUP($A740,koronahun!$A:$AM,36,FALSE),"")</f>
        <v/>
      </c>
      <c r="AK740" t="str">
        <f>IFERROR(VLOOKUP($A740,koronahun!$A:$AM,37,FALSE),"")</f>
        <v/>
      </c>
      <c r="AL740" t="str">
        <f>IFERROR(VLOOKUP($A740,koronahun!$A:$AM,38,FALSE),"")</f>
        <v/>
      </c>
      <c r="AM740" s="14" t="str">
        <f>IFERROR(VLOOKUP($A740,koronahun!$A:$AM,39,FALSE),"")</f>
        <v/>
      </c>
      <c r="AN740" s="11">
        <f ca="1">IFERROR(__xludf.DUMMYFUNCTION("""COMPUTED_VALUE"""),44632)</f>
        <v>44632</v>
      </c>
      <c r="AO740" s="12">
        <f ca="1">IFERROR(VLOOKUP(AN740,koronahun!A:B,2,FALSE),"")</f>
        <v>0</v>
      </c>
      <c r="AP740" s="11">
        <f t="shared" ca="1" si="4"/>
        <v>44632</v>
      </c>
      <c r="AQ740" s="11"/>
      <c r="AR740" s="11"/>
      <c r="AS740" s="11"/>
      <c r="AT740" s="11"/>
    </row>
    <row r="741" spans="1:46" ht="13">
      <c r="A741" s="11"/>
      <c r="B741" t="str">
        <f>IFERROR(VLOOKUP($A741,koronahun!$A:$AM,2,FALSE),"")</f>
        <v/>
      </c>
      <c r="C741" t="str">
        <f>IFERROR(VLOOKUP($A741,koronahun!$A:$AM,3,FALSE),"")</f>
        <v/>
      </c>
      <c r="D741" t="str">
        <f>IFERROR(VLOOKUP($A741,koronahun!$A:$AM,4,FALSE),"")</f>
        <v/>
      </c>
      <c r="E741" t="str">
        <f>IFERROR(VLOOKUP($A741,koronahun!$A:$AM,5,FALSE),"")</f>
        <v/>
      </c>
      <c r="F741" t="str">
        <f>IFERROR(VLOOKUP($A741,koronahun!$A:$AM,6,FALSE),"")</f>
        <v/>
      </c>
      <c r="G741" s="12" t="str">
        <f>IFERROR(VLOOKUP($A741,koronahun!$A:$AM,7,FALSE),"")</f>
        <v/>
      </c>
      <c r="H741" t="str">
        <f>IFERROR(VLOOKUP($A741,koronahun!$A:$AM,8,FALSE),"")</f>
        <v/>
      </c>
      <c r="I741" s="13" t="str">
        <f>IFERROR(VLOOKUP($A741,koronahun!$A:$AM,9,FALSE),"")</f>
        <v/>
      </c>
      <c r="J741" s="13" t="str">
        <f>IFERROR(VLOOKUP($A741,koronahun!$A:$AM,10,FALSE),"")</f>
        <v/>
      </c>
      <c r="K741" s="13" t="str">
        <f>IFERROR(VLOOKUP($A741,koronahun!$A:$AM,11,FALSE),"")</f>
        <v/>
      </c>
      <c r="L741" t="str">
        <f>IFERROR(VLOOKUP($A741,koronahun!$A:$AM,12,FALSE),"")</f>
        <v/>
      </c>
      <c r="M741" s="13" t="str">
        <f>IFERROR(VLOOKUP($A741,koronahun!$A:$AM,13,FALSE),"")</f>
        <v/>
      </c>
      <c r="N741" s="13" t="str">
        <f>IFERROR(VLOOKUP($A741,koronahun!$A:$AM,14,FALSE),"")</f>
        <v/>
      </c>
      <c r="O741" t="str">
        <f>IFERROR(VLOOKUP($A741,koronahun!$A:$AM,15,FALSE),"")</f>
        <v/>
      </c>
      <c r="P741" t="str">
        <f>IFERROR(VLOOKUP($A741,koronahun!$A:$AM,16,FALSE),"")</f>
        <v/>
      </c>
      <c r="Q741" s="13" t="str">
        <f>IFERROR(VLOOKUP($A741,koronahun!$A:$AM,17,FALSE),"")</f>
        <v/>
      </c>
      <c r="R741" t="str">
        <f>IFERROR(VLOOKUP($A741,koronahun!$A:$AM,18,FALSE),"")</f>
        <v/>
      </c>
      <c r="S741" t="str">
        <f>IFERROR(VLOOKUP($A741,koronahun!$A:$AM,19,FALSE),"")</f>
        <v/>
      </c>
      <c r="T741" t="str">
        <f>IFERROR(VLOOKUP($A741,koronahun!$A:$AM,20,FALSE),"")</f>
        <v/>
      </c>
      <c r="U741" t="str">
        <f>IFERROR(VLOOKUP($A741,koronahun!$A:$AM,21,FALSE),"")</f>
        <v/>
      </c>
      <c r="V741" s="13" t="str">
        <f>IFERROR(VLOOKUP($A741,koronahun!$A:$AM,22,FALSE),"")</f>
        <v/>
      </c>
      <c r="W741" t="str">
        <f>IFERROR(VLOOKUP($A741,koronahun!$A:$AM,23,FALSE),"")</f>
        <v/>
      </c>
      <c r="X741" t="str">
        <f>IFERROR(VLOOKUP($A741,koronahun!$A:$AM,24,FALSE),"")</f>
        <v/>
      </c>
      <c r="Y741" s="14" t="str">
        <f>IFERROR(VLOOKUP($A741,koronahun!$A:$AM,25,FALSE),"")</f>
        <v/>
      </c>
      <c r="Z741" s="14" t="str">
        <f>IFERROR(VLOOKUP($A741,koronahun!$A:$AM,26,FALSE),"")</f>
        <v/>
      </c>
      <c r="AA741" s="14" t="str">
        <f>IFERROR(VLOOKUP($A741,koronahun!$A:$AM,27,FALSE),"")</f>
        <v/>
      </c>
      <c r="AB741" s="14" t="str">
        <f>IFERROR(VLOOKUP($A741,koronahun!$A:$AM,28,FALSE),"")</f>
        <v/>
      </c>
      <c r="AC741" s="14" t="str">
        <f>IFERROR(VLOOKUP($A741,koronahun!$A:$AM,29,FALSE),"")</f>
        <v/>
      </c>
      <c r="AD741" s="14" t="str">
        <f>IFERROR(VLOOKUP($A741,koronahun!$A:$AM,30,FALSE),"")</f>
        <v/>
      </c>
      <c r="AE741" s="14" t="str">
        <f>IFERROR(VLOOKUP($A741,koronahun!$A:$AM,31,FALSE),"")</f>
        <v/>
      </c>
      <c r="AF741" s="13" t="str">
        <f>IFERROR(VLOOKUP($A741,koronahun!$A:$AM,32,FALSE),"")</f>
        <v/>
      </c>
      <c r="AG741" t="str">
        <f>IFERROR(VLOOKUP($A741,koronahun!$A:$AM,33,FALSE),"")</f>
        <v/>
      </c>
      <c r="AH741" t="str">
        <f>IFERROR(VLOOKUP($A741,koronahun!$A:$AM,34,FALSE),"")</f>
        <v/>
      </c>
      <c r="AI741" t="str">
        <f>IFERROR(VLOOKUP($A741,koronahun!$A:$AM,35,FALSE),"")</f>
        <v/>
      </c>
      <c r="AJ741" t="str">
        <f>IFERROR(VLOOKUP($A741,koronahun!$A:$AM,36,FALSE),"")</f>
        <v/>
      </c>
      <c r="AK741" t="str">
        <f>IFERROR(VLOOKUP($A741,koronahun!$A:$AM,37,FALSE),"")</f>
        <v/>
      </c>
      <c r="AL741" t="str">
        <f>IFERROR(VLOOKUP($A741,koronahun!$A:$AM,38,FALSE),"")</f>
        <v/>
      </c>
      <c r="AM741" s="14" t="str">
        <f>IFERROR(VLOOKUP($A741,koronahun!$A:$AM,39,FALSE),"")</f>
        <v/>
      </c>
      <c r="AN741" s="11">
        <f ca="1">IFERROR(__xludf.DUMMYFUNCTION("""COMPUTED_VALUE"""),44633)</f>
        <v>44633</v>
      </c>
      <c r="AO741" s="12">
        <f ca="1">IFERROR(VLOOKUP(AN741,koronahun!A:B,2,FALSE),"")</f>
        <v>0</v>
      </c>
      <c r="AP741" s="11">
        <f t="shared" ca="1" si="4"/>
        <v>44633</v>
      </c>
      <c r="AQ741" s="11"/>
      <c r="AR741" s="11"/>
      <c r="AS741" s="11"/>
      <c r="AT741" s="11"/>
    </row>
    <row r="742" spans="1:46" ht="13">
      <c r="A742" s="11"/>
      <c r="B742" t="str">
        <f>IFERROR(VLOOKUP($A742,koronahun!$A:$AM,2,FALSE),"")</f>
        <v/>
      </c>
      <c r="C742" t="str">
        <f>IFERROR(VLOOKUP($A742,koronahun!$A:$AM,3,FALSE),"")</f>
        <v/>
      </c>
      <c r="D742" t="str">
        <f>IFERROR(VLOOKUP($A742,koronahun!$A:$AM,4,FALSE),"")</f>
        <v/>
      </c>
      <c r="E742" t="str">
        <f>IFERROR(VLOOKUP($A742,koronahun!$A:$AM,5,FALSE),"")</f>
        <v/>
      </c>
      <c r="F742" t="str">
        <f>IFERROR(VLOOKUP($A742,koronahun!$A:$AM,6,FALSE),"")</f>
        <v/>
      </c>
      <c r="G742" s="12" t="str">
        <f>IFERROR(VLOOKUP($A742,koronahun!$A:$AM,7,FALSE),"")</f>
        <v/>
      </c>
      <c r="H742" t="str">
        <f>IFERROR(VLOOKUP($A742,koronahun!$A:$AM,8,FALSE),"")</f>
        <v/>
      </c>
      <c r="I742" s="13" t="str">
        <f>IFERROR(VLOOKUP($A742,koronahun!$A:$AM,9,FALSE),"")</f>
        <v/>
      </c>
      <c r="J742" s="13" t="str">
        <f>IFERROR(VLOOKUP($A742,koronahun!$A:$AM,10,FALSE),"")</f>
        <v/>
      </c>
      <c r="K742" s="13" t="str">
        <f>IFERROR(VLOOKUP($A742,koronahun!$A:$AM,11,FALSE),"")</f>
        <v/>
      </c>
      <c r="L742" t="str">
        <f>IFERROR(VLOOKUP($A742,koronahun!$A:$AM,12,FALSE),"")</f>
        <v/>
      </c>
      <c r="M742" s="13" t="str">
        <f>IFERROR(VLOOKUP($A742,koronahun!$A:$AM,13,FALSE),"")</f>
        <v/>
      </c>
      <c r="N742" s="13" t="str">
        <f>IFERROR(VLOOKUP($A742,koronahun!$A:$AM,14,FALSE),"")</f>
        <v/>
      </c>
      <c r="O742" t="str">
        <f>IFERROR(VLOOKUP($A742,koronahun!$A:$AM,15,FALSE),"")</f>
        <v/>
      </c>
      <c r="P742" t="str">
        <f>IFERROR(VLOOKUP($A742,koronahun!$A:$AM,16,FALSE),"")</f>
        <v/>
      </c>
      <c r="Q742" s="13" t="str">
        <f>IFERROR(VLOOKUP($A742,koronahun!$A:$AM,17,FALSE),"")</f>
        <v/>
      </c>
      <c r="R742" t="str">
        <f>IFERROR(VLOOKUP($A742,koronahun!$A:$AM,18,FALSE),"")</f>
        <v/>
      </c>
      <c r="S742" t="str">
        <f>IFERROR(VLOOKUP($A742,koronahun!$A:$AM,19,FALSE),"")</f>
        <v/>
      </c>
      <c r="T742" t="str">
        <f>IFERROR(VLOOKUP($A742,koronahun!$A:$AM,20,FALSE),"")</f>
        <v/>
      </c>
      <c r="U742" t="str">
        <f>IFERROR(VLOOKUP($A742,koronahun!$A:$AM,21,FALSE),"")</f>
        <v/>
      </c>
      <c r="V742" s="13" t="str">
        <f>IFERROR(VLOOKUP($A742,koronahun!$A:$AM,22,FALSE),"")</f>
        <v/>
      </c>
      <c r="W742" t="str">
        <f>IFERROR(VLOOKUP($A742,koronahun!$A:$AM,23,FALSE),"")</f>
        <v/>
      </c>
      <c r="X742" t="str">
        <f>IFERROR(VLOOKUP($A742,koronahun!$A:$AM,24,FALSE),"")</f>
        <v/>
      </c>
      <c r="Y742" s="14" t="str">
        <f>IFERROR(VLOOKUP($A742,koronahun!$A:$AM,25,FALSE),"")</f>
        <v/>
      </c>
      <c r="Z742" s="14" t="str">
        <f>IFERROR(VLOOKUP($A742,koronahun!$A:$AM,26,FALSE),"")</f>
        <v/>
      </c>
      <c r="AA742" s="14" t="str">
        <f>IFERROR(VLOOKUP($A742,koronahun!$A:$AM,27,FALSE),"")</f>
        <v/>
      </c>
      <c r="AB742" s="14" t="str">
        <f>IFERROR(VLOOKUP($A742,koronahun!$A:$AM,28,FALSE),"")</f>
        <v/>
      </c>
      <c r="AC742" s="14" t="str">
        <f>IFERROR(VLOOKUP($A742,koronahun!$A:$AM,29,FALSE),"")</f>
        <v/>
      </c>
      <c r="AD742" s="14" t="str">
        <f>IFERROR(VLOOKUP($A742,koronahun!$A:$AM,30,FALSE),"")</f>
        <v/>
      </c>
      <c r="AE742" s="14" t="str">
        <f>IFERROR(VLOOKUP($A742,koronahun!$A:$AM,31,FALSE),"")</f>
        <v/>
      </c>
      <c r="AF742" s="13" t="str">
        <f>IFERROR(VLOOKUP($A742,koronahun!$A:$AM,32,FALSE),"")</f>
        <v/>
      </c>
      <c r="AG742" t="str">
        <f>IFERROR(VLOOKUP($A742,koronahun!$A:$AM,33,FALSE),"")</f>
        <v/>
      </c>
      <c r="AH742" t="str">
        <f>IFERROR(VLOOKUP($A742,koronahun!$A:$AM,34,FALSE),"")</f>
        <v/>
      </c>
      <c r="AI742" t="str">
        <f>IFERROR(VLOOKUP($A742,koronahun!$A:$AM,35,FALSE),"")</f>
        <v/>
      </c>
      <c r="AJ742" t="str">
        <f>IFERROR(VLOOKUP($A742,koronahun!$A:$AM,36,FALSE),"")</f>
        <v/>
      </c>
      <c r="AK742" t="str">
        <f>IFERROR(VLOOKUP($A742,koronahun!$A:$AM,37,FALSE),"")</f>
        <v/>
      </c>
      <c r="AL742" t="str">
        <f>IFERROR(VLOOKUP($A742,koronahun!$A:$AM,38,FALSE),"")</f>
        <v/>
      </c>
      <c r="AM742" s="14" t="str">
        <f>IFERROR(VLOOKUP($A742,koronahun!$A:$AM,39,FALSE),"")</f>
        <v/>
      </c>
      <c r="AN742" s="11">
        <f ca="1">IFERROR(__xludf.DUMMYFUNCTION("""COMPUTED_VALUE"""),44634)</f>
        <v>44634</v>
      </c>
      <c r="AO742" s="12">
        <f ca="1">IFERROR(VLOOKUP(AN742,koronahun!A:B,2,FALSE),"")</f>
        <v>0</v>
      </c>
      <c r="AP742" s="11">
        <f t="shared" ca="1" si="4"/>
        <v>44634</v>
      </c>
      <c r="AQ742" s="11"/>
      <c r="AR742" s="11"/>
      <c r="AS742" s="11"/>
      <c r="AT742" s="11"/>
    </row>
    <row r="743" spans="1:46" ht="13">
      <c r="A743" s="11"/>
      <c r="B743" t="str">
        <f>IFERROR(VLOOKUP($A743,koronahun!$A:$AM,2,FALSE),"")</f>
        <v/>
      </c>
      <c r="C743" t="str">
        <f>IFERROR(VLOOKUP($A743,koronahun!$A:$AM,3,FALSE),"")</f>
        <v/>
      </c>
      <c r="D743" t="str">
        <f>IFERROR(VLOOKUP($A743,koronahun!$A:$AM,4,FALSE),"")</f>
        <v/>
      </c>
      <c r="E743" t="str">
        <f>IFERROR(VLOOKUP($A743,koronahun!$A:$AM,5,FALSE),"")</f>
        <v/>
      </c>
      <c r="F743" t="str">
        <f>IFERROR(VLOOKUP($A743,koronahun!$A:$AM,6,FALSE),"")</f>
        <v/>
      </c>
      <c r="G743" s="12" t="str">
        <f>IFERROR(VLOOKUP($A743,koronahun!$A:$AM,7,FALSE),"")</f>
        <v/>
      </c>
      <c r="H743" t="str">
        <f>IFERROR(VLOOKUP($A743,koronahun!$A:$AM,8,FALSE),"")</f>
        <v/>
      </c>
      <c r="I743" s="13" t="str">
        <f>IFERROR(VLOOKUP($A743,koronahun!$A:$AM,9,FALSE),"")</f>
        <v/>
      </c>
      <c r="J743" s="13" t="str">
        <f>IFERROR(VLOOKUP($A743,koronahun!$A:$AM,10,FALSE),"")</f>
        <v/>
      </c>
      <c r="K743" s="13" t="str">
        <f>IFERROR(VLOOKUP($A743,koronahun!$A:$AM,11,FALSE),"")</f>
        <v/>
      </c>
      <c r="L743" t="str">
        <f>IFERROR(VLOOKUP($A743,koronahun!$A:$AM,12,FALSE),"")</f>
        <v/>
      </c>
      <c r="M743" s="13" t="str">
        <f>IFERROR(VLOOKUP($A743,koronahun!$A:$AM,13,FALSE),"")</f>
        <v/>
      </c>
      <c r="N743" s="13" t="str">
        <f>IFERROR(VLOOKUP($A743,koronahun!$A:$AM,14,FALSE),"")</f>
        <v/>
      </c>
      <c r="O743" t="str">
        <f>IFERROR(VLOOKUP($A743,koronahun!$A:$AM,15,FALSE),"")</f>
        <v/>
      </c>
      <c r="P743" t="str">
        <f>IFERROR(VLOOKUP($A743,koronahun!$A:$AM,16,FALSE),"")</f>
        <v/>
      </c>
      <c r="Q743" s="13" t="str">
        <f>IFERROR(VLOOKUP($A743,koronahun!$A:$AM,17,FALSE),"")</f>
        <v/>
      </c>
      <c r="R743" t="str">
        <f>IFERROR(VLOOKUP($A743,koronahun!$A:$AM,18,FALSE),"")</f>
        <v/>
      </c>
      <c r="S743" t="str">
        <f>IFERROR(VLOOKUP($A743,koronahun!$A:$AM,19,FALSE),"")</f>
        <v/>
      </c>
      <c r="T743" t="str">
        <f>IFERROR(VLOOKUP($A743,koronahun!$A:$AM,20,FALSE),"")</f>
        <v/>
      </c>
      <c r="U743" t="str">
        <f>IFERROR(VLOOKUP($A743,koronahun!$A:$AM,21,FALSE),"")</f>
        <v/>
      </c>
      <c r="V743" s="13" t="str">
        <f>IFERROR(VLOOKUP($A743,koronahun!$A:$AM,22,FALSE),"")</f>
        <v/>
      </c>
      <c r="W743" t="str">
        <f>IFERROR(VLOOKUP($A743,koronahun!$A:$AM,23,FALSE),"")</f>
        <v/>
      </c>
      <c r="X743" t="str">
        <f>IFERROR(VLOOKUP($A743,koronahun!$A:$AM,24,FALSE),"")</f>
        <v/>
      </c>
      <c r="Y743" s="14" t="str">
        <f>IFERROR(VLOOKUP($A743,koronahun!$A:$AM,25,FALSE),"")</f>
        <v/>
      </c>
      <c r="Z743" s="14" t="str">
        <f>IFERROR(VLOOKUP($A743,koronahun!$A:$AM,26,FALSE),"")</f>
        <v/>
      </c>
      <c r="AA743" s="14" t="str">
        <f>IFERROR(VLOOKUP($A743,koronahun!$A:$AM,27,FALSE),"")</f>
        <v/>
      </c>
      <c r="AB743" s="14" t="str">
        <f>IFERROR(VLOOKUP($A743,koronahun!$A:$AM,28,FALSE),"")</f>
        <v/>
      </c>
      <c r="AC743" s="14" t="str">
        <f>IFERROR(VLOOKUP($A743,koronahun!$A:$AM,29,FALSE),"")</f>
        <v/>
      </c>
      <c r="AD743" s="14" t="str">
        <f>IFERROR(VLOOKUP($A743,koronahun!$A:$AM,30,FALSE),"")</f>
        <v/>
      </c>
      <c r="AE743" s="14" t="str">
        <f>IFERROR(VLOOKUP($A743,koronahun!$A:$AM,31,FALSE),"")</f>
        <v/>
      </c>
      <c r="AF743" s="13" t="str">
        <f>IFERROR(VLOOKUP($A743,koronahun!$A:$AM,32,FALSE),"")</f>
        <v/>
      </c>
      <c r="AG743" t="str">
        <f>IFERROR(VLOOKUP($A743,koronahun!$A:$AM,33,FALSE),"")</f>
        <v/>
      </c>
      <c r="AH743" t="str">
        <f>IFERROR(VLOOKUP($A743,koronahun!$A:$AM,34,FALSE),"")</f>
        <v/>
      </c>
      <c r="AI743" t="str">
        <f>IFERROR(VLOOKUP($A743,koronahun!$A:$AM,35,FALSE),"")</f>
        <v/>
      </c>
      <c r="AJ743" t="str">
        <f>IFERROR(VLOOKUP($A743,koronahun!$A:$AM,36,FALSE),"")</f>
        <v/>
      </c>
      <c r="AK743" t="str">
        <f>IFERROR(VLOOKUP($A743,koronahun!$A:$AM,37,FALSE),"")</f>
        <v/>
      </c>
      <c r="AL743" t="str">
        <f>IFERROR(VLOOKUP($A743,koronahun!$A:$AM,38,FALSE),"")</f>
        <v/>
      </c>
      <c r="AM743" s="14" t="str">
        <f>IFERROR(VLOOKUP($A743,koronahun!$A:$AM,39,FALSE),"")</f>
        <v/>
      </c>
      <c r="AN743" s="11">
        <f ca="1">IFERROR(__xludf.DUMMYFUNCTION("""COMPUTED_VALUE"""),44635)</f>
        <v>44635</v>
      </c>
      <c r="AO743" s="12">
        <f ca="1">IFERROR(VLOOKUP(AN743,koronahun!A:B,2,FALSE),"")</f>
        <v>0</v>
      </c>
      <c r="AP743" s="11">
        <f t="shared" ca="1" si="4"/>
        <v>44635</v>
      </c>
      <c r="AQ743" s="11"/>
      <c r="AR743" s="11"/>
      <c r="AS743" s="11"/>
      <c r="AT743" s="11"/>
    </row>
    <row r="744" spans="1:46" ht="13">
      <c r="A744" s="11"/>
      <c r="B744" t="str">
        <f>IFERROR(VLOOKUP($A744,koronahun!$A:$AM,2,FALSE),"")</f>
        <v/>
      </c>
      <c r="C744" t="str">
        <f>IFERROR(VLOOKUP($A744,koronahun!$A:$AM,3,FALSE),"")</f>
        <v/>
      </c>
      <c r="D744" t="str">
        <f>IFERROR(VLOOKUP($A744,koronahun!$A:$AM,4,FALSE),"")</f>
        <v/>
      </c>
      <c r="E744" t="str">
        <f>IFERROR(VLOOKUP($A744,koronahun!$A:$AM,5,FALSE),"")</f>
        <v/>
      </c>
      <c r="F744" t="str">
        <f>IFERROR(VLOOKUP($A744,koronahun!$A:$AM,6,FALSE),"")</f>
        <v/>
      </c>
      <c r="G744" s="12" t="str">
        <f>IFERROR(VLOOKUP($A744,koronahun!$A:$AM,7,FALSE),"")</f>
        <v/>
      </c>
      <c r="H744" t="str">
        <f>IFERROR(VLOOKUP($A744,koronahun!$A:$AM,8,FALSE),"")</f>
        <v/>
      </c>
      <c r="I744" s="13" t="str">
        <f>IFERROR(VLOOKUP($A744,koronahun!$A:$AM,9,FALSE),"")</f>
        <v/>
      </c>
      <c r="J744" s="13" t="str">
        <f>IFERROR(VLOOKUP($A744,koronahun!$A:$AM,10,FALSE),"")</f>
        <v/>
      </c>
      <c r="K744" s="13" t="str">
        <f>IFERROR(VLOOKUP($A744,koronahun!$A:$AM,11,FALSE),"")</f>
        <v/>
      </c>
      <c r="L744" t="str">
        <f>IFERROR(VLOOKUP($A744,koronahun!$A:$AM,12,FALSE),"")</f>
        <v/>
      </c>
      <c r="M744" s="13" t="str">
        <f>IFERROR(VLOOKUP($A744,koronahun!$A:$AM,13,FALSE),"")</f>
        <v/>
      </c>
      <c r="N744" s="13" t="str">
        <f>IFERROR(VLOOKUP($A744,koronahun!$A:$AM,14,FALSE),"")</f>
        <v/>
      </c>
      <c r="O744" t="str">
        <f>IFERROR(VLOOKUP($A744,koronahun!$A:$AM,15,FALSE),"")</f>
        <v/>
      </c>
      <c r="P744" t="str">
        <f>IFERROR(VLOOKUP($A744,koronahun!$A:$AM,16,FALSE),"")</f>
        <v/>
      </c>
      <c r="Q744" s="13" t="str">
        <f>IFERROR(VLOOKUP($A744,koronahun!$A:$AM,17,FALSE),"")</f>
        <v/>
      </c>
      <c r="R744" t="str">
        <f>IFERROR(VLOOKUP($A744,koronahun!$A:$AM,18,FALSE),"")</f>
        <v/>
      </c>
      <c r="S744" t="str">
        <f>IFERROR(VLOOKUP($A744,koronahun!$A:$AM,19,FALSE),"")</f>
        <v/>
      </c>
      <c r="T744" t="str">
        <f>IFERROR(VLOOKUP($A744,koronahun!$A:$AM,20,FALSE),"")</f>
        <v/>
      </c>
      <c r="U744" t="str">
        <f>IFERROR(VLOOKUP($A744,koronahun!$A:$AM,21,FALSE),"")</f>
        <v/>
      </c>
      <c r="V744" s="13" t="str">
        <f>IFERROR(VLOOKUP($A744,koronahun!$A:$AM,22,FALSE),"")</f>
        <v/>
      </c>
      <c r="W744" t="str">
        <f>IFERROR(VLOOKUP($A744,koronahun!$A:$AM,23,FALSE),"")</f>
        <v/>
      </c>
      <c r="X744" t="str">
        <f>IFERROR(VLOOKUP($A744,koronahun!$A:$AM,24,FALSE),"")</f>
        <v/>
      </c>
      <c r="Y744" s="14" t="str">
        <f>IFERROR(VLOOKUP($A744,koronahun!$A:$AM,25,FALSE),"")</f>
        <v/>
      </c>
      <c r="Z744" s="14" t="str">
        <f>IFERROR(VLOOKUP($A744,koronahun!$A:$AM,26,FALSE),"")</f>
        <v/>
      </c>
      <c r="AA744" s="14" t="str">
        <f>IFERROR(VLOOKUP($A744,koronahun!$A:$AM,27,FALSE),"")</f>
        <v/>
      </c>
      <c r="AB744" s="14" t="str">
        <f>IFERROR(VLOOKUP($A744,koronahun!$A:$AM,28,FALSE),"")</f>
        <v/>
      </c>
      <c r="AC744" s="14" t="str">
        <f>IFERROR(VLOOKUP($A744,koronahun!$A:$AM,29,FALSE),"")</f>
        <v/>
      </c>
      <c r="AD744" s="14" t="str">
        <f>IFERROR(VLOOKUP($A744,koronahun!$A:$AM,30,FALSE),"")</f>
        <v/>
      </c>
      <c r="AE744" s="14" t="str">
        <f>IFERROR(VLOOKUP($A744,koronahun!$A:$AM,31,FALSE),"")</f>
        <v/>
      </c>
      <c r="AF744" s="13" t="str">
        <f>IFERROR(VLOOKUP($A744,koronahun!$A:$AM,32,FALSE),"")</f>
        <v/>
      </c>
      <c r="AG744" t="str">
        <f>IFERROR(VLOOKUP($A744,koronahun!$A:$AM,33,FALSE),"")</f>
        <v/>
      </c>
      <c r="AH744" t="str">
        <f>IFERROR(VLOOKUP($A744,koronahun!$A:$AM,34,FALSE),"")</f>
        <v/>
      </c>
      <c r="AI744" t="str">
        <f>IFERROR(VLOOKUP($A744,koronahun!$A:$AM,35,FALSE),"")</f>
        <v/>
      </c>
      <c r="AJ744" t="str">
        <f>IFERROR(VLOOKUP($A744,koronahun!$A:$AM,36,FALSE),"")</f>
        <v/>
      </c>
      <c r="AK744" t="str">
        <f>IFERROR(VLOOKUP($A744,koronahun!$A:$AM,37,FALSE),"")</f>
        <v/>
      </c>
      <c r="AL744" t="str">
        <f>IFERROR(VLOOKUP($A744,koronahun!$A:$AM,38,FALSE),"")</f>
        <v/>
      </c>
      <c r="AM744" s="14" t="str">
        <f>IFERROR(VLOOKUP($A744,koronahun!$A:$AM,39,FALSE),"")</f>
        <v/>
      </c>
      <c r="AN744" s="11">
        <f ca="1">IFERROR(__xludf.DUMMYFUNCTION("""COMPUTED_VALUE"""),44636)</f>
        <v>44636</v>
      </c>
      <c r="AO744" s="12">
        <f ca="1">IFERROR(VLOOKUP(AN744,koronahun!A:B,2,FALSE),"")</f>
        <v>1819264</v>
      </c>
      <c r="AP744" s="11">
        <f t="shared" ca="1" si="4"/>
        <v>44636</v>
      </c>
      <c r="AQ744" s="11"/>
      <c r="AR744" s="11"/>
      <c r="AS744" s="11"/>
      <c r="AT744" s="11"/>
    </row>
    <row r="745" spans="1:46" ht="13">
      <c r="A745" s="11"/>
      <c r="B745" t="str">
        <f>IFERROR(VLOOKUP($A745,koronahun!$A:$AM,2,FALSE),"")</f>
        <v/>
      </c>
      <c r="C745" t="str">
        <f>IFERROR(VLOOKUP($A745,koronahun!$A:$AM,3,FALSE),"")</f>
        <v/>
      </c>
      <c r="D745" t="str">
        <f>IFERROR(VLOOKUP($A745,koronahun!$A:$AM,4,FALSE),"")</f>
        <v/>
      </c>
      <c r="E745" t="str">
        <f>IFERROR(VLOOKUP($A745,koronahun!$A:$AM,5,FALSE),"")</f>
        <v/>
      </c>
      <c r="F745" t="str">
        <f>IFERROR(VLOOKUP($A745,koronahun!$A:$AM,6,FALSE),"")</f>
        <v/>
      </c>
      <c r="G745" s="12" t="str">
        <f>IFERROR(VLOOKUP($A745,koronahun!$A:$AM,7,FALSE),"")</f>
        <v/>
      </c>
      <c r="H745" t="str">
        <f>IFERROR(VLOOKUP($A745,koronahun!$A:$AM,8,FALSE),"")</f>
        <v/>
      </c>
      <c r="I745" s="13" t="str">
        <f>IFERROR(VLOOKUP($A745,koronahun!$A:$AM,9,FALSE),"")</f>
        <v/>
      </c>
      <c r="J745" s="13" t="str">
        <f>IFERROR(VLOOKUP($A745,koronahun!$A:$AM,10,FALSE),"")</f>
        <v/>
      </c>
      <c r="K745" s="13" t="str">
        <f>IFERROR(VLOOKUP($A745,koronahun!$A:$AM,11,FALSE),"")</f>
        <v/>
      </c>
      <c r="L745" t="str">
        <f>IFERROR(VLOOKUP($A745,koronahun!$A:$AM,12,FALSE),"")</f>
        <v/>
      </c>
      <c r="M745" s="13" t="str">
        <f>IFERROR(VLOOKUP($A745,koronahun!$A:$AM,13,FALSE),"")</f>
        <v/>
      </c>
      <c r="N745" s="13" t="str">
        <f>IFERROR(VLOOKUP($A745,koronahun!$A:$AM,14,FALSE),"")</f>
        <v/>
      </c>
      <c r="O745" t="str">
        <f>IFERROR(VLOOKUP($A745,koronahun!$A:$AM,15,FALSE),"")</f>
        <v/>
      </c>
      <c r="P745" t="str">
        <f>IFERROR(VLOOKUP($A745,koronahun!$A:$AM,16,FALSE),"")</f>
        <v/>
      </c>
      <c r="Q745" s="13" t="str">
        <f>IFERROR(VLOOKUP($A745,koronahun!$A:$AM,17,FALSE),"")</f>
        <v/>
      </c>
      <c r="R745" t="str">
        <f>IFERROR(VLOOKUP($A745,koronahun!$A:$AM,18,FALSE),"")</f>
        <v/>
      </c>
      <c r="S745" t="str">
        <f>IFERROR(VLOOKUP($A745,koronahun!$A:$AM,19,FALSE),"")</f>
        <v/>
      </c>
      <c r="T745" t="str">
        <f>IFERROR(VLOOKUP($A745,koronahun!$A:$AM,20,FALSE),"")</f>
        <v/>
      </c>
      <c r="U745" t="str">
        <f>IFERROR(VLOOKUP($A745,koronahun!$A:$AM,21,FALSE),"")</f>
        <v/>
      </c>
      <c r="V745" s="13" t="str">
        <f>IFERROR(VLOOKUP($A745,koronahun!$A:$AM,22,FALSE),"")</f>
        <v/>
      </c>
      <c r="W745" t="str">
        <f>IFERROR(VLOOKUP($A745,koronahun!$A:$AM,23,FALSE),"")</f>
        <v/>
      </c>
      <c r="X745" t="str">
        <f>IFERROR(VLOOKUP($A745,koronahun!$A:$AM,24,FALSE),"")</f>
        <v/>
      </c>
      <c r="Y745" s="14" t="str">
        <f>IFERROR(VLOOKUP($A745,koronahun!$A:$AM,25,FALSE),"")</f>
        <v/>
      </c>
      <c r="Z745" s="14" t="str">
        <f>IFERROR(VLOOKUP($A745,koronahun!$A:$AM,26,FALSE),"")</f>
        <v/>
      </c>
      <c r="AA745" s="14" t="str">
        <f>IFERROR(VLOOKUP($A745,koronahun!$A:$AM,27,FALSE),"")</f>
        <v/>
      </c>
      <c r="AB745" s="14" t="str">
        <f>IFERROR(VLOOKUP($A745,koronahun!$A:$AM,28,FALSE),"")</f>
        <v/>
      </c>
      <c r="AC745" s="14" t="str">
        <f>IFERROR(VLOOKUP($A745,koronahun!$A:$AM,29,FALSE),"")</f>
        <v/>
      </c>
      <c r="AD745" s="14" t="str">
        <f>IFERROR(VLOOKUP($A745,koronahun!$A:$AM,30,FALSE),"")</f>
        <v/>
      </c>
      <c r="AE745" s="14" t="str">
        <f>IFERROR(VLOOKUP($A745,koronahun!$A:$AM,31,FALSE),"")</f>
        <v/>
      </c>
      <c r="AF745" s="13" t="str">
        <f>IFERROR(VLOOKUP($A745,koronahun!$A:$AM,32,FALSE),"")</f>
        <v/>
      </c>
      <c r="AG745" t="str">
        <f>IFERROR(VLOOKUP($A745,koronahun!$A:$AM,33,FALSE),"")</f>
        <v/>
      </c>
      <c r="AH745" t="str">
        <f>IFERROR(VLOOKUP($A745,koronahun!$A:$AM,34,FALSE),"")</f>
        <v/>
      </c>
      <c r="AI745" t="str">
        <f>IFERROR(VLOOKUP($A745,koronahun!$A:$AM,35,FALSE),"")</f>
        <v/>
      </c>
      <c r="AJ745" t="str">
        <f>IFERROR(VLOOKUP($A745,koronahun!$A:$AM,36,FALSE),"")</f>
        <v/>
      </c>
      <c r="AK745" t="str">
        <f>IFERROR(VLOOKUP($A745,koronahun!$A:$AM,37,FALSE),"")</f>
        <v/>
      </c>
      <c r="AL745" t="str">
        <f>IFERROR(VLOOKUP($A745,koronahun!$A:$AM,38,FALSE),"")</f>
        <v/>
      </c>
      <c r="AM745" s="14" t="str">
        <f>IFERROR(VLOOKUP($A745,koronahun!$A:$AM,39,FALSE),"")</f>
        <v/>
      </c>
      <c r="AN745" s="11">
        <f ca="1">IFERROR(__xludf.DUMMYFUNCTION("""COMPUTED_VALUE"""),44637)</f>
        <v>44637</v>
      </c>
      <c r="AO745" s="12">
        <f ca="1">IFERROR(VLOOKUP(AN745,koronahun!A:B,2,FALSE),"")</f>
        <v>1820767</v>
      </c>
      <c r="AP745" s="11">
        <f t="shared" ca="1" si="4"/>
        <v>44637</v>
      </c>
      <c r="AQ745" s="11"/>
      <c r="AR745" s="11"/>
      <c r="AS745" s="11"/>
      <c r="AT745" s="11"/>
    </row>
    <row r="746" spans="1:46" ht="13">
      <c r="A746" s="11"/>
      <c r="B746" t="str">
        <f>IFERROR(VLOOKUP($A746,koronahun!$A:$AM,2,FALSE),"")</f>
        <v/>
      </c>
      <c r="C746" t="str">
        <f>IFERROR(VLOOKUP($A746,koronahun!$A:$AM,3,FALSE),"")</f>
        <v/>
      </c>
      <c r="D746" t="str">
        <f>IFERROR(VLOOKUP($A746,koronahun!$A:$AM,4,FALSE),"")</f>
        <v/>
      </c>
      <c r="E746" t="str">
        <f>IFERROR(VLOOKUP($A746,koronahun!$A:$AM,5,FALSE),"")</f>
        <v/>
      </c>
      <c r="F746" t="str">
        <f>IFERROR(VLOOKUP($A746,koronahun!$A:$AM,6,FALSE),"")</f>
        <v/>
      </c>
      <c r="G746" s="12" t="str">
        <f>IFERROR(VLOOKUP($A746,koronahun!$A:$AM,7,FALSE),"")</f>
        <v/>
      </c>
      <c r="H746" t="str">
        <f>IFERROR(VLOOKUP($A746,koronahun!$A:$AM,8,FALSE),"")</f>
        <v/>
      </c>
      <c r="I746" s="13" t="str">
        <f>IFERROR(VLOOKUP($A746,koronahun!$A:$AM,9,FALSE),"")</f>
        <v/>
      </c>
      <c r="J746" s="13" t="str">
        <f>IFERROR(VLOOKUP($A746,koronahun!$A:$AM,10,FALSE),"")</f>
        <v/>
      </c>
      <c r="K746" s="13" t="str">
        <f>IFERROR(VLOOKUP($A746,koronahun!$A:$AM,11,FALSE),"")</f>
        <v/>
      </c>
      <c r="L746" t="str">
        <f>IFERROR(VLOOKUP($A746,koronahun!$A:$AM,12,FALSE),"")</f>
        <v/>
      </c>
      <c r="M746" s="13" t="str">
        <f>IFERROR(VLOOKUP($A746,koronahun!$A:$AM,13,FALSE),"")</f>
        <v/>
      </c>
      <c r="N746" s="13" t="str">
        <f>IFERROR(VLOOKUP($A746,koronahun!$A:$AM,14,FALSE),"")</f>
        <v/>
      </c>
      <c r="O746" t="str">
        <f>IFERROR(VLOOKUP($A746,koronahun!$A:$AM,15,FALSE),"")</f>
        <v/>
      </c>
      <c r="P746" t="str">
        <f>IFERROR(VLOOKUP($A746,koronahun!$A:$AM,16,FALSE),"")</f>
        <v/>
      </c>
      <c r="Q746" s="13" t="str">
        <f>IFERROR(VLOOKUP($A746,koronahun!$A:$AM,17,FALSE),"")</f>
        <v/>
      </c>
      <c r="R746" t="str">
        <f>IFERROR(VLOOKUP($A746,koronahun!$A:$AM,18,FALSE),"")</f>
        <v/>
      </c>
      <c r="S746" t="str">
        <f>IFERROR(VLOOKUP($A746,koronahun!$A:$AM,19,FALSE),"")</f>
        <v/>
      </c>
      <c r="T746" t="str">
        <f>IFERROR(VLOOKUP($A746,koronahun!$A:$AM,20,FALSE),"")</f>
        <v/>
      </c>
      <c r="U746" t="str">
        <f>IFERROR(VLOOKUP($A746,koronahun!$A:$AM,21,FALSE),"")</f>
        <v/>
      </c>
      <c r="V746" s="13" t="str">
        <f>IFERROR(VLOOKUP($A746,koronahun!$A:$AM,22,FALSE),"")</f>
        <v/>
      </c>
      <c r="W746" t="str">
        <f>IFERROR(VLOOKUP($A746,koronahun!$A:$AM,23,FALSE),"")</f>
        <v/>
      </c>
      <c r="X746" t="str">
        <f>IFERROR(VLOOKUP($A746,koronahun!$A:$AM,24,FALSE),"")</f>
        <v/>
      </c>
      <c r="Y746" s="14" t="str">
        <f>IFERROR(VLOOKUP($A746,koronahun!$A:$AM,25,FALSE),"")</f>
        <v/>
      </c>
      <c r="Z746" s="14" t="str">
        <f>IFERROR(VLOOKUP($A746,koronahun!$A:$AM,26,FALSE),"")</f>
        <v/>
      </c>
      <c r="AA746" s="14" t="str">
        <f>IFERROR(VLOOKUP($A746,koronahun!$A:$AM,27,FALSE),"")</f>
        <v/>
      </c>
      <c r="AB746" s="14" t="str">
        <f>IFERROR(VLOOKUP($A746,koronahun!$A:$AM,28,FALSE),"")</f>
        <v/>
      </c>
      <c r="AC746" s="14" t="str">
        <f>IFERROR(VLOOKUP($A746,koronahun!$A:$AM,29,FALSE),"")</f>
        <v/>
      </c>
      <c r="AD746" s="14" t="str">
        <f>IFERROR(VLOOKUP($A746,koronahun!$A:$AM,30,FALSE),"")</f>
        <v/>
      </c>
      <c r="AE746" s="14" t="str">
        <f>IFERROR(VLOOKUP($A746,koronahun!$A:$AM,31,FALSE),"")</f>
        <v/>
      </c>
      <c r="AF746" s="13" t="str">
        <f>IFERROR(VLOOKUP($A746,koronahun!$A:$AM,32,FALSE),"")</f>
        <v/>
      </c>
      <c r="AG746" t="str">
        <f>IFERROR(VLOOKUP($A746,koronahun!$A:$AM,33,FALSE),"")</f>
        <v/>
      </c>
      <c r="AH746" t="str">
        <f>IFERROR(VLOOKUP($A746,koronahun!$A:$AM,34,FALSE),"")</f>
        <v/>
      </c>
      <c r="AI746" t="str">
        <f>IFERROR(VLOOKUP($A746,koronahun!$A:$AM,35,FALSE),"")</f>
        <v/>
      </c>
      <c r="AJ746" t="str">
        <f>IFERROR(VLOOKUP($A746,koronahun!$A:$AM,36,FALSE),"")</f>
        <v/>
      </c>
      <c r="AK746" t="str">
        <f>IFERROR(VLOOKUP($A746,koronahun!$A:$AM,37,FALSE),"")</f>
        <v/>
      </c>
      <c r="AL746" t="str">
        <f>IFERROR(VLOOKUP($A746,koronahun!$A:$AM,38,FALSE),"")</f>
        <v/>
      </c>
      <c r="AM746" s="14" t="str">
        <f>IFERROR(VLOOKUP($A746,koronahun!$A:$AM,39,FALSE),"")</f>
        <v/>
      </c>
      <c r="AN746" s="11">
        <f ca="1">IFERROR(__xludf.DUMMYFUNCTION("""COMPUTED_VALUE"""),44638)</f>
        <v>44638</v>
      </c>
      <c r="AO746" s="12">
        <f ca="1">IFERROR(VLOOKUP(AN746,koronahun!A:B,2,FALSE),"")</f>
        <v>1824089</v>
      </c>
      <c r="AP746" s="11">
        <f t="shared" ca="1" si="4"/>
        <v>44638</v>
      </c>
      <c r="AQ746" s="11"/>
      <c r="AR746" s="11"/>
      <c r="AS746" s="11"/>
      <c r="AT746" s="11"/>
    </row>
    <row r="747" spans="1:46" ht="13">
      <c r="A747" s="11"/>
      <c r="B747" t="str">
        <f>IFERROR(VLOOKUP($A747,koronahun!$A:$AM,2,FALSE),"")</f>
        <v/>
      </c>
      <c r="C747" t="str">
        <f>IFERROR(VLOOKUP($A747,koronahun!$A:$AM,3,FALSE),"")</f>
        <v/>
      </c>
      <c r="D747" t="str">
        <f>IFERROR(VLOOKUP($A747,koronahun!$A:$AM,4,FALSE),"")</f>
        <v/>
      </c>
      <c r="E747" t="str">
        <f>IFERROR(VLOOKUP($A747,koronahun!$A:$AM,5,FALSE),"")</f>
        <v/>
      </c>
      <c r="F747" t="str">
        <f>IFERROR(VLOOKUP($A747,koronahun!$A:$AM,6,FALSE),"")</f>
        <v/>
      </c>
      <c r="G747" s="12" t="str">
        <f>IFERROR(VLOOKUP($A747,koronahun!$A:$AM,7,FALSE),"")</f>
        <v/>
      </c>
      <c r="H747" t="str">
        <f>IFERROR(VLOOKUP($A747,koronahun!$A:$AM,8,FALSE),"")</f>
        <v/>
      </c>
      <c r="I747" s="13" t="str">
        <f>IFERROR(VLOOKUP($A747,koronahun!$A:$AM,9,FALSE),"")</f>
        <v/>
      </c>
      <c r="J747" s="13" t="str">
        <f>IFERROR(VLOOKUP($A747,koronahun!$A:$AM,10,FALSE),"")</f>
        <v/>
      </c>
      <c r="K747" s="13" t="str">
        <f>IFERROR(VLOOKUP($A747,koronahun!$A:$AM,11,FALSE),"")</f>
        <v/>
      </c>
      <c r="L747" t="str">
        <f>IFERROR(VLOOKUP($A747,koronahun!$A:$AM,12,FALSE),"")</f>
        <v/>
      </c>
      <c r="M747" s="13" t="str">
        <f>IFERROR(VLOOKUP($A747,koronahun!$A:$AM,13,FALSE),"")</f>
        <v/>
      </c>
      <c r="N747" s="13" t="str">
        <f>IFERROR(VLOOKUP($A747,koronahun!$A:$AM,14,FALSE),"")</f>
        <v/>
      </c>
      <c r="O747" t="str">
        <f>IFERROR(VLOOKUP($A747,koronahun!$A:$AM,15,FALSE),"")</f>
        <v/>
      </c>
      <c r="P747" t="str">
        <f>IFERROR(VLOOKUP($A747,koronahun!$A:$AM,16,FALSE),"")</f>
        <v/>
      </c>
      <c r="Q747" s="13" t="str">
        <f>IFERROR(VLOOKUP($A747,koronahun!$A:$AM,17,FALSE),"")</f>
        <v/>
      </c>
      <c r="R747" t="str">
        <f>IFERROR(VLOOKUP($A747,koronahun!$A:$AM,18,FALSE),"")</f>
        <v/>
      </c>
      <c r="S747" t="str">
        <f>IFERROR(VLOOKUP($A747,koronahun!$A:$AM,19,FALSE),"")</f>
        <v/>
      </c>
      <c r="T747" t="str">
        <f>IFERROR(VLOOKUP($A747,koronahun!$A:$AM,20,FALSE),"")</f>
        <v/>
      </c>
      <c r="U747" t="str">
        <f>IFERROR(VLOOKUP($A747,koronahun!$A:$AM,21,FALSE),"")</f>
        <v/>
      </c>
      <c r="V747" s="13" t="str">
        <f>IFERROR(VLOOKUP($A747,koronahun!$A:$AM,22,FALSE),"")</f>
        <v/>
      </c>
      <c r="W747" t="str">
        <f>IFERROR(VLOOKUP($A747,koronahun!$A:$AM,23,FALSE),"")</f>
        <v/>
      </c>
      <c r="X747" t="str">
        <f>IFERROR(VLOOKUP($A747,koronahun!$A:$AM,24,FALSE),"")</f>
        <v/>
      </c>
      <c r="Y747" s="14" t="str">
        <f>IFERROR(VLOOKUP($A747,koronahun!$A:$AM,25,FALSE),"")</f>
        <v/>
      </c>
      <c r="Z747" s="14" t="str">
        <f>IFERROR(VLOOKUP($A747,koronahun!$A:$AM,26,FALSE),"")</f>
        <v/>
      </c>
      <c r="AA747" s="14" t="str">
        <f>IFERROR(VLOOKUP($A747,koronahun!$A:$AM,27,FALSE),"")</f>
        <v/>
      </c>
      <c r="AB747" s="14" t="str">
        <f>IFERROR(VLOOKUP($A747,koronahun!$A:$AM,28,FALSE),"")</f>
        <v/>
      </c>
      <c r="AC747" s="14" t="str">
        <f>IFERROR(VLOOKUP($A747,koronahun!$A:$AM,29,FALSE),"")</f>
        <v/>
      </c>
      <c r="AD747" s="14" t="str">
        <f>IFERROR(VLOOKUP($A747,koronahun!$A:$AM,30,FALSE),"")</f>
        <v/>
      </c>
      <c r="AE747" s="14" t="str">
        <f>IFERROR(VLOOKUP($A747,koronahun!$A:$AM,31,FALSE),"")</f>
        <v/>
      </c>
      <c r="AF747" s="13" t="str">
        <f>IFERROR(VLOOKUP($A747,koronahun!$A:$AM,32,FALSE),"")</f>
        <v/>
      </c>
      <c r="AG747" t="str">
        <f>IFERROR(VLOOKUP($A747,koronahun!$A:$AM,33,FALSE),"")</f>
        <v/>
      </c>
      <c r="AH747" t="str">
        <f>IFERROR(VLOOKUP($A747,koronahun!$A:$AM,34,FALSE),"")</f>
        <v/>
      </c>
      <c r="AI747" t="str">
        <f>IFERROR(VLOOKUP($A747,koronahun!$A:$AM,35,FALSE),"")</f>
        <v/>
      </c>
      <c r="AJ747" t="str">
        <f>IFERROR(VLOOKUP($A747,koronahun!$A:$AM,36,FALSE),"")</f>
        <v/>
      </c>
      <c r="AK747" t="str">
        <f>IFERROR(VLOOKUP($A747,koronahun!$A:$AM,37,FALSE),"")</f>
        <v/>
      </c>
      <c r="AL747" t="str">
        <f>IFERROR(VLOOKUP($A747,koronahun!$A:$AM,38,FALSE),"")</f>
        <v/>
      </c>
      <c r="AM747" s="14" t="str">
        <f>IFERROR(VLOOKUP($A747,koronahun!$A:$AM,39,FALSE),"")</f>
        <v/>
      </c>
      <c r="AN747" s="11">
        <f ca="1">IFERROR(__xludf.DUMMYFUNCTION("""COMPUTED_VALUE"""),44639)</f>
        <v>44639</v>
      </c>
      <c r="AO747" s="12">
        <f ca="1">IFERROR(VLOOKUP(AN747,koronahun!A:B,2,FALSE),"")</f>
        <v>0</v>
      </c>
      <c r="AP747" s="11">
        <f t="shared" ca="1" si="4"/>
        <v>44639</v>
      </c>
      <c r="AQ747" s="11"/>
      <c r="AR747" s="11"/>
      <c r="AS747" s="11"/>
      <c r="AT747" s="11"/>
    </row>
    <row r="748" spans="1:46" ht="13">
      <c r="A748" s="11"/>
      <c r="B748" t="str">
        <f>IFERROR(VLOOKUP($A748,koronahun!$A:$AM,2,FALSE),"")</f>
        <v/>
      </c>
      <c r="C748" t="str">
        <f>IFERROR(VLOOKUP($A748,koronahun!$A:$AM,3,FALSE),"")</f>
        <v/>
      </c>
      <c r="D748" t="str">
        <f>IFERROR(VLOOKUP($A748,koronahun!$A:$AM,4,FALSE),"")</f>
        <v/>
      </c>
      <c r="E748" t="str">
        <f>IFERROR(VLOOKUP($A748,koronahun!$A:$AM,5,FALSE),"")</f>
        <v/>
      </c>
      <c r="F748" t="str">
        <f>IFERROR(VLOOKUP($A748,koronahun!$A:$AM,6,FALSE),"")</f>
        <v/>
      </c>
      <c r="G748" s="12" t="str">
        <f>IFERROR(VLOOKUP($A748,koronahun!$A:$AM,7,FALSE),"")</f>
        <v/>
      </c>
      <c r="H748" t="str">
        <f>IFERROR(VLOOKUP($A748,koronahun!$A:$AM,8,FALSE),"")</f>
        <v/>
      </c>
      <c r="I748" s="13" t="str">
        <f>IFERROR(VLOOKUP($A748,koronahun!$A:$AM,9,FALSE),"")</f>
        <v/>
      </c>
      <c r="J748" s="13" t="str">
        <f>IFERROR(VLOOKUP($A748,koronahun!$A:$AM,10,FALSE),"")</f>
        <v/>
      </c>
      <c r="K748" s="13" t="str">
        <f>IFERROR(VLOOKUP($A748,koronahun!$A:$AM,11,FALSE),"")</f>
        <v/>
      </c>
      <c r="L748" t="str">
        <f>IFERROR(VLOOKUP($A748,koronahun!$A:$AM,12,FALSE),"")</f>
        <v/>
      </c>
      <c r="M748" s="13" t="str">
        <f>IFERROR(VLOOKUP($A748,koronahun!$A:$AM,13,FALSE),"")</f>
        <v/>
      </c>
      <c r="N748" s="13" t="str">
        <f>IFERROR(VLOOKUP($A748,koronahun!$A:$AM,14,FALSE),"")</f>
        <v/>
      </c>
      <c r="O748" t="str">
        <f>IFERROR(VLOOKUP($A748,koronahun!$A:$AM,15,FALSE),"")</f>
        <v/>
      </c>
      <c r="P748" t="str">
        <f>IFERROR(VLOOKUP($A748,koronahun!$A:$AM,16,FALSE),"")</f>
        <v/>
      </c>
      <c r="Q748" s="13" t="str">
        <f>IFERROR(VLOOKUP($A748,koronahun!$A:$AM,17,FALSE),"")</f>
        <v/>
      </c>
      <c r="R748" t="str">
        <f>IFERROR(VLOOKUP($A748,koronahun!$A:$AM,18,FALSE),"")</f>
        <v/>
      </c>
      <c r="S748" t="str">
        <f>IFERROR(VLOOKUP($A748,koronahun!$A:$AM,19,FALSE),"")</f>
        <v/>
      </c>
      <c r="T748" t="str">
        <f>IFERROR(VLOOKUP($A748,koronahun!$A:$AM,20,FALSE),"")</f>
        <v/>
      </c>
      <c r="U748" t="str">
        <f>IFERROR(VLOOKUP($A748,koronahun!$A:$AM,21,FALSE),"")</f>
        <v/>
      </c>
      <c r="V748" s="13" t="str">
        <f>IFERROR(VLOOKUP($A748,koronahun!$A:$AM,22,FALSE),"")</f>
        <v/>
      </c>
      <c r="W748" t="str">
        <f>IFERROR(VLOOKUP($A748,koronahun!$A:$AM,23,FALSE),"")</f>
        <v/>
      </c>
      <c r="X748" t="str">
        <f>IFERROR(VLOOKUP($A748,koronahun!$A:$AM,24,FALSE),"")</f>
        <v/>
      </c>
      <c r="Y748" s="14" t="str">
        <f>IFERROR(VLOOKUP($A748,koronahun!$A:$AM,25,FALSE),"")</f>
        <v/>
      </c>
      <c r="Z748" s="14" t="str">
        <f>IFERROR(VLOOKUP($A748,koronahun!$A:$AM,26,FALSE),"")</f>
        <v/>
      </c>
      <c r="AA748" s="14" t="str">
        <f>IFERROR(VLOOKUP($A748,koronahun!$A:$AM,27,FALSE),"")</f>
        <v/>
      </c>
      <c r="AB748" s="14" t="str">
        <f>IFERROR(VLOOKUP($A748,koronahun!$A:$AM,28,FALSE),"")</f>
        <v/>
      </c>
      <c r="AC748" s="14" t="str">
        <f>IFERROR(VLOOKUP($A748,koronahun!$A:$AM,29,FALSE),"")</f>
        <v/>
      </c>
      <c r="AD748" s="14" t="str">
        <f>IFERROR(VLOOKUP($A748,koronahun!$A:$AM,30,FALSE),"")</f>
        <v/>
      </c>
      <c r="AE748" s="14" t="str">
        <f>IFERROR(VLOOKUP($A748,koronahun!$A:$AM,31,FALSE),"")</f>
        <v/>
      </c>
      <c r="AF748" s="13" t="str">
        <f>IFERROR(VLOOKUP($A748,koronahun!$A:$AM,32,FALSE),"")</f>
        <v/>
      </c>
      <c r="AG748" t="str">
        <f>IFERROR(VLOOKUP($A748,koronahun!$A:$AM,33,FALSE),"")</f>
        <v/>
      </c>
      <c r="AH748" t="str">
        <f>IFERROR(VLOOKUP($A748,koronahun!$A:$AM,34,FALSE),"")</f>
        <v/>
      </c>
      <c r="AI748" t="str">
        <f>IFERROR(VLOOKUP($A748,koronahun!$A:$AM,35,FALSE),"")</f>
        <v/>
      </c>
      <c r="AJ748" t="str">
        <f>IFERROR(VLOOKUP($A748,koronahun!$A:$AM,36,FALSE),"")</f>
        <v/>
      </c>
      <c r="AK748" t="str">
        <f>IFERROR(VLOOKUP($A748,koronahun!$A:$AM,37,FALSE),"")</f>
        <v/>
      </c>
      <c r="AL748" t="str">
        <f>IFERROR(VLOOKUP($A748,koronahun!$A:$AM,38,FALSE),"")</f>
        <v/>
      </c>
      <c r="AM748" s="14" t="str">
        <f>IFERROR(VLOOKUP($A748,koronahun!$A:$AM,39,FALSE),"")</f>
        <v/>
      </c>
      <c r="AN748" s="11">
        <f ca="1">IFERROR(__xludf.DUMMYFUNCTION("""COMPUTED_VALUE"""),44640)</f>
        <v>44640</v>
      </c>
      <c r="AO748" s="12">
        <f ca="1">IFERROR(VLOOKUP(AN748,koronahun!A:B,2,FALSE),"")</f>
        <v>0</v>
      </c>
      <c r="AP748" s="11">
        <f t="shared" ca="1" si="4"/>
        <v>44640</v>
      </c>
      <c r="AQ748" s="11"/>
      <c r="AR748" s="11"/>
      <c r="AS748" s="11"/>
      <c r="AT748" s="11"/>
    </row>
    <row r="749" spans="1:46" ht="13">
      <c r="A749" s="11"/>
      <c r="B749" t="str">
        <f>IFERROR(VLOOKUP($A749,koronahun!$A:$AM,2,FALSE),"")</f>
        <v/>
      </c>
      <c r="C749" t="str">
        <f>IFERROR(VLOOKUP($A749,koronahun!$A:$AM,3,FALSE),"")</f>
        <v/>
      </c>
      <c r="D749" t="str">
        <f>IFERROR(VLOOKUP($A749,koronahun!$A:$AM,4,FALSE),"")</f>
        <v/>
      </c>
      <c r="E749" t="str">
        <f>IFERROR(VLOOKUP($A749,koronahun!$A:$AM,5,FALSE),"")</f>
        <v/>
      </c>
      <c r="F749" t="str">
        <f>IFERROR(VLOOKUP($A749,koronahun!$A:$AM,6,FALSE),"")</f>
        <v/>
      </c>
      <c r="G749" s="12" t="str">
        <f>IFERROR(VLOOKUP($A749,koronahun!$A:$AM,7,FALSE),"")</f>
        <v/>
      </c>
      <c r="H749" t="str">
        <f>IFERROR(VLOOKUP($A749,koronahun!$A:$AM,8,FALSE),"")</f>
        <v/>
      </c>
      <c r="I749" s="13" t="str">
        <f>IFERROR(VLOOKUP($A749,koronahun!$A:$AM,9,FALSE),"")</f>
        <v/>
      </c>
      <c r="J749" s="13" t="str">
        <f>IFERROR(VLOOKUP($A749,koronahun!$A:$AM,10,FALSE),"")</f>
        <v/>
      </c>
      <c r="K749" s="13" t="str">
        <f>IFERROR(VLOOKUP($A749,koronahun!$A:$AM,11,FALSE),"")</f>
        <v/>
      </c>
      <c r="L749" t="str">
        <f>IFERROR(VLOOKUP($A749,koronahun!$A:$AM,12,FALSE),"")</f>
        <v/>
      </c>
      <c r="M749" s="13" t="str">
        <f>IFERROR(VLOOKUP($A749,koronahun!$A:$AM,13,FALSE),"")</f>
        <v/>
      </c>
      <c r="N749" s="13" t="str">
        <f>IFERROR(VLOOKUP($A749,koronahun!$A:$AM,14,FALSE),"")</f>
        <v/>
      </c>
      <c r="O749" t="str">
        <f>IFERROR(VLOOKUP($A749,koronahun!$A:$AM,15,FALSE),"")</f>
        <v/>
      </c>
      <c r="P749" t="str">
        <f>IFERROR(VLOOKUP($A749,koronahun!$A:$AM,16,FALSE),"")</f>
        <v/>
      </c>
      <c r="Q749" s="13" t="str">
        <f>IFERROR(VLOOKUP($A749,koronahun!$A:$AM,17,FALSE),"")</f>
        <v/>
      </c>
      <c r="R749" t="str">
        <f>IFERROR(VLOOKUP($A749,koronahun!$A:$AM,18,FALSE),"")</f>
        <v/>
      </c>
      <c r="S749" t="str">
        <f>IFERROR(VLOOKUP($A749,koronahun!$A:$AM,19,FALSE),"")</f>
        <v/>
      </c>
      <c r="T749" t="str">
        <f>IFERROR(VLOOKUP($A749,koronahun!$A:$AM,20,FALSE),"")</f>
        <v/>
      </c>
      <c r="U749" t="str">
        <f>IFERROR(VLOOKUP($A749,koronahun!$A:$AM,21,FALSE),"")</f>
        <v/>
      </c>
      <c r="V749" s="13" t="str">
        <f>IFERROR(VLOOKUP($A749,koronahun!$A:$AM,22,FALSE),"")</f>
        <v/>
      </c>
      <c r="W749" t="str">
        <f>IFERROR(VLOOKUP($A749,koronahun!$A:$AM,23,FALSE),"")</f>
        <v/>
      </c>
      <c r="X749" t="str">
        <f>IFERROR(VLOOKUP($A749,koronahun!$A:$AM,24,FALSE),"")</f>
        <v/>
      </c>
      <c r="Y749" s="14" t="str">
        <f>IFERROR(VLOOKUP($A749,koronahun!$A:$AM,25,FALSE),"")</f>
        <v/>
      </c>
      <c r="Z749" s="14" t="str">
        <f>IFERROR(VLOOKUP($A749,koronahun!$A:$AM,26,FALSE),"")</f>
        <v/>
      </c>
      <c r="AA749" s="14" t="str">
        <f>IFERROR(VLOOKUP($A749,koronahun!$A:$AM,27,FALSE),"")</f>
        <v/>
      </c>
      <c r="AB749" s="14" t="str">
        <f>IFERROR(VLOOKUP($A749,koronahun!$A:$AM,28,FALSE),"")</f>
        <v/>
      </c>
      <c r="AC749" s="14" t="str">
        <f>IFERROR(VLOOKUP($A749,koronahun!$A:$AM,29,FALSE),"")</f>
        <v/>
      </c>
      <c r="AD749" s="14" t="str">
        <f>IFERROR(VLOOKUP($A749,koronahun!$A:$AM,30,FALSE),"")</f>
        <v/>
      </c>
      <c r="AE749" s="14" t="str">
        <f>IFERROR(VLOOKUP($A749,koronahun!$A:$AM,31,FALSE),"")</f>
        <v/>
      </c>
      <c r="AF749" s="13" t="str">
        <f>IFERROR(VLOOKUP($A749,koronahun!$A:$AM,32,FALSE),"")</f>
        <v/>
      </c>
      <c r="AG749" t="str">
        <f>IFERROR(VLOOKUP($A749,koronahun!$A:$AM,33,FALSE),"")</f>
        <v/>
      </c>
      <c r="AH749" t="str">
        <f>IFERROR(VLOOKUP($A749,koronahun!$A:$AM,34,FALSE),"")</f>
        <v/>
      </c>
      <c r="AI749" t="str">
        <f>IFERROR(VLOOKUP($A749,koronahun!$A:$AM,35,FALSE),"")</f>
        <v/>
      </c>
      <c r="AJ749" t="str">
        <f>IFERROR(VLOOKUP($A749,koronahun!$A:$AM,36,FALSE),"")</f>
        <v/>
      </c>
      <c r="AK749" t="str">
        <f>IFERROR(VLOOKUP($A749,koronahun!$A:$AM,37,FALSE),"")</f>
        <v/>
      </c>
      <c r="AL749" t="str">
        <f>IFERROR(VLOOKUP($A749,koronahun!$A:$AM,38,FALSE),"")</f>
        <v/>
      </c>
      <c r="AM749" s="14" t="str">
        <f>IFERROR(VLOOKUP($A749,koronahun!$A:$AM,39,FALSE),"")</f>
        <v/>
      </c>
      <c r="AN749" s="11">
        <f ca="1">IFERROR(__xludf.DUMMYFUNCTION("""COMPUTED_VALUE"""),44641)</f>
        <v>44641</v>
      </c>
      <c r="AO749" s="12">
        <f ca="1">IFERROR(VLOOKUP(AN749,koronahun!A:B,2,FALSE),"")</f>
        <v>1829928</v>
      </c>
      <c r="AP749" s="11">
        <f t="shared" ca="1" si="4"/>
        <v>44641</v>
      </c>
      <c r="AQ749" s="11"/>
      <c r="AR749" s="11"/>
      <c r="AS749" s="11"/>
      <c r="AT749" s="11"/>
    </row>
    <row r="750" spans="1:46" ht="13">
      <c r="A750" s="11"/>
      <c r="B750" t="str">
        <f>IFERROR(VLOOKUP($A750,koronahun!$A:$AM,2,FALSE),"")</f>
        <v/>
      </c>
      <c r="C750" t="str">
        <f>IFERROR(VLOOKUP($A750,koronahun!$A:$AM,3,FALSE),"")</f>
        <v/>
      </c>
      <c r="D750" t="str">
        <f>IFERROR(VLOOKUP($A750,koronahun!$A:$AM,4,FALSE),"")</f>
        <v/>
      </c>
      <c r="E750" t="str">
        <f>IFERROR(VLOOKUP($A750,koronahun!$A:$AM,5,FALSE),"")</f>
        <v/>
      </c>
      <c r="F750" t="str">
        <f>IFERROR(VLOOKUP($A750,koronahun!$A:$AM,6,FALSE),"")</f>
        <v/>
      </c>
      <c r="G750" s="12" t="str">
        <f>IFERROR(VLOOKUP($A750,koronahun!$A:$AM,7,FALSE),"")</f>
        <v/>
      </c>
      <c r="H750" t="str">
        <f>IFERROR(VLOOKUP($A750,koronahun!$A:$AM,8,FALSE),"")</f>
        <v/>
      </c>
      <c r="I750" s="13" t="str">
        <f>IFERROR(VLOOKUP($A750,koronahun!$A:$AM,9,FALSE),"")</f>
        <v/>
      </c>
      <c r="J750" s="13" t="str">
        <f>IFERROR(VLOOKUP($A750,koronahun!$A:$AM,10,FALSE),"")</f>
        <v/>
      </c>
      <c r="K750" s="13" t="str">
        <f>IFERROR(VLOOKUP($A750,koronahun!$A:$AM,11,FALSE),"")</f>
        <v/>
      </c>
      <c r="L750" t="str">
        <f>IFERROR(VLOOKUP($A750,koronahun!$A:$AM,12,FALSE),"")</f>
        <v/>
      </c>
      <c r="M750" s="13" t="str">
        <f>IFERROR(VLOOKUP($A750,koronahun!$A:$AM,13,FALSE),"")</f>
        <v/>
      </c>
      <c r="N750" s="13" t="str">
        <f>IFERROR(VLOOKUP($A750,koronahun!$A:$AM,14,FALSE),"")</f>
        <v/>
      </c>
      <c r="O750" t="str">
        <f>IFERROR(VLOOKUP($A750,koronahun!$A:$AM,15,FALSE),"")</f>
        <v/>
      </c>
      <c r="P750" t="str">
        <f>IFERROR(VLOOKUP($A750,koronahun!$A:$AM,16,FALSE),"")</f>
        <v/>
      </c>
      <c r="Q750" s="13" t="str">
        <f>IFERROR(VLOOKUP($A750,koronahun!$A:$AM,17,FALSE),"")</f>
        <v/>
      </c>
      <c r="R750" t="str">
        <f>IFERROR(VLOOKUP($A750,koronahun!$A:$AM,18,FALSE),"")</f>
        <v/>
      </c>
      <c r="S750" t="str">
        <f>IFERROR(VLOOKUP($A750,koronahun!$A:$AM,19,FALSE),"")</f>
        <v/>
      </c>
      <c r="T750" t="str">
        <f>IFERROR(VLOOKUP($A750,koronahun!$A:$AM,20,FALSE),"")</f>
        <v/>
      </c>
      <c r="U750" t="str">
        <f>IFERROR(VLOOKUP($A750,koronahun!$A:$AM,21,FALSE),"")</f>
        <v/>
      </c>
      <c r="V750" s="13" t="str">
        <f>IFERROR(VLOOKUP($A750,koronahun!$A:$AM,22,FALSE),"")</f>
        <v/>
      </c>
      <c r="W750" t="str">
        <f>IFERROR(VLOOKUP($A750,koronahun!$A:$AM,23,FALSE),"")</f>
        <v/>
      </c>
      <c r="X750" t="str">
        <f>IFERROR(VLOOKUP($A750,koronahun!$A:$AM,24,FALSE),"")</f>
        <v/>
      </c>
      <c r="Y750" s="14" t="str">
        <f>IFERROR(VLOOKUP($A750,koronahun!$A:$AM,25,FALSE),"")</f>
        <v/>
      </c>
      <c r="Z750" s="14" t="str">
        <f>IFERROR(VLOOKUP($A750,koronahun!$A:$AM,26,FALSE),"")</f>
        <v/>
      </c>
      <c r="AA750" s="14" t="str">
        <f>IFERROR(VLOOKUP($A750,koronahun!$A:$AM,27,FALSE),"")</f>
        <v/>
      </c>
      <c r="AB750" s="14" t="str">
        <f>IFERROR(VLOOKUP($A750,koronahun!$A:$AM,28,FALSE),"")</f>
        <v/>
      </c>
      <c r="AC750" s="14" t="str">
        <f>IFERROR(VLOOKUP($A750,koronahun!$A:$AM,29,FALSE),"")</f>
        <v/>
      </c>
      <c r="AD750" s="14" t="str">
        <f>IFERROR(VLOOKUP($A750,koronahun!$A:$AM,30,FALSE),"")</f>
        <v/>
      </c>
      <c r="AE750" s="14" t="str">
        <f>IFERROR(VLOOKUP($A750,koronahun!$A:$AM,31,FALSE),"")</f>
        <v/>
      </c>
      <c r="AF750" s="13" t="str">
        <f>IFERROR(VLOOKUP($A750,koronahun!$A:$AM,32,FALSE),"")</f>
        <v/>
      </c>
      <c r="AG750" t="str">
        <f>IFERROR(VLOOKUP($A750,koronahun!$A:$AM,33,FALSE),"")</f>
        <v/>
      </c>
      <c r="AH750" t="str">
        <f>IFERROR(VLOOKUP($A750,koronahun!$A:$AM,34,FALSE),"")</f>
        <v/>
      </c>
      <c r="AI750" t="str">
        <f>IFERROR(VLOOKUP($A750,koronahun!$A:$AM,35,FALSE),"")</f>
        <v/>
      </c>
      <c r="AJ750" t="str">
        <f>IFERROR(VLOOKUP($A750,koronahun!$A:$AM,36,FALSE),"")</f>
        <v/>
      </c>
      <c r="AK750" t="str">
        <f>IFERROR(VLOOKUP($A750,koronahun!$A:$AM,37,FALSE),"")</f>
        <v/>
      </c>
      <c r="AL750" t="str">
        <f>IFERROR(VLOOKUP($A750,koronahun!$A:$AM,38,FALSE),"")</f>
        <v/>
      </c>
      <c r="AM750" s="14" t="str">
        <f>IFERROR(VLOOKUP($A750,koronahun!$A:$AM,39,FALSE),"")</f>
        <v/>
      </c>
      <c r="AN750" s="11">
        <f ca="1">IFERROR(__xludf.DUMMYFUNCTION("""COMPUTED_VALUE"""),44642)</f>
        <v>44642</v>
      </c>
      <c r="AO750" s="12">
        <f ca="1">IFERROR(VLOOKUP(AN750,koronahun!A:B,2,FALSE),"")</f>
        <v>1831423</v>
      </c>
      <c r="AP750" s="11">
        <f t="shared" ca="1" si="4"/>
        <v>44642</v>
      </c>
      <c r="AQ750" s="11"/>
      <c r="AR750" s="11"/>
      <c r="AS750" s="11"/>
      <c r="AT750" s="11"/>
    </row>
    <row r="751" spans="1:46" ht="13">
      <c r="A751" s="11"/>
      <c r="B751" t="str">
        <f>IFERROR(VLOOKUP($A751,koronahun!$A:$AM,2,FALSE),"")</f>
        <v/>
      </c>
      <c r="C751" t="str">
        <f>IFERROR(VLOOKUP($A751,koronahun!$A:$AM,3,FALSE),"")</f>
        <v/>
      </c>
      <c r="D751" t="str">
        <f>IFERROR(VLOOKUP($A751,koronahun!$A:$AM,4,FALSE),"")</f>
        <v/>
      </c>
      <c r="E751" t="str">
        <f>IFERROR(VLOOKUP($A751,koronahun!$A:$AM,5,FALSE),"")</f>
        <v/>
      </c>
      <c r="F751" t="str">
        <f>IFERROR(VLOOKUP($A751,koronahun!$A:$AM,6,FALSE),"")</f>
        <v/>
      </c>
      <c r="G751" s="12" t="str">
        <f>IFERROR(VLOOKUP($A751,koronahun!$A:$AM,7,FALSE),"")</f>
        <v/>
      </c>
      <c r="H751" t="str">
        <f>IFERROR(VLOOKUP($A751,koronahun!$A:$AM,8,FALSE),"")</f>
        <v/>
      </c>
      <c r="I751" s="13" t="str">
        <f>IFERROR(VLOOKUP($A751,koronahun!$A:$AM,9,FALSE),"")</f>
        <v/>
      </c>
      <c r="J751" s="13" t="str">
        <f>IFERROR(VLOOKUP($A751,koronahun!$A:$AM,10,FALSE),"")</f>
        <v/>
      </c>
      <c r="K751" s="13" t="str">
        <f>IFERROR(VLOOKUP($A751,koronahun!$A:$AM,11,FALSE),"")</f>
        <v/>
      </c>
      <c r="L751" t="str">
        <f>IFERROR(VLOOKUP($A751,koronahun!$A:$AM,12,FALSE),"")</f>
        <v/>
      </c>
      <c r="M751" s="13" t="str">
        <f>IFERROR(VLOOKUP($A751,koronahun!$A:$AM,13,FALSE),"")</f>
        <v/>
      </c>
      <c r="N751" s="13" t="str">
        <f>IFERROR(VLOOKUP($A751,koronahun!$A:$AM,14,FALSE),"")</f>
        <v/>
      </c>
      <c r="O751" t="str">
        <f>IFERROR(VLOOKUP($A751,koronahun!$A:$AM,15,FALSE),"")</f>
        <v/>
      </c>
      <c r="P751" t="str">
        <f>IFERROR(VLOOKUP($A751,koronahun!$A:$AM,16,FALSE),"")</f>
        <v/>
      </c>
      <c r="Q751" s="13" t="str">
        <f>IFERROR(VLOOKUP($A751,koronahun!$A:$AM,17,FALSE),"")</f>
        <v/>
      </c>
      <c r="R751" t="str">
        <f>IFERROR(VLOOKUP($A751,koronahun!$A:$AM,18,FALSE),"")</f>
        <v/>
      </c>
      <c r="S751" t="str">
        <f>IFERROR(VLOOKUP($A751,koronahun!$A:$AM,19,FALSE),"")</f>
        <v/>
      </c>
      <c r="T751" t="str">
        <f>IFERROR(VLOOKUP($A751,koronahun!$A:$AM,20,FALSE),"")</f>
        <v/>
      </c>
      <c r="U751" t="str">
        <f>IFERROR(VLOOKUP($A751,koronahun!$A:$AM,21,FALSE),"")</f>
        <v/>
      </c>
      <c r="V751" s="13" t="str">
        <f>IFERROR(VLOOKUP($A751,koronahun!$A:$AM,22,FALSE),"")</f>
        <v/>
      </c>
      <c r="W751" t="str">
        <f>IFERROR(VLOOKUP($A751,koronahun!$A:$AM,23,FALSE),"")</f>
        <v/>
      </c>
      <c r="X751" t="str">
        <f>IFERROR(VLOOKUP($A751,koronahun!$A:$AM,24,FALSE),"")</f>
        <v/>
      </c>
      <c r="Y751" s="14" t="str">
        <f>IFERROR(VLOOKUP($A751,koronahun!$A:$AM,25,FALSE),"")</f>
        <v/>
      </c>
      <c r="Z751" s="14" t="str">
        <f>IFERROR(VLOOKUP($A751,koronahun!$A:$AM,26,FALSE),"")</f>
        <v/>
      </c>
      <c r="AA751" s="14" t="str">
        <f>IFERROR(VLOOKUP($A751,koronahun!$A:$AM,27,FALSE),"")</f>
        <v/>
      </c>
      <c r="AB751" s="14" t="str">
        <f>IFERROR(VLOOKUP($A751,koronahun!$A:$AM,28,FALSE),"")</f>
        <v/>
      </c>
      <c r="AC751" s="14" t="str">
        <f>IFERROR(VLOOKUP($A751,koronahun!$A:$AM,29,FALSE),"")</f>
        <v/>
      </c>
      <c r="AD751" s="14" t="str">
        <f>IFERROR(VLOOKUP($A751,koronahun!$A:$AM,30,FALSE),"")</f>
        <v/>
      </c>
      <c r="AE751" s="14" t="str">
        <f>IFERROR(VLOOKUP($A751,koronahun!$A:$AM,31,FALSE),"")</f>
        <v/>
      </c>
      <c r="AF751" s="13" t="str">
        <f>IFERROR(VLOOKUP($A751,koronahun!$A:$AM,32,FALSE),"")</f>
        <v/>
      </c>
      <c r="AG751" t="str">
        <f>IFERROR(VLOOKUP($A751,koronahun!$A:$AM,33,FALSE),"")</f>
        <v/>
      </c>
      <c r="AH751" t="str">
        <f>IFERROR(VLOOKUP($A751,koronahun!$A:$AM,34,FALSE),"")</f>
        <v/>
      </c>
      <c r="AI751" t="str">
        <f>IFERROR(VLOOKUP($A751,koronahun!$A:$AM,35,FALSE),"")</f>
        <v/>
      </c>
      <c r="AJ751" t="str">
        <f>IFERROR(VLOOKUP($A751,koronahun!$A:$AM,36,FALSE),"")</f>
        <v/>
      </c>
      <c r="AK751" t="str">
        <f>IFERROR(VLOOKUP($A751,koronahun!$A:$AM,37,FALSE),"")</f>
        <v/>
      </c>
      <c r="AL751" t="str">
        <f>IFERROR(VLOOKUP($A751,koronahun!$A:$AM,38,FALSE),"")</f>
        <v/>
      </c>
      <c r="AM751" s="14" t="str">
        <f>IFERROR(VLOOKUP($A751,koronahun!$A:$AM,39,FALSE),"")</f>
        <v/>
      </c>
      <c r="AN751" s="11">
        <f ca="1">IFERROR(__xludf.DUMMYFUNCTION("""COMPUTED_VALUE"""),44643)</f>
        <v>44643</v>
      </c>
      <c r="AO751" s="12">
        <f ca="1">IFERROR(VLOOKUP(AN751,koronahun!A:B,2,FALSE),"")</f>
        <v>1834268</v>
      </c>
      <c r="AP751" s="11">
        <f t="shared" ca="1" si="4"/>
        <v>44643</v>
      </c>
      <c r="AQ751" s="11"/>
      <c r="AR751" s="11"/>
      <c r="AS751" s="11"/>
      <c r="AT751" s="11"/>
    </row>
    <row r="752" spans="1:46" ht="13">
      <c r="A752" s="11"/>
      <c r="B752" t="str">
        <f>IFERROR(VLOOKUP($A752,koronahun!$A:$AM,2,FALSE),"")</f>
        <v/>
      </c>
      <c r="C752" t="str">
        <f>IFERROR(VLOOKUP($A752,koronahun!$A:$AM,3,FALSE),"")</f>
        <v/>
      </c>
      <c r="D752" t="str">
        <f>IFERROR(VLOOKUP($A752,koronahun!$A:$AM,4,FALSE),"")</f>
        <v/>
      </c>
      <c r="E752" t="str">
        <f>IFERROR(VLOOKUP($A752,koronahun!$A:$AM,5,FALSE),"")</f>
        <v/>
      </c>
      <c r="F752" t="str">
        <f>IFERROR(VLOOKUP($A752,koronahun!$A:$AM,6,FALSE),"")</f>
        <v/>
      </c>
      <c r="G752" s="12" t="str">
        <f>IFERROR(VLOOKUP($A752,koronahun!$A:$AM,7,FALSE),"")</f>
        <v/>
      </c>
      <c r="H752" t="str">
        <f>IFERROR(VLOOKUP($A752,koronahun!$A:$AM,8,FALSE),"")</f>
        <v/>
      </c>
      <c r="I752" s="13" t="str">
        <f>IFERROR(VLOOKUP($A752,koronahun!$A:$AM,9,FALSE),"")</f>
        <v/>
      </c>
      <c r="J752" s="13" t="str">
        <f>IFERROR(VLOOKUP($A752,koronahun!$A:$AM,10,FALSE),"")</f>
        <v/>
      </c>
      <c r="K752" s="13" t="str">
        <f>IFERROR(VLOOKUP($A752,koronahun!$A:$AM,11,FALSE),"")</f>
        <v/>
      </c>
      <c r="L752" t="str">
        <f>IFERROR(VLOOKUP($A752,koronahun!$A:$AM,12,FALSE),"")</f>
        <v/>
      </c>
      <c r="M752" s="13" t="str">
        <f>IFERROR(VLOOKUP($A752,koronahun!$A:$AM,13,FALSE),"")</f>
        <v/>
      </c>
      <c r="N752" s="13" t="str">
        <f>IFERROR(VLOOKUP($A752,koronahun!$A:$AM,14,FALSE),"")</f>
        <v/>
      </c>
      <c r="O752" t="str">
        <f>IFERROR(VLOOKUP($A752,koronahun!$A:$AM,15,FALSE),"")</f>
        <v/>
      </c>
      <c r="P752" t="str">
        <f>IFERROR(VLOOKUP($A752,koronahun!$A:$AM,16,FALSE),"")</f>
        <v/>
      </c>
      <c r="Q752" s="13" t="str">
        <f>IFERROR(VLOOKUP($A752,koronahun!$A:$AM,17,FALSE),"")</f>
        <v/>
      </c>
      <c r="R752" t="str">
        <f>IFERROR(VLOOKUP($A752,koronahun!$A:$AM,18,FALSE),"")</f>
        <v/>
      </c>
      <c r="S752" t="str">
        <f>IFERROR(VLOOKUP($A752,koronahun!$A:$AM,19,FALSE),"")</f>
        <v/>
      </c>
      <c r="T752" t="str">
        <f>IFERROR(VLOOKUP($A752,koronahun!$A:$AM,20,FALSE),"")</f>
        <v/>
      </c>
      <c r="U752" t="str">
        <f>IFERROR(VLOOKUP($A752,koronahun!$A:$AM,21,FALSE),"")</f>
        <v/>
      </c>
      <c r="V752" s="13" t="str">
        <f>IFERROR(VLOOKUP($A752,koronahun!$A:$AM,22,FALSE),"")</f>
        <v/>
      </c>
      <c r="W752" t="str">
        <f>IFERROR(VLOOKUP($A752,koronahun!$A:$AM,23,FALSE),"")</f>
        <v/>
      </c>
      <c r="X752" t="str">
        <f>IFERROR(VLOOKUP($A752,koronahun!$A:$AM,24,FALSE),"")</f>
        <v/>
      </c>
      <c r="Y752" s="14" t="str">
        <f>IFERROR(VLOOKUP($A752,koronahun!$A:$AM,25,FALSE),"")</f>
        <v/>
      </c>
      <c r="Z752" s="14" t="str">
        <f>IFERROR(VLOOKUP($A752,koronahun!$A:$AM,26,FALSE),"")</f>
        <v/>
      </c>
      <c r="AA752" s="14" t="str">
        <f>IFERROR(VLOOKUP($A752,koronahun!$A:$AM,27,FALSE),"")</f>
        <v/>
      </c>
      <c r="AB752" s="14" t="str">
        <f>IFERROR(VLOOKUP($A752,koronahun!$A:$AM,28,FALSE),"")</f>
        <v/>
      </c>
      <c r="AC752" s="14" t="str">
        <f>IFERROR(VLOOKUP($A752,koronahun!$A:$AM,29,FALSE),"")</f>
        <v/>
      </c>
      <c r="AD752" s="14" t="str">
        <f>IFERROR(VLOOKUP($A752,koronahun!$A:$AM,30,FALSE),"")</f>
        <v/>
      </c>
      <c r="AE752" s="14" t="str">
        <f>IFERROR(VLOOKUP($A752,koronahun!$A:$AM,31,FALSE),"")</f>
        <v/>
      </c>
      <c r="AF752" s="13" t="str">
        <f>IFERROR(VLOOKUP($A752,koronahun!$A:$AM,32,FALSE),"")</f>
        <v/>
      </c>
      <c r="AG752" t="str">
        <f>IFERROR(VLOOKUP($A752,koronahun!$A:$AM,33,FALSE),"")</f>
        <v/>
      </c>
      <c r="AH752" t="str">
        <f>IFERROR(VLOOKUP($A752,koronahun!$A:$AM,34,FALSE),"")</f>
        <v/>
      </c>
      <c r="AI752" t="str">
        <f>IFERROR(VLOOKUP($A752,koronahun!$A:$AM,35,FALSE),"")</f>
        <v/>
      </c>
      <c r="AJ752" t="str">
        <f>IFERROR(VLOOKUP($A752,koronahun!$A:$AM,36,FALSE),"")</f>
        <v/>
      </c>
      <c r="AK752" t="str">
        <f>IFERROR(VLOOKUP($A752,koronahun!$A:$AM,37,FALSE),"")</f>
        <v/>
      </c>
      <c r="AL752" t="str">
        <f>IFERROR(VLOOKUP($A752,koronahun!$A:$AM,38,FALSE),"")</f>
        <v/>
      </c>
      <c r="AM752" s="14" t="str">
        <f>IFERROR(VLOOKUP($A752,koronahun!$A:$AM,39,FALSE),"")</f>
        <v/>
      </c>
      <c r="AN752" s="11">
        <f ca="1">IFERROR(__xludf.DUMMYFUNCTION("""COMPUTED_VALUE"""),44644)</f>
        <v>44644</v>
      </c>
      <c r="AO752" s="12">
        <f ca="1">IFERROR(VLOOKUP(AN752,koronahun!A:B,2,FALSE),"")</f>
        <v>1836919</v>
      </c>
      <c r="AP752" s="11">
        <f t="shared" ca="1" si="4"/>
        <v>44644</v>
      </c>
      <c r="AQ752" s="11"/>
      <c r="AR752" s="11"/>
      <c r="AS752" s="11"/>
      <c r="AT752" s="11"/>
    </row>
    <row r="753" spans="1:46" ht="13">
      <c r="A753" s="11"/>
      <c r="B753" t="str">
        <f>IFERROR(VLOOKUP($A753,koronahun!$A:$AM,2,FALSE),"")</f>
        <v/>
      </c>
      <c r="C753" t="str">
        <f>IFERROR(VLOOKUP($A753,koronahun!$A:$AM,3,FALSE),"")</f>
        <v/>
      </c>
      <c r="D753" t="str">
        <f>IFERROR(VLOOKUP($A753,koronahun!$A:$AM,4,FALSE),"")</f>
        <v/>
      </c>
      <c r="E753" t="str">
        <f>IFERROR(VLOOKUP($A753,koronahun!$A:$AM,5,FALSE),"")</f>
        <v/>
      </c>
      <c r="F753" t="str">
        <f>IFERROR(VLOOKUP($A753,koronahun!$A:$AM,6,FALSE),"")</f>
        <v/>
      </c>
      <c r="G753" s="12" t="str">
        <f>IFERROR(VLOOKUP($A753,koronahun!$A:$AM,7,FALSE),"")</f>
        <v/>
      </c>
      <c r="H753" t="str">
        <f>IFERROR(VLOOKUP($A753,koronahun!$A:$AM,8,FALSE),"")</f>
        <v/>
      </c>
      <c r="I753" s="13" t="str">
        <f>IFERROR(VLOOKUP($A753,koronahun!$A:$AM,9,FALSE),"")</f>
        <v/>
      </c>
      <c r="J753" s="13" t="str">
        <f>IFERROR(VLOOKUP($A753,koronahun!$A:$AM,10,FALSE),"")</f>
        <v/>
      </c>
      <c r="K753" s="13" t="str">
        <f>IFERROR(VLOOKUP($A753,koronahun!$A:$AM,11,FALSE),"")</f>
        <v/>
      </c>
      <c r="L753" t="str">
        <f>IFERROR(VLOOKUP($A753,koronahun!$A:$AM,12,FALSE),"")</f>
        <v/>
      </c>
      <c r="M753" s="13" t="str">
        <f>IFERROR(VLOOKUP($A753,koronahun!$A:$AM,13,FALSE),"")</f>
        <v/>
      </c>
      <c r="N753" s="13" t="str">
        <f>IFERROR(VLOOKUP($A753,koronahun!$A:$AM,14,FALSE),"")</f>
        <v/>
      </c>
      <c r="O753" t="str">
        <f>IFERROR(VLOOKUP($A753,koronahun!$A:$AM,15,FALSE),"")</f>
        <v/>
      </c>
      <c r="P753" t="str">
        <f>IFERROR(VLOOKUP($A753,koronahun!$A:$AM,16,FALSE),"")</f>
        <v/>
      </c>
      <c r="Q753" s="13" t="str">
        <f>IFERROR(VLOOKUP($A753,koronahun!$A:$AM,17,FALSE),"")</f>
        <v/>
      </c>
      <c r="R753" t="str">
        <f>IFERROR(VLOOKUP($A753,koronahun!$A:$AM,18,FALSE),"")</f>
        <v/>
      </c>
      <c r="S753" t="str">
        <f>IFERROR(VLOOKUP($A753,koronahun!$A:$AM,19,FALSE),"")</f>
        <v/>
      </c>
      <c r="T753" t="str">
        <f>IFERROR(VLOOKUP($A753,koronahun!$A:$AM,20,FALSE),"")</f>
        <v/>
      </c>
      <c r="U753" t="str">
        <f>IFERROR(VLOOKUP($A753,koronahun!$A:$AM,21,FALSE),"")</f>
        <v/>
      </c>
      <c r="V753" s="13" t="str">
        <f>IFERROR(VLOOKUP($A753,koronahun!$A:$AM,22,FALSE),"")</f>
        <v/>
      </c>
      <c r="W753" t="str">
        <f>IFERROR(VLOOKUP($A753,koronahun!$A:$AM,23,FALSE),"")</f>
        <v/>
      </c>
      <c r="X753" t="str">
        <f>IFERROR(VLOOKUP($A753,koronahun!$A:$AM,24,FALSE),"")</f>
        <v/>
      </c>
      <c r="Y753" s="14" t="str">
        <f>IFERROR(VLOOKUP($A753,koronahun!$A:$AM,25,FALSE),"")</f>
        <v/>
      </c>
      <c r="Z753" s="14" t="str">
        <f>IFERROR(VLOOKUP($A753,koronahun!$A:$AM,26,FALSE),"")</f>
        <v/>
      </c>
      <c r="AA753" s="14" t="str">
        <f>IFERROR(VLOOKUP($A753,koronahun!$A:$AM,27,FALSE),"")</f>
        <v/>
      </c>
      <c r="AB753" s="14" t="str">
        <f>IFERROR(VLOOKUP($A753,koronahun!$A:$AM,28,FALSE),"")</f>
        <v/>
      </c>
      <c r="AC753" s="14" t="str">
        <f>IFERROR(VLOOKUP($A753,koronahun!$A:$AM,29,FALSE),"")</f>
        <v/>
      </c>
      <c r="AD753" s="14" t="str">
        <f>IFERROR(VLOOKUP($A753,koronahun!$A:$AM,30,FALSE),"")</f>
        <v/>
      </c>
      <c r="AE753" s="14" t="str">
        <f>IFERROR(VLOOKUP($A753,koronahun!$A:$AM,31,FALSE),"")</f>
        <v/>
      </c>
      <c r="AF753" s="13" t="str">
        <f>IFERROR(VLOOKUP($A753,koronahun!$A:$AM,32,FALSE),"")</f>
        <v/>
      </c>
      <c r="AG753" t="str">
        <f>IFERROR(VLOOKUP($A753,koronahun!$A:$AM,33,FALSE),"")</f>
        <v/>
      </c>
      <c r="AH753" t="str">
        <f>IFERROR(VLOOKUP($A753,koronahun!$A:$AM,34,FALSE),"")</f>
        <v/>
      </c>
      <c r="AI753" t="str">
        <f>IFERROR(VLOOKUP($A753,koronahun!$A:$AM,35,FALSE),"")</f>
        <v/>
      </c>
      <c r="AJ753" t="str">
        <f>IFERROR(VLOOKUP($A753,koronahun!$A:$AM,36,FALSE),"")</f>
        <v/>
      </c>
      <c r="AK753" t="str">
        <f>IFERROR(VLOOKUP($A753,koronahun!$A:$AM,37,FALSE),"")</f>
        <v/>
      </c>
      <c r="AL753" t="str">
        <f>IFERROR(VLOOKUP($A753,koronahun!$A:$AM,38,FALSE),"")</f>
        <v/>
      </c>
      <c r="AM753" s="14" t="str">
        <f>IFERROR(VLOOKUP($A753,koronahun!$A:$AM,39,FALSE),"")</f>
        <v/>
      </c>
      <c r="AN753" s="11">
        <f ca="1">IFERROR(__xludf.DUMMYFUNCTION("""COMPUTED_VALUE"""),44645)</f>
        <v>44645</v>
      </c>
      <c r="AO753" s="12">
        <f ca="1">IFERROR(VLOOKUP(AN753,koronahun!A:B,2,FALSE),"")</f>
        <v>1839358</v>
      </c>
      <c r="AP753" s="11">
        <f t="shared" ca="1" si="4"/>
        <v>44645</v>
      </c>
      <c r="AQ753" s="11"/>
      <c r="AR753" s="11"/>
      <c r="AS753" s="11"/>
      <c r="AT753" s="11"/>
    </row>
    <row r="754" spans="1:46" ht="13">
      <c r="A754" s="11"/>
      <c r="B754" t="str">
        <f>IFERROR(VLOOKUP($A754,koronahun!$A:$AM,2,FALSE),"")</f>
        <v/>
      </c>
      <c r="C754" t="str">
        <f>IFERROR(VLOOKUP($A754,koronahun!$A:$AM,3,FALSE),"")</f>
        <v/>
      </c>
      <c r="D754" t="str">
        <f>IFERROR(VLOOKUP($A754,koronahun!$A:$AM,4,FALSE),"")</f>
        <v/>
      </c>
      <c r="E754" t="str">
        <f>IFERROR(VLOOKUP($A754,koronahun!$A:$AM,5,FALSE),"")</f>
        <v/>
      </c>
      <c r="F754" t="str">
        <f>IFERROR(VLOOKUP($A754,koronahun!$A:$AM,6,FALSE),"")</f>
        <v/>
      </c>
      <c r="G754" s="12" t="str">
        <f>IFERROR(VLOOKUP($A754,koronahun!$A:$AM,7,FALSE),"")</f>
        <v/>
      </c>
      <c r="H754" t="str">
        <f>IFERROR(VLOOKUP($A754,koronahun!$A:$AM,8,FALSE),"")</f>
        <v/>
      </c>
      <c r="I754" s="13" t="str">
        <f>IFERROR(VLOOKUP($A754,koronahun!$A:$AM,9,FALSE),"")</f>
        <v/>
      </c>
      <c r="J754" s="13" t="str">
        <f>IFERROR(VLOOKUP($A754,koronahun!$A:$AM,10,FALSE),"")</f>
        <v/>
      </c>
      <c r="K754" s="13" t="str">
        <f>IFERROR(VLOOKUP($A754,koronahun!$A:$AM,11,FALSE),"")</f>
        <v/>
      </c>
      <c r="L754" t="str">
        <f>IFERROR(VLOOKUP($A754,koronahun!$A:$AM,12,FALSE),"")</f>
        <v/>
      </c>
      <c r="M754" s="13" t="str">
        <f>IFERROR(VLOOKUP($A754,koronahun!$A:$AM,13,FALSE),"")</f>
        <v/>
      </c>
      <c r="N754" s="13" t="str">
        <f>IFERROR(VLOOKUP($A754,koronahun!$A:$AM,14,FALSE),"")</f>
        <v/>
      </c>
      <c r="O754" t="str">
        <f>IFERROR(VLOOKUP($A754,koronahun!$A:$AM,15,FALSE),"")</f>
        <v/>
      </c>
      <c r="P754" t="str">
        <f>IFERROR(VLOOKUP($A754,koronahun!$A:$AM,16,FALSE),"")</f>
        <v/>
      </c>
      <c r="Q754" s="13" t="str">
        <f>IFERROR(VLOOKUP($A754,koronahun!$A:$AM,17,FALSE),"")</f>
        <v/>
      </c>
      <c r="R754" t="str">
        <f>IFERROR(VLOOKUP($A754,koronahun!$A:$AM,18,FALSE),"")</f>
        <v/>
      </c>
      <c r="S754" t="str">
        <f>IFERROR(VLOOKUP($A754,koronahun!$A:$AM,19,FALSE),"")</f>
        <v/>
      </c>
      <c r="T754" t="str">
        <f>IFERROR(VLOOKUP($A754,koronahun!$A:$AM,20,FALSE),"")</f>
        <v/>
      </c>
      <c r="U754" t="str">
        <f>IFERROR(VLOOKUP($A754,koronahun!$A:$AM,21,FALSE),"")</f>
        <v/>
      </c>
      <c r="V754" s="13" t="str">
        <f>IFERROR(VLOOKUP($A754,koronahun!$A:$AM,22,FALSE),"")</f>
        <v/>
      </c>
      <c r="W754" t="str">
        <f>IFERROR(VLOOKUP($A754,koronahun!$A:$AM,23,FALSE),"")</f>
        <v/>
      </c>
      <c r="X754" t="str">
        <f>IFERROR(VLOOKUP($A754,koronahun!$A:$AM,24,FALSE),"")</f>
        <v/>
      </c>
      <c r="Y754" s="14" t="str">
        <f>IFERROR(VLOOKUP($A754,koronahun!$A:$AM,25,FALSE),"")</f>
        <v/>
      </c>
      <c r="Z754" s="14" t="str">
        <f>IFERROR(VLOOKUP($A754,koronahun!$A:$AM,26,FALSE),"")</f>
        <v/>
      </c>
      <c r="AA754" s="14" t="str">
        <f>IFERROR(VLOOKUP($A754,koronahun!$A:$AM,27,FALSE),"")</f>
        <v/>
      </c>
      <c r="AB754" s="14" t="str">
        <f>IFERROR(VLOOKUP($A754,koronahun!$A:$AM,28,FALSE),"")</f>
        <v/>
      </c>
      <c r="AC754" s="14" t="str">
        <f>IFERROR(VLOOKUP($A754,koronahun!$A:$AM,29,FALSE),"")</f>
        <v/>
      </c>
      <c r="AD754" s="14" t="str">
        <f>IFERROR(VLOOKUP($A754,koronahun!$A:$AM,30,FALSE),"")</f>
        <v/>
      </c>
      <c r="AE754" s="14" t="str">
        <f>IFERROR(VLOOKUP($A754,koronahun!$A:$AM,31,FALSE),"")</f>
        <v/>
      </c>
      <c r="AF754" s="13" t="str">
        <f>IFERROR(VLOOKUP($A754,koronahun!$A:$AM,32,FALSE),"")</f>
        <v/>
      </c>
      <c r="AG754" t="str">
        <f>IFERROR(VLOOKUP($A754,koronahun!$A:$AM,33,FALSE),"")</f>
        <v/>
      </c>
      <c r="AH754" t="str">
        <f>IFERROR(VLOOKUP($A754,koronahun!$A:$AM,34,FALSE),"")</f>
        <v/>
      </c>
      <c r="AI754" t="str">
        <f>IFERROR(VLOOKUP($A754,koronahun!$A:$AM,35,FALSE),"")</f>
        <v/>
      </c>
      <c r="AJ754" t="str">
        <f>IFERROR(VLOOKUP($A754,koronahun!$A:$AM,36,FALSE),"")</f>
        <v/>
      </c>
      <c r="AK754" t="str">
        <f>IFERROR(VLOOKUP($A754,koronahun!$A:$AM,37,FALSE),"")</f>
        <v/>
      </c>
      <c r="AL754" t="str">
        <f>IFERROR(VLOOKUP($A754,koronahun!$A:$AM,38,FALSE),"")</f>
        <v/>
      </c>
      <c r="AM754" s="14" t="str">
        <f>IFERROR(VLOOKUP($A754,koronahun!$A:$AM,39,FALSE),"")</f>
        <v/>
      </c>
      <c r="AN754" s="11">
        <f ca="1">IFERROR(__xludf.DUMMYFUNCTION("""COMPUTED_VALUE"""),44646)</f>
        <v>44646</v>
      </c>
      <c r="AO754" s="12">
        <f ca="1">IFERROR(VLOOKUP(AN754,koronahun!A:B,2,FALSE),"")</f>
        <v>0</v>
      </c>
      <c r="AP754" s="11">
        <f t="shared" ca="1" si="4"/>
        <v>44646</v>
      </c>
      <c r="AQ754" s="11"/>
      <c r="AR754" s="11"/>
      <c r="AS754" s="11"/>
      <c r="AT754" s="11"/>
    </row>
    <row r="755" spans="1:46" ht="13">
      <c r="A755" s="11"/>
      <c r="B755" t="str">
        <f>IFERROR(VLOOKUP($A755,koronahun!$A:$AM,2,FALSE),"")</f>
        <v/>
      </c>
      <c r="C755" t="str">
        <f>IFERROR(VLOOKUP($A755,koronahun!$A:$AM,3,FALSE),"")</f>
        <v/>
      </c>
      <c r="D755" t="str">
        <f>IFERROR(VLOOKUP($A755,koronahun!$A:$AM,4,FALSE),"")</f>
        <v/>
      </c>
      <c r="E755" t="str">
        <f>IFERROR(VLOOKUP($A755,koronahun!$A:$AM,5,FALSE),"")</f>
        <v/>
      </c>
      <c r="F755" t="str">
        <f>IFERROR(VLOOKUP($A755,koronahun!$A:$AM,6,FALSE),"")</f>
        <v/>
      </c>
      <c r="G755" s="12" t="str">
        <f>IFERROR(VLOOKUP($A755,koronahun!$A:$AM,7,FALSE),"")</f>
        <v/>
      </c>
      <c r="H755" t="str">
        <f>IFERROR(VLOOKUP($A755,koronahun!$A:$AM,8,FALSE),"")</f>
        <v/>
      </c>
      <c r="I755" s="13" t="str">
        <f>IFERROR(VLOOKUP($A755,koronahun!$A:$AM,9,FALSE),"")</f>
        <v/>
      </c>
      <c r="J755" s="13" t="str">
        <f>IFERROR(VLOOKUP($A755,koronahun!$A:$AM,10,FALSE),"")</f>
        <v/>
      </c>
      <c r="K755" s="13" t="str">
        <f>IFERROR(VLOOKUP($A755,koronahun!$A:$AM,11,FALSE),"")</f>
        <v/>
      </c>
      <c r="L755" t="str">
        <f>IFERROR(VLOOKUP($A755,koronahun!$A:$AM,12,FALSE),"")</f>
        <v/>
      </c>
      <c r="M755" s="13" t="str">
        <f>IFERROR(VLOOKUP($A755,koronahun!$A:$AM,13,FALSE),"")</f>
        <v/>
      </c>
      <c r="N755" s="13" t="str">
        <f>IFERROR(VLOOKUP($A755,koronahun!$A:$AM,14,FALSE),"")</f>
        <v/>
      </c>
      <c r="O755" t="str">
        <f>IFERROR(VLOOKUP($A755,koronahun!$A:$AM,15,FALSE),"")</f>
        <v/>
      </c>
      <c r="P755" t="str">
        <f>IFERROR(VLOOKUP($A755,koronahun!$A:$AM,16,FALSE),"")</f>
        <v/>
      </c>
      <c r="Q755" s="13" t="str">
        <f>IFERROR(VLOOKUP($A755,koronahun!$A:$AM,17,FALSE),"")</f>
        <v/>
      </c>
      <c r="R755" t="str">
        <f>IFERROR(VLOOKUP($A755,koronahun!$A:$AM,18,FALSE),"")</f>
        <v/>
      </c>
      <c r="S755" t="str">
        <f>IFERROR(VLOOKUP($A755,koronahun!$A:$AM,19,FALSE),"")</f>
        <v/>
      </c>
      <c r="T755" t="str">
        <f>IFERROR(VLOOKUP($A755,koronahun!$A:$AM,20,FALSE),"")</f>
        <v/>
      </c>
      <c r="U755" t="str">
        <f>IFERROR(VLOOKUP($A755,koronahun!$A:$AM,21,FALSE),"")</f>
        <v/>
      </c>
      <c r="V755" s="13" t="str">
        <f>IFERROR(VLOOKUP($A755,koronahun!$A:$AM,22,FALSE),"")</f>
        <v/>
      </c>
      <c r="W755" t="str">
        <f>IFERROR(VLOOKUP($A755,koronahun!$A:$AM,23,FALSE),"")</f>
        <v/>
      </c>
      <c r="X755" t="str">
        <f>IFERROR(VLOOKUP($A755,koronahun!$A:$AM,24,FALSE),"")</f>
        <v/>
      </c>
      <c r="Y755" s="14" t="str">
        <f>IFERROR(VLOOKUP($A755,koronahun!$A:$AM,25,FALSE),"")</f>
        <v/>
      </c>
      <c r="Z755" s="14" t="str">
        <f>IFERROR(VLOOKUP($A755,koronahun!$A:$AM,26,FALSE),"")</f>
        <v/>
      </c>
      <c r="AA755" s="14" t="str">
        <f>IFERROR(VLOOKUP($A755,koronahun!$A:$AM,27,FALSE),"")</f>
        <v/>
      </c>
      <c r="AB755" s="14" t="str">
        <f>IFERROR(VLOOKUP($A755,koronahun!$A:$AM,28,FALSE),"")</f>
        <v/>
      </c>
      <c r="AC755" s="14" t="str">
        <f>IFERROR(VLOOKUP($A755,koronahun!$A:$AM,29,FALSE),"")</f>
        <v/>
      </c>
      <c r="AD755" s="14" t="str">
        <f>IFERROR(VLOOKUP($A755,koronahun!$A:$AM,30,FALSE),"")</f>
        <v/>
      </c>
      <c r="AE755" s="14" t="str">
        <f>IFERROR(VLOOKUP($A755,koronahun!$A:$AM,31,FALSE),"")</f>
        <v/>
      </c>
      <c r="AF755" s="13" t="str">
        <f>IFERROR(VLOOKUP($A755,koronahun!$A:$AM,32,FALSE),"")</f>
        <v/>
      </c>
      <c r="AG755" t="str">
        <f>IFERROR(VLOOKUP($A755,koronahun!$A:$AM,33,FALSE),"")</f>
        <v/>
      </c>
      <c r="AH755" t="str">
        <f>IFERROR(VLOOKUP($A755,koronahun!$A:$AM,34,FALSE),"")</f>
        <v/>
      </c>
      <c r="AI755" t="str">
        <f>IFERROR(VLOOKUP($A755,koronahun!$A:$AM,35,FALSE),"")</f>
        <v/>
      </c>
      <c r="AJ755" t="str">
        <f>IFERROR(VLOOKUP($A755,koronahun!$A:$AM,36,FALSE),"")</f>
        <v/>
      </c>
      <c r="AK755" t="str">
        <f>IFERROR(VLOOKUP($A755,koronahun!$A:$AM,37,FALSE),"")</f>
        <v/>
      </c>
      <c r="AL755" t="str">
        <f>IFERROR(VLOOKUP($A755,koronahun!$A:$AM,38,FALSE),"")</f>
        <v/>
      </c>
      <c r="AM755" s="14" t="str">
        <f>IFERROR(VLOOKUP($A755,koronahun!$A:$AM,39,FALSE),"")</f>
        <v/>
      </c>
      <c r="AN755" s="11">
        <f ca="1">IFERROR(__xludf.DUMMYFUNCTION("""COMPUTED_VALUE"""),44647)</f>
        <v>44647</v>
      </c>
      <c r="AO755" s="12">
        <f ca="1">IFERROR(VLOOKUP(AN755,koronahun!A:B,2,FALSE),"")</f>
        <v>0</v>
      </c>
      <c r="AP755" s="11">
        <f t="shared" ca="1" si="4"/>
        <v>44647</v>
      </c>
      <c r="AQ755" s="11"/>
      <c r="AR755" s="11"/>
      <c r="AS755" s="11"/>
      <c r="AT755" s="11"/>
    </row>
    <row r="756" spans="1:46" ht="13">
      <c r="A756" s="11"/>
      <c r="B756" t="str">
        <f>IFERROR(VLOOKUP($A756,koronahun!$A:$AM,2,FALSE),"")</f>
        <v/>
      </c>
      <c r="C756" t="str">
        <f>IFERROR(VLOOKUP($A756,koronahun!$A:$AM,3,FALSE),"")</f>
        <v/>
      </c>
      <c r="D756" t="str">
        <f>IFERROR(VLOOKUP($A756,koronahun!$A:$AM,4,FALSE),"")</f>
        <v/>
      </c>
      <c r="E756" t="str">
        <f>IFERROR(VLOOKUP($A756,koronahun!$A:$AM,5,FALSE),"")</f>
        <v/>
      </c>
      <c r="F756" t="str">
        <f>IFERROR(VLOOKUP($A756,koronahun!$A:$AM,6,FALSE),"")</f>
        <v/>
      </c>
      <c r="G756" s="12" t="str">
        <f>IFERROR(VLOOKUP($A756,koronahun!$A:$AM,7,FALSE),"")</f>
        <v/>
      </c>
      <c r="H756" t="str">
        <f>IFERROR(VLOOKUP($A756,koronahun!$A:$AM,8,FALSE),"")</f>
        <v/>
      </c>
      <c r="I756" s="13" t="str">
        <f>IFERROR(VLOOKUP($A756,koronahun!$A:$AM,9,FALSE),"")</f>
        <v/>
      </c>
      <c r="J756" s="13" t="str">
        <f>IFERROR(VLOOKUP($A756,koronahun!$A:$AM,10,FALSE),"")</f>
        <v/>
      </c>
      <c r="K756" s="13" t="str">
        <f>IFERROR(VLOOKUP($A756,koronahun!$A:$AM,11,FALSE),"")</f>
        <v/>
      </c>
      <c r="L756" t="str">
        <f>IFERROR(VLOOKUP($A756,koronahun!$A:$AM,12,FALSE),"")</f>
        <v/>
      </c>
      <c r="M756" s="13" t="str">
        <f>IFERROR(VLOOKUP($A756,koronahun!$A:$AM,13,FALSE),"")</f>
        <v/>
      </c>
      <c r="N756" s="13" t="str">
        <f>IFERROR(VLOOKUP($A756,koronahun!$A:$AM,14,FALSE),"")</f>
        <v/>
      </c>
      <c r="O756" t="str">
        <f>IFERROR(VLOOKUP($A756,koronahun!$A:$AM,15,FALSE),"")</f>
        <v/>
      </c>
      <c r="P756" t="str">
        <f>IFERROR(VLOOKUP($A756,koronahun!$A:$AM,16,FALSE),"")</f>
        <v/>
      </c>
      <c r="Q756" s="13" t="str">
        <f>IFERROR(VLOOKUP($A756,koronahun!$A:$AM,17,FALSE),"")</f>
        <v/>
      </c>
      <c r="R756" t="str">
        <f>IFERROR(VLOOKUP($A756,koronahun!$A:$AM,18,FALSE),"")</f>
        <v/>
      </c>
      <c r="S756" t="str">
        <f>IFERROR(VLOOKUP($A756,koronahun!$A:$AM,19,FALSE),"")</f>
        <v/>
      </c>
      <c r="T756" t="str">
        <f>IFERROR(VLOOKUP($A756,koronahun!$A:$AM,20,FALSE),"")</f>
        <v/>
      </c>
      <c r="U756" t="str">
        <f>IFERROR(VLOOKUP($A756,koronahun!$A:$AM,21,FALSE),"")</f>
        <v/>
      </c>
      <c r="V756" s="13" t="str">
        <f>IFERROR(VLOOKUP($A756,koronahun!$A:$AM,22,FALSE),"")</f>
        <v/>
      </c>
      <c r="W756" t="str">
        <f>IFERROR(VLOOKUP($A756,koronahun!$A:$AM,23,FALSE),"")</f>
        <v/>
      </c>
      <c r="X756" t="str">
        <f>IFERROR(VLOOKUP($A756,koronahun!$A:$AM,24,FALSE),"")</f>
        <v/>
      </c>
      <c r="Y756" s="14" t="str">
        <f>IFERROR(VLOOKUP($A756,koronahun!$A:$AM,25,FALSE),"")</f>
        <v/>
      </c>
      <c r="Z756" s="14" t="str">
        <f>IFERROR(VLOOKUP($A756,koronahun!$A:$AM,26,FALSE),"")</f>
        <v/>
      </c>
      <c r="AA756" s="14" t="str">
        <f>IFERROR(VLOOKUP($A756,koronahun!$A:$AM,27,FALSE),"")</f>
        <v/>
      </c>
      <c r="AB756" s="14" t="str">
        <f>IFERROR(VLOOKUP($A756,koronahun!$A:$AM,28,FALSE),"")</f>
        <v/>
      </c>
      <c r="AC756" s="14" t="str">
        <f>IFERROR(VLOOKUP($A756,koronahun!$A:$AM,29,FALSE),"")</f>
        <v/>
      </c>
      <c r="AD756" s="14" t="str">
        <f>IFERROR(VLOOKUP($A756,koronahun!$A:$AM,30,FALSE),"")</f>
        <v/>
      </c>
      <c r="AE756" s="14" t="str">
        <f>IFERROR(VLOOKUP($A756,koronahun!$A:$AM,31,FALSE),"")</f>
        <v/>
      </c>
      <c r="AF756" s="13" t="str">
        <f>IFERROR(VLOOKUP($A756,koronahun!$A:$AM,32,FALSE),"")</f>
        <v/>
      </c>
      <c r="AG756" t="str">
        <f>IFERROR(VLOOKUP($A756,koronahun!$A:$AM,33,FALSE),"")</f>
        <v/>
      </c>
      <c r="AH756" t="str">
        <f>IFERROR(VLOOKUP($A756,koronahun!$A:$AM,34,FALSE),"")</f>
        <v/>
      </c>
      <c r="AI756" t="str">
        <f>IFERROR(VLOOKUP($A756,koronahun!$A:$AM,35,FALSE),"")</f>
        <v/>
      </c>
      <c r="AJ756" t="str">
        <f>IFERROR(VLOOKUP($A756,koronahun!$A:$AM,36,FALSE),"")</f>
        <v/>
      </c>
      <c r="AK756" t="str">
        <f>IFERROR(VLOOKUP($A756,koronahun!$A:$AM,37,FALSE),"")</f>
        <v/>
      </c>
      <c r="AL756" t="str">
        <f>IFERROR(VLOOKUP($A756,koronahun!$A:$AM,38,FALSE),"")</f>
        <v/>
      </c>
      <c r="AM756" s="14" t="str">
        <f>IFERROR(VLOOKUP($A756,koronahun!$A:$AM,39,FALSE),"")</f>
        <v/>
      </c>
      <c r="AN756" s="11">
        <f ca="1">IFERROR(__xludf.DUMMYFUNCTION("""COMPUTED_VALUE"""),44648)</f>
        <v>44648</v>
      </c>
      <c r="AO756" s="12">
        <f ca="1">IFERROR(VLOOKUP(AN756,koronahun!A:B,2,FALSE),"")</f>
        <v>1844581</v>
      </c>
      <c r="AP756" s="11">
        <f t="shared" ca="1" si="4"/>
        <v>44648</v>
      </c>
      <c r="AQ756" s="11"/>
      <c r="AR756" s="11"/>
      <c r="AS756" s="11"/>
      <c r="AT756" s="11"/>
    </row>
    <row r="757" spans="1:46" ht="13">
      <c r="A757" s="11"/>
      <c r="B757" t="str">
        <f>IFERROR(VLOOKUP($A757,koronahun!$A:$AM,2,FALSE),"")</f>
        <v/>
      </c>
      <c r="C757" t="str">
        <f>IFERROR(VLOOKUP($A757,koronahun!$A:$AM,3,FALSE),"")</f>
        <v/>
      </c>
      <c r="D757" t="str">
        <f>IFERROR(VLOOKUP($A757,koronahun!$A:$AM,4,FALSE),"")</f>
        <v/>
      </c>
      <c r="E757" t="str">
        <f>IFERROR(VLOOKUP($A757,koronahun!$A:$AM,5,FALSE),"")</f>
        <v/>
      </c>
      <c r="F757" t="str">
        <f>IFERROR(VLOOKUP($A757,koronahun!$A:$AM,6,FALSE),"")</f>
        <v/>
      </c>
      <c r="G757" s="12" t="str">
        <f>IFERROR(VLOOKUP($A757,koronahun!$A:$AM,7,FALSE),"")</f>
        <v/>
      </c>
      <c r="H757" t="str">
        <f>IFERROR(VLOOKUP($A757,koronahun!$A:$AM,8,FALSE),"")</f>
        <v/>
      </c>
      <c r="I757" s="13" t="str">
        <f>IFERROR(VLOOKUP($A757,koronahun!$A:$AM,9,FALSE),"")</f>
        <v/>
      </c>
      <c r="J757" s="13" t="str">
        <f>IFERROR(VLOOKUP($A757,koronahun!$A:$AM,10,FALSE),"")</f>
        <v/>
      </c>
      <c r="K757" s="13" t="str">
        <f>IFERROR(VLOOKUP($A757,koronahun!$A:$AM,11,FALSE),"")</f>
        <v/>
      </c>
      <c r="L757" t="str">
        <f>IFERROR(VLOOKUP($A757,koronahun!$A:$AM,12,FALSE),"")</f>
        <v/>
      </c>
      <c r="M757" s="13" t="str">
        <f>IFERROR(VLOOKUP($A757,koronahun!$A:$AM,13,FALSE),"")</f>
        <v/>
      </c>
      <c r="N757" s="13" t="str">
        <f>IFERROR(VLOOKUP($A757,koronahun!$A:$AM,14,FALSE),"")</f>
        <v/>
      </c>
      <c r="O757" t="str">
        <f>IFERROR(VLOOKUP($A757,koronahun!$A:$AM,15,FALSE),"")</f>
        <v/>
      </c>
      <c r="P757" t="str">
        <f>IFERROR(VLOOKUP($A757,koronahun!$A:$AM,16,FALSE),"")</f>
        <v/>
      </c>
      <c r="Q757" s="13" t="str">
        <f>IFERROR(VLOOKUP($A757,koronahun!$A:$AM,17,FALSE),"")</f>
        <v/>
      </c>
      <c r="R757" t="str">
        <f>IFERROR(VLOOKUP($A757,koronahun!$A:$AM,18,FALSE),"")</f>
        <v/>
      </c>
      <c r="S757" t="str">
        <f>IFERROR(VLOOKUP($A757,koronahun!$A:$AM,19,FALSE),"")</f>
        <v/>
      </c>
      <c r="T757" t="str">
        <f>IFERROR(VLOOKUP($A757,koronahun!$A:$AM,20,FALSE),"")</f>
        <v/>
      </c>
      <c r="U757" t="str">
        <f>IFERROR(VLOOKUP($A757,koronahun!$A:$AM,21,FALSE),"")</f>
        <v/>
      </c>
      <c r="V757" s="13" t="str">
        <f>IFERROR(VLOOKUP($A757,koronahun!$A:$AM,22,FALSE),"")</f>
        <v/>
      </c>
      <c r="W757" t="str">
        <f>IFERROR(VLOOKUP($A757,koronahun!$A:$AM,23,FALSE),"")</f>
        <v/>
      </c>
      <c r="X757" t="str">
        <f>IFERROR(VLOOKUP($A757,koronahun!$A:$AM,24,FALSE),"")</f>
        <v/>
      </c>
      <c r="Y757" s="14" t="str">
        <f>IFERROR(VLOOKUP($A757,koronahun!$A:$AM,25,FALSE),"")</f>
        <v/>
      </c>
      <c r="Z757" s="14" t="str">
        <f>IFERROR(VLOOKUP($A757,koronahun!$A:$AM,26,FALSE),"")</f>
        <v/>
      </c>
      <c r="AA757" s="14" t="str">
        <f>IFERROR(VLOOKUP($A757,koronahun!$A:$AM,27,FALSE),"")</f>
        <v/>
      </c>
      <c r="AB757" s="14" t="str">
        <f>IFERROR(VLOOKUP($A757,koronahun!$A:$AM,28,FALSE),"")</f>
        <v/>
      </c>
      <c r="AC757" s="14" t="str">
        <f>IFERROR(VLOOKUP($A757,koronahun!$A:$AM,29,FALSE),"")</f>
        <v/>
      </c>
      <c r="AD757" s="14" t="str">
        <f>IFERROR(VLOOKUP($A757,koronahun!$A:$AM,30,FALSE),"")</f>
        <v/>
      </c>
      <c r="AE757" s="14" t="str">
        <f>IFERROR(VLOOKUP($A757,koronahun!$A:$AM,31,FALSE),"")</f>
        <v/>
      </c>
      <c r="AF757" s="13" t="str">
        <f>IFERROR(VLOOKUP($A757,koronahun!$A:$AM,32,FALSE),"")</f>
        <v/>
      </c>
      <c r="AG757" t="str">
        <f>IFERROR(VLOOKUP($A757,koronahun!$A:$AM,33,FALSE),"")</f>
        <v/>
      </c>
      <c r="AH757" t="str">
        <f>IFERROR(VLOOKUP($A757,koronahun!$A:$AM,34,FALSE),"")</f>
        <v/>
      </c>
      <c r="AI757" t="str">
        <f>IFERROR(VLOOKUP($A757,koronahun!$A:$AM,35,FALSE),"")</f>
        <v/>
      </c>
      <c r="AJ757" t="str">
        <f>IFERROR(VLOOKUP($A757,koronahun!$A:$AM,36,FALSE),"")</f>
        <v/>
      </c>
      <c r="AK757" t="str">
        <f>IFERROR(VLOOKUP($A757,koronahun!$A:$AM,37,FALSE),"")</f>
        <v/>
      </c>
      <c r="AL757" t="str">
        <f>IFERROR(VLOOKUP($A757,koronahun!$A:$AM,38,FALSE),"")</f>
        <v/>
      </c>
      <c r="AM757" s="14" t="str">
        <f>IFERROR(VLOOKUP($A757,koronahun!$A:$AM,39,FALSE),"")</f>
        <v/>
      </c>
      <c r="AN757" s="11">
        <f ca="1">IFERROR(__xludf.DUMMYFUNCTION("""COMPUTED_VALUE"""),44649)</f>
        <v>44649</v>
      </c>
      <c r="AO757" s="12">
        <f ca="1">IFERROR(VLOOKUP(AN757,koronahun!A:B,2,FALSE),"")</f>
        <v>1846311</v>
      </c>
      <c r="AP757" s="11">
        <f t="shared" ca="1" si="4"/>
        <v>44649</v>
      </c>
      <c r="AQ757" s="11"/>
      <c r="AR757" s="11"/>
      <c r="AS757" s="11"/>
      <c r="AT757" s="11"/>
    </row>
    <row r="758" spans="1:46" ht="13">
      <c r="A758" s="11"/>
      <c r="B758" t="str">
        <f>IFERROR(VLOOKUP($A758,koronahun!$A:$AM,2,FALSE),"")</f>
        <v/>
      </c>
      <c r="C758" t="str">
        <f>IFERROR(VLOOKUP($A758,koronahun!$A:$AM,3,FALSE),"")</f>
        <v/>
      </c>
      <c r="D758" t="str">
        <f>IFERROR(VLOOKUP($A758,koronahun!$A:$AM,4,FALSE),"")</f>
        <v/>
      </c>
      <c r="E758" t="str">
        <f>IFERROR(VLOOKUP($A758,koronahun!$A:$AM,5,FALSE),"")</f>
        <v/>
      </c>
      <c r="F758" t="str">
        <f>IFERROR(VLOOKUP($A758,koronahun!$A:$AM,6,FALSE),"")</f>
        <v/>
      </c>
      <c r="G758" s="12" t="str">
        <f>IFERROR(VLOOKUP($A758,koronahun!$A:$AM,7,FALSE),"")</f>
        <v/>
      </c>
      <c r="H758" t="str">
        <f>IFERROR(VLOOKUP($A758,koronahun!$A:$AM,8,FALSE),"")</f>
        <v/>
      </c>
      <c r="I758" s="13" t="str">
        <f>IFERROR(VLOOKUP($A758,koronahun!$A:$AM,9,FALSE),"")</f>
        <v/>
      </c>
      <c r="J758" s="13" t="str">
        <f>IFERROR(VLOOKUP($A758,koronahun!$A:$AM,10,FALSE),"")</f>
        <v/>
      </c>
      <c r="K758" s="13" t="str">
        <f>IFERROR(VLOOKUP($A758,koronahun!$A:$AM,11,FALSE),"")</f>
        <v/>
      </c>
      <c r="L758" t="str">
        <f>IFERROR(VLOOKUP($A758,koronahun!$A:$AM,12,FALSE),"")</f>
        <v/>
      </c>
      <c r="M758" s="13" t="str">
        <f>IFERROR(VLOOKUP($A758,koronahun!$A:$AM,13,FALSE),"")</f>
        <v/>
      </c>
      <c r="N758" s="13" t="str">
        <f>IFERROR(VLOOKUP($A758,koronahun!$A:$AM,14,FALSE),"")</f>
        <v/>
      </c>
      <c r="O758" t="str">
        <f>IFERROR(VLOOKUP($A758,koronahun!$A:$AM,15,FALSE),"")</f>
        <v/>
      </c>
      <c r="P758" t="str">
        <f>IFERROR(VLOOKUP($A758,koronahun!$A:$AM,16,FALSE),"")</f>
        <v/>
      </c>
      <c r="Q758" s="13" t="str">
        <f>IFERROR(VLOOKUP($A758,koronahun!$A:$AM,17,FALSE),"")</f>
        <v/>
      </c>
      <c r="R758" t="str">
        <f>IFERROR(VLOOKUP($A758,koronahun!$A:$AM,18,FALSE),"")</f>
        <v/>
      </c>
      <c r="S758" t="str">
        <f>IFERROR(VLOOKUP($A758,koronahun!$A:$AM,19,FALSE),"")</f>
        <v/>
      </c>
      <c r="T758" t="str">
        <f>IFERROR(VLOOKUP($A758,koronahun!$A:$AM,20,FALSE),"")</f>
        <v/>
      </c>
      <c r="U758" t="str">
        <f>IFERROR(VLOOKUP($A758,koronahun!$A:$AM,21,FALSE),"")</f>
        <v/>
      </c>
      <c r="V758" s="13" t="str">
        <f>IFERROR(VLOOKUP($A758,koronahun!$A:$AM,22,FALSE),"")</f>
        <v/>
      </c>
      <c r="W758" t="str">
        <f>IFERROR(VLOOKUP($A758,koronahun!$A:$AM,23,FALSE),"")</f>
        <v/>
      </c>
      <c r="X758" t="str">
        <f>IFERROR(VLOOKUP($A758,koronahun!$A:$AM,24,FALSE),"")</f>
        <v/>
      </c>
      <c r="Y758" s="14" t="str">
        <f>IFERROR(VLOOKUP($A758,koronahun!$A:$AM,25,FALSE),"")</f>
        <v/>
      </c>
      <c r="Z758" s="14" t="str">
        <f>IFERROR(VLOOKUP($A758,koronahun!$A:$AM,26,FALSE),"")</f>
        <v/>
      </c>
      <c r="AA758" s="14" t="str">
        <f>IFERROR(VLOOKUP($A758,koronahun!$A:$AM,27,FALSE),"")</f>
        <v/>
      </c>
      <c r="AB758" s="14" t="str">
        <f>IFERROR(VLOOKUP($A758,koronahun!$A:$AM,28,FALSE),"")</f>
        <v/>
      </c>
      <c r="AC758" s="14" t="str">
        <f>IFERROR(VLOOKUP($A758,koronahun!$A:$AM,29,FALSE),"")</f>
        <v/>
      </c>
      <c r="AD758" s="14" t="str">
        <f>IFERROR(VLOOKUP($A758,koronahun!$A:$AM,30,FALSE),"")</f>
        <v/>
      </c>
      <c r="AE758" s="14" t="str">
        <f>IFERROR(VLOOKUP($A758,koronahun!$A:$AM,31,FALSE),"")</f>
        <v/>
      </c>
      <c r="AF758" s="13" t="str">
        <f>IFERROR(VLOOKUP($A758,koronahun!$A:$AM,32,FALSE),"")</f>
        <v/>
      </c>
      <c r="AG758" t="str">
        <f>IFERROR(VLOOKUP($A758,koronahun!$A:$AM,33,FALSE),"")</f>
        <v/>
      </c>
      <c r="AH758" t="str">
        <f>IFERROR(VLOOKUP($A758,koronahun!$A:$AM,34,FALSE),"")</f>
        <v/>
      </c>
      <c r="AI758" t="str">
        <f>IFERROR(VLOOKUP($A758,koronahun!$A:$AM,35,FALSE),"")</f>
        <v/>
      </c>
      <c r="AJ758" t="str">
        <f>IFERROR(VLOOKUP($A758,koronahun!$A:$AM,36,FALSE),"")</f>
        <v/>
      </c>
      <c r="AK758" t="str">
        <f>IFERROR(VLOOKUP($A758,koronahun!$A:$AM,37,FALSE),"")</f>
        <v/>
      </c>
      <c r="AL758" t="str">
        <f>IFERROR(VLOOKUP($A758,koronahun!$A:$AM,38,FALSE),"")</f>
        <v/>
      </c>
      <c r="AM758" s="14" t="str">
        <f>IFERROR(VLOOKUP($A758,koronahun!$A:$AM,39,FALSE),"")</f>
        <v/>
      </c>
      <c r="AN758" s="11">
        <f ca="1">IFERROR(__xludf.DUMMYFUNCTION("""COMPUTED_VALUE"""),44650)</f>
        <v>44650</v>
      </c>
      <c r="AO758" s="12">
        <f ca="1">IFERROR(VLOOKUP(AN758,koronahun!A:B,2,FALSE),"")</f>
        <v>1849217</v>
      </c>
      <c r="AP758" s="11">
        <f t="shared" ca="1" si="4"/>
        <v>44650</v>
      </c>
      <c r="AQ758" s="11"/>
      <c r="AR758" s="11"/>
      <c r="AS758" s="11"/>
      <c r="AT758" s="11"/>
    </row>
    <row r="759" spans="1:46" ht="13">
      <c r="A759" s="11"/>
      <c r="B759" t="str">
        <f>IFERROR(VLOOKUP($A759,koronahun!$A:$AM,2,FALSE),"")</f>
        <v/>
      </c>
      <c r="C759" t="str">
        <f>IFERROR(VLOOKUP($A759,koronahun!$A:$AM,3,FALSE),"")</f>
        <v/>
      </c>
      <c r="D759" t="str">
        <f>IFERROR(VLOOKUP($A759,koronahun!$A:$AM,4,FALSE),"")</f>
        <v/>
      </c>
      <c r="E759" t="str">
        <f>IFERROR(VLOOKUP($A759,koronahun!$A:$AM,5,FALSE),"")</f>
        <v/>
      </c>
      <c r="F759" t="str">
        <f>IFERROR(VLOOKUP($A759,koronahun!$A:$AM,6,FALSE),"")</f>
        <v/>
      </c>
      <c r="G759" s="12" t="str">
        <f>IFERROR(VLOOKUP($A759,koronahun!$A:$AM,7,FALSE),"")</f>
        <v/>
      </c>
      <c r="H759" t="str">
        <f>IFERROR(VLOOKUP($A759,koronahun!$A:$AM,8,FALSE),"")</f>
        <v/>
      </c>
      <c r="I759" s="13" t="str">
        <f>IFERROR(VLOOKUP($A759,koronahun!$A:$AM,9,FALSE),"")</f>
        <v/>
      </c>
      <c r="J759" s="13" t="str">
        <f>IFERROR(VLOOKUP($A759,koronahun!$A:$AM,10,FALSE),"")</f>
        <v/>
      </c>
      <c r="K759" s="13" t="str">
        <f>IFERROR(VLOOKUP($A759,koronahun!$A:$AM,11,FALSE),"")</f>
        <v/>
      </c>
      <c r="L759" t="str">
        <f>IFERROR(VLOOKUP($A759,koronahun!$A:$AM,12,FALSE),"")</f>
        <v/>
      </c>
      <c r="M759" s="13" t="str">
        <f>IFERROR(VLOOKUP($A759,koronahun!$A:$AM,13,FALSE),"")</f>
        <v/>
      </c>
      <c r="N759" s="13" t="str">
        <f>IFERROR(VLOOKUP($A759,koronahun!$A:$AM,14,FALSE),"")</f>
        <v/>
      </c>
      <c r="O759" t="str">
        <f>IFERROR(VLOOKUP($A759,koronahun!$A:$AM,15,FALSE),"")</f>
        <v/>
      </c>
      <c r="P759" t="str">
        <f>IFERROR(VLOOKUP($A759,koronahun!$A:$AM,16,FALSE),"")</f>
        <v/>
      </c>
      <c r="Q759" s="13" t="str">
        <f>IFERROR(VLOOKUP($A759,koronahun!$A:$AM,17,FALSE),"")</f>
        <v/>
      </c>
      <c r="R759" t="str">
        <f>IFERROR(VLOOKUP($A759,koronahun!$A:$AM,18,FALSE),"")</f>
        <v/>
      </c>
      <c r="S759" t="str">
        <f>IFERROR(VLOOKUP($A759,koronahun!$A:$AM,19,FALSE),"")</f>
        <v/>
      </c>
      <c r="T759" t="str">
        <f>IFERROR(VLOOKUP($A759,koronahun!$A:$AM,20,FALSE),"")</f>
        <v/>
      </c>
      <c r="U759" t="str">
        <f>IFERROR(VLOOKUP($A759,koronahun!$A:$AM,21,FALSE),"")</f>
        <v/>
      </c>
      <c r="V759" s="13" t="str">
        <f>IFERROR(VLOOKUP($A759,koronahun!$A:$AM,22,FALSE),"")</f>
        <v/>
      </c>
      <c r="W759" t="str">
        <f>IFERROR(VLOOKUP($A759,koronahun!$A:$AM,23,FALSE),"")</f>
        <v/>
      </c>
      <c r="X759" t="str">
        <f>IFERROR(VLOOKUP($A759,koronahun!$A:$AM,24,FALSE),"")</f>
        <v/>
      </c>
      <c r="Y759" s="14" t="str">
        <f>IFERROR(VLOOKUP($A759,koronahun!$A:$AM,25,FALSE),"")</f>
        <v/>
      </c>
      <c r="Z759" s="14" t="str">
        <f>IFERROR(VLOOKUP($A759,koronahun!$A:$AM,26,FALSE),"")</f>
        <v/>
      </c>
      <c r="AA759" s="14" t="str">
        <f>IFERROR(VLOOKUP($A759,koronahun!$A:$AM,27,FALSE),"")</f>
        <v/>
      </c>
      <c r="AB759" s="14" t="str">
        <f>IFERROR(VLOOKUP($A759,koronahun!$A:$AM,28,FALSE),"")</f>
        <v/>
      </c>
      <c r="AC759" s="14" t="str">
        <f>IFERROR(VLOOKUP($A759,koronahun!$A:$AM,29,FALSE),"")</f>
        <v/>
      </c>
      <c r="AD759" s="14" t="str">
        <f>IFERROR(VLOOKUP($A759,koronahun!$A:$AM,30,FALSE),"")</f>
        <v/>
      </c>
      <c r="AE759" s="14" t="str">
        <f>IFERROR(VLOOKUP($A759,koronahun!$A:$AM,31,FALSE),"")</f>
        <v/>
      </c>
      <c r="AF759" s="13" t="str">
        <f>IFERROR(VLOOKUP($A759,koronahun!$A:$AM,32,FALSE),"")</f>
        <v/>
      </c>
      <c r="AG759" t="str">
        <f>IFERROR(VLOOKUP($A759,koronahun!$A:$AM,33,FALSE),"")</f>
        <v/>
      </c>
      <c r="AH759" t="str">
        <f>IFERROR(VLOOKUP($A759,koronahun!$A:$AM,34,FALSE),"")</f>
        <v/>
      </c>
      <c r="AI759" t="str">
        <f>IFERROR(VLOOKUP($A759,koronahun!$A:$AM,35,FALSE),"")</f>
        <v/>
      </c>
      <c r="AJ759" t="str">
        <f>IFERROR(VLOOKUP($A759,koronahun!$A:$AM,36,FALSE),"")</f>
        <v/>
      </c>
      <c r="AK759" t="str">
        <f>IFERROR(VLOOKUP($A759,koronahun!$A:$AM,37,FALSE),"")</f>
        <v/>
      </c>
      <c r="AL759" t="str">
        <f>IFERROR(VLOOKUP($A759,koronahun!$A:$AM,38,FALSE),"")</f>
        <v/>
      </c>
      <c r="AM759" s="14" t="str">
        <f>IFERROR(VLOOKUP($A759,koronahun!$A:$AM,39,FALSE),"")</f>
        <v/>
      </c>
      <c r="AN759" s="11">
        <f ca="1">IFERROR(__xludf.DUMMYFUNCTION("""COMPUTED_VALUE"""),44651)</f>
        <v>44651</v>
      </c>
      <c r="AO759" s="12">
        <f ca="1">IFERROR(VLOOKUP(AN759,koronahun!A:B,2,FALSE),"")</f>
        <v>1851871</v>
      </c>
      <c r="AP759" s="11">
        <f t="shared" ca="1" si="4"/>
        <v>44651</v>
      </c>
      <c r="AQ759" s="11"/>
      <c r="AR759" s="11"/>
      <c r="AS759" s="11"/>
      <c r="AT759" s="11"/>
    </row>
    <row r="760" spans="1:46" ht="13">
      <c r="A760" s="11"/>
      <c r="B760" t="str">
        <f>IFERROR(VLOOKUP($A760,koronahun!$A:$AM,2,FALSE),"")</f>
        <v/>
      </c>
      <c r="C760" t="str">
        <f>IFERROR(VLOOKUP($A760,koronahun!$A:$AM,3,FALSE),"")</f>
        <v/>
      </c>
      <c r="D760" t="str">
        <f>IFERROR(VLOOKUP($A760,koronahun!$A:$AM,4,FALSE),"")</f>
        <v/>
      </c>
      <c r="E760" t="str">
        <f>IFERROR(VLOOKUP($A760,koronahun!$A:$AM,5,FALSE),"")</f>
        <v/>
      </c>
      <c r="F760" t="str">
        <f>IFERROR(VLOOKUP($A760,koronahun!$A:$AM,6,FALSE),"")</f>
        <v/>
      </c>
      <c r="G760" s="12" t="str">
        <f>IFERROR(VLOOKUP($A760,koronahun!$A:$AM,7,FALSE),"")</f>
        <v/>
      </c>
      <c r="H760" t="str">
        <f>IFERROR(VLOOKUP($A760,koronahun!$A:$AM,8,FALSE),"")</f>
        <v/>
      </c>
      <c r="I760" s="13" t="str">
        <f>IFERROR(VLOOKUP($A760,koronahun!$A:$AM,9,FALSE),"")</f>
        <v/>
      </c>
      <c r="J760" s="13" t="str">
        <f>IFERROR(VLOOKUP($A760,koronahun!$A:$AM,10,FALSE),"")</f>
        <v/>
      </c>
      <c r="K760" s="13" t="str">
        <f>IFERROR(VLOOKUP($A760,koronahun!$A:$AM,11,FALSE),"")</f>
        <v/>
      </c>
      <c r="L760" t="str">
        <f>IFERROR(VLOOKUP($A760,koronahun!$A:$AM,12,FALSE),"")</f>
        <v/>
      </c>
      <c r="M760" s="13" t="str">
        <f>IFERROR(VLOOKUP($A760,koronahun!$A:$AM,13,FALSE),"")</f>
        <v/>
      </c>
      <c r="N760" s="13" t="str">
        <f>IFERROR(VLOOKUP($A760,koronahun!$A:$AM,14,FALSE),"")</f>
        <v/>
      </c>
      <c r="O760" t="str">
        <f>IFERROR(VLOOKUP($A760,koronahun!$A:$AM,15,FALSE),"")</f>
        <v/>
      </c>
      <c r="P760" t="str">
        <f>IFERROR(VLOOKUP($A760,koronahun!$A:$AM,16,FALSE),"")</f>
        <v/>
      </c>
      <c r="Q760" s="13" t="str">
        <f>IFERROR(VLOOKUP($A760,koronahun!$A:$AM,17,FALSE),"")</f>
        <v/>
      </c>
      <c r="R760" t="str">
        <f>IFERROR(VLOOKUP($A760,koronahun!$A:$AM,18,FALSE),"")</f>
        <v/>
      </c>
      <c r="S760" t="str">
        <f>IFERROR(VLOOKUP($A760,koronahun!$A:$AM,19,FALSE),"")</f>
        <v/>
      </c>
      <c r="T760" t="str">
        <f>IFERROR(VLOOKUP($A760,koronahun!$A:$AM,20,FALSE),"")</f>
        <v/>
      </c>
      <c r="U760" t="str">
        <f>IFERROR(VLOOKUP($A760,koronahun!$A:$AM,21,FALSE),"")</f>
        <v/>
      </c>
      <c r="V760" s="13" t="str">
        <f>IFERROR(VLOOKUP($A760,koronahun!$A:$AM,22,FALSE),"")</f>
        <v/>
      </c>
      <c r="W760" t="str">
        <f>IFERROR(VLOOKUP($A760,koronahun!$A:$AM,23,FALSE),"")</f>
        <v/>
      </c>
      <c r="X760" t="str">
        <f>IFERROR(VLOOKUP($A760,koronahun!$A:$AM,24,FALSE),"")</f>
        <v/>
      </c>
      <c r="Y760" s="14" t="str">
        <f>IFERROR(VLOOKUP($A760,koronahun!$A:$AM,25,FALSE),"")</f>
        <v/>
      </c>
      <c r="Z760" s="14" t="str">
        <f>IFERROR(VLOOKUP($A760,koronahun!$A:$AM,26,FALSE),"")</f>
        <v/>
      </c>
      <c r="AA760" s="14" t="str">
        <f>IFERROR(VLOOKUP($A760,koronahun!$A:$AM,27,FALSE),"")</f>
        <v/>
      </c>
      <c r="AB760" s="14" t="str">
        <f>IFERROR(VLOOKUP($A760,koronahun!$A:$AM,28,FALSE),"")</f>
        <v/>
      </c>
      <c r="AC760" s="14" t="str">
        <f>IFERROR(VLOOKUP($A760,koronahun!$A:$AM,29,FALSE),"")</f>
        <v/>
      </c>
      <c r="AD760" s="14" t="str">
        <f>IFERROR(VLOOKUP($A760,koronahun!$A:$AM,30,FALSE),"")</f>
        <v/>
      </c>
      <c r="AE760" s="14" t="str">
        <f>IFERROR(VLOOKUP($A760,koronahun!$A:$AM,31,FALSE),"")</f>
        <v/>
      </c>
      <c r="AF760" s="13" t="str">
        <f>IFERROR(VLOOKUP($A760,koronahun!$A:$AM,32,FALSE),"")</f>
        <v/>
      </c>
      <c r="AG760" t="str">
        <f>IFERROR(VLOOKUP($A760,koronahun!$A:$AM,33,FALSE),"")</f>
        <v/>
      </c>
      <c r="AH760" t="str">
        <f>IFERROR(VLOOKUP($A760,koronahun!$A:$AM,34,FALSE),"")</f>
        <v/>
      </c>
      <c r="AI760" t="str">
        <f>IFERROR(VLOOKUP($A760,koronahun!$A:$AM,35,FALSE),"")</f>
        <v/>
      </c>
      <c r="AJ760" t="str">
        <f>IFERROR(VLOOKUP($A760,koronahun!$A:$AM,36,FALSE),"")</f>
        <v/>
      </c>
      <c r="AK760" t="str">
        <f>IFERROR(VLOOKUP($A760,koronahun!$A:$AM,37,FALSE),"")</f>
        <v/>
      </c>
      <c r="AL760" t="str">
        <f>IFERROR(VLOOKUP($A760,koronahun!$A:$AM,38,FALSE),"")</f>
        <v/>
      </c>
      <c r="AM760" s="14" t="str">
        <f>IFERROR(VLOOKUP($A760,koronahun!$A:$AM,39,FALSE),"")</f>
        <v/>
      </c>
      <c r="AN760" s="11">
        <f ca="1">IFERROR(__xludf.DUMMYFUNCTION("""COMPUTED_VALUE"""),44652)</f>
        <v>44652</v>
      </c>
      <c r="AO760" s="12">
        <f ca="1">IFERROR(VLOOKUP(AN760,koronahun!A:B,2,FALSE),"")</f>
        <v>1854198</v>
      </c>
      <c r="AP760" s="11">
        <f t="shared" ca="1" si="4"/>
        <v>44652</v>
      </c>
      <c r="AQ760" s="11"/>
      <c r="AR760" s="11"/>
      <c r="AS760" s="11"/>
      <c r="AT760" s="11"/>
    </row>
    <row r="761" spans="1:46" ht="13">
      <c r="A761" s="11"/>
      <c r="B761" t="str">
        <f>IFERROR(VLOOKUP($A761,koronahun!$A:$AM,2,FALSE),"")</f>
        <v/>
      </c>
      <c r="C761" t="str">
        <f>IFERROR(VLOOKUP($A761,koronahun!$A:$AM,3,FALSE),"")</f>
        <v/>
      </c>
      <c r="D761" t="str">
        <f>IFERROR(VLOOKUP($A761,koronahun!$A:$AM,4,FALSE),"")</f>
        <v/>
      </c>
      <c r="E761" t="str">
        <f>IFERROR(VLOOKUP($A761,koronahun!$A:$AM,5,FALSE),"")</f>
        <v/>
      </c>
      <c r="F761" t="str">
        <f>IFERROR(VLOOKUP($A761,koronahun!$A:$AM,6,FALSE),"")</f>
        <v/>
      </c>
      <c r="G761" s="12" t="str">
        <f>IFERROR(VLOOKUP($A761,koronahun!$A:$AM,7,FALSE),"")</f>
        <v/>
      </c>
      <c r="H761" t="str">
        <f>IFERROR(VLOOKUP($A761,koronahun!$A:$AM,8,FALSE),"")</f>
        <v/>
      </c>
      <c r="I761" s="13" t="str">
        <f>IFERROR(VLOOKUP($A761,koronahun!$A:$AM,9,FALSE),"")</f>
        <v/>
      </c>
      <c r="J761" s="13" t="str">
        <f>IFERROR(VLOOKUP($A761,koronahun!$A:$AM,10,FALSE),"")</f>
        <v/>
      </c>
      <c r="K761" s="13" t="str">
        <f>IFERROR(VLOOKUP($A761,koronahun!$A:$AM,11,FALSE),"")</f>
        <v/>
      </c>
      <c r="L761" t="str">
        <f>IFERROR(VLOOKUP($A761,koronahun!$A:$AM,12,FALSE),"")</f>
        <v/>
      </c>
      <c r="M761" s="13" t="str">
        <f>IFERROR(VLOOKUP($A761,koronahun!$A:$AM,13,FALSE),"")</f>
        <v/>
      </c>
      <c r="N761" s="13" t="str">
        <f>IFERROR(VLOOKUP($A761,koronahun!$A:$AM,14,FALSE),"")</f>
        <v/>
      </c>
      <c r="O761" t="str">
        <f>IFERROR(VLOOKUP($A761,koronahun!$A:$AM,15,FALSE),"")</f>
        <v/>
      </c>
      <c r="P761" t="str">
        <f>IFERROR(VLOOKUP($A761,koronahun!$A:$AM,16,FALSE),"")</f>
        <v/>
      </c>
      <c r="Q761" s="13" t="str">
        <f>IFERROR(VLOOKUP($A761,koronahun!$A:$AM,17,FALSE),"")</f>
        <v/>
      </c>
      <c r="R761" t="str">
        <f>IFERROR(VLOOKUP($A761,koronahun!$A:$AM,18,FALSE),"")</f>
        <v/>
      </c>
      <c r="S761" t="str">
        <f>IFERROR(VLOOKUP($A761,koronahun!$A:$AM,19,FALSE),"")</f>
        <v/>
      </c>
      <c r="T761" t="str">
        <f>IFERROR(VLOOKUP($A761,koronahun!$A:$AM,20,FALSE),"")</f>
        <v/>
      </c>
      <c r="U761" t="str">
        <f>IFERROR(VLOOKUP($A761,koronahun!$A:$AM,21,FALSE),"")</f>
        <v/>
      </c>
      <c r="V761" s="13" t="str">
        <f>IFERROR(VLOOKUP($A761,koronahun!$A:$AM,22,FALSE),"")</f>
        <v/>
      </c>
      <c r="W761" t="str">
        <f>IFERROR(VLOOKUP($A761,koronahun!$A:$AM,23,FALSE),"")</f>
        <v/>
      </c>
      <c r="X761" t="str">
        <f>IFERROR(VLOOKUP($A761,koronahun!$A:$AM,24,FALSE),"")</f>
        <v/>
      </c>
      <c r="Y761" s="14" t="str">
        <f>IFERROR(VLOOKUP($A761,koronahun!$A:$AM,25,FALSE),"")</f>
        <v/>
      </c>
      <c r="Z761" s="14" t="str">
        <f>IFERROR(VLOOKUP($A761,koronahun!$A:$AM,26,FALSE),"")</f>
        <v/>
      </c>
      <c r="AA761" s="14" t="str">
        <f>IFERROR(VLOOKUP($A761,koronahun!$A:$AM,27,FALSE),"")</f>
        <v/>
      </c>
      <c r="AB761" s="14" t="str">
        <f>IFERROR(VLOOKUP($A761,koronahun!$A:$AM,28,FALSE),"")</f>
        <v/>
      </c>
      <c r="AC761" s="14" t="str">
        <f>IFERROR(VLOOKUP($A761,koronahun!$A:$AM,29,FALSE),"")</f>
        <v/>
      </c>
      <c r="AD761" s="14" t="str">
        <f>IFERROR(VLOOKUP($A761,koronahun!$A:$AM,30,FALSE),"")</f>
        <v/>
      </c>
      <c r="AE761" s="14" t="str">
        <f>IFERROR(VLOOKUP($A761,koronahun!$A:$AM,31,FALSE),"")</f>
        <v/>
      </c>
      <c r="AF761" s="13" t="str">
        <f>IFERROR(VLOOKUP($A761,koronahun!$A:$AM,32,FALSE),"")</f>
        <v/>
      </c>
      <c r="AG761" t="str">
        <f>IFERROR(VLOOKUP($A761,koronahun!$A:$AM,33,FALSE),"")</f>
        <v/>
      </c>
      <c r="AH761" t="str">
        <f>IFERROR(VLOOKUP($A761,koronahun!$A:$AM,34,FALSE),"")</f>
        <v/>
      </c>
      <c r="AI761" t="str">
        <f>IFERROR(VLOOKUP($A761,koronahun!$A:$AM,35,FALSE),"")</f>
        <v/>
      </c>
      <c r="AJ761" t="str">
        <f>IFERROR(VLOOKUP($A761,koronahun!$A:$AM,36,FALSE),"")</f>
        <v/>
      </c>
      <c r="AK761" t="str">
        <f>IFERROR(VLOOKUP($A761,koronahun!$A:$AM,37,FALSE),"")</f>
        <v/>
      </c>
      <c r="AL761" t="str">
        <f>IFERROR(VLOOKUP($A761,koronahun!$A:$AM,38,FALSE),"")</f>
        <v/>
      </c>
      <c r="AM761" s="14" t="str">
        <f>IFERROR(VLOOKUP($A761,koronahun!$A:$AM,39,FALSE),"")</f>
        <v/>
      </c>
      <c r="AN761" s="11">
        <f ca="1">IFERROR(__xludf.DUMMYFUNCTION("""COMPUTED_VALUE"""),44653)</f>
        <v>44653</v>
      </c>
      <c r="AO761" s="12">
        <f ca="1">IFERROR(VLOOKUP(AN761,koronahun!A:B,2,FALSE),"")</f>
        <v>0</v>
      </c>
      <c r="AP761" s="11">
        <f t="shared" ca="1" si="4"/>
        <v>44653</v>
      </c>
      <c r="AQ761" s="11"/>
      <c r="AR761" s="11"/>
      <c r="AS761" s="11"/>
      <c r="AT761" s="11"/>
    </row>
    <row r="762" spans="1:46" ht="13">
      <c r="A762" s="11"/>
      <c r="B762" t="str">
        <f>IFERROR(VLOOKUP($A762,koronahun!$A:$AM,2,FALSE),"")</f>
        <v/>
      </c>
      <c r="C762" t="str">
        <f>IFERROR(VLOOKUP($A762,koronahun!$A:$AM,3,FALSE),"")</f>
        <v/>
      </c>
      <c r="D762" t="str">
        <f>IFERROR(VLOOKUP($A762,koronahun!$A:$AM,4,FALSE),"")</f>
        <v/>
      </c>
      <c r="E762" t="str">
        <f>IFERROR(VLOOKUP($A762,koronahun!$A:$AM,5,FALSE),"")</f>
        <v/>
      </c>
      <c r="F762" t="str">
        <f>IFERROR(VLOOKUP($A762,koronahun!$A:$AM,6,FALSE),"")</f>
        <v/>
      </c>
      <c r="G762" s="12" t="str">
        <f>IFERROR(VLOOKUP($A762,koronahun!$A:$AM,7,FALSE),"")</f>
        <v/>
      </c>
      <c r="H762" t="str">
        <f>IFERROR(VLOOKUP($A762,koronahun!$A:$AM,8,FALSE),"")</f>
        <v/>
      </c>
      <c r="I762" s="13" t="str">
        <f>IFERROR(VLOOKUP($A762,koronahun!$A:$AM,9,FALSE),"")</f>
        <v/>
      </c>
      <c r="J762" s="13" t="str">
        <f>IFERROR(VLOOKUP($A762,koronahun!$A:$AM,10,FALSE),"")</f>
        <v/>
      </c>
      <c r="K762" s="13" t="str">
        <f>IFERROR(VLOOKUP($A762,koronahun!$A:$AM,11,FALSE),"")</f>
        <v/>
      </c>
      <c r="L762" t="str">
        <f>IFERROR(VLOOKUP($A762,koronahun!$A:$AM,12,FALSE),"")</f>
        <v/>
      </c>
      <c r="M762" s="13" t="str">
        <f>IFERROR(VLOOKUP($A762,koronahun!$A:$AM,13,FALSE),"")</f>
        <v/>
      </c>
      <c r="N762" s="13" t="str">
        <f>IFERROR(VLOOKUP($A762,koronahun!$A:$AM,14,FALSE),"")</f>
        <v/>
      </c>
      <c r="O762" t="str">
        <f>IFERROR(VLOOKUP($A762,koronahun!$A:$AM,15,FALSE),"")</f>
        <v/>
      </c>
      <c r="P762" t="str">
        <f>IFERROR(VLOOKUP($A762,koronahun!$A:$AM,16,FALSE),"")</f>
        <v/>
      </c>
      <c r="Q762" s="13" t="str">
        <f>IFERROR(VLOOKUP($A762,koronahun!$A:$AM,17,FALSE),"")</f>
        <v/>
      </c>
      <c r="R762" t="str">
        <f>IFERROR(VLOOKUP($A762,koronahun!$A:$AM,18,FALSE),"")</f>
        <v/>
      </c>
      <c r="S762" t="str">
        <f>IFERROR(VLOOKUP($A762,koronahun!$A:$AM,19,FALSE),"")</f>
        <v/>
      </c>
      <c r="T762" t="str">
        <f>IFERROR(VLOOKUP($A762,koronahun!$A:$AM,20,FALSE),"")</f>
        <v/>
      </c>
      <c r="U762" t="str">
        <f>IFERROR(VLOOKUP($A762,koronahun!$A:$AM,21,FALSE),"")</f>
        <v/>
      </c>
      <c r="V762" s="13" t="str">
        <f>IFERROR(VLOOKUP($A762,koronahun!$A:$AM,22,FALSE),"")</f>
        <v/>
      </c>
      <c r="W762" t="str">
        <f>IFERROR(VLOOKUP($A762,koronahun!$A:$AM,23,FALSE),"")</f>
        <v/>
      </c>
      <c r="X762" t="str">
        <f>IFERROR(VLOOKUP($A762,koronahun!$A:$AM,24,FALSE),"")</f>
        <v/>
      </c>
      <c r="Y762" s="14" t="str">
        <f>IFERROR(VLOOKUP($A762,koronahun!$A:$AM,25,FALSE),"")</f>
        <v/>
      </c>
      <c r="Z762" s="14" t="str">
        <f>IFERROR(VLOOKUP($A762,koronahun!$A:$AM,26,FALSE),"")</f>
        <v/>
      </c>
      <c r="AA762" s="14" t="str">
        <f>IFERROR(VLOOKUP($A762,koronahun!$A:$AM,27,FALSE),"")</f>
        <v/>
      </c>
      <c r="AB762" s="14" t="str">
        <f>IFERROR(VLOOKUP($A762,koronahun!$A:$AM,28,FALSE),"")</f>
        <v/>
      </c>
      <c r="AC762" s="14" t="str">
        <f>IFERROR(VLOOKUP($A762,koronahun!$A:$AM,29,FALSE),"")</f>
        <v/>
      </c>
      <c r="AD762" s="14" t="str">
        <f>IFERROR(VLOOKUP($A762,koronahun!$A:$AM,30,FALSE),"")</f>
        <v/>
      </c>
      <c r="AE762" s="14" t="str">
        <f>IFERROR(VLOOKUP($A762,koronahun!$A:$AM,31,FALSE),"")</f>
        <v/>
      </c>
      <c r="AF762" s="13" t="str">
        <f>IFERROR(VLOOKUP($A762,koronahun!$A:$AM,32,FALSE),"")</f>
        <v/>
      </c>
      <c r="AG762" t="str">
        <f>IFERROR(VLOOKUP($A762,koronahun!$A:$AM,33,FALSE),"")</f>
        <v/>
      </c>
      <c r="AH762" t="str">
        <f>IFERROR(VLOOKUP($A762,koronahun!$A:$AM,34,FALSE),"")</f>
        <v/>
      </c>
      <c r="AI762" t="str">
        <f>IFERROR(VLOOKUP($A762,koronahun!$A:$AM,35,FALSE),"")</f>
        <v/>
      </c>
      <c r="AJ762" t="str">
        <f>IFERROR(VLOOKUP($A762,koronahun!$A:$AM,36,FALSE),"")</f>
        <v/>
      </c>
      <c r="AK762" t="str">
        <f>IFERROR(VLOOKUP($A762,koronahun!$A:$AM,37,FALSE),"")</f>
        <v/>
      </c>
      <c r="AL762" t="str">
        <f>IFERROR(VLOOKUP($A762,koronahun!$A:$AM,38,FALSE),"")</f>
        <v/>
      </c>
      <c r="AM762" s="14" t="str">
        <f>IFERROR(VLOOKUP($A762,koronahun!$A:$AM,39,FALSE),"")</f>
        <v/>
      </c>
      <c r="AN762" s="11">
        <f ca="1">IFERROR(__xludf.DUMMYFUNCTION("""COMPUTED_VALUE"""),44654)</f>
        <v>44654</v>
      </c>
      <c r="AO762" s="12">
        <f ca="1">IFERROR(VLOOKUP(AN762,koronahun!A:B,2,FALSE),"")</f>
        <v>0</v>
      </c>
      <c r="AP762" s="11">
        <f t="shared" ca="1" si="4"/>
        <v>44654</v>
      </c>
      <c r="AQ762" s="11"/>
      <c r="AR762" s="11"/>
      <c r="AS762" s="11"/>
      <c r="AT762" s="11"/>
    </row>
    <row r="763" spans="1:46" ht="13">
      <c r="A763" s="11"/>
      <c r="B763" t="str">
        <f>IFERROR(VLOOKUP($A763,koronahun!$A:$AM,2,FALSE),"")</f>
        <v/>
      </c>
      <c r="C763" t="str">
        <f>IFERROR(VLOOKUP($A763,koronahun!$A:$AM,3,FALSE),"")</f>
        <v/>
      </c>
      <c r="D763" t="str">
        <f>IFERROR(VLOOKUP($A763,koronahun!$A:$AM,4,FALSE),"")</f>
        <v/>
      </c>
      <c r="E763" t="str">
        <f>IFERROR(VLOOKUP($A763,koronahun!$A:$AM,5,FALSE),"")</f>
        <v/>
      </c>
      <c r="F763" t="str">
        <f>IFERROR(VLOOKUP($A763,koronahun!$A:$AM,6,FALSE),"")</f>
        <v/>
      </c>
      <c r="G763" s="12" t="str">
        <f>IFERROR(VLOOKUP($A763,koronahun!$A:$AM,7,FALSE),"")</f>
        <v/>
      </c>
      <c r="H763" t="str">
        <f>IFERROR(VLOOKUP($A763,koronahun!$A:$AM,8,FALSE),"")</f>
        <v/>
      </c>
      <c r="I763" s="13" t="str">
        <f>IFERROR(VLOOKUP($A763,koronahun!$A:$AM,9,FALSE),"")</f>
        <v/>
      </c>
      <c r="J763" s="13" t="str">
        <f>IFERROR(VLOOKUP($A763,koronahun!$A:$AM,10,FALSE),"")</f>
        <v/>
      </c>
      <c r="K763" s="13" t="str">
        <f>IFERROR(VLOOKUP($A763,koronahun!$A:$AM,11,FALSE),"")</f>
        <v/>
      </c>
      <c r="L763" t="str">
        <f>IFERROR(VLOOKUP($A763,koronahun!$A:$AM,12,FALSE),"")</f>
        <v/>
      </c>
      <c r="M763" s="13" t="str">
        <f>IFERROR(VLOOKUP($A763,koronahun!$A:$AM,13,FALSE),"")</f>
        <v/>
      </c>
      <c r="N763" s="13" t="str">
        <f>IFERROR(VLOOKUP($A763,koronahun!$A:$AM,14,FALSE),"")</f>
        <v/>
      </c>
      <c r="O763" t="str">
        <f>IFERROR(VLOOKUP($A763,koronahun!$A:$AM,15,FALSE),"")</f>
        <v/>
      </c>
      <c r="P763" t="str">
        <f>IFERROR(VLOOKUP($A763,koronahun!$A:$AM,16,FALSE),"")</f>
        <v/>
      </c>
      <c r="Q763" s="13" t="str">
        <f>IFERROR(VLOOKUP($A763,koronahun!$A:$AM,17,FALSE),"")</f>
        <v/>
      </c>
      <c r="R763" t="str">
        <f>IFERROR(VLOOKUP($A763,koronahun!$A:$AM,18,FALSE),"")</f>
        <v/>
      </c>
      <c r="S763" t="str">
        <f>IFERROR(VLOOKUP($A763,koronahun!$A:$AM,19,FALSE),"")</f>
        <v/>
      </c>
      <c r="T763" t="str">
        <f>IFERROR(VLOOKUP($A763,koronahun!$A:$AM,20,FALSE),"")</f>
        <v/>
      </c>
      <c r="U763" t="str">
        <f>IFERROR(VLOOKUP($A763,koronahun!$A:$AM,21,FALSE),"")</f>
        <v/>
      </c>
      <c r="V763" s="13" t="str">
        <f>IFERROR(VLOOKUP($A763,koronahun!$A:$AM,22,FALSE),"")</f>
        <v/>
      </c>
      <c r="W763" t="str">
        <f>IFERROR(VLOOKUP($A763,koronahun!$A:$AM,23,FALSE),"")</f>
        <v/>
      </c>
      <c r="X763" t="str">
        <f>IFERROR(VLOOKUP($A763,koronahun!$A:$AM,24,FALSE),"")</f>
        <v/>
      </c>
      <c r="Y763" s="14" t="str">
        <f>IFERROR(VLOOKUP($A763,koronahun!$A:$AM,25,FALSE),"")</f>
        <v/>
      </c>
      <c r="Z763" s="14" t="str">
        <f>IFERROR(VLOOKUP($A763,koronahun!$A:$AM,26,FALSE),"")</f>
        <v/>
      </c>
      <c r="AA763" s="14" t="str">
        <f>IFERROR(VLOOKUP($A763,koronahun!$A:$AM,27,FALSE),"")</f>
        <v/>
      </c>
      <c r="AB763" s="14" t="str">
        <f>IFERROR(VLOOKUP($A763,koronahun!$A:$AM,28,FALSE),"")</f>
        <v/>
      </c>
      <c r="AC763" s="14" t="str">
        <f>IFERROR(VLOOKUP($A763,koronahun!$A:$AM,29,FALSE),"")</f>
        <v/>
      </c>
      <c r="AD763" s="14" t="str">
        <f>IFERROR(VLOOKUP($A763,koronahun!$A:$AM,30,FALSE),"")</f>
        <v/>
      </c>
      <c r="AE763" s="14" t="str">
        <f>IFERROR(VLOOKUP($A763,koronahun!$A:$AM,31,FALSE),"")</f>
        <v/>
      </c>
      <c r="AF763" s="13" t="str">
        <f>IFERROR(VLOOKUP($A763,koronahun!$A:$AM,32,FALSE),"")</f>
        <v/>
      </c>
      <c r="AG763" t="str">
        <f>IFERROR(VLOOKUP($A763,koronahun!$A:$AM,33,FALSE),"")</f>
        <v/>
      </c>
      <c r="AH763" t="str">
        <f>IFERROR(VLOOKUP($A763,koronahun!$A:$AM,34,FALSE),"")</f>
        <v/>
      </c>
      <c r="AI763" t="str">
        <f>IFERROR(VLOOKUP($A763,koronahun!$A:$AM,35,FALSE),"")</f>
        <v/>
      </c>
      <c r="AJ763" t="str">
        <f>IFERROR(VLOOKUP($A763,koronahun!$A:$AM,36,FALSE),"")</f>
        <v/>
      </c>
      <c r="AK763" t="str">
        <f>IFERROR(VLOOKUP($A763,koronahun!$A:$AM,37,FALSE),"")</f>
        <v/>
      </c>
      <c r="AL763" t="str">
        <f>IFERROR(VLOOKUP($A763,koronahun!$A:$AM,38,FALSE),"")</f>
        <v/>
      </c>
      <c r="AM763" s="14" t="str">
        <f>IFERROR(VLOOKUP($A763,koronahun!$A:$AM,39,FALSE),"")</f>
        <v/>
      </c>
      <c r="AN763" s="11">
        <f ca="1">IFERROR(__xludf.DUMMYFUNCTION("""COMPUTED_VALUE"""),44655)</f>
        <v>44655</v>
      </c>
      <c r="AO763" s="12">
        <f ca="1">IFERROR(VLOOKUP(AN763,koronahun!A:B,2,FALSE),"")</f>
        <v>0</v>
      </c>
      <c r="AP763" s="11">
        <f t="shared" ca="1" si="4"/>
        <v>44655</v>
      </c>
      <c r="AQ763" s="11"/>
      <c r="AR763" s="11"/>
      <c r="AS763" s="11"/>
      <c r="AT763" s="11"/>
    </row>
    <row r="764" spans="1:46" ht="13">
      <c r="A764" s="11"/>
      <c r="B764" t="str">
        <f>IFERROR(VLOOKUP($A764,koronahun!$A:$AM,2,FALSE),"")</f>
        <v/>
      </c>
      <c r="C764" t="str">
        <f>IFERROR(VLOOKUP($A764,koronahun!$A:$AM,3,FALSE),"")</f>
        <v/>
      </c>
      <c r="D764" t="str">
        <f>IFERROR(VLOOKUP($A764,koronahun!$A:$AM,4,FALSE),"")</f>
        <v/>
      </c>
      <c r="E764" t="str">
        <f>IFERROR(VLOOKUP($A764,koronahun!$A:$AM,5,FALSE),"")</f>
        <v/>
      </c>
      <c r="F764" t="str">
        <f>IFERROR(VLOOKUP($A764,koronahun!$A:$AM,6,FALSE),"")</f>
        <v/>
      </c>
      <c r="G764" s="12" t="str">
        <f>IFERROR(VLOOKUP($A764,koronahun!$A:$AM,7,FALSE),"")</f>
        <v/>
      </c>
      <c r="H764" t="str">
        <f>IFERROR(VLOOKUP($A764,koronahun!$A:$AM,8,FALSE),"")</f>
        <v/>
      </c>
      <c r="I764" s="13" t="str">
        <f>IFERROR(VLOOKUP($A764,koronahun!$A:$AM,9,FALSE),"")</f>
        <v/>
      </c>
      <c r="J764" s="13" t="str">
        <f>IFERROR(VLOOKUP($A764,koronahun!$A:$AM,10,FALSE),"")</f>
        <v/>
      </c>
      <c r="K764" s="13" t="str">
        <f>IFERROR(VLOOKUP($A764,koronahun!$A:$AM,11,FALSE),"")</f>
        <v/>
      </c>
      <c r="L764" t="str">
        <f>IFERROR(VLOOKUP($A764,koronahun!$A:$AM,12,FALSE),"")</f>
        <v/>
      </c>
      <c r="M764" s="13" t="str">
        <f>IFERROR(VLOOKUP($A764,koronahun!$A:$AM,13,FALSE),"")</f>
        <v/>
      </c>
      <c r="N764" s="13" t="str">
        <f>IFERROR(VLOOKUP($A764,koronahun!$A:$AM,14,FALSE),"")</f>
        <v/>
      </c>
      <c r="O764" t="str">
        <f>IFERROR(VLOOKUP($A764,koronahun!$A:$AM,15,FALSE),"")</f>
        <v/>
      </c>
      <c r="P764" t="str">
        <f>IFERROR(VLOOKUP($A764,koronahun!$A:$AM,16,FALSE),"")</f>
        <v/>
      </c>
      <c r="Q764" s="13" t="str">
        <f>IFERROR(VLOOKUP($A764,koronahun!$A:$AM,17,FALSE),"")</f>
        <v/>
      </c>
      <c r="R764" t="str">
        <f>IFERROR(VLOOKUP($A764,koronahun!$A:$AM,18,FALSE),"")</f>
        <v/>
      </c>
      <c r="S764" t="str">
        <f>IFERROR(VLOOKUP($A764,koronahun!$A:$AM,19,FALSE),"")</f>
        <v/>
      </c>
      <c r="T764" t="str">
        <f>IFERROR(VLOOKUP($A764,koronahun!$A:$AM,20,FALSE),"")</f>
        <v/>
      </c>
      <c r="U764" t="str">
        <f>IFERROR(VLOOKUP($A764,koronahun!$A:$AM,21,FALSE),"")</f>
        <v/>
      </c>
      <c r="V764" s="13" t="str">
        <f>IFERROR(VLOOKUP($A764,koronahun!$A:$AM,22,FALSE),"")</f>
        <v/>
      </c>
      <c r="W764" t="str">
        <f>IFERROR(VLOOKUP($A764,koronahun!$A:$AM,23,FALSE),"")</f>
        <v/>
      </c>
      <c r="X764" t="str">
        <f>IFERROR(VLOOKUP($A764,koronahun!$A:$AM,24,FALSE),"")</f>
        <v/>
      </c>
      <c r="Y764" s="14" t="str">
        <f>IFERROR(VLOOKUP($A764,koronahun!$A:$AM,25,FALSE),"")</f>
        <v/>
      </c>
      <c r="Z764" s="14" t="str">
        <f>IFERROR(VLOOKUP($A764,koronahun!$A:$AM,26,FALSE),"")</f>
        <v/>
      </c>
      <c r="AA764" s="14" t="str">
        <f>IFERROR(VLOOKUP($A764,koronahun!$A:$AM,27,FALSE),"")</f>
        <v/>
      </c>
      <c r="AB764" s="14" t="str">
        <f>IFERROR(VLOOKUP($A764,koronahun!$A:$AM,28,FALSE),"")</f>
        <v/>
      </c>
      <c r="AC764" s="14" t="str">
        <f>IFERROR(VLOOKUP($A764,koronahun!$A:$AM,29,FALSE),"")</f>
        <v/>
      </c>
      <c r="AD764" s="14" t="str">
        <f>IFERROR(VLOOKUP($A764,koronahun!$A:$AM,30,FALSE),"")</f>
        <v/>
      </c>
      <c r="AE764" s="14" t="str">
        <f>IFERROR(VLOOKUP($A764,koronahun!$A:$AM,31,FALSE),"")</f>
        <v/>
      </c>
      <c r="AF764" s="13" t="str">
        <f>IFERROR(VLOOKUP($A764,koronahun!$A:$AM,32,FALSE),"")</f>
        <v/>
      </c>
      <c r="AG764" t="str">
        <f>IFERROR(VLOOKUP($A764,koronahun!$A:$AM,33,FALSE),"")</f>
        <v/>
      </c>
      <c r="AH764" t="str">
        <f>IFERROR(VLOOKUP($A764,koronahun!$A:$AM,34,FALSE),"")</f>
        <v/>
      </c>
      <c r="AI764" t="str">
        <f>IFERROR(VLOOKUP($A764,koronahun!$A:$AM,35,FALSE),"")</f>
        <v/>
      </c>
      <c r="AJ764" t="str">
        <f>IFERROR(VLOOKUP($A764,koronahun!$A:$AM,36,FALSE),"")</f>
        <v/>
      </c>
      <c r="AK764" t="str">
        <f>IFERROR(VLOOKUP($A764,koronahun!$A:$AM,37,FALSE),"")</f>
        <v/>
      </c>
      <c r="AL764" t="str">
        <f>IFERROR(VLOOKUP($A764,koronahun!$A:$AM,38,FALSE),"")</f>
        <v/>
      </c>
      <c r="AM764" s="14" t="str">
        <f>IFERROR(VLOOKUP($A764,koronahun!$A:$AM,39,FALSE),"")</f>
        <v/>
      </c>
      <c r="AN764" s="11">
        <f ca="1">IFERROR(__xludf.DUMMYFUNCTION("""COMPUTED_VALUE"""),44656)</f>
        <v>44656</v>
      </c>
      <c r="AO764" s="12">
        <f ca="1">IFERROR(VLOOKUP(AN764,koronahun!A:B,2,FALSE),"")</f>
        <v>1860159</v>
      </c>
      <c r="AP764" s="11">
        <f t="shared" ca="1" si="4"/>
        <v>44656</v>
      </c>
      <c r="AQ764" s="11"/>
      <c r="AR764" s="11"/>
      <c r="AS764" s="11"/>
      <c r="AT764" s="11"/>
    </row>
    <row r="765" spans="1:46" ht="13">
      <c r="A765" s="11"/>
      <c r="B765" t="str">
        <f>IFERROR(VLOOKUP($A765,koronahun!$A:$AM,2,FALSE),"")</f>
        <v/>
      </c>
      <c r="C765" t="str">
        <f>IFERROR(VLOOKUP($A765,koronahun!$A:$AM,3,FALSE),"")</f>
        <v/>
      </c>
      <c r="D765" t="str">
        <f>IFERROR(VLOOKUP($A765,koronahun!$A:$AM,4,FALSE),"")</f>
        <v/>
      </c>
      <c r="E765" t="str">
        <f>IFERROR(VLOOKUP($A765,koronahun!$A:$AM,5,FALSE),"")</f>
        <v/>
      </c>
      <c r="F765" t="str">
        <f>IFERROR(VLOOKUP($A765,koronahun!$A:$AM,6,FALSE),"")</f>
        <v/>
      </c>
      <c r="G765" s="12" t="str">
        <f>IFERROR(VLOOKUP($A765,koronahun!$A:$AM,7,FALSE),"")</f>
        <v/>
      </c>
      <c r="H765" t="str">
        <f>IFERROR(VLOOKUP($A765,koronahun!$A:$AM,8,FALSE),"")</f>
        <v/>
      </c>
      <c r="I765" s="13" t="str">
        <f>IFERROR(VLOOKUP($A765,koronahun!$A:$AM,9,FALSE),"")</f>
        <v/>
      </c>
      <c r="J765" s="13" t="str">
        <f>IFERROR(VLOOKUP($A765,koronahun!$A:$AM,10,FALSE),"")</f>
        <v/>
      </c>
      <c r="K765" s="13" t="str">
        <f>IFERROR(VLOOKUP($A765,koronahun!$A:$AM,11,FALSE),"")</f>
        <v/>
      </c>
      <c r="L765" t="str">
        <f>IFERROR(VLOOKUP($A765,koronahun!$A:$AM,12,FALSE),"")</f>
        <v/>
      </c>
      <c r="M765" s="13" t="str">
        <f>IFERROR(VLOOKUP($A765,koronahun!$A:$AM,13,FALSE),"")</f>
        <v/>
      </c>
      <c r="N765" s="13" t="str">
        <f>IFERROR(VLOOKUP($A765,koronahun!$A:$AM,14,FALSE),"")</f>
        <v/>
      </c>
      <c r="O765" t="str">
        <f>IFERROR(VLOOKUP($A765,koronahun!$A:$AM,15,FALSE),"")</f>
        <v/>
      </c>
      <c r="P765" t="str">
        <f>IFERROR(VLOOKUP($A765,koronahun!$A:$AM,16,FALSE),"")</f>
        <v/>
      </c>
      <c r="Q765" s="13" t="str">
        <f>IFERROR(VLOOKUP($A765,koronahun!$A:$AM,17,FALSE),"")</f>
        <v/>
      </c>
      <c r="R765" t="str">
        <f>IFERROR(VLOOKUP($A765,koronahun!$A:$AM,18,FALSE),"")</f>
        <v/>
      </c>
      <c r="S765" t="str">
        <f>IFERROR(VLOOKUP($A765,koronahun!$A:$AM,19,FALSE),"")</f>
        <v/>
      </c>
      <c r="T765" t="str">
        <f>IFERROR(VLOOKUP($A765,koronahun!$A:$AM,20,FALSE),"")</f>
        <v/>
      </c>
      <c r="U765" t="str">
        <f>IFERROR(VLOOKUP($A765,koronahun!$A:$AM,21,FALSE),"")</f>
        <v/>
      </c>
      <c r="V765" s="13" t="str">
        <f>IFERROR(VLOOKUP($A765,koronahun!$A:$AM,22,FALSE),"")</f>
        <v/>
      </c>
      <c r="W765" t="str">
        <f>IFERROR(VLOOKUP($A765,koronahun!$A:$AM,23,FALSE),"")</f>
        <v/>
      </c>
      <c r="X765" t="str">
        <f>IFERROR(VLOOKUP($A765,koronahun!$A:$AM,24,FALSE),"")</f>
        <v/>
      </c>
      <c r="Y765" s="14" t="str">
        <f>IFERROR(VLOOKUP($A765,koronahun!$A:$AM,25,FALSE),"")</f>
        <v/>
      </c>
      <c r="Z765" s="14" t="str">
        <f>IFERROR(VLOOKUP($A765,koronahun!$A:$AM,26,FALSE),"")</f>
        <v/>
      </c>
      <c r="AA765" s="14" t="str">
        <f>IFERROR(VLOOKUP($A765,koronahun!$A:$AM,27,FALSE),"")</f>
        <v/>
      </c>
      <c r="AB765" s="14" t="str">
        <f>IFERROR(VLOOKUP($A765,koronahun!$A:$AM,28,FALSE),"")</f>
        <v/>
      </c>
      <c r="AC765" s="14" t="str">
        <f>IFERROR(VLOOKUP($A765,koronahun!$A:$AM,29,FALSE),"")</f>
        <v/>
      </c>
      <c r="AD765" s="14" t="str">
        <f>IFERROR(VLOOKUP($A765,koronahun!$A:$AM,30,FALSE),"")</f>
        <v/>
      </c>
      <c r="AE765" s="14" t="str">
        <f>IFERROR(VLOOKUP($A765,koronahun!$A:$AM,31,FALSE),"")</f>
        <v/>
      </c>
      <c r="AF765" s="13" t="str">
        <f>IFERROR(VLOOKUP($A765,koronahun!$A:$AM,32,FALSE),"")</f>
        <v/>
      </c>
      <c r="AG765" t="str">
        <f>IFERROR(VLOOKUP($A765,koronahun!$A:$AM,33,FALSE),"")</f>
        <v/>
      </c>
      <c r="AH765" t="str">
        <f>IFERROR(VLOOKUP($A765,koronahun!$A:$AM,34,FALSE),"")</f>
        <v/>
      </c>
      <c r="AI765" t="str">
        <f>IFERROR(VLOOKUP($A765,koronahun!$A:$AM,35,FALSE),"")</f>
        <v/>
      </c>
      <c r="AJ765" t="str">
        <f>IFERROR(VLOOKUP($A765,koronahun!$A:$AM,36,FALSE),"")</f>
        <v/>
      </c>
      <c r="AK765" t="str">
        <f>IFERROR(VLOOKUP($A765,koronahun!$A:$AM,37,FALSE),"")</f>
        <v/>
      </c>
      <c r="AL765" t="str">
        <f>IFERROR(VLOOKUP($A765,koronahun!$A:$AM,38,FALSE),"")</f>
        <v/>
      </c>
      <c r="AM765" s="14" t="str">
        <f>IFERROR(VLOOKUP($A765,koronahun!$A:$AM,39,FALSE),"")</f>
        <v/>
      </c>
      <c r="AN765" s="11">
        <f ca="1">IFERROR(__xludf.DUMMYFUNCTION("""COMPUTED_VALUE"""),44657)</f>
        <v>44657</v>
      </c>
      <c r="AO765" s="12">
        <f ca="1">IFERROR(VLOOKUP(AN765,koronahun!A:B,2,FALSE),"")</f>
        <v>1863039</v>
      </c>
      <c r="AP765" s="11">
        <f t="shared" ca="1" si="4"/>
        <v>44657</v>
      </c>
      <c r="AQ765" s="11"/>
      <c r="AR765" s="11"/>
      <c r="AS765" s="11"/>
      <c r="AT765" s="11"/>
    </row>
    <row r="766" spans="1:46" ht="13">
      <c r="A766" s="11"/>
      <c r="B766" t="str">
        <f>IFERROR(VLOOKUP($A766,koronahun!$A:$AM,2,FALSE),"")</f>
        <v/>
      </c>
      <c r="C766" t="str">
        <f>IFERROR(VLOOKUP($A766,koronahun!$A:$AM,3,FALSE),"")</f>
        <v/>
      </c>
      <c r="D766" t="str">
        <f>IFERROR(VLOOKUP($A766,koronahun!$A:$AM,4,FALSE),"")</f>
        <v/>
      </c>
      <c r="E766" t="str">
        <f>IFERROR(VLOOKUP($A766,koronahun!$A:$AM,5,FALSE),"")</f>
        <v/>
      </c>
      <c r="F766" t="str">
        <f>IFERROR(VLOOKUP($A766,koronahun!$A:$AM,6,FALSE),"")</f>
        <v/>
      </c>
      <c r="G766" s="12" t="str">
        <f>IFERROR(VLOOKUP($A766,koronahun!$A:$AM,7,FALSE),"")</f>
        <v/>
      </c>
      <c r="H766" t="str">
        <f>IFERROR(VLOOKUP($A766,koronahun!$A:$AM,8,FALSE),"")</f>
        <v/>
      </c>
      <c r="I766" s="13" t="str">
        <f>IFERROR(VLOOKUP($A766,koronahun!$A:$AM,9,FALSE),"")</f>
        <v/>
      </c>
      <c r="J766" s="13" t="str">
        <f>IFERROR(VLOOKUP($A766,koronahun!$A:$AM,10,FALSE),"")</f>
        <v/>
      </c>
      <c r="K766" s="13" t="str">
        <f>IFERROR(VLOOKUP($A766,koronahun!$A:$AM,11,FALSE),"")</f>
        <v/>
      </c>
      <c r="L766" t="str">
        <f>IFERROR(VLOOKUP($A766,koronahun!$A:$AM,12,FALSE),"")</f>
        <v/>
      </c>
      <c r="M766" s="13" t="str">
        <f>IFERROR(VLOOKUP($A766,koronahun!$A:$AM,13,FALSE),"")</f>
        <v/>
      </c>
      <c r="N766" s="13" t="str">
        <f>IFERROR(VLOOKUP($A766,koronahun!$A:$AM,14,FALSE),"")</f>
        <v/>
      </c>
      <c r="O766" t="str">
        <f>IFERROR(VLOOKUP($A766,koronahun!$A:$AM,15,FALSE),"")</f>
        <v/>
      </c>
      <c r="P766" t="str">
        <f>IFERROR(VLOOKUP($A766,koronahun!$A:$AM,16,FALSE),"")</f>
        <v/>
      </c>
      <c r="Q766" s="13" t="str">
        <f>IFERROR(VLOOKUP($A766,koronahun!$A:$AM,17,FALSE),"")</f>
        <v/>
      </c>
      <c r="R766" t="str">
        <f>IFERROR(VLOOKUP($A766,koronahun!$A:$AM,18,FALSE),"")</f>
        <v/>
      </c>
      <c r="S766" t="str">
        <f>IFERROR(VLOOKUP($A766,koronahun!$A:$AM,19,FALSE),"")</f>
        <v/>
      </c>
      <c r="T766" t="str">
        <f>IFERROR(VLOOKUP($A766,koronahun!$A:$AM,20,FALSE),"")</f>
        <v/>
      </c>
      <c r="U766" t="str">
        <f>IFERROR(VLOOKUP($A766,koronahun!$A:$AM,21,FALSE),"")</f>
        <v/>
      </c>
      <c r="V766" s="13" t="str">
        <f>IFERROR(VLOOKUP($A766,koronahun!$A:$AM,22,FALSE),"")</f>
        <v/>
      </c>
      <c r="W766" t="str">
        <f>IFERROR(VLOOKUP($A766,koronahun!$A:$AM,23,FALSE),"")</f>
        <v/>
      </c>
      <c r="X766" t="str">
        <f>IFERROR(VLOOKUP($A766,koronahun!$A:$AM,24,FALSE),"")</f>
        <v/>
      </c>
      <c r="Y766" s="14" t="str">
        <f>IFERROR(VLOOKUP($A766,koronahun!$A:$AM,25,FALSE),"")</f>
        <v/>
      </c>
      <c r="Z766" s="14" t="str">
        <f>IFERROR(VLOOKUP($A766,koronahun!$A:$AM,26,FALSE),"")</f>
        <v/>
      </c>
      <c r="AA766" s="14" t="str">
        <f>IFERROR(VLOOKUP($A766,koronahun!$A:$AM,27,FALSE),"")</f>
        <v/>
      </c>
      <c r="AB766" s="14" t="str">
        <f>IFERROR(VLOOKUP($A766,koronahun!$A:$AM,28,FALSE),"")</f>
        <v/>
      </c>
      <c r="AC766" s="14" t="str">
        <f>IFERROR(VLOOKUP($A766,koronahun!$A:$AM,29,FALSE),"")</f>
        <v/>
      </c>
      <c r="AD766" s="14" t="str">
        <f>IFERROR(VLOOKUP($A766,koronahun!$A:$AM,30,FALSE),"")</f>
        <v/>
      </c>
      <c r="AE766" s="14" t="str">
        <f>IFERROR(VLOOKUP($A766,koronahun!$A:$AM,31,FALSE),"")</f>
        <v/>
      </c>
      <c r="AF766" s="13" t="str">
        <f>IFERROR(VLOOKUP($A766,koronahun!$A:$AM,32,FALSE),"")</f>
        <v/>
      </c>
      <c r="AG766" t="str">
        <f>IFERROR(VLOOKUP($A766,koronahun!$A:$AM,33,FALSE),"")</f>
        <v/>
      </c>
      <c r="AH766" t="str">
        <f>IFERROR(VLOOKUP($A766,koronahun!$A:$AM,34,FALSE),"")</f>
        <v/>
      </c>
      <c r="AI766" t="str">
        <f>IFERROR(VLOOKUP($A766,koronahun!$A:$AM,35,FALSE),"")</f>
        <v/>
      </c>
      <c r="AJ766" t="str">
        <f>IFERROR(VLOOKUP($A766,koronahun!$A:$AM,36,FALSE),"")</f>
        <v/>
      </c>
      <c r="AK766" t="str">
        <f>IFERROR(VLOOKUP($A766,koronahun!$A:$AM,37,FALSE),"")</f>
        <v/>
      </c>
      <c r="AL766" t="str">
        <f>IFERROR(VLOOKUP($A766,koronahun!$A:$AM,38,FALSE),"")</f>
        <v/>
      </c>
      <c r="AM766" s="14" t="str">
        <f>IFERROR(VLOOKUP($A766,koronahun!$A:$AM,39,FALSE),"")</f>
        <v/>
      </c>
      <c r="AN766" s="11">
        <f ca="1">IFERROR(__xludf.DUMMYFUNCTION("""COMPUTED_VALUE"""),44658)</f>
        <v>44658</v>
      </c>
      <c r="AO766" s="12">
        <f ca="1">IFERROR(VLOOKUP(AN766,koronahun!A:B,2,FALSE),"")</f>
        <v>1865607</v>
      </c>
      <c r="AP766" s="11">
        <f t="shared" ca="1" si="4"/>
        <v>44658</v>
      </c>
      <c r="AQ766" s="11"/>
      <c r="AR766" s="11"/>
      <c r="AS766" s="11"/>
      <c r="AT766" s="11"/>
    </row>
    <row r="767" spans="1:46" ht="13">
      <c r="A767" s="11"/>
      <c r="B767" t="str">
        <f>IFERROR(VLOOKUP($A767,koronahun!$A:$AM,2,FALSE),"")</f>
        <v/>
      </c>
      <c r="C767" t="str">
        <f>IFERROR(VLOOKUP($A767,koronahun!$A:$AM,3,FALSE),"")</f>
        <v/>
      </c>
      <c r="D767" t="str">
        <f>IFERROR(VLOOKUP($A767,koronahun!$A:$AM,4,FALSE),"")</f>
        <v/>
      </c>
      <c r="E767" t="str">
        <f>IFERROR(VLOOKUP($A767,koronahun!$A:$AM,5,FALSE),"")</f>
        <v/>
      </c>
      <c r="F767" t="str">
        <f>IFERROR(VLOOKUP($A767,koronahun!$A:$AM,6,FALSE),"")</f>
        <v/>
      </c>
      <c r="G767" s="12" t="str">
        <f>IFERROR(VLOOKUP($A767,koronahun!$A:$AM,7,FALSE),"")</f>
        <v/>
      </c>
      <c r="H767" t="str">
        <f>IFERROR(VLOOKUP($A767,koronahun!$A:$AM,8,FALSE),"")</f>
        <v/>
      </c>
      <c r="I767" s="13" t="str">
        <f>IFERROR(VLOOKUP($A767,koronahun!$A:$AM,9,FALSE),"")</f>
        <v/>
      </c>
      <c r="J767" s="13" t="str">
        <f>IFERROR(VLOOKUP($A767,koronahun!$A:$AM,10,FALSE),"")</f>
        <v/>
      </c>
      <c r="K767" s="13" t="str">
        <f>IFERROR(VLOOKUP($A767,koronahun!$A:$AM,11,FALSE),"")</f>
        <v/>
      </c>
      <c r="L767" t="str">
        <f>IFERROR(VLOOKUP($A767,koronahun!$A:$AM,12,FALSE),"")</f>
        <v/>
      </c>
      <c r="M767" s="13" t="str">
        <f>IFERROR(VLOOKUP($A767,koronahun!$A:$AM,13,FALSE),"")</f>
        <v/>
      </c>
      <c r="N767" s="13" t="str">
        <f>IFERROR(VLOOKUP($A767,koronahun!$A:$AM,14,FALSE),"")</f>
        <v/>
      </c>
      <c r="O767" t="str">
        <f>IFERROR(VLOOKUP($A767,koronahun!$A:$AM,15,FALSE),"")</f>
        <v/>
      </c>
      <c r="P767" t="str">
        <f>IFERROR(VLOOKUP($A767,koronahun!$A:$AM,16,FALSE),"")</f>
        <v/>
      </c>
      <c r="Q767" s="13" t="str">
        <f>IFERROR(VLOOKUP($A767,koronahun!$A:$AM,17,FALSE),"")</f>
        <v/>
      </c>
      <c r="R767" t="str">
        <f>IFERROR(VLOOKUP($A767,koronahun!$A:$AM,18,FALSE),"")</f>
        <v/>
      </c>
      <c r="S767" t="str">
        <f>IFERROR(VLOOKUP($A767,koronahun!$A:$AM,19,FALSE),"")</f>
        <v/>
      </c>
      <c r="T767" t="str">
        <f>IFERROR(VLOOKUP($A767,koronahun!$A:$AM,20,FALSE),"")</f>
        <v/>
      </c>
      <c r="U767" t="str">
        <f>IFERROR(VLOOKUP($A767,koronahun!$A:$AM,21,FALSE),"")</f>
        <v/>
      </c>
      <c r="V767" s="13" t="str">
        <f>IFERROR(VLOOKUP($A767,koronahun!$A:$AM,22,FALSE),"")</f>
        <v/>
      </c>
      <c r="W767" t="str">
        <f>IFERROR(VLOOKUP($A767,koronahun!$A:$AM,23,FALSE),"")</f>
        <v/>
      </c>
      <c r="X767" t="str">
        <f>IFERROR(VLOOKUP($A767,koronahun!$A:$AM,24,FALSE),"")</f>
        <v/>
      </c>
      <c r="Y767" s="14" t="str">
        <f>IFERROR(VLOOKUP($A767,koronahun!$A:$AM,25,FALSE),"")</f>
        <v/>
      </c>
      <c r="Z767" s="14" t="str">
        <f>IFERROR(VLOOKUP($A767,koronahun!$A:$AM,26,FALSE),"")</f>
        <v/>
      </c>
      <c r="AA767" s="14" t="str">
        <f>IFERROR(VLOOKUP($A767,koronahun!$A:$AM,27,FALSE),"")</f>
        <v/>
      </c>
      <c r="AB767" s="14" t="str">
        <f>IFERROR(VLOOKUP($A767,koronahun!$A:$AM,28,FALSE),"")</f>
        <v/>
      </c>
      <c r="AC767" s="14" t="str">
        <f>IFERROR(VLOOKUP($A767,koronahun!$A:$AM,29,FALSE),"")</f>
        <v/>
      </c>
      <c r="AD767" s="14" t="str">
        <f>IFERROR(VLOOKUP($A767,koronahun!$A:$AM,30,FALSE),"")</f>
        <v/>
      </c>
      <c r="AE767" s="14" t="str">
        <f>IFERROR(VLOOKUP($A767,koronahun!$A:$AM,31,FALSE),"")</f>
        <v/>
      </c>
      <c r="AF767" s="13" t="str">
        <f>IFERROR(VLOOKUP($A767,koronahun!$A:$AM,32,FALSE),"")</f>
        <v/>
      </c>
      <c r="AG767" t="str">
        <f>IFERROR(VLOOKUP($A767,koronahun!$A:$AM,33,FALSE),"")</f>
        <v/>
      </c>
      <c r="AH767" t="str">
        <f>IFERROR(VLOOKUP($A767,koronahun!$A:$AM,34,FALSE),"")</f>
        <v/>
      </c>
      <c r="AI767" t="str">
        <f>IFERROR(VLOOKUP($A767,koronahun!$A:$AM,35,FALSE),"")</f>
        <v/>
      </c>
      <c r="AJ767" t="str">
        <f>IFERROR(VLOOKUP($A767,koronahun!$A:$AM,36,FALSE),"")</f>
        <v/>
      </c>
      <c r="AK767" t="str">
        <f>IFERROR(VLOOKUP($A767,koronahun!$A:$AM,37,FALSE),"")</f>
        <v/>
      </c>
      <c r="AL767" t="str">
        <f>IFERROR(VLOOKUP($A767,koronahun!$A:$AM,38,FALSE),"")</f>
        <v/>
      </c>
      <c r="AM767" s="14" t="str">
        <f>IFERROR(VLOOKUP($A767,koronahun!$A:$AM,39,FALSE),"")</f>
        <v/>
      </c>
      <c r="AN767" s="11">
        <f ca="1">IFERROR(__xludf.DUMMYFUNCTION("""COMPUTED_VALUE"""),44659)</f>
        <v>44659</v>
      </c>
      <c r="AO767" s="12">
        <f ca="1">IFERROR(VLOOKUP(AN767,koronahun!A:B,2,FALSE),"")</f>
        <v>1868007</v>
      </c>
      <c r="AP767" s="11">
        <f t="shared" ref="AP767:AP1021" ca="1" si="6">IF(AO767="","",AN767)</f>
        <v>44659</v>
      </c>
      <c r="AQ767" s="11"/>
      <c r="AR767" s="11"/>
      <c r="AS767" s="11"/>
      <c r="AT767" s="11"/>
    </row>
    <row r="768" spans="1:46" ht="13">
      <c r="A768" s="11"/>
      <c r="B768" t="str">
        <f>IFERROR(VLOOKUP($A768,koronahun!$A:$AM,2,FALSE),"")</f>
        <v/>
      </c>
      <c r="C768" t="str">
        <f>IFERROR(VLOOKUP($A768,koronahun!$A:$AM,3,FALSE),"")</f>
        <v/>
      </c>
      <c r="D768" t="str">
        <f>IFERROR(VLOOKUP($A768,koronahun!$A:$AM,4,FALSE),"")</f>
        <v/>
      </c>
      <c r="E768" t="str">
        <f>IFERROR(VLOOKUP($A768,koronahun!$A:$AM,5,FALSE),"")</f>
        <v/>
      </c>
      <c r="F768" t="str">
        <f>IFERROR(VLOOKUP($A768,koronahun!$A:$AM,6,FALSE),"")</f>
        <v/>
      </c>
      <c r="G768" s="12" t="str">
        <f>IFERROR(VLOOKUP($A768,koronahun!$A:$AM,7,FALSE),"")</f>
        <v/>
      </c>
      <c r="H768" t="str">
        <f>IFERROR(VLOOKUP($A768,koronahun!$A:$AM,8,FALSE),"")</f>
        <v/>
      </c>
      <c r="I768" s="13" t="str">
        <f>IFERROR(VLOOKUP($A768,koronahun!$A:$AM,9,FALSE),"")</f>
        <v/>
      </c>
      <c r="J768" s="13" t="str">
        <f>IFERROR(VLOOKUP($A768,koronahun!$A:$AM,10,FALSE),"")</f>
        <v/>
      </c>
      <c r="K768" s="13" t="str">
        <f>IFERROR(VLOOKUP($A768,koronahun!$A:$AM,11,FALSE),"")</f>
        <v/>
      </c>
      <c r="L768" t="str">
        <f>IFERROR(VLOOKUP($A768,koronahun!$A:$AM,12,FALSE),"")</f>
        <v/>
      </c>
      <c r="M768" s="13" t="str">
        <f>IFERROR(VLOOKUP($A768,koronahun!$A:$AM,13,FALSE),"")</f>
        <v/>
      </c>
      <c r="N768" s="13" t="str">
        <f>IFERROR(VLOOKUP($A768,koronahun!$A:$AM,14,FALSE),"")</f>
        <v/>
      </c>
      <c r="O768" t="str">
        <f>IFERROR(VLOOKUP($A768,koronahun!$A:$AM,15,FALSE),"")</f>
        <v/>
      </c>
      <c r="P768" t="str">
        <f>IFERROR(VLOOKUP($A768,koronahun!$A:$AM,16,FALSE),"")</f>
        <v/>
      </c>
      <c r="Q768" s="13" t="str">
        <f>IFERROR(VLOOKUP($A768,koronahun!$A:$AM,17,FALSE),"")</f>
        <v/>
      </c>
      <c r="R768" t="str">
        <f>IFERROR(VLOOKUP($A768,koronahun!$A:$AM,18,FALSE),"")</f>
        <v/>
      </c>
      <c r="S768" t="str">
        <f>IFERROR(VLOOKUP($A768,koronahun!$A:$AM,19,FALSE),"")</f>
        <v/>
      </c>
      <c r="T768" t="str">
        <f>IFERROR(VLOOKUP($A768,koronahun!$A:$AM,20,FALSE),"")</f>
        <v/>
      </c>
      <c r="U768" t="str">
        <f>IFERROR(VLOOKUP($A768,koronahun!$A:$AM,21,FALSE),"")</f>
        <v/>
      </c>
      <c r="V768" s="13" t="str">
        <f>IFERROR(VLOOKUP($A768,koronahun!$A:$AM,22,FALSE),"")</f>
        <v/>
      </c>
      <c r="W768" t="str">
        <f>IFERROR(VLOOKUP($A768,koronahun!$A:$AM,23,FALSE),"")</f>
        <v/>
      </c>
      <c r="X768" t="str">
        <f>IFERROR(VLOOKUP($A768,koronahun!$A:$AM,24,FALSE),"")</f>
        <v/>
      </c>
      <c r="Y768" s="14" t="str">
        <f>IFERROR(VLOOKUP($A768,koronahun!$A:$AM,25,FALSE),"")</f>
        <v/>
      </c>
      <c r="Z768" s="14" t="str">
        <f>IFERROR(VLOOKUP($A768,koronahun!$A:$AM,26,FALSE),"")</f>
        <v/>
      </c>
      <c r="AA768" s="14" t="str">
        <f>IFERROR(VLOOKUP($A768,koronahun!$A:$AM,27,FALSE),"")</f>
        <v/>
      </c>
      <c r="AB768" s="14" t="str">
        <f>IFERROR(VLOOKUP($A768,koronahun!$A:$AM,28,FALSE),"")</f>
        <v/>
      </c>
      <c r="AC768" s="14" t="str">
        <f>IFERROR(VLOOKUP($A768,koronahun!$A:$AM,29,FALSE),"")</f>
        <v/>
      </c>
      <c r="AD768" s="14" t="str">
        <f>IFERROR(VLOOKUP($A768,koronahun!$A:$AM,30,FALSE),"")</f>
        <v/>
      </c>
      <c r="AE768" s="14" t="str">
        <f>IFERROR(VLOOKUP($A768,koronahun!$A:$AM,31,FALSE),"")</f>
        <v/>
      </c>
      <c r="AF768" s="13" t="str">
        <f>IFERROR(VLOOKUP($A768,koronahun!$A:$AM,32,FALSE),"")</f>
        <v/>
      </c>
      <c r="AG768" t="str">
        <f>IFERROR(VLOOKUP($A768,koronahun!$A:$AM,33,FALSE),"")</f>
        <v/>
      </c>
      <c r="AH768" t="str">
        <f>IFERROR(VLOOKUP($A768,koronahun!$A:$AM,34,FALSE),"")</f>
        <v/>
      </c>
      <c r="AI768" t="str">
        <f>IFERROR(VLOOKUP($A768,koronahun!$A:$AM,35,FALSE),"")</f>
        <v/>
      </c>
      <c r="AJ768" t="str">
        <f>IFERROR(VLOOKUP($A768,koronahun!$A:$AM,36,FALSE),"")</f>
        <v/>
      </c>
      <c r="AK768" t="str">
        <f>IFERROR(VLOOKUP($A768,koronahun!$A:$AM,37,FALSE),"")</f>
        <v/>
      </c>
      <c r="AL768" t="str">
        <f>IFERROR(VLOOKUP($A768,koronahun!$A:$AM,38,FALSE),"")</f>
        <v/>
      </c>
      <c r="AM768" s="14" t="str">
        <f>IFERROR(VLOOKUP($A768,koronahun!$A:$AM,39,FALSE),"")</f>
        <v/>
      </c>
      <c r="AN768" s="11">
        <f ca="1">IFERROR(__xludf.DUMMYFUNCTION("""COMPUTED_VALUE"""),44660)</f>
        <v>44660</v>
      </c>
      <c r="AO768" s="12">
        <f ca="1">IFERROR(VLOOKUP(AN768,koronahun!A:B,2,FALSE),"")</f>
        <v>0</v>
      </c>
      <c r="AP768" s="11">
        <f t="shared" ca="1" si="6"/>
        <v>44660</v>
      </c>
      <c r="AQ768" s="11"/>
      <c r="AR768" s="11"/>
      <c r="AS768" s="11"/>
      <c r="AT768" s="11"/>
    </row>
    <row r="769" spans="1:46" ht="13">
      <c r="A769" s="11"/>
      <c r="B769" t="str">
        <f>IFERROR(VLOOKUP($A769,koronahun!$A:$AM,2,FALSE),"")</f>
        <v/>
      </c>
      <c r="C769" t="str">
        <f>IFERROR(VLOOKUP($A769,koronahun!$A:$AM,3,FALSE),"")</f>
        <v/>
      </c>
      <c r="D769" t="str">
        <f>IFERROR(VLOOKUP($A769,koronahun!$A:$AM,4,FALSE),"")</f>
        <v/>
      </c>
      <c r="E769" t="str">
        <f>IFERROR(VLOOKUP($A769,koronahun!$A:$AM,5,FALSE),"")</f>
        <v/>
      </c>
      <c r="F769" t="str">
        <f>IFERROR(VLOOKUP($A769,koronahun!$A:$AM,6,FALSE),"")</f>
        <v/>
      </c>
      <c r="G769" s="12" t="str">
        <f>IFERROR(VLOOKUP($A769,koronahun!$A:$AM,7,FALSE),"")</f>
        <v/>
      </c>
      <c r="H769" t="str">
        <f>IFERROR(VLOOKUP($A769,koronahun!$A:$AM,8,FALSE),"")</f>
        <v/>
      </c>
      <c r="I769" s="13" t="str">
        <f>IFERROR(VLOOKUP($A769,koronahun!$A:$AM,9,FALSE),"")</f>
        <v/>
      </c>
      <c r="J769" s="13" t="str">
        <f>IFERROR(VLOOKUP($A769,koronahun!$A:$AM,10,FALSE),"")</f>
        <v/>
      </c>
      <c r="K769" s="13" t="str">
        <f>IFERROR(VLOOKUP($A769,koronahun!$A:$AM,11,FALSE),"")</f>
        <v/>
      </c>
      <c r="L769" t="str">
        <f>IFERROR(VLOOKUP($A769,koronahun!$A:$AM,12,FALSE),"")</f>
        <v/>
      </c>
      <c r="M769" s="13" t="str">
        <f>IFERROR(VLOOKUP($A769,koronahun!$A:$AM,13,FALSE),"")</f>
        <v/>
      </c>
      <c r="N769" s="13" t="str">
        <f>IFERROR(VLOOKUP($A769,koronahun!$A:$AM,14,FALSE),"")</f>
        <v/>
      </c>
      <c r="O769" t="str">
        <f>IFERROR(VLOOKUP($A769,koronahun!$A:$AM,15,FALSE),"")</f>
        <v/>
      </c>
      <c r="P769" t="str">
        <f>IFERROR(VLOOKUP($A769,koronahun!$A:$AM,16,FALSE),"")</f>
        <v/>
      </c>
      <c r="Q769" s="13" t="str">
        <f>IFERROR(VLOOKUP($A769,koronahun!$A:$AM,17,FALSE),"")</f>
        <v/>
      </c>
      <c r="R769" t="str">
        <f>IFERROR(VLOOKUP($A769,koronahun!$A:$AM,18,FALSE),"")</f>
        <v/>
      </c>
      <c r="S769" t="str">
        <f>IFERROR(VLOOKUP($A769,koronahun!$A:$AM,19,FALSE),"")</f>
        <v/>
      </c>
      <c r="T769" t="str">
        <f>IFERROR(VLOOKUP($A769,koronahun!$A:$AM,20,FALSE),"")</f>
        <v/>
      </c>
      <c r="U769" t="str">
        <f>IFERROR(VLOOKUP($A769,koronahun!$A:$AM,21,FALSE),"")</f>
        <v/>
      </c>
      <c r="V769" s="13" t="str">
        <f>IFERROR(VLOOKUP($A769,koronahun!$A:$AM,22,FALSE),"")</f>
        <v/>
      </c>
      <c r="W769" t="str">
        <f>IFERROR(VLOOKUP($A769,koronahun!$A:$AM,23,FALSE),"")</f>
        <v/>
      </c>
      <c r="X769" t="str">
        <f>IFERROR(VLOOKUP($A769,koronahun!$A:$AM,24,FALSE),"")</f>
        <v/>
      </c>
      <c r="Y769" s="14" t="str">
        <f>IFERROR(VLOOKUP($A769,koronahun!$A:$AM,25,FALSE),"")</f>
        <v/>
      </c>
      <c r="Z769" s="14" t="str">
        <f>IFERROR(VLOOKUP($A769,koronahun!$A:$AM,26,FALSE),"")</f>
        <v/>
      </c>
      <c r="AA769" s="14" t="str">
        <f>IFERROR(VLOOKUP($A769,koronahun!$A:$AM,27,FALSE),"")</f>
        <v/>
      </c>
      <c r="AB769" s="14" t="str">
        <f>IFERROR(VLOOKUP($A769,koronahun!$A:$AM,28,FALSE),"")</f>
        <v/>
      </c>
      <c r="AC769" s="14" t="str">
        <f>IFERROR(VLOOKUP($A769,koronahun!$A:$AM,29,FALSE),"")</f>
        <v/>
      </c>
      <c r="AD769" s="14" t="str">
        <f>IFERROR(VLOOKUP($A769,koronahun!$A:$AM,30,FALSE),"")</f>
        <v/>
      </c>
      <c r="AE769" s="14" t="str">
        <f>IFERROR(VLOOKUP($A769,koronahun!$A:$AM,31,FALSE),"")</f>
        <v/>
      </c>
      <c r="AF769" s="13" t="str">
        <f>IFERROR(VLOOKUP($A769,koronahun!$A:$AM,32,FALSE),"")</f>
        <v/>
      </c>
      <c r="AG769" t="str">
        <f>IFERROR(VLOOKUP($A769,koronahun!$A:$AM,33,FALSE),"")</f>
        <v/>
      </c>
      <c r="AH769" t="str">
        <f>IFERROR(VLOOKUP($A769,koronahun!$A:$AM,34,FALSE),"")</f>
        <v/>
      </c>
      <c r="AI769" t="str">
        <f>IFERROR(VLOOKUP($A769,koronahun!$A:$AM,35,FALSE),"")</f>
        <v/>
      </c>
      <c r="AJ769" t="str">
        <f>IFERROR(VLOOKUP($A769,koronahun!$A:$AM,36,FALSE),"")</f>
        <v/>
      </c>
      <c r="AK769" t="str">
        <f>IFERROR(VLOOKUP($A769,koronahun!$A:$AM,37,FALSE),"")</f>
        <v/>
      </c>
      <c r="AL769" t="str">
        <f>IFERROR(VLOOKUP($A769,koronahun!$A:$AM,38,FALSE),"")</f>
        <v/>
      </c>
      <c r="AM769" s="14" t="str">
        <f>IFERROR(VLOOKUP($A769,koronahun!$A:$AM,39,FALSE),"")</f>
        <v/>
      </c>
      <c r="AN769" s="11">
        <f ca="1">IFERROR(__xludf.DUMMYFUNCTION("""COMPUTED_VALUE"""),44661)</f>
        <v>44661</v>
      </c>
      <c r="AO769" s="12">
        <f ca="1">IFERROR(VLOOKUP(AN769,koronahun!A:B,2,FALSE),"")</f>
        <v>0</v>
      </c>
      <c r="AP769" s="11">
        <f t="shared" ca="1" si="6"/>
        <v>44661</v>
      </c>
      <c r="AQ769" s="11"/>
      <c r="AR769" s="11"/>
      <c r="AS769" s="11"/>
      <c r="AT769" s="11"/>
    </row>
    <row r="770" spans="1:46" ht="13">
      <c r="A770" s="11"/>
      <c r="B770" t="str">
        <f>IFERROR(VLOOKUP($A770,koronahun!$A:$AM,2,FALSE),"")</f>
        <v/>
      </c>
      <c r="C770" t="str">
        <f>IFERROR(VLOOKUP($A770,koronahun!$A:$AM,3,FALSE),"")</f>
        <v/>
      </c>
      <c r="D770" t="str">
        <f>IFERROR(VLOOKUP($A770,koronahun!$A:$AM,4,FALSE),"")</f>
        <v/>
      </c>
      <c r="E770" t="str">
        <f>IFERROR(VLOOKUP($A770,koronahun!$A:$AM,5,FALSE),"")</f>
        <v/>
      </c>
      <c r="F770" t="str">
        <f>IFERROR(VLOOKUP($A770,koronahun!$A:$AM,6,FALSE),"")</f>
        <v/>
      </c>
      <c r="G770" s="12" t="str">
        <f>IFERROR(VLOOKUP($A770,koronahun!$A:$AM,7,FALSE),"")</f>
        <v/>
      </c>
      <c r="H770" t="str">
        <f>IFERROR(VLOOKUP($A770,koronahun!$A:$AM,8,FALSE),"")</f>
        <v/>
      </c>
      <c r="I770" s="13" t="str">
        <f>IFERROR(VLOOKUP($A770,koronahun!$A:$AM,9,FALSE),"")</f>
        <v/>
      </c>
      <c r="J770" s="13" t="str">
        <f>IFERROR(VLOOKUP($A770,koronahun!$A:$AM,10,FALSE),"")</f>
        <v/>
      </c>
      <c r="K770" s="13" t="str">
        <f>IFERROR(VLOOKUP($A770,koronahun!$A:$AM,11,FALSE),"")</f>
        <v/>
      </c>
      <c r="L770" t="str">
        <f>IFERROR(VLOOKUP($A770,koronahun!$A:$AM,12,FALSE),"")</f>
        <v/>
      </c>
      <c r="M770" s="13" t="str">
        <f>IFERROR(VLOOKUP($A770,koronahun!$A:$AM,13,FALSE),"")</f>
        <v/>
      </c>
      <c r="N770" s="13" t="str">
        <f>IFERROR(VLOOKUP($A770,koronahun!$A:$AM,14,FALSE),"")</f>
        <v/>
      </c>
      <c r="O770" t="str">
        <f>IFERROR(VLOOKUP($A770,koronahun!$A:$AM,15,FALSE),"")</f>
        <v/>
      </c>
      <c r="P770" t="str">
        <f>IFERROR(VLOOKUP($A770,koronahun!$A:$AM,16,FALSE),"")</f>
        <v/>
      </c>
      <c r="Q770" s="13" t="str">
        <f>IFERROR(VLOOKUP($A770,koronahun!$A:$AM,17,FALSE),"")</f>
        <v/>
      </c>
      <c r="R770" t="str">
        <f>IFERROR(VLOOKUP($A770,koronahun!$A:$AM,18,FALSE),"")</f>
        <v/>
      </c>
      <c r="S770" t="str">
        <f>IFERROR(VLOOKUP($A770,koronahun!$A:$AM,19,FALSE),"")</f>
        <v/>
      </c>
      <c r="T770" t="str">
        <f>IFERROR(VLOOKUP($A770,koronahun!$A:$AM,20,FALSE),"")</f>
        <v/>
      </c>
      <c r="U770" t="str">
        <f>IFERROR(VLOOKUP($A770,koronahun!$A:$AM,21,FALSE),"")</f>
        <v/>
      </c>
      <c r="V770" s="13" t="str">
        <f>IFERROR(VLOOKUP($A770,koronahun!$A:$AM,22,FALSE),"")</f>
        <v/>
      </c>
      <c r="W770" t="str">
        <f>IFERROR(VLOOKUP($A770,koronahun!$A:$AM,23,FALSE),"")</f>
        <v/>
      </c>
      <c r="X770" t="str">
        <f>IFERROR(VLOOKUP($A770,koronahun!$A:$AM,24,FALSE),"")</f>
        <v/>
      </c>
      <c r="Y770" s="14" t="str">
        <f>IFERROR(VLOOKUP($A770,koronahun!$A:$AM,25,FALSE),"")</f>
        <v/>
      </c>
      <c r="Z770" s="14" t="str">
        <f>IFERROR(VLOOKUP($A770,koronahun!$A:$AM,26,FALSE),"")</f>
        <v/>
      </c>
      <c r="AA770" s="14" t="str">
        <f>IFERROR(VLOOKUP($A770,koronahun!$A:$AM,27,FALSE),"")</f>
        <v/>
      </c>
      <c r="AB770" s="14" t="str">
        <f>IFERROR(VLOOKUP($A770,koronahun!$A:$AM,28,FALSE),"")</f>
        <v/>
      </c>
      <c r="AC770" s="14" t="str">
        <f>IFERROR(VLOOKUP($A770,koronahun!$A:$AM,29,FALSE),"")</f>
        <v/>
      </c>
      <c r="AD770" s="14" t="str">
        <f>IFERROR(VLOOKUP($A770,koronahun!$A:$AM,30,FALSE),"")</f>
        <v/>
      </c>
      <c r="AE770" s="14" t="str">
        <f>IFERROR(VLOOKUP($A770,koronahun!$A:$AM,31,FALSE),"")</f>
        <v/>
      </c>
      <c r="AF770" s="13" t="str">
        <f>IFERROR(VLOOKUP($A770,koronahun!$A:$AM,32,FALSE),"")</f>
        <v/>
      </c>
      <c r="AG770" t="str">
        <f>IFERROR(VLOOKUP($A770,koronahun!$A:$AM,33,FALSE),"")</f>
        <v/>
      </c>
      <c r="AH770" t="str">
        <f>IFERROR(VLOOKUP($A770,koronahun!$A:$AM,34,FALSE),"")</f>
        <v/>
      </c>
      <c r="AI770" t="str">
        <f>IFERROR(VLOOKUP($A770,koronahun!$A:$AM,35,FALSE),"")</f>
        <v/>
      </c>
      <c r="AJ770" t="str">
        <f>IFERROR(VLOOKUP($A770,koronahun!$A:$AM,36,FALSE),"")</f>
        <v/>
      </c>
      <c r="AK770" t="str">
        <f>IFERROR(VLOOKUP($A770,koronahun!$A:$AM,37,FALSE),"")</f>
        <v/>
      </c>
      <c r="AL770" t="str">
        <f>IFERROR(VLOOKUP($A770,koronahun!$A:$AM,38,FALSE),"")</f>
        <v/>
      </c>
      <c r="AM770" s="14" t="str">
        <f>IFERROR(VLOOKUP($A770,koronahun!$A:$AM,39,FALSE),"")</f>
        <v/>
      </c>
      <c r="AN770" s="11">
        <f ca="1">IFERROR(__xludf.DUMMYFUNCTION("""COMPUTED_VALUE"""),44662)</f>
        <v>44662</v>
      </c>
      <c r="AO770" s="12">
        <f ca="1">IFERROR(VLOOKUP(AN770,koronahun!A:B,2,FALSE),"")</f>
        <v>1872664</v>
      </c>
      <c r="AP770" s="11">
        <f t="shared" ca="1" si="6"/>
        <v>44662</v>
      </c>
      <c r="AQ770" s="11"/>
      <c r="AR770" s="11"/>
      <c r="AS770" s="11"/>
      <c r="AT770" s="11"/>
    </row>
    <row r="771" spans="1:46" ht="13">
      <c r="A771" s="11"/>
      <c r="B771" t="str">
        <f>IFERROR(VLOOKUP($A771,koronahun!$A:$AM,2,FALSE),"")</f>
        <v/>
      </c>
      <c r="C771" t="str">
        <f>IFERROR(VLOOKUP($A771,koronahun!$A:$AM,3,FALSE),"")</f>
        <v/>
      </c>
      <c r="D771" t="str">
        <f>IFERROR(VLOOKUP($A771,koronahun!$A:$AM,4,FALSE),"")</f>
        <v/>
      </c>
      <c r="E771" t="str">
        <f>IFERROR(VLOOKUP($A771,koronahun!$A:$AM,5,FALSE),"")</f>
        <v/>
      </c>
      <c r="F771" t="str">
        <f>IFERROR(VLOOKUP($A771,koronahun!$A:$AM,6,FALSE),"")</f>
        <v/>
      </c>
      <c r="G771" s="12" t="str">
        <f>IFERROR(VLOOKUP($A771,koronahun!$A:$AM,7,FALSE),"")</f>
        <v/>
      </c>
      <c r="H771" t="str">
        <f>IFERROR(VLOOKUP($A771,koronahun!$A:$AM,8,FALSE),"")</f>
        <v/>
      </c>
      <c r="I771" s="13" t="str">
        <f>IFERROR(VLOOKUP($A771,koronahun!$A:$AM,9,FALSE),"")</f>
        <v/>
      </c>
      <c r="J771" s="13" t="str">
        <f>IFERROR(VLOOKUP($A771,koronahun!$A:$AM,10,FALSE),"")</f>
        <v/>
      </c>
      <c r="K771" s="13" t="str">
        <f>IFERROR(VLOOKUP($A771,koronahun!$A:$AM,11,FALSE),"")</f>
        <v/>
      </c>
      <c r="L771" t="str">
        <f>IFERROR(VLOOKUP($A771,koronahun!$A:$AM,12,FALSE),"")</f>
        <v/>
      </c>
      <c r="M771" s="13" t="str">
        <f>IFERROR(VLOOKUP($A771,koronahun!$A:$AM,13,FALSE),"")</f>
        <v/>
      </c>
      <c r="N771" s="13" t="str">
        <f>IFERROR(VLOOKUP($A771,koronahun!$A:$AM,14,FALSE),"")</f>
        <v/>
      </c>
      <c r="O771" t="str">
        <f>IFERROR(VLOOKUP($A771,koronahun!$A:$AM,15,FALSE),"")</f>
        <v/>
      </c>
      <c r="P771" t="str">
        <f>IFERROR(VLOOKUP($A771,koronahun!$A:$AM,16,FALSE),"")</f>
        <v/>
      </c>
      <c r="Q771" s="13" t="str">
        <f>IFERROR(VLOOKUP($A771,koronahun!$A:$AM,17,FALSE),"")</f>
        <v/>
      </c>
      <c r="R771" t="str">
        <f>IFERROR(VLOOKUP($A771,koronahun!$A:$AM,18,FALSE),"")</f>
        <v/>
      </c>
      <c r="S771" t="str">
        <f>IFERROR(VLOOKUP($A771,koronahun!$A:$AM,19,FALSE),"")</f>
        <v/>
      </c>
      <c r="T771" t="str">
        <f>IFERROR(VLOOKUP($A771,koronahun!$A:$AM,20,FALSE),"")</f>
        <v/>
      </c>
      <c r="U771" t="str">
        <f>IFERROR(VLOOKUP($A771,koronahun!$A:$AM,21,FALSE),"")</f>
        <v/>
      </c>
      <c r="V771" s="13" t="str">
        <f>IFERROR(VLOOKUP($A771,koronahun!$A:$AM,22,FALSE),"")</f>
        <v/>
      </c>
      <c r="W771" t="str">
        <f>IFERROR(VLOOKUP($A771,koronahun!$A:$AM,23,FALSE),"")</f>
        <v/>
      </c>
      <c r="X771" t="str">
        <f>IFERROR(VLOOKUP($A771,koronahun!$A:$AM,24,FALSE),"")</f>
        <v/>
      </c>
      <c r="Y771" s="14" t="str">
        <f>IFERROR(VLOOKUP($A771,koronahun!$A:$AM,25,FALSE),"")</f>
        <v/>
      </c>
      <c r="Z771" s="14" t="str">
        <f>IFERROR(VLOOKUP($A771,koronahun!$A:$AM,26,FALSE),"")</f>
        <v/>
      </c>
      <c r="AA771" s="14" t="str">
        <f>IFERROR(VLOOKUP($A771,koronahun!$A:$AM,27,FALSE),"")</f>
        <v/>
      </c>
      <c r="AB771" s="14" t="str">
        <f>IFERROR(VLOOKUP($A771,koronahun!$A:$AM,28,FALSE),"")</f>
        <v/>
      </c>
      <c r="AC771" s="14" t="str">
        <f>IFERROR(VLOOKUP($A771,koronahun!$A:$AM,29,FALSE),"")</f>
        <v/>
      </c>
      <c r="AD771" s="14" t="str">
        <f>IFERROR(VLOOKUP($A771,koronahun!$A:$AM,30,FALSE),"")</f>
        <v/>
      </c>
      <c r="AE771" s="14" t="str">
        <f>IFERROR(VLOOKUP($A771,koronahun!$A:$AM,31,FALSE),"")</f>
        <v/>
      </c>
      <c r="AF771" s="13" t="str">
        <f>IFERROR(VLOOKUP($A771,koronahun!$A:$AM,32,FALSE),"")</f>
        <v/>
      </c>
      <c r="AG771" t="str">
        <f>IFERROR(VLOOKUP($A771,koronahun!$A:$AM,33,FALSE),"")</f>
        <v/>
      </c>
      <c r="AH771" t="str">
        <f>IFERROR(VLOOKUP($A771,koronahun!$A:$AM,34,FALSE),"")</f>
        <v/>
      </c>
      <c r="AI771" t="str">
        <f>IFERROR(VLOOKUP($A771,koronahun!$A:$AM,35,FALSE),"")</f>
        <v/>
      </c>
      <c r="AJ771" t="str">
        <f>IFERROR(VLOOKUP($A771,koronahun!$A:$AM,36,FALSE),"")</f>
        <v/>
      </c>
      <c r="AK771" t="str">
        <f>IFERROR(VLOOKUP($A771,koronahun!$A:$AM,37,FALSE),"")</f>
        <v/>
      </c>
      <c r="AL771" t="str">
        <f>IFERROR(VLOOKUP($A771,koronahun!$A:$AM,38,FALSE),"")</f>
        <v/>
      </c>
      <c r="AM771" s="14" t="str">
        <f>IFERROR(VLOOKUP($A771,koronahun!$A:$AM,39,FALSE),"")</f>
        <v/>
      </c>
      <c r="AN771" s="11">
        <f ca="1">IFERROR(__xludf.DUMMYFUNCTION("""COMPUTED_VALUE"""),44663)</f>
        <v>44663</v>
      </c>
      <c r="AO771" s="12">
        <f ca="1">IFERROR(VLOOKUP(AN771,koronahun!A:B,2,FALSE),"")</f>
        <v>1874206</v>
      </c>
      <c r="AP771" s="11">
        <f t="shared" ca="1" si="6"/>
        <v>44663</v>
      </c>
      <c r="AQ771" s="11"/>
      <c r="AR771" s="11"/>
      <c r="AS771" s="11"/>
      <c r="AT771" s="11"/>
    </row>
    <row r="772" spans="1:46" ht="13">
      <c r="A772" s="11"/>
      <c r="B772" t="str">
        <f>IFERROR(VLOOKUP($A772,koronahun!$A:$AM,2,FALSE),"")</f>
        <v/>
      </c>
      <c r="C772" t="str">
        <f>IFERROR(VLOOKUP($A772,koronahun!$A:$AM,3,FALSE),"")</f>
        <v/>
      </c>
      <c r="D772" t="str">
        <f>IFERROR(VLOOKUP($A772,koronahun!$A:$AM,4,FALSE),"")</f>
        <v/>
      </c>
      <c r="E772" t="str">
        <f>IFERROR(VLOOKUP($A772,koronahun!$A:$AM,5,FALSE),"")</f>
        <v/>
      </c>
      <c r="F772" t="str">
        <f>IFERROR(VLOOKUP($A772,koronahun!$A:$AM,6,FALSE),"")</f>
        <v/>
      </c>
      <c r="G772" s="12" t="str">
        <f>IFERROR(VLOOKUP($A772,koronahun!$A:$AM,7,FALSE),"")</f>
        <v/>
      </c>
      <c r="H772" t="str">
        <f>IFERROR(VLOOKUP($A772,koronahun!$A:$AM,8,FALSE),"")</f>
        <v/>
      </c>
      <c r="I772" s="13" t="str">
        <f>IFERROR(VLOOKUP($A772,koronahun!$A:$AM,9,FALSE),"")</f>
        <v/>
      </c>
      <c r="J772" s="13" t="str">
        <f>IFERROR(VLOOKUP($A772,koronahun!$A:$AM,10,FALSE),"")</f>
        <v/>
      </c>
      <c r="K772" s="13" t="str">
        <f>IFERROR(VLOOKUP($A772,koronahun!$A:$AM,11,FALSE),"")</f>
        <v/>
      </c>
      <c r="L772" t="str">
        <f>IFERROR(VLOOKUP($A772,koronahun!$A:$AM,12,FALSE),"")</f>
        <v/>
      </c>
      <c r="M772" s="13" t="str">
        <f>IFERROR(VLOOKUP($A772,koronahun!$A:$AM,13,FALSE),"")</f>
        <v/>
      </c>
      <c r="N772" s="13" t="str">
        <f>IFERROR(VLOOKUP($A772,koronahun!$A:$AM,14,FALSE),"")</f>
        <v/>
      </c>
      <c r="O772" t="str">
        <f>IFERROR(VLOOKUP($A772,koronahun!$A:$AM,15,FALSE),"")</f>
        <v/>
      </c>
      <c r="P772" t="str">
        <f>IFERROR(VLOOKUP($A772,koronahun!$A:$AM,16,FALSE),"")</f>
        <v/>
      </c>
      <c r="Q772" s="13" t="str">
        <f>IFERROR(VLOOKUP($A772,koronahun!$A:$AM,17,FALSE),"")</f>
        <v/>
      </c>
      <c r="R772" t="str">
        <f>IFERROR(VLOOKUP($A772,koronahun!$A:$AM,18,FALSE),"")</f>
        <v/>
      </c>
      <c r="S772" t="str">
        <f>IFERROR(VLOOKUP($A772,koronahun!$A:$AM,19,FALSE),"")</f>
        <v/>
      </c>
      <c r="T772" t="str">
        <f>IFERROR(VLOOKUP($A772,koronahun!$A:$AM,20,FALSE),"")</f>
        <v/>
      </c>
      <c r="U772" t="str">
        <f>IFERROR(VLOOKUP($A772,koronahun!$A:$AM,21,FALSE),"")</f>
        <v/>
      </c>
      <c r="V772" s="13" t="str">
        <f>IFERROR(VLOOKUP($A772,koronahun!$A:$AM,22,FALSE),"")</f>
        <v/>
      </c>
      <c r="W772" t="str">
        <f>IFERROR(VLOOKUP($A772,koronahun!$A:$AM,23,FALSE),"")</f>
        <v/>
      </c>
      <c r="X772" t="str">
        <f>IFERROR(VLOOKUP($A772,koronahun!$A:$AM,24,FALSE),"")</f>
        <v/>
      </c>
      <c r="Y772" s="14" t="str">
        <f>IFERROR(VLOOKUP($A772,koronahun!$A:$AM,25,FALSE),"")</f>
        <v/>
      </c>
      <c r="Z772" s="14" t="str">
        <f>IFERROR(VLOOKUP($A772,koronahun!$A:$AM,26,FALSE),"")</f>
        <v/>
      </c>
      <c r="AA772" s="14" t="str">
        <f>IFERROR(VLOOKUP($A772,koronahun!$A:$AM,27,FALSE),"")</f>
        <v/>
      </c>
      <c r="AB772" s="14" t="str">
        <f>IFERROR(VLOOKUP($A772,koronahun!$A:$AM,28,FALSE),"")</f>
        <v/>
      </c>
      <c r="AC772" s="14" t="str">
        <f>IFERROR(VLOOKUP($A772,koronahun!$A:$AM,29,FALSE),"")</f>
        <v/>
      </c>
      <c r="AD772" s="14" t="str">
        <f>IFERROR(VLOOKUP($A772,koronahun!$A:$AM,30,FALSE),"")</f>
        <v/>
      </c>
      <c r="AE772" s="14" t="str">
        <f>IFERROR(VLOOKUP($A772,koronahun!$A:$AM,31,FALSE),"")</f>
        <v/>
      </c>
      <c r="AF772" s="13" t="str">
        <f>IFERROR(VLOOKUP($A772,koronahun!$A:$AM,32,FALSE),"")</f>
        <v/>
      </c>
      <c r="AG772" t="str">
        <f>IFERROR(VLOOKUP($A772,koronahun!$A:$AM,33,FALSE),"")</f>
        <v/>
      </c>
      <c r="AH772" t="str">
        <f>IFERROR(VLOOKUP($A772,koronahun!$A:$AM,34,FALSE),"")</f>
        <v/>
      </c>
      <c r="AI772" t="str">
        <f>IFERROR(VLOOKUP($A772,koronahun!$A:$AM,35,FALSE),"")</f>
        <v/>
      </c>
      <c r="AJ772" t="str">
        <f>IFERROR(VLOOKUP($A772,koronahun!$A:$AM,36,FALSE),"")</f>
        <v/>
      </c>
      <c r="AK772" t="str">
        <f>IFERROR(VLOOKUP($A772,koronahun!$A:$AM,37,FALSE),"")</f>
        <v/>
      </c>
      <c r="AL772" t="str">
        <f>IFERROR(VLOOKUP($A772,koronahun!$A:$AM,38,FALSE),"")</f>
        <v/>
      </c>
      <c r="AM772" s="14" t="str">
        <f>IFERROR(VLOOKUP($A772,koronahun!$A:$AM,39,FALSE),"")</f>
        <v/>
      </c>
      <c r="AN772" s="11">
        <f ca="1">IFERROR(__xludf.DUMMYFUNCTION("""COMPUTED_VALUE"""),44664)</f>
        <v>44664</v>
      </c>
      <c r="AO772" s="12">
        <f ca="1">IFERROR(VLOOKUP(AN772,koronahun!A:B,2,FALSE),"")</f>
        <v>1876946</v>
      </c>
      <c r="AP772" s="11">
        <f t="shared" ca="1" si="6"/>
        <v>44664</v>
      </c>
      <c r="AQ772" s="11"/>
      <c r="AR772" s="11"/>
      <c r="AS772" s="11"/>
      <c r="AT772" s="11"/>
    </row>
    <row r="773" spans="1:46" ht="13">
      <c r="A773" s="11"/>
      <c r="B773" t="str">
        <f>IFERROR(VLOOKUP($A773,koronahun!$A:$AM,2,FALSE),"")</f>
        <v/>
      </c>
      <c r="C773" t="str">
        <f>IFERROR(VLOOKUP($A773,koronahun!$A:$AM,3,FALSE),"")</f>
        <v/>
      </c>
      <c r="D773" t="str">
        <f>IFERROR(VLOOKUP($A773,koronahun!$A:$AM,4,FALSE),"")</f>
        <v/>
      </c>
      <c r="E773" t="str">
        <f>IFERROR(VLOOKUP($A773,koronahun!$A:$AM,5,FALSE),"")</f>
        <v/>
      </c>
      <c r="F773" t="str">
        <f>IFERROR(VLOOKUP($A773,koronahun!$A:$AM,6,FALSE),"")</f>
        <v/>
      </c>
      <c r="G773" s="12" t="str">
        <f>IFERROR(VLOOKUP($A773,koronahun!$A:$AM,7,FALSE),"")</f>
        <v/>
      </c>
      <c r="H773" t="str">
        <f>IFERROR(VLOOKUP($A773,koronahun!$A:$AM,8,FALSE),"")</f>
        <v/>
      </c>
      <c r="I773" s="13" t="str">
        <f>IFERROR(VLOOKUP($A773,koronahun!$A:$AM,9,FALSE),"")</f>
        <v/>
      </c>
      <c r="J773" s="13" t="str">
        <f>IFERROR(VLOOKUP($A773,koronahun!$A:$AM,10,FALSE),"")</f>
        <v/>
      </c>
      <c r="K773" s="13" t="str">
        <f>IFERROR(VLOOKUP($A773,koronahun!$A:$AM,11,FALSE),"")</f>
        <v/>
      </c>
      <c r="L773" t="str">
        <f>IFERROR(VLOOKUP($A773,koronahun!$A:$AM,12,FALSE),"")</f>
        <v/>
      </c>
      <c r="M773" s="13" t="str">
        <f>IFERROR(VLOOKUP($A773,koronahun!$A:$AM,13,FALSE),"")</f>
        <v/>
      </c>
      <c r="N773" s="13" t="str">
        <f>IFERROR(VLOOKUP($A773,koronahun!$A:$AM,14,FALSE),"")</f>
        <v/>
      </c>
      <c r="O773" t="str">
        <f>IFERROR(VLOOKUP($A773,koronahun!$A:$AM,15,FALSE),"")</f>
        <v/>
      </c>
      <c r="P773" t="str">
        <f>IFERROR(VLOOKUP($A773,koronahun!$A:$AM,16,FALSE),"")</f>
        <v/>
      </c>
      <c r="Q773" s="13" t="str">
        <f>IFERROR(VLOOKUP($A773,koronahun!$A:$AM,17,FALSE),"")</f>
        <v/>
      </c>
      <c r="R773" t="str">
        <f>IFERROR(VLOOKUP($A773,koronahun!$A:$AM,18,FALSE),"")</f>
        <v/>
      </c>
      <c r="S773" t="str">
        <f>IFERROR(VLOOKUP($A773,koronahun!$A:$AM,19,FALSE),"")</f>
        <v/>
      </c>
      <c r="T773" t="str">
        <f>IFERROR(VLOOKUP($A773,koronahun!$A:$AM,20,FALSE),"")</f>
        <v/>
      </c>
      <c r="U773" t="str">
        <f>IFERROR(VLOOKUP($A773,koronahun!$A:$AM,21,FALSE),"")</f>
        <v/>
      </c>
      <c r="V773" s="13" t="str">
        <f>IFERROR(VLOOKUP($A773,koronahun!$A:$AM,22,FALSE),"")</f>
        <v/>
      </c>
      <c r="W773" t="str">
        <f>IFERROR(VLOOKUP($A773,koronahun!$A:$AM,23,FALSE),"")</f>
        <v/>
      </c>
      <c r="X773" t="str">
        <f>IFERROR(VLOOKUP($A773,koronahun!$A:$AM,24,FALSE),"")</f>
        <v/>
      </c>
      <c r="Y773" s="14" t="str">
        <f>IFERROR(VLOOKUP($A773,koronahun!$A:$AM,25,FALSE),"")</f>
        <v/>
      </c>
      <c r="Z773" s="14" t="str">
        <f>IFERROR(VLOOKUP($A773,koronahun!$A:$AM,26,FALSE),"")</f>
        <v/>
      </c>
      <c r="AA773" s="14" t="str">
        <f>IFERROR(VLOOKUP($A773,koronahun!$A:$AM,27,FALSE),"")</f>
        <v/>
      </c>
      <c r="AB773" s="14" t="str">
        <f>IFERROR(VLOOKUP($A773,koronahun!$A:$AM,28,FALSE),"")</f>
        <v/>
      </c>
      <c r="AC773" s="14" t="str">
        <f>IFERROR(VLOOKUP($A773,koronahun!$A:$AM,29,FALSE),"")</f>
        <v/>
      </c>
      <c r="AD773" s="14" t="str">
        <f>IFERROR(VLOOKUP($A773,koronahun!$A:$AM,30,FALSE),"")</f>
        <v/>
      </c>
      <c r="AE773" s="14" t="str">
        <f>IFERROR(VLOOKUP($A773,koronahun!$A:$AM,31,FALSE),"")</f>
        <v/>
      </c>
      <c r="AF773" s="13" t="str">
        <f>IFERROR(VLOOKUP($A773,koronahun!$A:$AM,32,FALSE),"")</f>
        <v/>
      </c>
      <c r="AG773" t="str">
        <f>IFERROR(VLOOKUP($A773,koronahun!$A:$AM,33,FALSE),"")</f>
        <v/>
      </c>
      <c r="AH773" t="str">
        <f>IFERROR(VLOOKUP($A773,koronahun!$A:$AM,34,FALSE),"")</f>
        <v/>
      </c>
      <c r="AI773" t="str">
        <f>IFERROR(VLOOKUP($A773,koronahun!$A:$AM,35,FALSE),"")</f>
        <v/>
      </c>
      <c r="AJ773" t="str">
        <f>IFERROR(VLOOKUP($A773,koronahun!$A:$AM,36,FALSE),"")</f>
        <v/>
      </c>
      <c r="AK773" t="str">
        <f>IFERROR(VLOOKUP($A773,koronahun!$A:$AM,37,FALSE),"")</f>
        <v/>
      </c>
      <c r="AL773" t="str">
        <f>IFERROR(VLOOKUP($A773,koronahun!$A:$AM,38,FALSE),"")</f>
        <v/>
      </c>
      <c r="AM773" s="14" t="str">
        <f>IFERROR(VLOOKUP($A773,koronahun!$A:$AM,39,FALSE),"")</f>
        <v/>
      </c>
      <c r="AN773" s="11">
        <f ca="1">IFERROR(__xludf.DUMMYFUNCTION("""COMPUTED_VALUE"""),44665)</f>
        <v>44665</v>
      </c>
      <c r="AO773" s="12">
        <f ca="1">IFERROR(VLOOKUP(AN773,koronahun!A:B,2,FALSE),"")</f>
        <v>1879480</v>
      </c>
      <c r="AP773" s="11">
        <f t="shared" ca="1" si="6"/>
        <v>44665</v>
      </c>
      <c r="AQ773" s="11"/>
      <c r="AR773" s="11"/>
      <c r="AS773" s="11"/>
      <c r="AT773" s="11"/>
    </row>
    <row r="774" spans="1:46" ht="13">
      <c r="A774" s="11"/>
      <c r="B774" t="str">
        <f>IFERROR(VLOOKUP($A774,koronahun!$A:$AM,2,FALSE),"")</f>
        <v/>
      </c>
      <c r="C774" t="str">
        <f>IFERROR(VLOOKUP($A774,koronahun!$A:$AM,3,FALSE),"")</f>
        <v/>
      </c>
      <c r="D774" t="str">
        <f>IFERROR(VLOOKUP($A774,koronahun!$A:$AM,4,FALSE),"")</f>
        <v/>
      </c>
      <c r="E774" t="str">
        <f>IFERROR(VLOOKUP($A774,koronahun!$A:$AM,5,FALSE),"")</f>
        <v/>
      </c>
      <c r="F774" t="str">
        <f>IFERROR(VLOOKUP($A774,koronahun!$A:$AM,6,FALSE),"")</f>
        <v/>
      </c>
      <c r="G774" s="12" t="str">
        <f>IFERROR(VLOOKUP($A774,koronahun!$A:$AM,7,FALSE),"")</f>
        <v/>
      </c>
      <c r="H774" t="str">
        <f>IFERROR(VLOOKUP($A774,koronahun!$A:$AM,8,FALSE),"")</f>
        <v/>
      </c>
      <c r="I774" s="13" t="str">
        <f>IFERROR(VLOOKUP($A774,koronahun!$A:$AM,9,FALSE),"")</f>
        <v/>
      </c>
      <c r="J774" s="13" t="str">
        <f>IFERROR(VLOOKUP($A774,koronahun!$A:$AM,10,FALSE),"")</f>
        <v/>
      </c>
      <c r="K774" s="13" t="str">
        <f>IFERROR(VLOOKUP($A774,koronahun!$A:$AM,11,FALSE),"")</f>
        <v/>
      </c>
      <c r="L774" t="str">
        <f>IFERROR(VLOOKUP($A774,koronahun!$A:$AM,12,FALSE),"")</f>
        <v/>
      </c>
      <c r="M774" s="13" t="str">
        <f>IFERROR(VLOOKUP($A774,koronahun!$A:$AM,13,FALSE),"")</f>
        <v/>
      </c>
      <c r="N774" s="13" t="str">
        <f>IFERROR(VLOOKUP($A774,koronahun!$A:$AM,14,FALSE),"")</f>
        <v/>
      </c>
      <c r="O774" t="str">
        <f>IFERROR(VLOOKUP($A774,koronahun!$A:$AM,15,FALSE),"")</f>
        <v/>
      </c>
      <c r="P774" t="str">
        <f>IFERROR(VLOOKUP($A774,koronahun!$A:$AM,16,FALSE),"")</f>
        <v/>
      </c>
      <c r="Q774" s="13" t="str">
        <f>IFERROR(VLOOKUP($A774,koronahun!$A:$AM,17,FALSE),"")</f>
        <v/>
      </c>
      <c r="R774" t="str">
        <f>IFERROR(VLOOKUP($A774,koronahun!$A:$AM,18,FALSE),"")</f>
        <v/>
      </c>
      <c r="S774" t="str">
        <f>IFERROR(VLOOKUP($A774,koronahun!$A:$AM,19,FALSE),"")</f>
        <v/>
      </c>
      <c r="T774" t="str">
        <f>IFERROR(VLOOKUP($A774,koronahun!$A:$AM,20,FALSE),"")</f>
        <v/>
      </c>
      <c r="U774" t="str">
        <f>IFERROR(VLOOKUP($A774,koronahun!$A:$AM,21,FALSE),"")</f>
        <v/>
      </c>
      <c r="V774" s="13" t="str">
        <f>IFERROR(VLOOKUP($A774,koronahun!$A:$AM,22,FALSE),"")</f>
        <v/>
      </c>
      <c r="W774" t="str">
        <f>IFERROR(VLOOKUP($A774,koronahun!$A:$AM,23,FALSE),"")</f>
        <v/>
      </c>
      <c r="X774" t="str">
        <f>IFERROR(VLOOKUP($A774,koronahun!$A:$AM,24,FALSE),"")</f>
        <v/>
      </c>
      <c r="Y774" s="14" t="str">
        <f>IFERROR(VLOOKUP($A774,koronahun!$A:$AM,25,FALSE),"")</f>
        <v/>
      </c>
      <c r="Z774" s="14" t="str">
        <f>IFERROR(VLOOKUP($A774,koronahun!$A:$AM,26,FALSE),"")</f>
        <v/>
      </c>
      <c r="AA774" s="14" t="str">
        <f>IFERROR(VLOOKUP($A774,koronahun!$A:$AM,27,FALSE),"")</f>
        <v/>
      </c>
      <c r="AB774" s="14" t="str">
        <f>IFERROR(VLOOKUP($A774,koronahun!$A:$AM,28,FALSE),"")</f>
        <v/>
      </c>
      <c r="AC774" s="14" t="str">
        <f>IFERROR(VLOOKUP($A774,koronahun!$A:$AM,29,FALSE),"")</f>
        <v/>
      </c>
      <c r="AD774" s="14" t="str">
        <f>IFERROR(VLOOKUP($A774,koronahun!$A:$AM,30,FALSE),"")</f>
        <v/>
      </c>
      <c r="AE774" s="14" t="str">
        <f>IFERROR(VLOOKUP($A774,koronahun!$A:$AM,31,FALSE),"")</f>
        <v/>
      </c>
      <c r="AF774" s="13" t="str">
        <f>IFERROR(VLOOKUP($A774,koronahun!$A:$AM,32,FALSE),"")</f>
        <v/>
      </c>
      <c r="AG774" t="str">
        <f>IFERROR(VLOOKUP($A774,koronahun!$A:$AM,33,FALSE),"")</f>
        <v/>
      </c>
      <c r="AH774" t="str">
        <f>IFERROR(VLOOKUP($A774,koronahun!$A:$AM,34,FALSE),"")</f>
        <v/>
      </c>
      <c r="AI774" t="str">
        <f>IFERROR(VLOOKUP($A774,koronahun!$A:$AM,35,FALSE),"")</f>
        <v/>
      </c>
      <c r="AJ774" t="str">
        <f>IFERROR(VLOOKUP($A774,koronahun!$A:$AM,36,FALSE),"")</f>
        <v/>
      </c>
      <c r="AK774" t="str">
        <f>IFERROR(VLOOKUP($A774,koronahun!$A:$AM,37,FALSE),"")</f>
        <v/>
      </c>
      <c r="AL774" t="str">
        <f>IFERROR(VLOOKUP($A774,koronahun!$A:$AM,38,FALSE),"")</f>
        <v/>
      </c>
      <c r="AM774" s="14" t="str">
        <f>IFERROR(VLOOKUP($A774,koronahun!$A:$AM,39,FALSE),"")</f>
        <v/>
      </c>
      <c r="AN774" s="11">
        <f ca="1">IFERROR(__xludf.DUMMYFUNCTION("""COMPUTED_VALUE"""),44666)</f>
        <v>44666</v>
      </c>
      <c r="AO774" s="12">
        <f ca="1">IFERROR(VLOOKUP(AN774,koronahun!A:B,2,FALSE),"")</f>
        <v>0</v>
      </c>
      <c r="AP774" s="11">
        <f t="shared" ca="1" si="6"/>
        <v>44666</v>
      </c>
      <c r="AQ774" s="11"/>
      <c r="AR774" s="11"/>
      <c r="AS774" s="11"/>
      <c r="AT774" s="11"/>
    </row>
    <row r="775" spans="1:46" ht="13">
      <c r="A775" s="11"/>
      <c r="B775" t="str">
        <f>IFERROR(VLOOKUP($A775,koronahun!$A:$AM,2,FALSE),"")</f>
        <v/>
      </c>
      <c r="C775" t="str">
        <f>IFERROR(VLOOKUP($A775,koronahun!$A:$AM,3,FALSE),"")</f>
        <v/>
      </c>
      <c r="D775" t="str">
        <f>IFERROR(VLOOKUP($A775,koronahun!$A:$AM,4,FALSE),"")</f>
        <v/>
      </c>
      <c r="E775" t="str">
        <f>IFERROR(VLOOKUP($A775,koronahun!$A:$AM,5,FALSE),"")</f>
        <v/>
      </c>
      <c r="F775" t="str">
        <f>IFERROR(VLOOKUP($A775,koronahun!$A:$AM,6,FALSE),"")</f>
        <v/>
      </c>
      <c r="G775" s="12" t="str">
        <f>IFERROR(VLOOKUP($A775,koronahun!$A:$AM,7,FALSE),"")</f>
        <v/>
      </c>
      <c r="H775" t="str">
        <f>IFERROR(VLOOKUP($A775,koronahun!$A:$AM,8,FALSE),"")</f>
        <v/>
      </c>
      <c r="I775" s="13" t="str">
        <f>IFERROR(VLOOKUP($A775,koronahun!$A:$AM,9,FALSE),"")</f>
        <v/>
      </c>
      <c r="J775" s="13" t="str">
        <f>IFERROR(VLOOKUP($A775,koronahun!$A:$AM,10,FALSE),"")</f>
        <v/>
      </c>
      <c r="K775" s="13" t="str">
        <f>IFERROR(VLOOKUP($A775,koronahun!$A:$AM,11,FALSE),"")</f>
        <v/>
      </c>
      <c r="L775" t="str">
        <f>IFERROR(VLOOKUP($A775,koronahun!$A:$AM,12,FALSE),"")</f>
        <v/>
      </c>
      <c r="M775" s="13" t="str">
        <f>IFERROR(VLOOKUP($A775,koronahun!$A:$AM,13,FALSE),"")</f>
        <v/>
      </c>
      <c r="N775" s="13" t="str">
        <f>IFERROR(VLOOKUP($A775,koronahun!$A:$AM,14,FALSE),"")</f>
        <v/>
      </c>
      <c r="O775" t="str">
        <f>IFERROR(VLOOKUP($A775,koronahun!$A:$AM,15,FALSE),"")</f>
        <v/>
      </c>
      <c r="P775" t="str">
        <f>IFERROR(VLOOKUP($A775,koronahun!$A:$AM,16,FALSE),"")</f>
        <v/>
      </c>
      <c r="Q775" s="13" t="str">
        <f>IFERROR(VLOOKUP($A775,koronahun!$A:$AM,17,FALSE),"")</f>
        <v/>
      </c>
      <c r="R775" t="str">
        <f>IFERROR(VLOOKUP($A775,koronahun!$A:$AM,18,FALSE),"")</f>
        <v/>
      </c>
      <c r="S775" t="str">
        <f>IFERROR(VLOOKUP($A775,koronahun!$A:$AM,19,FALSE),"")</f>
        <v/>
      </c>
      <c r="T775" t="str">
        <f>IFERROR(VLOOKUP($A775,koronahun!$A:$AM,20,FALSE),"")</f>
        <v/>
      </c>
      <c r="U775" t="str">
        <f>IFERROR(VLOOKUP($A775,koronahun!$A:$AM,21,FALSE),"")</f>
        <v/>
      </c>
      <c r="V775" s="13" t="str">
        <f>IFERROR(VLOOKUP($A775,koronahun!$A:$AM,22,FALSE),"")</f>
        <v/>
      </c>
      <c r="W775" t="str">
        <f>IFERROR(VLOOKUP($A775,koronahun!$A:$AM,23,FALSE),"")</f>
        <v/>
      </c>
      <c r="X775" t="str">
        <f>IFERROR(VLOOKUP($A775,koronahun!$A:$AM,24,FALSE),"")</f>
        <v/>
      </c>
      <c r="Y775" s="14" t="str">
        <f>IFERROR(VLOOKUP($A775,koronahun!$A:$AM,25,FALSE),"")</f>
        <v/>
      </c>
      <c r="Z775" s="14" t="str">
        <f>IFERROR(VLOOKUP($A775,koronahun!$A:$AM,26,FALSE),"")</f>
        <v/>
      </c>
      <c r="AA775" s="14" t="str">
        <f>IFERROR(VLOOKUP($A775,koronahun!$A:$AM,27,FALSE),"")</f>
        <v/>
      </c>
      <c r="AB775" s="14" t="str">
        <f>IFERROR(VLOOKUP($A775,koronahun!$A:$AM,28,FALSE),"")</f>
        <v/>
      </c>
      <c r="AC775" s="14" t="str">
        <f>IFERROR(VLOOKUP($A775,koronahun!$A:$AM,29,FALSE),"")</f>
        <v/>
      </c>
      <c r="AD775" s="14" t="str">
        <f>IFERROR(VLOOKUP($A775,koronahun!$A:$AM,30,FALSE),"")</f>
        <v/>
      </c>
      <c r="AE775" s="14" t="str">
        <f>IFERROR(VLOOKUP($A775,koronahun!$A:$AM,31,FALSE),"")</f>
        <v/>
      </c>
      <c r="AF775" s="13" t="str">
        <f>IFERROR(VLOOKUP($A775,koronahun!$A:$AM,32,FALSE),"")</f>
        <v/>
      </c>
      <c r="AG775" t="str">
        <f>IFERROR(VLOOKUP($A775,koronahun!$A:$AM,33,FALSE),"")</f>
        <v/>
      </c>
      <c r="AH775" t="str">
        <f>IFERROR(VLOOKUP($A775,koronahun!$A:$AM,34,FALSE),"")</f>
        <v/>
      </c>
      <c r="AI775" t="str">
        <f>IFERROR(VLOOKUP($A775,koronahun!$A:$AM,35,FALSE),"")</f>
        <v/>
      </c>
      <c r="AJ775" t="str">
        <f>IFERROR(VLOOKUP($A775,koronahun!$A:$AM,36,FALSE),"")</f>
        <v/>
      </c>
      <c r="AK775" t="str">
        <f>IFERROR(VLOOKUP($A775,koronahun!$A:$AM,37,FALSE),"")</f>
        <v/>
      </c>
      <c r="AL775" t="str">
        <f>IFERROR(VLOOKUP($A775,koronahun!$A:$AM,38,FALSE),"")</f>
        <v/>
      </c>
      <c r="AM775" s="14" t="str">
        <f>IFERROR(VLOOKUP($A775,koronahun!$A:$AM,39,FALSE),"")</f>
        <v/>
      </c>
      <c r="AN775" s="11">
        <f ca="1">IFERROR(__xludf.DUMMYFUNCTION("""COMPUTED_VALUE"""),44667)</f>
        <v>44667</v>
      </c>
      <c r="AO775" s="12">
        <f ca="1">IFERROR(VLOOKUP(AN775,koronahun!A:B,2,FALSE),"")</f>
        <v>0</v>
      </c>
      <c r="AP775" s="11">
        <f t="shared" ca="1" si="6"/>
        <v>44667</v>
      </c>
      <c r="AQ775" s="11"/>
      <c r="AR775" s="11"/>
      <c r="AS775" s="11"/>
      <c r="AT775" s="11"/>
    </row>
    <row r="776" spans="1:46" ht="13">
      <c r="A776" s="11"/>
      <c r="B776" t="str">
        <f>IFERROR(VLOOKUP($A776,koronahun!$A:$AM,2,FALSE),"")</f>
        <v/>
      </c>
      <c r="C776" t="str">
        <f>IFERROR(VLOOKUP($A776,koronahun!$A:$AM,3,FALSE),"")</f>
        <v/>
      </c>
      <c r="D776" t="str">
        <f>IFERROR(VLOOKUP($A776,koronahun!$A:$AM,4,FALSE),"")</f>
        <v/>
      </c>
      <c r="E776" t="str">
        <f>IFERROR(VLOOKUP($A776,koronahun!$A:$AM,5,FALSE),"")</f>
        <v/>
      </c>
      <c r="F776" t="str">
        <f>IFERROR(VLOOKUP($A776,koronahun!$A:$AM,6,FALSE),"")</f>
        <v/>
      </c>
      <c r="G776" s="12" t="str">
        <f>IFERROR(VLOOKUP($A776,koronahun!$A:$AM,7,FALSE),"")</f>
        <v/>
      </c>
      <c r="H776" t="str">
        <f>IFERROR(VLOOKUP($A776,koronahun!$A:$AM,8,FALSE),"")</f>
        <v/>
      </c>
      <c r="I776" s="13" t="str">
        <f>IFERROR(VLOOKUP($A776,koronahun!$A:$AM,9,FALSE),"")</f>
        <v/>
      </c>
      <c r="J776" s="13" t="str">
        <f>IFERROR(VLOOKUP($A776,koronahun!$A:$AM,10,FALSE),"")</f>
        <v/>
      </c>
      <c r="K776" s="13" t="str">
        <f>IFERROR(VLOOKUP($A776,koronahun!$A:$AM,11,FALSE),"")</f>
        <v/>
      </c>
      <c r="L776" t="str">
        <f>IFERROR(VLOOKUP($A776,koronahun!$A:$AM,12,FALSE),"")</f>
        <v/>
      </c>
      <c r="M776" s="13" t="str">
        <f>IFERROR(VLOOKUP($A776,koronahun!$A:$AM,13,FALSE),"")</f>
        <v/>
      </c>
      <c r="N776" s="13" t="str">
        <f>IFERROR(VLOOKUP($A776,koronahun!$A:$AM,14,FALSE),"")</f>
        <v/>
      </c>
      <c r="O776" t="str">
        <f>IFERROR(VLOOKUP($A776,koronahun!$A:$AM,15,FALSE),"")</f>
        <v/>
      </c>
      <c r="P776" t="str">
        <f>IFERROR(VLOOKUP($A776,koronahun!$A:$AM,16,FALSE),"")</f>
        <v/>
      </c>
      <c r="Q776" s="13" t="str">
        <f>IFERROR(VLOOKUP($A776,koronahun!$A:$AM,17,FALSE),"")</f>
        <v/>
      </c>
      <c r="R776" t="str">
        <f>IFERROR(VLOOKUP($A776,koronahun!$A:$AM,18,FALSE),"")</f>
        <v/>
      </c>
      <c r="S776" t="str">
        <f>IFERROR(VLOOKUP($A776,koronahun!$A:$AM,19,FALSE),"")</f>
        <v/>
      </c>
      <c r="T776" t="str">
        <f>IFERROR(VLOOKUP($A776,koronahun!$A:$AM,20,FALSE),"")</f>
        <v/>
      </c>
      <c r="U776" t="str">
        <f>IFERROR(VLOOKUP($A776,koronahun!$A:$AM,21,FALSE),"")</f>
        <v/>
      </c>
      <c r="V776" s="13" t="str">
        <f>IFERROR(VLOOKUP($A776,koronahun!$A:$AM,22,FALSE),"")</f>
        <v/>
      </c>
      <c r="W776" t="str">
        <f>IFERROR(VLOOKUP($A776,koronahun!$A:$AM,23,FALSE),"")</f>
        <v/>
      </c>
      <c r="X776" t="str">
        <f>IFERROR(VLOOKUP($A776,koronahun!$A:$AM,24,FALSE),"")</f>
        <v/>
      </c>
      <c r="Y776" s="14" t="str">
        <f>IFERROR(VLOOKUP($A776,koronahun!$A:$AM,25,FALSE),"")</f>
        <v/>
      </c>
      <c r="Z776" s="14" t="str">
        <f>IFERROR(VLOOKUP($A776,koronahun!$A:$AM,26,FALSE),"")</f>
        <v/>
      </c>
      <c r="AA776" s="14" t="str">
        <f>IFERROR(VLOOKUP($A776,koronahun!$A:$AM,27,FALSE),"")</f>
        <v/>
      </c>
      <c r="AB776" s="14" t="str">
        <f>IFERROR(VLOOKUP($A776,koronahun!$A:$AM,28,FALSE),"")</f>
        <v/>
      </c>
      <c r="AC776" s="14" t="str">
        <f>IFERROR(VLOOKUP($A776,koronahun!$A:$AM,29,FALSE),"")</f>
        <v/>
      </c>
      <c r="AD776" s="14" t="str">
        <f>IFERROR(VLOOKUP($A776,koronahun!$A:$AM,30,FALSE),"")</f>
        <v/>
      </c>
      <c r="AE776" s="14" t="str">
        <f>IFERROR(VLOOKUP($A776,koronahun!$A:$AM,31,FALSE),"")</f>
        <v/>
      </c>
      <c r="AF776" s="13" t="str">
        <f>IFERROR(VLOOKUP($A776,koronahun!$A:$AM,32,FALSE),"")</f>
        <v/>
      </c>
      <c r="AG776" t="str">
        <f>IFERROR(VLOOKUP($A776,koronahun!$A:$AM,33,FALSE),"")</f>
        <v/>
      </c>
      <c r="AH776" t="str">
        <f>IFERROR(VLOOKUP($A776,koronahun!$A:$AM,34,FALSE),"")</f>
        <v/>
      </c>
      <c r="AI776" t="str">
        <f>IFERROR(VLOOKUP($A776,koronahun!$A:$AM,35,FALSE),"")</f>
        <v/>
      </c>
      <c r="AJ776" t="str">
        <f>IFERROR(VLOOKUP($A776,koronahun!$A:$AM,36,FALSE),"")</f>
        <v/>
      </c>
      <c r="AK776" t="str">
        <f>IFERROR(VLOOKUP($A776,koronahun!$A:$AM,37,FALSE),"")</f>
        <v/>
      </c>
      <c r="AL776" t="str">
        <f>IFERROR(VLOOKUP($A776,koronahun!$A:$AM,38,FALSE),"")</f>
        <v/>
      </c>
      <c r="AM776" s="14" t="str">
        <f>IFERROR(VLOOKUP($A776,koronahun!$A:$AM,39,FALSE),"")</f>
        <v/>
      </c>
      <c r="AN776" s="11">
        <f ca="1">IFERROR(__xludf.DUMMYFUNCTION("""COMPUTED_VALUE"""),44668)</f>
        <v>44668</v>
      </c>
      <c r="AO776" s="12">
        <f ca="1">IFERROR(VLOOKUP(AN776,koronahun!A:B,2,FALSE),"")</f>
        <v>0</v>
      </c>
      <c r="AP776" s="11">
        <f t="shared" ca="1" si="6"/>
        <v>44668</v>
      </c>
      <c r="AQ776" s="11"/>
      <c r="AR776" s="11"/>
      <c r="AS776" s="11"/>
      <c r="AT776" s="11"/>
    </row>
    <row r="777" spans="1:46" ht="13">
      <c r="A777" s="11"/>
      <c r="B777" t="str">
        <f>IFERROR(VLOOKUP($A777,koronahun!$A:$AM,2,FALSE),"")</f>
        <v/>
      </c>
      <c r="C777" t="str">
        <f>IFERROR(VLOOKUP($A777,koronahun!$A:$AM,3,FALSE),"")</f>
        <v/>
      </c>
      <c r="D777" t="str">
        <f>IFERROR(VLOOKUP($A777,koronahun!$A:$AM,4,FALSE),"")</f>
        <v/>
      </c>
      <c r="E777" t="str">
        <f>IFERROR(VLOOKUP($A777,koronahun!$A:$AM,5,FALSE),"")</f>
        <v/>
      </c>
      <c r="F777" t="str">
        <f>IFERROR(VLOOKUP($A777,koronahun!$A:$AM,6,FALSE),"")</f>
        <v/>
      </c>
      <c r="G777" s="12" t="str">
        <f>IFERROR(VLOOKUP($A777,koronahun!$A:$AM,7,FALSE),"")</f>
        <v/>
      </c>
      <c r="H777" t="str">
        <f>IFERROR(VLOOKUP($A777,koronahun!$A:$AM,8,FALSE),"")</f>
        <v/>
      </c>
      <c r="I777" s="13" t="str">
        <f>IFERROR(VLOOKUP($A777,koronahun!$A:$AM,9,FALSE),"")</f>
        <v/>
      </c>
      <c r="J777" s="13" t="str">
        <f>IFERROR(VLOOKUP($A777,koronahun!$A:$AM,10,FALSE),"")</f>
        <v/>
      </c>
      <c r="K777" s="13" t="str">
        <f>IFERROR(VLOOKUP($A777,koronahun!$A:$AM,11,FALSE),"")</f>
        <v/>
      </c>
      <c r="L777" t="str">
        <f>IFERROR(VLOOKUP($A777,koronahun!$A:$AM,12,FALSE),"")</f>
        <v/>
      </c>
      <c r="M777" s="13" t="str">
        <f>IFERROR(VLOOKUP($A777,koronahun!$A:$AM,13,FALSE),"")</f>
        <v/>
      </c>
      <c r="N777" s="13" t="str">
        <f>IFERROR(VLOOKUP($A777,koronahun!$A:$AM,14,FALSE),"")</f>
        <v/>
      </c>
      <c r="O777" t="str">
        <f>IFERROR(VLOOKUP($A777,koronahun!$A:$AM,15,FALSE),"")</f>
        <v/>
      </c>
      <c r="P777" t="str">
        <f>IFERROR(VLOOKUP($A777,koronahun!$A:$AM,16,FALSE),"")</f>
        <v/>
      </c>
      <c r="Q777" s="13" t="str">
        <f>IFERROR(VLOOKUP($A777,koronahun!$A:$AM,17,FALSE),"")</f>
        <v/>
      </c>
      <c r="R777" t="str">
        <f>IFERROR(VLOOKUP($A777,koronahun!$A:$AM,18,FALSE),"")</f>
        <v/>
      </c>
      <c r="S777" t="str">
        <f>IFERROR(VLOOKUP($A777,koronahun!$A:$AM,19,FALSE),"")</f>
        <v/>
      </c>
      <c r="T777" t="str">
        <f>IFERROR(VLOOKUP($A777,koronahun!$A:$AM,20,FALSE),"")</f>
        <v/>
      </c>
      <c r="U777" t="str">
        <f>IFERROR(VLOOKUP($A777,koronahun!$A:$AM,21,FALSE),"")</f>
        <v/>
      </c>
      <c r="V777" s="13" t="str">
        <f>IFERROR(VLOOKUP($A777,koronahun!$A:$AM,22,FALSE),"")</f>
        <v/>
      </c>
      <c r="W777" t="str">
        <f>IFERROR(VLOOKUP($A777,koronahun!$A:$AM,23,FALSE),"")</f>
        <v/>
      </c>
      <c r="X777" t="str">
        <f>IFERROR(VLOOKUP($A777,koronahun!$A:$AM,24,FALSE),"")</f>
        <v/>
      </c>
      <c r="Y777" s="14" t="str">
        <f>IFERROR(VLOOKUP($A777,koronahun!$A:$AM,25,FALSE),"")</f>
        <v/>
      </c>
      <c r="Z777" s="14" t="str">
        <f>IFERROR(VLOOKUP($A777,koronahun!$A:$AM,26,FALSE),"")</f>
        <v/>
      </c>
      <c r="AA777" s="14" t="str">
        <f>IFERROR(VLOOKUP($A777,koronahun!$A:$AM,27,FALSE),"")</f>
        <v/>
      </c>
      <c r="AB777" s="14" t="str">
        <f>IFERROR(VLOOKUP($A777,koronahun!$A:$AM,28,FALSE),"")</f>
        <v/>
      </c>
      <c r="AC777" s="14" t="str">
        <f>IFERROR(VLOOKUP($A777,koronahun!$A:$AM,29,FALSE),"")</f>
        <v/>
      </c>
      <c r="AD777" s="14" t="str">
        <f>IFERROR(VLOOKUP($A777,koronahun!$A:$AM,30,FALSE),"")</f>
        <v/>
      </c>
      <c r="AE777" s="14" t="str">
        <f>IFERROR(VLOOKUP($A777,koronahun!$A:$AM,31,FALSE),"")</f>
        <v/>
      </c>
      <c r="AF777" s="13" t="str">
        <f>IFERROR(VLOOKUP($A777,koronahun!$A:$AM,32,FALSE),"")</f>
        <v/>
      </c>
      <c r="AG777" t="str">
        <f>IFERROR(VLOOKUP($A777,koronahun!$A:$AM,33,FALSE),"")</f>
        <v/>
      </c>
      <c r="AH777" t="str">
        <f>IFERROR(VLOOKUP($A777,koronahun!$A:$AM,34,FALSE),"")</f>
        <v/>
      </c>
      <c r="AI777" t="str">
        <f>IFERROR(VLOOKUP($A777,koronahun!$A:$AM,35,FALSE),"")</f>
        <v/>
      </c>
      <c r="AJ777" t="str">
        <f>IFERROR(VLOOKUP($A777,koronahun!$A:$AM,36,FALSE),"")</f>
        <v/>
      </c>
      <c r="AK777" t="str">
        <f>IFERROR(VLOOKUP($A777,koronahun!$A:$AM,37,FALSE),"")</f>
        <v/>
      </c>
      <c r="AL777" t="str">
        <f>IFERROR(VLOOKUP($A777,koronahun!$A:$AM,38,FALSE),"")</f>
        <v/>
      </c>
      <c r="AM777" s="14" t="str">
        <f>IFERROR(VLOOKUP($A777,koronahun!$A:$AM,39,FALSE),"")</f>
        <v/>
      </c>
      <c r="AN777" s="11">
        <f ca="1">IFERROR(__xludf.DUMMYFUNCTION("""COMPUTED_VALUE"""),44669)</f>
        <v>44669</v>
      </c>
      <c r="AO777" s="12">
        <f ca="1">IFERROR(VLOOKUP(AN777,koronahun!A:B,2,FALSE),"")</f>
        <v>0</v>
      </c>
      <c r="AP777" s="11">
        <f t="shared" ca="1" si="6"/>
        <v>44669</v>
      </c>
      <c r="AQ777" s="11"/>
      <c r="AR777" s="11"/>
      <c r="AS777" s="11"/>
      <c r="AT777" s="11"/>
    </row>
    <row r="778" spans="1:46" ht="13">
      <c r="A778" s="11"/>
      <c r="B778" t="str">
        <f>IFERROR(VLOOKUP($A778,koronahun!$A:$AM,2,FALSE),"")</f>
        <v/>
      </c>
      <c r="C778" t="str">
        <f>IFERROR(VLOOKUP($A778,koronahun!$A:$AM,3,FALSE),"")</f>
        <v/>
      </c>
      <c r="D778" t="str">
        <f>IFERROR(VLOOKUP($A778,koronahun!$A:$AM,4,FALSE),"")</f>
        <v/>
      </c>
      <c r="E778" t="str">
        <f>IFERROR(VLOOKUP($A778,koronahun!$A:$AM,5,FALSE),"")</f>
        <v/>
      </c>
      <c r="F778" t="str">
        <f>IFERROR(VLOOKUP($A778,koronahun!$A:$AM,6,FALSE),"")</f>
        <v/>
      </c>
      <c r="G778" s="12" t="str">
        <f>IFERROR(VLOOKUP($A778,koronahun!$A:$AM,7,FALSE),"")</f>
        <v/>
      </c>
      <c r="H778" t="str">
        <f>IFERROR(VLOOKUP($A778,koronahun!$A:$AM,8,FALSE),"")</f>
        <v/>
      </c>
      <c r="I778" s="13" t="str">
        <f>IFERROR(VLOOKUP($A778,koronahun!$A:$AM,9,FALSE),"")</f>
        <v/>
      </c>
      <c r="J778" s="13" t="str">
        <f>IFERROR(VLOOKUP($A778,koronahun!$A:$AM,10,FALSE),"")</f>
        <v/>
      </c>
      <c r="K778" s="13" t="str">
        <f>IFERROR(VLOOKUP($A778,koronahun!$A:$AM,11,FALSE),"")</f>
        <v/>
      </c>
      <c r="L778" t="str">
        <f>IFERROR(VLOOKUP($A778,koronahun!$A:$AM,12,FALSE),"")</f>
        <v/>
      </c>
      <c r="M778" s="13" t="str">
        <f>IFERROR(VLOOKUP($A778,koronahun!$A:$AM,13,FALSE),"")</f>
        <v/>
      </c>
      <c r="N778" s="13" t="str">
        <f>IFERROR(VLOOKUP($A778,koronahun!$A:$AM,14,FALSE),"")</f>
        <v/>
      </c>
      <c r="O778" t="str">
        <f>IFERROR(VLOOKUP($A778,koronahun!$A:$AM,15,FALSE),"")</f>
        <v/>
      </c>
      <c r="P778" t="str">
        <f>IFERROR(VLOOKUP($A778,koronahun!$A:$AM,16,FALSE),"")</f>
        <v/>
      </c>
      <c r="Q778" s="13" t="str">
        <f>IFERROR(VLOOKUP($A778,koronahun!$A:$AM,17,FALSE),"")</f>
        <v/>
      </c>
      <c r="R778" t="str">
        <f>IFERROR(VLOOKUP($A778,koronahun!$A:$AM,18,FALSE),"")</f>
        <v/>
      </c>
      <c r="S778" t="str">
        <f>IFERROR(VLOOKUP($A778,koronahun!$A:$AM,19,FALSE),"")</f>
        <v/>
      </c>
      <c r="T778" t="str">
        <f>IFERROR(VLOOKUP($A778,koronahun!$A:$AM,20,FALSE),"")</f>
        <v/>
      </c>
      <c r="U778" t="str">
        <f>IFERROR(VLOOKUP($A778,koronahun!$A:$AM,21,FALSE),"")</f>
        <v/>
      </c>
      <c r="V778" s="13" t="str">
        <f>IFERROR(VLOOKUP($A778,koronahun!$A:$AM,22,FALSE),"")</f>
        <v/>
      </c>
      <c r="W778" t="str">
        <f>IFERROR(VLOOKUP($A778,koronahun!$A:$AM,23,FALSE),"")</f>
        <v/>
      </c>
      <c r="X778" t="str">
        <f>IFERROR(VLOOKUP($A778,koronahun!$A:$AM,24,FALSE),"")</f>
        <v/>
      </c>
      <c r="Y778" s="14" t="str">
        <f>IFERROR(VLOOKUP($A778,koronahun!$A:$AM,25,FALSE),"")</f>
        <v/>
      </c>
      <c r="Z778" s="14" t="str">
        <f>IFERROR(VLOOKUP($A778,koronahun!$A:$AM,26,FALSE),"")</f>
        <v/>
      </c>
      <c r="AA778" s="14" t="str">
        <f>IFERROR(VLOOKUP($A778,koronahun!$A:$AM,27,FALSE),"")</f>
        <v/>
      </c>
      <c r="AB778" s="14" t="str">
        <f>IFERROR(VLOOKUP($A778,koronahun!$A:$AM,28,FALSE),"")</f>
        <v/>
      </c>
      <c r="AC778" s="14" t="str">
        <f>IFERROR(VLOOKUP($A778,koronahun!$A:$AM,29,FALSE),"")</f>
        <v/>
      </c>
      <c r="AD778" s="14" t="str">
        <f>IFERROR(VLOOKUP($A778,koronahun!$A:$AM,30,FALSE),"")</f>
        <v/>
      </c>
      <c r="AE778" s="14" t="str">
        <f>IFERROR(VLOOKUP($A778,koronahun!$A:$AM,31,FALSE),"")</f>
        <v/>
      </c>
      <c r="AF778" s="13" t="str">
        <f>IFERROR(VLOOKUP($A778,koronahun!$A:$AM,32,FALSE),"")</f>
        <v/>
      </c>
      <c r="AG778" t="str">
        <f>IFERROR(VLOOKUP($A778,koronahun!$A:$AM,33,FALSE),"")</f>
        <v/>
      </c>
      <c r="AH778" t="str">
        <f>IFERROR(VLOOKUP($A778,koronahun!$A:$AM,34,FALSE),"")</f>
        <v/>
      </c>
      <c r="AI778" t="str">
        <f>IFERROR(VLOOKUP($A778,koronahun!$A:$AM,35,FALSE),"")</f>
        <v/>
      </c>
      <c r="AJ778" t="str">
        <f>IFERROR(VLOOKUP($A778,koronahun!$A:$AM,36,FALSE),"")</f>
        <v/>
      </c>
      <c r="AK778" t="str">
        <f>IFERROR(VLOOKUP($A778,koronahun!$A:$AM,37,FALSE),"")</f>
        <v/>
      </c>
      <c r="AL778" t="str">
        <f>IFERROR(VLOOKUP($A778,koronahun!$A:$AM,38,FALSE),"")</f>
        <v/>
      </c>
      <c r="AM778" s="14" t="str">
        <f>IFERROR(VLOOKUP($A778,koronahun!$A:$AM,39,FALSE),"")</f>
        <v/>
      </c>
      <c r="AN778" s="11">
        <f ca="1">IFERROR(__xludf.DUMMYFUNCTION("""COMPUTED_VALUE"""),44670)</f>
        <v>44670</v>
      </c>
      <c r="AO778" s="12">
        <f ca="1">IFERROR(VLOOKUP(AN778,koronahun!A:B,2,FALSE),"")</f>
        <v>1884458</v>
      </c>
      <c r="AP778" s="11">
        <f t="shared" ca="1" si="6"/>
        <v>44670</v>
      </c>
      <c r="AQ778" s="11"/>
      <c r="AR778" s="11"/>
      <c r="AS778" s="11"/>
      <c r="AT778" s="11"/>
    </row>
    <row r="779" spans="1:46" ht="13">
      <c r="A779" s="11"/>
      <c r="B779" t="str">
        <f>IFERROR(VLOOKUP($A779,koronahun!$A:$AM,2,FALSE),"")</f>
        <v/>
      </c>
      <c r="C779" t="str">
        <f>IFERROR(VLOOKUP($A779,koronahun!$A:$AM,3,FALSE),"")</f>
        <v/>
      </c>
      <c r="D779" t="str">
        <f>IFERROR(VLOOKUP($A779,koronahun!$A:$AM,4,FALSE),"")</f>
        <v/>
      </c>
      <c r="E779" t="str">
        <f>IFERROR(VLOOKUP($A779,koronahun!$A:$AM,5,FALSE),"")</f>
        <v/>
      </c>
      <c r="F779" t="str">
        <f>IFERROR(VLOOKUP($A779,koronahun!$A:$AM,6,FALSE),"")</f>
        <v/>
      </c>
      <c r="G779" s="12" t="str">
        <f>IFERROR(VLOOKUP($A779,koronahun!$A:$AM,7,FALSE),"")</f>
        <v/>
      </c>
      <c r="H779" t="str">
        <f>IFERROR(VLOOKUP($A779,koronahun!$A:$AM,8,FALSE),"")</f>
        <v/>
      </c>
      <c r="I779" s="13" t="str">
        <f>IFERROR(VLOOKUP($A779,koronahun!$A:$AM,9,FALSE),"")</f>
        <v/>
      </c>
      <c r="J779" s="13" t="str">
        <f>IFERROR(VLOOKUP($A779,koronahun!$A:$AM,10,FALSE),"")</f>
        <v/>
      </c>
      <c r="K779" s="13" t="str">
        <f>IFERROR(VLOOKUP($A779,koronahun!$A:$AM,11,FALSE),"")</f>
        <v/>
      </c>
      <c r="L779" t="str">
        <f>IFERROR(VLOOKUP($A779,koronahun!$A:$AM,12,FALSE),"")</f>
        <v/>
      </c>
      <c r="M779" s="13" t="str">
        <f>IFERROR(VLOOKUP($A779,koronahun!$A:$AM,13,FALSE),"")</f>
        <v/>
      </c>
      <c r="N779" s="13" t="str">
        <f>IFERROR(VLOOKUP($A779,koronahun!$A:$AM,14,FALSE),"")</f>
        <v/>
      </c>
      <c r="O779" t="str">
        <f>IFERROR(VLOOKUP($A779,koronahun!$A:$AM,15,FALSE),"")</f>
        <v/>
      </c>
      <c r="P779" t="str">
        <f>IFERROR(VLOOKUP($A779,koronahun!$A:$AM,16,FALSE),"")</f>
        <v/>
      </c>
      <c r="Q779" s="13" t="str">
        <f>IFERROR(VLOOKUP($A779,koronahun!$A:$AM,17,FALSE),"")</f>
        <v/>
      </c>
      <c r="R779" t="str">
        <f>IFERROR(VLOOKUP($A779,koronahun!$A:$AM,18,FALSE),"")</f>
        <v/>
      </c>
      <c r="S779" t="str">
        <f>IFERROR(VLOOKUP($A779,koronahun!$A:$AM,19,FALSE),"")</f>
        <v/>
      </c>
      <c r="T779" t="str">
        <f>IFERROR(VLOOKUP($A779,koronahun!$A:$AM,20,FALSE),"")</f>
        <v/>
      </c>
      <c r="U779" t="str">
        <f>IFERROR(VLOOKUP($A779,koronahun!$A:$AM,21,FALSE),"")</f>
        <v/>
      </c>
      <c r="V779" s="13" t="str">
        <f>IFERROR(VLOOKUP($A779,koronahun!$A:$AM,22,FALSE),"")</f>
        <v/>
      </c>
      <c r="W779" t="str">
        <f>IFERROR(VLOOKUP($A779,koronahun!$A:$AM,23,FALSE),"")</f>
        <v/>
      </c>
      <c r="X779" t="str">
        <f>IFERROR(VLOOKUP($A779,koronahun!$A:$AM,24,FALSE),"")</f>
        <v/>
      </c>
      <c r="Y779" s="14" t="str">
        <f>IFERROR(VLOOKUP($A779,koronahun!$A:$AM,25,FALSE),"")</f>
        <v/>
      </c>
      <c r="Z779" s="14" t="str">
        <f>IFERROR(VLOOKUP($A779,koronahun!$A:$AM,26,FALSE),"")</f>
        <v/>
      </c>
      <c r="AA779" s="14" t="str">
        <f>IFERROR(VLOOKUP($A779,koronahun!$A:$AM,27,FALSE),"")</f>
        <v/>
      </c>
      <c r="AB779" s="14" t="str">
        <f>IFERROR(VLOOKUP($A779,koronahun!$A:$AM,28,FALSE),"")</f>
        <v/>
      </c>
      <c r="AC779" s="14" t="str">
        <f>IFERROR(VLOOKUP($A779,koronahun!$A:$AM,29,FALSE),"")</f>
        <v/>
      </c>
      <c r="AD779" s="14" t="str">
        <f>IFERROR(VLOOKUP($A779,koronahun!$A:$AM,30,FALSE),"")</f>
        <v/>
      </c>
      <c r="AE779" s="14" t="str">
        <f>IFERROR(VLOOKUP($A779,koronahun!$A:$AM,31,FALSE),"")</f>
        <v/>
      </c>
      <c r="AF779" s="13" t="str">
        <f>IFERROR(VLOOKUP($A779,koronahun!$A:$AM,32,FALSE),"")</f>
        <v/>
      </c>
      <c r="AG779" t="str">
        <f>IFERROR(VLOOKUP($A779,koronahun!$A:$AM,33,FALSE),"")</f>
        <v/>
      </c>
      <c r="AH779" t="str">
        <f>IFERROR(VLOOKUP($A779,koronahun!$A:$AM,34,FALSE),"")</f>
        <v/>
      </c>
      <c r="AI779" t="str">
        <f>IFERROR(VLOOKUP($A779,koronahun!$A:$AM,35,FALSE),"")</f>
        <v/>
      </c>
      <c r="AJ779" t="str">
        <f>IFERROR(VLOOKUP($A779,koronahun!$A:$AM,36,FALSE),"")</f>
        <v/>
      </c>
      <c r="AK779" t="str">
        <f>IFERROR(VLOOKUP($A779,koronahun!$A:$AM,37,FALSE),"")</f>
        <v/>
      </c>
      <c r="AL779" t="str">
        <f>IFERROR(VLOOKUP($A779,koronahun!$A:$AM,38,FALSE),"")</f>
        <v/>
      </c>
      <c r="AM779" s="14" t="str">
        <f>IFERROR(VLOOKUP($A779,koronahun!$A:$AM,39,FALSE),"")</f>
        <v/>
      </c>
      <c r="AN779" s="11">
        <f ca="1">IFERROR(__xludf.DUMMYFUNCTION("""COMPUTED_VALUE"""),44671)</f>
        <v>44671</v>
      </c>
      <c r="AO779" s="12">
        <f ca="1">IFERROR(VLOOKUP(AN779,koronahun!A:B,2,FALSE),"")</f>
        <v>1885865</v>
      </c>
      <c r="AP779" s="11">
        <f t="shared" ca="1" si="6"/>
        <v>44671</v>
      </c>
      <c r="AQ779" s="11"/>
      <c r="AR779" s="11"/>
      <c r="AS779" s="11"/>
      <c r="AT779" s="11"/>
    </row>
    <row r="780" spans="1:46" ht="13">
      <c r="A780" s="11"/>
      <c r="B780" t="str">
        <f>IFERROR(VLOOKUP($A780,koronahun!$A:$AM,2,FALSE),"")</f>
        <v/>
      </c>
      <c r="C780" t="str">
        <f>IFERROR(VLOOKUP($A780,koronahun!$A:$AM,3,FALSE),"")</f>
        <v/>
      </c>
      <c r="D780" t="str">
        <f>IFERROR(VLOOKUP($A780,koronahun!$A:$AM,4,FALSE),"")</f>
        <v/>
      </c>
      <c r="E780" t="str">
        <f>IFERROR(VLOOKUP($A780,koronahun!$A:$AM,5,FALSE),"")</f>
        <v/>
      </c>
      <c r="F780" t="str">
        <f>IFERROR(VLOOKUP($A780,koronahun!$A:$AM,6,FALSE),"")</f>
        <v/>
      </c>
      <c r="G780" s="12" t="str">
        <f>IFERROR(VLOOKUP($A780,koronahun!$A:$AM,7,FALSE),"")</f>
        <v/>
      </c>
      <c r="H780" t="str">
        <f>IFERROR(VLOOKUP($A780,koronahun!$A:$AM,8,FALSE),"")</f>
        <v/>
      </c>
      <c r="I780" s="13" t="str">
        <f>IFERROR(VLOOKUP($A780,koronahun!$A:$AM,9,FALSE),"")</f>
        <v/>
      </c>
      <c r="J780" s="13" t="str">
        <f>IFERROR(VLOOKUP($A780,koronahun!$A:$AM,10,FALSE),"")</f>
        <v/>
      </c>
      <c r="K780" s="13" t="str">
        <f>IFERROR(VLOOKUP($A780,koronahun!$A:$AM,11,FALSE),"")</f>
        <v/>
      </c>
      <c r="L780" t="str">
        <f>IFERROR(VLOOKUP($A780,koronahun!$A:$AM,12,FALSE),"")</f>
        <v/>
      </c>
      <c r="M780" s="13" t="str">
        <f>IFERROR(VLOOKUP($A780,koronahun!$A:$AM,13,FALSE),"")</f>
        <v/>
      </c>
      <c r="N780" s="13" t="str">
        <f>IFERROR(VLOOKUP($A780,koronahun!$A:$AM,14,FALSE),"")</f>
        <v/>
      </c>
      <c r="O780" t="str">
        <f>IFERROR(VLOOKUP($A780,koronahun!$A:$AM,15,FALSE),"")</f>
        <v/>
      </c>
      <c r="P780" t="str">
        <f>IFERROR(VLOOKUP($A780,koronahun!$A:$AM,16,FALSE),"")</f>
        <v/>
      </c>
      <c r="Q780" s="13" t="str">
        <f>IFERROR(VLOOKUP($A780,koronahun!$A:$AM,17,FALSE),"")</f>
        <v/>
      </c>
      <c r="R780" t="str">
        <f>IFERROR(VLOOKUP($A780,koronahun!$A:$AM,18,FALSE),"")</f>
        <v/>
      </c>
      <c r="S780" t="str">
        <f>IFERROR(VLOOKUP($A780,koronahun!$A:$AM,19,FALSE),"")</f>
        <v/>
      </c>
      <c r="T780" t="str">
        <f>IFERROR(VLOOKUP($A780,koronahun!$A:$AM,20,FALSE),"")</f>
        <v/>
      </c>
      <c r="U780" t="str">
        <f>IFERROR(VLOOKUP($A780,koronahun!$A:$AM,21,FALSE),"")</f>
        <v/>
      </c>
      <c r="V780" s="13" t="str">
        <f>IFERROR(VLOOKUP($A780,koronahun!$A:$AM,22,FALSE),"")</f>
        <v/>
      </c>
      <c r="W780" t="str">
        <f>IFERROR(VLOOKUP($A780,koronahun!$A:$AM,23,FALSE),"")</f>
        <v/>
      </c>
      <c r="X780" t="str">
        <f>IFERROR(VLOOKUP($A780,koronahun!$A:$AM,24,FALSE),"")</f>
        <v/>
      </c>
      <c r="Y780" s="14" t="str">
        <f>IFERROR(VLOOKUP($A780,koronahun!$A:$AM,25,FALSE),"")</f>
        <v/>
      </c>
      <c r="Z780" s="14" t="str">
        <f>IFERROR(VLOOKUP($A780,koronahun!$A:$AM,26,FALSE),"")</f>
        <v/>
      </c>
      <c r="AA780" s="14" t="str">
        <f>IFERROR(VLOOKUP($A780,koronahun!$A:$AM,27,FALSE),"")</f>
        <v/>
      </c>
      <c r="AB780" s="14" t="str">
        <f>IFERROR(VLOOKUP($A780,koronahun!$A:$AM,28,FALSE),"")</f>
        <v/>
      </c>
      <c r="AC780" s="14" t="str">
        <f>IFERROR(VLOOKUP($A780,koronahun!$A:$AM,29,FALSE),"")</f>
        <v/>
      </c>
      <c r="AD780" s="14" t="str">
        <f>IFERROR(VLOOKUP($A780,koronahun!$A:$AM,30,FALSE),"")</f>
        <v/>
      </c>
      <c r="AE780" s="14" t="str">
        <f>IFERROR(VLOOKUP($A780,koronahun!$A:$AM,31,FALSE),"")</f>
        <v/>
      </c>
      <c r="AF780" s="13" t="str">
        <f>IFERROR(VLOOKUP($A780,koronahun!$A:$AM,32,FALSE),"")</f>
        <v/>
      </c>
      <c r="AG780" t="str">
        <f>IFERROR(VLOOKUP($A780,koronahun!$A:$AM,33,FALSE),"")</f>
        <v/>
      </c>
      <c r="AH780" t="str">
        <f>IFERROR(VLOOKUP($A780,koronahun!$A:$AM,34,FALSE),"")</f>
        <v/>
      </c>
      <c r="AI780" t="str">
        <f>IFERROR(VLOOKUP($A780,koronahun!$A:$AM,35,FALSE),"")</f>
        <v/>
      </c>
      <c r="AJ780" t="str">
        <f>IFERROR(VLOOKUP($A780,koronahun!$A:$AM,36,FALSE),"")</f>
        <v/>
      </c>
      <c r="AK780" t="str">
        <f>IFERROR(VLOOKUP($A780,koronahun!$A:$AM,37,FALSE),"")</f>
        <v/>
      </c>
      <c r="AL780" t="str">
        <f>IFERROR(VLOOKUP($A780,koronahun!$A:$AM,38,FALSE),"")</f>
        <v/>
      </c>
      <c r="AM780" s="14" t="str">
        <f>IFERROR(VLOOKUP($A780,koronahun!$A:$AM,39,FALSE),"")</f>
        <v/>
      </c>
      <c r="AN780" s="11">
        <f ca="1">IFERROR(__xludf.DUMMYFUNCTION("""COMPUTED_VALUE"""),44672)</f>
        <v>44672</v>
      </c>
      <c r="AO780" s="12">
        <f ca="1">IFERROR(VLOOKUP(AN780,koronahun!A:B,2,FALSE),"")</f>
        <v>1888906</v>
      </c>
      <c r="AP780" s="11">
        <f t="shared" ca="1" si="6"/>
        <v>44672</v>
      </c>
      <c r="AQ780" s="11"/>
      <c r="AR780" s="11"/>
      <c r="AS780" s="11"/>
      <c r="AT780" s="11"/>
    </row>
    <row r="781" spans="1:46" ht="13">
      <c r="A781" s="11"/>
      <c r="B781" t="str">
        <f>IFERROR(VLOOKUP($A781,koronahun!$A:$AM,2,FALSE),"")</f>
        <v/>
      </c>
      <c r="C781" t="str">
        <f>IFERROR(VLOOKUP($A781,koronahun!$A:$AM,3,FALSE),"")</f>
        <v/>
      </c>
      <c r="D781" t="str">
        <f>IFERROR(VLOOKUP($A781,koronahun!$A:$AM,4,FALSE),"")</f>
        <v/>
      </c>
      <c r="E781" t="str">
        <f>IFERROR(VLOOKUP($A781,koronahun!$A:$AM,5,FALSE),"")</f>
        <v/>
      </c>
      <c r="F781" t="str">
        <f>IFERROR(VLOOKUP($A781,koronahun!$A:$AM,6,FALSE),"")</f>
        <v/>
      </c>
      <c r="G781" s="12" t="str">
        <f>IFERROR(VLOOKUP($A781,koronahun!$A:$AM,7,FALSE),"")</f>
        <v/>
      </c>
      <c r="H781" t="str">
        <f>IFERROR(VLOOKUP($A781,koronahun!$A:$AM,8,FALSE),"")</f>
        <v/>
      </c>
      <c r="I781" s="13" t="str">
        <f>IFERROR(VLOOKUP($A781,koronahun!$A:$AM,9,FALSE),"")</f>
        <v/>
      </c>
      <c r="J781" s="13" t="str">
        <f>IFERROR(VLOOKUP($A781,koronahun!$A:$AM,10,FALSE),"")</f>
        <v/>
      </c>
      <c r="K781" s="13" t="str">
        <f>IFERROR(VLOOKUP($A781,koronahun!$A:$AM,11,FALSE),"")</f>
        <v/>
      </c>
      <c r="L781" t="str">
        <f>IFERROR(VLOOKUP($A781,koronahun!$A:$AM,12,FALSE),"")</f>
        <v/>
      </c>
      <c r="M781" s="13" t="str">
        <f>IFERROR(VLOOKUP($A781,koronahun!$A:$AM,13,FALSE),"")</f>
        <v/>
      </c>
      <c r="N781" s="13" t="str">
        <f>IFERROR(VLOOKUP($A781,koronahun!$A:$AM,14,FALSE),"")</f>
        <v/>
      </c>
      <c r="O781" t="str">
        <f>IFERROR(VLOOKUP($A781,koronahun!$A:$AM,15,FALSE),"")</f>
        <v/>
      </c>
      <c r="P781" t="str">
        <f>IFERROR(VLOOKUP($A781,koronahun!$A:$AM,16,FALSE),"")</f>
        <v/>
      </c>
      <c r="Q781" s="13" t="str">
        <f>IFERROR(VLOOKUP($A781,koronahun!$A:$AM,17,FALSE),"")</f>
        <v/>
      </c>
      <c r="R781" t="str">
        <f>IFERROR(VLOOKUP($A781,koronahun!$A:$AM,18,FALSE),"")</f>
        <v/>
      </c>
      <c r="S781" t="str">
        <f>IFERROR(VLOOKUP($A781,koronahun!$A:$AM,19,FALSE),"")</f>
        <v/>
      </c>
      <c r="T781" t="str">
        <f>IFERROR(VLOOKUP($A781,koronahun!$A:$AM,20,FALSE),"")</f>
        <v/>
      </c>
      <c r="U781" t="str">
        <f>IFERROR(VLOOKUP($A781,koronahun!$A:$AM,21,FALSE),"")</f>
        <v/>
      </c>
      <c r="V781" s="13" t="str">
        <f>IFERROR(VLOOKUP($A781,koronahun!$A:$AM,22,FALSE),"")</f>
        <v/>
      </c>
      <c r="W781" t="str">
        <f>IFERROR(VLOOKUP($A781,koronahun!$A:$AM,23,FALSE),"")</f>
        <v/>
      </c>
      <c r="X781" t="str">
        <f>IFERROR(VLOOKUP($A781,koronahun!$A:$AM,24,FALSE),"")</f>
        <v/>
      </c>
      <c r="Y781" s="14" t="str">
        <f>IFERROR(VLOOKUP($A781,koronahun!$A:$AM,25,FALSE),"")</f>
        <v/>
      </c>
      <c r="Z781" s="14" t="str">
        <f>IFERROR(VLOOKUP($A781,koronahun!$A:$AM,26,FALSE),"")</f>
        <v/>
      </c>
      <c r="AA781" s="14" t="str">
        <f>IFERROR(VLOOKUP($A781,koronahun!$A:$AM,27,FALSE),"")</f>
        <v/>
      </c>
      <c r="AB781" s="14" t="str">
        <f>IFERROR(VLOOKUP($A781,koronahun!$A:$AM,28,FALSE),"")</f>
        <v/>
      </c>
      <c r="AC781" s="14" t="str">
        <f>IFERROR(VLOOKUP($A781,koronahun!$A:$AM,29,FALSE),"")</f>
        <v/>
      </c>
      <c r="AD781" s="14" t="str">
        <f>IFERROR(VLOOKUP($A781,koronahun!$A:$AM,30,FALSE),"")</f>
        <v/>
      </c>
      <c r="AE781" s="14" t="str">
        <f>IFERROR(VLOOKUP($A781,koronahun!$A:$AM,31,FALSE),"")</f>
        <v/>
      </c>
      <c r="AF781" s="13" t="str">
        <f>IFERROR(VLOOKUP($A781,koronahun!$A:$AM,32,FALSE),"")</f>
        <v/>
      </c>
      <c r="AG781" t="str">
        <f>IFERROR(VLOOKUP($A781,koronahun!$A:$AM,33,FALSE),"")</f>
        <v/>
      </c>
      <c r="AH781" t="str">
        <f>IFERROR(VLOOKUP($A781,koronahun!$A:$AM,34,FALSE),"")</f>
        <v/>
      </c>
      <c r="AI781" t="str">
        <f>IFERROR(VLOOKUP($A781,koronahun!$A:$AM,35,FALSE),"")</f>
        <v/>
      </c>
      <c r="AJ781" t="str">
        <f>IFERROR(VLOOKUP($A781,koronahun!$A:$AM,36,FALSE),"")</f>
        <v/>
      </c>
      <c r="AK781" t="str">
        <f>IFERROR(VLOOKUP($A781,koronahun!$A:$AM,37,FALSE),"")</f>
        <v/>
      </c>
      <c r="AL781" t="str">
        <f>IFERROR(VLOOKUP($A781,koronahun!$A:$AM,38,FALSE),"")</f>
        <v/>
      </c>
      <c r="AM781" s="14" t="str">
        <f>IFERROR(VLOOKUP($A781,koronahun!$A:$AM,39,FALSE),"")</f>
        <v/>
      </c>
      <c r="AN781" s="11">
        <f ca="1">IFERROR(__xludf.DUMMYFUNCTION("""COMPUTED_VALUE"""),44673)</f>
        <v>44673</v>
      </c>
      <c r="AO781" s="12">
        <f ca="1">IFERROR(VLOOKUP(AN781,koronahun!A:B,2,FALSE),"")</f>
        <v>1890953</v>
      </c>
      <c r="AP781" s="11">
        <f t="shared" ca="1" si="6"/>
        <v>44673</v>
      </c>
      <c r="AQ781" s="11"/>
      <c r="AR781" s="11"/>
      <c r="AS781" s="11"/>
      <c r="AT781" s="11"/>
    </row>
    <row r="782" spans="1:46" ht="13">
      <c r="A782" s="11"/>
      <c r="B782" t="str">
        <f>IFERROR(VLOOKUP($A782,koronahun!$A:$AM,2,FALSE),"")</f>
        <v/>
      </c>
      <c r="C782" t="str">
        <f>IFERROR(VLOOKUP($A782,koronahun!$A:$AM,3,FALSE),"")</f>
        <v/>
      </c>
      <c r="D782" t="str">
        <f>IFERROR(VLOOKUP($A782,koronahun!$A:$AM,4,FALSE),"")</f>
        <v/>
      </c>
      <c r="E782" t="str">
        <f>IFERROR(VLOOKUP($A782,koronahun!$A:$AM,5,FALSE),"")</f>
        <v/>
      </c>
      <c r="F782" t="str">
        <f>IFERROR(VLOOKUP($A782,koronahun!$A:$AM,6,FALSE),"")</f>
        <v/>
      </c>
      <c r="G782" s="12" t="str">
        <f>IFERROR(VLOOKUP($A782,koronahun!$A:$AM,7,FALSE),"")</f>
        <v/>
      </c>
      <c r="H782" t="str">
        <f>IFERROR(VLOOKUP($A782,koronahun!$A:$AM,8,FALSE),"")</f>
        <v/>
      </c>
      <c r="I782" s="13" t="str">
        <f>IFERROR(VLOOKUP($A782,koronahun!$A:$AM,9,FALSE),"")</f>
        <v/>
      </c>
      <c r="J782" s="13" t="str">
        <f>IFERROR(VLOOKUP($A782,koronahun!$A:$AM,10,FALSE),"")</f>
        <v/>
      </c>
      <c r="K782" s="13" t="str">
        <f>IFERROR(VLOOKUP($A782,koronahun!$A:$AM,11,FALSE),"")</f>
        <v/>
      </c>
      <c r="L782" t="str">
        <f>IFERROR(VLOOKUP($A782,koronahun!$A:$AM,12,FALSE),"")</f>
        <v/>
      </c>
      <c r="M782" s="13" t="str">
        <f>IFERROR(VLOOKUP($A782,koronahun!$A:$AM,13,FALSE),"")</f>
        <v/>
      </c>
      <c r="N782" s="13" t="str">
        <f>IFERROR(VLOOKUP($A782,koronahun!$A:$AM,14,FALSE),"")</f>
        <v/>
      </c>
      <c r="O782" t="str">
        <f>IFERROR(VLOOKUP($A782,koronahun!$A:$AM,15,FALSE),"")</f>
        <v/>
      </c>
      <c r="P782" t="str">
        <f>IFERROR(VLOOKUP($A782,koronahun!$A:$AM,16,FALSE),"")</f>
        <v/>
      </c>
      <c r="Q782" s="13" t="str">
        <f>IFERROR(VLOOKUP($A782,koronahun!$A:$AM,17,FALSE),"")</f>
        <v/>
      </c>
      <c r="R782" t="str">
        <f>IFERROR(VLOOKUP($A782,koronahun!$A:$AM,18,FALSE),"")</f>
        <v/>
      </c>
      <c r="S782" t="str">
        <f>IFERROR(VLOOKUP($A782,koronahun!$A:$AM,19,FALSE),"")</f>
        <v/>
      </c>
      <c r="T782" t="str">
        <f>IFERROR(VLOOKUP($A782,koronahun!$A:$AM,20,FALSE),"")</f>
        <v/>
      </c>
      <c r="U782" t="str">
        <f>IFERROR(VLOOKUP($A782,koronahun!$A:$AM,21,FALSE),"")</f>
        <v/>
      </c>
      <c r="V782" s="13" t="str">
        <f>IFERROR(VLOOKUP($A782,koronahun!$A:$AM,22,FALSE),"")</f>
        <v/>
      </c>
      <c r="W782" t="str">
        <f>IFERROR(VLOOKUP($A782,koronahun!$A:$AM,23,FALSE),"")</f>
        <v/>
      </c>
      <c r="X782" t="str">
        <f>IFERROR(VLOOKUP($A782,koronahun!$A:$AM,24,FALSE),"")</f>
        <v/>
      </c>
      <c r="Y782" s="14" t="str">
        <f>IFERROR(VLOOKUP($A782,koronahun!$A:$AM,25,FALSE),"")</f>
        <v/>
      </c>
      <c r="Z782" s="14" t="str">
        <f>IFERROR(VLOOKUP($A782,koronahun!$A:$AM,26,FALSE),"")</f>
        <v/>
      </c>
      <c r="AA782" s="14" t="str">
        <f>IFERROR(VLOOKUP($A782,koronahun!$A:$AM,27,FALSE),"")</f>
        <v/>
      </c>
      <c r="AB782" s="14" t="str">
        <f>IFERROR(VLOOKUP($A782,koronahun!$A:$AM,28,FALSE),"")</f>
        <v/>
      </c>
      <c r="AC782" s="14" t="str">
        <f>IFERROR(VLOOKUP($A782,koronahun!$A:$AM,29,FALSE),"")</f>
        <v/>
      </c>
      <c r="AD782" s="14" t="str">
        <f>IFERROR(VLOOKUP($A782,koronahun!$A:$AM,30,FALSE),"")</f>
        <v/>
      </c>
      <c r="AE782" s="14" t="str">
        <f>IFERROR(VLOOKUP($A782,koronahun!$A:$AM,31,FALSE),"")</f>
        <v/>
      </c>
      <c r="AF782" s="13" t="str">
        <f>IFERROR(VLOOKUP($A782,koronahun!$A:$AM,32,FALSE),"")</f>
        <v/>
      </c>
      <c r="AG782" t="str">
        <f>IFERROR(VLOOKUP($A782,koronahun!$A:$AM,33,FALSE),"")</f>
        <v/>
      </c>
      <c r="AH782" t="str">
        <f>IFERROR(VLOOKUP($A782,koronahun!$A:$AM,34,FALSE),"")</f>
        <v/>
      </c>
      <c r="AI782" t="str">
        <f>IFERROR(VLOOKUP($A782,koronahun!$A:$AM,35,FALSE),"")</f>
        <v/>
      </c>
      <c r="AJ782" t="str">
        <f>IFERROR(VLOOKUP($A782,koronahun!$A:$AM,36,FALSE),"")</f>
        <v/>
      </c>
      <c r="AK782" t="str">
        <f>IFERROR(VLOOKUP($A782,koronahun!$A:$AM,37,FALSE),"")</f>
        <v/>
      </c>
      <c r="AL782" t="str">
        <f>IFERROR(VLOOKUP($A782,koronahun!$A:$AM,38,FALSE),"")</f>
        <v/>
      </c>
      <c r="AM782" s="14" t="str">
        <f>IFERROR(VLOOKUP($A782,koronahun!$A:$AM,39,FALSE),"")</f>
        <v/>
      </c>
      <c r="AN782" s="11">
        <f ca="1">IFERROR(__xludf.DUMMYFUNCTION("""COMPUTED_VALUE"""),44674)</f>
        <v>44674</v>
      </c>
      <c r="AO782" s="12">
        <f ca="1">IFERROR(VLOOKUP(AN782,koronahun!A:B,2,FALSE),"")</f>
        <v>0</v>
      </c>
      <c r="AP782" s="11">
        <f t="shared" ca="1" si="6"/>
        <v>44674</v>
      </c>
      <c r="AQ782" s="11"/>
      <c r="AR782" s="11"/>
      <c r="AS782" s="11"/>
      <c r="AT782" s="11"/>
    </row>
    <row r="783" spans="1:46" ht="13">
      <c r="A783" s="11"/>
      <c r="B783" t="str">
        <f>IFERROR(VLOOKUP($A783,koronahun!$A:$AM,2,FALSE),"")</f>
        <v/>
      </c>
      <c r="C783" t="str">
        <f>IFERROR(VLOOKUP($A783,koronahun!$A:$AM,3,FALSE),"")</f>
        <v/>
      </c>
      <c r="D783" t="str">
        <f>IFERROR(VLOOKUP($A783,koronahun!$A:$AM,4,FALSE),"")</f>
        <v/>
      </c>
      <c r="E783" t="str">
        <f>IFERROR(VLOOKUP($A783,koronahun!$A:$AM,5,FALSE),"")</f>
        <v/>
      </c>
      <c r="F783" t="str">
        <f>IFERROR(VLOOKUP($A783,koronahun!$A:$AM,6,FALSE),"")</f>
        <v/>
      </c>
      <c r="G783" s="12" t="str">
        <f>IFERROR(VLOOKUP($A783,koronahun!$A:$AM,7,FALSE),"")</f>
        <v/>
      </c>
      <c r="H783" t="str">
        <f>IFERROR(VLOOKUP($A783,koronahun!$A:$AM,8,FALSE),"")</f>
        <v/>
      </c>
      <c r="I783" s="13" t="str">
        <f>IFERROR(VLOOKUP($A783,koronahun!$A:$AM,9,FALSE),"")</f>
        <v/>
      </c>
      <c r="J783" s="13" t="str">
        <f>IFERROR(VLOOKUP($A783,koronahun!$A:$AM,10,FALSE),"")</f>
        <v/>
      </c>
      <c r="K783" s="13" t="str">
        <f>IFERROR(VLOOKUP($A783,koronahun!$A:$AM,11,FALSE),"")</f>
        <v/>
      </c>
      <c r="L783" t="str">
        <f>IFERROR(VLOOKUP($A783,koronahun!$A:$AM,12,FALSE),"")</f>
        <v/>
      </c>
      <c r="M783" s="13" t="str">
        <f>IFERROR(VLOOKUP($A783,koronahun!$A:$AM,13,FALSE),"")</f>
        <v/>
      </c>
      <c r="N783" s="13" t="str">
        <f>IFERROR(VLOOKUP($A783,koronahun!$A:$AM,14,FALSE),"")</f>
        <v/>
      </c>
      <c r="O783" t="str">
        <f>IFERROR(VLOOKUP($A783,koronahun!$A:$AM,15,FALSE),"")</f>
        <v/>
      </c>
      <c r="P783" t="str">
        <f>IFERROR(VLOOKUP($A783,koronahun!$A:$AM,16,FALSE),"")</f>
        <v/>
      </c>
      <c r="Q783" s="13" t="str">
        <f>IFERROR(VLOOKUP($A783,koronahun!$A:$AM,17,FALSE),"")</f>
        <v/>
      </c>
      <c r="R783" t="str">
        <f>IFERROR(VLOOKUP($A783,koronahun!$A:$AM,18,FALSE),"")</f>
        <v/>
      </c>
      <c r="S783" t="str">
        <f>IFERROR(VLOOKUP($A783,koronahun!$A:$AM,19,FALSE),"")</f>
        <v/>
      </c>
      <c r="T783" t="str">
        <f>IFERROR(VLOOKUP($A783,koronahun!$A:$AM,20,FALSE),"")</f>
        <v/>
      </c>
      <c r="U783" t="str">
        <f>IFERROR(VLOOKUP($A783,koronahun!$A:$AM,21,FALSE),"")</f>
        <v/>
      </c>
      <c r="V783" s="13" t="str">
        <f>IFERROR(VLOOKUP($A783,koronahun!$A:$AM,22,FALSE),"")</f>
        <v/>
      </c>
      <c r="W783" t="str">
        <f>IFERROR(VLOOKUP($A783,koronahun!$A:$AM,23,FALSE),"")</f>
        <v/>
      </c>
      <c r="X783" t="str">
        <f>IFERROR(VLOOKUP($A783,koronahun!$A:$AM,24,FALSE),"")</f>
        <v/>
      </c>
      <c r="Y783" s="14" t="str">
        <f>IFERROR(VLOOKUP($A783,koronahun!$A:$AM,25,FALSE),"")</f>
        <v/>
      </c>
      <c r="Z783" s="14" t="str">
        <f>IFERROR(VLOOKUP($A783,koronahun!$A:$AM,26,FALSE),"")</f>
        <v/>
      </c>
      <c r="AA783" s="14" t="str">
        <f>IFERROR(VLOOKUP($A783,koronahun!$A:$AM,27,FALSE),"")</f>
        <v/>
      </c>
      <c r="AB783" s="14" t="str">
        <f>IFERROR(VLOOKUP($A783,koronahun!$A:$AM,28,FALSE),"")</f>
        <v/>
      </c>
      <c r="AC783" s="14" t="str">
        <f>IFERROR(VLOOKUP($A783,koronahun!$A:$AM,29,FALSE),"")</f>
        <v/>
      </c>
      <c r="AD783" s="14" t="str">
        <f>IFERROR(VLOOKUP($A783,koronahun!$A:$AM,30,FALSE),"")</f>
        <v/>
      </c>
      <c r="AE783" s="14" t="str">
        <f>IFERROR(VLOOKUP($A783,koronahun!$A:$AM,31,FALSE),"")</f>
        <v/>
      </c>
      <c r="AF783" s="13" t="str">
        <f>IFERROR(VLOOKUP($A783,koronahun!$A:$AM,32,FALSE),"")</f>
        <v/>
      </c>
      <c r="AG783" t="str">
        <f>IFERROR(VLOOKUP($A783,koronahun!$A:$AM,33,FALSE),"")</f>
        <v/>
      </c>
      <c r="AH783" t="str">
        <f>IFERROR(VLOOKUP($A783,koronahun!$A:$AM,34,FALSE),"")</f>
        <v/>
      </c>
      <c r="AI783" t="str">
        <f>IFERROR(VLOOKUP($A783,koronahun!$A:$AM,35,FALSE),"")</f>
        <v/>
      </c>
      <c r="AJ783" t="str">
        <f>IFERROR(VLOOKUP($A783,koronahun!$A:$AM,36,FALSE),"")</f>
        <v/>
      </c>
      <c r="AK783" t="str">
        <f>IFERROR(VLOOKUP($A783,koronahun!$A:$AM,37,FALSE),"")</f>
        <v/>
      </c>
      <c r="AL783" t="str">
        <f>IFERROR(VLOOKUP($A783,koronahun!$A:$AM,38,FALSE),"")</f>
        <v/>
      </c>
      <c r="AM783" s="14" t="str">
        <f>IFERROR(VLOOKUP($A783,koronahun!$A:$AM,39,FALSE),"")</f>
        <v/>
      </c>
      <c r="AN783" s="11">
        <f ca="1">IFERROR(__xludf.DUMMYFUNCTION("""COMPUTED_VALUE"""),44675)</f>
        <v>44675</v>
      </c>
      <c r="AO783" s="12">
        <f ca="1">IFERROR(VLOOKUP(AN783,koronahun!A:B,2,FALSE),"")</f>
        <v>0</v>
      </c>
      <c r="AP783" s="11">
        <f t="shared" ca="1" si="6"/>
        <v>44675</v>
      </c>
      <c r="AQ783" s="11"/>
      <c r="AR783" s="11"/>
      <c r="AS783" s="11"/>
      <c r="AT783" s="11"/>
    </row>
    <row r="784" spans="1:46" ht="13">
      <c r="A784" s="11"/>
      <c r="B784" t="str">
        <f>IFERROR(VLOOKUP($A784,koronahun!$A:$AM,2,FALSE),"")</f>
        <v/>
      </c>
      <c r="C784" t="str">
        <f>IFERROR(VLOOKUP($A784,koronahun!$A:$AM,3,FALSE),"")</f>
        <v/>
      </c>
      <c r="D784" t="str">
        <f>IFERROR(VLOOKUP($A784,koronahun!$A:$AM,4,FALSE),"")</f>
        <v/>
      </c>
      <c r="E784" t="str">
        <f>IFERROR(VLOOKUP($A784,koronahun!$A:$AM,5,FALSE),"")</f>
        <v/>
      </c>
      <c r="F784" t="str">
        <f>IFERROR(VLOOKUP($A784,koronahun!$A:$AM,6,FALSE),"")</f>
        <v/>
      </c>
      <c r="G784" s="12" t="str">
        <f>IFERROR(VLOOKUP($A784,koronahun!$A:$AM,7,FALSE),"")</f>
        <v/>
      </c>
      <c r="H784" t="str">
        <f>IFERROR(VLOOKUP($A784,koronahun!$A:$AM,8,FALSE),"")</f>
        <v/>
      </c>
      <c r="I784" s="13" t="str">
        <f>IFERROR(VLOOKUP($A784,koronahun!$A:$AM,9,FALSE),"")</f>
        <v/>
      </c>
      <c r="J784" s="13" t="str">
        <f>IFERROR(VLOOKUP($A784,koronahun!$A:$AM,10,FALSE),"")</f>
        <v/>
      </c>
      <c r="K784" s="13" t="str">
        <f>IFERROR(VLOOKUP($A784,koronahun!$A:$AM,11,FALSE),"")</f>
        <v/>
      </c>
      <c r="L784" t="str">
        <f>IFERROR(VLOOKUP($A784,koronahun!$A:$AM,12,FALSE),"")</f>
        <v/>
      </c>
      <c r="M784" s="13" t="str">
        <f>IFERROR(VLOOKUP($A784,koronahun!$A:$AM,13,FALSE),"")</f>
        <v/>
      </c>
      <c r="N784" s="13" t="str">
        <f>IFERROR(VLOOKUP($A784,koronahun!$A:$AM,14,FALSE),"")</f>
        <v/>
      </c>
      <c r="O784" t="str">
        <f>IFERROR(VLOOKUP($A784,koronahun!$A:$AM,15,FALSE),"")</f>
        <v/>
      </c>
      <c r="P784" t="str">
        <f>IFERROR(VLOOKUP($A784,koronahun!$A:$AM,16,FALSE),"")</f>
        <v/>
      </c>
      <c r="Q784" s="13" t="str">
        <f>IFERROR(VLOOKUP($A784,koronahun!$A:$AM,17,FALSE),"")</f>
        <v/>
      </c>
      <c r="R784" t="str">
        <f>IFERROR(VLOOKUP($A784,koronahun!$A:$AM,18,FALSE),"")</f>
        <v/>
      </c>
      <c r="S784" t="str">
        <f>IFERROR(VLOOKUP($A784,koronahun!$A:$AM,19,FALSE),"")</f>
        <v/>
      </c>
      <c r="T784" t="str">
        <f>IFERROR(VLOOKUP($A784,koronahun!$A:$AM,20,FALSE),"")</f>
        <v/>
      </c>
      <c r="U784" t="str">
        <f>IFERROR(VLOOKUP($A784,koronahun!$A:$AM,21,FALSE),"")</f>
        <v/>
      </c>
      <c r="V784" s="13" t="str">
        <f>IFERROR(VLOOKUP($A784,koronahun!$A:$AM,22,FALSE),"")</f>
        <v/>
      </c>
      <c r="W784" t="str">
        <f>IFERROR(VLOOKUP($A784,koronahun!$A:$AM,23,FALSE),"")</f>
        <v/>
      </c>
      <c r="X784" t="str">
        <f>IFERROR(VLOOKUP($A784,koronahun!$A:$AM,24,FALSE),"")</f>
        <v/>
      </c>
      <c r="Y784" s="14" t="str">
        <f>IFERROR(VLOOKUP($A784,koronahun!$A:$AM,25,FALSE),"")</f>
        <v/>
      </c>
      <c r="Z784" s="14" t="str">
        <f>IFERROR(VLOOKUP($A784,koronahun!$A:$AM,26,FALSE),"")</f>
        <v/>
      </c>
      <c r="AA784" s="14" t="str">
        <f>IFERROR(VLOOKUP($A784,koronahun!$A:$AM,27,FALSE),"")</f>
        <v/>
      </c>
      <c r="AB784" s="14" t="str">
        <f>IFERROR(VLOOKUP($A784,koronahun!$A:$AM,28,FALSE),"")</f>
        <v/>
      </c>
      <c r="AC784" s="14" t="str">
        <f>IFERROR(VLOOKUP($A784,koronahun!$A:$AM,29,FALSE),"")</f>
        <v/>
      </c>
      <c r="AD784" s="14" t="str">
        <f>IFERROR(VLOOKUP($A784,koronahun!$A:$AM,30,FALSE),"")</f>
        <v/>
      </c>
      <c r="AE784" s="14" t="str">
        <f>IFERROR(VLOOKUP($A784,koronahun!$A:$AM,31,FALSE),"")</f>
        <v/>
      </c>
      <c r="AF784" s="13" t="str">
        <f>IFERROR(VLOOKUP($A784,koronahun!$A:$AM,32,FALSE),"")</f>
        <v/>
      </c>
      <c r="AG784" t="str">
        <f>IFERROR(VLOOKUP($A784,koronahun!$A:$AM,33,FALSE),"")</f>
        <v/>
      </c>
      <c r="AH784" t="str">
        <f>IFERROR(VLOOKUP($A784,koronahun!$A:$AM,34,FALSE),"")</f>
        <v/>
      </c>
      <c r="AI784" t="str">
        <f>IFERROR(VLOOKUP($A784,koronahun!$A:$AM,35,FALSE),"")</f>
        <v/>
      </c>
      <c r="AJ784" t="str">
        <f>IFERROR(VLOOKUP($A784,koronahun!$A:$AM,36,FALSE),"")</f>
        <v/>
      </c>
      <c r="AK784" t="str">
        <f>IFERROR(VLOOKUP($A784,koronahun!$A:$AM,37,FALSE),"")</f>
        <v/>
      </c>
      <c r="AL784" t="str">
        <f>IFERROR(VLOOKUP($A784,koronahun!$A:$AM,38,FALSE),"")</f>
        <v/>
      </c>
      <c r="AM784" s="14" t="str">
        <f>IFERROR(VLOOKUP($A784,koronahun!$A:$AM,39,FALSE),"")</f>
        <v/>
      </c>
      <c r="AN784" s="11">
        <f ca="1">IFERROR(__xludf.DUMMYFUNCTION("""COMPUTED_VALUE"""),44676)</f>
        <v>44676</v>
      </c>
      <c r="AO784" s="12">
        <f ca="1">IFERROR(VLOOKUP(AN784,koronahun!A:B,2,FALSE),"")</f>
        <v>1894278</v>
      </c>
      <c r="AP784" s="11">
        <f t="shared" ca="1" si="6"/>
        <v>44676</v>
      </c>
      <c r="AQ784" s="11"/>
      <c r="AR784" s="11"/>
      <c r="AS784" s="11"/>
      <c r="AT784" s="11"/>
    </row>
    <row r="785" spans="1:46" ht="13">
      <c r="A785" s="11"/>
      <c r="B785" t="str">
        <f>IFERROR(VLOOKUP($A785,koronahun!$A:$AM,2,FALSE),"")</f>
        <v/>
      </c>
      <c r="C785" t="str">
        <f>IFERROR(VLOOKUP($A785,koronahun!$A:$AM,3,FALSE),"")</f>
        <v/>
      </c>
      <c r="D785" t="str">
        <f>IFERROR(VLOOKUP($A785,koronahun!$A:$AM,4,FALSE),"")</f>
        <v/>
      </c>
      <c r="E785" t="str">
        <f>IFERROR(VLOOKUP($A785,koronahun!$A:$AM,5,FALSE),"")</f>
        <v/>
      </c>
      <c r="F785" t="str">
        <f>IFERROR(VLOOKUP($A785,koronahun!$A:$AM,6,FALSE),"")</f>
        <v/>
      </c>
      <c r="G785" s="12" t="str">
        <f>IFERROR(VLOOKUP($A785,koronahun!$A:$AM,7,FALSE),"")</f>
        <v/>
      </c>
      <c r="H785" t="str">
        <f>IFERROR(VLOOKUP($A785,koronahun!$A:$AM,8,FALSE),"")</f>
        <v/>
      </c>
      <c r="I785" s="13" t="str">
        <f>IFERROR(VLOOKUP($A785,koronahun!$A:$AM,9,FALSE),"")</f>
        <v/>
      </c>
      <c r="J785" s="13" t="str">
        <f>IFERROR(VLOOKUP($A785,koronahun!$A:$AM,10,FALSE),"")</f>
        <v/>
      </c>
      <c r="K785" s="13" t="str">
        <f>IFERROR(VLOOKUP($A785,koronahun!$A:$AM,11,FALSE),"")</f>
        <v/>
      </c>
      <c r="L785" t="str">
        <f>IFERROR(VLOOKUP($A785,koronahun!$A:$AM,12,FALSE),"")</f>
        <v/>
      </c>
      <c r="M785" s="13" t="str">
        <f>IFERROR(VLOOKUP($A785,koronahun!$A:$AM,13,FALSE),"")</f>
        <v/>
      </c>
      <c r="N785" s="13" t="str">
        <f>IFERROR(VLOOKUP($A785,koronahun!$A:$AM,14,FALSE),"")</f>
        <v/>
      </c>
      <c r="O785" t="str">
        <f>IFERROR(VLOOKUP($A785,koronahun!$A:$AM,15,FALSE),"")</f>
        <v/>
      </c>
      <c r="P785" t="str">
        <f>IFERROR(VLOOKUP($A785,koronahun!$A:$AM,16,FALSE),"")</f>
        <v/>
      </c>
      <c r="Q785" s="13" t="str">
        <f>IFERROR(VLOOKUP($A785,koronahun!$A:$AM,17,FALSE),"")</f>
        <v/>
      </c>
      <c r="R785" t="str">
        <f>IFERROR(VLOOKUP($A785,koronahun!$A:$AM,18,FALSE),"")</f>
        <v/>
      </c>
      <c r="S785" t="str">
        <f>IFERROR(VLOOKUP($A785,koronahun!$A:$AM,19,FALSE),"")</f>
        <v/>
      </c>
      <c r="T785" t="str">
        <f>IFERROR(VLOOKUP($A785,koronahun!$A:$AM,20,FALSE),"")</f>
        <v/>
      </c>
      <c r="U785" t="str">
        <f>IFERROR(VLOOKUP($A785,koronahun!$A:$AM,21,FALSE),"")</f>
        <v/>
      </c>
      <c r="V785" s="13" t="str">
        <f>IFERROR(VLOOKUP($A785,koronahun!$A:$AM,22,FALSE),"")</f>
        <v/>
      </c>
      <c r="W785" t="str">
        <f>IFERROR(VLOOKUP($A785,koronahun!$A:$AM,23,FALSE),"")</f>
        <v/>
      </c>
      <c r="X785" t="str">
        <f>IFERROR(VLOOKUP($A785,koronahun!$A:$AM,24,FALSE),"")</f>
        <v/>
      </c>
      <c r="Y785" s="14" t="str">
        <f>IFERROR(VLOOKUP($A785,koronahun!$A:$AM,25,FALSE),"")</f>
        <v/>
      </c>
      <c r="Z785" s="14" t="str">
        <f>IFERROR(VLOOKUP($A785,koronahun!$A:$AM,26,FALSE),"")</f>
        <v/>
      </c>
      <c r="AA785" s="14" t="str">
        <f>IFERROR(VLOOKUP($A785,koronahun!$A:$AM,27,FALSE),"")</f>
        <v/>
      </c>
      <c r="AB785" s="14" t="str">
        <f>IFERROR(VLOOKUP($A785,koronahun!$A:$AM,28,FALSE),"")</f>
        <v/>
      </c>
      <c r="AC785" s="14" t="str">
        <f>IFERROR(VLOOKUP($A785,koronahun!$A:$AM,29,FALSE),"")</f>
        <v/>
      </c>
      <c r="AD785" s="14" t="str">
        <f>IFERROR(VLOOKUP($A785,koronahun!$A:$AM,30,FALSE),"")</f>
        <v/>
      </c>
      <c r="AE785" s="14" t="str">
        <f>IFERROR(VLOOKUP($A785,koronahun!$A:$AM,31,FALSE),"")</f>
        <v/>
      </c>
      <c r="AF785" s="13" t="str">
        <f>IFERROR(VLOOKUP($A785,koronahun!$A:$AM,32,FALSE),"")</f>
        <v/>
      </c>
      <c r="AG785" t="str">
        <f>IFERROR(VLOOKUP($A785,koronahun!$A:$AM,33,FALSE),"")</f>
        <v/>
      </c>
      <c r="AH785" t="str">
        <f>IFERROR(VLOOKUP($A785,koronahun!$A:$AM,34,FALSE),"")</f>
        <v/>
      </c>
      <c r="AI785" t="str">
        <f>IFERROR(VLOOKUP($A785,koronahun!$A:$AM,35,FALSE),"")</f>
        <v/>
      </c>
      <c r="AJ785" t="str">
        <f>IFERROR(VLOOKUP($A785,koronahun!$A:$AM,36,FALSE),"")</f>
        <v/>
      </c>
      <c r="AK785" t="str">
        <f>IFERROR(VLOOKUP($A785,koronahun!$A:$AM,37,FALSE),"")</f>
        <v/>
      </c>
      <c r="AL785" t="str">
        <f>IFERROR(VLOOKUP($A785,koronahun!$A:$AM,38,FALSE),"")</f>
        <v/>
      </c>
      <c r="AM785" s="14" t="str">
        <f>IFERROR(VLOOKUP($A785,koronahun!$A:$AM,39,FALSE),"")</f>
        <v/>
      </c>
      <c r="AN785" s="11">
        <f ca="1">IFERROR(__xludf.DUMMYFUNCTION("""COMPUTED_VALUE"""),44677)</f>
        <v>44677</v>
      </c>
      <c r="AO785" s="12">
        <f ca="1">IFERROR(VLOOKUP(AN785,koronahun!A:B,2,FALSE),"")</f>
        <v>1895677</v>
      </c>
      <c r="AP785" s="11">
        <f t="shared" ca="1" si="6"/>
        <v>44677</v>
      </c>
      <c r="AQ785" s="11"/>
      <c r="AR785" s="11"/>
      <c r="AS785" s="11"/>
      <c r="AT785" s="11"/>
    </row>
    <row r="786" spans="1:46" ht="13">
      <c r="A786" s="11"/>
      <c r="B786" t="str">
        <f>IFERROR(VLOOKUP($A786,koronahun!$A:$AM,2,FALSE),"")</f>
        <v/>
      </c>
      <c r="C786" t="str">
        <f>IFERROR(VLOOKUP($A786,koronahun!$A:$AM,3,FALSE),"")</f>
        <v/>
      </c>
      <c r="D786" t="str">
        <f>IFERROR(VLOOKUP($A786,koronahun!$A:$AM,4,FALSE),"")</f>
        <v/>
      </c>
      <c r="E786" t="str">
        <f>IFERROR(VLOOKUP($A786,koronahun!$A:$AM,5,FALSE),"")</f>
        <v/>
      </c>
      <c r="F786" t="str">
        <f>IFERROR(VLOOKUP($A786,koronahun!$A:$AM,6,FALSE),"")</f>
        <v/>
      </c>
      <c r="G786" s="12" t="str">
        <f>IFERROR(VLOOKUP($A786,koronahun!$A:$AM,7,FALSE),"")</f>
        <v/>
      </c>
      <c r="H786" t="str">
        <f>IFERROR(VLOOKUP($A786,koronahun!$A:$AM,8,FALSE),"")</f>
        <v/>
      </c>
      <c r="I786" s="13" t="str">
        <f>IFERROR(VLOOKUP($A786,koronahun!$A:$AM,9,FALSE),"")</f>
        <v/>
      </c>
      <c r="J786" s="13" t="str">
        <f>IFERROR(VLOOKUP($A786,koronahun!$A:$AM,10,FALSE),"")</f>
        <v/>
      </c>
      <c r="K786" s="13" t="str">
        <f>IFERROR(VLOOKUP($A786,koronahun!$A:$AM,11,FALSE),"")</f>
        <v/>
      </c>
      <c r="L786" t="str">
        <f>IFERROR(VLOOKUP($A786,koronahun!$A:$AM,12,FALSE),"")</f>
        <v/>
      </c>
      <c r="M786" s="13" t="str">
        <f>IFERROR(VLOOKUP($A786,koronahun!$A:$AM,13,FALSE),"")</f>
        <v/>
      </c>
      <c r="N786" s="13" t="str">
        <f>IFERROR(VLOOKUP($A786,koronahun!$A:$AM,14,FALSE),"")</f>
        <v/>
      </c>
      <c r="O786" t="str">
        <f>IFERROR(VLOOKUP($A786,koronahun!$A:$AM,15,FALSE),"")</f>
        <v/>
      </c>
      <c r="P786" t="str">
        <f>IFERROR(VLOOKUP($A786,koronahun!$A:$AM,16,FALSE),"")</f>
        <v/>
      </c>
      <c r="Q786" s="13" t="str">
        <f>IFERROR(VLOOKUP($A786,koronahun!$A:$AM,17,FALSE),"")</f>
        <v/>
      </c>
      <c r="R786" t="str">
        <f>IFERROR(VLOOKUP($A786,koronahun!$A:$AM,18,FALSE),"")</f>
        <v/>
      </c>
      <c r="S786" t="str">
        <f>IFERROR(VLOOKUP($A786,koronahun!$A:$AM,19,FALSE),"")</f>
        <v/>
      </c>
      <c r="T786" t="str">
        <f>IFERROR(VLOOKUP($A786,koronahun!$A:$AM,20,FALSE),"")</f>
        <v/>
      </c>
      <c r="U786" t="str">
        <f>IFERROR(VLOOKUP($A786,koronahun!$A:$AM,21,FALSE),"")</f>
        <v/>
      </c>
      <c r="V786" s="13" t="str">
        <f>IFERROR(VLOOKUP($A786,koronahun!$A:$AM,22,FALSE),"")</f>
        <v/>
      </c>
      <c r="W786" t="str">
        <f>IFERROR(VLOOKUP($A786,koronahun!$A:$AM,23,FALSE),"")</f>
        <v/>
      </c>
      <c r="X786" t="str">
        <f>IFERROR(VLOOKUP($A786,koronahun!$A:$AM,24,FALSE),"")</f>
        <v/>
      </c>
      <c r="Y786" s="14" t="str">
        <f>IFERROR(VLOOKUP($A786,koronahun!$A:$AM,25,FALSE),"")</f>
        <v/>
      </c>
      <c r="Z786" s="14" t="str">
        <f>IFERROR(VLOOKUP($A786,koronahun!$A:$AM,26,FALSE),"")</f>
        <v/>
      </c>
      <c r="AA786" s="14" t="str">
        <f>IFERROR(VLOOKUP($A786,koronahun!$A:$AM,27,FALSE),"")</f>
        <v/>
      </c>
      <c r="AB786" s="14" t="str">
        <f>IFERROR(VLOOKUP($A786,koronahun!$A:$AM,28,FALSE),"")</f>
        <v/>
      </c>
      <c r="AC786" s="14" t="str">
        <f>IFERROR(VLOOKUP($A786,koronahun!$A:$AM,29,FALSE),"")</f>
        <v/>
      </c>
      <c r="AD786" s="14" t="str">
        <f>IFERROR(VLOOKUP($A786,koronahun!$A:$AM,30,FALSE),"")</f>
        <v/>
      </c>
      <c r="AE786" s="14" t="str">
        <f>IFERROR(VLOOKUP($A786,koronahun!$A:$AM,31,FALSE),"")</f>
        <v/>
      </c>
      <c r="AF786" s="13" t="str">
        <f>IFERROR(VLOOKUP($A786,koronahun!$A:$AM,32,FALSE),"")</f>
        <v/>
      </c>
      <c r="AG786" t="str">
        <f>IFERROR(VLOOKUP($A786,koronahun!$A:$AM,33,FALSE),"")</f>
        <v/>
      </c>
      <c r="AH786" t="str">
        <f>IFERROR(VLOOKUP($A786,koronahun!$A:$AM,34,FALSE),"")</f>
        <v/>
      </c>
      <c r="AI786" t="str">
        <f>IFERROR(VLOOKUP($A786,koronahun!$A:$AM,35,FALSE),"")</f>
        <v/>
      </c>
      <c r="AJ786" t="str">
        <f>IFERROR(VLOOKUP($A786,koronahun!$A:$AM,36,FALSE),"")</f>
        <v/>
      </c>
      <c r="AK786" t="str">
        <f>IFERROR(VLOOKUP($A786,koronahun!$A:$AM,37,FALSE),"")</f>
        <v/>
      </c>
      <c r="AL786" t="str">
        <f>IFERROR(VLOOKUP($A786,koronahun!$A:$AM,38,FALSE),"")</f>
        <v/>
      </c>
      <c r="AM786" s="14" t="str">
        <f>IFERROR(VLOOKUP($A786,koronahun!$A:$AM,39,FALSE),"")</f>
        <v/>
      </c>
      <c r="AN786" s="11">
        <f ca="1">IFERROR(__xludf.DUMMYFUNCTION("""COMPUTED_VALUE"""),44678)</f>
        <v>44678</v>
      </c>
      <c r="AO786" s="12">
        <f ca="1">IFERROR(VLOOKUP(AN786,koronahun!A:B,2,FALSE),"")</f>
        <v>1897897</v>
      </c>
      <c r="AP786" s="11">
        <f t="shared" ca="1" si="6"/>
        <v>44678</v>
      </c>
      <c r="AQ786" s="11"/>
      <c r="AR786" s="11"/>
      <c r="AS786" s="11"/>
      <c r="AT786" s="11"/>
    </row>
    <row r="787" spans="1:46" ht="13">
      <c r="A787" s="11"/>
      <c r="B787" t="str">
        <f>IFERROR(VLOOKUP($A787,koronahun!$A:$AM,2,FALSE),"")</f>
        <v/>
      </c>
      <c r="C787" t="str">
        <f>IFERROR(VLOOKUP($A787,koronahun!$A:$AM,3,FALSE),"")</f>
        <v/>
      </c>
      <c r="D787" t="str">
        <f>IFERROR(VLOOKUP($A787,koronahun!$A:$AM,4,FALSE),"")</f>
        <v/>
      </c>
      <c r="E787" t="str">
        <f>IFERROR(VLOOKUP($A787,koronahun!$A:$AM,5,FALSE),"")</f>
        <v/>
      </c>
      <c r="F787" t="str">
        <f>IFERROR(VLOOKUP($A787,koronahun!$A:$AM,6,FALSE),"")</f>
        <v/>
      </c>
      <c r="G787" s="12" t="str">
        <f>IFERROR(VLOOKUP($A787,koronahun!$A:$AM,7,FALSE),"")</f>
        <v/>
      </c>
      <c r="H787" t="str">
        <f>IFERROR(VLOOKUP($A787,koronahun!$A:$AM,8,FALSE),"")</f>
        <v/>
      </c>
      <c r="I787" s="13" t="str">
        <f>IFERROR(VLOOKUP($A787,koronahun!$A:$AM,9,FALSE),"")</f>
        <v/>
      </c>
      <c r="J787" s="13" t="str">
        <f>IFERROR(VLOOKUP($A787,koronahun!$A:$AM,10,FALSE),"")</f>
        <v/>
      </c>
      <c r="K787" s="13" t="str">
        <f>IFERROR(VLOOKUP($A787,koronahun!$A:$AM,11,FALSE),"")</f>
        <v/>
      </c>
      <c r="L787" t="str">
        <f>IFERROR(VLOOKUP($A787,koronahun!$A:$AM,12,FALSE),"")</f>
        <v/>
      </c>
      <c r="M787" s="13" t="str">
        <f>IFERROR(VLOOKUP($A787,koronahun!$A:$AM,13,FALSE),"")</f>
        <v/>
      </c>
      <c r="N787" s="13" t="str">
        <f>IFERROR(VLOOKUP($A787,koronahun!$A:$AM,14,FALSE),"")</f>
        <v/>
      </c>
      <c r="O787" t="str">
        <f>IFERROR(VLOOKUP($A787,koronahun!$A:$AM,15,FALSE),"")</f>
        <v/>
      </c>
      <c r="P787" t="str">
        <f>IFERROR(VLOOKUP($A787,koronahun!$A:$AM,16,FALSE),"")</f>
        <v/>
      </c>
      <c r="Q787" s="13" t="str">
        <f>IFERROR(VLOOKUP($A787,koronahun!$A:$AM,17,FALSE),"")</f>
        <v/>
      </c>
      <c r="R787" t="str">
        <f>IFERROR(VLOOKUP($A787,koronahun!$A:$AM,18,FALSE),"")</f>
        <v/>
      </c>
      <c r="S787" t="str">
        <f>IFERROR(VLOOKUP($A787,koronahun!$A:$AM,19,FALSE),"")</f>
        <v/>
      </c>
      <c r="T787" t="str">
        <f>IFERROR(VLOOKUP($A787,koronahun!$A:$AM,20,FALSE),"")</f>
        <v/>
      </c>
      <c r="U787" t="str">
        <f>IFERROR(VLOOKUP($A787,koronahun!$A:$AM,21,FALSE),"")</f>
        <v/>
      </c>
      <c r="V787" s="13" t="str">
        <f>IFERROR(VLOOKUP($A787,koronahun!$A:$AM,22,FALSE),"")</f>
        <v/>
      </c>
      <c r="W787" t="str">
        <f>IFERROR(VLOOKUP($A787,koronahun!$A:$AM,23,FALSE),"")</f>
        <v/>
      </c>
      <c r="X787" t="str">
        <f>IFERROR(VLOOKUP($A787,koronahun!$A:$AM,24,FALSE),"")</f>
        <v/>
      </c>
      <c r="Y787" s="14" t="str">
        <f>IFERROR(VLOOKUP($A787,koronahun!$A:$AM,25,FALSE),"")</f>
        <v/>
      </c>
      <c r="Z787" s="14" t="str">
        <f>IFERROR(VLOOKUP($A787,koronahun!$A:$AM,26,FALSE),"")</f>
        <v/>
      </c>
      <c r="AA787" s="14" t="str">
        <f>IFERROR(VLOOKUP($A787,koronahun!$A:$AM,27,FALSE),"")</f>
        <v/>
      </c>
      <c r="AB787" s="14" t="str">
        <f>IFERROR(VLOOKUP($A787,koronahun!$A:$AM,28,FALSE),"")</f>
        <v/>
      </c>
      <c r="AC787" s="14" t="str">
        <f>IFERROR(VLOOKUP($A787,koronahun!$A:$AM,29,FALSE),"")</f>
        <v/>
      </c>
      <c r="AD787" s="14" t="str">
        <f>IFERROR(VLOOKUP($A787,koronahun!$A:$AM,30,FALSE),"")</f>
        <v/>
      </c>
      <c r="AE787" s="14" t="str">
        <f>IFERROR(VLOOKUP($A787,koronahun!$A:$AM,31,FALSE),"")</f>
        <v/>
      </c>
      <c r="AF787" s="13" t="str">
        <f>IFERROR(VLOOKUP($A787,koronahun!$A:$AM,32,FALSE),"")</f>
        <v/>
      </c>
      <c r="AG787" t="str">
        <f>IFERROR(VLOOKUP($A787,koronahun!$A:$AM,33,FALSE),"")</f>
        <v/>
      </c>
      <c r="AH787" t="str">
        <f>IFERROR(VLOOKUP($A787,koronahun!$A:$AM,34,FALSE),"")</f>
        <v/>
      </c>
      <c r="AI787" t="str">
        <f>IFERROR(VLOOKUP($A787,koronahun!$A:$AM,35,FALSE),"")</f>
        <v/>
      </c>
      <c r="AJ787" t="str">
        <f>IFERROR(VLOOKUP($A787,koronahun!$A:$AM,36,FALSE),"")</f>
        <v/>
      </c>
      <c r="AK787" t="str">
        <f>IFERROR(VLOOKUP($A787,koronahun!$A:$AM,37,FALSE),"")</f>
        <v/>
      </c>
      <c r="AL787" t="str">
        <f>IFERROR(VLOOKUP($A787,koronahun!$A:$AM,38,FALSE),"")</f>
        <v/>
      </c>
      <c r="AM787" s="14" t="str">
        <f>IFERROR(VLOOKUP($A787,koronahun!$A:$AM,39,FALSE),"")</f>
        <v/>
      </c>
      <c r="AN787" s="11">
        <f ca="1">IFERROR(__xludf.DUMMYFUNCTION("""COMPUTED_VALUE"""),44679)</f>
        <v>44679</v>
      </c>
      <c r="AO787" s="12">
        <f ca="1">IFERROR(VLOOKUP(AN787,koronahun!A:B,2,FALSE),"")</f>
        <v>1899633</v>
      </c>
      <c r="AP787" s="11">
        <f t="shared" ca="1" si="6"/>
        <v>44679</v>
      </c>
      <c r="AQ787" s="11"/>
      <c r="AR787" s="11"/>
      <c r="AS787" s="11"/>
      <c r="AT787" s="11"/>
    </row>
    <row r="788" spans="1:46" ht="13">
      <c r="A788" s="11"/>
      <c r="B788" t="str">
        <f>IFERROR(VLOOKUP($A788,koronahun!$A:$AM,2,FALSE),"")</f>
        <v/>
      </c>
      <c r="C788" t="str">
        <f>IFERROR(VLOOKUP($A788,koronahun!$A:$AM,3,FALSE),"")</f>
        <v/>
      </c>
      <c r="D788" t="str">
        <f>IFERROR(VLOOKUP($A788,koronahun!$A:$AM,4,FALSE),"")</f>
        <v/>
      </c>
      <c r="E788" t="str">
        <f>IFERROR(VLOOKUP($A788,koronahun!$A:$AM,5,FALSE),"")</f>
        <v/>
      </c>
      <c r="F788" t="str">
        <f>IFERROR(VLOOKUP($A788,koronahun!$A:$AM,6,FALSE),"")</f>
        <v/>
      </c>
      <c r="G788" s="12" t="str">
        <f>IFERROR(VLOOKUP($A788,koronahun!$A:$AM,7,FALSE),"")</f>
        <v/>
      </c>
      <c r="H788" t="str">
        <f>IFERROR(VLOOKUP($A788,koronahun!$A:$AM,8,FALSE),"")</f>
        <v/>
      </c>
      <c r="I788" s="13" t="str">
        <f>IFERROR(VLOOKUP($A788,koronahun!$A:$AM,9,FALSE),"")</f>
        <v/>
      </c>
      <c r="J788" s="13" t="str">
        <f>IFERROR(VLOOKUP($A788,koronahun!$A:$AM,10,FALSE),"")</f>
        <v/>
      </c>
      <c r="K788" s="13" t="str">
        <f>IFERROR(VLOOKUP($A788,koronahun!$A:$AM,11,FALSE),"")</f>
        <v/>
      </c>
      <c r="L788" t="str">
        <f>IFERROR(VLOOKUP($A788,koronahun!$A:$AM,12,FALSE),"")</f>
        <v/>
      </c>
      <c r="M788" s="13" t="str">
        <f>IFERROR(VLOOKUP($A788,koronahun!$A:$AM,13,FALSE),"")</f>
        <v/>
      </c>
      <c r="N788" s="13" t="str">
        <f>IFERROR(VLOOKUP($A788,koronahun!$A:$AM,14,FALSE),"")</f>
        <v/>
      </c>
      <c r="O788" t="str">
        <f>IFERROR(VLOOKUP($A788,koronahun!$A:$AM,15,FALSE),"")</f>
        <v/>
      </c>
      <c r="P788" t="str">
        <f>IFERROR(VLOOKUP($A788,koronahun!$A:$AM,16,FALSE),"")</f>
        <v/>
      </c>
      <c r="Q788" s="13" t="str">
        <f>IFERROR(VLOOKUP($A788,koronahun!$A:$AM,17,FALSE),"")</f>
        <v/>
      </c>
      <c r="R788" t="str">
        <f>IFERROR(VLOOKUP($A788,koronahun!$A:$AM,18,FALSE),"")</f>
        <v/>
      </c>
      <c r="S788" t="str">
        <f>IFERROR(VLOOKUP($A788,koronahun!$A:$AM,19,FALSE),"")</f>
        <v/>
      </c>
      <c r="T788" t="str">
        <f>IFERROR(VLOOKUP($A788,koronahun!$A:$AM,20,FALSE),"")</f>
        <v/>
      </c>
      <c r="U788" t="str">
        <f>IFERROR(VLOOKUP($A788,koronahun!$A:$AM,21,FALSE),"")</f>
        <v/>
      </c>
      <c r="V788" s="13" t="str">
        <f>IFERROR(VLOOKUP($A788,koronahun!$A:$AM,22,FALSE),"")</f>
        <v/>
      </c>
      <c r="W788" t="str">
        <f>IFERROR(VLOOKUP($A788,koronahun!$A:$AM,23,FALSE),"")</f>
        <v/>
      </c>
      <c r="X788" t="str">
        <f>IFERROR(VLOOKUP($A788,koronahun!$A:$AM,24,FALSE),"")</f>
        <v/>
      </c>
      <c r="Y788" s="14" t="str">
        <f>IFERROR(VLOOKUP($A788,koronahun!$A:$AM,25,FALSE),"")</f>
        <v/>
      </c>
      <c r="Z788" s="14" t="str">
        <f>IFERROR(VLOOKUP($A788,koronahun!$A:$AM,26,FALSE),"")</f>
        <v/>
      </c>
      <c r="AA788" s="14" t="str">
        <f>IFERROR(VLOOKUP($A788,koronahun!$A:$AM,27,FALSE),"")</f>
        <v/>
      </c>
      <c r="AB788" s="14" t="str">
        <f>IFERROR(VLOOKUP($A788,koronahun!$A:$AM,28,FALSE),"")</f>
        <v/>
      </c>
      <c r="AC788" s="14" t="str">
        <f>IFERROR(VLOOKUP($A788,koronahun!$A:$AM,29,FALSE),"")</f>
        <v/>
      </c>
      <c r="AD788" s="14" t="str">
        <f>IFERROR(VLOOKUP($A788,koronahun!$A:$AM,30,FALSE),"")</f>
        <v/>
      </c>
      <c r="AE788" s="14" t="str">
        <f>IFERROR(VLOOKUP($A788,koronahun!$A:$AM,31,FALSE),"")</f>
        <v/>
      </c>
      <c r="AF788" s="13" t="str">
        <f>IFERROR(VLOOKUP($A788,koronahun!$A:$AM,32,FALSE),"")</f>
        <v/>
      </c>
      <c r="AG788" t="str">
        <f>IFERROR(VLOOKUP($A788,koronahun!$A:$AM,33,FALSE),"")</f>
        <v/>
      </c>
      <c r="AH788" t="str">
        <f>IFERROR(VLOOKUP($A788,koronahun!$A:$AM,34,FALSE),"")</f>
        <v/>
      </c>
      <c r="AI788" t="str">
        <f>IFERROR(VLOOKUP($A788,koronahun!$A:$AM,35,FALSE),"")</f>
        <v/>
      </c>
      <c r="AJ788" t="str">
        <f>IFERROR(VLOOKUP($A788,koronahun!$A:$AM,36,FALSE),"")</f>
        <v/>
      </c>
      <c r="AK788" t="str">
        <f>IFERROR(VLOOKUP($A788,koronahun!$A:$AM,37,FALSE),"")</f>
        <v/>
      </c>
      <c r="AL788" t="str">
        <f>IFERROR(VLOOKUP($A788,koronahun!$A:$AM,38,FALSE),"")</f>
        <v/>
      </c>
      <c r="AM788" s="14" t="str">
        <f>IFERROR(VLOOKUP($A788,koronahun!$A:$AM,39,FALSE),"")</f>
        <v/>
      </c>
      <c r="AN788" s="11">
        <f ca="1">IFERROR(__xludf.DUMMYFUNCTION("""COMPUTED_VALUE"""),44680)</f>
        <v>44680</v>
      </c>
      <c r="AO788" s="12">
        <f ca="1">IFERROR(VLOOKUP(AN788,koronahun!A:B,2,FALSE),"")</f>
        <v>1901017</v>
      </c>
      <c r="AP788" s="11">
        <f t="shared" ca="1" si="6"/>
        <v>44680</v>
      </c>
      <c r="AQ788" s="11"/>
      <c r="AR788" s="11"/>
      <c r="AS788" s="11"/>
      <c r="AT788" s="11"/>
    </row>
    <row r="789" spans="1:46" ht="13">
      <c r="A789" s="11"/>
      <c r="B789" t="str">
        <f>IFERROR(VLOOKUP($A789,koronahun!$A:$AM,2,FALSE),"")</f>
        <v/>
      </c>
      <c r="C789" t="str">
        <f>IFERROR(VLOOKUP($A789,koronahun!$A:$AM,3,FALSE),"")</f>
        <v/>
      </c>
      <c r="D789" t="str">
        <f>IFERROR(VLOOKUP($A789,koronahun!$A:$AM,4,FALSE),"")</f>
        <v/>
      </c>
      <c r="E789" t="str">
        <f>IFERROR(VLOOKUP($A789,koronahun!$A:$AM,5,FALSE),"")</f>
        <v/>
      </c>
      <c r="F789" t="str">
        <f>IFERROR(VLOOKUP($A789,koronahun!$A:$AM,6,FALSE),"")</f>
        <v/>
      </c>
      <c r="G789" s="12" t="str">
        <f>IFERROR(VLOOKUP($A789,koronahun!$A:$AM,7,FALSE),"")</f>
        <v/>
      </c>
      <c r="H789" t="str">
        <f>IFERROR(VLOOKUP($A789,koronahun!$A:$AM,8,FALSE),"")</f>
        <v/>
      </c>
      <c r="I789" s="13" t="str">
        <f>IFERROR(VLOOKUP($A789,koronahun!$A:$AM,9,FALSE),"")</f>
        <v/>
      </c>
      <c r="J789" s="13" t="str">
        <f>IFERROR(VLOOKUP($A789,koronahun!$A:$AM,10,FALSE),"")</f>
        <v/>
      </c>
      <c r="K789" s="13" t="str">
        <f>IFERROR(VLOOKUP($A789,koronahun!$A:$AM,11,FALSE),"")</f>
        <v/>
      </c>
      <c r="L789" t="str">
        <f>IFERROR(VLOOKUP($A789,koronahun!$A:$AM,12,FALSE),"")</f>
        <v/>
      </c>
      <c r="M789" s="13" t="str">
        <f>IFERROR(VLOOKUP($A789,koronahun!$A:$AM,13,FALSE),"")</f>
        <v/>
      </c>
      <c r="N789" s="13" t="str">
        <f>IFERROR(VLOOKUP($A789,koronahun!$A:$AM,14,FALSE),"")</f>
        <v/>
      </c>
      <c r="O789" t="str">
        <f>IFERROR(VLOOKUP($A789,koronahun!$A:$AM,15,FALSE),"")</f>
        <v/>
      </c>
      <c r="P789" t="str">
        <f>IFERROR(VLOOKUP($A789,koronahun!$A:$AM,16,FALSE),"")</f>
        <v/>
      </c>
      <c r="Q789" s="13" t="str">
        <f>IFERROR(VLOOKUP($A789,koronahun!$A:$AM,17,FALSE),"")</f>
        <v/>
      </c>
      <c r="R789" t="str">
        <f>IFERROR(VLOOKUP($A789,koronahun!$A:$AM,18,FALSE),"")</f>
        <v/>
      </c>
      <c r="S789" t="str">
        <f>IFERROR(VLOOKUP($A789,koronahun!$A:$AM,19,FALSE),"")</f>
        <v/>
      </c>
      <c r="T789" t="str">
        <f>IFERROR(VLOOKUP($A789,koronahun!$A:$AM,20,FALSE),"")</f>
        <v/>
      </c>
      <c r="U789" t="str">
        <f>IFERROR(VLOOKUP($A789,koronahun!$A:$AM,21,FALSE),"")</f>
        <v/>
      </c>
      <c r="V789" s="13" t="str">
        <f>IFERROR(VLOOKUP($A789,koronahun!$A:$AM,22,FALSE),"")</f>
        <v/>
      </c>
      <c r="W789" t="str">
        <f>IFERROR(VLOOKUP($A789,koronahun!$A:$AM,23,FALSE),"")</f>
        <v/>
      </c>
      <c r="X789" t="str">
        <f>IFERROR(VLOOKUP($A789,koronahun!$A:$AM,24,FALSE),"")</f>
        <v/>
      </c>
      <c r="Y789" s="14" t="str">
        <f>IFERROR(VLOOKUP($A789,koronahun!$A:$AM,25,FALSE),"")</f>
        <v/>
      </c>
      <c r="Z789" s="14" t="str">
        <f>IFERROR(VLOOKUP($A789,koronahun!$A:$AM,26,FALSE),"")</f>
        <v/>
      </c>
      <c r="AA789" s="14" t="str">
        <f>IFERROR(VLOOKUP($A789,koronahun!$A:$AM,27,FALSE),"")</f>
        <v/>
      </c>
      <c r="AB789" s="14" t="str">
        <f>IFERROR(VLOOKUP($A789,koronahun!$A:$AM,28,FALSE),"")</f>
        <v/>
      </c>
      <c r="AC789" s="14" t="str">
        <f>IFERROR(VLOOKUP($A789,koronahun!$A:$AM,29,FALSE),"")</f>
        <v/>
      </c>
      <c r="AD789" s="14" t="str">
        <f>IFERROR(VLOOKUP($A789,koronahun!$A:$AM,30,FALSE),"")</f>
        <v/>
      </c>
      <c r="AE789" s="14" t="str">
        <f>IFERROR(VLOOKUP($A789,koronahun!$A:$AM,31,FALSE),"")</f>
        <v/>
      </c>
      <c r="AF789" s="13" t="str">
        <f>IFERROR(VLOOKUP($A789,koronahun!$A:$AM,32,FALSE),"")</f>
        <v/>
      </c>
      <c r="AG789" t="str">
        <f>IFERROR(VLOOKUP($A789,koronahun!$A:$AM,33,FALSE),"")</f>
        <v/>
      </c>
      <c r="AH789" t="str">
        <f>IFERROR(VLOOKUP($A789,koronahun!$A:$AM,34,FALSE),"")</f>
        <v/>
      </c>
      <c r="AI789" t="str">
        <f>IFERROR(VLOOKUP($A789,koronahun!$A:$AM,35,FALSE),"")</f>
        <v/>
      </c>
      <c r="AJ789" t="str">
        <f>IFERROR(VLOOKUP($A789,koronahun!$A:$AM,36,FALSE),"")</f>
        <v/>
      </c>
      <c r="AK789" t="str">
        <f>IFERROR(VLOOKUP($A789,koronahun!$A:$AM,37,FALSE),"")</f>
        <v/>
      </c>
      <c r="AL789" t="str">
        <f>IFERROR(VLOOKUP($A789,koronahun!$A:$AM,38,FALSE),"")</f>
        <v/>
      </c>
      <c r="AM789" s="14" t="str">
        <f>IFERROR(VLOOKUP($A789,koronahun!$A:$AM,39,FALSE),"")</f>
        <v/>
      </c>
      <c r="AN789" s="11">
        <f ca="1">IFERROR(__xludf.DUMMYFUNCTION("""COMPUTED_VALUE"""),44681)</f>
        <v>44681</v>
      </c>
      <c r="AO789" s="12">
        <f ca="1">IFERROR(VLOOKUP(AN789,koronahun!A:B,2,FALSE),"")</f>
        <v>0</v>
      </c>
      <c r="AP789" s="11">
        <f t="shared" ca="1" si="6"/>
        <v>44681</v>
      </c>
      <c r="AQ789" s="11"/>
      <c r="AR789" s="11"/>
      <c r="AS789" s="11"/>
      <c r="AT789" s="11"/>
    </row>
    <row r="790" spans="1:46" ht="13">
      <c r="A790" s="11"/>
      <c r="B790" t="str">
        <f>IFERROR(VLOOKUP($A790,koronahun!$A:$AM,2,FALSE),"")</f>
        <v/>
      </c>
      <c r="C790" t="str">
        <f>IFERROR(VLOOKUP($A790,koronahun!$A:$AM,3,FALSE),"")</f>
        <v/>
      </c>
      <c r="D790" t="str">
        <f>IFERROR(VLOOKUP($A790,koronahun!$A:$AM,4,FALSE),"")</f>
        <v/>
      </c>
      <c r="E790" t="str">
        <f>IFERROR(VLOOKUP($A790,koronahun!$A:$AM,5,FALSE),"")</f>
        <v/>
      </c>
      <c r="F790" t="str">
        <f>IFERROR(VLOOKUP($A790,koronahun!$A:$AM,6,FALSE),"")</f>
        <v/>
      </c>
      <c r="G790" s="12" t="str">
        <f>IFERROR(VLOOKUP($A790,koronahun!$A:$AM,7,FALSE),"")</f>
        <v/>
      </c>
      <c r="H790" t="str">
        <f>IFERROR(VLOOKUP($A790,koronahun!$A:$AM,8,FALSE),"")</f>
        <v/>
      </c>
      <c r="I790" s="13" t="str">
        <f>IFERROR(VLOOKUP($A790,koronahun!$A:$AM,9,FALSE),"")</f>
        <v/>
      </c>
      <c r="J790" s="13" t="str">
        <f>IFERROR(VLOOKUP($A790,koronahun!$A:$AM,10,FALSE),"")</f>
        <v/>
      </c>
      <c r="K790" s="13" t="str">
        <f>IFERROR(VLOOKUP($A790,koronahun!$A:$AM,11,FALSE),"")</f>
        <v/>
      </c>
      <c r="L790" t="str">
        <f>IFERROR(VLOOKUP($A790,koronahun!$A:$AM,12,FALSE),"")</f>
        <v/>
      </c>
      <c r="M790" s="13" t="str">
        <f>IFERROR(VLOOKUP($A790,koronahun!$A:$AM,13,FALSE),"")</f>
        <v/>
      </c>
      <c r="N790" s="13" t="str">
        <f>IFERROR(VLOOKUP($A790,koronahun!$A:$AM,14,FALSE),"")</f>
        <v/>
      </c>
      <c r="O790" t="str">
        <f>IFERROR(VLOOKUP($A790,koronahun!$A:$AM,15,FALSE),"")</f>
        <v/>
      </c>
      <c r="P790" t="str">
        <f>IFERROR(VLOOKUP($A790,koronahun!$A:$AM,16,FALSE),"")</f>
        <v/>
      </c>
      <c r="Q790" s="13" t="str">
        <f>IFERROR(VLOOKUP($A790,koronahun!$A:$AM,17,FALSE),"")</f>
        <v/>
      </c>
      <c r="R790" t="str">
        <f>IFERROR(VLOOKUP($A790,koronahun!$A:$AM,18,FALSE),"")</f>
        <v/>
      </c>
      <c r="S790" t="str">
        <f>IFERROR(VLOOKUP($A790,koronahun!$A:$AM,19,FALSE),"")</f>
        <v/>
      </c>
      <c r="T790" t="str">
        <f>IFERROR(VLOOKUP($A790,koronahun!$A:$AM,20,FALSE),"")</f>
        <v/>
      </c>
      <c r="U790" t="str">
        <f>IFERROR(VLOOKUP($A790,koronahun!$A:$AM,21,FALSE),"")</f>
        <v/>
      </c>
      <c r="V790" s="13" t="str">
        <f>IFERROR(VLOOKUP($A790,koronahun!$A:$AM,22,FALSE),"")</f>
        <v/>
      </c>
      <c r="W790" t="str">
        <f>IFERROR(VLOOKUP($A790,koronahun!$A:$AM,23,FALSE),"")</f>
        <v/>
      </c>
      <c r="X790" t="str">
        <f>IFERROR(VLOOKUP($A790,koronahun!$A:$AM,24,FALSE),"")</f>
        <v/>
      </c>
      <c r="Y790" s="14" t="str">
        <f>IFERROR(VLOOKUP($A790,koronahun!$A:$AM,25,FALSE),"")</f>
        <v/>
      </c>
      <c r="Z790" s="14" t="str">
        <f>IFERROR(VLOOKUP($A790,koronahun!$A:$AM,26,FALSE),"")</f>
        <v/>
      </c>
      <c r="AA790" s="14" t="str">
        <f>IFERROR(VLOOKUP($A790,koronahun!$A:$AM,27,FALSE),"")</f>
        <v/>
      </c>
      <c r="AB790" s="14" t="str">
        <f>IFERROR(VLOOKUP($A790,koronahun!$A:$AM,28,FALSE),"")</f>
        <v/>
      </c>
      <c r="AC790" s="14" t="str">
        <f>IFERROR(VLOOKUP($A790,koronahun!$A:$AM,29,FALSE),"")</f>
        <v/>
      </c>
      <c r="AD790" s="14" t="str">
        <f>IFERROR(VLOOKUP($A790,koronahun!$A:$AM,30,FALSE),"")</f>
        <v/>
      </c>
      <c r="AE790" s="14" t="str">
        <f>IFERROR(VLOOKUP($A790,koronahun!$A:$AM,31,FALSE),"")</f>
        <v/>
      </c>
      <c r="AF790" s="13" t="str">
        <f>IFERROR(VLOOKUP($A790,koronahun!$A:$AM,32,FALSE),"")</f>
        <v/>
      </c>
      <c r="AG790" t="str">
        <f>IFERROR(VLOOKUP($A790,koronahun!$A:$AM,33,FALSE),"")</f>
        <v/>
      </c>
      <c r="AH790" t="str">
        <f>IFERROR(VLOOKUP($A790,koronahun!$A:$AM,34,FALSE),"")</f>
        <v/>
      </c>
      <c r="AI790" t="str">
        <f>IFERROR(VLOOKUP($A790,koronahun!$A:$AM,35,FALSE),"")</f>
        <v/>
      </c>
      <c r="AJ790" t="str">
        <f>IFERROR(VLOOKUP($A790,koronahun!$A:$AM,36,FALSE),"")</f>
        <v/>
      </c>
      <c r="AK790" t="str">
        <f>IFERROR(VLOOKUP($A790,koronahun!$A:$AM,37,FALSE),"")</f>
        <v/>
      </c>
      <c r="AL790" t="str">
        <f>IFERROR(VLOOKUP($A790,koronahun!$A:$AM,38,FALSE),"")</f>
        <v/>
      </c>
      <c r="AM790" s="14" t="str">
        <f>IFERROR(VLOOKUP($A790,koronahun!$A:$AM,39,FALSE),"")</f>
        <v/>
      </c>
      <c r="AN790" s="11">
        <f ca="1">IFERROR(__xludf.DUMMYFUNCTION("""COMPUTED_VALUE"""),44682)</f>
        <v>44682</v>
      </c>
      <c r="AO790" s="12">
        <f ca="1">IFERROR(VLOOKUP(AN790,koronahun!A:B,2,FALSE),"")</f>
        <v>0</v>
      </c>
      <c r="AP790" s="11">
        <f t="shared" ca="1" si="6"/>
        <v>44682</v>
      </c>
      <c r="AQ790" s="11"/>
      <c r="AR790" s="11"/>
      <c r="AS790" s="11"/>
      <c r="AT790" s="11"/>
    </row>
    <row r="791" spans="1:46" ht="13">
      <c r="A791" s="11"/>
      <c r="B791" t="str">
        <f>IFERROR(VLOOKUP($A791,koronahun!$A:$AM,2,FALSE),"")</f>
        <v/>
      </c>
      <c r="C791" t="str">
        <f>IFERROR(VLOOKUP($A791,koronahun!$A:$AM,3,FALSE),"")</f>
        <v/>
      </c>
      <c r="D791" t="str">
        <f>IFERROR(VLOOKUP($A791,koronahun!$A:$AM,4,FALSE),"")</f>
        <v/>
      </c>
      <c r="E791" t="str">
        <f>IFERROR(VLOOKUP($A791,koronahun!$A:$AM,5,FALSE),"")</f>
        <v/>
      </c>
      <c r="F791" t="str">
        <f>IFERROR(VLOOKUP($A791,koronahun!$A:$AM,6,FALSE),"")</f>
        <v/>
      </c>
      <c r="G791" s="12" t="str">
        <f>IFERROR(VLOOKUP($A791,koronahun!$A:$AM,7,FALSE),"")</f>
        <v/>
      </c>
      <c r="H791" t="str">
        <f>IFERROR(VLOOKUP($A791,koronahun!$A:$AM,8,FALSE),"")</f>
        <v/>
      </c>
      <c r="I791" s="13" t="str">
        <f>IFERROR(VLOOKUP($A791,koronahun!$A:$AM,9,FALSE),"")</f>
        <v/>
      </c>
      <c r="J791" s="13" t="str">
        <f>IFERROR(VLOOKUP($A791,koronahun!$A:$AM,10,FALSE),"")</f>
        <v/>
      </c>
      <c r="K791" s="13" t="str">
        <f>IFERROR(VLOOKUP($A791,koronahun!$A:$AM,11,FALSE),"")</f>
        <v/>
      </c>
      <c r="L791" t="str">
        <f>IFERROR(VLOOKUP($A791,koronahun!$A:$AM,12,FALSE),"")</f>
        <v/>
      </c>
      <c r="M791" s="13" t="str">
        <f>IFERROR(VLOOKUP($A791,koronahun!$A:$AM,13,FALSE),"")</f>
        <v/>
      </c>
      <c r="N791" s="13" t="str">
        <f>IFERROR(VLOOKUP($A791,koronahun!$A:$AM,14,FALSE),"")</f>
        <v/>
      </c>
      <c r="O791" t="str">
        <f>IFERROR(VLOOKUP($A791,koronahun!$A:$AM,15,FALSE),"")</f>
        <v/>
      </c>
      <c r="P791" t="str">
        <f>IFERROR(VLOOKUP($A791,koronahun!$A:$AM,16,FALSE),"")</f>
        <v/>
      </c>
      <c r="Q791" s="13" t="str">
        <f>IFERROR(VLOOKUP($A791,koronahun!$A:$AM,17,FALSE),"")</f>
        <v/>
      </c>
      <c r="R791" t="str">
        <f>IFERROR(VLOOKUP($A791,koronahun!$A:$AM,18,FALSE),"")</f>
        <v/>
      </c>
      <c r="S791" t="str">
        <f>IFERROR(VLOOKUP($A791,koronahun!$A:$AM,19,FALSE),"")</f>
        <v/>
      </c>
      <c r="T791" t="str">
        <f>IFERROR(VLOOKUP($A791,koronahun!$A:$AM,20,FALSE),"")</f>
        <v/>
      </c>
      <c r="U791" t="str">
        <f>IFERROR(VLOOKUP($A791,koronahun!$A:$AM,21,FALSE),"")</f>
        <v/>
      </c>
      <c r="V791" s="13" t="str">
        <f>IFERROR(VLOOKUP($A791,koronahun!$A:$AM,22,FALSE),"")</f>
        <v/>
      </c>
      <c r="W791" t="str">
        <f>IFERROR(VLOOKUP($A791,koronahun!$A:$AM,23,FALSE),"")</f>
        <v/>
      </c>
      <c r="X791" t="str">
        <f>IFERROR(VLOOKUP($A791,koronahun!$A:$AM,24,FALSE),"")</f>
        <v/>
      </c>
      <c r="Y791" s="14" t="str">
        <f>IFERROR(VLOOKUP($A791,koronahun!$A:$AM,25,FALSE),"")</f>
        <v/>
      </c>
      <c r="Z791" s="14" t="str">
        <f>IFERROR(VLOOKUP($A791,koronahun!$A:$AM,26,FALSE),"")</f>
        <v/>
      </c>
      <c r="AA791" s="14" t="str">
        <f>IFERROR(VLOOKUP($A791,koronahun!$A:$AM,27,FALSE),"")</f>
        <v/>
      </c>
      <c r="AB791" s="14" t="str">
        <f>IFERROR(VLOOKUP($A791,koronahun!$A:$AM,28,FALSE),"")</f>
        <v/>
      </c>
      <c r="AC791" s="14" t="str">
        <f>IFERROR(VLOOKUP($A791,koronahun!$A:$AM,29,FALSE),"")</f>
        <v/>
      </c>
      <c r="AD791" s="14" t="str">
        <f>IFERROR(VLOOKUP($A791,koronahun!$A:$AM,30,FALSE),"")</f>
        <v/>
      </c>
      <c r="AE791" s="14" t="str">
        <f>IFERROR(VLOOKUP($A791,koronahun!$A:$AM,31,FALSE),"")</f>
        <v/>
      </c>
      <c r="AF791" s="13" t="str">
        <f>IFERROR(VLOOKUP($A791,koronahun!$A:$AM,32,FALSE),"")</f>
        <v/>
      </c>
      <c r="AG791" t="str">
        <f>IFERROR(VLOOKUP($A791,koronahun!$A:$AM,33,FALSE),"")</f>
        <v/>
      </c>
      <c r="AH791" t="str">
        <f>IFERROR(VLOOKUP($A791,koronahun!$A:$AM,34,FALSE),"")</f>
        <v/>
      </c>
      <c r="AI791" t="str">
        <f>IFERROR(VLOOKUP($A791,koronahun!$A:$AM,35,FALSE),"")</f>
        <v/>
      </c>
      <c r="AJ791" t="str">
        <f>IFERROR(VLOOKUP($A791,koronahun!$A:$AM,36,FALSE),"")</f>
        <v/>
      </c>
      <c r="AK791" t="str">
        <f>IFERROR(VLOOKUP($A791,koronahun!$A:$AM,37,FALSE),"")</f>
        <v/>
      </c>
      <c r="AL791" t="str">
        <f>IFERROR(VLOOKUP($A791,koronahun!$A:$AM,38,FALSE),"")</f>
        <v/>
      </c>
      <c r="AM791" s="14" t="str">
        <f>IFERROR(VLOOKUP($A791,koronahun!$A:$AM,39,FALSE),"")</f>
        <v/>
      </c>
      <c r="AN791" s="11">
        <f ca="1">IFERROR(__xludf.DUMMYFUNCTION("""COMPUTED_VALUE"""),44683)</f>
        <v>44683</v>
      </c>
      <c r="AO791" s="12">
        <f ca="1">IFERROR(VLOOKUP(AN791,koronahun!A:B,2,FALSE),"")</f>
        <v>1903200</v>
      </c>
      <c r="AP791" s="11">
        <f t="shared" ca="1" si="6"/>
        <v>44683</v>
      </c>
      <c r="AQ791" s="11"/>
      <c r="AR791" s="11"/>
      <c r="AS791" s="11"/>
      <c r="AT791" s="11"/>
    </row>
    <row r="792" spans="1:46" ht="13">
      <c r="A792" s="11"/>
      <c r="B792" t="str">
        <f>IFERROR(VLOOKUP($A792,koronahun!$A:$AM,2,FALSE),"")</f>
        <v/>
      </c>
      <c r="C792" t="str">
        <f>IFERROR(VLOOKUP($A792,koronahun!$A:$AM,3,FALSE),"")</f>
        <v/>
      </c>
      <c r="D792" t="str">
        <f>IFERROR(VLOOKUP($A792,koronahun!$A:$AM,4,FALSE),"")</f>
        <v/>
      </c>
      <c r="E792" t="str">
        <f>IFERROR(VLOOKUP($A792,koronahun!$A:$AM,5,FALSE),"")</f>
        <v/>
      </c>
      <c r="F792" t="str">
        <f>IFERROR(VLOOKUP($A792,koronahun!$A:$AM,6,FALSE),"")</f>
        <v/>
      </c>
      <c r="G792" s="12" t="str">
        <f>IFERROR(VLOOKUP($A792,koronahun!$A:$AM,7,FALSE),"")</f>
        <v/>
      </c>
      <c r="H792" t="str">
        <f>IFERROR(VLOOKUP($A792,koronahun!$A:$AM,8,FALSE),"")</f>
        <v/>
      </c>
      <c r="I792" s="13" t="str">
        <f>IFERROR(VLOOKUP($A792,koronahun!$A:$AM,9,FALSE),"")</f>
        <v/>
      </c>
      <c r="J792" s="13" t="str">
        <f>IFERROR(VLOOKUP($A792,koronahun!$A:$AM,10,FALSE),"")</f>
        <v/>
      </c>
      <c r="K792" s="13" t="str">
        <f>IFERROR(VLOOKUP($A792,koronahun!$A:$AM,11,FALSE),"")</f>
        <v/>
      </c>
      <c r="L792" t="str">
        <f>IFERROR(VLOOKUP($A792,koronahun!$A:$AM,12,FALSE),"")</f>
        <v/>
      </c>
      <c r="M792" s="13" t="str">
        <f>IFERROR(VLOOKUP($A792,koronahun!$A:$AM,13,FALSE),"")</f>
        <v/>
      </c>
      <c r="N792" s="13" t="str">
        <f>IFERROR(VLOOKUP($A792,koronahun!$A:$AM,14,FALSE),"")</f>
        <v/>
      </c>
      <c r="O792" t="str">
        <f>IFERROR(VLOOKUP($A792,koronahun!$A:$AM,15,FALSE),"")</f>
        <v/>
      </c>
      <c r="P792" t="str">
        <f>IFERROR(VLOOKUP($A792,koronahun!$A:$AM,16,FALSE),"")</f>
        <v/>
      </c>
      <c r="Q792" s="13" t="str">
        <f>IFERROR(VLOOKUP($A792,koronahun!$A:$AM,17,FALSE),"")</f>
        <v/>
      </c>
      <c r="R792" t="str">
        <f>IFERROR(VLOOKUP($A792,koronahun!$A:$AM,18,FALSE),"")</f>
        <v/>
      </c>
      <c r="S792" t="str">
        <f>IFERROR(VLOOKUP($A792,koronahun!$A:$AM,19,FALSE),"")</f>
        <v/>
      </c>
      <c r="T792" t="str">
        <f>IFERROR(VLOOKUP($A792,koronahun!$A:$AM,20,FALSE),"")</f>
        <v/>
      </c>
      <c r="U792" t="str">
        <f>IFERROR(VLOOKUP($A792,koronahun!$A:$AM,21,FALSE),"")</f>
        <v/>
      </c>
      <c r="V792" s="13" t="str">
        <f>IFERROR(VLOOKUP($A792,koronahun!$A:$AM,22,FALSE),"")</f>
        <v/>
      </c>
      <c r="W792" t="str">
        <f>IFERROR(VLOOKUP($A792,koronahun!$A:$AM,23,FALSE),"")</f>
        <v/>
      </c>
      <c r="X792" t="str">
        <f>IFERROR(VLOOKUP($A792,koronahun!$A:$AM,24,FALSE),"")</f>
        <v/>
      </c>
      <c r="Y792" s="14" t="str">
        <f>IFERROR(VLOOKUP($A792,koronahun!$A:$AM,25,FALSE),"")</f>
        <v/>
      </c>
      <c r="Z792" s="14" t="str">
        <f>IFERROR(VLOOKUP($A792,koronahun!$A:$AM,26,FALSE),"")</f>
        <v/>
      </c>
      <c r="AA792" s="14" t="str">
        <f>IFERROR(VLOOKUP($A792,koronahun!$A:$AM,27,FALSE),"")</f>
        <v/>
      </c>
      <c r="AB792" s="14" t="str">
        <f>IFERROR(VLOOKUP($A792,koronahun!$A:$AM,28,FALSE),"")</f>
        <v/>
      </c>
      <c r="AC792" s="14" t="str">
        <f>IFERROR(VLOOKUP($A792,koronahun!$A:$AM,29,FALSE),"")</f>
        <v/>
      </c>
      <c r="AD792" s="14" t="str">
        <f>IFERROR(VLOOKUP($A792,koronahun!$A:$AM,30,FALSE),"")</f>
        <v/>
      </c>
      <c r="AE792" s="14" t="str">
        <f>IFERROR(VLOOKUP($A792,koronahun!$A:$AM,31,FALSE),"")</f>
        <v/>
      </c>
      <c r="AF792" s="13" t="str">
        <f>IFERROR(VLOOKUP($A792,koronahun!$A:$AM,32,FALSE),"")</f>
        <v/>
      </c>
      <c r="AG792" t="str">
        <f>IFERROR(VLOOKUP($A792,koronahun!$A:$AM,33,FALSE),"")</f>
        <v/>
      </c>
      <c r="AH792" t="str">
        <f>IFERROR(VLOOKUP($A792,koronahun!$A:$AM,34,FALSE),"")</f>
        <v/>
      </c>
      <c r="AI792" t="str">
        <f>IFERROR(VLOOKUP($A792,koronahun!$A:$AM,35,FALSE),"")</f>
        <v/>
      </c>
      <c r="AJ792" t="str">
        <f>IFERROR(VLOOKUP($A792,koronahun!$A:$AM,36,FALSE),"")</f>
        <v/>
      </c>
      <c r="AK792" t="str">
        <f>IFERROR(VLOOKUP($A792,koronahun!$A:$AM,37,FALSE),"")</f>
        <v/>
      </c>
      <c r="AL792" t="str">
        <f>IFERROR(VLOOKUP($A792,koronahun!$A:$AM,38,FALSE),"")</f>
        <v/>
      </c>
      <c r="AM792" s="14" t="str">
        <f>IFERROR(VLOOKUP($A792,koronahun!$A:$AM,39,FALSE),"")</f>
        <v/>
      </c>
      <c r="AN792" s="11">
        <f ca="1">IFERROR(__xludf.DUMMYFUNCTION("""COMPUTED_VALUE"""),44684)</f>
        <v>44684</v>
      </c>
      <c r="AO792" s="12">
        <f ca="1">IFERROR(VLOOKUP(AN792,koronahun!A:B,2,FALSE),"")</f>
        <v>0</v>
      </c>
      <c r="AP792" s="11">
        <f t="shared" ca="1" si="6"/>
        <v>44684</v>
      </c>
      <c r="AQ792" s="11"/>
      <c r="AR792" s="11"/>
      <c r="AS792" s="11"/>
      <c r="AT792" s="11"/>
    </row>
    <row r="793" spans="1:46" ht="13">
      <c r="A793" s="11"/>
      <c r="B793" t="str">
        <f>IFERROR(VLOOKUP($A793,koronahun!$A:$AM,2,FALSE),"")</f>
        <v/>
      </c>
      <c r="C793" t="str">
        <f>IFERROR(VLOOKUP($A793,koronahun!$A:$AM,3,FALSE),"")</f>
        <v/>
      </c>
      <c r="D793" t="str">
        <f>IFERROR(VLOOKUP($A793,koronahun!$A:$AM,4,FALSE),"")</f>
        <v/>
      </c>
      <c r="E793" t="str">
        <f>IFERROR(VLOOKUP($A793,koronahun!$A:$AM,5,FALSE),"")</f>
        <v/>
      </c>
      <c r="F793" t="str">
        <f>IFERROR(VLOOKUP($A793,koronahun!$A:$AM,6,FALSE),"")</f>
        <v/>
      </c>
      <c r="G793" s="12" t="str">
        <f>IFERROR(VLOOKUP($A793,koronahun!$A:$AM,7,FALSE),"")</f>
        <v/>
      </c>
      <c r="H793" t="str">
        <f>IFERROR(VLOOKUP($A793,koronahun!$A:$AM,8,FALSE),"")</f>
        <v/>
      </c>
      <c r="I793" s="13" t="str">
        <f>IFERROR(VLOOKUP($A793,koronahun!$A:$AM,9,FALSE),"")</f>
        <v/>
      </c>
      <c r="J793" s="13" t="str">
        <f>IFERROR(VLOOKUP($A793,koronahun!$A:$AM,10,FALSE),"")</f>
        <v/>
      </c>
      <c r="K793" s="13" t="str">
        <f>IFERROR(VLOOKUP($A793,koronahun!$A:$AM,11,FALSE),"")</f>
        <v/>
      </c>
      <c r="L793" t="str">
        <f>IFERROR(VLOOKUP($A793,koronahun!$A:$AM,12,FALSE),"")</f>
        <v/>
      </c>
      <c r="M793" s="13" t="str">
        <f>IFERROR(VLOOKUP($A793,koronahun!$A:$AM,13,FALSE),"")</f>
        <v/>
      </c>
      <c r="N793" s="13" t="str">
        <f>IFERROR(VLOOKUP($A793,koronahun!$A:$AM,14,FALSE),"")</f>
        <v/>
      </c>
      <c r="O793" t="str">
        <f>IFERROR(VLOOKUP($A793,koronahun!$A:$AM,15,FALSE),"")</f>
        <v/>
      </c>
      <c r="P793" t="str">
        <f>IFERROR(VLOOKUP($A793,koronahun!$A:$AM,16,FALSE),"")</f>
        <v/>
      </c>
      <c r="Q793" s="13" t="str">
        <f>IFERROR(VLOOKUP($A793,koronahun!$A:$AM,17,FALSE),"")</f>
        <v/>
      </c>
      <c r="R793" t="str">
        <f>IFERROR(VLOOKUP($A793,koronahun!$A:$AM,18,FALSE),"")</f>
        <v/>
      </c>
      <c r="S793" t="str">
        <f>IFERROR(VLOOKUP($A793,koronahun!$A:$AM,19,FALSE),"")</f>
        <v/>
      </c>
      <c r="T793" t="str">
        <f>IFERROR(VLOOKUP($A793,koronahun!$A:$AM,20,FALSE),"")</f>
        <v/>
      </c>
      <c r="U793" t="str">
        <f>IFERROR(VLOOKUP($A793,koronahun!$A:$AM,21,FALSE),"")</f>
        <v/>
      </c>
      <c r="V793" s="13" t="str">
        <f>IFERROR(VLOOKUP($A793,koronahun!$A:$AM,22,FALSE),"")</f>
        <v/>
      </c>
      <c r="W793" t="str">
        <f>IFERROR(VLOOKUP($A793,koronahun!$A:$AM,23,FALSE),"")</f>
        <v/>
      </c>
      <c r="X793" t="str">
        <f>IFERROR(VLOOKUP($A793,koronahun!$A:$AM,24,FALSE),"")</f>
        <v/>
      </c>
      <c r="Y793" s="14" t="str">
        <f>IFERROR(VLOOKUP($A793,koronahun!$A:$AM,25,FALSE),"")</f>
        <v/>
      </c>
      <c r="Z793" s="14" t="str">
        <f>IFERROR(VLOOKUP($A793,koronahun!$A:$AM,26,FALSE),"")</f>
        <v/>
      </c>
      <c r="AA793" s="14" t="str">
        <f>IFERROR(VLOOKUP($A793,koronahun!$A:$AM,27,FALSE),"")</f>
        <v/>
      </c>
      <c r="AB793" s="14" t="str">
        <f>IFERROR(VLOOKUP($A793,koronahun!$A:$AM,28,FALSE),"")</f>
        <v/>
      </c>
      <c r="AC793" s="14" t="str">
        <f>IFERROR(VLOOKUP($A793,koronahun!$A:$AM,29,FALSE),"")</f>
        <v/>
      </c>
      <c r="AD793" s="14" t="str">
        <f>IFERROR(VLOOKUP($A793,koronahun!$A:$AM,30,FALSE),"")</f>
        <v/>
      </c>
      <c r="AE793" s="14" t="str">
        <f>IFERROR(VLOOKUP($A793,koronahun!$A:$AM,31,FALSE),"")</f>
        <v/>
      </c>
      <c r="AF793" s="13" t="str">
        <f>IFERROR(VLOOKUP($A793,koronahun!$A:$AM,32,FALSE),"")</f>
        <v/>
      </c>
      <c r="AG793" t="str">
        <f>IFERROR(VLOOKUP($A793,koronahun!$A:$AM,33,FALSE),"")</f>
        <v/>
      </c>
      <c r="AH793" t="str">
        <f>IFERROR(VLOOKUP($A793,koronahun!$A:$AM,34,FALSE),"")</f>
        <v/>
      </c>
      <c r="AI793" t="str">
        <f>IFERROR(VLOOKUP($A793,koronahun!$A:$AM,35,FALSE),"")</f>
        <v/>
      </c>
      <c r="AJ793" t="str">
        <f>IFERROR(VLOOKUP($A793,koronahun!$A:$AM,36,FALSE),"")</f>
        <v/>
      </c>
      <c r="AK793" t="str">
        <f>IFERROR(VLOOKUP($A793,koronahun!$A:$AM,37,FALSE),"")</f>
        <v/>
      </c>
      <c r="AL793" t="str">
        <f>IFERROR(VLOOKUP($A793,koronahun!$A:$AM,38,FALSE),"")</f>
        <v/>
      </c>
      <c r="AM793" s="14" t="str">
        <f>IFERROR(VLOOKUP($A793,koronahun!$A:$AM,39,FALSE),"")</f>
        <v/>
      </c>
      <c r="AN793" s="11">
        <f ca="1">IFERROR(__xludf.DUMMYFUNCTION("""COMPUTED_VALUE"""),44685)</f>
        <v>44685</v>
      </c>
      <c r="AO793" s="12">
        <f ca="1">IFERROR(VLOOKUP(AN793,koronahun!A:B,2,FALSE),"")</f>
        <v>0</v>
      </c>
      <c r="AP793" s="11">
        <f t="shared" ca="1" si="6"/>
        <v>44685</v>
      </c>
      <c r="AQ793" s="11"/>
      <c r="AR793" s="11"/>
      <c r="AS793" s="11"/>
      <c r="AT793" s="11"/>
    </row>
    <row r="794" spans="1:46" ht="13">
      <c r="A794" s="11"/>
      <c r="B794" t="str">
        <f>IFERROR(VLOOKUP($A794,koronahun!$A:$AM,2,FALSE),"")</f>
        <v/>
      </c>
      <c r="C794" t="str">
        <f>IFERROR(VLOOKUP($A794,koronahun!$A:$AM,3,FALSE),"")</f>
        <v/>
      </c>
      <c r="D794" t="str">
        <f>IFERROR(VLOOKUP($A794,koronahun!$A:$AM,4,FALSE),"")</f>
        <v/>
      </c>
      <c r="E794" t="str">
        <f>IFERROR(VLOOKUP($A794,koronahun!$A:$AM,5,FALSE),"")</f>
        <v/>
      </c>
      <c r="F794" t="str">
        <f>IFERROR(VLOOKUP($A794,koronahun!$A:$AM,6,FALSE),"")</f>
        <v/>
      </c>
      <c r="G794" s="12" t="str">
        <f>IFERROR(VLOOKUP($A794,koronahun!$A:$AM,7,FALSE),"")</f>
        <v/>
      </c>
      <c r="H794" t="str">
        <f>IFERROR(VLOOKUP($A794,koronahun!$A:$AM,8,FALSE),"")</f>
        <v/>
      </c>
      <c r="I794" s="13" t="str">
        <f>IFERROR(VLOOKUP($A794,koronahun!$A:$AM,9,FALSE),"")</f>
        <v/>
      </c>
      <c r="J794" s="13" t="str">
        <f>IFERROR(VLOOKUP($A794,koronahun!$A:$AM,10,FALSE),"")</f>
        <v/>
      </c>
      <c r="K794" s="13" t="str">
        <f>IFERROR(VLOOKUP($A794,koronahun!$A:$AM,11,FALSE),"")</f>
        <v/>
      </c>
      <c r="L794" t="str">
        <f>IFERROR(VLOOKUP($A794,koronahun!$A:$AM,12,FALSE),"")</f>
        <v/>
      </c>
      <c r="M794" s="13" t="str">
        <f>IFERROR(VLOOKUP($A794,koronahun!$A:$AM,13,FALSE),"")</f>
        <v/>
      </c>
      <c r="N794" s="13" t="str">
        <f>IFERROR(VLOOKUP($A794,koronahun!$A:$AM,14,FALSE),"")</f>
        <v/>
      </c>
      <c r="O794" t="str">
        <f>IFERROR(VLOOKUP($A794,koronahun!$A:$AM,15,FALSE),"")</f>
        <v/>
      </c>
      <c r="P794" t="str">
        <f>IFERROR(VLOOKUP($A794,koronahun!$A:$AM,16,FALSE),"")</f>
        <v/>
      </c>
      <c r="Q794" s="13" t="str">
        <f>IFERROR(VLOOKUP($A794,koronahun!$A:$AM,17,FALSE),"")</f>
        <v/>
      </c>
      <c r="R794" t="str">
        <f>IFERROR(VLOOKUP($A794,koronahun!$A:$AM,18,FALSE),"")</f>
        <v/>
      </c>
      <c r="S794" t="str">
        <f>IFERROR(VLOOKUP($A794,koronahun!$A:$AM,19,FALSE),"")</f>
        <v/>
      </c>
      <c r="T794" t="str">
        <f>IFERROR(VLOOKUP($A794,koronahun!$A:$AM,20,FALSE),"")</f>
        <v/>
      </c>
      <c r="U794" t="str">
        <f>IFERROR(VLOOKUP($A794,koronahun!$A:$AM,21,FALSE),"")</f>
        <v/>
      </c>
      <c r="V794" s="13" t="str">
        <f>IFERROR(VLOOKUP($A794,koronahun!$A:$AM,22,FALSE),"")</f>
        <v/>
      </c>
      <c r="W794" t="str">
        <f>IFERROR(VLOOKUP($A794,koronahun!$A:$AM,23,FALSE),"")</f>
        <v/>
      </c>
      <c r="X794" t="str">
        <f>IFERROR(VLOOKUP($A794,koronahun!$A:$AM,24,FALSE),"")</f>
        <v/>
      </c>
      <c r="Y794" s="14" t="str">
        <f>IFERROR(VLOOKUP($A794,koronahun!$A:$AM,25,FALSE),"")</f>
        <v/>
      </c>
      <c r="Z794" s="14" t="str">
        <f>IFERROR(VLOOKUP($A794,koronahun!$A:$AM,26,FALSE),"")</f>
        <v/>
      </c>
      <c r="AA794" s="14" t="str">
        <f>IFERROR(VLOOKUP($A794,koronahun!$A:$AM,27,FALSE),"")</f>
        <v/>
      </c>
      <c r="AB794" s="14" t="str">
        <f>IFERROR(VLOOKUP($A794,koronahun!$A:$AM,28,FALSE),"")</f>
        <v/>
      </c>
      <c r="AC794" s="14" t="str">
        <f>IFERROR(VLOOKUP($A794,koronahun!$A:$AM,29,FALSE),"")</f>
        <v/>
      </c>
      <c r="AD794" s="14" t="str">
        <f>IFERROR(VLOOKUP($A794,koronahun!$A:$AM,30,FALSE),"")</f>
        <v/>
      </c>
      <c r="AE794" s="14" t="str">
        <f>IFERROR(VLOOKUP($A794,koronahun!$A:$AM,31,FALSE),"")</f>
        <v/>
      </c>
      <c r="AF794" s="13" t="str">
        <f>IFERROR(VLOOKUP($A794,koronahun!$A:$AM,32,FALSE),"")</f>
        <v/>
      </c>
      <c r="AG794" t="str">
        <f>IFERROR(VLOOKUP($A794,koronahun!$A:$AM,33,FALSE),"")</f>
        <v/>
      </c>
      <c r="AH794" t="str">
        <f>IFERROR(VLOOKUP($A794,koronahun!$A:$AM,34,FALSE),"")</f>
        <v/>
      </c>
      <c r="AI794" t="str">
        <f>IFERROR(VLOOKUP($A794,koronahun!$A:$AM,35,FALSE),"")</f>
        <v/>
      </c>
      <c r="AJ794" t="str">
        <f>IFERROR(VLOOKUP($A794,koronahun!$A:$AM,36,FALSE),"")</f>
        <v/>
      </c>
      <c r="AK794" t="str">
        <f>IFERROR(VLOOKUP($A794,koronahun!$A:$AM,37,FALSE),"")</f>
        <v/>
      </c>
      <c r="AL794" t="str">
        <f>IFERROR(VLOOKUP($A794,koronahun!$A:$AM,38,FALSE),"")</f>
        <v/>
      </c>
      <c r="AM794" s="14" t="str">
        <f>IFERROR(VLOOKUP($A794,koronahun!$A:$AM,39,FALSE),"")</f>
        <v/>
      </c>
      <c r="AN794" s="11">
        <f ca="1">IFERROR(__xludf.DUMMYFUNCTION("""COMPUTED_VALUE"""),44686)</f>
        <v>44686</v>
      </c>
      <c r="AO794" s="12">
        <f ca="1">IFERROR(VLOOKUP(AN794,koronahun!A:B,2,FALSE),"")</f>
        <v>0</v>
      </c>
      <c r="AP794" s="11">
        <f t="shared" ca="1" si="6"/>
        <v>44686</v>
      </c>
      <c r="AQ794" s="11"/>
      <c r="AR794" s="11"/>
      <c r="AS794" s="11"/>
      <c r="AT794" s="11"/>
    </row>
    <row r="795" spans="1:46" ht="13">
      <c r="A795" s="11"/>
      <c r="B795" t="str">
        <f>IFERROR(VLOOKUP($A795,koronahun!$A:$AM,2,FALSE),"")</f>
        <v/>
      </c>
      <c r="C795" t="str">
        <f>IFERROR(VLOOKUP($A795,koronahun!$A:$AM,3,FALSE),"")</f>
        <v/>
      </c>
      <c r="D795" t="str">
        <f>IFERROR(VLOOKUP($A795,koronahun!$A:$AM,4,FALSE),"")</f>
        <v/>
      </c>
      <c r="E795" t="str">
        <f>IFERROR(VLOOKUP($A795,koronahun!$A:$AM,5,FALSE),"")</f>
        <v/>
      </c>
      <c r="F795" t="str">
        <f>IFERROR(VLOOKUP($A795,koronahun!$A:$AM,6,FALSE),"")</f>
        <v/>
      </c>
      <c r="G795" s="12" t="str">
        <f>IFERROR(VLOOKUP($A795,koronahun!$A:$AM,7,FALSE),"")</f>
        <v/>
      </c>
      <c r="H795" t="str">
        <f>IFERROR(VLOOKUP($A795,koronahun!$A:$AM,8,FALSE),"")</f>
        <v/>
      </c>
      <c r="I795" s="13" t="str">
        <f>IFERROR(VLOOKUP($A795,koronahun!$A:$AM,9,FALSE),"")</f>
        <v/>
      </c>
      <c r="J795" s="13" t="str">
        <f>IFERROR(VLOOKUP($A795,koronahun!$A:$AM,10,FALSE),"")</f>
        <v/>
      </c>
      <c r="K795" s="13" t="str">
        <f>IFERROR(VLOOKUP($A795,koronahun!$A:$AM,11,FALSE),"")</f>
        <v/>
      </c>
      <c r="L795" t="str">
        <f>IFERROR(VLOOKUP($A795,koronahun!$A:$AM,12,FALSE),"")</f>
        <v/>
      </c>
      <c r="M795" s="13" t="str">
        <f>IFERROR(VLOOKUP($A795,koronahun!$A:$AM,13,FALSE),"")</f>
        <v/>
      </c>
      <c r="N795" s="13" t="str">
        <f>IFERROR(VLOOKUP($A795,koronahun!$A:$AM,14,FALSE),"")</f>
        <v/>
      </c>
      <c r="O795" t="str">
        <f>IFERROR(VLOOKUP($A795,koronahun!$A:$AM,15,FALSE),"")</f>
        <v/>
      </c>
      <c r="P795" t="str">
        <f>IFERROR(VLOOKUP($A795,koronahun!$A:$AM,16,FALSE),"")</f>
        <v/>
      </c>
      <c r="Q795" s="13" t="str">
        <f>IFERROR(VLOOKUP($A795,koronahun!$A:$AM,17,FALSE),"")</f>
        <v/>
      </c>
      <c r="R795" t="str">
        <f>IFERROR(VLOOKUP($A795,koronahun!$A:$AM,18,FALSE),"")</f>
        <v/>
      </c>
      <c r="S795" t="str">
        <f>IFERROR(VLOOKUP($A795,koronahun!$A:$AM,19,FALSE),"")</f>
        <v/>
      </c>
      <c r="T795" t="str">
        <f>IFERROR(VLOOKUP($A795,koronahun!$A:$AM,20,FALSE),"")</f>
        <v/>
      </c>
      <c r="U795" t="str">
        <f>IFERROR(VLOOKUP($A795,koronahun!$A:$AM,21,FALSE),"")</f>
        <v/>
      </c>
      <c r="V795" s="13" t="str">
        <f>IFERROR(VLOOKUP($A795,koronahun!$A:$AM,22,FALSE),"")</f>
        <v/>
      </c>
      <c r="W795" t="str">
        <f>IFERROR(VLOOKUP($A795,koronahun!$A:$AM,23,FALSE),"")</f>
        <v/>
      </c>
      <c r="X795" t="str">
        <f>IFERROR(VLOOKUP($A795,koronahun!$A:$AM,24,FALSE),"")</f>
        <v/>
      </c>
      <c r="Y795" s="14" t="str">
        <f>IFERROR(VLOOKUP($A795,koronahun!$A:$AM,25,FALSE),"")</f>
        <v/>
      </c>
      <c r="Z795" s="14" t="str">
        <f>IFERROR(VLOOKUP($A795,koronahun!$A:$AM,26,FALSE),"")</f>
        <v/>
      </c>
      <c r="AA795" s="14" t="str">
        <f>IFERROR(VLOOKUP($A795,koronahun!$A:$AM,27,FALSE),"")</f>
        <v/>
      </c>
      <c r="AB795" s="14" t="str">
        <f>IFERROR(VLOOKUP($A795,koronahun!$A:$AM,28,FALSE),"")</f>
        <v/>
      </c>
      <c r="AC795" s="14" t="str">
        <f>IFERROR(VLOOKUP($A795,koronahun!$A:$AM,29,FALSE),"")</f>
        <v/>
      </c>
      <c r="AD795" s="14" t="str">
        <f>IFERROR(VLOOKUP($A795,koronahun!$A:$AM,30,FALSE),"")</f>
        <v/>
      </c>
      <c r="AE795" s="14" t="str">
        <f>IFERROR(VLOOKUP($A795,koronahun!$A:$AM,31,FALSE),"")</f>
        <v/>
      </c>
      <c r="AF795" s="13" t="str">
        <f>IFERROR(VLOOKUP($A795,koronahun!$A:$AM,32,FALSE),"")</f>
        <v/>
      </c>
      <c r="AG795" t="str">
        <f>IFERROR(VLOOKUP($A795,koronahun!$A:$AM,33,FALSE),"")</f>
        <v/>
      </c>
      <c r="AH795" t="str">
        <f>IFERROR(VLOOKUP($A795,koronahun!$A:$AM,34,FALSE),"")</f>
        <v/>
      </c>
      <c r="AI795" t="str">
        <f>IFERROR(VLOOKUP($A795,koronahun!$A:$AM,35,FALSE),"")</f>
        <v/>
      </c>
      <c r="AJ795" t="str">
        <f>IFERROR(VLOOKUP($A795,koronahun!$A:$AM,36,FALSE),"")</f>
        <v/>
      </c>
      <c r="AK795" t="str">
        <f>IFERROR(VLOOKUP($A795,koronahun!$A:$AM,37,FALSE),"")</f>
        <v/>
      </c>
      <c r="AL795" t="str">
        <f>IFERROR(VLOOKUP($A795,koronahun!$A:$AM,38,FALSE),"")</f>
        <v/>
      </c>
      <c r="AM795" s="14" t="str">
        <f>IFERROR(VLOOKUP($A795,koronahun!$A:$AM,39,FALSE),"")</f>
        <v/>
      </c>
      <c r="AN795" s="11">
        <f ca="1">IFERROR(__xludf.DUMMYFUNCTION("""COMPUTED_VALUE"""),44687)</f>
        <v>44687</v>
      </c>
      <c r="AO795" s="12">
        <f ca="1">IFERROR(VLOOKUP(AN795,koronahun!A:B,2,FALSE),"")</f>
        <v>0</v>
      </c>
      <c r="AP795" s="11">
        <f t="shared" ca="1" si="6"/>
        <v>44687</v>
      </c>
      <c r="AQ795" s="11"/>
      <c r="AR795" s="11"/>
      <c r="AS795" s="11"/>
      <c r="AT795" s="11"/>
    </row>
    <row r="796" spans="1:46" ht="13">
      <c r="A796" s="11"/>
      <c r="B796" t="str">
        <f>IFERROR(VLOOKUP($A796,koronahun!$A:$AM,2,FALSE),"")</f>
        <v/>
      </c>
      <c r="C796" t="str">
        <f>IFERROR(VLOOKUP($A796,koronahun!$A:$AM,3,FALSE),"")</f>
        <v/>
      </c>
      <c r="D796" t="str">
        <f>IFERROR(VLOOKUP($A796,koronahun!$A:$AM,4,FALSE),"")</f>
        <v/>
      </c>
      <c r="E796" t="str">
        <f>IFERROR(VLOOKUP($A796,koronahun!$A:$AM,5,FALSE),"")</f>
        <v/>
      </c>
      <c r="F796" t="str">
        <f>IFERROR(VLOOKUP($A796,koronahun!$A:$AM,6,FALSE),"")</f>
        <v/>
      </c>
      <c r="G796" s="12" t="str">
        <f>IFERROR(VLOOKUP($A796,koronahun!$A:$AM,7,FALSE),"")</f>
        <v/>
      </c>
      <c r="H796" t="str">
        <f>IFERROR(VLOOKUP($A796,koronahun!$A:$AM,8,FALSE),"")</f>
        <v/>
      </c>
      <c r="I796" s="13" t="str">
        <f>IFERROR(VLOOKUP($A796,koronahun!$A:$AM,9,FALSE),"")</f>
        <v/>
      </c>
      <c r="J796" s="13" t="str">
        <f>IFERROR(VLOOKUP($A796,koronahun!$A:$AM,10,FALSE),"")</f>
        <v/>
      </c>
      <c r="K796" s="13" t="str">
        <f>IFERROR(VLOOKUP($A796,koronahun!$A:$AM,11,FALSE),"")</f>
        <v/>
      </c>
      <c r="L796" t="str">
        <f>IFERROR(VLOOKUP($A796,koronahun!$A:$AM,12,FALSE),"")</f>
        <v/>
      </c>
      <c r="M796" s="13" t="str">
        <f>IFERROR(VLOOKUP($A796,koronahun!$A:$AM,13,FALSE),"")</f>
        <v/>
      </c>
      <c r="N796" s="13" t="str">
        <f>IFERROR(VLOOKUP($A796,koronahun!$A:$AM,14,FALSE),"")</f>
        <v/>
      </c>
      <c r="O796" t="str">
        <f>IFERROR(VLOOKUP($A796,koronahun!$A:$AM,15,FALSE),"")</f>
        <v/>
      </c>
      <c r="P796" t="str">
        <f>IFERROR(VLOOKUP($A796,koronahun!$A:$AM,16,FALSE),"")</f>
        <v/>
      </c>
      <c r="Q796" s="13" t="str">
        <f>IFERROR(VLOOKUP($A796,koronahun!$A:$AM,17,FALSE),"")</f>
        <v/>
      </c>
      <c r="R796" t="str">
        <f>IFERROR(VLOOKUP($A796,koronahun!$A:$AM,18,FALSE),"")</f>
        <v/>
      </c>
      <c r="S796" t="str">
        <f>IFERROR(VLOOKUP($A796,koronahun!$A:$AM,19,FALSE),"")</f>
        <v/>
      </c>
      <c r="T796" t="str">
        <f>IFERROR(VLOOKUP($A796,koronahun!$A:$AM,20,FALSE),"")</f>
        <v/>
      </c>
      <c r="U796" t="str">
        <f>IFERROR(VLOOKUP($A796,koronahun!$A:$AM,21,FALSE),"")</f>
        <v/>
      </c>
      <c r="V796" s="13" t="str">
        <f>IFERROR(VLOOKUP($A796,koronahun!$A:$AM,22,FALSE),"")</f>
        <v/>
      </c>
      <c r="W796" t="str">
        <f>IFERROR(VLOOKUP($A796,koronahun!$A:$AM,23,FALSE),"")</f>
        <v/>
      </c>
      <c r="X796" t="str">
        <f>IFERROR(VLOOKUP($A796,koronahun!$A:$AM,24,FALSE),"")</f>
        <v/>
      </c>
      <c r="Y796" s="14" t="str">
        <f>IFERROR(VLOOKUP($A796,koronahun!$A:$AM,25,FALSE),"")</f>
        <v/>
      </c>
      <c r="Z796" s="14" t="str">
        <f>IFERROR(VLOOKUP($A796,koronahun!$A:$AM,26,FALSE),"")</f>
        <v/>
      </c>
      <c r="AA796" s="14" t="str">
        <f>IFERROR(VLOOKUP($A796,koronahun!$A:$AM,27,FALSE),"")</f>
        <v/>
      </c>
      <c r="AB796" s="14" t="str">
        <f>IFERROR(VLOOKUP($A796,koronahun!$A:$AM,28,FALSE),"")</f>
        <v/>
      </c>
      <c r="AC796" s="14" t="str">
        <f>IFERROR(VLOOKUP($A796,koronahun!$A:$AM,29,FALSE),"")</f>
        <v/>
      </c>
      <c r="AD796" s="14" t="str">
        <f>IFERROR(VLOOKUP($A796,koronahun!$A:$AM,30,FALSE),"")</f>
        <v/>
      </c>
      <c r="AE796" s="14" t="str">
        <f>IFERROR(VLOOKUP($A796,koronahun!$A:$AM,31,FALSE),"")</f>
        <v/>
      </c>
      <c r="AF796" s="13" t="str">
        <f>IFERROR(VLOOKUP($A796,koronahun!$A:$AM,32,FALSE),"")</f>
        <v/>
      </c>
      <c r="AG796" t="str">
        <f>IFERROR(VLOOKUP($A796,koronahun!$A:$AM,33,FALSE),"")</f>
        <v/>
      </c>
      <c r="AH796" t="str">
        <f>IFERROR(VLOOKUP($A796,koronahun!$A:$AM,34,FALSE),"")</f>
        <v/>
      </c>
      <c r="AI796" t="str">
        <f>IFERROR(VLOOKUP($A796,koronahun!$A:$AM,35,FALSE),"")</f>
        <v/>
      </c>
      <c r="AJ796" t="str">
        <f>IFERROR(VLOOKUP($A796,koronahun!$A:$AM,36,FALSE),"")</f>
        <v/>
      </c>
      <c r="AK796" t="str">
        <f>IFERROR(VLOOKUP($A796,koronahun!$A:$AM,37,FALSE),"")</f>
        <v/>
      </c>
      <c r="AL796" t="str">
        <f>IFERROR(VLOOKUP($A796,koronahun!$A:$AM,38,FALSE),"")</f>
        <v/>
      </c>
      <c r="AM796" s="14" t="str">
        <f>IFERROR(VLOOKUP($A796,koronahun!$A:$AM,39,FALSE),"")</f>
        <v/>
      </c>
      <c r="AN796" s="11">
        <f ca="1">IFERROR(__xludf.DUMMYFUNCTION("""COMPUTED_VALUE"""),44688)</f>
        <v>44688</v>
      </c>
      <c r="AO796" s="12">
        <f ca="1">IFERROR(VLOOKUP(AN796,koronahun!A:B,2,FALSE),"")</f>
        <v>0</v>
      </c>
      <c r="AP796" s="11">
        <f t="shared" ca="1" si="6"/>
        <v>44688</v>
      </c>
      <c r="AQ796" s="11"/>
      <c r="AR796" s="11"/>
      <c r="AS796" s="11"/>
      <c r="AT796" s="11"/>
    </row>
    <row r="797" spans="1:46" ht="13">
      <c r="A797" s="11"/>
      <c r="B797" t="str">
        <f>IFERROR(VLOOKUP($A797,koronahun!$A:$AM,2,FALSE),"")</f>
        <v/>
      </c>
      <c r="C797" t="str">
        <f>IFERROR(VLOOKUP($A797,koronahun!$A:$AM,3,FALSE),"")</f>
        <v/>
      </c>
      <c r="D797" t="str">
        <f>IFERROR(VLOOKUP($A797,koronahun!$A:$AM,4,FALSE),"")</f>
        <v/>
      </c>
      <c r="E797" t="str">
        <f>IFERROR(VLOOKUP($A797,koronahun!$A:$AM,5,FALSE),"")</f>
        <v/>
      </c>
      <c r="F797" t="str">
        <f>IFERROR(VLOOKUP($A797,koronahun!$A:$AM,6,FALSE),"")</f>
        <v/>
      </c>
      <c r="G797" s="12" t="str">
        <f>IFERROR(VLOOKUP($A797,koronahun!$A:$AM,7,FALSE),"")</f>
        <v/>
      </c>
      <c r="H797" t="str">
        <f>IFERROR(VLOOKUP($A797,koronahun!$A:$AM,8,FALSE),"")</f>
        <v/>
      </c>
      <c r="I797" s="13" t="str">
        <f>IFERROR(VLOOKUP($A797,koronahun!$A:$AM,9,FALSE),"")</f>
        <v/>
      </c>
      <c r="J797" s="13" t="str">
        <f>IFERROR(VLOOKUP($A797,koronahun!$A:$AM,10,FALSE),"")</f>
        <v/>
      </c>
      <c r="K797" s="13" t="str">
        <f>IFERROR(VLOOKUP($A797,koronahun!$A:$AM,11,FALSE),"")</f>
        <v/>
      </c>
      <c r="L797" t="str">
        <f>IFERROR(VLOOKUP($A797,koronahun!$A:$AM,12,FALSE),"")</f>
        <v/>
      </c>
      <c r="M797" s="13" t="str">
        <f>IFERROR(VLOOKUP($A797,koronahun!$A:$AM,13,FALSE),"")</f>
        <v/>
      </c>
      <c r="N797" s="13" t="str">
        <f>IFERROR(VLOOKUP($A797,koronahun!$A:$AM,14,FALSE),"")</f>
        <v/>
      </c>
      <c r="O797" t="str">
        <f>IFERROR(VLOOKUP($A797,koronahun!$A:$AM,15,FALSE),"")</f>
        <v/>
      </c>
      <c r="P797" t="str">
        <f>IFERROR(VLOOKUP($A797,koronahun!$A:$AM,16,FALSE),"")</f>
        <v/>
      </c>
      <c r="Q797" s="13" t="str">
        <f>IFERROR(VLOOKUP($A797,koronahun!$A:$AM,17,FALSE),"")</f>
        <v/>
      </c>
      <c r="R797" t="str">
        <f>IFERROR(VLOOKUP($A797,koronahun!$A:$AM,18,FALSE),"")</f>
        <v/>
      </c>
      <c r="S797" t="str">
        <f>IFERROR(VLOOKUP($A797,koronahun!$A:$AM,19,FALSE),"")</f>
        <v/>
      </c>
      <c r="T797" t="str">
        <f>IFERROR(VLOOKUP($A797,koronahun!$A:$AM,20,FALSE),"")</f>
        <v/>
      </c>
      <c r="U797" t="str">
        <f>IFERROR(VLOOKUP($A797,koronahun!$A:$AM,21,FALSE),"")</f>
        <v/>
      </c>
      <c r="V797" s="13" t="str">
        <f>IFERROR(VLOOKUP($A797,koronahun!$A:$AM,22,FALSE),"")</f>
        <v/>
      </c>
      <c r="W797" t="str">
        <f>IFERROR(VLOOKUP($A797,koronahun!$A:$AM,23,FALSE),"")</f>
        <v/>
      </c>
      <c r="X797" t="str">
        <f>IFERROR(VLOOKUP($A797,koronahun!$A:$AM,24,FALSE),"")</f>
        <v/>
      </c>
      <c r="Y797" s="14" t="str">
        <f>IFERROR(VLOOKUP($A797,koronahun!$A:$AM,25,FALSE),"")</f>
        <v/>
      </c>
      <c r="Z797" s="14" t="str">
        <f>IFERROR(VLOOKUP($A797,koronahun!$A:$AM,26,FALSE),"")</f>
        <v/>
      </c>
      <c r="AA797" s="14" t="str">
        <f>IFERROR(VLOOKUP($A797,koronahun!$A:$AM,27,FALSE),"")</f>
        <v/>
      </c>
      <c r="AB797" s="14" t="str">
        <f>IFERROR(VLOOKUP($A797,koronahun!$A:$AM,28,FALSE),"")</f>
        <v/>
      </c>
      <c r="AC797" s="14" t="str">
        <f>IFERROR(VLOOKUP($A797,koronahun!$A:$AM,29,FALSE),"")</f>
        <v/>
      </c>
      <c r="AD797" s="14" t="str">
        <f>IFERROR(VLOOKUP($A797,koronahun!$A:$AM,30,FALSE),"")</f>
        <v/>
      </c>
      <c r="AE797" s="14" t="str">
        <f>IFERROR(VLOOKUP($A797,koronahun!$A:$AM,31,FALSE),"")</f>
        <v/>
      </c>
      <c r="AF797" s="13" t="str">
        <f>IFERROR(VLOOKUP($A797,koronahun!$A:$AM,32,FALSE),"")</f>
        <v/>
      </c>
      <c r="AG797" t="str">
        <f>IFERROR(VLOOKUP($A797,koronahun!$A:$AM,33,FALSE),"")</f>
        <v/>
      </c>
      <c r="AH797" t="str">
        <f>IFERROR(VLOOKUP($A797,koronahun!$A:$AM,34,FALSE),"")</f>
        <v/>
      </c>
      <c r="AI797" t="str">
        <f>IFERROR(VLOOKUP($A797,koronahun!$A:$AM,35,FALSE),"")</f>
        <v/>
      </c>
      <c r="AJ797" t="str">
        <f>IFERROR(VLOOKUP($A797,koronahun!$A:$AM,36,FALSE),"")</f>
        <v/>
      </c>
      <c r="AK797" t="str">
        <f>IFERROR(VLOOKUP($A797,koronahun!$A:$AM,37,FALSE),"")</f>
        <v/>
      </c>
      <c r="AL797" t="str">
        <f>IFERROR(VLOOKUP($A797,koronahun!$A:$AM,38,FALSE),"")</f>
        <v/>
      </c>
      <c r="AM797" s="14" t="str">
        <f>IFERROR(VLOOKUP($A797,koronahun!$A:$AM,39,FALSE),"")</f>
        <v/>
      </c>
      <c r="AN797" s="11">
        <f ca="1">IFERROR(__xludf.DUMMYFUNCTION("""COMPUTED_VALUE"""),44689)</f>
        <v>44689</v>
      </c>
      <c r="AO797" s="12">
        <f ca="1">IFERROR(VLOOKUP(AN797,koronahun!A:B,2,FALSE),"")</f>
        <v>0</v>
      </c>
      <c r="AP797" s="11">
        <f t="shared" ca="1" si="6"/>
        <v>44689</v>
      </c>
      <c r="AQ797" s="11"/>
      <c r="AR797" s="11"/>
      <c r="AS797" s="11"/>
      <c r="AT797" s="11"/>
    </row>
    <row r="798" spans="1:46" ht="13">
      <c r="A798" s="11"/>
      <c r="B798" t="str">
        <f>IFERROR(VLOOKUP($A798,koronahun!$A:$AM,2,FALSE),"")</f>
        <v/>
      </c>
      <c r="C798" t="str">
        <f>IFERROR(VLOOKUP($A798,koronahun!$A:$AM,3,FALSE),"")</f>
        <v/>
      </c>
      <c r="D798" t="str">
        <f>IFERROR(VLOOKUP($A798,koronahun!$A:$AM,4,FALSE),"")</f>
        <v/>
      </c>
      <c r="E798" t="str">
        <f>IFERROR(VLOOKUP($A798,koronahun!$A:$AM,5,FALSE),"")</f>
        <v/>
      </c>
      <c r="F798" t="str">
        <f>IFERROR(VLOOKUP($A798,koronahun!$A:$AM,6,FALSE),"")</f>
        <v/>
      </c>
      <c r="G798" s="12" t="str">
        <f>IFERROR(VLOOKUP($A798,koronahun!$A:$AM,7,FALSE),"")</f>
        <v/>
      </c>
      <c r="H798" t="str">
        <f>IFERROR(VLOOKUP($A798,koronahun!$A:$AM,8,FALSE),"")</f>
        <v/>
      </c>
      <c r="I798" s="13" t="str">
        <f>IFERROR(VLOOKUP($A798,koronahun!$A:$AM,9,FALSE),"")</f>
        <v/>
      </c>
      <c r="J798" s="13" t="str">
        <f>IFERROR(VLOOKUP($A798,koronahun!$A:$AM,10,FALSE),"")</f>
        <v/>
      </c>
      <c r="K798" s="13" t="str">
        <f>IFERROR(VLOOKUP($A798,koronahun!$A:$AM,11,FALSE),"")</f>
        <v/>
      </c>
      <c r="L798" t="str">
        <f>IFERROR(VLOOKUP($A798,koronahun!$A:$AM,12,FALSE),"")</f>
        <v/>
      </c>
      <c r="M798" s="13" t="str">
        <f>IFERROR(VLOOKUP($A798,koronahun!$A:$AM,13,FALSE),"")</f>
        <v/>
      </c>
      <c r="N798" s="13" t="str">
        <f>IFERROR(VLOOKUP($A798,koronahun!$A:$AM,14,FALSE),"")</f>
        <v/>
      </c>
      <c r="O798" t="str">
        <f>IFERROR(VLOOKUP($A798,koronahun!$A:$AM,15,FALSE),"")</f>
        <v/>
      </c>
      <c r="P798" t="str">
        <f>IFERROR(VLOOKUP($A798,koronahun!$A:$AM,16,FALSE),"")</f>
        <v/>
      </c>
      <c r="Q798" s="13" t="str">
        <f>IFERROR(VLOOKUP($A798,koronahun!$A:$AM,17,FALSE),"")</f>
        <v/>
      </c>
      <c r="R798" t="str">
        <f>IFERROR(VLOOKUP($A798,koronahun!$A:$AM,18,FALSE),"")</f>
        <v/>
      </c>
      <c r="S798" t="str">
        <f>IFERROR(VLOOKUP($A798,koronahun!$A:$AM,19,FALSE),"")</f>
        <v/>
      </c>
      <c r="T798" t="str">
        <f>IFERROR(VLOOKUP($A798,koronahun!$A:$AM,20,FALSE),"")</f>
        <v/>
      </c>
      <c r="U798" t="str">
        <f>IFERROR(VLOOKUP($A798,koronahun!$A:$AM,21,FALSE),"")</f>
        <v/>
      </c>
      <c r="V798" s="13" t="str">
        <f>IFERROR(VLOOKUP($A798,koronahun!$A:$AM,22,FALSE),"")</f>
        <v/>
      </c>
      <c r="W798" t="str">
        <f>IFERROR(VLOOKUP($A798,koronahun!$A:$AM,23,FALSE),"")</f>
        <v/>
      </c>
      <c r="X798" t="str">
        <f>IFERROR(VLOOKUP($A798,koronahun!$A:$AM,24,FALSE),"")</f>
        <v/>
      </c>
      <c r="Y798" s="14" t="str">
        <f>IFERROR(VLOOKUP($A798,koronahun!$A:$AM,25,FALSE),"")</f>
        <v/>
      </c>
      <c r="Z798" s="14" t="str">
        <f>IFERROR(VLOOKUP($A798,koronahun!$A:$AM,26,FALSE),"")</f>
        <v/>
      </c>
      <c r="AA798" s="14" t="str">
        <f>IFERROR(VLOOKUP($A798,koronahun!$A:$AM,27,FALSE),"")</f>
        <v/>
      </c>
      <c r="AB798" s="14" t="str">
        <f>IFERROR(VLOOKUP($A798,koronahun!$A:$AM,28,FALSE),"")</f>
        <v/>
      </c>
      <c r="AC798" s="14" t="str">
        <f>IFERROR(VLOOKUP($A798,koronahun!$A:$AM,29,FALSE),"")</f>
        <v/>
      </c>
      <c r="AD798" s="14" t="str">
        <f>IFERROR(VLOOKUP($A798,koronahun!$A:$AM,30,FALSE),"")</f>
        <v/>
      </c>
      <c r="AE798" s="14" t="str">
        <f>IFERROR(VLOOKUP($A798,koronahun!$A:$AM,31,FALSE),"")</f>
        <v/>
      </c>
      <c r="AF798" s="13" t="str">
        <f>IFERROR(VLOOKUP($A798,koronahun!$A:$AM,32,FALSE),"")</f>
        <v/>
      </c>
      <c r="AG798" t="str">
        <f>IFERROR(VLOOKUP($A798,koronahun!$A:$AM,33,FALSE),"")</f>
        <v/>
      </c>
      <c r="AH798" t="str">
        <f>IFERROR(VLOOKUP($A798,koronahun!$A:$AM,34,FALSE),"")</f>
        <v/>
      </c>
      <c r="AI798" t="str">
        <f>IFERROR(VLOOKUP($A798,koronahun!$A:$AM,35,FALSE),"")</f>
        <v/>
      </c>
      <c r="AJ798" t="str">
        <f>IFERROR(VLOOKUP($A798,koronahun!$A:$AM,36,FALSE),"")</f>
        <v/>
      </c>
      <c r="AK798" t="str">
        <f>IFERROR(VLOOKUP($A798,koronahun!$A:$AM,37,FALSE),"")</f>
        <v/>
      </c>
      <c r="AL798" t="str">
        <f>IFERROR(VLOOKUP($A798,koronahun!$A:$AM,38,FALSE),"")</f>
        <v/>
      </c>
      <c r="AM798" s="14" t="str">
        <f>IFERROR(VLOOKUP($A798,koronahun!$A:$AM,39,FALSE),"")</f>
        <v/>
      </c>
      <c r="AN798" s="11">
        <f ca="1">IFERROR(__xludf.DUMMYFUNCTION("""COMPUTED_VALUE"""),44690)</f>
        <v>44690</v>
      </c>
      <c r="AO798" s="12">
        <f ca="1">IFERROR(VLOOKUP(AN798,koronahun!A:B,2,FALSE),"")</f>
        <v>0</v>
      </c>
      <c r="AP798" s="11">
        <f t="shared" ca="1" si="6"/>
        <v>44690</v>
      </c>
      <c r="AQ798" s="11"/>
      <c r="AR798" s="11"/>
      <c r="AS798" s="11"/>
      <c r="AT798" s="11"/>
    </row>
    <row r="799" spans="1:46" ht="13">
      <c r="A799" s="11"/>
      <c r="B799" t="str">
        <f>IFERROR(VLOOKUP($A799,koronahun!$A:$AM,2,FALSE),"")</f>
        <v/>
      </c>
      <c r="C799" t="str">
        <f>IFERROR(VLOOKUP($A799,koronahun!$A:$AM,3,FALSE),"")</f>
        <v/>
      </c>
      <c r="D799" t="str">
        <f>IFERROR(VLOOKUP($A799,koronahun!$A:$AM,4,FALSE),"")</f>
        <v/>
      </c>
      <c r="E799" t="str">
        <f>IFERROR(VLOOKUP($A799,koronahun!$A:$AM,5,FALSE),"")</f>
        <v/>
      </c>
      <c r="F799" t="str">
        <f>IFERROR(VLOOKUP($A799,koronahun!$A:$AM,6,FALSE),"")</f>
        <v/>
      </c>
      <c r="G799" s="12" t="str">
        <f>IFERROR(VLOOKUP($A799,koronahun!$A:$AM,7,FALSE),"")</f>
        <v/>
      </c>
      <c r="H799" t="str">
        <f>IFERROR(VLOOKUP($A799,koronahun!$A:$AM,8,FALSE),"")</f>
        <v/>
      </c>
      <c r="I799" s="13" t="str">
        <f>IFERROR(VLOOKUP($A799,koronahun!$A:$AM,9,FALSE),"")</f>
        <v/>
      </c>
      <c r="J799" s="13" t="str">
        <f>IFERROR(VLOOKUP($A799,koronahun!$A:$AM,10,FALSE),"")</f>
        <v/>
      </c>
      <c r="K799" s="13" t="str">
        <f>IFERROR(VLOOKUP($A799,koronahun!$A:$AM,11,FALSE),"")</f>
        <v/>
      </c>
      <c r="L799" t="str">
        <f>IFERROR(VLOOKUP($A799,koronahun!$A:$AM,12,FALSE),"")</f>
        <v/>
      </c>
      <c r="M799" s="13" t="str">
        <f>IFERROR(VLOOKUP($A799,koronahun!$A:$AM,13,FALSE),"")</f>
        <v/>
      </c>
      <c r="N799" s="13" t="str">
        <f>IFERROR(VLOOKUP($A799,koronahun!$A:$AM,14,FALSE),"")</f>
        <v/>
      </c>
      <c r="O799" t="str">
        <f>IFERROR(VLOOKUP($A799,koronahun!$A:$AM,15,FALSE),"")</f>
        <v/>
      </c>
      <c r="P799" t="str">
        <f>IFERROR(VLOOKUP($A799,koronahun!$A:$AM,16,FALSE),"")</f>
        <v/>
      </c>
      <c r="Q799" s="13" t="str">
        <f>IFERROR(VLOOKUP($A799,koronahun!$A:$AM,17,FALSE),"")</f>
        <v/>
      </c>
      <c r="R799" t="str">
        <f>IFERROR(VLOOKUP($A799,koronahun!$A:$AM,18,FALSE),"")</f>
        <v/>
      </c>
      <c r="S799" t="str">
        <f>IFERROR(VLOOKUP($A799,koronahun!$A:$AM,19,FALSE),"")</f>
        <v/>
      </c>
      <c r="T799" t="str">
        <f>IFERROR(VLOOKUP($A799,koronahun!$A:$AM,20,FALSE),"")</f>
        <v/>
      </c>
      <c r="U799" t="str">
        <f>IFERROR(VLOOKUP($A799,koronahun!$A:$AM,21,FALSE),"")</f>
        <v/>
      </c>
      <c r="V799" s="13" t="str">
        <f>IFERROR(VLOOKUP($A799,koronahun!$A:$AM,22,FALSE),"")</f>
        <v/>
      </c>
      <c r="W799" t="str">
        <f>IFERROR(VLOOKUP($A799,koronahun!$A:$AM,23,FALSE),"")</f>
        <v/>
      </c>
      <c r="X799" t="str">
        <f>IFERROR(VLOOKUP($A799,koronahun!$A:$AM,24,FALSE),"")</f>
        <v/>
      </c>
      <c r="Y799" s="14" t="str">
        <f>IFERROR(VLOOKUP($A799,koronahun!$A:$AM,25,FALSE),"")</f>
        <v/>
      </c>
      <c r="Z799" s="14" t="str">
        <f>IFERROR(VLOOKUP($A799,koronahun!$A:$AM,26,FALSE),"")</f>
        <v/>
      </c>
      <c r="AA799" s="14" t="str">
        <f>IFERROR(VLOOKUP($A799,koronahun!$A:$AM,27,FALSE),"")</f>
        <v/>
      </c>
      <c r="AB799" s="14" t="str">
        <f>IFERROR(VLOOKUP($A799,koronahun!$A:$AM,28,FALSE),"")</f>
        <v/>
      </c>
      <c r="AC799" s="14" t="str">
        <f>IFERROR(VLOOKUP($A799,koronahun!$A:$AM,29,FALSE),"")</f>
        <v/>
      </c>
      <c r="AD799" s="14" t="str">
        <f>IFERROR(VLOOKUP($A799,koronahun!$A:$AM,30,FALSE),"")</f>
        <v/>
      </c>
      <c r="AE799" s="14" t="str">
        <f>IFERROR(VLOOKUP($A799,koronahun!$A:$AM,31,FALSE),"")</f>
        <v/>
      </c>
      <c r="AF799" s="13" t="str">
        <f>IFERROR(VLOOKUP($A799,koronahun!$A:$AM,32,FALSE),"")</f>
        <v/>
      </c>
      <c r="AG799" t="str">
        <f>IFERROR(VLOOKUP($A799,koronahun!$A:$AM,33,FALSE),"")</f>
        <v/>
      </c>
      <c r="AH799" t="str">
        <f>IFERROR(VLOOKUP($A799,koronahun!$A:$AM,34,FALSE),"")</f>
        <v/>
      </c>
      <c r="AI799" t="str">
        <f>IFERROR(VLOOKUP($A799,koronahun!$A:$AM,35,FALSE),"")</f>
        <v/>
      </c>
      <c r="AJ799" t="str">
        <f>IFERROR(VLOOKUP($A799,koronahun!$A:$AM,36,FALSE),"")</f>
        <v/>
      </c>
      <c r="AK799" t="str">
        <f>IFERROR(VLOOKUP($A799,koronahun!$A:$AM,37,FALSE),"")</f>
        <v/>
      </c>
      <c r="AL799" t="str">
        <f>IFERROR(VLOOKUP($A799,koronahun!$A:$AM,38,FALSE),"")</f>
        <v/>
      </c>
      <c r="AM799" s="14" t="str">
        <f>IFERROR(VLOOKUP($A799,koronahun!$A:$AM,39,FALSE),"")</f>
        <v/>
      </c>
      <c r="AN799" s="11">
        <f ca="1">IFERROR(__xludf.DUMMYFUNCTION("""COMPUTED_VALUE"""),44691)</f>
        <v>44691</v>
      </c>
      <c r="AO799" s="12">
        <f ca="1">IFERROR(VLOOKUP(AN799,koronahun!A:B,2,FALSE),"")</f>
        <v>0</v>
      </c>
      <c r="AP799" s="11">
        <f t="shared" ca="1" si="6"/>
        <v>44691</v>
      </c>
      <c r="AQ799" s="11"/>
      <c r="AR799" s="11"/>
      <c r="AS799" s="11"/>
      <c r="AT799" s="11"/>
    </row>
    <row r="800" spans="1:46" ht="13">
      <c r="A800" s="11"/>
      <c r="B800" t="str">
        <f>IFERROR(VLOOKUP($A800,koronahun!$A:$AM,2,FALSE),"")</f>
        <v/>
      </c>
      <c r="C800" t="str">
        <f>IFERROR(VLOOKUP($A800,koronahun!$A:$AM,3,FALSE),"")</f>
        <v/>
      </c>
      <c r="D800" t="str">
        <f>IFERROR(VLOOKUP($A800,koronahun!$A:$AM,4,FALSE),"")</f>
        <v/>
      </c>
      <c r="E800" t="str">
        <f>IFERROR(VLOOKUP($A800,koronahun!$A:$AM,5,FALSE),"")</f>
        <v/>
      </c>
      <c r="F800" t="str">
        <f>IFERROR(VLOOKUP($A800,koronahun!$A:$AM,6,FALSE),"")</f>
        <v/>
      </c>
      <c r="G800" s="12" t="str">
        <f>IFERROR(VLOOKUP($A800,koronahun!$A:$AM,7,FALSE),"")</f>
        <v/>
      </c>
      <c r="H800" t="str">
        <f>IFERROR(VLOOKUP($A800,koronahun!$A:$AM,8,FALSE),"")</f>
        <v/>
      </c>
      <c r="I800" s="13" t="str">
        <f>IFERROR(VLOOKUP($A800,koronahun!$A:$AM,9,FALSE),"")</f>
        <v/>
      </c>
      <c r="J800" s="13" t="str">
        <f>IFERROR(VLOOKUP($A800,koronahun!$A:$AM,10,FALSE),"")</f>
        <v/>
      </c>
      <c r="K800" s="13" t="str">
        <f>IFERROR(VLOOKUP($A800,koronahun!$A:$AM,11,FALSE),"")</f>
        <v/>
      </c>
      <c r="L800" t="str">
        <f>IFERROR(VLOOKUP($A800,koronahun!$A:$AM,12,FALSE),"")</f>
        <v/>
      </c>
      <c r="M800" s="13" t="str">
        <f>IFERROR(VLOOKUP($A800,koronahun!$A:$AM,13,FALSE),"")</f>
        <v/>
      </c>
      <c r="N800" s="13" t="str">
        <f>IFERROR(VLOOKUP($A800,koronahun!$A:$AM,14,FALSE),"")</f>
        <v/>
      </c>
      <c r="O800" t="str">
        <f>IFERROR(VLOOKUP($A800,koronahun!$A:$AM,15,FALSE),"")</f>
        <v/>
      </c>
      <c r="P800" t="str">
        <f>IFERROR(VLOOKUP($A800,koronahun!$A:$AM,16,FALSE),"")</f>
        <v/>
      </c>
      <c r="Q800" s="13" t="str">
        <f>IFERROR(VLOOKUP($A800,koronahun!$A:$AM,17,FALSE),"")</f>
        <v/>
      </c>
      <c r="R800" t="str">
        <f>IFERROR(VLOOKUP($A800,koronahun!$A:$AM,18,FALSE),"")</f>
        <v/>
      </c>
      <c r="S800" t="str">
        <f>IFERROR(VLOOKUP($A800,koronahun!$A:$AM,19,FALSE),"")</f>
        <v/>
      </c>
      <c r="T800" t="str">
        <f>IFERROR(VLOOKUP($A800,koronahun!$A:$AM,20,FALSE),"")</f>
        <v/>
      </c>
      <c r="U800" t="str">
        <f>IFERROR(VLOOKUP($A800,koronahun!$A:$AM,21,FALSE),"")</f>
        <v/>
      </c>
      <c r="V800" s="13" t="str">
        <f>IFERROR(VLOOKUP($A800,koronahun!$A:$AM,22,FALSE),"")</f>
        <v/>
      </c>
      <c r="W800" t="str">
        <f>IFERROR(VLOOKUP($A800,koronahun!$A:$AM,23,FALSE),"")</f>
        <v/>
      </c>
      <c r="X800" t="str">
        <f>IFERROR(VLOOKUP($A800,koronahun!$A:$AM,24,FALSE),"")</f>
        <v/>
      </c>
      <c r="Y800" s="14" t="str">
        <f>IFERROR(VLOOKUP($A800,koronahun!$A:$AM,25,FALSE),"")</f>
        <v/>
      </c>
      <c r="Z800" s="14" t="str">
        <f>IFERROR(VLOOKUP($A800,koronahun!$A:$AM,26,FALSE),"")</f>
        <v/>
      </c>
      <c r="AA800" s="14" t="str">
        <f>IFERROR(VLOOKUP($A800,koronahun!$A:$AM,27,FALSE),"")</f>
        <v/>
      </c>
      <c r="AB800" s="14" t="str">
        <f>IFERROR(VLOOKUP($A800,koronahun!$A:$AM,28,FALSE),"")</f>
        <v/>
      </c>
      <c r="AC800" s="14" t="str">
        <f>IFERROR(VLOOKUP($A800,koronahun!$A:$AM,29,FALSE),"")</f>
        <v/>
      </c>
      <c r="AD800" s="14" t="str">
        <f>IFERROR(VLOOKUP($A800,koronahun!$A:$AM,30,FALSE),"")</f>
        <v/>
      </c>
      <c r="AE800" s="14" t="str">
        <f>IFERROR(VLOOKUP($A800,koronahun!$A:$AM,31,FALSE),"")</f>
        <v/>
      </c>
      <c r="AF800" s="13" t="str">
        <f>IFERROR(VLOOKUP($A800,koronahun!$A:$AM,32,FALSE),"")</f>
        <v/>
      </c>
      <c r="AG800" t="str">
        <f>IFERROR(VLOOKUP($A800,koronahun!$A:$AM,33,FALSE),"")</f>
        <v/>
      </c>
      <c r="AH800" t="str">
        <f>IFERROR(VLOOKUP($A800,koronahun!$A:$AM,34,FALSE),"")</f>
        <v/>
      </c>
      <c r="AI800" t="str">
        <f>IFERROR(VLOOKUP($A800,koronahun!$A:$AM,35,FALSE),"")</f>
        <v/>
      </c>
      <c r="AJ800" t="str">
        <f>IFERROR(VLOOKUP($A800,koronahun!$A:$AM,36,FALSE),"")</f>
        <v/>
      </c>
      <c r="AK800" t="str">
        <f>IFERROR(VLOOKUP($A800,koronahun!$A:$AM,37,FALSE),"")</f>
        <v/>
      </c>
      <c r="AL800" t="str">
        <f>IFERROR(VLOOKUP($A800,koronahun!$A:$AM,38,FALSE),"")</f>
        <v/>
      </c>
      <c r="AM800" s="14" t="str">
        <f>IFERROR(VLOOKUP($A800,koronahun!$A:$AM,39,FALSE),"")</f>
        <v/>
      </c>
      <c r="AN800" s="11">
        <f ca="1">IFERROR(__xludf.DUMMYFUNCTION("""COMPUTED_VALUE"""),44692)</f>
        <v>44692</v>
      </c>
      <c r="AO800" s="12">
        <f ca="1">IFERROR(VLOOKUP(AN800,koronahun!A:B,2,FALSE),"")</f>
        <v>1909948</v>
      </c>
      <c r="AP800" s="11">
        <f t="shared" ca="1" si="6"/>
        <v>44692</v>
      </c>
      <c r="AQ800" s="11"/>
      <c r="AR800" s="11"/>
      <c r="AS800" s="11"/>
      <c r="AT800" s="11"/>
    </row>
    <row r="801" spans="1:46" ht="13">
      <c r="A801" s="11"/>
      <c r="B801" t="str">
        <f>IFERROR(VLOOKUP($A801,koronahun!$A:$AM,2,FALSE),"")</f>
        <v/>
      </c>
      <c r="C801" t="str">
        <f>IFERROR(VLOOKUP($A801,koronahun!$A:$AM,3,FALSE),"")</f>
        <v/>
      </c>
      <c r="D801" t="str">
        <f>IFERROR(VLOOKUP($A801,koronahun!$A:$AM,4,FALSE),"")</f>
        <v/>
      </c>
      <c r="E801" t="str">
        <f>IFERROR(VLOOKUP($A801,koronahun!$A:$AM,5,FALSE),"")</f>
        <v/>
      </c>
      <c r="F801" t="str">
        <f>IFERROR(VLOOKUP($A801,koronahun!$A:$AM,6,FALSE),"")</f>
        <v/>
      </c>
      <c r="G801" s="12" t="str">
        <f>IFERROR(VLOOKUP($A801,koronahun!$A:$AM,7,FALSE),"")</f>
        <v/>
      </c>
      <c r="H801" t="str">
        <f>IFERROR(VLOOKUP($A801,koronahun!$A:$AM,8,FALSE),"")</f>
        <v/>
      </c>
      <c r="I801" s="13" t="str">
        <f>IFERROR(VLOOKUP($A801,koronahun!$A:$AM,9,FALSE),"")</f>
        <v/>
      </c>
      <c r="J801" s="13" t="str">
        <f>IFERROR(VLOOKUP($A801,koronahun!$A:$AM,10,FALSE),"")</f>
        <v/>
      </c>
      <c r="K801" s="13" t="str">
        <f>IFERROR(VLOOKUP($A801,koronahun!$A:$AM,11,FALSE),"")</f>
        <v/>
      </c>
      <c r="L801" t="str">
        <f>IFERROR(VLOOKUP($A801,koronahun!$A:$AM,12,FALSE),"")</f>
        <v/>
      </c>
      <c r="M801" s="13" t="str">
        <f>IFERROR(VLOOKUP($A801,koronahun!$A:$AM,13,FALSE),"")</f>
        <v/>
      </c>
      <c r="N801" s="13" t="str">
        <f>IFERROR(VLOOKUP($A801,koronahun!$A:$AM,14,FALSE),"")</f>
        <v/>
      </c>
      <c r="O801" t="str">
        <f>IFERROR(VLOOKUP($A801,koronahun!$A:$AM,15,FALSE),"")</f>
        <v/>
      </c>
      <c r="P801" t="str">
        <f>IFERROR(VLOOKUP($A801,koronahun!$A:$AM,16,FALSE),"")</f>
        <v/>
      </c>
      <c r="Q801" s="13" t="str">
        <f>IFERROR(VLOOKUP($A801,koronahun!$A:$AM,17,FALSE),"")</f>
        <v/>
      </c>
      <c r="R801" t="str">
        <f>IFERROR(VLOOKUP($A801,koronahun!$A:$AM,18,FALSE),"")</f>
        <v/>
      </c>
      <c r="S801" t="str">
        <f>IFERROR(VLOOKUP($A801,koronahun!$A:$AM,19,FALSE),"")</f>
        <v/>
      </c>
      <c r="T801" t="str">
        <f>IFERROR(VLOOKUP($A801,koronahun!$A:$AM,20,FALSE),"")</f>
        <v/>
      </c>
      <c r="U801" t="str">
        <f>IFERROR(VLOOKUP($A801,koronahun!$A:$AM,21,FALSE),"")</f>
        <v/>
      </c>
      <c r="V801" s="13" t="str">
        <f>IFERROR(VLOOKUP($A801,koronahun!$A:$AM,22,FALSE),"")</f>
        <v/>
      </c>
      <c r="W801" t="str">
        <f>IFERROR(VLOOKUP($A801,koronahun!$A:$AM,23,FALSE),"")</f>
        <v/>
      </c>
      <c r="X801" t="str">
        <f>IFERROR(VLOOKUP($A801,koronahun!$A:$AM,24,FALSE),"")</f>
        <v/>
      </c>
      <c r="Y801" s="14" t="str">
        <f>IFERROR(VLOOKUP($A801,koronahun!$A:$AM,25,FALSE),"")</f>
        <v/>
      </c>
      <c r="Z801" s="14" t="str">
        <f>IFERROR(VLOOKUP($A801,koronahun!$A:$AM,26,FALSE),"")</f>
        <v/>
      </c>
      <c r="AA801" s="14" t="str">
        <f>IFERROR(VLOOKUP($A801,koronahun!$A:$AM,27,FALSE),"")</f>
        <v/>
      </c>
      <c r="AB801" s="14" t="str">
        <f>IFERROR(VLOOKUP($A801,koronahun!$A:$AM,28,FALSE),"")</f>
        <v/>
      </c>
      <c r="AC801" s="14" t="str">
        <f>IFERROR(VLOOKUP($A801,koronahun!$A:$AM,29,FALSE),"")</f>
        <v/>
      </c>
      <c r="AD801" s="14" t="str">
        <f>IFERROR(VLOOKUP($A801,koronahun!$A:$AM,30,FALSE),"")</f>
        <v/>
      </c>
      <c r="AE801" s="14" t="str">
        <f>IFERROR(VLOOKUP($A801,koronahun!$A:$AM,31,FALSE),"")</f>
        <v/>
      </c>
      <c r="AF801" s="13" t="str">
        <f>IFERROR(VLOOKUP($A801,koronahun!$A:$AM,32,FALSE),"")</f>
        <v/>
      </c>
      <c r="AG801" t="str">
        <f>IFERROR(VLOOKUP($A801,koronahun!$A:$AM,33,FALSE),"")</f>
        <v/>
      </c>
      <c r="AH801" t="str">
        <f>IFERROR(VLOOKUP($A801,koronahun!$A:$AM,34,FALSE),"")</f>
        <v/>
      </c>
      <c r="AI801" t="str">
        <f>IFERROR(VLOOKUP($A801,koronahun!$A:$AM,35,FALSE),"")</f>
        <v/>
      </c>
      <c r="AJ801" t="str">
        <f>IFERROR(VLOOKUP($A801,koronahun!$A:$AM,36,FALSE),"")</f>
        <v/>
      </c>
      <c r="AK801" t="str">
        <f>IFERROR(VLOOKUP($A801,koronahun!$A:$AM,37,FALSE),"")</f>
        <v/>
      </c>
      <c r="AL801" t="str">
        <f>IFERROR(VLOOKUP($A801,koronahun!$A:$AM,38,FALSE),"")</f>
        <v/>
      </c>
      <c r="AM801" s="14" t="str">
        <f>IFERROR(VLOOKUP($A801,koronahun!$A:$AM,39,FALSE),"")</f>
        <v/>
      </c>
      <c r="AN801" s="11">
        <f ca="1">IFERROR(__xludf.DUMMYFUNCTION("""COMPUTED_VALUE"""),44693)</f>
        <v>44693</v>
      </c>
      <c r="AO801" s="12">
        <f ca="1">IFERROR(VLOOKUP(AN801,koronahun!A:B,2,FALSE),"")</f>
        <v>0</v>
      </c>
      <c r="AP801" s="11">
        <f t="shared" ca="1" si="6"/>
        <v>44693</v>
      </c>
      <c r="AQ801" s="11"/>
      <c r="AR801" s="11"/>
      <c r="AS801" s="11"/>
      <c r="AT801" s="11"/>
    </row>
    <row r="802" spans="1:46" ht="13">
      <c r="A802" s="11"/>
      <c r="B802" t="str">
        <f>IFERROR(VLOOKUP($A802,koronahun!$A:$AM,2,FALSE),"")</f>
        <v/>
      </c>
      <c r="C802" t="str">
        <f>IFERROR(VLOOKUP($A802,koronahun!$A:$AM,3,FALSE),"")</f>
        <v/>
      </c>
      <c r="D802" t="str">
        <f>IFERROR(VLOOKUP($A802,koronahun!$A:$AM,4,FALSE),"")</f>
        <v/>
      </c>
      <c r="E802" t="str">
        <f>IFERROR(VLOOKUP($A802,koronahun!$A:$AM,5,FALSE),"")</f>
        <v/>
      </c>
      <c r="F802" t="str">
        <f>IFERROR(VLOOKUP($A802,koronahun!$A:$AM,6,FALSE),"")</f>
        <v/>
      </c>
      <c r="G802" s="12" t="str">
        <f>IFERROR(VLOOKUP($A802,koronahun!$A:$AM,7,FALSE),"")</f>
        <v/>
      </c>
      <c r="H802" t="str">
        <f>IFERROR(VLOOKUP($A802,koronahun!$A:$AM,8,FALSE),"")</f>
        <v/>
      </c>
      <c r="I802" s="13" t="str">
        <f>IFERROR(VLOOKUP($A802,koronahun!$A:$AM,9,FALSE),"")</f>
        <v/>
      </c>
      <c r="J802" s="13" t="str">
        <f>IFERROR(VLOOKUP($A802,koronahun!$A:$AM,10,FALSE),"")</f>
        <v/>
      </c>
      <c r="K802" s="13" t="str">
        <f>IFERROR(VLOOKUP($A802,koronahun!$A:$AM,11,FALSE),"")</f>
        <v/>
      </c>
      <c r="L802" t="str">
        <f>IFERROR(VLOOKUP($A802,koronahun!$A:$AM,12,FALSE),"")</f>
        <v/>
      </c>
      <c r="M802" s="13" t="str">
        <f>IFERROR(VLOOKUP($A802,koronahun!$A:$AM,13,FALSE),"")</f>
        <v/>
      </c>
      <c r="N802" s="13" t="str">
        <f>IFERROR(VLOOKUP($A802,koronahun!$A:$AM,14,FALSE),"")</f>
        <v/>
      </c>
      <c r="O802" t="str">
        <f>IFERROR(VLOOKUP($A802,koronahun!$A:$AM,15,FALSE),"")</f>
        <v/>
      </c>
      <c r="P802" t="str">
        <f>IFERROR(VLOOKUP($A802,koronahun!$A:$AM,16,FALSE),"")</f>
        <v/>
      </c>
      <c r="Q802" s="13" t="str">
        <f>IFERROR(VLOOKUP($A802,koronahun!$A:$AM,17,FALSE),"")</f>
        <v/>
      </c>
      <c r="R802" t="str">
        <f>IFERROR(VLOOKUP($A802,koronahun!$A:$AM,18,FALSE),"")</f>
        <v/>
      </c>
      <c r="S802" t="str">
        <f>IFERROR(VLOOKUP($A802,koronahun!$A:$AM,19,FALSE),"")</f>
        <v/>
      </c>
      <c r="T802" t="str">
        <f>IFERROR(VLOOKUP($A802,koronahun!$A:$AM,20,FALSE),"")</f>
        <v/>
      </c>
      <c r="U802" t="str">
        <f>IFERROR(VLOOKUP($A802,koronahun!$A:$AM,21,FALSE),"")</f>
        <v/>
      </c>
      <c r="V802" s="13" t="str">
        <f>IFERROR(VLOOKUP($A802,koronahun!$A:$AM,22,FALSE),"")</f>
        <v/>
      </c>
      <c r="W802" t="str">
        <f>IFERROR(VLOOKUP($A802,koronahun!$A:$AM,23,FALSE),"")</f>
        <v/>
      </c>
      <c r="X802" t="str">
        <f>IFERROR(VLOOKUP($A802,koronahun!$A:$AM,24,FALSE),"")</f>
        <v/>
      </c>
      <c r="Y802" s="14" t="str">
        <f>IFERROR(VLOOKUP($A802,koronahun!$A:$AM,25,FALSE),"")</f>
        <v/>
      </c>
      <c r="Z802" s="14" t="str">
        <f>IFERROR(VLOOKUP($A802,koronahun!$A:$AM,26,FALSE),"")</f>
        <v/>
      </c>
      <c r="AA802" s="14" t="str">
        <f>IFERROR(VLOOKUP($A802,koronahun!$A:$AM,27,FALSE),"")</f>
        <v/>
      </c>
      <c r="AB802" s="14" t="str">
        <f>IFERROR(VLOOKUP($A802,koronahun!$A:$AM,28,FALSE),"")</f>
        <v/>
      </c>
      <c r="AC802" s="14" t="str">
        <f>IFERROR(VLOOKUP($A802,koronahun!$A:$AM,29,FALSE),"")</f>
        <v/>
      </c>
      <c r="AD802" s="14" t="str">
        <f>IFERROR(VLOOKUP($A802,koronahun!$A:$AM,30,FALSE),"")</f>
        <v/>
      </c>
      <c r="AE802" s="14" t="str">
        <f>IFERROR(VLOOKUP($A802,koronahun!$A:$AM,31,FALSE),"")</f>
        <v/>
      </c>
      <c r="AF802" s="13" t="str">
        <f>IFERROR(VLOOKUP($A802,koronahun!$A:$AM,32,FALSE),"")</f>
        <v/>
      </c>
      <c r="AG802" t="str">
        <f>IFERROR(VLOOKUP($A802,koronahun!$A:$AM,33,FALSE),"")</f>
        <v/>
      </c>
      <c r="AH802" t="str">
        <f>IFERROR(VLOOKUP($A802,koronahun!$A:$AM,34,FALSE),"")</f>
        <v/>
      </c>
      <c r="AI802" t="str">
        <f>IFERROR(VLOOKUP($A802,koronahun!$A:$AM,35,FALSE),"")</f>
        <v/>
      </c>
      <c r="AJ802" t="str">
        <f>IFERROR(VLOOKUP($A802,koronahun!$A:$AM,36,FALSE),"")</f>
        <v/>
      </c>
      <c r="AK802" t="str">
        <f>IFERROR(VLOOKUP($A802,koronahun!$A:$AM,37,FALSE),"")</f>
        <v/>
      </c>
      <c r="AL802" t="str">
        <f>IFERROR(VLOOKUP($A802,koronahun!$A:$AM,38,FALSE),"")</f>
        <v/>
      </c>
      <c r="AM802" s="14" t="str">
        <f>IFERROR(VLOOKUP($A802,koronahun!$A:$AM,39,FALSE),"")</f>
        <v/>
      </c>
      <c r="AN802" s="11">
        <f ca="1">IFERROR(__xludf.DUMMYFUNCTION("""COMPUTED_VALUE"""),44694)</f>
        <v>44694</v>
      </c>
      <c r="AO802" s="12">
        <f ca="1">IFERROR(VLOOKUP(AN802,koronahun!A:B,2,FALSE),"")</f>
        <v>0</v>
      </c>
      <c r="AP802" s="11">
        <f t="shared" ca="1" si="6"/>
        <v>44694</v>
      </c>
      <c r="AQ802" s="11"/>
      <c r="AR802" s="11"/>
      <c r="AS802" s="11"/>
      <c r="AT802" s="11"/>
    </row>
    <row r="803" spans="1:46" ht="13">
      <c r="A803" s="11"/>
      <c r="B803" t="str">
        <f>IFERROR(VLOOKUP($A803,koronahun!$A:$AM,2,FALSE),"")</f>
        <v/>
      </c>
      <c r="C803" t="str">
        <f>IFERROR(VLOOKUP($A803,koronahun!$A:$AM,3,FALSE),"")</f>
        <v/>
      </c>
      <c r="D803" t="str">
        <f>IFERROR(VLOOKUP($A803,koronahun!$A:$AM,4,FALSE),"")</f>
        <v/>
      </c>
      <c r="E803" t="str">
        <f>IFERROR(VLOOKUP($A803,koronahun!$A:$AM,5,FALSE),"")</f>
        <v/>
      </c>
      <c r="F803" t="str">
        <f>IFERROR(VLOOKUP($A803,koronahun!$A:$AM,6,FALSE),"")</f>
        <v/>
      </c>
      <c r="G803" s="12" t="str">
        <f>IFERROR(VLOOKUP($A803,koronahun!$A:$AM,7,FALSE),"")</f>
        <v/>
      </c>
      <c r="H803" t="str">
        <f>IFERROR(VLOOKUP($A803,koronahun!$A:$AM,8,FALSE),"")</f>
        <v/>
      </c>
      <c r="I803" s="13" t="str">
        <f>IFERROR(VLOOKUP($A803,koronahun!$A:$AM,9,FALSE),"")</f>
        <v/>
      </c>
      <c r="J803" s="13" t="str">
        <f>IFERROR(VLOOKUP($A803,koronahun!$A:$AM,10,FALSE),"")</f>
        <v/>
      </c>
      <c r="K803" s="13" t="str">
        <f>IFERROR(VLOOKUP($A803,koronahun!$A:$AM,11,FALSE),"")</f>
        <v/>
      </c>
      <c r="L803" t="str">
        <f>IFERROR(VLOOKUP($A803,koronahun!$A:$AM,12,FALSE),"")</f>
        <v/>
      </c>
      <c r="M803" s="13" t="str">
        <f>IFERROR(VLOOKUP($A803,koronahun!$A:$AM,13,FALSE),"")</f>
        <v/>
      </c>
      <c r="N803" s="13" t="str">
        <f>IFERROR(VLOOKUP($A803,koronahun!$A:$AM,14,FALSE),"")</f>
        <v/>
      </c>
      <c r="O803" t="str">
        <f>IFERROR(VLOOKUP($A803,koronahun!$A:$AM,15,FALSE),"")</f>
        <v/>
      </c>
      <c r="P803" t="str">
        <f>IFERROR(VLOOKUP($A803,koronahun!$A:$AM,16,FALSE),"")</f>
        <v/>
      </c>
      <c r="Q803" s="13" t="str">
        <f>IFERROR(VLOOKUP($A803,koronahun!$A:$AM,17,FALSE),"")</f>
        <v/>
      </c>
      <c r="R803" t="str">
        <f>IFERROR(VLOOKUP($A803,koronahun!$A:$AM,18,FALSE),"")</f>
        <v/>
      </c>
      <c r="S803" t="str">
        <f>IFERROR(VLOOKUP($A803,koronahun!$A:$AM,19,FALSE),"")</f>
        <v/>
      </c>
      <c r="T803" t="str">
        <f>IFERROR(VLOOKUP($A803,koronahun!$A:$AM,20,FALSE),"")</f>
        <v/>
      </c>
      <c r="U803" t="str">
        <f>IFERROR(VLOOKUP($A803,koronahun!$A:$AM,21,FALSE),"")</f>
        <v/>
      </c>
      <c r="V803" s="13" t="str">
        <f>IFERROR(VLOOKUP($A803,koronahun!$A:$AM,22,FALSE),"")</f>
        <v/>
      </c>
      <c r="W803" t="str">
        <f>IFERROR(VLOOKUP($A803,koronahun!$A:$AM,23,FALSE),"")</f>
        <v/>
      </c>
      <c r="X803" t="str">
        <f>IFERROR(VLOOKUP($A803,koronahun!$A:$AM,24,FALSE),"")</f>
        <v/>
      </c>
      <c r="Y803" s="14" t="str">
        <f>IFERROR(VLOOKUP($A803,koronahun!$A:$AM,25,FALSE),"")</f>
        <v/>
      </c>
      <c r="Z803" s="14" t="str">
        <f>IFERROR(VLOOKUP($A803,koronahun!$A:$AM,26,FALSE),"")</f>
        <v/>
      </c>
      <c r="AA803" s="14" t="str">
        <f>IFERROR(VLOOKUP($A803,koronahun!$A:$AM,27,FALSE),"")</f>
        <v/>
      </c>
      <c r="AB803" s="14" t="str">
        <f>IFERROR(VLOOKUP($A803,koronahun!$A:$AM,28,FALSE),"")</f>
        <v/>
      </c>
      <c r="AC803" s="14" t="str">
        <f>IFERROR(VLOOKUP($A803,koronahun!$A:$AM,29,FALSE),"")</f>
        <v/>
      </c>
      <c r="AD803" s="14" t="str">
        <f>IFERROR(VLOOKUP($A803,koronahun!$A:$AM,30,FALSE),"")</f>
        <v/>
      </c>
      <c r="AE803" s="14" t="str">
        <f>IFERROR(VLOOKUP($A803,koronahun!$A:$AM,31,FALSE),"")</f>
        <v/>
      </c>
      <c r="AF803" s="13" t="str">
        <f>IFERROR(VLOOKUP($A803,koronahun!$A:$AM,32,FALSE),"")</f>
        <v/>
      </c>
      <c r="AG803" t="str">
        <f>IFERROR(VLOOKUP($A803,koronahun!$A:$AM,33,FALSE),"")</f>
        <v/>
      </c>
      <c r="AH803" t="str">
        <f>IFERROR(VLOOKUP($A803,koronahun!$A:$AM,34,FALSE),"")</f>
        <v/>
      </c>
      <c r="AI803" t="str">
        <f>IFERROR(VLOOKUP($A803,koronahun!$A:$AM,35,FALSE),"")</f>
        <v/>
      </c>
      <c r="AJ803" t="str">
        <f>IFERROR(VLOOKUP($A803,koronahun!$A:$AM,36,FALSE),"")</f>
        <v/>
      </c>
      <c r="AK803" t="str">
        <f>IFERROR(VLOOKUP($A803,koronahun!$A:$AM,37,FALSE),"")</f>
        <v/>
      </c>
      <c r="AL803" t="str">
        <f>IFERROR(VLOOKUP($A803,koronahun!$A:$AM,38,FALSE),"")</f>
        <v/>
      </c>
      <c r="AM803" s="14" t="str">
        <f>IFERROR(VLOOKUP($A803,koronahun!$A:$AM,39,FALSE),"")</f>
        <v/>
      </c>
      <c r="AN803" s="11">
        <f ca="1">IFERROR(__xludf.DUMMYFUNCTION("""COMPUTED_VALUE"""),44695)</f>
        <v>44695</v>
      </c>
      <c r="AO803" s="12">
        <f ca="1">IFERROR(VLOOKUP(AN803,koronahun!A:B,2,FALSE),"")</f>
        <v>0</v>
      </c>
      <c r="AP803" s="11">
        <f t="shared" ca="1" si="6"/>
        <v>44695</v>
      </c>
      <c r="AQ803" s="11"/>
      <c r="AR803" s="11"/>
      <c r="AS803" s="11"/>
      <c r="AT803" s="11"/>
    </row>
    <row r="804" spans="1:46" ht="13">
      <c r="A804" s="11"/>
      <c r="B804" t="str">
        <f>IFERROR(VLOOKUP($A804,koronahun!$A:$AM,2,FALSE),"")</f>
        <v/>
      </c>
      <c r="C804" t="str">
        <f>IFERROR(VLOOKUP($A804,koronahun!$A:$AM,3,FALSE),"")</f>
        <v/>
      </c>
      <c r="D804" t="str">
        <f>IFERROR(VLOOKUP($A804,koronahun!$A:$AM,4,FALSE),"")</f>
        <v/>
      </c>
      <c r="E804" t="str">
        <f>IFERROR(VLOOKUP($A804,koronahun!$A:$AM,5,FALSE),"")</f>
        <v/>
      </c>
      <c r="F804" t="str">
        <f>IFERROR(VLOOKUP($A804,koronahun!$A:$AM,6,FALSE),"")</f>
        <v/>
      </c>
      <c r="G804" s="12" t="str">
        <f>IFERROR(VLOOKUP($A804,koronahun!$A:$AM,7,FALSE),"")</f>
        <v/>
      </c>
      <c r="H804" t="str">
        <f>IFERROR(VLOOKUP($A804,koronahun!$A:$AM,8,FALSE),"")</f>
        <v/>
      </c>
      <c r="I804" s="13" t="str">
        <f>IFERROR(VLOOKUP($A804,koronahun!$A:$AM,9,FALSE),"")</f>
        <v/>
      </c>
      <c r="J804" s="13" t="str">
        <f>IFERROR(VLOOKUP($A804,koronahun!$A:$AM,10,FALSE),"")</f>
        <v/>
      </c>
      <c r="K804" s="13" t="str">
        <f>IFERROR(VLOOKUP($A804,koronahun!$A:$AM,11,FALSE),"")</f>
        <v/>
      </c>
      <c r="L804" t="str">
        <f>IFERROR(VLOOKUP($A804,koronahun!$A:$AM,12,FALSE),"")</f>
        <v/>
      </c>
      <c r="M804" s="13" t="str">
        <f>IFERROR(VLOOKUP($A804,koronahun!$A:$AM,13,FALSE),"")</f>
        <v/>
      </c>
      <c r="N804" s="13" t="str">
        <f>IFERROR(VLOOKUP($A804,koronahun!$A:$AM,14,FALSE),"")</f>
        <v/>
      </c>
      <c r="O804" t="str">
        <f>IFERROR(VLOOKUP($A804,koronahun!$A:$AM,15,FALSE),"")</f>
        <v/>
      </c>
      <c r="P804" t="str">
        <f>IFERROR(VLOOKUP($A804,koronahun!$A:$AM,16,FALSE),"")</f>
        <v/>
      </c>
      <c r="Q804" s="13" t="str">
        <f>IFERROR(VLOOKUP($A804,koronahun!$A:$AM,17,FALSE),"")</f>
        <v/>
      </c>
      <c r="R804" t="str">
        <f>IFERROR(VLOOKUP($A804,koronahun!$A:$AM,18,FALSE),"")</f>
        <v/>
      </c>
      <c r="S804" t="str">
        <f>IFERROR(VLOOKUP($A804,koronahun!$A:$AM,19,FALSE),"")</f>
        <v/>
      </c>
      <c r="T804" t="str">
        <f>IFERROR(VLOOKUP($A804,koronahun!$A:$AM,20,FALSE),"")</f>
        <v/>
      </c>
      <c r="U804" t="str">
        <f>IFERROR(VLOOKUP($A804,koronahun!$A:$AM,21,FALSE),"")</f>
        <v/>
      </c>
      <c r="V804" s="13" t="str">
        <f>IFERROR(VLOOKUP($A804,koronahun!$A:$AM,22,FALSE),"")</f>
        <v/>
      </c>
      <c r="W804" t="str">
        <f>IFERROR(VLOOKUP($A804,koronahun!$A:$AM,23,FALSE),"")</f>
        <v/>
      </c>
      <c r="X804" t="str">
        <f>IFERROR(VLOOKUP($A804,koronahun!$A:$AM,24,FALSE),"")</f>
        <v/>
      </c>
      <c r="Y804" s="14" t="str">
        <f>IFERROR(VLOOKUP($A804,koronahun!$A:$AM,25,FALSE),"")</f>
        <v/>
      </c>
      <c r="Z804" s="14" t="str">
        <f>IFERROR(VLOOKUP($A804,koronahun!$A:$AM,26,FALSE),"")</f>
        <v/>
      </c>
      <c r="AA804" s="14" t="str">
        <f>IFERROR(VLOOKUP($A804,koronahun!$A:$AM,27,FALSE),"")</f>
        <v/>
      </c>
      <c r="AB804" s="14" t="str">
        <f>IFERROR(VLOOKUP($A804,koronahun!$A:$AM,28,FALSE),"")</f>
        <v/>
      </c>
      <c r="AC804" s="14" t="str">
        <f>IFERROR(VLOOKUP($A804,koronahun!$A:$AM,29,FALSE),"")</f>
        <v/>
      </c>
      <c r="AD804" s="14" t="str">
        <f>IFERROR(VLOOKUP($A804,koronahun!$A:$AM,30,FALSE),"")</f>
        <v/>
      </c>
      <c r="AE804" s="14" t="str">
        <f>IFERROR(VLOOKUP($A804,koronahun!$A:$AM,31,FALSE),"")</f>
        <v/>
      </c>
      <c r="AF804" s="13" t="str">
        <f>IFERROR(VLOOKUP($A804,koronahun!$A:$AM,32,FALSE),"")</f>
        <v/>
      </c>
      <c r="AG804" t="str">
        <f>IFERROR(VLOOKUP($A804,koronahun!$A:$AM,33,FALSE),"")</f>
        <v/>
      </c>
      <c r="AH804" t="str">
        <f>IFERROR(VLOOKUP($A804,koronahun!$A:$AM,34,FALSE),"")</f>
        <v/>
      </c>
      <c r="AI804" t="str">
        <f>IFERROR(VLOOKUP($A804,koronahun!$A:$AM,35,FALSE),"")</f>
        <v/>
      </c>
      <c r="AJ804" t="str">
        <f>IFERROR(VLOOKUP($A804,koronahun!$A:$AM,36,FALSE),"")</f>
        <v/>
      </c>
      <c r="AK804" t="str">
        <f>IFERROR(VLOOKUP($A804,koronahun!$A:$AM,37,FALSE),"")</f>
        <v/>
      </c>
      <c r="AL804" t="str">
        <f>IFERROR(VLOOKUP($A804,koronahun!$A:$AM,38,FALSE),"")</f>
        <v/>
      </c>
      <c r="AM804" s="14" t="str">
        <f>IFERROR(VLOOKUP($A804,koronahun!$A:$AM,39,FALSE),"")</f>
        <v/>
      </c>
      <c r="AN804" s="11">
        <f ca="1">IFERROR(__xludf.DUMMYFUNCTION("""COMPUTED_VALUE"""),44696)</f>
        <v>44696</v>
      </c>
      <c r="AO804" s="12">
        <f ca="1">IFERROR(VLOOKUP(AN804,koronahun!A:B,2,FALSE),"")</f>
        <v>0</v>
      </c>
      <c r="AP804" s="11">
        <f t="shared" ca="1" si="6"/>
        <v>44696</v>
      </c>
      <c r="AQ804" s="11"/>
      <c r="AR804" s="11"/>
      <c r="AS804" s="11"/>
      <c r="AT804" s="11"/>
    </row>
    <row r="805" spans="1:46" ht="13">
      <c r="A805" s="11"/>
      <c r="B805" t="str">
        <f>IFERROR(VLOOKUP($A805,koronahun!$A:$AM,2,FALSE),"")</f>
        <v/>
      </c>
      <c r="C805" t="str">
        <f>IFERROR(VLOOKUP($A805,koronahun!$A:$AM,3,FALSE),"")</f>
        <v/>
      </c>
      <c r="D805" t="str">
        <f>IFERROR(VLOOKUP($A805,koronahun!$A:$AM,4,FALSE),"")</f>
        <v/>
      </c>
      <c r="E805" t="str">
        <f>IFERROR(VLOOKUP($A805,koronahun!$A:$AM,5,FALSE),"")</f>
        <v/>
      </c>
      <c r="F805" t="str">
        <f>IFERROR(VLOOKUP($A805,koronahun!$A:$AM,6,FALSE),"")</f>
        <v/>
      </c>
      <c r="G805" s="12" t="str">
        <f>IFERROR(VLOOKUP($A805,koronahun!$A:$AM,7,FALSE),"")</f>
        <v/>
      </c>
      <c r="H805" t="str">
        <f>IFERROR(VLOOKUP($A805,koronahun!$A:$AM,8,FALSE),"")</f>
        <v/>
      </c>
      <c r="I805" s="13" t="str">
        <f>IFERROR(VLOOKUP($A805,koronahun!$A:$AM,9,FALSE),"")</f>
        <v/>
      </c>
      <c r="J805" s="13" t="str">
        <f>IFERROR(VLOOKUP($A805,koronahun!$A:$AM,10,FALSE),"")</f>
        <v/>
      </c>
      <c r="K805" s="13" t="str">
        <f>IFERROR(VLOOKUP($A805,koronahun!$A:$AM,11,FALSE),"")</f>
        <v/>
      </c>
      <c r="L805" t="str">
        <f>IFERROR(VLOOKUP($A805,koronahun!$A:$AM,12,FALSE),"")</f>
        <v/>
      </c>
      <c r="M805" s="13" t="str">
        <f>IFERROR(VLOOKUP($A805,koronahun!$A:$AM,13,FALSE),"")</f>
        <v/>
      </c>
      <c r="N805" s="13" t="str">
        <f>IFERROR(VLOOKUP($A805,koronahun!$A:$AM,14,FALSE),"")</f>
        <v/>
      </c>
      <c r="O805" t="str">
        <f>IFERROR(VLOOKUP($A805,koronahun!$A:$AM,15,FALSE),"")</f>
        <v/>
      </c>
      <c r="P805" t="str">
        <f>IFERROR(VLOOKUP($A805,koronahun!$A:$AM,16,FALSE),"")</f>
        <v/>
      </c>
      <c r="Q805" s="13" t="str">
        <f>IFERROR(VLOOKUP($A805,koronahun!$A:$AM,17,FALSE),"")</f>
        <v/>
      </c>
      <c r="R805" t="str">
        <f>IFERROR(VLOOKUP($A805,koronahun!$A:$AM,18,FALSE),"")</f>
        <v/>
      </c>
      <c r="S805" t="str">
        <f>IFERROR(VLOOKUP($A805,koronahun!$A:$AM,19,FALSE),"")</f>
        <v/>
      </c>
      <c r="T805" t="str">
        <f>IFERROR(VLOOKUP($A805,koronahun!$A:$AM,20,FALSE),"")</f>
        <v/>
      </c>
      <c r="U805" t="str">
        <f>IFERROR(VLOOKUP($A805,koronahun!$A:$AM,21,FALSE),"")</f>
        <v/>
      </c>
      <c r="V805" s="13" t="str">
        <f>IFERROR(VLOOKUP($A805,koronahun!$A:$AM,22,FALSE),"")</f>
        <v/>
      </c>
      <c r="W805" t="str">
        <f>IFERROR(VLOOKUP($A805,koronahun!$A:$AM,23,FALSE),"")</f>
        <v/>
      </c>
      <c r="X805" t="str">
        <f>IFERROR(VLOOKUP($A805,koronahun!$A:$AM,24,FALSE),"")</f>
        <v/>
      </c>
      <c r="Y805" s="14" t="str">
        <f>IFERROR(VLOOKUP($A805,koronahun!$A:$AM,25,FALSE),"")</f>
        <v/>
      </c>
      <c r="Z805" s="14" t="str">
        <f>IFERROR(VLOOKUP($A805,koronahun!$A:$AM,26,FALSE),"")</f>
        <v/>
      </c>
      <c r="AA805" s="14" t="str">
        <f>IFERROR(VLOOKUP($A805,koronahun!$A:$AM,27,FALSE),"")</f>
        <v/>
      </c>
      <c r="AB805" s="14" t="str">
        <f>IFERROR(VLOOKUP($A805,koronahun!$A:$AM,28,FALSE),"")</f>
        <v/>
      </c>
      <c r="AC805" s="14" t="str">
        <f>IFERROR(VLOOKUP($A805,koronahun!$A:$AM,29,FALSE),"")</f>
        <v/>
      </c>
      <c r="AD805" s="14" t="str">
        <f>IFERROR(VLOOKUP($A805,koronahun!$A:$AM,30,FALSE),"")</f>
        <v/>
      </c>
      <c r="AE805" s="14" t="str">
        <f>IFERROR(VLOOKUP($A805,koronahun!$A:$AM,31,FALSE),"")</f>
        <v/>
      </c>
      <c r="AF805" s="13" t="str">
        <f>IFERROR(VLOOKUP($A805,koronahun!$A:$AM,32,FALSE),"")</f>
        <v/>
      </c>
      <c r="AG805" t="str">
        <f>IFERROR(VLOOKUP($A805,koronahun!$A:$AM,33,FALSE),"")</f>
        <v/>
      </c>
      <c r="AH805" t="str">
        <f>IFERROR(VLOOKUP($A805,koronahun!$A:$AM,34,FALSE),"")</f>
        <v/>
      </c>
      <c r="AI805" t="str">
        <f>IFERROR(VLOOKUP($A805,koronahun!$A:$AM,35,FALSE),"")</f>
        <v/>
      </c>
      <c r="AJ805" t="str">
        <f>IFERROR(VLOOKUP($A805,koronahun!$A:$AM,36,FALSE),"")</f>
        <v/>
      </c>
      <c r="AK805" t="str">
        <f>IFERROR(VLOOKUP($A805,koronahun!$A:$AM,37,FALSE),"")</f>
        <v/>
      </c>
      <c r="AL805" t="str">
        <f>IFERROR(VLOOKUP($A805,koronahun!$A:$AM,38,FALSE),"")</f>
        <v/>
      </c>
      <c r="AM805" s="14" t="str">
        <f>IFERROR(VLOOKUP($A805,koronahun!$A:$AM,39,FALSE),"")</f>
        <v/>
      </c>
      <c r="AN805" s="11">
        <f ca="1">IFERROR(__xludf.DUMMYFUNCTION("""COMPUTED_VALUE"""),44697)</f>
        <v>44697</v>
      </c>
      <c r="AO805" s="12">
        <f ca="1">IFERROR(VLOOKUP(AN805,koronahun!A:B,2,FALSE),"")</f>
        <v>0</v>
      </c>
      <c r="AP805" s="11">
        <f t="shared" ca="1" si="6"/>
        <v>44697</v>
      </c>
      <c r="AQ805" s="11"/>
      <c r="AR805" s="11"/>
      <c r="AS805" s="11"/>
      <c r="AT805" s="11"/>
    </row>
    <row r="806" spans="1:46" ht="13">
      <c r="A806" s="11"/>
      <c r="B806" t="str">
        <f>IFERROR(VLOOKUP($A806,koronahun!$A:$AM,2,FALSE),"")</f>
        <v/>
      </c>
      <c r="C806" t="str">
        <f>IFERROR(VLOOKUP($A806,koronahun!$A:$AM,3,FALSE),"")</f>
        <v/>
      </c>
      <c r="D806" t="str">
        <f>IFERROR(VLOOKUP($A806,koronahun!$A:$AM,4,FALSE),"")</f>
        <v/>
      </c>
      <c r="E806" t="str">
        <f>IFERROR(VLOOKUP($A806,koronahun!$A:$AM,5,FALSE),"")</f>
        <v/>
      </c>
      <c r="F806" t="str">
        <f>IFERROR(VLOOKUP($A806,koronahun!$A:$AM,6,FALSE),"")</f>
        <v/>
      </c>
      <c r="G806" s="12" t="str">
        <f>IFERROR(VLOOKUP($A806,koronahun!$A:$AM,7,FALSE),"")</f>
        <v/>
      </c>
      <c r="H806" t="str">
        <f>IFERROR(VLOOKUP($A806,koronahun!$A:$AM,8,FALSE),"")</f>
        <v/>
      </c>
      <c r="I806" s="13" t="str">
        <f>IFERROR(VLOOKUP($A806,koronahun!$A:$AM,9,FALSE),"")</f>
        <v/>
      </c>
      <c r="J806" s="13" t="str">
        <f>IFERROR(VLOOKUP($A806,koronahun!$A:$AM,10,FALSE),"")</f>
        <v/>
      </c>
      <c r="K806" s="13" t="str">
        <f>IFERROR(VLOOKUP($A806,koronahun!$A:$AM,11,FALSE),"")</f>
        <v/>
      </c>
      <c r="L806" t="str">
        <f>IFERROR(VLOOKUP($A806,koronahun!$A:$AM,12,FALSE),"")</f>
        <v/>
      </c>
      <c r="M806" s="13" t="str">
        <f>IFERROR(VLOOKUP($A806,koronahun!$A:$AM,13,FALSE),"")</f>
        <v/>
      </c>
      <c r="N806" s="13" t="str">
        <f>IFERROR(VLOOKUP($A806,koronahun!$A:$AM,14,FALSE),"")</f>
        <v/>
      </c>
      <c r="O806" t="str">
        <f>IFERROR(VLOOKUP($A806,koronahun!$A:$AM,15,FALSE),"")</f>
        <v/>
      </c>
      <c r="P806" t="str">
        <f>IFERROR(VLOOKUP($A806,koronahun!$A:$AM,16,FALSE),"")</f>
        <v/>
      </c>
      <c r="Q806" s="13" t="str">
        <f>IFERROR(VLOOKUP($A806,koronahun!$A:$AM,17,FALSE),"")</f>
        <v/>
      </c>
      <c r="R806" t="str">
        <f>IFERROR(VLOOKUP($A806,koronahun!$A:$AM,18,FALSE),"")</f>
        <v/>
      </c>
      <c r="S806" t="str">
        <f>IFERROR(VLOOKUP($A806,koronahun!$A:$AM,19,FALSE),"")</f>
        <v/>
      </c>
      <c r="T806" t="str">
        <f>IFERROR(VLOOKUP($A806,koronahun!$A:$AM,20,FALSE),"")</f>
        <v/>
      </c>
      <c r="U806" t="str">
        <f>IFERROR(VLOOKUP($A806,koronahun!$A:$AM,21,FALSE),"")</f>
        <v/>
      </c>
      <c r="V806" s="13" t="str">
        <f>IFERROR(VLOOKUP($A806,koronahun!$A:$AM,22,FALSE),"")</f>
        <v/>
      </c>
      <c r="W806" t="str">
        <f>IFERROR(VLOOKUP($A806,koronahun!$A:$AM,23,FALSE),"")</f>
        <v/>
      </c>
      <c r="X806" t="str">
        <f>IFERROR(VLOOKUP($A806,koronahun!$A:$AM,24,FALSE),"")</f>
        <v/>
      </c>
      <c r="Y806" s="14" t="str">
        <f>IFERROR(VLOOKUP($A806,koronahun!$A:$AM,25,FALSE),"")</f>
        <v/>
      </c>
      <c r="Z806" s="14" t="str">
        <f>IFERROR(VLOOKUP($A806,koronahun!$A:$AM,26,FALSE),"")</f>
        <v/>
      </c>
      <c r="AA806" s="14" t="str">
        <f>IFERROR(VLOOKUP($A806,koronahun!$A:$AM,27,FALSE),"")</f>
        <v/>
      </c>
      <c r="AB806" s="14" t="str">
        <f>IFERROR(VLOOKUP($A806,koronahun!$A:$AM,28,FALSE),"")</f>
        <v/>
      </c>
      <c r="AC806" s="14" t="str">
        <f>IFERROR(VLOOKUP($A806,koronahun!$A:$AM,29,FALSE),"")</f>
        <v/>
      </c>
      <c r="AD806" s="14" t="str">
        <f>IFERROR(VLOOKUP($A806,koronahun!$A:$AM,30,FALSE),"")</f>
        <v/>
      </c>
      <c r="AE806" s="14" t="str">
        <f>IFERROR(VLOOKUP($A806,koronahun!$A:$AM,31,FALSE),"")</f>
        <v/>
      </c>
      <c r="AF806" s="13" t="str">
        <f>IFERROR(VLOOKUP($A806,koronahun!$A:$AM,32,FALSE),"")</f>
        <v/>
      </c>
      <c r="AG806" t="str">
        <f>IFERROR(VLOOKUP($A806,koronahun!$A:$AM,33,FALSE),"")</f>
        <v/>
      </c>
      <c r="AH806" t="str">
        <f>IFERROR(VLOOKUP($A806,koronahun!$A:$AM,34,FALSE),"")</f>
        <v/>
      </c>
      <c r="AI806" t="str">
        <f>IFERROR(VLOOKUP($A806,koronahun!$A:$AM,35,FALSE),"")</f>
        <v/>
      </c>
      <c r="AJ806" t="str">
        <f>IFERROR(VLOOKUP($A806,koronahun!$A:$AM,36,FALSE),"")</f>
        <v/>
      </c>
      <c r="AK806" t="str">
        <f>IFERROR(VLOOKUP($A806,koronahun!$A:$AM,37,FALSE),"")</f>
        <v/>
      </c>
      <c r="AL806" t="str">
        <f>IFERROR(VLOOKUP($A806,koronahun!$A:$AM,38,FALSE),"")</f>
        <v/>
      </c>
      <c r="AM806" s="14" t="str">
        <f>IFERROR(VLOOKUP($A806,koronahun!$A:$AM,39,FALSE),"")</f>
        <v/>
      </c>
      <c r="AN806" s="11">
        <f ca="1">IFERROR(__xludf.DUMMYFUNCTION("""COMPUTED_VALUE"""),44698)</f>
        <v>44698</v>
      </c>
      <c r="AO806" s="12">
        <f ca="1">IFERROR(VLOOKUP(AN806,koronahun!A:B,2,FALSE),"")</f>
        <v>0</v>
      </c>
      <c r="AP806" s="11">
        <f t="shared" ca="1" si="6"/>
        <v>44698</v>
      </c>
      <c r="AQ806" s="11"/>
      <c r="AR806" s="11"/>
      <c r="AS806" s="11"/>
      <c r="AT806" s="11"/>
    </row>
    <row r="807" spans="1:46" ht="13">
      <c r="A807" s="11"/>
      <c r="B807" t="str">
        <f>IFERROR(VLOOKUP($A807,koronahun!$A:$AM,2,FALSE),"")</f>
        <v/>
      </c>
      <c r="C807" t="str">
        <f>IFERROR(VLOOKUP($A807,koronahun!$A:$AM,3,FALSE),"")</f>
        <v/>
      </c>
      <c r="D807" t="str">
        <f>IFERROR(VLOOKUP($A807,koronahun!$A:$AM,4,FALSE),"")</f>
        <v/>
      </c>
      <c r="E807" t="str">
        <f>IFERROR(VLOOKUP($A807,koronahun!$A:$AM,5,FALSE),"")</f>
        <v/>
      </c>
      <c r="F807" t="str">
        <f>IFERROR(VLOOKUP($A807,koronahun!$A:$AM,6,FALSE),"")</f>
        <v/>
      </c>
      <c r="G807" s="12" t="str">
        <f>IFERROR(VLOOKUP($A807,koronahun!$A:$AM,7,FALSE),"")</f>
        <v/>
      </c>
      <c r="H807" t="str">
        <f>IFERROR(VLOOKUP($A807,koronahun!$A:$AM,8,FALSE),"")</f>
        <v/>
      </c>
      <c r="I807" s="13" t="str">
        <f>IFERROR(VLOOKUP($A807,koronahun!$A:$AM,9,FALSE),"")</f>
        <v/>
      </c>
      <c r="J807" s="13" t="str">
        <f>IFERROR(VLOOKUP($A807,koronahun!$A:$AM,10,FALSE),"")</f>
        <v/>
      </c>
      <c r="K807" s="13" t="str">
        <f>IFERROR(VLOOKUP($A807,koronahun!$A:$AM,11,FALSE),"")</f>
        <v/>
      </c>
      <c r="L807" t="str">
        <f>IFERROR(VLOOKUP($A807,koronahun!$A:$AM,12,FALSE),"")</f>
        <v/>
      </c>
      <c r="M807" s="13" t="str">
        <f>IFERROR(VLOOKUP($A807,koronahun!$A:$AM,13,FALSE),"")</f>
        <v/>
      </c>
      <c r="N807" s="13" t="str">
        <f>IFERROR(VLOOKUP($A807,koronahun!$A:$AM,14,FALSE),"")</f>
        <v/>
      </c>
      <c r="O807" t="str">
        <f>IFERROR(VLOOKUP($A807,koronahun!$A:$AM,15,FALSE),"")</f>
        <v/>
      </c>
      <c r="P807" t="str">
        <f>IFERROR(VLOOKUP($A807,koronahun!$A:$AM,16,FALSE),"")</f>
        <v/>
      </c>
      <c r="Q807" s="13" t="str">
        <f>IFERROR(VLOOKUP($A807,koronahun!$A:$AM,17,FALSE),"")</f>
        <v/>
      </c>
      <c r="R807" t="str">
        <f>IFERROR(VLOOKUP($A807,koronahun!$A:$AM,18,FALSE),"")</f>
        <v/>
      </c>
      <c r="S807" t="str">
        <f>IFERROR(VLOOKUP($A807,koronahun!$A:$AM,19,FALSE),"")</f>
        <v/>
      </c>
      <c r="T807" t="str">
        <f>IFERROR(VLOOKUP($A807,koronahun!$A:$AM,20,FALSE),"")</f>
        <v/>
      </c>
      <c r="U807" t="str">
        <f>IFERROR(VLOOKUP($A807,koronahun!$A:$AM,21,FALSE),"")</f>
        <v/>
      </c>
      <c r="V807" s="13" t="str">
        <f>IFERROR(VLOOKUP($A807,koronahun!$A:$AM,22,FALSE),"")</f>
        <v/>
      </c>
      <c r="W807" t="str">
        <f>IFERROR(VLOOKUP($A807,koronahun!$A:$AM,23,FALSE),"")</f>
        <v/>
      </c>
      <c r="X807" t="str">
        <f>IFERROR(VLOOKUP($A807,koronahun!$A:$AM,24,FALSE),"")</f>
        <v/>
      </c>
      <c r="Y807" s="14" t="str">
        <f>IFERROR(VLOOKUP($A807,koronahun!$A:$AM,25,FALSE),"")</f>
        <v/>
      </c>
      <c r="Z807" s="14" t="str">
        <f>IFERROR(VLOOKUP($A807,koronahun!$A:$AM,26,FALSE),"")</f>
        <v/>
      </c>
      <c r="AA807" s="14" t="str">
        <f>IFERROR(VLOOKUP($A807,koronahun!$A:$AM,27,FALSE),"")</f>
        <v/>
      </c>
      <c r="AB807" s="14" t="str">
        <f>IFERROR(VLOOKUP($A807,koronahun!$A:$AM,28,FALSE),"")</f>
        <v/>
      </c>
      <c r="AC807" s="14" t="str">
        <f>IFERROR(VLOOKUP($A807,koronahun!$A:$AM,29,FALSE),"")</f>
        <v/>
      </c>
      <c r="AD807" s="14" t="str">
        <f>IFERROR(VLOOKUP($A807,koronahun!$A:$AM,30,FALSE),"")</f>
        <v/>
      </c>
      <c r="AE807" s="14" t="str">
        <f>IFERROR(VLOOKUP($A807,koronahun!$A:$AM,31,FALSE),"")</f>
        <v/>
      </c>
      <c r="AF807" s="13" t="str">
        <f>IFERROR(VLOOKUP($A807,koronahun!$A:$AM,32,FALSE),"")</f>
        <v/>
      </c>
      <c r="AG807" t="str">
        <f>IFERROR(VLOOKUP($A807,koronahun!$A:$AM,33,FALSE),"")</f>
        <v/>
      </c>
      <c r="AH807" t="str">
        <f>IFERROR(VLOOKUP($A807,koronahun!$A:$AM,34,FALSE),"")</f>
        <v/>
      </c>
      <c r="AI807" t="str">
        <f>IFERROR(VLOOKUP($A807,koronahun!$A:$AM,35,FALSE),"")</f>
        <v/>
      </c>
      <c r="AJ807" t="str">
        <f>IFERROR(VLOOKUP($A807,koronahun!$A:$AM,36,FALSE),"")</f>
        <v/>
      </c>
      <c r="AK807" t="str">
        <f>IFERROR(VLOOKUP($A807,koronahun!$A:$AM,37,FALSE),"")</f>
        <v/>
      </c>
      <c r="AL807" t="str">
        <f>IFERROR(VLOOKUP($A807,koronahun!$A:$AM,38,FALSE),"")</f>
        <v/>
      </c>
      <c r="AM807" s="14" t="str">
        <f>IFERROR(VLOOKUP($A807,koronahun!$A:$AM,39,FALSE),"")</f>
        <v/>
      </c>
      <c r="AN807" s="11">
        <f ca="1">IFERROR(__xludf.DUMMYFUNCTION("""COMPUTED_VALUE"""),44699)</f>
        <v>44699</v>
      </c>
      <c r="AO807" s="12">
        <f ca="1">IFERROR(VLOOKUP(AN807,koronahun!A:B,2,FALSE),"")</f>
        <v>1914697</v>
      </c>
      <c r="AP807" s="11">
        <f t="shared" ca="1" si="6"/>
        <v>44699</v>
      </c>
      <c r="AQ807" s="11"/>
      <c r="AR807" s="11"/>
      <c r="AS807" s="11"/>
      <c r="AT807" s="11"/>
    </row>
    <row r="808" spans="1:46" ht="13">
      <c r="A808" s="11"/>
      <c r="B808" t="str">
        <f>IFERROR(VLOOKUP($A808,koronahun!$A:$AM,2,FALSE),"")</f>
        <v/>
      </c>
      <c r="C808" t="str">
        <f>IFERROR(VLOOKUP($A808,koronahun!$A:$AM,3,FALSE),"")</f>
        <v/>
      </c>
      <c r="D808" t="str">
        <f>IFERROR(VLOOKUP($A808,koronahun!$A:$AM,4,FALSE),"")</f>
        <v/>
      </c>
      <c r="E808" t="str">
        <f>IFERROR(VLOOKUP($A808,koronahun!$A:$AM,5,FALSE),"")</f>
        <v/>
      </c>
      <c r="F808" t="str">
        <f>IFERROR(VLOOKUP($A808,koronahun!$A:$AM,6,FALSE),"")</f>
        <v/>
      </c>
      <c r="G808" s="12" t="str">
        <f>IFERROR(VLOOKUP($A808,koronahun!$A:$AM,7,FALSE),"")</f>
        <v/>
      </c>
      <c r="H808" t="str">
        <f>IFERROR(VLOOKUP($A808,koronahun!$A:$AM,8,FALSE),"")</f>
        <v/>
      </c>
      <c r="I808" s="13" t="str">
        <f>IFERROR(VLOOKUP($A808,koronahun!$A:$AM,9,FALSE),"")</f>
        <v/>
      </c>
      <c r="J808" s="13" t="str">
        <f>IFERROR(VLOOKUP($A808,koronahun!$A:$AM,10,FALSE),"")</f>
        <v/>
      </c>
      <c r="K808" s="13" t="str">
        <f>IFERROR(VLOOKUP($A808,koronahun!$A:$AM,11,FALSE),"")</f>
        <v/>
      </c>
      <c r="L808" t="str">
        <f>IFERROR(VLOOKUP($A808,koronahun!$A:$AM,12,FALSE),"")</f>
        <v/>
      </c>
      <c r="M808" s="13" t="str">
        <f>IFERROR(VLOOKUP($A808,koronahun!$A:$AM,13,FALSE),"")</f>
        <v/>
      </c>
      <c r="N808" s="13" t="str">
        <f>IFERROR(VLOOKUP($A808,koronahun!$A:$AM,14,FALSE),"")</f>
        <v/>
      </c>
      <c r="O808" t="str">
        <f>IFERROR(VLOOKUP($A808,koronahun!$A:$AM,15,FALSE),"")</f>
        <v/>
      </c>
      <c r="P808" t="str">
        <f>IFERROR(VLOOKUP($A808,koronahun!$A:$AM,16,FALSE),"")</f>
        <v/>
      </c>
      <c r="Q808" s="13" t="str">
        <f>IFERROR(VLOOKUP($A808,koronahun!$A:$AM,17,FALSE),"")</f>
        <v/>
      </c>
      <c r="R808" t="str">
        <f>IFERROR(VLOOKUP($A808,koronahun!$A:$AM,18,FALSE),"")</f>
        <v/>
      </c>
      <c r="S808" t="str">
        <f>IFERROR(VLOOKUP($A808,koronahun!$A:$AM,19,FALSE),"")</f>
        <v/>
      </c>
      <c r="T808" t="str">
        <f>IFERROR(VLOOKUP($A808,koronahun!$A:$AM,20,FALSE),"")</f>
        <v/>
      </c>
      <c r="U808" t="str">
        <f>IFERROR(VLOOKUP($A808,koronahun!$A:$AM,21,FALSE),"")</f>
        <v/>
      </c>
      <c r="V808" s="13" t="str">
        <f>IFERROR(VLOOKUP($A808,koronahun!$A:$AM,22,FALSE),"")</f>
        <v/>
      </c>
      <c r="W808" t="str">
        <f>IFERROR(VLOOKUP($A808,koronahun!$A:$AM,23,FALSE),"")</f>
        <v/>
      </c>
      <c r="X808" t="str">
        <f>IFERROR(VLOOKUP($A808,koronahun!$A:$AM,24,FALSE),"")</f>
        <v/>
      </c>
      <c r="Y808" s="14" t="str">
        <f>IFERROR(VLOOKUP($A808,koronahun!$A:$AM,25,FALSE),"")</f>
        <v/>
      </c>
      <c r="Z808" s="14" t="str">
        <f>IFERROR(VLOOKUP($A808,koronahun!$A:$AM,26,FALSE),"")</f>
        <v/>
      </c>
      <c r="AA808" s="14" t="str">
        <f>IFERROR(VLOOKUP($A808,koronahun!$A:$AM,27,FALSE),"")</f>
        <v/>
      </c>
      <c r="AB808" s="14" t="str">
        <f>IFERROR(VLOOKUP($A808,koronahun!$A:$AM,28,FALSE),"")</f>
        <v/>
      </c>
      <c r="AC808" s="14" t="str">
        <f>IFERROR(VLOOKUP($A808,koronahun!$A:$AM,29,FALSE),"")</f>
        <v/>
      </c>
      <c r="AD808" s="14" t="str">
        <f>IFERROR(VLOOKUP($A808,koronahun!$A:$AM,30,FALSE),"")</f>
        <v/>
      </c>
      <c r="AE808" s="14" t="str">
        <f>IFERROR(VLOOKUP($A808,koronahun!$A:$AM,31,FALSE),"")</f>
        <v/>
      </c>
      <c r="AF808" s="13" t="str">
        <f>IFERROR(VLOOKUP($A808,koronahun!$A:$AM,32,FALSE),"")</f>
        <v/>
      </c>
      <c r="AG808" t="str">
        <f>IFERROR(VLOOKUP($A808,koronahun!$A:$AM,33,FALSE),"")</f>
        <v/>
      </c>
      <c r="AH808" t="str">
        <f>IFERROR(VLOOKUP($A808,koronahun!$A:$AM,34,FALSE),"")</f>
        <v/>
      </c>
      <c r="AI808" t="str">
        <f>IFERROR(VLOOKUP($A808,koronahun!$A:$AM,35,FALSE),"")</f>
        <v/>
      </c>
      <c r="AJ808" t="str">
        <f>IFERROR(VLOOKUP($A808,koronahun!$A:$AM,36,FALSE),"")</f>
        <v/>
      </c>
      <c r="AK808" t="str">
        <f>IFERROR(VLOOKUP($A808,koronahun!$A:$AM,37,FALSE),"")</f>
        <v/>
      </c>
      <c r="AL808" t="str">
        <f>IFERROR(VLOOKUP($A808,koronahun!$A:$AM,38,FALSE),"")</f>
        <v/>
      </c>
      <c r="AM808" s="14" t="str">
        <f>IFERROR(VLOOKUP($A808,koronahun!$A:$AM,39,FALSE),"")</f>
        <v/>
      </c>
      <c r="AN808" s="11">
        <f ca="1">IFERROR(__xludf.DUMMYFUNCTION("""COMPUTED_VALUE"""),44700)</f>
        <v>44700</v>
      </c>
      <c r="AO808" s="12">
        <f ca="1">IFERROR(VLOOKUP(AN808,koronahun!A:B,2,FALSE),"")</f>
        <v>0</v>
      </c>
      <c r="AP808" s="11">
        <f t="shared" ca="1" si="6"/>
        <v>44700</v>
      </c>
      <c r="AQ808" s="11"/>
      <c r="AR808" s="11"/>
      <c r="AS808" s="11"/>
      <c r="AT808" s="11"/>
    </row>
    <row r="809" spans="1:46" ht="13">
      <c r="A809" s="11"/>
      <c r="B809" t="str">
        <f>IFERROR(VLOOKUP($A809,koronahun!$A:$AM,2,FALSE),"")</f>
        <v/>
      </c>
      <c r="C809" t="str">
        <f>IFERROR(VLOOKUP($A809,koronahun!$A:$AM,3,FALSE),"")</f>
        <v/>
      </c>
      <c r="D809" t="str">
        <f>IFERROR(VLOOKUP($A809,koronahun!$A:$AM,4,FALSE),"")</f>
        <v/>
      </c>
      <c r="E809" t="str">
        <f>IFERROR(VLOOKUP($A809,koronahun!$A:$AM,5,FALSE),"")</f>
        <v/>
      </c>
      <c r="F809" t="str">
        <f>IFERROR(VLOOKUP($A809,koronahun!$A:$AM,6,FALSE),"")</f>
        <v/>
      </c>
      <c r="G809" s="12" t="str">
        <f>IFERROR(VLOOKUP($A809,koronahun!$A:$AM,7,FALSE),"")</f>
        <v/>
      </c>
      <c r="H809" t="str">
        <f>IFERROR(VLOOKUP($A809,koronahun!$A:$AM,8,FALSE),"")</f>
        <v/>
      </c>
      <c r="I809" s="13" t="str">
        <f>IFERROR(VLOOKUP($A809,koronahun!$A:$AM,9,FALSE),"")</f>
        <v/>
      </c>
      <c r="J809" s="13" t="str">
        <f>IFERROR(VLOOKUP($A809,koronahun!$A:$AM,10,FALSE),"")</f>
        <v/>
      </c>
      <c r="K809" s="13" t="str">
        <f>IFERROR(VLOOKUP($A809,koronahun!$A:$AM,11,FALSE),"")</f>
        <v/>
      </c>
      <c r="L809" t="str">
        <f>IFERROR(VLOOKUP($A809,koronahun!$A:$AM,12,FALSE),"")</f>
        <v/>
      </c>
      <c r="M809" s="13" t="str">
        <f>IFERROR(VLOOKUP($A809,koronahun!$A:$AM,13,FALSE),"")</f>
        <v/>
      </c>
      <c r="N809" s="13" t="str">
        <f>IFERROR(VLOOKUP($A809,koronahun!$A:$AM,14,FALSE),"")</f>
        <v/>
      </c>
      <c r="O809" t="str">
        <f>IFERROR(VLOOKUP($A809,koronahun!$A:$AM,15,FALSE),"")</f>
        <v/>
      </c>
      <c r="P809" t="str">
        <f>IFERROR(VLOOKUP($A809,koronahun!$A:$AM,16,FALSE),"")</f>
        <v/>
      </c>
      <c r="Q809" s="13" t="str">
        <f>IFERROR(VLOOKUP($A809,koronahun!$A:$AM,17,FALSE),"")</f>
        <v/>
      </c>
      <c r="R809" t="str">
        <f>IFERROR(VLOOKUP($A809,koronahun!$A:$AM,18,FALSE),"")</f>
        <v/>
      </c>
      <c r="S809" t="str">
        <f>IFERROR(VLOOKUP($A809,koronahun!$A:$AM,19,FALSE),"")</f>
        <v/>
      </c>
      <c r="T809" t="str">
        <f>IFERROR(VLOOKUP($A809,koronahun!$A:$AM,20,FALSE),"")</f>
        <v/>
      </c>
      <c r="U809" t="str">
        <f>IFERROR(VLOOKUP($A809,koronahun!$A:$AM,21,FALSE),"")</f>
        <v/>
      </c>
      <c r="V809" s="13" t="str">
        <f>IFERROR(VLOOKUP($A809,koronahun!$A:$AM,22,FALSE),"")</f>
        <v/>
      </c>
      <c r="W809" t="str">
        <f>IFERROR(VLOOKUP($A809,koronahun!$A:$AM,23,FALSE),"")</f>
        <v/>
      </c>
      <c r="X809" t="str">
        <f>IFERROR(VLOOKUP($A809,koronahun!$A:$AM,24,FALSE),"")</f>
        <v/>
      </c>
      <c r="Y809" s="14" t="str">
        <f>IFERROR(VLOOKUP($A809,koronahun!$A:$AM,25,FALSE),"")</f>
        <v/>
      </c>
      <c r="Z809" s="14" t="str">
        <f>IFERROR(VLOOKUP($A809,koronahun!$A:$AM,26,FALSE),"")</f>
        <v/>
      </c>
      <c r="AA809" s="14" t="str">
        <f>IFERROR(VLOOKUP($A809,koronahun!$A:$AM,27,FALSE),"")</f>
        <v/>
      </c>
      <c r="AB809" s="14" t="str">
        <f>IFERROR(VLOOKUP($A809,koronahun!$A:$AM,28,FALSE),"")</f>
        <v/>
      </c>
      <c r="AC809" s="14" t="str">
        <f>IFERROR(VLOOKUP($A809,koronahun!$A:$AM,29,FALSE),"")</f>
        <v/>
      </c>
      <c r="AD809" s="14" t="str">
        <f>IFERROR(VLOOKUP($A809,koronahun!$A:$AM,30,FALSE),"")</f>
        <v/>
      </c>
      <c r="AE809" s="14" t="str">
        <f>IFERROR(VLOOKUP($A809,koronahun!$A:$AM,31,FALSE),"")</f>
        <v/>
      </c>
      <c r="AF809" s="13" t="str">
        <f>IFERROR(VLOOKUP($A809,koronahun!$A:$AM,32,FALSE),"")</f>
        <v/>
      </c>
      <c r="AG809" t="str">
        <f>IFERROR(VLOOKUP($A809,koronahun!$A:$AM,33,FALSE),"")</f>
        <v/>
      </c>
      <c r="AH809" t="str">
        <f>IFERROR(VLOOKUP($A809,koronahun!$A:$AM,34,FALSE),"")</f>
        <v/>
      </c>
      <c r="AI809" t="str">
        <f>IFERROR(VLOOKUP($A809,koronahun!$A:$AM,35,FALSE),"")</f>
        <v/>
      </c>
      <c r="AJ809" t="str">
        <f>IFERROR(VLOOKUP($A809,koronahun!$A:$AM,36,FALSE),"")</f>
        <v/>
      </c>
      <c r="AK809" t="str">
        <f>IFERROR(VLOOKUP($A809,koronahun!$A:$AM,37,FALSE),"")</f>
        <v/>
      </c>
      <c r="AL809" t="str">
        <f>IFERROR(VLOOKUP($A809,koronahun!$A:$AM,38,FALSE),"")</f>
        <v/>
      </c>
      <c r="AM809" s="14" t="str">
        <f>IFERROR(VLOOKUP($A809,koronahun!$A:$AM,39,FALSE),"")</f>
        <v/>
      </c>
      <c r="AN809" s="11">
        <f ca="1">IFERROR(__xludf.DUMMYFUNCTION("""COMPUTED_VALUE"""),44701)</f>
        <v>44701</v>
      </c>
      <c r="AO809" s="12">
        <f ca="1">IFERROR(VLOOKUP(AN809,koronahun!A:B,2,FALSE),"")</f>
        <v>0</v>
      </c>
      <c r="AP809" s="11">
        <f t="shared" ca="1" si="6"/>
        <v>44701</v>
      </c>
      <c r="AQ809" s="11"/>
      <c r="AR809" s="11"/>
      <c r="AS809" s="11"/>
      <c r="AT809" s="11"/>
    </row>
    <row r="810" spans="1:46" ht="13">
      <c r="A810" s="11"/>
      <c r="B810" t="str">
        <f>IFERROR(VLOOKUP($A810,koronahun!$A:$AM,2,FALSE),"")</f>
        <v/>
      </c>
      <c r="C810" t="str">
        <f>IFERROR(VLOOKUP($A810,koronahun!$A:$AM,3,FALSE),"")</f>
        <v/>
      </c>
      <c r="D810" t="str">
        <f>IFERROR(VLOOKUP($A810,koronahun!$A:$AM,4,FALSE),"")</f>
        <v/>
      </c>
      <c r="E810" t="str">
        <f>IFERROR(VLOOKUP($A810,koronahun!$A:$AM,5,FALSE),"")</f>
        <v/>
      </c>
      <c r="F810" t="str">
        <f>IFERROR(VLOOKUP($A810,koronahun!$A:$AM,6,FALSE),"")</f>
        <v/>
      </c>
      <c r="G810" s="12" t="str">
        <f>IFERROR(VLOOKUP($A810,koronahun!$A:$AM,7,FALSE),"")</f>
        <v/>
      </c>
      <c r="H810" t="str">
        <f>IFERROR(VLOOKUP($A810,koronahun!$A:$AM,8,FALSE),"")</f>
        <v/>
      </c>
      <c r="I810" s="13" t="str">
        <f>IFERROR(VLOOKUP($A810,koronahun!$A:$AM,9,FALSE),"")</f>
        <v/>
      </c>
      <c r="J810" s="13" t="str">
        <f>IFERROR(VLOOKUP($A810,koronahun!$A:$AM,10,FALSE),"")</f>
        <v/>
      </c>
      <c r="K810" s="13" t="str">
        <f>IFERROR(VLOOKUP($A810,koronahun!$A:$AM,11,FALSE),"")</f>
        <v/>
      </c>
      <c r="L810" t="str">
        <f>IFERROR(VLOOKUP($A810,koronahun!$A:$AM,12,FALSE),"")</f>
        <v/>
      </c>
      <c r="M810" s="13" t="str">
        <f>IFERROR(VLOOKUP($A810,koronahun!$A:$AM,13,FALSE),"")</f>
        <v/>
      </c>
      <c r="N810" s="13" t="str">
        <f>IFERROR(VLOOKUP($A810,koronahun!$A:$AM,14,FALSE),"")</f>
        <v/>
      </c>
      <c r="O810" t="str">
        <f>IFERROR(VLOOKUP($A810,koronahun!$A:$AM,15,FALSE),"")</f>
        <v/>
      </c>
      <c r="P810" t="str">
        <f>IFERROR(VLOOKUP($A810,koronahun!$A:$AM,16,FALSE),"")</f>
        <v/>
      </c>
      <c r="Q810" s="13" t="str">
        <f>IFERROR(VLOOKUP($A810,koronahun!$A:$AM,17,FALSE),"")</f>
        <v/>
      </c>
      <c r="R810" t="str">
        <f>IFERROR(VLOOKUP($A810,koronahun!$A:$AM,18,FALSE),"")</f>
        <v/>
      </c>
      <c r="S810" t="str">
        <f>IFERROR(VLOOKUP($A810,koronahun!$A:$AM,19,FALSE),"")</f>
        <v/>
      </c>
      <c r="T810" t="str">
        <f>IFERROR(VLOOKUP($A810,koronahun!$A:$AM,20,FALSE),"")</f>
        <v/>
      </c>
      <c r="U810" t="str">
        <f>IFERROR(VLOOKUP($A810,koronahun!$A:$AM,21,FALSE),"")</f>
        <v/>
      </c>
      <c r="V810" s="13" t="str">
        <f>IFERROR(VLOOKUP($A810,koronahun!$A:$AM,22,FALSE),"")</f>
        <v/>
      </c>
      <c r="W810" t="str">
        <f>IFERROR(VLOOKUP($A810,koronahun!$A:$AM,23,FALSE),"")</f>
        <v/>
      </c>
      <c r="X810" t="str">
        <f>IFERROR(VLOOKUP($A810,koronahun!$A:$AM,24,FALSE),"")</f>
        <v/>
      </c>
      <c r="Y810" s="14" t="str">
        <f>IFERROR(VLOOKUP($A810,koronahun!$A:$AM,25,FALSE),"")</f>
        <v/>
      </c>
      <c r="Z810" s="14" t="str">
        <f>IFERROR(VLOOKUP($A810,koronahun!$A:$AM,26,FALSE),"")</f>
        <v/>
      </c>
      <c r="AA810" s="14" t="str">
        <f>IFERROR(VLOOKUP($A810,koronahun!$A:$AM,27,FALSE),"")</f>
        <v/>
      </c>
      <c r="AB810" s="14" t="str">
        <f>IFERROR(VLOOKUP($A810,koronahun!$A:$AM,28,FALSE),"")</f>
        <v/>
      </c>
      <c r="AC810" s="14" t="str">
        <f>IFERROR(VLOOKUP($A810,koronahun!$A:$AM,29,FALSE),"")</f>
        <v/>
      </c>
      <c r="AD810" s="14" t="str">
        <f>IFERROR(VLOOKUP($A810,koronahun!$A:$AM,30,FALSE),"")</f>
        <v/>
      </c>
      <c r="AE810" s="14" t="str">
        <f>IFERROR(VLOOKUP($A810,koronahun!$A:$AM,31,FALSE),"")</f>
        <v/>
      </c>
      <c r="AF810" s="13" t="str">
        <f>IFERROR(VLOOKUP($A810,koronahun!$A:$AM,32,FALSE),"")</f>
        <v/>
      </c>
      <c r="AG810" t="str">
        <f>IFERROR(VLOOKUP($A810,koronahun!$A:$AM,33,FALSE),"")</f>
        <v/>
      </c>
      <c r="AH810" t="str">
        <f>IFERROR(VLOOKUP($A810,koronahun!$A:$AM,34,FALSE),"")</f>
        <v/>
      </c>
      <c r="AI810" t="str">
        <f>IFERROR(VLOOKUP($A810,koronahun!$A:$AM,35,FALSE),"")</f>
        <v/>
      </c>
      <c r="AJ810" t="str">
        <f>IFERROR(VLOOKUP($A810,koronahun!$A:$AM,36,FALSE),"")</f>
        <v/>
      </c>
      <c r="AK810" t="str">
        <f>IFERROR(VLOOKUP($A810,koronahun!$A:$AM,37,FALSE),"")</f>
        <v/>
      </c>
      <c r="AL810" t="str">
        <f>IFERROR(VLOOKUP($A810,koronahun!$A:$AM,38,FALSE),"")</f>
        <v/>
      </c>
      <c r="AM810" s="14" t="str">
        <f>IFERROR(VLOOKUP($A810,koronahun!$A:$AM,39,FALSE),"")</f>
        <v/>
      </c>
      <c r="AN810" s="11">
        <f ca="1">IFERROR(__xludf.DUMMYFUNCTION("""COMPUTED_VALUE"""),44702)</f>
        <v>44702</v>
      </c>
      <c r="AO810" s="12">
        <f ca="1">IFERROR(VLOOKUP(AN810,koronahun!A:B,2,FALSE),"")</f>
        <v>0</v>
      </c>
      <c r="AP810" s="11">
        <f t="shared" ca="1" si="6"/>
        <v>44702</v>
      </c>
      <c r="AQ810" s="11"/>
      <c r="AR810" s="11"/>
      <c r="AS810" s="11"/>
      <c r="AT810" s="11"/>
    </row>
    <row r="811" spans="1:46" ht="13">
      <c r="A811" s="11"/>
      <c r="B811" t="str">
        <f>IFERROR(VLOOKUP($A811,koronahun!$A:$AM,2,FALSE),"")</f>
        <v/>
      </c>
      <c r="C811" t="str">
        <f>IFERROR(VLOOKUP($A811,koronahun!$A:$AM,3,FALSE),"")</f>
        <v/>
      </c>
      <c r="D811" t="str">
        <f>IFERROR(VLOOKUP($A811,koronahun!$A:$AM,4,FALSE),"")</f>
        <v/>
      </c>
      <c r="E811" t="str">
        <f>IFERROR(VLOOKUP($A811,koronahun!$A:$AM,5,FALSE),"")</f>
        <v/>
      </c>
      <c r="F811" t="str">
        <f>IFERROR(VLOOKUP($A811,koronahun!$A:$AM,6,FALSE),"")</f>
        <v/>
      </c>
      <c r="G811" s="12" t="str">
        <f>IFERROR(VLOOKUP($A811,koronahun!$A:$AM,7,FALSE),"")</f>
        <v/>
      </c>
      <c r="H811" t="str">
        <f>IFERROR(VLOOKUP($A811,koronahun!$A:$AM,8,FALSE),"")</f>
        <v/>
      </c>
      <c r="I811" s="13" t="str">
        <f>IFERROR(VLOOKUP($A811,koronahun!$A:$AM,9,FALSE),"")</f>
        <v/>
      </c>
      <c r="J811" s="13" t="str">
        <f>IFERROR(VLOOKUP($A811,koronahun!$A:$AM,10,FALSE),"")</f>
        <v/>
      </c>
      <c r="K811" s="13" t="str">
        <f>IFERROR(VLOOKUP($A811,koronahun!$A:$AM,11,FALSE),"")</f>
        <v/>
      </c>
      <c r="L811" t="str">
        <f>IFERROR(VLOOKUP($A811,koronahun!$A:$AM,12,FALSE),"")</f>
        <v/>
      </c>
      <c r="M811" s="13" t="str">
        <f>IFERROR(VLOOKUP($A811,koronahun!$A:$AM,13,FALSE),"")</f>
        <v/>
      </c>
      <c r="N811" s="13" t="str">
        <f>IFERROR(VLOOKUP($A811,koronahun!$A:$AM,14,FALSE),"")</f>
        <v/>
      </c>
      <c r="O811" t="str">
        <f>IFERROR(VLOOKUP($A811,koronahun!$A:$AM,15,FALSE),"")</f>
        <v/>
      </c>
      <c r="P811" t="str">
        <f>IFERROR(VLOOKUP($A811,koronahun!$A:$AM,16,FALSE),"")</f>
        <v/>
      </c>
      <c r="Q811" s="13" t="str">
        <f>IFERROR(VLOOKUP($A811,koronahun!$A:$AM,17,FALSE),"")</f>
        <v/>
      </c>
      <c r="R811" t="str">
        <f>IFERROR(VLOOKUP($A811,koronahun!$A:$AM,18,FALSE),"")</f>
        <v/>
      </c>
      <c r="S811" t="str">
        <f>IFERROR(VLOOKUP($A811,koronahun!$A:$AM,19,FALSE),"")</f>
        <v/>
      </c>
      <c r="T811" t="str">
        <f>IFERROR(VLOOKUP($A811,koronahun!$A:$AM,20,FALSE),"")</f>
        <v/>
      </c>
      <c r="U811" t="str">
        <f>IFERROR(VLOOKUP($A811,koronahun!$A:$AM,21,FALSE),"")</f>
        <v/>
      </c>
      <c r="V811" s="13" t="str">
        <f>IFERROR(VLOOKUP($A811,koronahun!$A:$AM,22,FALSE),"")</f>
        <v/>
      </c>
      <c r="W811" t="str">
        <f>IFERROR(VLOOKUP($A811,koronahun!$A:$AM,23,FALSE),"")</f>
        <v/>
      </c>
      <c r="X811" t="str">
        <f>IFERROR(VLOOKUP($A811,koronahun!$A:$AM,24,FALSE),"")</f>
        <v/>
      </c>
      <c r="Y811" s="14" t="str">
        <f>IFERROR(VLOOKUP($A811,koronahun!$A:$AM,25,FALSE),"")</f>
        <v/>
      </c>
      <c r="Z811" s="14" t="str">
        <f>IFERROR(VLOOKUP($A811,koronahun!$A:$AM,26,FALSE),"")</f>
        <v/>
      </c>
      <c r="AA811" s="14" t="str">
        <f>IFERROR(VLOOKUP($A811,koronahun!$A:$AM,27,FALSE),"")</f>
        <v/>
      </c>
      <c r="AB811" s="14" t="str">
        <f>IFERROR(VLOOKUP($A811,koronahun!$A:$AM,28,FALSE),"")</f>
        <v/>
      </c>
      <c r="AC811" s="14" t="str">
        <f>IFERROR(VLOOKUP($A811,koronahun!$A:$AM,29,FALSE),"")</f>
        <v/>
      </c>
      <c r="AD811" s="14" t="str">
        <f>IFERROR(VLOOKUP($A811,koronahun!$A:$AM,30,FALSE),"")</f>
        <v/>
      </c>
      <c r="AE811" s="14" t="str">
        <f>IFERROR(VLOOKUP($A811,koronahun!$A:$AM,31,FALSE),"")</f>
        <v/>
      </c>
      <c r="AF811" s="13" t="str">
        <f>IFERROR(VLOOKUP($A811,koronahun!$A:$AM,32,FALSE),"")</f>
        <v/>
      </c>
      <c r="AG811" t="str">
        <f>IFERROR(VLOOKUP($A811,koronahun!$A:$AM,33,FALSE),"")</f>
        <v/>
      </c>
      <c r="AH811" t="str">
        <f>IFERROR(VLOOKUP($A811,koronahun!$A:$AM,34,FALSE),"")</f>
        <v/>
      </c>
      <c r="AI811" t="str">
        <f>IFERROR(VLOOKUP($A811,koronahun!$A:$AM,35,FALSE),"")</f>
        <v/>
      </c>
      <c r="AJ811" t="str">
        <f>IFERROR(VLOOKUP($A811,koronahun!$A:$AM,36,FALSE),"")</f>
        <v/>
      </c>
      <c r="AK811" t="str">
        <f>IFERROR(VLOOKUP($A811,koronahun!$A:$AM,37,FALSE),"")</f>
        <v/>
      </c>
      <c r="AL811" t="str">
        <f>IFERROR(VLOOKUP($A811,koronahun!$A:$AM,38,FALSE),"")</f>
        <v/>
      </c>
      <c r="AM811" s="14" t="str">
        <f>IFERROR(VLOOKUP($A811,koronahun!$A:$AM,39,FALSE),"")</f>
        <v/>
      </c>
      <c r="AN811" s="11">
        <f ca="1">IFERROR(__xludf.DUMMYFUNCTION("""COMPUTED_VALUE"""),44703)</f>
        <v>44703</v>
      </c>
      <c r="AO811" s="12">
        <f ca="1">IFERROR(VLOOKUP(AN811,koronahun!A:B,2,FALSE),"")</f>
        <v>0</v>
      </c>
      <c r="AP811" s="11">
        <f t="shared" ca="1" si="6"/>
        <v>44703</v>
      </c>
      <c r="AQ811" s="11"/>
      <c r="AR811" s="11"/>
      <c r="AS811" s="11"/>
      <c r="AT811" s="11"/>
    </row>
    <row r="812" spans="1:46" ht="13">
      <c r="A812" s="11"/>
      <c r="B812" t="str">
        <f>IFERROR(VLOOKUP($A812,koronahun!$A:$AM,2,FALSE),"")</f>
        <v/>
      </c>
      <c r="C812" t="str">
        <f>IFERROR(VLOOKUP($A812,koronahun!$A:$AM,3,FALSE),"")</f>
        <v/>
      </c>
      <c r="D812" t="str">
        <f>IFERROR(VLOOKUP($A812,koronahun!$A:$AM,4,FALSE),"")</f>
        <v/>
      </c>
      <c r="E812" t="str">
        <f>IFERROR(VLOOKUP($A812,koronahun!$A:$AM,5,FALSE),"")</f>
        <v/>
      </c>
      <c r="F812" t="str">
        <f>IFERROR(VLOOKUP($A812,koronahun!$A:$AM,6,FALSE),"")</f>
        <v/>
      </c>
      <c r="G812" s="12" t="str">
        <f>IFERROR(VLOOKUP($A812,koronahun!$A:$AM,7,FALSE),"")</f>
        <v/>
      </c>
      <c r="H812" t="str">
        <f>IFERROR(VLOOKUP($A812,koronahun!$A:$AM,8,FALSE),"")</f>
        <v/>
      </c>
      <c r="I812" s="13" t="str">
        <f>IFERROR(VLOOKUP($A812,koronahun!$A:$AM,9,FALSE),"")</f>
        <v/>
      </c>
      <c r="J812" s="13" t="str">
        <f>IFERROR(VLOOKUP($A812,koronahun!$A:$AM,10,FALSE),"")</f>
        <v/>
      </c>
      <c r="K812" s="13" t="str">
        <f>IFERROR(VLOOKUP($A812,koronahun!$A:$AM,11,FALSE),"")</f>
        <v/>
      </c>
      <c r="L812" t="str">
        <f>IFERROR(VLOOKUP($A812,koronahun!$A:$AM,12,FALSE),"")</f>
        <v/>
      </c>
      <c r="M812" s="13" t="str">
        <f>IFERROR(VLOOKUP($A812,koronahun!$A:$AM,13,FALSE),"")</f>
        <v/>
      </c>
      <c r="N812" s="13" t="str">
        <f>IFERROR(VLOOKUP($A812,koronahun!$A:$AM,14,FALSE),"")</f>
        <v/>
      </c>
      <c r="O812" t="str">
        <f>IFERROR(VLOOKUP($A812,koronahun!$A:$AM,15,FALSE),"")</f>
        <v/>
      </c>
      <c r="P812" t="str">
        <f>IFERROR(VLOOKUP($A812,koronahun!$A:$AM,16,FALSE),"")</f>
        <v/>
      </c>
      <c r="Q812" s="13" t="str">
        <f>IFERROR(VLOOKUP($A812,koronahun!$A:$AM,17,FALSE),"")</f>
        <v/>
      </c>
      <c r="R812" t="str">
        <f>IFERROR(VLOOKUP($A812,koronahun!$A:$AM,18,FALSE),"")</f>
        <v/>
      </c>
      <c r="S812" t="str">
        <f>IFERROR(VLOOKUP($A812,koronahun!$A:$AM,19,FALSE),"")</f>
        <v/>
      </c>
      <c r="T812" t="str">
        <f>IFERROR(VLOOKUP($A812,koronahun!$A:$AM,20,FALSE),"")</f>
        <v/>
      </c>
      <c r="U812" t="str">
        <f>IFERROR(VLOOKUP($A812,koronahun!$A:$AM,21,FALSE),"")</f>
        <v/>
      </c>
      <c r="V812" s="13" t="str">
        <f>IFERROR(VLOOKUP($A812,koronahun!$A:$AM,22,FALSE),"")</f>
        <v/>
      </c>
      <c r="W812" t="str">
        <f>IFERROR(VLOOKUP($A812,koronahun!$A:$AM,23,FALSE),"")</f>
        <v/>
      </c>
      <c r="X812" t="str">
        <f>IFERROR(VLOOKUP($A812,koronahun!$A:$AM,24,FALSE),"")</f>
        <v/>
      </c>
      <c r="Y812" s="14" t="str">
        <f>IFERROR(VLOOKUP($A812,koronahun!$A:$AM,25,FALSE),"")</f>
        <v/>
      </c>
      <c r="Z812" s="14" t="str">
        <f>IFERROR(VLOOKUP($A812,koronahun!$A:$AM,26,FALSE),"")</f>
        <v/>
      </c>
      <c r="AA812" s="14" t="str">
        <f>IFERROR(VLOOKUP($A812,koronahun!$A:$AM,27,FALSE),"")</f>
        <v/>
      </c>
      <c r="AB812" s="14" t="str">
        <f>IFERROR(VLOOKUP($A812,koronahun!$A:$AM,28,FALSE),"")</f>
        <v/>
      </c>
      <c r="AC812" s="14" t="str">
        <f>IFERROR(VLOOKUP($A812,koronahun!$A:$AM,29,FALSE),"")</f>
        <v/>
      </c>
      <c r="AD812" s="14" t="str">
        <f>IFERROR(VLOOKUP($A812,koronahun!$A:$AM,30,FALSE),"")</f>
        <v/>
      </c>
      <c r="AE812" s="14" t="str">
        <f>IFERROR(VLOOKUP($A812,koronahun!$A:$AM,31,FALSE),"")</f>
        <v/>
      </c>
      <c r="AF812" s="13" t="str">
        <f>IFERROR(VLOOKUP($A812,koronahun!$A:$AM,32,FALSE),"")</f>
        <v/>
      </c>
      <c r="AG812" t="str">
        <f>IFERROR(VLOOKUP($A812,koronahun!$A:$AM,33,FALSE),"")</f>
        <v/>
      </c>
      <c r="AH812" t="str">
        <f>IFERROR(VLOOKUP($A812,koronahun!$A:$AM,34,FALSE),"")</f>
        <v/>
      </c>
      <c r="AI812" t="str">
        <f>IFERROR(VLOOKUP($A812,koronahun!$A:$AM,35,FALSE),"")</f>
        <v/>
      </c>
      <c r="AJ812" t="str">
        <f>IFERROR(VLOOKUP($A812,koronahun!$A:$AM,36,FALSE),"")</f>
        <v/>
      </c>
      <c r="AK812" t="str">
        <f>IFERROR(VLOOKUP($A812,koronahun!$A:$AM,37,FALSE),"")</f>
        <v/>
      </c>
      <c r="AL812" t="str">
        <f>IFERROR(VLOOKUP($A812,koronahun!$A:$AM,38,FALSE),"")</f>
        <v/>
      </c>
      <c r="AM812" s="14" t="str">
        <f>IFERROR(VLOOKUP($A812,koronahun!$A:$AM,39,FALSE),"")</f>
        <v/>
      </c>
      <c r="AN812" s="11">
        <f ca="1">IFERROR(__xludf.DUMMYFUNCTION("""COMPUTED_VALUE"""),44704)</f>
        <v>44704</v>
      </c>
      <c r="AO812" s="12">
        <f ca="1">IFERROR(VLOOKUP(AN812,koronahun!A:B,2,FALSE),"")</f>
        <v>0</v>
      </c>
      <c r="AP812" s="11">
        <f t="shared" ca="1" si="6"/>
        <v>44704</v>
      </c>
      <c r="AQ812" s="11"/>
      <c r="AR812" s="11"/>
      <c r="AS812" s="11"/>
      <c r="AT812" s="11"/>
    </row>
    <row r="813" spans="1:46" ht="13">
      <c r="A813" s="11"/>
      <c r="B813" t="str">
        <f>IFERROR(VLOOKUP($A813,koronahun!$A:$AM,2,FALSE),"")</f>
        <v/>
      </c>
      <c r="C813" t="str">
        <f>IFERROR(VLOOKUP($A813,koronahun!$A:$AM,3,FALSE),"")</f>
        <v/>
      </c>
      <c r="D813" t="str">
        <f>IFERROR(VLOOKUP($A813,koronahun!$A:$AM,4,FALSE),"")</f>
        <v/>
      </c>
      <c r="E813" t="str">
        <f>IFERROR(VLOOKUP($A813,koronahun!$A:$AM,5,FALSE),"")</f>
        <v/>
      </c>
      <c r="F813" t="str">
        <f>IFERROR(VLOOKUP($A813,koronahun!$A:$AM,6,FALSE),"")</f>
        <v/>
      </c>
      <c r="G813" s="12" t="str">
        <f>IFERROR(VLOOKUP($A813,koronahun!$A:$AM,7,FALSE),"")</f>
        <v/>
      </c>
      <c r="H813" t="str">
        <f>IFERROR(VLOOKUP($A813,koronahun!$A:$AM,8,FALSE),"")</f>
        <v/>
      </c>
      <c r="I813" s="13" t="str">
        <f>IFERROR(VLOOKUP($A813,koronahun!$A:$AM,9,FALSE),"")</f>
        <v/>
      </c>
      <c r="J813" s="13" t="str">
        <f>IFERROR(VLOOKUP($A813,koronahun!$A:$AM,10,FALSE),"")</f>
        <v/>
      </c>
      <c r="K813" s="13" t="str">
        <f>IFERROR(VLOOKUP($A813,koronahun!$A:$AM,11,FALSE),"")</f>
        <v/>
      </c>
      <c r="L813" t="str">
        <f>IFERROR(VLOOKUP($A813,koronahun!$A:$AM,12,FALSE),"")</f>
        <v/>
      </c>
      <c r="M813" s="13" t="str">
        <f>IFERROR(VLOOKUP($A813,koronahun!$A:$AM,13,FALSE),"")</f>
        <v/>
      </c>
      <c r="N813" s="13" t="str">
        <f>IFERROR(VLOOKUP($A813,koronahun!$A:$AM,14,FALSE),"")</f>
        <v/>
      </c>
      <c r="O813" t="str">
        <f>IFERROR(VLOOKUP($A813,koronahun!$A:$AM,15,FALSE),"")</f>
        <v/>
      </c>
      <c r="P813" t="str">
        <f>IFERROR(VLOOKUP($A813,koronahun!$A:$AM,16,FALSE),"")</f>
        <v/>
      </c>
      <c r="Q813" s="13" t="str">
        <f>IFERROR(VLOOKUP($A813,koronahun!$A:$AM,17,FALSE),"")</f>
        <v/>
      </c>
      <c r="R813" t="str">
        <f>IFERROR(VLOOKUP($A813,koronahun!$A:$AM,18,FALSE),"")</f>
        <v/>
      </c>
      <c r="S813" t="str">
        <f>IFERROR(VLOOKUP($A813,koronahun!$A:$AM,19,FALSE),"")</f>
        <v/>
      </c>
      <c r="T813" t="str">
        <f>IFERROR(VLOOKUP($A813,koronahun!$A:$AM,20,FALSE),"")</f>
        <v/>
      </c>
      <c r="U813" t="str">
        <f>IFERROR(VLOOKUP($A813,koronahun!$A:$AM,21,FALSE),"")</f>
        <v/>
      </c>
      <c r="V813" s="13" t="str">
        <f>IFERROR(VLOOKUP($A813,koronahun!$A:$AM,22,FALSE),"")</f>
        <v/>
      </c>
      <c r="W813" t="str">
        <f>IFERROR(VLOOKUP($A813,koronahun!$A:$AM,23,FALSE),"")</f>
        <v/>
      </c>
      <c r="X813" t="str">
        <f>IFERROR(VLOOKUP($A813,koronahun!$A:$AM,24,FALSE),"")</f>
        <v/>
      </c>
      <c r="Y813" s="14" t="str">
        <f>IFERROR(VLOOKUP($A813,koronahun!$A:$AM,25,FALSE),"")</f>
        <v/>
      </c>
      <c r="Z813" s="14" t="str">
        <f>IFERROR(VLOOKUP($A813,koronahun!$A:$AM,26,FALSE),"")</f>
        <v/>
      </c>
      <c r="AA813" s="14" t="str">
        <f>IFERROR(VLOOKUP($A813,koronahun!$A:$AM,27,FALSE),"")</f>
        <v/>
      </c>
      <c r="AB813" s="14" t="str">
        <f>IFERROR(VLOOKUP($A813,koronahun!$A:$AM,28,FALSE),"")</f>
        <v/>
      </c>
      <c r="AC813" s="14" t="str">
        <f>IFERROR(VLOOKUP($A813,koronahun!$A:$AM,29,FALSE),"")</f>
        <v/>
      </c>
      <c r="AD813" s="14" t="str">
        <f>IFERROR(VLOOKUP($A813,koronahun!$A:$AM,30,FALSE),"")</f>
        <v/>
      </c>
      <c r="AE813" s="14" t="str">
        <f>IFERROR(VLOOKUP($A813,koronahun!$A:$AM,31,FALSE),"")</f>
        <v/>
      </c>
      <c r="AF813" s="13" t="str">
        <f>IFERROR(VLOOKUP($A813,koronahun!$A:$AM,32,FALSE),"")</f>
        <v/>
      </c>
      <c r="AG813" t="str">
        <f>IFERROR(VLOOKUP($A813,koronahun!$A:$AM,33,FALSE),"")</f>
        <v/>
      </c>
      <c r="AH813" t="str">
        <f>IFERROR(VLOOKUP($A813,koronahun!$A:$AM,34,FALSE),"")</f>
        <v/>
      </c>
      <c r="AI813" t="str">
        <f>IFERROR(VLOOKUP($A813,koronahun!$A:$AM,35,FALSE),"")</f>
        <v/>
      </c>
      <c r="AJ813" t="str">
        <f>IFERROR(VLOOKUP($A813,koronahun!$A:$AM,36,FALSE),"")</f>
        <v/>
      </c>
      <c r="AK813" t="str">
        <f>IFERROR(VLOOKUP($A813,koronahun!$A:$AM,37,FALSE),"")</f>
        <v/>
      </c>
      <c r="AL813" t="str">
        <f>IFERROR(VLOOKUP($A813,koronahun!$A:$AM,38,FALSE),"")</f>
        <v/>
      </c>
      <c r="AM813" s="14" t="str">
        <f>IFERROR(VLOOKUP($A813,koronahun!$A:$AM,39,FALSE),"")</f>
        <v/>
      </c>
      <c r="AN813" s="11">
        <f ca="1">IFERROR(__xludf.DUMMYFUNCTION("""COMPUTED_VALUE"""),44705)</f>
        <v>44705</v>
      </c>
      <c r="AO813" s="12">
        <f ca="1">IFERROR(VLOOKUP(AN813,koronahun!A:B,2,FALSE),"")</f>
        <v>0</v>
      </c>
      <c r="AP813" s="11">
        <f t="shared" ca="1" si="6"/>
        <v>44705</v>
      </c>
      <c r="AQ813" s="11"/>
      <c r="AR813" s="11"/>
      <c r="AS813" s="11"/>
      <c r="AT813" s="11"/>
    </row>
    <row r="814" spans="1:46" ht="13">
      <c r="A814" s="11"/>
      <c r="B814" t="str">
        <f>IFERROR(VLOOKUP($A814,koronahun!$A:$AM,2,FALSE),"")</f>
        <v/>
      </c>
      <c r="C814" t="str">
        <f>IFERROR(VLOOKUP($A814,koronahun!$A:$AM,3,FALSE),"")</f>
        <v/>
      </c>
      <c r="D814" t="str">
        <f>IFERROR(VLOOKUP($A814,koronahun!$A:$AM,4,FALSE),"")</f>
        <v/>
      </c>
      <c r="E814" t="str">
        <f>IFERROR(VLOOKUP($A814,koronahun!$A:$AM,5,FALSE),"")</f>
        <v/>
      </c>
      <c r="F814" t="str">
        <f>IFERROR(VLOOKUP($A814,koronahun!$A:$AM,6,FALSE),"")</f>
        <v/>
      </c>
      <c r="G814" s="12" t="str">
        <f>IFERROR(VLOOKUP($A814,koronahun!$A:$AM,7,FALSE),"")</f>
        <v/>
      </c>
      <c r="H814" t="str">
        <f>IFERROR(VLOOKUP($A814,koronahun!$A:$AM,8,FALSE),"")</f>
        <v/>
      </c>
      <c r="I814" s="13" t="str">
        <f>IFERROR(VLOOKUP($A814,koronahun!$A:$AM,9,FALSE),"")</f>
        <v/>
      </c>
      <c r="J814" s="13" t="str">
        <f>IFERROR(VLOOKUP($A814,koronahun!$A:$AM,10,FALSE),"")</f>
        <v/>
      </c>
      <c r="K814" s="13" t="str">
        <f>IFERROR(VLOOKUP($A814,koronahun!$A:$AM,11,FALSE),"")</f>
        <v/>
      </c>
      <c r="L814" t="str">
        <f>IFERROR(VLOOKUP($A814,koronahun!$A:$AM,12,FALSE),"")</f>
        <v/>
      </c>
      <c r="M814" s="13" t="str">
        <f>IFERROR(VLOOKUP($A814,koronahun!$A:$AM,13,FALSE),"")</f>
        <v/>
      </c>
      <c r="N814" s="13" t="str">
        <f>IFERROR(VLOOKUP($A814,koronahun!$A:$AM,14,FALSE),"")</f>
        <v/>
      </c>
      <c r="O814" t="str">
        <f>IFERROR(VLOOKUP($A814,koronahun!$A:$AM,15,FALSE),"")</f>
        <v/>
      </c>
      <c r="P814" t="str">
        <f>IFERROR(VLOOKUP($A814,koronahun!$A:$AM,16,FALSE),"")</f>
        <v/>
      </c>
      <c r="Q814" s="13" t="str">
        <f>IFERROR(VLOOKUP($A814,koronahun!$A:$AM,17,FALSE),"")</f>
        <v/>
      </c>
      <c r="R814" t="str">
        <f>IFERROR(VLOOKUP($A814,koronahun!$A:$AM,18,FALSE),"")</f>
        <v/>
      </c>
      <c r="S814" t="str">
        <f>IFERROR(VLOOKUP($A814,koronahun!$A:$AM,19,FALSE),"")</f>
        <v/>
      </c>
      <c r="T814" t="str">
        <f>IFERROR(VLOOKUP($A814,koronahun!$A:$AM,20,FALSE),"")</f>
        <v/>
      </c>
      <c r="U814" t="str">
        <f>IFERROR(VLOOKUP($A814,koronahun!$A:$AM,21,FALSE),"")</f>
        <v/>
      </c>
      <c r="V814" s="13" t="str">
        <f>IFERROR(VLOOKUP($A814,koronahun!$A:$AM,22,FALSE),"")</f>
        <v/>
      </c>
      <c r="W814" t="str">
        <f>IFERROR(VLOOKUP($A814,koronahun!$A:$AM,23,FALSE),"")</f>
        <v/>
      </c>
      <c r="X814" t="str">
        <f>IFERROR(VLOOKUP($A814,koronahun!$A:$AM,24,FALSE),"")</f>
        <v/>
      </c>
      <c r="Y814" s="14" t="str">
        <f>IFERROR(VLOOKUP($A814,koronahun!$A:$AM,25,FALSE),"")</f>
        <v/>
      </c>
      <c r="Z814" s="14" t="str">
        <f>IFERROR(VLOOKUP($A814,koronahun!$A:$AM,26,FALSE),"")</f>
        <v/>
      </c>
      <c r="AA814" s="14" t="str">
        <f>IFERROR(VLOOKUP($A814,koronahun!$A:$AM,27,FALSE),"")</f>
        <v/>
      </c>
      <c r="AB814" s="14" t="str">
        <f>IFERROR(VLOOKUP($A814,koronahun!$A:$AM,28,FALSE),"")</f>
        <v/>
      </c>
      <c r="AC814" s="14" t="str">
        <f>IFERROR(VLOOKUP($A814,koronahun!$A:$AM,29,FALSE),"")</f>
        <v/>
      </c>
      <c r="AD814" s="14" t="str">
        <f>IFERROR(VLOOKUP($A814,koronahun!$A:$AM,30,FALSE),"")</f>
        <v/>
      </c>
      <c r="AE814" s="14" t="str">
        <f>IFERROR(VLOOKUP($A814,koronahun!$A:$AM,31,FALSE),"")</f>
        <v/>
      </c>
      <c r="AF814" s="13" t="str">
        <f>IFERROR(VLOOKUP($A814,koronahun!$A:$AM,32,FALSE),"")</f>
        <v/>
      </c>
      <c r="AG814" t="str">
        <f>IFERROR(VLOOKUP($A814,koronahun!$A:$AM,33,FALSE),"")</f>
        <v/>
      </c>
      <c r="AH814" t="str">
        <f>IFERROR(VLOOKUP($A814,koronahun!$A:$AM,34,FALSE),"")</f>
        <v/>
      </c>
      <c r="AI814" t="str">
        <f>IFERROR(VLOOKUP($A814,koronahun!$A:$AM,35,FALSE),"")</f>
        <v/>
      </c>
      <c r="AJ814" t="str">
        <f>IFERROR(VLOOKUP($A814,koronahun!$A:$AM,36,FALSE),"")</f>
        <v/>
      </c>
      <c r="AK814" t="str">
        <f>IFERROR(VLOOKUP($A814,koronahun!$A:$AM,37,FALSE),"")</f>
        <v/>
      </c>
      <c r="AL814" t="str">
        <f>IFERROR(VLOOKUP($A814,koronahun!$A:$AM,38,FALSE),"")</f>
        <v/>
      </c>
      <c r="AM814" s="14" t="str">
        <f>IFERROR(VLOOKUP($A814,koronahun!$A:$AM,39,FALSE),"")</f>
        <v/>
      </c>
      <c r="AN814" s="11">
        <f ca="1">IFERROR(__xludf.DUMMYFUNCTION("""COMPUTED_VALUE"""),44706)</f>
        <v>44706</v>
      </c>
      <c r="AO814" s="12">
        <f ca="1">IFERROR(VLOOKUP(AN814,koronahun!A:B,2,FALSE),"")</f>
        <v>1917777</v>
      </c>
      <c r="AP814" s="11">
        <f t="shared" ca="1" si="6"/>
        <v>44706</v>
      </c>
      <c r="AQ814" s="11"/>
      <c r="AR814" s="11"/>
      <c r="AS814" s="11"/>
      <c r="AT814" s="11"/>
    </row>
    <row r="815" spans="1:46" ht="13">
      <c r="A815" s="11"/>
      <c r="B815" t="str">
        <f>IFERROR(VLOOKUP($A815,koronahun!$A:$AM,2,FALSE),"")</f>
        <v/>
      </c>
      <c r="C815" t="str">
        <f>IFERROR(VLOOKUP($A815,koronahun!$A:$AM,3,FALSE),"")</f>
        <v/>
      </c>
      <c r="D815" t="str">
        <f>IFERROR(VLOOKUP($A815,koronahun!$A:$AM,4,FALSE),"")</f>
        <v/>
      </c>
      <c r="E815" t="str">
        <f>IFERROR(VLOOKUP($A815,koronahun!$A:$AM,5,FALSE),"")</f>
        <v/>
      </c>
      <c r="F815" t="str">
        <f>IFERROR(VLOOKUP($A815,koronahun!$A:$AM,6,FALSE),"")</f>
        <v/>
      </c>
      <c r="G815" s="12" t="str">
        <f>IFERROR(VLOOKUP($A815,koronahun!$A:$AM,7,FALSE),"")</f>
        <v/>
      </c>
      <c r="H815" t="str">
        <f>IFERROR(VLOOKUP($A815,koronahun!$A:$AM,8,FALSE),"")</f>
        <v/>
      </c>
      <c r="I815" s="13" t="str">
        <f>IFERROR(VLOOKUP($A815,koronahun!$A:$AM,9,FALSE),"")</f>
        <v/>
      </c>
      <c r="J815" s="13" t="str">
        <f>IFERROR(VLOOKUP($A815,koronahun!$A:$AM,10,FALSE),"")</f>
        <v/>
      </c>
      <c r="K815" s="13" t="str">
        <f>IFERROR(VLOOKUP($A815,koronahun!$A:$AM,11,FALSE),"")</f>
        <v/>
      </c>
      <c r="L815" t="str">
        <f>IFERROR(VLOOKUP($A815,koronahun!$A:$AM,12,FALSE),"")</f>
        <v/>
      </c>
      <c r="M815" s="13" t="str">
        <f>IFERROR(VLOOKUP($A815,koronahun!$A:$AM,13,FALSE),"")</f>
        <v/>
      </c>
      <c r="N815" s="13" t="str">
        <f>IFERROR(VLOOKUP($A815,koronahun!$A:$AM,14,FALSE),"")</f>
        <v/>
      </c>
      <c r="O815" t="str">
        <f>IFERROR(VLOOKUP($A815,koronahun!$A:$AM,15,FALSE),"")</f>
        <v/>
      </c>
      <c r="P815" t="str">
        <f>IFERROR(VLOOKUP($A815,koronahun!$A:$AM,16,FALSE),"")</f>
        <v/>
      </c>
      <c r="Q815" s="13" t="str">
        <f>IFERROR(VLOOKUP($A815,koronahun!$A:$AM,17,FALSE),"")</f>
        <v/>
      </c>
      <c r="R815" t="str">
        <f>IFERROR(VLOOKUP($A815,koronahun!$A:$AM,18,FALSE),"")</f>
        <v/>
      </c>
      <c r="S815" t="str">
        <f>IFERROR(VLOOKUP($A815,koronahun!$A:$AM,19,FALSE),"")</f>
        <v/>
      </c>
      <c r="T815" t="str">
        <f>IFERROR(VLOOKUP($A815,koronahun!$A:$AM,20,FALSE),"")</f>
        <v/>
      </c>
      <c r="U815" t="str">
        <f>IFERROR(VLOOKUP($A815,koronahun!$A:$AM,21,FALSE),"")</f>
        <v/>
      </c>
      <c r="V815" s="13" t="str">
        <f>IFERROR(VLOOKUP($A815,koronahun!$A:$AM,22,FALSE),"")</f>
        <v/>
      </c>
      <c r="W815" t="str">
        <f>IFERROR(VLOOKUP($A815,koronahun!$A:$AM,23,FALSE),"")</f>
        <v/>
      </c>
      <c r="X815" t="str">
        <f>IFERROR(VLOOKUP($A815,koronahun!$A:$AM,24,FALSE),"")</f>
        <v/>
      </c>
      <c r="Y815" s="14" t="str">
        <f>IFERROR(VLOOKUP($A815,koronahun!$A:$AM,25,FALSE),"")</f>
        <v/>
      </c>
      <c r="Z815" s="14" t="str">
        <f>IFERROR(VLOOKUP($A815,koronahun!$A:$AM,26,FALSE),"")</f>
        <v/>
      </c>
      <c r="AA815" s="14" t="str">
        <f>IFERROR(VLOOKUP($A815,koronahun!$A:$AM,27,FALSE),"")</f>
        <v/>
      </c>
      <c r="AB815" s="14" t="str">
        <f>IFERROR(VLOOKUP($A815,koronahun!$A:$AM,28,FALSE),"")</f>
        <v/>
      </c>
      <c r="AC815" s="14" t="str">
        <f>IFERROR(VLOOKUP($A815,koronahun!$A:$AM,29,FALSE),"")</f>
        <v/>
      </c>
      <c r="AD815" s="14" t="str">
        <f>IFERROR(VLOOKUP($A815,koronahun!$A:$AM,30,FALSE),"")</f>
        <v/>
      </c>
      <c r="AE815" s="14" t="str">
        <f>IFERROR(VLOOKUP($A815,koronahun!$A:$AM,31,FALSE),"")</f>
        <v/>
      </c>
      <c r="AF815" s="13" t="str">
        <f>IFERROR(VLOOKUP($A815,koronahun!$A:$AM,32,FALSE),"")</f>
        <v/>
      </c>
      <c r="AG815" t="str">
        <f>IFERROR(VLOOKUP($A815,koronahun!$A:$AM,33,FALSE),"")</f>
        <v/>
      </c>
      <c r="AH815" t="str">
        <f>IFERROR(VLOOKUP($A815,koronahun!$A:$AM,34,FALSE),"")</f>
        <v/>
      </c>
      <c r="AI815" t="str">
        <f>IFERROR(VLOOKUP($A815,koronahun!$A:$AM,35,FALSE),"")</f>
        <v/>
      </c>
      <c r="AJ815" t="str">
        <f>IFERROR(VLOOKUP($A815,koronahun!$A:$AM,36,FALSE),"")</f>
        <v/>
      </c>
      <c r="AK815" t="str">
        <f>IFERROR(VLOOKUP($A815,koronahun!$A:$AM,37,FALSE),"")</f>
        <v/>
      </c>
      <c r="AL815" t="str">
        <f>IFERROR(VLOOKUP($A815,koronahun!$A:$AM,38,FALSE),"")</f>
        <v/>
      </c>
      <c r="AM815" s="14" t="str">
        <f>IFERROR(VLOOKUP($A815,koronahun!$A:$AM,39,FALSE),"")</f>
        <v/>
      </c>
      <c r="AN815" s="11">
        <f ca="1">IFERROR(__xludf.DUMMYFUNCTION("""COMPUTED_VALUE"""),44707)</f>
        <v>44707</v>
      </c>
      <c r="AO815" s="12">
        <f ca="1">IFERROR(VLOOKUP(AN815,koronahun!A:B,2,FALSE),"")</f>
        <v>0</v>
      </c>
      <c r="AP815" s="11">
        <f t="shared" ca="1" si="6"/>
        <v>44707</v>
      </c>
      <c r="AQ815" s="11"/>
      <c r="AR815" s="11"/>
      <c r="AS815" s="11"/>
      <c r="AT815" s="11"/>
    </row>
    <row r="816" spans="1:46" ht="13">
      <c r="A816" s="11"/>
      <c r="B816" t="str">
        <f>IFERROR(VLOOKUP($A816,koronahun!$A:$AM,2,FALSE),"")</f>
        <v/>
      </c>
      <c r="C816" t="str">
        <f>IFERROR(VLOOKUP($A816,koronahun!$A:$AM,3,FALSE),"")</f>
        <v/>
      </c>
      <c r="D816" t="str">
        <f>IFERROR(VLOOKUP($A816,koronahun!$A:$AM,4,FALSE),"")</f>
        <v/>
      </c>
      <c r="E816" t="str">
        <f>IFERROR(VLOOKUP($A816,koronahun!$A:$AM,5,FALSE),"")</f>
        <v/>
      </c>
      <c r="F816" t="str">
        <f>IFERROR(VLOOKUP($A816,koronahun!$A:$AM,6,FALSE),"")</f>
        <v/>
      </c>
      <c r="G816" s="12" t="str">
        <f>IFERROR(VLOOKUP($A816,koronahun!$A:$AM,7,FALSE),"")</f>
        <v/>
      </c>
      <c r="H816" t="str">
        <f>IFERROR(VLOOKUP($A816,koronahun!$A:$AM,8,FALSE),"")</f>
        <v/>
      </c>
      <c r="I816" s="13" t="str">
        <f>IFERROR(VLOOKUP($A816,koronahun!$A:$AM,9,FALSE),"")</f>
        <v/>
      </c>
      <c r="J816" s="13" t="str">
        <f>IFERROR(VLOOKUP($A816,koronahun!$A:$AM,10,FALSE),"")</f>
        <v/>
      </c>
      <c r="K816" s="13" t="str">
        <f>IFERROR(VLOOKUP($A816,koronahun!$A:$AM,11,FALSE),"")</f>
        <v/>
      </c>
      <c r="L816" t="str">
        <f>IFERROR(VLOOKUP($A816,koronahun!$A:$AM,12,FALSE),"")</f>
        <v/>
      </c>
      <c r="M816" s="13" t="str">
        <f>IFERROR(VLOOKUP($A816,koronahun!$A:$AM,13,FALSE),"")</f>
        <v/>
      </c>
      <c r="N816" s="13" t="str">
        <f>IFERROR(VLOOKUP($A816,koronahun!$A:$AM,14,FALSE),"")</f>
        <v/>
      </c>
      <c r="O816" t="str">
        <f>IFERROR(VLOOKUP($A816,koronahun!$A:$AM,15,FALSE),"")</f>
        <v/>
      </c>
      <c r="P816" t="str">
        <f>IFERROR(VLOOKUP($A816,koronahun!$A:$AM,16,FALSE),"")</f>
        <v/>
      </c>
      <c r="Q816" s="13" t="str">
        <f>IFERROR(VLOOKUP($A816,koronahun!$A:$AM,17,FALSE),"")</f>
        <v/>
      </c>
      <c r="R816" t="str">
        <f>IFERROR(VLOOKUP($A816,koronahun!$A:$AM,18,FALSE),"")</f>
        <v/>
      </c>
      <c r="S816" t="str">
        <f>IFERROR(VLOOKUP($A816,koronahun!$A:$AM,19,FALSE),"")</f>
        <v/>
      </c>
      <c r="T816" t="str">
        <f>IFERROR(VLOOKUP($A816,koronahun!$A:$AM,20,FALSE),"")</f>
        <v/>
      </c>
      <c r="U816" t="str">
        <f>IFERROR(VLOOKUP($A816,koronahun!$A:$AM,21,FALSE),"")</f>
        <v/>
      </c>
      <c r="V816" s="13" t="str">
        <f>IFERROR(VLOOKUP($A816,koronahun!$A:$AM,22,FALSE),"")</f>
        <v/>
      </c>
      <c r="W816" t="str">
        <f>IFERROR(VLOOKUP($A816,koronahun!$A:$AM,23,FALSE),"")</f>
        <v/>
      </c>
      <c r="X816" t="str">
        <f>IFERROR(VLOOKUP($A816,koronahun!$A:$AM,24,FALSE),"")</f>
        <v/>
      </c>
      <c r="Y816" s="14" t="str">
        <f>IFERROR(VLOOKUP($A816,koronahun!$A:$AM,25,FALSE),"")</f>
        <v/>
      </c>
      <c r="Z816" s="14" t="str">
        <f>IFERROR(VLOOKUP($A816,koronahun!$A:$AM,26,FALSE),"")</f>
        <v/>
      </c>
      <c r="AA816" s="14" t="str">
        <f>IFERROR(VLOOKUP($A816,koronahun!$A:$AM,27,FALSE),"")</f>
        <v/>
      </c>
      <c r="AB816" s="14" t="str">
        <f>IFERROR(VLOOKUP($A816,koronahun!$A:$AM,28,FALSE),"")</f>
        <v/>
      </c>
      <c r="AC816" s="14" t="str">
        <f>IFERROR(VLOOKUP($A816,koronahun!$A:$AM,29,FALSE),"")</f>
        <v/>
      </c>
      <c r="AD816" s="14" t="str">
        <f>IFERROR(VLOOKUP($A816,koronahun!$A:$AM,30,FALSE),"")</f>
        <v/>
      </c>
      <c r="AE816" s="14" t="str">
        <f>IFERROR(VLOOKUP($A816,koronahun!$A:$AM,31,FALSE),"")</f>
        <v/>
      </c>
      <c r="AF816" s="13" t="str">
        <f>IFERROR(VLOOKUP($A816,koronahun!$A:$AM,32,FALSE),"")</f>
        <v/>
      </c>
      <c r="AG816" t="str">
        <f>IFERROR(VLOOKUP($A816,koronahun!$A:$AM,33,FALSE),"")</f>
        <v/>
      </c>
      <c r="AH816" t="str">
        <f>IFERROR(VLOOKUP($A816,koronahun!$A:$AM,34,FALSE),"")</f>
        <v/>
      </c>
      <c r="AI816" t="str">
        <f>IFERROR(VLOOKUP($A816,koronahun!$A:$AM,35,FALSE),"")</f>
        <v/>
      </c>
      <c r="AJ816" t="str">
        <f>IFERROR(VLOOKUP($A816,koronahun!$A:$AM,36,FALSE),"")</f>
        <v/>
      </c>
      <c r="AK816" t="str">
        <f>IFERROR(VLOOKUP($A816,koronahun!$A:$AM,37,FALSE),"")</f>
        <v/>
      </c>
      <c r="AL816" t="str">
        <f>IFERROR(VLOOKUP($A816,koronahun!$A:$AM,38,FALSE),"")</f>
        <v/>
      </c>
      <c r="AM816" s="14" t="str">
        <f>IFERROR(VLOOKUP($A816,koronahun!$A:$AM,39,FALSE),"")</f>
        <v/>
      </c>
      <c r="AN816" s="11">
        <f ca="1">IFERROR(__xludf.DUMMYFUNCTION("""COMPUTED_VALUE"""),44708)</f>
        <v>44708</v>
      </c>
      <c r="AO816" s="12">
        <f ca="1">IFERROR(VLOOKUP(AN816,koronahun!A:B,2,FALSE),"")</f>
        <v>0</v>
      </c>
      <c r="AP816" s="11">
        <f t="shared" ca="1" si="6"/>
        <v>44708</v>
      </c>
      <c r="AQ816" s="11"/>
      <c r="AR816" s="11"/>
      <c r="AS816" s="11"/>
      <c r="AT816" s="11"/>
    </row>
    <row r="817" spans="1:46" ht="13">
      <c r="A817" s="11"/>
      <c r="B817" t="str">
        <f>IFERROR(VLOOKUP($A817,koronahun!$A:$AM,2,FALSE),"")</f>
        <v/>
      </c>
      <c r="C817" t="str">
        <f>IFERROR(VLOOKUP($A817,koronahun!$A:$AM,3,FALSE),"")</f>
        <v/>
      </c>
      <c r="D817" t="str">
        <f>IFERROR(VLOOKUP($A817,koronahun!$A:$AM,4,FALSE),"")</f>
        <v/>
      </c>
      <c r="E817" t="str">
        <f>IFERROR(VLOOKUP($A817,koronahun!$A:$AM,5,FALSE),"")</f>
        <v/>
      </c>
      <c r="F817" t="str">
        <f>IFERROR(VLOOKUP($A817,koronahun!$A:$AM,6,FALSE),"")</f>
        <v/>
      </c>
      <c r="G817" s="12" t="str">
        <f>IFERROR(VLOOKUP($A817,koronahun!$A:$AM,7,FALSE),"")</f>
        <v/>
      </c>
      <c r="H817" t="str">
        <f>IFERROR(VLOOKUP($A817,koronahun!$A:$AM,8,FALSE),"")</f>
        <v/>
      </c>
      <c r="I817" s="13" t="str">
        <f>IFERROR(VLOOKUP($A817,koronahun!$A:$AM,9,FALSE),"")</f>
        <v/>
      </c>
      <c r="J817" s="13" t="str">
        <f>IFERROR(VLOOKUP($A817,koronahun!$A:$AM,10,FALSE),"")</f>
        <v/>
      </c>
      <c r="K817" s="13" t="str">
        <f>IFERROR(VLOOKUP($A817,koronahun!$A:$AM,11,FALSE),"")</f>
        <v/>
      </c>
      <c r="L817" t="str">
        <f>IFERROR(VLOOKUP($A817,koronahun!$A:$AM,12,FALSE),"")</f>
        <v/>
      </c>
      <c r="M817" s="13" t="str">
        <f>IFERROR(VLOOKUP($A817,koronahun!$A:$AM,13,FALSE),"")</f>
        <v/>
      </c>
      <c r="N817" s="13" t="str">
        <f>IFERROR(VLOOKUP($A817,koronahun!$A:$AM,14,FALSE),"")</f>
        <v/>
      </c>
      <c r="O817" t="str">
        <f>IFERROR(VLOOKUP($A817,koronahun!$A:$AM,15,FALSE),"")</f>
        <v/>
      </c>
      <c r="P817" t="str">
        <f>IFERROR(VLOOKUP($A817,koronahun!$A:$AM,16,FALSE),"")</f>
        <v/>
      </c>
      <c r="Q817" s="13" t="str">
        <f>IFERROR(VLOOKUP($A817,koronahun!$A:$AM,17,FALSE),"")</f>
        <v/>
      </c>
      <c r="R817" t="str">
        <f>IFERROR(VLOOKUP($A817,koronahun!$A:$AM,18,FALSE),"")</f>
        <v/>
      </c>
      <c r="S817" t="str">
        <f>IFERROR(VLOOKUP($A817,koronahun!$A:$AM,19,FALSE),"")</f>
        <v/>
      </c>
      <c r="T817" t="str">
        <f>IFERROR(VLOOKUP($A817,koronahun!$A:$AM,20,FALSE),"")</f>
        <v/>
      </c>
      <c r="U817" t="str">
        <f>IFERROR(VLOOKUP($A817,koronahun!$A:$AM,21,FALSE),"")</f>
        <v/>
      </c>
      <c r="V817" s="13" t="str">
        <f>IFERROR(VLOOKUP($A817,koronahun!$A:$AM,22,FALSE),"")</f>
        <v/>
      </c>
      <c r="W817" t="str">
        <f>IFERROR(VLOOKUP($A817,koronahun!$A:$AM,23,FALSE),"")</f>
        <v/>
      </c>
      <c r="X817" t="str">
        <f>IFERROR(VLOOKUP($A817,koronahun!$A:$AM,24,FALSE),"")</f>
        <v/>
      </c>
      <c r="Y817" s="14" t="str">
        <f>IFERROR(VLOOKUP($A817,koronahun!$A:$AM,25,FALSE),"")</f>
        <v/>
      </c>
      <c r="Z817" s="14" t="str">
        <f>IFERROR(VLOOKUP($A817,koronahun!$A:$AM,26,FALSE),"")</f>
        <v/>
      </c>
      <c r="AA817" s="14" t="str">
        <f>IFERROR(VLOOKUP($A817,koronahun!$A:$AM,27,FALSE),"")</f>
        <v/>
      </c>
      <c r="AB817" s="14" t="str">
        <f>IFERROR(VLOOKUP($A817,koronahun!$A:$AM,28,FALSE),"")</f>
        <v/>
      </c>
      <c r="AC817" s="14" t="str">
        <f>IFERROR(VLOOKUP($A817,koronahun!$A:$AM,29,FALSE),"")</f>
        <v/>
      </c>
      <c r="AD817" s="14" t="str">
        <f>IFERROR(VLOOKUP($A817,koronahun!$A:$AM,30,FALSE),"")</f>
        <v/>
      </c>
      <c r="AE817" s="14" t="str">
        <f>IFERROR(VLOOKUP($A817,koronahun!$A:$AM,31,FALSE),"")</f>
        <v/>
      </c>
      <c r="AF817" s="13" t="str">
        <f>IFERROR(VLOOKUP($A817,koronahun!$A:$AM,32,FALSE),"")</f>
        <v/>
      </c>
      <c r="AG817" t="str">
        <f>IFERROR(VLOOKUP($A817,koronahun!$A:$AM,33,FALSE),"")</f>
        <v/>
      </c>
      <c r="AH817" t="str">
        <f>IFERROR(VLOOKUP($A817,koronahun!$A:$AM,34,FALSE),"")</f>
        <v/>
      </c>
      <c r="AI817" t="str">
        <f>IFERROR(VLOOKUP($A817,koronahun!$A:$AM,35,FALSE),"")</f>
        <v/>
      </c>
      <c r="AJ817" t="str">
        <f>IFERROR(VLOOKUP($A817,koronahun!$A:$AM,36,FALSE),"")</f>
        <v/>
      </c>
      <c r="AK817" t="str">
        <f>IFERROR(VLOOKUP($A817,koronahun!$A:$AM,37,FALSE),"")</f>
        <v/>
      </c>
      <c r="AL817" t="str">
        <f>IFERROR(VLOOKUP($A817,koronahun!$A:$AM,38,FALSE),"")</f>
        <v/>
      </c>
      <c r="AM817" s="14" t="str">
        <f>IFERROR(VLOOKUP($A817,koronahun!$A:$AM,39,FALSE),"")</f>
        <v/>
      </c>
      <c r="AN817" s="11">
        <f ca="1">IFERROR(__xludf.DUMMYFUNCTION("""COMPUTED_VALUE"""),44709)</f>
        <v>44709</v>
      </c>
      <c r="AO817" s="12">
        <f ca="1">IFERROR(VLOOKUP(AN817,koronahun!A:B,2,FALSE),"")</f>
        <v>0</v>
      </c>
      <c r="AP817" s="11">
        <f t="shared" ca="1" si="6"/>
        <v>44709</v>
      </c>
      <c r="AQ817" s="11"/>
      <c r="AR817" s="11"/>
      <c r="AS817" s="11"/>
      <c r="AT817" s="11"/>
    </row>
    <row r="818" spans="1:46" ht="13">
      <c r="A818" s="11"/>
      <c r="B818" t="str">
        <f>IFERROR(VLOOKUP($A818,koronahun!$A:$AM,2,FALSE),"")</f>
        <v/>
      </c>
      <c r="C818" t="str">
        <f>IFERROR(VLOOKUP($A818,koronahun!$A:$AM,3,FALSE),"")</f>
        <v/>
      </c>
      <c r="D818" t="str">
        <f>IFERROR(VLOOKUP($A818,koronahun!$A:$AM,4,FALSE),"")</f>
        <v/>
      </c>
      <c r="E818" t="str">
        <f>IFERROR(VLOOKUP($A818,koronahun!$A:$AM,5,FALSE),"")</f>
        <v/>
      </c>
      <c r="F818" t="str">
        <f>IFERROR(VLOOKUP($A818,koronahun!$A:$AM,6,FALSE),"")</f>
        <v/>
      </c>
      <c r="G818" s="12" t="str">
        <f>IFERROR(VLOOKUP($A818,koronahun!$A:$AM,7,FALSE),"")</f>
        <v/>
      </c>
      <c r="H818" t="str">
        <f>IFERROR(VLOOKUP($A818,koronahun!$A:$AM,8,FALSE),"")</f>
        <v/>
      </c>
      <c r="I818" s="13" t="str">
        <f>IFERROR(VLOOKUP($A818,koronahun!$A:$AM,9,FALSE),"")</f>
        <v/>
      </c>
      <c r="J818" s="13" t="str">
        <f>IFERROR(VLOOKUP($A818,koronahun!$A:$AM,10,FALSE),"")</f>
        <v/>
      </c>
      <c r="K818" s="13" t="str">
        <f>IFERROR(VLOOKUP($A818,koronahun!$A:$AM,11,FALSE),"")</f>
        <v/>
      </c>
      <c r="L818" t="str">
        <f>IFERROR(VLOOKUP($A818,koronahun!$A:$AM,12,FALSE),"")</f>
        <v/>
      </c>
      <c r="M818" s="13" t="str">
        <f>IFERROR(VLOOKUP($A818,koronahun!$A:$AM,13,FALSE),"")</f>
        <v/>
      </c>
      <c r="N818" s="13" t="str">
        <f>IFERROR(VLOOKUP($A818,koronahun!$A:$AM,14,FALSE),"")</f>
        <v/>
      </c>
      <c r="O818" t="str">
        <f>IFERROR(VLOOKUP($A818,koronahun!$A:$AM,15,FALSE),"")</f>
        <v/>
      </c>
      <c r="P818" t="str">
        <f>IFERROR(VLOOKUP($A818,koronahun!$A:$AM,16,FALSE),"")</f>
        <v/>
      </c>
      <c r="Q818" s="13" t="str">
        <f>IFERROR(VLOOKUP($A818,koronahun!$A:$AM,17,FALSE),"")</f>
        <v/>
      </c>
      <c r="R818" t="str">
        <f>IFERROR(VLOOKUP($A818,koronahun!$A:$AM,18,FALSE),"")</f>
        <v/>
      </c>
      <c r="S818" t="str">
        <f>IFERROR(VLOOKUP($A818,koronahun!$A:$AM,19,FALSE),"")</f>
        <v/>
      </c>
      <c r="T818" t="str">
        <f>IFERROR(VLOOKUP($A818,koronahun!$A:$AM,20,FALSE),"")</f>
        <v/>
      </c>
      <c r="U818" t="str">
        <f>IFERROR(VLOOKUP($A818,koronahun!$A:$AM,21,FALSE),"")</f>
        <v/>
      </c>
      <c r="V818" s="13" t="str">
        <f>IFERROR(VLOOKUP($A818,koronahun!$A:$AM,22,FALSE),"")</f>
        <v/>
      </c>
      <c r="W818" t="str">
        <f>IFERROR(VLOOKUP($A818,koronahun!$A:$AM,23,FALSE),"")</f>
        <v/>
      </c>
      <c r="X818" t="str">
        <f>IFERROR(VLOOKUP($A818,koronahun!$A:$AM,24,FALSE),"")</f>
        <v/>
      </c>
      <c r="Y818" s="14" t="str">
        <f>IFERROR(VLOOKUP($A818,koronahun!$A:$AM,25,FALSE),"")</f>
        <v/>
      </c>
      <c r="Z818" s="14" t="str">
        <f>IFERROR(VLOOKUP($A818,koronahun!$A:$AM,26,FALSE),"")</f>
        <v/>
      </c>
      <c r="AA818" s="14" t="str">
        <f>IFERROR(VLOOKUP($A818,koronahun!$A:$AM,27,FALSE),"")</f>
        <v/>
      </c>
      <c r="AB818" s="14" t="str">
        <f>IFERROR(VLOOKUP($A818,koronahun!$A:$AM,28,FALSE),"")</f>
        <v/>
      </c>
      <c r="AC818" s="14" t="str">
        <f>IFERROR(VLOOKUP($A818,koronahun!$A:$AM,29,FALSE),"")</f>
        <v/>
      </c>
      <c r="AD818" s="14" t="str">
        <f>IFERROR(VLOOKUP($A818,koronahun!$A:$AM,30,FALSE),"")</f>
        <v/>
      </c>
      <c r="AE818" s="14" t="str">
        <f>IFERROR(VLOOKUP($A818,koronahun!$A:$AM,31,FALSE),"")</f>
        <v/>
      </c>
      <c r="AF818" s="13" t="str">
        <f>IFERROR(VLOOKUP($A818,koronahun!$A:$AM,32,FALSE),"")</f>
        <v/>
      </c>
      <c r="AG818" t="str">
        <f>IFERROR(VLOOKUP($A818,koronahun!$A:$AM,33,FALSE),"")</f>
        <v/>
      </c>
      <c r="AH818" t="str">
        <f>IFERROR(VLOOKUP($A818,koronahun!$A:$AM,34,FALSE),"")</f>
        <v/>
      </c>
      <c r="AI818" t="str">
        <f>IFERROR(VLOOKUP($A818,koronahun!$A:$AM,35,FALSE),"")</f>
        <v/>
      </c>
      <c r="AJ818" t="str">
        <f>IFERROR(VLOOKUP($A818,koronahun!$A:$AM,36,FALSE),"")</f>
        <v/>
      </c>
      <c r="AK818" t="str">
        <f>IFERROR(VLOOKUP($A818,koronahun!$A:$AM,37,FALSE),"")</f>
        <v/>
      </c>
      <c r="AL818" t="str">
        <f>IFERROR(VLOOKUP($A818,koronahun!$A:$AM,38,FALSE),"")</f>
        <v/>
      </c>
      <c r="AM818" s="14" t="str">
        <f>IFERROR(VLOOKUP($A818,koronahun!$A:$AM,39,FALSE),"")</f>
        <v/>
      </c>
      <c r="AN818" s="11">
        <f ca="1">IFERROR(__xludf.DUMMYFUNCTION("""COMPUTED_VALUE"""),44710)</f>
        <v>44710</v>
      </c>
      <c r="AO818" s="12">
        <f ca="1">IFERROR(VLOOKUP(AN818,koronahun!A:B,2,FALSE),"")</f>
        <v>0</v>
      </c>
      <c r="AP818" s="11">
        <f t="shared" ca="1" si="6"/>
        <v>44710</v>
      </c>
      <c r="AQ818" s="11"/>
      <c r="AR818" s="11"/>
      <c r="AS818" s="11"/>
      <c r="AT818" s="11"/>
    </row>
    <row r="819" spans="1:46" ht="13">
      <c r="A819" s="11"/>
      <c r="B819" t="str">
        <f>IFERROR(VLOOKUP($A819,koronahun!$A:$AM,2,FALSE),"")</f>
        <v/>
      </c>
      <c r="C819" t="str">
        <f>IFERROR(VLOOKUP($A819,koronahun!$A:$AM,3,FALSE),"")</f>
        <v/>
      </c>
      <c r="D819" t="str">
        <f>IFERROR(VLOOKUP($A819,koronahun!$A:$AM,4,FALSE),"")</f>
        <v/>
      </c>
      <c r="E819" t="str">
        <f>IFERROR(VLOOKUP($A819,koronahun!$A:$AM,5,FALSE),"")</f>
        <v/>
      </c>
      <c r="F819" t="str">
        <f>IFERROR(VLOOKUP($A819,koronahun!$A:$AM,6,FALSE),"")</f>
        <v/>
      </c>
      <c r="G819" s="12" t="str">
        <f>IFERROR(VLOOKUP($A819,koronahun!$A:$AM,7,FALSE),"")</f>
        <v/>
      </c>
      <c r="H819" t="str">
        <f>IFERROR(VLOOKUP($A819,koronahun!$A:$AM,8,FALSE),"")</f>
        <v/>
      </c>
      <c r="I819" s="13" t="str">
        <f>IFERROR(VLOOKUP($A819,koronahun!$A:$AM,9,FALSE),"")</f>
        <v/>
      </c>
      <c r="J819" s="13" t="str">
        <f>IFERROR(VLOOKUP($A819,koronahun!$A:$AM,10,FALSE),"")</f>
        <v/>
      </c>
      <c r="K819" s="13" t="str">
        <f>IFERROR(VLOOKUP($A819,koronahun!$A:$AM,11,FALSE),"")</f>
        <v/>
      </c>
      <c r="L819" t="str">
        <f>IFERROR(VLOOKUP($A819,koronahun!$A:$AM,12,FALSE),"")</f>
        <v/>
      </c>
      <c r="M819" s="13" t="str">
        <f>IFERROR(VLOOKUP($A819,koronahun!$A:$AM,13,FALSE),"")</f>
        <v/>
      </c>
      <c r="N819" s="13" t="str">
        <f>IFERROR(VLOOKUP($A819,koronahun!$A:$AM,14,FALSE),"")</f>
        <v/>
      </c>
      <c r="O819" t="str">
        <f>IFERROR(VLOOKUP($A819,koronahun!$A:$AM,15,FALSE),"")</f>
        <v/>
      </c>
      <c r="P819" t="str">
        <f>IFERROR(VLOOKUP($A819,koronahun!$A:$AM,16,FALSE),"")</f>
        <v/>
      </c>
      <c r="Q819" s="13" t="str">
        <f>IFERROR(VLOOKUP($A819,koronahun!$A:$AM,17,FALSE),"")</f>
        <v/>
      </c>
      <c r="R819" t="str">
        <f>IFERROR(VLOOKUP($A819,koronahun!$A:$AM,18,FALSE),"")</f>
        <v/>
      </c>
      <c r="S819" t="str">
        <f>IFERROR(VLOOKUP($A819,koronahun!$A:$AM,19,FALSE),"")</f>
        <v/>
      </c>
      <c r="T819" t="str">
        <f>IFERROR(VLOOKUP($A819,koronahun!$A:$AM,20,FALSE),"")</f>
        <v/>
      </c>
      <c r="U819" t="str">
        <f>IFERROR(VLOOKUP($A819,koronahun!$A:$AM,21,FALSE),"")</f>
        <v/>
      </c>
      <c r="V819" s="13" t="str">
        <f>IFERROR(VLOOKUP($A819,koronahun!$A:$AM,22,FALSE),"")</f>
        <v/>
      </c>
      <c r="W819" t="str">
        <f>IFERROR(VLOOKUP($A819,koronahun!$A:$AM,23,FALSE),"")</f>
        <v/>
      </c>
      <c r="X819" t="str">
        <f>IFERROR(VLOOKUP($A819,koronahun!$A:$AM,24,FALSE),"")</f>
        <v/>
      </c>
      <c r="Y819" s="14" t="str">
        <f>IFERROR(VLOOKUP($A819,koronahun!$A:$AM,25,FALSE),"")</f>
        <v/>
      </c>
      <c r="Z819" s="14" t="str">
        <f>IFERROR(VLOOKUP($A819,koronahun!$A:$AM,26,FALSE),"")</f>
        <v/>
      </c>
      <c r="AA819" s="14" t="str">
        <f>IFERROR(VLOOKUP($A819,koronahun!$A:$AM,27,FALSE),"")</f>
        <v/>
      </c>
      <c r="AB819" s="14" t="str">
        <f>IFERROR(VLOOKUP($A819,koronahun!$A:$AM,28,FALSE),"")</f>
        <v/>
      </c>
      <c r="AC819" s="14" t="str">
        <f>IFERROR(VLOOKUP($A819,koronahun!$A:$AM,29,FALSE),"")</f>
        <v/>
      </c>
      <c r="AD819" s="14" t="str">
        <f>IFERROR(VLOOKUP($A819,koronahun!$A:$AM,30,FALSE),"")</f>
        <v/>
      </c>
      <c r="AE819" s="14" t="str">
        <f>IFERROR(VLOOKUP($A819,koronahun!$A:$AM,31,FALSE),"")</f>
        <v/>
      </c>
      <c r="AF819" s="13" t="str">
        <f>IFERROR(VLOOKUP($A819,koronahun!$A:$AM,32,FALSE),"")</f>
        <v/>
      </c>
      <c r="AG819" t="str">
        <f>IFERROR(VLOOKUP($A819,koronahun!$A:$AM,33,FALSE),"")</f>
        <v/>
      </c>
      <c r="AH819" t="str">
        <f>IFERROR(VLOOKUP($A819,koronahun!$A:$AM,34,FALSE),"")</f>
        <v/>
      </c>
      <c r="AI819" t="str">
        <f>IFERROR(VLOOKUP($A819,koronahun!$A:$AM,35,FALSE),"")</f>
        <v/>
      </c>
      <c r="AJ819" t="str">
        <f>IFERROR(VLOOKUP($A819,koronahun!$A:$AM,36,FALSE),"")</f>
        <v/>
      </c>
      <c r="AK819" t="str">
        <f>IFERROR(VLOOKUP($A819,koronahun!$A:$AM,37,FALSE),"")</f>
        <v/>
      </c>
      <c r="AL819" t="str">
        <f>IFERROR(VLOOKUP($A819,koronahun!$A:$AM,38,FALSE),"")</f>
        <v/>
      </c>
      <c r="AM819" s="14" t="str">
        <f>IFERROR(VLOOKUP($A819,koronahun!$A:$AM,39,FALSE),"")</f>
        <v/>
      </c>
      <c r="AN819" s="11">
        <f ca="1">IFERROR(__xludf.DUMMYFUNCTION("""COMPUTED_VALUE"""),44711)</f>
        <v>44711</v>
      </c>
      <c r="AO819" s="12">
        <f ca="1">IFERROR(VLOOKUP(AN819,koronahun!A:B,2,FALSE),"")</f>
        <v>0</v>
      </c>
      <c r="AP819" s="11">
        <f t="shared" ca="1" si="6"/>
        <v>44711</v>
      </c>
      <c r="AQ819" s="11"/>
      <c r="AR819" s="11"/>
      <c r="AS819" s="11"/>
      <c r="AT819" s="11"/>
    </row>
    <row r="820" spans="1:46" ht="13">
      <c r="A820" s="11"/>
      <c r="B820" t="str">
        <f>IFERROR(VLOOKUP($A820,koronahun!$A:$AM,2,FALSE),"")</f>
        <v/>
      </c>
      <c r="C820" t="str">
        <f>IFERROR(VLOOKUP($A820,koronahun!$A:$AM,3,FALSE),"")</f>
        <v/>
      </c>
      <c r="D820" t="str">
        <f>IFERROR(VLOOKUP($A820,koronahun!$A:$AM,4,FALSE),"")</f>
        <v/>
      </c>
      <c r="E820" t="str">
        <f>IFERROR(VLOOKUP($A820,koronahun!$A:$AM,5,FALSE),"")</f>
        <v/>
      </c>
      <c r="F820" t="str">
        <f>IFERROR(VLOOKUP($A820,koronahun!$A:$AM,6,FALSE),"")</f>
        <v/>
      </c>
      <c r="G820" s="12" t="str">
        <f>IFERROR(VLOOKUP($A820,koronahun!$A:$AM,7,FALSE),"")</f>
        <v/>
      </c>
      <c r="H820" t="str">
        <f>IFERROR(VLOOKUP($A820,koronahun!$A:$AM,8,FALSE),"")</f>
        <v/>
      </c>
      <c r="I820" s="13" t="str">
        <f>IFERROR(VLOOKUP($A820,koronahun!$A:$AM,9,FALSE),"")</f>
        <v/>
      </c>
      <c r="J820" s="13" t="str">
        <f>IFERROR(VLOOKUP($A820,koronahun!$A:$AM,10,FALSE),"")</f>
        <v/>
      </c>
      <c r="K820" s="13" t="str">
        <f>IFERROR(VLOOKUP($A820,koronahun!$A:$AM,11,FALSE),"")</f>
        <v/>
      </c>
      <c r="L820" t="str">
        <f>IFERROR(VLOOKUP($A820,koronahun!$A:$AM,12,FALSE),"")</f>
        <v/>
      </c>
      <c r="M820" s="13" t="str">
        <f>IFERROR(VLOOKUP($A820,koronahun!$A:$AM,13,FALSE),"")</f>
        <v/>
      </c>
      <c r="N820" s="13" t="str">
        <f>IFERROR(VLOOKUP($A820,koronahun!$A:$AM,14,FALSE),"")</f>
        <v/>
      </c>
      <c r="O820" t="str">
        <f>IFERROR(VLOOKUP($A820,koronahun!$A:$AM,15,FALSE),"")</f>
        <v/>
      </c>
      <c r="P820" t="str">
        <f>IFERROR(VLOOKUP($A820,koronahun!$A:$AM,16,FALSE),"")</f>
        <v/>
      </c>
      <c r="Q820" s="13" t="str">
        <f>IFERROR(VLOOKUP($A820,koronahun!$A:$AM,17,FALSE),"")</f>
        <v/>
      </c>
      <c r="R820" t="str">
        <f>IFERROR(VLOOKUP($A820,koronahun!$A:$AM,18,FALSE),"")</f>
        <v/>
      </c>
      <c r="S820" t="str">
        <f>IFERROR(VLOOKUP($A820,koronahun!$A:$AM,19,FALSE),"")</f>
        <v/>
      </c>
      <c r="T820" t="str">
        <f>IFERROR(VLOOKUP($A820,koronahun!$A:$AM,20,FALSE),"")</f>
        <v/>
      </c>
      <c r="U820" t="str">
        <f>IFERROR(VLOOKUP($A820,koronahun!$A:$AM,21,FALSE),"")</f>
        <v/>
      </c>
      <c r="V820" s="13" t="str">
        <f>IFERROR(VLOOKUP($A820,koronahun!$A:$AM,22,FALSE),"")</f>
        <v/>
      </c>
      <c r="W820" t="str">
        <f>IFERROR(VLOOKUP($A820,koronahun!$A:$AM,23,FALSE),"")</f>
        <v/>
      </c>
      <c r="X820" t="str">
        <f>IFERROR(VLOOKUP($A820,koronahun!$A:$AM,24,FALSE),"")</f>
        <v/>
      </c>
      <c r="Y820" s="14" t="str">
        <f>IFERROR(VLOOKUP($A820,koronahun!$A:$AM,25,FALSE),"")</f>
        <v/>
      </c>
      <c r="Z820" s="14" t="str">
        <f>IFERROR(VLOOKUP($A820,koronahun!$A:$AM,26,FALSE),"")</f>
        <v/>
      </c>
      <c r="AA820" s="14" t="str">
        <f>IFERROR(VLOOKUP($A820,koronahun!$A:$AM,27,FALSE),"")</f>
        <v/>
      </c>
      <c r="AB820" s="14" t="str">
        <f>IFERROR(VLOOKUP($A820,koronahun!$A:$AM,28,FALSE),"")</f>
        <v/>
      </c>
      <c r="AC820" s="14" t="str">
        <f>IFERROR(VLOOKUP($A820,koronahun!$A:$AM,29,FALSE),"")</f>
        <v/>
      </c>
      <c r="AD820" s="14" t="str">
        <f>IFERROR(VLOOKUP($A820,koronahun!$A:$AM,30,FALSE),"")</f>
        <v/>
      </c>
      <c r="AE820" s="14" t="str">
        <f>IFERROR(VLOOKUP($A820,koronahun!$A:$AM,31,FALSE),"")</f>
        <v/>
      </c>
      <c r="AF820" s="13" t="str">
        <f>IFERROR(VLOOKUP($A820,koronahun!$A:$AM,32,FALSE),"")</f>
        <v/>
      </c>
      <c r="AG820" t="str">
        <f>IFERROR(VLOOKUP($A820,koronahun!$A:$AM,33,FALSE),"")</f>
        <v/>
      </c>
      <c r="AH820" t="str">
        <f>IFERROR(VLOOKUP($A820,koronahun!$A:$AM,34,FALSE),"")</f>
        <v/>
      </c>
      <c r="AI820" t="str">
        <f>IFERROR(VLOOKUP($A820,koronahun!$A:$AM,35,FALSE),"")</f>
        <v/>
      </c>
      <c r="AJ820" t="str">
        <f>IFERROR(VLOOKUP($A820,koronahun!$A:$AM,36,FALSE),"")</f>
        <v/>
      </c>
      <c r="AK820" t="str">
        <f>IFERROR(VLOOKUP($A820,koronahun!$A:$AM,37,FALSE),"")</f>
        <v/>
      </c>
      <c r="AL820" t="str">
        <f>IFERROR(VLOOKUP($A820,koronahun!$A:$AM,38,FALSE),"")</f>
        <v/>
      </c>
      <c r="AM820" s="14" t="str">
        <f>IFERROR(VLOOKUP($A820,koronahun!$A:$AM,39,FALSE),"")</f>
        <v/>
      </c>
      <c r="AN820" s="11">
        <f ca="1">IFERROR(__xludf.DUMMYFUNCTION("""COMPUTED_VALUE"""),44712)</f>
        <v>44712</v>
      </c>
      <c r="AO820" s="12">
        <f ca="1">IFERROR(VLOOKUP(AN820,koronahun!A:B,2,FALSE),"")</f>
        <v>0</v>
      </c>
      <c r="AP820" s="11">
        <f t="shared" ca="1" si="6"/>
        <v>44712</v>
      </c>
      <c r="AQ820" s="11"/>
      <c r="AR820" s="11"/>
      <c r="AS820" s="11"/>
      <c r="AT820" s="11"/>
    </row>
    <row r="821" spans="1:46" ht="13">
      <c r="A821" s="11"/>
      <c r="B821" t="str">
        <f>IFERROR(VLOOKUP($A821,koronahun!$A:$AM,2,FALSE),"")</f>
        <v/>
      </c>
      <c r="C821" t="str">
        <f>IFERROR(VLOOKUP($A821,koronahun!$A:$AM,3,FALSE),"")</f>
        <v/>
      </c>
      <c r="D821" t="str">
        <f>IFERROR(VLOOKUP($A821,koronahun!$A:$AM,4,FALSE),"")</f>
        <v/>
      </c>
      <c r="E821" t="str">
        <f>IFERROR(VLOOKUP($A821,koronahun!$A:$AM,5,FALSE),"")</f>
        <v/>
      </c>
      <c r="F821" t="str">
        <f>IFERROR(VLOOKUP($A821,koronahun!$A:$AM,6,FALSE),"")</f>
        <v/>
      </c>
      <c r="G821" s="12" t="str">
        <f>IFERROR(VLOOKUP($A821,koronahun!$A:$AM,7,FALSE),"")</f>
        <v/>
      </c>
      <c r="H821" t="str">
        <f>IFERROR(VLOOKUP($A821,koronahun!$A:$AM,8,FALSE),"")</f>
        <v/>
      </c>
      <c r="I821" s="13" t="str">
        <f>IFERROR(VLOOKUP($A821,koronahun!$A:$AM,9,FALSE),"")</f>
        <v/>
      </c>
      <c r="J821" s="13" t="str">
        <f>IFERROR(VLOOKUP($A821,koronahun!$A:$AM,10,FALSE),"")</f>
        <v/>
      </c>
      <c r="K821" s="13" t="str">
        <f>IFERROR(VLOOKUP($A821,koronahun!$A:$AM,11,FALSE),"")</f>
        <v/>
      </c>
      <c r="L821" t="str">
        <f>IFERROR(VLOOKUP($A821,koronahun!$A:$AM,12,FALSE),"")</f>
        <v/>
      </c>
      <c r="M821" s="13" t="str">
        <f>IFERROR(VLOOKUP($A821,koronahun!$A:$AM,13,FALSE),"")</f>
        <v/>
      </c>
      <c r="N821" s="13" t="str">
        <f>IFERROR(VLOOKUP($A821,koronahun!$A:$AM,14,FALSE),"")</f>
        <v/>
      </c>
      <c r="O821" t="str">
        <f>IFERROR(VLOOKUP($A821,koronahun!$A:$AM,15,FALSE),"")</f>
        <v/>
      </c>
      <c r="P821" t="str">
        <f>IFERROR(VLOOKUP($A821,koronahun!$A:$AM,16,FALSE),"")</f>
        <v/>
      </c>
      <c r="Q821" s="13" t="str">
        <f>IFERROR(VLOOKUP($A821,koronahun!$A:$AM,17,FALSE),"")</f>
        <v/>
      </c>
      <c r="R821" t="str">
        <f>IFERROR(VLOOKUP($A821,koronahun!$A:$AM,18,FALSE),"")</f>
        <v/>
      </c>
      <c r="S821" t="str">
        <f>IFERROR(VLOOKUP($A821,koronahun!$A:$AM,19,FALSE),"")</f>
        <v/>
      </c>
      <c r="T821" t="str">
        <f>IFERROR(VLOOKUP($A821,koronahun!$A:$AM,20,FALSE),"")</f>
        <v/>
      </c>
      <c r="U821" t="str">
        <f>IFERROR(VLOOKUP($A821,koronahun!$A:$AM,21,FALSE),"")</f>
        <v/>
      </c>
      <c r="V821" s="13" t="str">
        <f>IFERROR(VLOOKUP($A821,koronahun!$A:$AM,22,FALSE),"")</f>
        <v/>
      </c>
      <c r="W821" t="str">
        <f>IFERROR(VLOOKUP($A821,koronahun!$A:$AM,23,FALSE),"")</f>
        <v/>
      </c>
      <c r="X821" t="str">
        <f>IFERROR(VLOOKUP($A821,koronahun!$A:$AM,24,FALSE),"")</f>
        <v/>
      </c>
      <c r="Y821" s="14" t="str">
        <f>IFERROR(VLOOKUP($A821,koronahun!$A:$AM,25,FALSE),"")</f>
        <v/>
      </c>
      <c r="Z821" s="14" t="str">
        <f>IFERROR(VLOOKUP($A821,koronahun!$A:$AM,26,FALSE),"")</f>
        <v/>
      </c>
      <c r="AA821" s="14" t="str">
        <f>IFERROR(VLOOKUP($A821,koronahun!$A:$AM,27,FALSE),"")</f>
        <v/>
      </c>
      <c r="AB821" s="14" t="str">
        <f>IFERROR(VLOOKUP($A821,koronahun!$A:$AM,28,FALSE),"")</f>
        <v/>
      </c>
      <c r="AC821" s="14" t="str">
        <f>IFERROR(VLOOKUP($A821,koronahun!$A:$AM,29,FALSE),"")</f>
        <v/>
      </c>
      <c r="AD821" s="14" t="str">
        <f>IFERROR(VLOOKUP($A821,koronahun!$A:$AM,30,FALSE),"")</f>
        <v/>
      </c>
      <c r="AE821" s="14" t="str">
        <f>IFERROR(VLOOKUP($A821,koronahun!$A:$AM,31,FALSE),"")</f>
        <v/>
      </c>
      <c r="AF821" s="13" t="str">
        <f>IFERROR(VLOOKUP($A821,koronahun!$A:$AM,32,FALSE),"")</f>
        <v/>
      </c>
      <c r="AG821" t="str">
        <f>IFERROR(VLOOKUP($A821,koronahun!$A:$AM,33,FALSE),"")</f>
        <v/>
      </c>
      <c r="AH821" t="str">
        <f>IFERROR(VLOOKUP($A821,koronahun!$A:$AM,34,FALSE),"")</f>
        <v/>
      </c>
      <c r="AI821" t="str">
        <f>IFERROR(VLOOKUP($A821,koronahun!$A:$AM,35,FALSE),"")</f>
        <v/>
      </c>
      <c r="AJ821" t="str">
        <f>IFERROR(VLOOKUP($A821,koronahun!$A:$AM,36,FALSE),"")</f>
        <v/>
      </c>
      <c r="AK821" t="str">
        <f>IFERROR(VLOOKUP($A821,koronahun!$A:$AM,37,FALSE),"")</f>
        <v/>
      </c>
      <c r="AL821" t="str">
        <f>IFERROR(VLOOKUP($A821,koronahun!$A:$AM,38,FALSE),"")</f>
        <v/>
      </c>
      <c r="AM821" s="14" t="str">
        <f>IFERROR(VLOOKUP($A821,koronahun!$A:$AM,39,FALSE),"")</f>
        <v/>
      </c>
      <c r="AN821" s="11">
        <f ca="1">IFERROR(__xludf.DUMMYFUNCTION("""COMPUTED_VALUE"""),44713)</f>
        <v>44713</v>
      </c>
      <c r="AO821" s="12">
        <f ca="1">IFERROR(VLOOKUP(AN821,koronahun!A:B,2,FALSE),"")</f>
        <v>1919840</v>
      </c>
      <c r="AP821" s="11">
        <f t="shared" ca="1" si="6"/>
        <v>44713</v>
      </c>
      <c r="AQ821" s="11"/>
      <c r="AR821" s="11"/>
      <c r="AS821" s="11"/>
      <c r="AT821" s="11"/>
    </row>
    <row r="822" spans="1:46" ht="13">
      <c r="A822" s="11"/>
      <c r="B822" t="str">
        <f>IFERROR(VLOOKUP($A822,koronahun!$A:$AM,2,FALSE),"")</f>
        <v/>
      </c>
      <c r="C822" t="str">
        <f>IFERROR(VLOOKUP($A822,koronahun!$A:$AM,3,FALSE),"")</f>
        <v/>
      </c>
      <c r="D822" t="str">
        <f>IFERROR(VLOOKUP($A822,koronahun!$A:$AM,4,FALSE),"")</f>
        <v/>
      </c>
      <c r="E822" t="str">
        <f>IFERROR(VLOOKUP($A822,koronahun!$A:$AM,5,FALSE),"")</f>
        <v/>
      </c>
      <c r="F822" t="str">
        <f>IFERROR(VLOOKUP($A822,koronahun!$A:$AM,6,FALSE),"")</f>
        <v/>
      </c>
      <c r="G822" s="12" t="str">
        <f>IFERROR(VLOOKUP($A822,koronahun!$A:$AM,7,FALSE),"")</f>
        <v/>
      </c>
      <c r="H822" t="str">
        <f>IFERROR(VLOOKUP($A822,koronahun!$A:$AM,8,FALSE),"")</f>
        <v/>
      </c>
      <c r="I822" s="13" t="str">
        <f>IFERROR(VLOOKUP($A822,koronahun!$A:$AM,9,FALSE),"")</f>
        <v/>
      </c>
      <c r="J822" s="13" t="str">
        <f>IFERROR(VLOOKUP($A822,koronahun!$A:$AM,10,FALSE),"")</f>
        <v/>
      </c>
      <c r="K822" s="13" t="str">
        <f>IFERROR(VLOOKUP($A822,koronahun!$A:$AM,11,FALSE),"")</f>
        <v/>
      </c>
      <c r="L822" t="str">
        <f>IFERROR(VLOOKUP($A822,koronahun!$A:$AM,12,FALSE),"")</f>
        <v/>
      </c>
      <c r="M822" s="13" t="str">
        <f>IFERROR(VLOOKUP($A822,koronahun!$A:$AM,13,FALSE),"")</f>
        <v/>
      </c>
      <c r="N822" s="13" t="str">
        <f>IFERROR(VLOOKUP($A822,koronahun!$A:$AM,14,FALSE),"")</f>
        <v/>
      </c>
      <c r="O822" t="str">
        <f>IFERROR(VLOOKUP($A822,koronahun!$A:$AM,15,FALSE),"")</f>
        <v/>
      </c>
      <c r="P822" t="str">
        <f>IFERROR(VLOOKUP($A822,koronahun!$A:$AM,16,FALSE),"")</f>
        <v/>
      </c>
      <c r="Q822" s="13" t="str">
        <f>IFERROR(VLOOKUP($A822,koronahun!$A:$AM,17,FALSE),"")</f>
        <v/>
      </c>
      <c r="R822" t="str">
        <f>IFERROR(VLOOKUP($A822,koronahun!$A:$AM,18,FALSE),"")</f>
        <v/>
      </c>
      <c r="S822" t="str">
        <f>IFERROR(VLOOKUP($A822,koronahun!$A:$AM,19,FALSE),"")</f>
        <v/>
      </c>
      <c r="T822" t="str">
        <f>IFERROR(VLOOKUP($A822,koronahun!$A:$AM,20,FALSE),"")</f>
        <v/>
      </c>
      <c r="U822" t="str">
        <f>IFERROR(VLOOKUP($A822,koronahun!$A:$AM,21,FALSE),"")</f>
        <v/>
      </c>
      <c r="V822" s="13" t="str">
        <f>IFERROR(VLOOKUP($A822,koronahun!$A:$AM,22,FALSE),"")</f>
        <v/>
      </c>
      <c r="W822" t="str">
        <f>IFERROR(VLOOKUP($A822,koronahun!$A:$AM,23,FALSE),"")</f>
        <v/>
      </c>
      <c r="X822" t="str">
        <f>IFERROR(VLOOKUP($A822,koronahun!$A:$AM,24,FALSE),"")</f>
        <v/>
      </c>
      <c r="Y822" s="14" t="str">
        <f>IFERROR(VLOOKUP($A822,koronahun!$A:$AM,25,FALSE),"")</f>
        <v/>
      </c>
      <c r="Z822" s="14" t="str">
        <f>IFERROR(VLOOKUP($A822,koronahun!$A:$AM,26,FALSE),"")</f>
        <v/>
      </c>
      <c r="AA822" s="14" t="str">
        <f>IFERROR(VLOOKUP($A822,koronahun!$A:$AM,27,FALSE),"")</f>
        <v/>
      </c>
      <c r="AB822" s="14" t="str">
        <f>IFERROR(VLOOKUP($A822,koronahun!$A:$AM,28,FALSE),"")</f>
        <v/>
      </c>
      <c r="AC822" s="14" t="str">
        <f>IFERROR(VLOOKUP($A822,koronahun!$A:$AM,29,FALSE),"")</f>
        <v/>
      </c>
      <c r="AD822" s="14" t="str">
        <f>IFERROR(VLOOKUP($A822,koronahun!$A:$AM,30,FALSE),"")</f>
        <v/>
      </c>
      <c r="AE822" s="14" t="str">
        <f>IFERROR(VLOOKUP($A822,koronahun!$A:$AM,31,FALSE),"")</f>
        <v/>
      </c>
      <c r="AF822" s="13" t="str">
        <f>IFERROR(VLOOKUP($A822,koronahun!$A:$AM,32,FALSE),"")</f>
        <v/>
      </c>
      <c r="AG822" t="str">
        <f>IFERROR(VLOOKUP($A822,koronahun!$A:$AM,33,FALSE),"")</f>
        <v/>
      </c>
      <c r="AH822" t="str">
        <f>IFERROR(VLOOKUP($A822,koronahun!$A:$AM,34,FALSE),"")</f>
        <v/>
      </c>
      <c r="AI822" t="str">
        <f>IFERROR(VLOOKUP($A822,koronahun!$A:$AM,35,FALSE),"")</f>
        <v/>
      </c>
      <c r="AJ822" t="str">
        <f>IFERROR(VLOOKUP($A822,koronahun!$A:$AM,36,FALSE),"")</f>
        <v/>
      </c>
      <c r="AK822" t="str">
        <f>IFERROR(VLOOKUP($A822,koronahun!$A:$AM,37,FALSE),"")</f>
        <v/>
      </c>
      <c r="AL822" t="str">
        <f>IFERROR(VLOOKUP($A822,koronahun!$A:$AM,38,FALSE),"")</f>
        <v/>
      </c>
      <c r="AM822" s="14" t="str">
        <f>IFERROR(VLOOKUP($A822,koronahun!$A:$AM,39,FALSE),"")</f>
        <v/>
      </c>
      <c r="AN822" s="11">
        <f ca="1">IFERROR(__xludf.DUMMYFUNCTION("""COMPUTED_VALUE"""),44714)</f>
        <v>44714</v>
      </c>
      <c r="AO822" s="12">
        <f ca="1">IFERROR(VLOOKUP(AN822,koronahun!A:B,2,FALSE),"")</f>
        <v>0</v>
      </c>
      <c r="AP822" s="11">
        <f t="shared" ca="1" si="6"/>
        <v>44714</v>
      </c>
      <c r="AQ822" s="11"/>
      <c r="AR822" s="11"/>
      <c r="AS822" s="11"/>
      <c r="AT822" s="11"/>
    </row>
    <row r="823" spans="1:46" ht="13">
      <c r="A823" s="11"/>
      <c r="B823" t="str">
        <f>IFERROR(VLOOKUP($A823,koronahun!$A:$AM,2,FALSE),"")</f>
        <v/>
      </c>
      <c r="C823" t="str">
        <f>IFERROR(VLOOKUP($A823,koronahun!$A:$AM,3,FALSE),"")</f>
        <v/>
      </c>
      <c r="D823" t="str">
        <f>IFERROR(VLOOKUP($A823,koronahun!$A:$AM,4,FALSE),"")</f>
        <v/>
      </c>
      <c r="E823" t="str">
        <f>IFERROR(VLOOKUP($A823,koronahun!$A:$AM,5,FALSE),"")</f>
        <v/>
      </c>
      <c r="F823" t="str">
        <f>IFERROR(VLOOKUP($A823,koronahun!$A:$AM,6,FALSE),"")</f>
        <v/>
      </c>
      <c r="G823" s="12" t="str">
        <f>IFERROR(VLOOKUP($A823,koronahun!$A:$AM,7,FALSE),"")</f>
        <v/>
      </c>
      <c r="H823" t="str">
        <f>IFERROR(VLOOKUP($A823,koronahun!$A:$AM,8,FALSE),"")</f>
        <v/>
      </c>
      <c r="I823" s="13" t="str">
        <f>IFERROR(VLOOKUP($A823,koronahun!$A:$AM,9,FALSE),"")</f>
        <v/>
      </c>
      <c r="J823" s="13" t="str">
        <f>IFERROR(VLOOKUP($A823,koronahun!$A:$AM,10,FALSE),"")</f>
        <v/>
      </c>
      <c r="K823" s="13" t="str">
        <f>IFERROR(VLOOKUP($A823,koronahun!$A:$AM,11,FALSE),"")</f>
        <v/>
      </c>
      <c r="L823" t="str">
        <f>IFERROR(VLOOKUP($A823,koronahun!$A:$AM,12,FALSE),"")</f>
        <v/>
      </c>
      <c r="M823" s="13" t="str">
        <f>IFERROR(VLOOKUP($A823,koronahun!$A:$AM,13,FALSE),"")</f>
        <v/>
      </c>
      <c r="N823" s="13" t="str">
        <f>IFERROR(VLOOKUP($A823,koronahun!$A:$AM,14,FALSE),"")</f>
        <v/>
      </c>
      <c r="O823" t="str">
        <f>IFERROR(VLOOKUP($A823,koronahun!$A:$AM,15,FALSE),"")</f>
        <v/>
      </c>
      <c r="P823" t="str">
        <f>IFERROR(VLOOKUP($A823,koronahun!$A:$AM,16,FALSE),"")</f>
        <v/>
      </c>
      <c r="Q823" s="13" t="str">
        <f>IFERROR(VLOOKUP($A823,koronahun!$A:$AM,17,FALSE),"")</f>
        <v/>
      </c>
      <c r="R823" t="str">
        <f>IFERROR(VLOOKUP($A823,koronahun!$A:$AM,18,FALSE),"")</f>
        <v/>
      </c>
      <c r="S823" t="str">
        <f>IFERROR(VLOOKUP($A823,koronahun!$A:$AM,19,FALSE),"")</f>
        <v/>
      </c>
      <c r="T823" t="str">
        <f>IFERROR(VLOOKUP($A823,koronahun!$A:$AM,20,FALSE),"")</f>
        <v/>
      </c>
      <c r="U823" t="str">
        <f>IFERROR(VLOOKUP($A823,koronahun!$A:$AM,21,FALSE),"")</f>
        <v/>
      </c>
      <c r="V823" s="13" t="str">
        <f>IFERROR(VLOOKUP($A823,koronahun!$A:$AM,22,FALSE),"")</f>
        <v/>
      </c>
      <c r="W823" t="str">
        <f>IFERROR(VLOOKUP($A823,koronahun!$A:$AM,23,FALSE),"")</f>
        <v/>
      </c>
      <c r="X823" t="str">
        <f>IFERROR(VLOOKUP($A823,koronahun!$A:$AM,24,FALSE),"")</f>
        <v/>
      </c>
      <c r="Y823" s="14" t="str">
        <f>IFERROR(VLOOKUP($A823,koronahun!$A:$AM,25,FALSE),"")</f>
        <v/>
      </c>
      <c r="Z823" s="14" t="str">
        <f>IFERROR(VLOOKUP($A823,koronahun!$A:$AM,26,FALSE),"")</f>
        <v/>
      </c>
      <c r="AA823" s="14" t="str">
        <f>IFERROR(VLOOKUP($A823,koronahun!$A:$AM,27,FALSE),"")</f>
        <v/>
      </c>
      <c r="AB823" s="14" t="str">
        <f>IFERROR(VLOOKUP($A823,koronahun!$A:$AM,28,FALSE),"")</f>
        <v/>
      </c>
      <c r="AC823" s="14" t="str">
        <f>IFERROR(VLOOKUP($A823,koronahun!$A:$AM,29,FALSE),"")</f>
        <v/>
      </c>
      <c r="AD823" s="14" t="str">
        <f>IFERROR(VLOOKUP($A823,koronahun!$A:$AM,30,FALSE),"")</f>
        <v/>
      </c>
      <c r="AE823" s="14" t="str">
        <f>IFERROR(VLOOKUP($A823,koronahun!$A:$AM,31,FALSE),"")</f>
        <v/>
      </c>
      <c r="AF823" s="13" t="str">
        <f>IFERROR(VLOOKUP($A823,koronahun!$A:$AM,32,FALSE),"")</f>
        <v/>
      </c>
      <c r="AG823" t="str">
        <f>IFERROR(VLOOKUP($A823,koronahun!$A:$AM,33,FALSE),"")</f>
        <v/>
      </c>
      <c r="AH823" t="str">
        <f>IFERROR(VLOOKUP($A823,koronahun!$A:$AM,34,FALSE),"")</f>
        <v/>
      </c>
      <c r="AI823" t="str">
        <f>IFERROR(VLOOKUP($A823,koronahun!$A:$AM,35,FALSE),"")</f>
        <v/>
      </c>
      <c r="AJ823" t="str">
        <f>IFERROR(VLOOKUP($A823,koronahun!$A:$AM,36,FALSE),"")</f>
        <v/>
      </c>
      <c r="AK823" t="str">
        <f>IFERROR(VLOOKUP($A823,koronahun!$A:$AM,37,FALSE),"")</f>
        <v/>
      </c>
      <c r="AL823" t="str">
        <f>IFERROR(VLOOKUP($A823,koronahun!$A:$AM,38,FALSE),"")</f>
        <v/>
      </c>
      <c r="AM823" s="14" t="str">
        <f>IFERROR(VLOOKUP($A823,koronahun!$A:$AM,39,FALSE),"")</f>
        <v/>
      </c>
      <c r="AN823" s="11">
        <f ca="1">IFERROR(__xludf.DUMMYFUNCTION("""COMPUTED_VALUE"""),44715)</f>
        <v>44715</v>
      </c>
      <c r="AO823" s="12">
        <f ca="1">IFERROR(VLOOKUP(AN823,koronahun!A:B,2,FALSE),"")</f>
        <v>0</v>
      </c>
      <c r="AP823" s="11">
        <f t="shared" ca="1" si="6"/>
        <v>44715</v>
      </c>
      <c r="AQ823" s="11"/>
      <c r="AR823" s="11"/>
      <c r="AS823" s="11"/>
      <c r="AT823" s="11"/>
    </row>
    <row r="824" spans="1:46" ht="13">
      <c r="A824" s="11"/>
      <c r="B824" t="str">
        <f>IFERROR(VLOOKUP($A824,koronahun!$A:$AM,2,FALSE),"")</f>
        <v/>
      </c>
      <c r="C824" t="str">
        <f>IFERROR(VLOOKUP($A824,koronahun!$A:$AM,3,FALSE),"")</f>
        <v/>
      </c>
      <c r="D824" t="str">
        <f>IFERROR(VLOOKUP($A824,koronahun!$A:$AM,4,FALSE),"")</f>
        <v/>
      </c>
      <c r="E824" t="str">
        <f>IFERROR(VLOOKUP($A824,koronahun!$A:$AM,5,FALSE),"")</f>
        <v/>
      </c>
      <c r="F824" t="str">
        <f>IFERROR(VLOOKUP($A824,koronahun!$A:$AM,6,FALSE),"")</f>
        <v/>
      </c>
      <c r="G824" s="12" t="str">
        <f>IFERROR(VLOOKUP($A824,koronahun!$A:$AM,7,FALSE),"")</f>
        <v/>
      </c>
      <c r="H824" t="str">
        <f>IFERROR(VLOOKUP($A824,koronahun!$A:$AM,8,FALSE),"")</f>
        <v/>
      </c>
      <c r="I824" s="13" t="str">
        <f>IFERROR(VLOOKUP($A824,koronahun!$A:$AM,9,FALSE),"")</f>
        <v/>
      </c>
      <c r="J824" s="13" t="str">
        <f>IFERROR(VLOOKUP($A824,koronahun!$A:$AM,10,FALSE),"")</f>
        <v/>
      </c>
      <c r="K824" s="13" t="str">
        <f>IFERROR(VLOOKUP($A824,koronahun!$A:$AM,11,FALSE),"")</f>
        <v/>
      </c>
      <c r="L824" t="str">
        <f>IFERROR(VLOOKUP($A824,koronahun!$A:$AM,12,FALSE),"")</f>
        <v/>
      </c>
      <c r="M824" s="13" t="str">
        <f>IFERROR(VLOOKUP($A824,koronahun!$A:$AM,13,FALSE),"")</f>
        <v/>
      </c>
      <c r="N824" s="13" t="str">
        <f>IFERROR(VLOOKUP($A824,koronahun!$A:$AM,14,FALSE),"")</f>
        <v/>
      </c>
      <c r="O824" t="str">
        <f>IFERROR(VLOOKUP($A824,koronahun!$A:$AM,15,FALSE),"")</f>
        <v/>
      </c>
      <c r="P824" t="str">
        <f>IFERROR(VLOOKUP($A824,koronahun!$A:$AM,16,FALSE),"")</f>
        <v/>
      </c>
      <c r="Q824" s="13" t="str">
        <f>IFERROR(VLOOKUP($A824,koronahun!$A:$AM,17,FALSE),"")</f>
        <v/>
      </c>
      <c r="R824" t="str">
        <f>IFERROR(VLOOKUP($A824,koronahun!$A:$AM,18,FALSE),"")</f>
        <v/>
      </c>
      <c r="S824" t="str">
        <f>IFERROR(VLOOKUP($A824,koronahun!$A:$AM,19,FALSE),"")</f>
        <v/>
      </c>
      <c r="T824" t="str">
        <f>IFERROR(VLOOKUP($A824,koronahun!$A:$AM,20,FALSE),"")</f>
        <v/>
      </c>
      <c r="U824" t="str">
        <f>IFERROR(VLOOKUP($A824,koronahun!$A:$AM,21,FALSE),"")</f>
        <v/>
      </c>
      <c r="V824" s="13" t="str">
        <f>IFERROR(VLOOKUP($A824,koronahun!$A:$AM,22,FALSE),"")</f>
        <v/>
      </c>
      <c r="W824" t="str">
        <f>IFERROR(VLOOKUP($A824,koronahun!$A:$AM,23,FALSE),"")</f>
        <v/>
      </c>
      <c r="X824" t="str">
        <f>IFERROR(VLOOKUP($A824,koronahun!$A:$AM,24,FALSE),"")</f>
        <v/>
      </c>
      <c r="Y824" s="14" t="str">
        <f>IFERROR(VLOOKUP($A824,koronahun!$A:$AM,25,FALSE),"")</f>
        <v/>
      </c>
      <c r="Z824" s="14" t="str">
        <f>IFERROR(VLOOKUP($A824,koronahun!$A:$AM,26,FALSE),"")</f>
        <v/>
      </c>
      <c r="AA824" s="14" t="str">
        <f>IFERROR(VLOOKUP($A824,koronahun!$A:$AM,27,FALSE),"")</f>
        <v/>
      </c>
      <c r="AB824" s="14" t="str">
        <f>IFERROR(VLOOKUP($A824,koronahun!$A:$AM,28,FALSE),"")</f>
        <v/>
      </c>
      <c r="AC824" s="14" t="str">
        <f>IFERROR(VLOOKUP($A824,koronahun!$A:$AM,29,FALSE),"")</f>
        <v/>
      </c>
      <c r="AD824" s="14" t="str">
        <f>IFERROR(VLOOKUP($A824,koronahun!$A:$AM,30,FALSE),"")</f>
        <v/>
      </c>
      <c r="AE824" s="14" t="str">
        <f>IFERROR(VLOOKUP($A824,koronahun!$A:$AM,31,FALSE),"")</f>
        <v/>
      </c>
      <c r="AF824" s="13" t="str">
        <f>IFERROR(VLOOKUP($A824,koronahun!$A:$AM,32,FALSE),"")</f>
        <v/>
      </c>
      <c r="AG824" t="str">
        <f>IFERROR(VLOOKUP($A824,koronahun!$A:$AM,33,FALSE),"")</f>
        <v/>
      </c>
      <c r="AH824" t="str">
        <f>IFERROR(VLOOKUP($A824,koronahun!$A:$AM,34,FALSE),"")</f>
        <v/>
      </c>
      <c r="AI824" t="str">
        <f>IFERROR(VLOOKUP($A824,koronahun!$A:$AM,35,FALSE),"")</f>
        <v/>
      </c>
      <c r="AJ824" t="str">
        <f>IFERROR(VLOOKUP($A824,koronahun!$A:$AM,36,FALSE),"")</f>
        <v/>
      </c>
      <c r="AK824" t="str">
        <f>IFERROR(VLOOKUP($A824,koronahun!$A:$AM,37,FALSE),"")</f>
        <v/>
      </c>
      <c r="AL824" t="str">
        <f>IFERROR(VLOOKUP($A824,koronahun!$A:$AM,38,FALSE),"")</f>
        <v/>
      </c>
      <c r="AM824" s="14" t="str">
        <f>IFERROR(VLOOKUP($A824,koronahun!$A:$AM,39,FALSE),"")</f>
        <v/>
      </c>
      <c r="AN824" s="11">
        <f ca="1">IFERROR(__xludf.DUMMYFUNCTION("""COMPUTED_VALUE"""),44716)</f>
        <v>44716</v>
      </c>
      <c r="AO824" s="12">
        <f ca="1">IFERROR(VLOOKUP(AN824,koronahun!A:B,2,FALSE),"")</f>
        <v>0</v>
      </c>
      <c r="AP824" s="11">
        <f t="shared" ca="1" si="6"/>
        <v>44716</v>
      </c>
      <c r="AQ824" s="11"/>
      <c r="AR824" s="11"/>
      <c r="AS824" s="11"/>
      <c r="AT824" s="11"/>
    </row>
    <row r="825" spans="1:46" ht="13">
      <c r="A825" s="11"/>
      <c r="B825" t="str">
        <f>IFERROR(VLOOKUP($A825,koronahun!$A:$AM,2,FALSE),"")</f>
        <v/>
      </c>
      <c r="C825" t="str">
        <f>IFERROR(VLOOKUP($A825,koronahun!$A:$AM,3,FALSE),"")</f>
        <v/>
      </c>
      <c r="D825" t="str">
        <f>IFERROR(VLOOKUP($A825,koronahun!$A:$AM,4,FALSE),"")</f>
        <v/>
      </c>
      <c r="E825" t="str">
        <f>IFERROR(VLOOKUP($A825,koronahun!$A:$AM,5,FALSE),"")</f>
        <v/>
      </c>
      <c r="F825" t="str">
        <f>IFERROR(VLOOKUP($A825,koronahun!$A:$AM,6,FALSE),"")</f>
        <v/>
      </c>
      <c r="G825" s="12" t="str">
        <f>IFERROR(VLOOKUP($A825,koronahun!$A:$AM,7,FALSE),"")</f>
        <v/>
      </c>
      <c r="H825" t="str">
        <f>IFERROR(VLOOKUP($A825,koronahun!$A:$AM,8,FALSE),"")</f>
        <v/>
      </c>
      <c r="I825" s="13" t="str">
        <f>IFERROR(VLOOKUP($A825,koronahun!$A:$AM,9,FALSE),"")</f>
        <v/>
      </c>
      <c r="J825" s="13" t="str">
        <f>IFERROR(VLOOKUP($A825,koronahun!$A:$AM,10,FALSE),"")</f>
        <v/>
      </c>
      <c r="K825" s="13" t="str">
        <f>IFERROR(VLOOKUP($A825,koronahun!$A:$AM,11,FALSE),"")</f>
        <v/>
      </c>
      <c r="L825" t="str">
        <f>IFERROR(VLOOKUP($A825,koronahun!$A:$AM,12,FALSE),"")</f>
        <v/>
      </c>
      <c r="M825" s="13" t="str">
        <f>IFERROR(VLOOKUP($A825,koronahun!$A:$AM,13,FALSE),"")</f>
        <v/>
      </c>
      <c r="N825" s="13" t="str">
        <f>IFERROR(VLOOKUP($A825,koronahun!$A:$AM,14,FALSE),"")</f>
        <v/>
      </c>
      <c r="O825" t="str">
        <f>IFERROR(VLOOKUP($A825,koronahun!$A:$AM,15,FALSE),"")</f>
        <v/>
      </c>
      <c r="P825" t="str">
        <f>IFERROR(VLOOKUP($A825,koronahun!$A:$AM,16,FALSE),"")</f>
        <v/>
      </c>
      <c r="Q825" s="13" t="str">
        <f>IFERROR(VLOOKUP($A825,koronahun!$A:$AM,17,FALSE),"")</f>
        <v/>
      </c>
      <c r="R825" t="str">
        <f>IFERROR(VLOOKUP($A825,koronahun!$A:$AM,18,FALSE),"")</f>
        <v/>
      </c>
      <c r="S825" t="str">
        <f>IFERROR(VLOOKUP($A825,koronahun!$A:$AM,19,FALSE),"")</f>
        <v/>
      </c>
      <c r="T825" t="str">
        <f>IFERROR(VLOOKUP($A825,koronahun!$A:$AM,20,FALSE),"")</f>
        <v/>
      </c>
      <c r="U825" t="str">
        <f>IFERROR(VLOOKUP($A825,koronahun!$A:$AM,21,FALSE),"")</f>
        <v/>
      </c>
      <c r="V825" s="13" t="str">
        <f>IFERROR(VLOOKUP($A825,koronahun!$A:$AM,22,FALSE),"")</f>
        <v/>
      </c>
      <c r="W825" t="str">
        <f>IFERROR(VLOOKUP($A825,koronahun!$A:$AM,23,FALSE),"")</f>
        <v/>
      </c>
      <c r="X825" t="str">
        <f>IFERROR(VLOOKUP($A825,koronahun!$A:$AM,24,FALSE),"")</f>
        <v/>
      </c>
      <c r="Y825" s="14" t="str">
        <f>IFERROR(VLOOKUP($A825,koronahun!$A:$AM,25,FALSE),"")</f>
        <v/>
      </c>
      <c r="Z825" s="14" t="str">
        <f>IFERROR(VLOOKUP($A825,koronahun!$A:$AM,26,FALSE),"")</f>
        <v/>
      </c>
      <c r="AA825" s="14" t="str">
        <f>IFERROR(VLOOKUP($A825,koronahun!$A:$AM,27,FALSE),"")</f>
        <v/>
      </c>
      <c r="AB825" s="14" t="str">
        <f>IFERROR(VLOOKUP($A825,koronahun!$A:$AM,28,FALSE),"")</f>
        <v/>
      </c>
      <c r="AC825" s="14" t="str">
        <f>IFERROR(VLOOKUP($A825,koronahun!$A:$AM,29,FALSE),"")</f>
        <v/>
      </c>
      <c r="AD825" s="14" t="str">
        <f>IFERROR(VLOOKUP($A825,koronahun!$A:$AM,30,FALSE),"")</f>
        <v/>
      </c>
      <c r="AE825" s="14" t="str">
        <f>IFERROR(VLOOKUP($A825,koronahun!$A:$AM,31,FALSE),"")</f>
        <v/>
      </c>
      <c r="AF825" s="13" t="str">
        <f>IFERROR(VLOOKUP($A825,koronahun!$A:$AM,32,FALSE),"")</f>
        <v/>
      </c>
      <c r="AG825" t="str">
        <f>IFERROR(VLOOKUP($A825,koronahun!$A:$AM,33,FALSE),"")</f>
        <v/>
      </c>
      <c r="AH825" t="str">
        <f>IFERROR(VLOOKUP($A825,koronahun!$A:$AM,34,FALSE),"")</f>
        <v/>
      </c>
      <c r="AI825" t="str">
        <f>IFERROR(VLOOKUP($A825,koronahun!$A:$AM,35,FALSE),"")</f>
        <v/>
      </c>
      <c r="AJ825" t="str">
        <f>IFERROR(VLOOKUP($A825,koronahun!$A:$AM,36,FALSE),"")</f>
        <v/>
      </c>
      <c r="AK825" t="str">
        <f>IFERROR(VLOOKUP($A825,koronahun!$A:$AM,37,FALSE),"")</f>
        <v/>
      </c>
      <c r="AL825" t="str">
        <f>IFERROR(VLOOKUP($A825,koronahun!$A:$AM,38,FALSE),"")</f>
        <v/>
      </c>
      <c r="AM825" s="14" t="str">
        <f>IFERROR(VLOOKUP($A825,koronahun!$A:$AM,39,FALSE),"")</f>
        <v/>
      </c>
      <c r="AN825" s="11">
        <f ca="1">IFERROR(__xludf.DUMMYFUNCTION("""COMPUTED_VALUE"""),44717)</f>
        <v>44717</v>
      </c>
      <c r="AO825" s="12">
        <f ca="1">IFERROR(VLOOKUP(AN825,koronahun!A:B,2,FALSE),"")</f>
        <v>0</v>
      </c>
      <c r="AP825" s="11">
        <f t="shared" ca="1" si="6"/>
        <v>44717</v>
      </c>
      <c r="AQ825" s="11"/>
      <c r="AR825" s="11"/>
      <c r="AS825" s="11"/>
      <c r="AT825" s="11"/>
    </row>
    <row r="826" spans="1:46" ht="13">
      <c r="A826" s="11"/>
      <c r="B826" t="str">
        <f>IFERROR(VLOOKUP($A826,koronahun!$A:$AM,2,FALSE),"")</f>
        <v/>
      </c>
      <c r="C826" t="str">
        <f>IFERROR(VLOOKUP($A826,koronahun!$A:$AM,3,FALSE),"")</f>
        <v/>
      </c>
      <c r="D826" t="str">
        <f>IFERROR(VLOOKUP($A826,koronahun!$A:$AM,4,FALSE),"")</f>
        <v/>
      </c>
      <c r="E826" t="str">
        <f>IFERROR(VLOOKUP($A826,koronahun!$A:$AM,5,FALSE),"")</f>
        <v/>
      </c>
      <c r="F826" t="str">
        <f>IFERROR(VLOOKUP($A826,koronahun!$A:$AM,6,FALSE),"")</f>
        <v/>
      </c>
      <c r="G826" s="12" t="str">
        <f>IFERROR(VLOOKUP($A826,koronahun!$A:$AM,7,FALSE),"")</f>
        <v/>
      </c>
      <c r="H826" t="str">
        <f>IFERROR(VLOOKUP($A826,koronahun!$A:$AM,8,FALSE),"")</f>
        <v/>
      </c>
      <c r="I826" s="13" t="str">
        <f>IFERROR(VLOOKUP($A826,koronahun!$A:$AM,9,FALSE),"")</f>
        <v/>
      </c>
      <c r="J826" s="13" t="str">
        <f>IFERROR(VLOOKUP($A826,koronahun!$A:$AM,10,FALSE),"")</f>
        <v/>
      </c>
      <c r="K826" s="13" t="str">
        <f>IFERROR(VLOOKUP($A826,koronahun!$A:$AM,11,FALSE),"")</f>
        <v/>
      </c>
      <c r="L826" t="str">
        <f>IFERROR(VLOOKUP($A826,koronahun!$A:$AM,12,FALSE),"")</f>
        <v/>
      </c>
      <c r="M826" s="13" t="str">
        <f>IFERROR(VLOOKUP($A826,koronahun!$A:$AM,13,FALSE),"")</f>
        <v/>
      </c>
      <c r="N826" s="13" t="str">
        <f>IFERROR(VLOOKUP($A826,koronahun!$A:$AM,14,FALSE),"")</f>
        <v/>
      </c>
      <c r="O826" t="str">
        <f>IFERROR(VLOOKUP($A826,koronahun!$A:$AM,15,FALSE),"")</f>
        <v/>
      </c>
      <c r="P826" t="str">
        <f>IFERROR(VLOOKUP($A826,koronahun!$A:$AM,16,FALSE),"")</f>
        <v/>
      </c>
      <c r="Q826" s="13" t="str">
        <f>IFERROR(VLOOKUP($A826,koronahun!$A:$AM,17,FALSE),"")</f>
        <v/>
      </c>
      <c r="R826" t="str">
        <f>IFERROR(VLOOKUP($A826,koronahun!$A:$AM,18,FALSE),"")</f>
        <v/>
      </c>
      <c r="S826" t="str">
        <f>IFERROR(VLOOKUP($A826,koronahun!$A:$AM,19,FALSE),"")</f>
        <v/>
      </c>
      <c r="T826" t="str">
        <f>IFERROR(VLOOKUP($A826,koronahun!$A:$AM,20,FALSE),"")</f>
        <v/>
      </c>
      <c r="U826" t="str">
        <f>IFERROR(VLOOKUP($A826,koronahun!$A:$AM,21,FALSE),"")</f>
        <v/>
      </c>
      <c r="V826" s="13" t="str">
        <f>IFERROR(VLOOKUP($A826,koronahun!$A:$AM,22,FALSE),"")</f>
        <v/>
      </c>
      <c r="W826" t="str">
        <f>IFERROR(VLOOKUP($A826,koronahun!$A:$AM,23,FALSE),"")</f>
        <v/>
      </c>
      <c r="X826" t="str">
        <f>IFERROR(VLOOKUP($A826,koronahun!$A:$AM,24,FALSE),"")</f>
        <v/>
      </c>
      <c r="Y826" s="14" t="str">
        <f>IFERROR(VLOOKUP($A826,koronahun!$A:$AM,25,FALSE),"")</f>
        <v/>
      </c>
      <c r="Z826" s="14" t="str">
        <f>IFERROR(VLOOKUP($A826,koronahun!$A:$AM,26,FALSE),"")</f>
        <v/>
      </c>
      <c r="AA826" s="14" t="str">
        <f>IFERROR(VLOOKUP($A826,koronahun!$A:$AM,27,FALSE),"")</f>
        <v/>
      </c>
      <c r="AB826" s="14" t="str">
        <f>IFERROR(VLOOKUP($A826,koronahun!$A:$AM,28,FALSE),"")</f>
        <v/>
      </c>
      <c r="AC826" s="14" t="str">
        <f>IFERROR(VLOOKUP($A826,koronahun!$A:$AM,29,FALSE),"")</f>
        <v/>
      </c>
      <c r="AD826" s="14" t="str">
        <f>IFERROR(VLOOKUP($A826,koronahun!$A:$AM,30,FALSE),"")</f>
        <v/>
      </c>
      <c r="AE826" s="14" t="str">
        <f>IFERROR(VLOOKUP($A826,koronahun!$A:$AM,31,FALSE),"")</f>
        <v/>
      </c>
      <c r="AF826" s="13" t="str">
        <f>IFERROR(VLOOKUP($A826,koronahun!$A:$AM,32,FALSE),"")</f>
        <v/>
      </c>
      <c r="AG826" t="str">
        <f>IFERROR(VLOOKUP($A826,koronahun!$A:$AM,33,FALSE),"")</f>
        <v/>
      </c>
      <c r="AH826" t="str">
        <f>IFERROR(VLOOKUP($A826,koronahun!$A:$AM,34,FALSE),"")</f>
        <v/>
      </c>
      <c r="AI826" t="str">
        <f>IFERROR(VLOOKUP($A826,koronahun!$A:$AM,35,FALSE),"")</f>
        <v/>
      </c>
      <c r="AJ826" t="str">
        <f>IFERROR(VLOOKUP($A826,koronahun!$A:$AM,36,FALSE),"")</f>
        <v/>
      </c>
      <c r="AK826" t="str">
        <f>IFERROR(VLOOKUP($A826,koronahun!$A:$AM,37,FALSE),"")</f>
        <v/>
      </c>
      <c r="AL826" t="str">
        <f>IFERROR(VLOOKUP($A826,koronahun!$A:$AM,38,FALSE),"")</f>
        <v/>
      </c>
      <c r="AM826" s="14" t="str">
        <f>IFERROR(VLOOKUP($A826,koronahun!$A:$AM,39,FALSE),"")</f>
        <v/>
      </c>
      <c r="AN826" s="11">
        <f ca="1">IFERROR(__xludf.DUMMYFUNCTION("""COMPUTED_VALUE"""),44718)</f>
        <v>44718</v>
      </c>
      <c r="AO826" s="12">
        <f ca="1">IFERROR(VLOOKUP(AN826,koronahun!A:B,2,FALSE),"")</f>
        <v>0</v>
      </c>
      <c r="AP826" s="11">
        <f t="shared" ca="1" si="6"/>
        <v>44718</v>
      </c>
      <c r="AQ826" s="11"/>
      <c r="AR826" s="11"/>
      <c r="AS826" s="11"/>
      <c r="AT826" s="11"/>
    </row>
    <row r="827" spans="1:46" ht="13">
      <c r="A827" s="11"/>
      <c r="B827" t="str">
        <f>IFERROR(VLOOKUP($A827,koronahun!$A:$AM,2,FALSE),"")</f>
        <v/>
      </c>
      <c r="C827" t="str">
        <f>IFERROR(VLOOKUP($A827,koronahun!$A:$AM,3,FALSE),"")</f>
        <v/>
      </c>
      <c r="D827" t="str">
        <f>IFERROR(VLOOKUP($A827,koronahun!$A:$AM,4,FALSE),"")</f>
        <v/>
      </c>
      <c r="E827" t="str">
        <f>IFERROR(VLOOKUP($A827,koronahun!$A:$AM,5,FALSE),"")</f>
        <v/>
      </c>
      <c r="F827" t="str">
        <f>IFERROR(VLOOKUP($A827,koronahun!$A:$AM,6,FALSE),"")</f>
        <v/>
      </c>
      <c r="G827" s="12" t="str">
        <f>IFERROR(VLOOKUP($A827,koronahun!$A:$AM,7,FALSE),"")</f>
        <v/>
      </c>
      <c r="H827" t="str">
        <f>IFERROR(VLOOKUP($A827,koronahun!$A:$AM,8,FALSE),"")</f>
        <v/>
      </c>
      <c r="I827" s="13" t="str">
        <f>IFERROR(VLOOKUP($A827,koronahun!$A:$AM,9,FALSE),"")</f>
        <v/>
      </c>
      <c r="J827" s="13" t="str">
        <f>IFERROR(VLOOKUP($A827,koronahun!$A:$AM,10,FALSE),"")</f>
        <v/>
      </c>
      <c r="K827" s="13" t="str">
        <f>IFERROR(VLOOKUP($A827,koronahun!$A:$AM,11,FALSE),"")</f>
        <v/>
      </c>
      <c r="L827" t="str">
        <f>IFERROR(VLOOKUP($A827,koronahun!$A:$AM,12,FALSE),"")</f>
        <v/>
      </c>
      <c r="M827" s="13" t="str">
        <f>IFERROR(VLOOKUP($A827,koronahun!$A:$AM,13,FALSE),"")</f>
        <v/>
      </c>
      <c r="N827" s="13" t="str">
        <f>IFERROR(VLOOKUP($A827,koronahun!$A:$AM,14,FALSE),"")</f>
        <v/>
      </c>
      <c r="O827" t="str">
        <f>IFERROR(VLOOKUP($A827,koronahun!$A:$AM,15,FALSE),"")</f>
        <v/>
      </c>
      <c r="P827" t="str">
        <f>IFERROR(VLOOKUP($A827,koronahun!$A:$AM,16,FALSE),"")</f>
        <v/>
      </c>
      <c r="Q827" s="13" t="str">
        <f>IFERROR(VLOOKUP($A827,koronahun!$A:$AM,17,FALSE),"")</f>
        <v/>
      </c>
      <c r="R827" t="str">
        <f>IFERROR(VLOOKUP($A827,koronahun!$A:$AM,18,FALSE),"")</f>
        <v/>
      </c>
      <c r="S827" t="str">
        <f>IFERROR(VLOOKUP($A827,koronahun!$A:$AM,19,FALSE),"")</f>
        <v/>
      </c>
      <c r="T827" t="str">
        <f>IFERROR(VLOOKUP($A827,koronahun!$A:$AM,20,FALSE),"")</f>
        <v/>
      </c>
      <c r="U827" t="str">
        <f>IFERROR(VLOOKUP($A827,koronahun!$A:$AM,21,FALSE),"")</f>
        <v/>
      </c>
      <c r="V827" s="13" t="str">
        <f>IFERROR(VLOOKUP($A827,koronahun!$A:$AM,22,FALSE),"")</f>
        <v/>
      </c>
      <c r="W827" t="str">
        <f>IFERROR(VLOOKUP($A827,koronahun!$A:$AM,23,FALSE),"")</f>
        <v/>
      </c>
      <c r="X827" t="str">
        <f>IFERROR(VLOOKUP($A827,koronahun!$A:$AM,24,FALSE),"")</f>
        <v/>
      </c>
      <c r="Y827" s="14" t="str">
        <f>IFERROR(VLOOKUP($A827,koronahun!$A:$AM,25,FALSE),"")</f>
        <v/>
      </c>
      <c r="Z827" s="14" t="str">
        <f>IFERROR(VLOOKUP($A827,koronahun!$A:$AM,26,FALSE),"")</f>
        <v/>
      </c>
      <c r="AA827" s="14" t="str">
        <f>IFERROR(VLOOKUP($A827,koronahun!$A:$AM,27,FALSE),"")</f>
        <v/>
      </c>
      <c r="AB827" s="14" t="str">
        <f>IFERROR(VLOOKUP($A827,koronahun!$A:$AM,28,FALSE),"")</f>
        <v/>
      </c>
      <c r="AC827" s="14" t="str">
        <f>IFERROR(VLOOKUP($A827,koronahun!$A:$AM,29,FALSE),"")</f>
        <v/>
      </c>
      <c r="AD827" s="14" t="str">
        <f>IFERROR(VLOOKUP($A827,koronahun!$A:$AM,30,FALSE),"")</f>
        <v/>
      </c>
      <c r="AE827" s="14" t="str">
        <f>IFERROR(VLOOKUP($A827,koronahun!$A:$AM,31,FALSE),"")</f>
        <v/>
      </c>
      <c r="AF827" s="13" t="str">
        <f>IFERROR(VLOOKUP($A827,koronahun!$A:$AM,32,FALSE),"")</f>
        <v/>
      </c>
      <c r="AG827" t="str">
        <f>IFERROR(VLOOKUP($A827,koronahun!$A:$AM,33,FALSE),"")</f>
        <v/>
      </c>
      <c r="AH827" t="str">
        <f>IFERROR(VLOOKUP($A827,koronahun!$A:$AM,34,FALSE),"")</f>
        <v/>
      </c>
      <c r="AI827" t="str">
        <f>IFERROR(VLOOKUP($A827,koronahun!$A:$AM,35,FALSE),"")</f>
        <v/>
      </c>
      <c r="AJ827" t="str">
        <f>IFERROR(VLOOKUP($A827,koronahun!$A:$AM,36,FALSE),"")</f>
        <v/>
      </c>
      <c r="AK827" t="str">
        <f>IFERROR(VLOOKUP($A827,koronahun!$A:$AM,37,FALSE),"")</f>
        <v/>
      </c>
      <c r="AL827" t="str">
        <f>IFERROR(VLOOKUP($A827,koronahun!$A:$AM,38,FALSE),"")</f>
        <v/>
      </c>
      <c r="AM827" s="14" t="str">
        <f>IFERROR(VLOOKUP($A827,koronahun!$A:$AM,39,FALSE),"")</f>
        <v/>
      </c>
      <c r="AN827" s="11">
        <f ca="1">IFERROR(__xludf.DUMMYFUNCTION("""COMPUTED_VALUE"""),44719)</f>
        <v>44719</v>
      </c>
      <c r="AO827" s="12">
        <f ca="1">IFERROR(VLOOKUP(AN827,koronahun!A:B,2,FALSE),"")</f>
        <v>0</v>
      </c>
      <c r="AP827" s="11">
        <f t="shared" ca="1" si="6"/>
        <v>44719</v>
      </c>
      <c r="AQ827" s="11"/>
      <c r="AR827" s="11"/>
      <c r="AS827" s="11"/>
      <c r="AT827" s="11"/>
    </row>
    <row r="828" spans="1:46" ht="13">
      <c r="A828" s="11"/>
      <c r="B828" t="str">
        <f>IFERROR(VLOOKUP($A828,koronahun!$A:$AM,2,FALSE),"")</f>
        <v/>
      </c>
      <c r="C828" t="str">
        <f>IFERROR(VLOOKUP($A828,koronahun!$A:$AM,3,FALSE),"")</f>
        <v/>
      </c>
      <c r="D828" t="str">
        <f>IFERROR(VLOOKUP($A828,koronahun!$A:$AM,4,FALSE),"")</f>
        <v/>
      </c>
      <c r="E828" t="str">
        <f>IFERROR(VLOOKUP($A828,koronahun!$A:$AM,5,FALSE),"")</f>
        <v/>
      </c>
      <c r="F828" t="str">
        <f>IFERROR(VLOOKUP($A828,koronahun!$A:$AM,6,FALSE),"")</f>
        <v/>
      </c>
      <c r="G828" s="12" t="str">
        <f>IFERROR(VLOOKUP($A828,koronahun!$A:$AM,7,FALSE),"")</f>
        <v/>
      </c>
      <c r="H828" t="str">
        <f>IFERROR(VLOOKUP($A828,koronahun!$A:$AM,8,FALSE),"")</f>
        <v/>
      </c>
      <c r="I828" s="13" t="str">
        <f>IFERROR(VLOOKUP($A828,koronahun!$A:$AM,9,FALSE),"")</f>
        <v/>
      </c>
      <c r="J828" s="13" t="str">
        <f>IFERROR(VLOOKUP($A828,koronahun!$A:$AM,10,FALSE),"")</f>
        <v/>
      </c>
      <c r="K828" s="13" t="str">
        <f>IFERROR(VLOOKUP($A828,koronahun!$A:$AM,11,FALSE),"")</f>
        <v/>
      </c>
      <c r="L828" t="str">
        <f>IFERROR(VLOOKUP($A828,koronahun!$A:$AM,12,FALSE),"")</f>
        <v/>
      </c>
      <c r="M828" s="13" t="str">
        <f>IFERROR(VLOOKUP($A828,koronahun!$A:$AM,13,FALSE),"")</f>
        <v/>
      </c>
      <c r="N828" s="13" t="str">
        <f>IFERROR(VLOOKUP($A828,koronahun!$A:$AM,14,FALSE),"")</f>
        <v/>
      </c>
      <c r="O828" t="str">
        <f>IFERROR(VLOOKUP($A828,koronahun!$A:$AM,15,FALSE),"")</f>
        <v/>
      </c>
      <c r="P828" t="str">
        <f>IFERROR(VLOOKUP($A828,koronahun!$A:$AM,16,FALSE),"")</f>
        <v/>
      </c>
      <c r="Q828" s="13" t="str">
        <f>IFERROR(VLOOKUP($A828,koronahun!$A:$AM,17,FALSE),"")</f>
        <v/>
      </c>
      <c r="R828" t="str">
        <f>IFERROR(VLOOKUP($A828,koronahun!$A:$AM,18,FALSE),"")</f>
        <v/>
      </c>
      <c r="S828" t="str">
        <f>IFERROR(VLOOKUP($A828,koronahun!$A:$AM,19,FALSE),"")</f>
        <v/>
      </c>
      <c r="T828" t="str">
        <f>IFERROR(VLOOKUP($A828,koronahun!$A:$AM,20,FALSE),"")</f>
        <v/>
      </c>
      <c r="U828" t="str">
        <f>IFERROR(VLOOKUP($A828,koronahun!$A:$AM,21,FALSE),"")</f>
        <v/>
      </c>
      <c r="V828" s="13" t="str">
        <f>IFERROR(VLOOKUP($A828,koronahun!$A:$AM,22,FALSE),"")</f>
        <v/>
      </c>
      <c r="W828" t="str">
        <f>IFERROR(VLOOKUP($A828,koronahun!$A:$AM,23,FALSE),"")</f>
        <v/>
      </c>
      <c r="X828" t="str">
        <f>IFERROR(VLOOKUP($A828,koronahun!$A:$AM,24,FALSE),"")</f>
        <v/>
      </c>
      <c r="Y828" s="14" t="str">
        <f>IFERROR(VLOOKUP($A828,koronahun!$A:$AM,25,FALSE),"")</f>
        <v/>
      </c>
      <c r="Z828" s="14" t="str">
        <f>IFERROR(VLOOKUP($A828,koronahun!$A:$AM,26,FALSE),"")</f>
        <v/>
      </c>
      <c r="AA828" s="14" t="str">
        <f>IFERROR(VLOOKUP($A828,koronahun!$A:$AM,27,FALSE),"")</f>
        <v/>
      </c>
      <c r="AB828" s="14" t="str">
        <f>IFERROR(VLOOKUP($A828,koronahun!$A:$AM,28,FALSE),"")</f>
        <v/>
      </c>
      <c r="AC828" s="14" t="str">
        <f>IFERROR(VLOOKUP($A828,koronahun!$A:$AM,29,FALSE),"")</f>
        <v/>
      </c>
      <c r="AD828" s="14" t="str">
        <f>IFERROR(VLOOKUP($A828,koronahun!$A:$AM,30,FALSE),"")</f>
        <v/>
      </c>
      <c r="AE828" s="14" t="str">
        <f>IFERROR(VLOOKUP($A828,koronahun!$A:$AM,31,FALSE),"")</f>
        <v/>
      </c>
      <c r="AF828" s="13" t="str">
        <f>IFERROR(VLOOKUP($A828,koronahun!$A:$AM,32,FALSE),"")</f>
        <v/>
      </c>
      <c r="AG828" t="str">
        <f>IFERROR(VLOOKUP($A828,koronahun!$A:$AM,33,FALSE),"")</f>
        <v/>
      </c>
      <c r="AH828" t="str">
        <f>IFERROR(VLOOKUP($A828,koronahun!$A:$AM,34,FALSE),"")</f>
        <v/>
      </c>
      <c r="AI828" t="str">
        <f>IFERROR(VLOOKUP($A828,koronahun!$A:$AM,35,FALSE),"")</f>
        <v/>
      </c>
      <c r="AJ828" t="str">
        <f>IFERROR(VLOOKUP($A828,koronahun!$A:$AM,36,FALSE),"")</f>
        <v/>
      </c>
      <c r="AK828" t="str">
        <f>IFERROR(VLOOKUP($A828,koronahun!$A:$AM,37,FALSE),"")</f>
        <v/>
      </c>
      <c r="AL828" t="str">
        <f>IFERROR(VLOOKUP($A828,koronahun!$A:$AM,38,FALSE),"")</f>
        <v/>
      </c>
      <c r="AM828" s="14" t="str">
        <f>IFERROR(VLOOKUP($A828,koronahun!$A:$AM,39,FALSE),"")</f>
        <v/>
      </c>
      <c r="AN828" s="11">
        <f ca="1">IFERROR(__xludf.DUMMYFUNCTION("""COMPUTED_VALUE"""),44720)</f>
        <v>44720</v>
      </c>
      <c r="AO828" s="12">
        <f ca="1">IFERROR(VLOOKUP(AN828,koronahun!A:B,2,FALSE),"")</f>
        <v>1921486</v>
      </c>
      <c r="AP828" s="11">
        <f t="shared" ca="1" si="6"/>
        <v>44720</v>
      </c>
      <c r="AQ828" s="11"/>
      <c r="AR828" s="11"/>
      <c r="AS828" s="11"/>
      <c r="AT828" s="11"/>
    </row>
    <row r="829" spans="1:46" ht="13">
      <c r="A829" s="11"/>
      <c r="B829" t="str">
        <f>IFERROR(VLOOKUP($A829,koronahun!$A:$AM,2,FALSE),"")</f>
        <v/>
      </c>
      <c r="C829" t="str">
        <f>IFERROR(VLOOKUP($A829,koronahun!$A:$AM,3,FALSE),"")</f>
        <v/>
      </c>
      <c r="D829" t="str">
        <f>IFERROR(VLOOKUP($A829,koronahun!$A:$AM,4,FALSE),"")</f>
        <v/>
      </c>
      <c r="E829" t="str">
        <f>IFERROR(VLOOKUP($A829,koronahun!$A:$AM,5,FALSE),"")</f>
        <v/>
      </c>
      <c r="F829" t="str">
        <f>IFERROR(VLOOKUP($A829,koronahun!$A:$AM,6,FALSE),"")</f>
        <v/>
      </c>
      <c r="G829" s="12" t="str">
        <f>IFERROR(VLOOKUP($A829,koronahun!$A:$AM,7,FALSE),"")</f>
        <v/>
      </c>
      <c r="H829" t="str">
        <f>IFERROR(VLOOKUP($A829,koronahun!$A:$AM,8,FALSE),"")</f>
        <v/>
      </c>
      <c r="I829" s="13" t="str">
        <f>IFERROR(VLOOKUP($A829,koronahun!$A:$AM,9,FALSE),"")</f>
        <v/>
      </c>
      <c r="J829" s="13" t="str">
        <f>IFERROR(VLOOKUP($A829,koronahun!$A:$AM,10,FALSE),"")</f>
        <v/>
      </c>
      <c r="K829" s="13" t="str">
        <f>IFERROR(VLOOKUP($A829,koronahun!$A:$AM,11,FALSE),"")</f>
        <v/>
      </c>
      <c r="L829" t="str">
        <f>IFERROR(VLOOKUP($A829,koronahun!$A:$AM,12,FALSE),"")</f>
        <v/>
      </c>
      <c r="M829" s="13" t="str">
        <f>IFERROR(VLOOKUP($A829,koronahun!$A:$AM,13,FALSE),"")</f>
        <v/>
      </c>
      <c r="N829" s="13" t="str">
        <f>IFERROR(VLOOKUP($A829,koronahun!$A:$AM,14,FALSE),"")</f>
        <v/>
      </c>
      <c r="O829" t="str">
        <f>IFERROR(VLOOKUP($A829,koronahun!$A:$AM,15,FALSE),"")</f>
        <v/>
      </c>
      <c r="P829" t="str">
        <f>IFERROR(VLOOKUP($A829,koronahun!$A:$AM,16,FALSE),"")</f>
        <v/>
      </c>
      <c r="Q829" s="13" t="str">
        <f>IFERROR(VLOOKUP($A829,koronahun!$A:$AM,17,FALSE),"")</f>
        <v/>
      </c>
      <c r="R829" t="str">
        <f>IFERROR(VLOOKUP($A829,koronahun!$A:$AM,18,FALSE),"")</f>
        <v/>
      </c>
      <c r="S829" t="str">
        <f>IFERROR(VLOOKUP($A829,koronahun!$A:$AM,19,FALSE),"")</f>
        <v/>
      </c>
      <c r="T829" t="str">
        <f>IFERROR(VLOOKUP($A829,koronahun!$A:$AM,20,FALSE),"")</f>
        <v/>
      </c>
      <c r="U829" t="str">
        <f>IFERROR(VLOOKUP($A829,koronahun!$A:$AM,21,FALSE),"")</f>
        <v/>
      </c>
      <c r="V829" s="13" t="str">
        <f>IFERROR(VLOOKUP($A829,koronahun!$A:$AM,22,FALSE),"")</f>
        <v/>
      </c>
      <c r="W829" t="str">
        <f>IFERROR(VLOOKUP($A829,koronahun!$A:$AM,23,FALSE),"")</f>
        <v/>
      </c>
      <c r="X829" t="str">
        <f>IFERROR(VLOOKUP($A829,koronahun!$A:$AM,24,FALSE),"")</f>
        <v/>
      </c>
      <c r="Y829" s="14" t="str">
        <f>IFERROR(VLOOKUP($A829,koronahun!$A:$AM,25,FALSE),"")</f>
        <v/>
      </c>
      <c r="Z829" s="14" t="str">
        <f>IFERROR(VLOOKUP($A829,koronahun!$A:$AM,26,FALSE),"")</f>
        <v/>
      </c>
      <c r="AA829" s="14" t="str">
        <f>IFERROR(VLOOKUP($A829,koronahun!$A:$AM,27,FALSE),"")</f>
        <v/>
      </c>
      <c r="AB829" s="14" t="str">
        <f>IFERROR(VLOOKUP($A829,koronahun!$A:$AM,28,FALSE),"")</f>
        <v/>
      </c>
      <c r="AC829" s="14" t="str">
        <f>IFERROR(VLOOKUP($A829,koronahun!$A:$AM,29,FALSE),"")</f>
        <v/>
      </c>
      <c r="AD829" s="14" t="str">
        <f>IFERROR(VLOOKUP($A829,koronahun!$A:$AM,30,FALSE),"")</f>
        <v/>
      </c>
      <c r="AE829" s="14" t="str">
        <f>IFERROR(VLOOKUP($A829,koronahun!$A:$AM,31,FALSE),"")</f>
        <v/>
      </c>
      <c r="AF829" s="13" t="str">
        <f>IFERROR(VLOOKUP($A829,koronahun!$A:$AM,32,FALSE),"")</f>
        <v/>
      </c>
      <c r="AG829" t="str">
        <f>IFERROR(VLOOKUP($A829,koronahun!$A:$AM,33,FALSE),"")</f>
        <v/>
      </c>
      <c r="AH829" t="str">
        <f>IFERROR(VLOOKUP($A829,koronahun!$A:$AM,34,FALSE),"")</f>
        <v/>
      </c>
      <c r="AI829" t="str">
        <f>IFERROR(VLOOKUP($A829,koronahun!$A:$AM,35,FALSE),"")</f>
        <v/>
      </c>
      <c r="AJ829" t="str">
        <f>IFERROR(VLOOKUP($A829,koronahun!$A:$AM,36,FALSE),"")</f>
        <v/>
      </c>
      <c r="AK829" t="str">
        <f>IFERROR(VLOOKUP($A829,koronahun!$A:$AM,37,FALSE),"")</f>
        <v/>
      </c>
      <c r="AL829" t="str">
        <f>IFERROR(VLOOKUP($A829,koronahun!$A:$AM,38,FALSE),"")</f>
        <v/>
      </c>
      <c r="AM829" s="14" t="str">
        <f>IFERROR(VLOOKUP($A829,koronahun!$A:$AM,39,FALSE),"")</f>
        <v/>
      </c>
      <c r="AN829" s="11">
        <f ca="1">IFERROR(__xludf.DUMMYFUNCTION("""COMPUTED_VALUE"""),44721)</f>
        <v>44721</v>
      </c>
      <c r="AO829" s="12">
        <f ca="1">IFERROR(VLOOKUP(AN829,koronahun!A:B,2,FALSE),"")</f>
        <v>0</v>
      </c>
      <c r="AP829" s="11">
        <f t="shared" ca="1" si="6"/>
        <v>44721</v>
      </c>
      <c r="AQ829" s="11"/>
      <c r="AR829" s="11"/>
      <c r="AS829" s="11"/>
      <c r="AT829" s="11"/>
    </row>
    <row r="830" spans="1:46" ht="13">
      <c r="A830" s="11"/>
      <c r="B830" t="str">
        <f>IFERROR(VLOOKUP($A830,koronahun!$A:$AM,2,FALSE),"")</f>
        <v/>
      </c>
      <c r="C830" t="str">
        <f>IFERROR(VLOOKUP($A830,koronahun!$A:$AM,3,FALSE),"")</f>
        <v/>
      </c>
      <c r="D830" t="str">
        <f>IFERROR(VLOOKUP($A830,koronahun!$A:$AM,4,FALSE),"")</f>
        <v/>
      </c>
      <c r="E830" t="str">
        <f>IFERROR(VLOOKUP($A830,koronahun!$A:$AM,5,FALSE),"")</f>
        <v/>
      </c>
      <c r="F830" t="str">
        <f>IFERROR(VLOOKUP($A830,koronahun!$A:$AM,6,FALSE),"")</f>
        <v/>
      </c>
      <c r="G830" s="12" t="str">
        <f>IFERROR(VLOOKUP($A830,koronahun!$A:$AM,7,FALSE),"")</f>
        <v/>
      </c>
      <c r="H830" t="str">
        <f>IFERROR(VLOOKUP($A830,koronahun!$A:$AM,8,FALSE),"")</f>
        <v/>
      </c>
      <c r="I830" s="13" t="str">
        <f>IFERROR(VLOOKUP($A830,koronahun!$A:$AM,9,FALSE),"")</f>
        <v/>
      </c>
      <c r="J830" s="13" t="str">
        <f>IFERROR(VLOOKUP($A830,koronahun!$A:$AM,10,FALSE),"")</f>
        <v/>
      </c>
      <c r="K830" s="13" t="str">
        <f>IFERROR(VLOOKUP($A830,koronahun!$A:$AM,11,FALSE),"")</f>
        <v/>
      </c>
      <c r="L830" t="str">
        <f>IFERROR(VLOOKUP($A830,koronahun!$A:$AM,12,FALSE),"")</f>
        <v/>
      </c>
      <c r="M830" s="13" t="str">
        <f>IFERROR(VLOOKUP($A830,koronahun!$A:$AM,13,FALSE),"")</f>
        <v/>
      </c>
      <c r="N830" s="13" t="str">
        <f>IFERROR(VLOOKUP($A830,koronahun!$A:$AM,14,FALSE),"")</f>
        <v/>
      </c>
      <c r="O830" t="str">
        <f>IFERROR(VLOOKUP($A830,koronahun!$A:$AM,15,FALSE),"")</f>
        <v/>
      </c>
      <c r="P830" t="str">
        <f>IFERROR(VLOOKUP($A830,koronahun!$A:$AM,16,FALSE),"")</f>
        <v/>
      </c>
      <c r="Q830" s="13" t="str">
        <f>IFERROR(VLOOKUP($A830,koronahun!$A:$AM,17,FALSE),"")</f>
        <v/>
      </c>
      <c r="R830" t="str">
        <f>IFERROR(VLOOKUP($A830,koronahun!$A:$AM,18,FALSE),"")</f>
        <v/>
      </c>
      <c r="S830" t="str">
        <f>IFERROR(VLOOKUP($A830,koronahun!$A:$AM,19,FALSE),"")</f>
        <v/>
      </c>
      <c r="T830" t="str">
        <f>IFERROR(VLOOKUP($A830,koronahun!$A:$AM,20,FALSE),"")</f>
        <v/>
      </c>
      <c r="U830" t="str">
        <f>IFERROR(VLOOKUP($A830,koronahun!$A:$AM,21,FALSE),"")</f>
        <v/>
      </c>
      <c r="V830" s="13" t="str">
        <f>IFERROR(VLOOKUP($A830,koronahun!$A:$AM,22,FALSE),"")</f>
        <v/>
      </c>
      <c r="W830" t="str">
        <f>IFERROR(VLOOKUP($A830,koronahun!$A:$AM,23,FALSE),"")</f>
        <v/>
      </c>
      <c r="X830" t="str">
        <f>IFERROR(VLOOKUP($A830,koronahun!$A:$AM,24,FALSE),"")</f>
        <v/>
      </c>
      <c r="Y830" s="14" t="str">
        <f>IFERROR(VLOOKUP($A830,koronahun!$A:$AM,25,FALSE),"")</f>
        <v/>
      </c>
      <c r="Z830" s="14" t="str">
        <f>IFERROR(VLOOKUP($A830,koronahun!$A:$AM,26,FALSE),"")</f>
        <v/>
      </c>
      <c r="AA830" s="14" t="str">
        <f>IFERROR(VLOOKUP($A830,koronahun!$A:$AM,27,FALSE),"")</f>
        <v/>
      </c>
      <c r="AB830" s="14" t="str">
        <f>IFERROR(VLOOKUP($A830,koronahun!$A:$AM,28,FALSE),"")</f>
        <v/>
      </c>
      <c r="AC830" s="14" t="str">
        <f>IFERROR(VLOOKUP($A830,koronahun!$A:$AM,29,FALSE),"")</f>
        <v/>
      </c>
      <c r="AD830" s="14" t="str">
        <f>IFERROR(VLOOKUP($A830,koronahun!$A:$AM,30,FALSE),"")</f>
        <v/>
      </c>
      <c r="AE830" s="14" t="str">
        <f>IFERROR(VLOOKUP($A830,koronahun!$A:$AM,31,FALSE),"")</f>
        <v/>
      </c>
      <c r="AF830" s="13" t="str">
        <f>IFERROR(VLOOKUP($A830,koronahun!$A:$AM,32,FALSE),"")</f>
        <v/>
      </c>
      <c r="AG830" t="str">
        <f>IFERROR(VLOOKUP($A830,koronahun!$A:$AM,33,FALSE),"")</f>
        <v/>
      </c>
      <c r="AH830" t="str">
        <f>IFERROR(VLOOKUP($A830,koronahun!$A:$AM,34,FALSE),"")</f>
        <v/>
      </c>
      <c r="AI830" t="str">
        <f>IFERROR(VLOOKUP($A830,koronahun!$A:$AM,35,FALSE),"")</f>
        <v/>
      </c>
      <c r="AJ830" t="str">
        <f>IFERROR(VLOOKUP($A830,koronahun!$A:$AM,36,FALSE),"")</f>
        <v/>
      </c>
      <c r="AK830" t="str">
        <f>IFERROR(VLOOKUP($A830,koronahun!$A:$AM,37,FALSE),"")</f>
        <v/>
      </c>
      <c r="AL830" t="str">
        <f>IFERROR(VLOOKUP($A830,koronahun!$A:$AM,38,FALSE),"")</f>
        <v/>
      </c>
      <c r="AM830" s="14" t="str">
        <f>IFERROR(VLOOKUP($A830,koronahun!$A:$AM,39,FALSE),"")</f>
        <v/>
      </c>
      <c r="AN830" s="11">
        <f ca="1">IFERROR(__xludf.DUMMYFUNCTION("""COMPUTED_VALUE"""),44722)</f>
        <v>44722</v>
      </c>
      <c r="AO830" s="12">
        <f ca="1">IFERROR(VLOOKUP(AN830,koronahun!A:B,2,FALSE),"")</f>
        <v>0</v>
      </c>
      <c r="AP830" s="11">
        <f t="shared" ca="1" si="6"/>
        <v>44722</v>
      </c>
      <c r="AQ830" s="11"/>
      <c r="AR830" s="11"/>
      <c r="AS830" s="11"/>
      <c r="AT830" s="11"/>
    </row>
    <row r="831" spans="1:46" ht="13">
      <c r="A831" s="11"/>
      <c r="B831" t="str">
        <f>IFERROR(VLOOKUP($A831,koronahun!$A:$AM,2,FALSE),"")</f>
        <v/>
      </c>
      <c r="C831" t="str">
        <f>IFERROR(VLOOKUP($A831,koronahun!$A:$AM,3,FALSE),"")</f>
        <v/>
      </c>
      <c r="D831" t="str">
        <f>IFERROR(VLOOKUP($A831,koronahun!$A:$AM,4,FALSE),"")</f>
        <v/>
      </c>
      <c r="E831" t="str">
        <f>IFERROR(VLOOKUP($A831,koronahun!$A:$AM,5,FALSE),"")</f>
        <v/>
      </c>
      <c r="F831" t="str">
        <f>IFERROR(VLOOKUP($A831,koronahun!$A:$AM,6,FALSE),"")</f>
        <v/>
      </c>
      <c r="G831" s="12" t="str">
        <f>IFERROR(VLOOKUP($A831,koronahun!$A:$AM,7,FALSE),"")</f>
        <v/>
      </c>
      <c r="H831" t="str">
        <f>IFERROR(VLOOKUP($A831,koronahun!$A:$AM,8,FALSE),"")</f>
        <v/>
      </c>
      <c r="I831" s="13" t="str">
        <f>IFERROR(VLOOKUP($A831,koronahun!$A:$AM,9,FALSE),"")</f>
        <v/>
      </c>
      <c r="J831" s="13" t="str">
        <f>IFERROR(VLOOKUP($A831,koronahun!$A:$AM,10,FALSE),"")</f>
        <v/>
      </c>
      <c r="K831" s="13" t="str">
        <f>IFERROR(VLOOKUP($A831,koronahun!$A:$AM,11,FALSE),"")</f>
        <v/>
      </c>
      <c r="L831" t="str">
        <f>IFERROR(VLOOKUP($A831,koronahun!$A:$AM,12,FALSE),"")</f>
        <v/>
      </c>
      <c r="M831" s="13" t="str">
        <f>IFERROR(VLOOKUP($A831,koronahun!$A:$AM,13,FALSE),"")</f>
        <v/>
      </c>
      <c r="N831" s="13" t="str">
        <f>IFERROR(VLOOKUP($A831,koronahun!$A:$AM,14,FALSE),"")</f>
        <v/>
      </c>
      <c r="O831" t="str">
        <f>IFERROR(VLOOKUP($A831,koronahun!$A:$AM,15,FALSE),"")</f>
        <v/>
      </c>
      <c r="P831" t="str">
        <f>IFERROR(VLOOKUP($A831,koronahun!$A:$AM,16,FALSE),"")</f>
        <v/>
      </c>
      <c r="Q831" s="13" t="str">
        <f>IFERROR(VLOOKUP($A831,koronahun!$A:$AM,17,FALSE),"")</f>
        <v/>
      </c>
      <c r="R831" t="str">
        <f>IFERROR(VLOOKUP($A831,koronahun!$A:$AM,18,FALSE),"")</f>
        <v/>
      </c>
      <c r="S831" t="str">
        <f>IFERROR(VLOOKUP($A831,koronahun!$A:$AM,19,FALSE),"")</f>
        <v/>
      </c>
      <c r="T831" t="str">
        <f>IFERROR(VLOOKUP($A831,koronahun!$A:$AM,20,FALSE),"")</f>
        <v/>
      </c>
      <c r="U831" t="str">
        <f>IFERROR(VLOOKUP($A831,koronahun!$A:$AM,21,FALSE),"")</f>
        <v/>
      </c>
      <c r="V831" s="13" t="str">
        <f>IFERROR(VLOOKUP($A831,koronahun!$A:$AM,22,FALSE),"")</f>
        <v/>
      </c>
      <c r="W831" t="str">
        <f>IFERROR(VLOOKUP($A831,koronahun!$A:$AM,23,FALSE),"")</f>
        <v/>
      </c>
      <c r="X831" t="str">
        <f>IFERROR(VLOOKUP($A831,koronahun!$A:$AM,24,FALSE),"")</f>
        <v/>
      </c>
      <c r="Y831" s="14" t="str">
        <f>IFERROR(VLOOKUP($A831,koronahun!$A:$AM,25,FALSE),"")</f>
        <v/>
      </c>
      <c r="Z831" s="14" t="str">
        <f>IFERROR(VLOOKUP($A831,koronahun!$A:$AM,26,FALSE),"")</f>
        <v/>
      </c>
      <c r="AA831" s="14" t="str">
        <f>IFERROR(VLOOKUP($A831,koronahun!$A:$AM,27,FALSE),"")</f>
        <v/>
      </c>
      <c r="AB831" s="14" t="str">
        <f>IFERROR(VLOOKUP($A831,koronahun!$A:$AM,28,FALSE),"")</f>
        <v/>
      </c>
      <c r="AC831" s="14" t="str">
        <f>IFERROR(VLOOKUP($A831,koronahun!$A:$AM,29,FALSE),"")</f>
        <v/>
      </c>
      <c r="AD831" s="14" t="str">
        <f>IFERROR(VLOOKUP($A831,koronahun!$A:$AM,30,FALSE),"")</f>
        <v/>
      </c>
      <c r="AE831" s="14" t="str">
        <f>IFERROR(VLOOKUP($A831,koronahun!$A:$AM,31,FALSE),"")</f>
        <v/>
      </c>
      <c r="AF831" s="13" t="str">
        <f>IFERROR(VLOOKUP($A831,koronahun!$A:$AM,32,FALSE),"")</f>
        <v/>
      </c>
      <c r="AG831" t="str">
        <f>IFERROR(VLOOKUP($A831,koronahun!$A:$AM,33,FALSE),"")</f>
        <v/>
      </c>
      <c r="AH831" t="str">
        <f>IFERROR(VLOOKUP($A831,koronahun!$A:$AM,34,FALSE),"")</f>
        <v/>
      </c>
      <c r="AI831" t="str">
        <f>IFERROR(VLOOKUP($A831,koronahun!$A:$AM,35,FALSE),"")</f>
        <v/>
      </c>
      <c r="AJ831" t="str">
        <f>IFERROR(VLOOKUP($A831,koronahun!$A:$AM,36,FALSE),"")</f>
        <v/>
      </c>
      <c r="AK831" t="str">
        <f>IFERROR(VLOOKUP($A831,koronahun!$A:$AM,37,FALSE),"")</f>
        <v/>
      </c>
      <c r="AL831" t="str">
        <f>IFERROR(VLOOKUP($A831,koronahun!$A:$AM,38,FALSE),"")</f>
        <v/>
      </c>
      <c r="AM831" s="14" t="str">
        <f>IFERROR(VLOOKUP($A831,koronahun!$A:$AM,39,FALSE),"")</f>
        <v/>
      </c>
      <c r="AN831" s="11">
        <f ca="1">IFERROR(__xludf.DUMMYFUNCTION("""COMPUTED_VALUE"""),44723)</f>
        <v>44723</v>
      </c>
      <c r="AO831" s="12">
        <f ca="1">IFERROR(VLOOKUP(AN831,koronahun!A:B,2,FALSE),"")</f>
        <v>0</v>
      </c>
      <c r="AP831" s="11">
        <f t="shared" ca="1" si="6"/>
        <v>44723</v>
      </c>
      <c r="AQ831" s="11"/>
      <c r="AR831" s="11"/>
      <c r="AS831" s="11"/>
      <c r="AT831" s="11"/>
    </row>
    <row r="832" spans="1:46" ht="13">
      <c r="A832" s="11"/>
      <c r="B832" t="str">
        <f>IFERROR(VLOOKUP($A832,koronahun!$A:$AM,2,FALSE),"")</f>
        <v/>
      </c>
      <c r="C832" t="str">
        <f>IFERROR(VLOOKUP($A832,koronahun!$A:$AM,3,FALSE),"")</f>
        <v/>
      </c>
      <c r="D832" t="str">
        <f>IFERROR(VLOOKUP($A832,koronahun!$A:$AM,4,FALSE),"")</f>
        <v/>
      </c>
      <c r="E832" t="str">
        <f>IFERROR(VLOOKUP($A832,koronahun!$A:$AM,5,FALSE),"")</f>
        <v/>
      </c>
      <c r="F832" t="str">
        <f>IFERROR(VLOOKUP($A832,koronahun!$A:$AM,6,FALSE),"")</f>
        <v/>
      </c>
      <c r="G832" s="12" t="str">
        <f>IFERROR(VLOOKUP($A832,koronahun!$A:$AM,7,FALSE),"")</f>
        <v/>
      </c>
      <c r="H832" t="str">
        <f>IFERROR(VLOOKUP($A832,koronahun!$A:$AM,8,FALSE),"")</f>
        <v/>
      </c>
      <c r="I832" s="13" t="str">
        <f>IFERROR(VLOOKUP($A832,koronahun!$A:$AM,9,FALSE),"")</f>
        <v/>
      </c>
      <c r="J832" s="13" t="str">
        <f>IFERROR(VLOOKUP($A832,koronahun!$A:$AM,10,FALSE),"")</f>
        <v/>
      </c>
      <c r="K832" s="13" t="str">
        <f>IFERROR(VLOOKUP($A832,koronahun!$A:$AM,11,FALSE),"")</f>
        <v/>
      </c>
      <c r="L832" t="str">
        <f>IFERROR(VLOOKUP($A832,koronahun!$A:$AM,12,FALSE),"")</f>
        <v/>
      </c>
      <c r="M832" s="13" t="str">
        <f>IFERROR(VLOOKUP($A832,koronahun!$A:$AM,13,FALSE),"")</f>
        <v/>
      </c>
      <c r="N832" s="13" t="str">
        <f>IFERROR(VLOOKUP($A832,koronahun!$A:$AM,14,FALSE),"")</f>
        <v/>
      </c>
      <c r="O832" t="str">
        <f>IFERROR(VLOOKUP($A832,koronahun!$A:$AM,15,FALSE),"")</f>
        <v/>
      </c>
      <c r="P832" t="str">
        <f>IFERROR(VLOOKUP($A832,koronahun!$A:$AM,16,FALSE),"")</f>
        <v/>
      </c>
      <c r="Q832" s="13" t="str">
        <f>IFERROR(VLOOKUP($A832,koronahun!$A:$AM,17,FALSE),"")</f>
        <v/>
      </c>
      <c r="R832" t="str">
        <f>IFERROR(VLOOKUP($A832,koronahun!$A:$AM,18,FALSE),"")</f>
        <v/>
      </c>
      <c r="S832" t="str">
        <f>IFERROR(VLOOKUP($A832,koronahun!$A:$AM,19,FALSE),"")</f>
        <v/>
      </c>
      <c r="T832" t="str">
        <f>IFERROR(VLOOKUP($A832,koronahun!$A:$AM,20,FALSE),"")</f>
        <v/>
      </c>
      <c r="U832" t="str">
        <f>IFERROR(VLOOKUP($A832,koronahun!$A:$AM,21,FALSE),"")</f>
        <v/>
      </c>
      <c r="V832" s="13" t="str">
        <f>IFERROR(VLOOKUP($A832,koronahun!$A:$AM,22,FALSE),"")</f>
        <v/>
      </c>
      <c r="W832" t="str">
        <f>IFERROR(VLOOKUP($A832,koronahun!$A:$AM,23,FALSE),"")</f>
        <v/>
      </c>
      <c r="X832" t="str">
        <f>IFERROR(VLOOKUP($A832,koronahun!$A:$AM,24,FALSE),"")</f>
        <v/>
      </c>
      <c r="Y832" s="14" t="str">
        <f>IFERROR(VLOOKUP($A832,koronahun!$A:$AM,25,FALSE),"")</f>
        <v/>
      </c>
      <c r="Z832" s="14" t="str">
        <f>IFERROR(VLOOKUP($A832,koronahun!$A:$AM,26,FALSE),"")</f>
        <v/>
      </c>
      <c r="AA832" s="14" t="str">
        <f>IFERROR(VLOOKUP($A832,koronahun!$A:$AM,27,FALSE),"")</f>
        <v/>
      </c>
      <c r="AB832" s="14" t="str">
        <f>IFERROR(VLOOKUP($A832,koronahun!$A:$AM,28,FALSE),"")</f>
        <v/>
      </c>
      <c r="AC832" s="14" t="str">
        <f>IFERROR(VLOOKUP($A832,koronahun!$A:$AM,29,FALSE),"")</f>
        <v/>
      </c>
      <c r="AD832" s="14" t="str">
        <f>IFERROR(VLOOKUP($A832,koronahun!$A:$AM,30,FALSE),"")</f>
        <v/>
      </c>
      <c r="AE832" s="14" t="str">
        <f>IFERROR(VLOOKUP($A832,koronahun!$A:$AM,31,FALSE),"")</f>
        <v/>
      </c>
      <c r="AF832" s="13" t="str">
        <f>IFERROR(VLOOKUP($A832,koronahun!$A:$AM,32,FALSE),"")</f>
        <v/>
      </c>
      <c r="AG832" t="str">
        <f>IFERROR(VLOOKUP($A832,koronahun!$A:$AM,33,FALSE),"")</f>
        <v/>
      </c>
      <c r="AH832" t="str">
        <f>IFERROR(VLOOKUP($A832,koronahun!$A:$AM,34,FALSE),"")</f>
        <v/>
      </c>
      <c r="AI832" t="str">
        <f>IFERROR(VLOOKUP($A832,koronahun!$A:$AM,35,FALSE),"")</f>
        <v/>
      </c>
      <c r="AJ832" t="str">
        <f>IFERROR(VLOOKUP($A832,koronahun!$A:$AM,36,FALSE),"")</f>
        <v/>
      </c>
      <c r="AK832" t="str">
        <f>IFERROR(VLOOKUP($A832,koronahun!$A:$AM,37,FALSE),"")</f>
        <v/>
      </c>
      <c r="AL832" t="str">
        <f>IFERROR(VLOOKUP($A832,koronahun!$A:$AM,38,FALSE),"")</f>
        <v/>
      </c>
      <c r="AM832" s="14" t="str">
        <f>IFERROR(VLOOKUP($A832,koronahun!$A:$AM,39,FALSE),"")</f>
        <v/>
      </c>
      <c r="AN832" s="11">
        <f ca="1">IFERROR(__xludf.DUMMYFUNCTION("""COMPUTED_VALUE"""),44724)</f>
        <v>44724</v>
      </c>
      <c r="AO832" s="12">
        <f ca="1">IFERROR(VLOOKUP(AN832,koronahun!A:B,2,FALSE),"")</f>
        <v>0</v>
      </c>
      <c r="AP832" s="11">
        <f t="shared" ca="1" si="6"/>
        <v>44724</v>
      </c>
      <c r="AQ832" s="11"/>
      <c r="AR832" s="11"/>
      <c r="AS832" s="11"/>
      <c r="AT832" s="11"/>
    </row>
    <row r="833" spans="1:46" ht="13">
      <c r="A833" s="11"/>
      <c r="B833" t="str">
        <f>IFERROR(VLOOKUP($A833,koronahun!$A:$AM,2,FALSE),"")</f>
        <v/>
      </c>
      <c r="C833" t="str">
        <f>IFERROR(VLOOKUP($A833,koronahun!$A:$AM,3,FALSE),"")</f>
        <v/>
      </c>
      <c r="D833" t="str">
        <f>IFERROR(VLOOKUP($A833,koronahun!$A:$AM,4,FALSE),"")</f>
        <v/>
      </c>
      <c r="E833" t="str">
        <f>IFERROR(VLOOKUP($A833,koronahun!$A:$AM,5,FALSE),"")</f>
        <v/>
      </c>
      <c r="F833" t="str">
        <f>IFERROR(VLOOKUP($A833,koronahun!$A:$AM,6,FALSE),"")</f>
        <v/>
      </c>
      <c r="G833" s="12" t="str">
        <f>IFERROR(VLOOKUP($A833,koronahun!$A:$AM,7,FALSE),"")</f>
        <v/>
      </c>
      <c r="H833" t="str">
        <f>IFERROR(VLOOKUP($A833,koronahun!$A:$AM,8,FALSE),"")</f>
        <v/>
      </c>
      <c r="I833" s="13" t="str">
        <f>IFERROR(VLOOKUP($A833,koronahun!$A:$AM,9,FALSE),"")</f>
        <v/>
      </c>
      <c r="J833" s="13" t="str">
        <f>IFERROR(VLOOKUP($A833,koronahun!$A:$AM,10,FALSE),"")</f>
        <v/>
      </c>
      <c r="K833" s="13" t="str">
        <f>IFERROR(VLOOKUP($A833,koronahun!$A:$AM,11,FALSE),"")</f>
        <v/>
      </c>
      <c r="L833" t="str">
        <f>IFERROR(VLOOKUP($A833,koronahun!$A:$AM,12,FALSE),"")</f>
        <v/>
      </c>
      <c r="M833" s="13" t="str">
        <f>IFERROR(VLOOKUP($A833,koronahun!$A:$AM,13,FALSE),"")</f>
        <v/>
      </c>
      <c r="N833" s="13" t="str">
        <f>IFERROR(VLOOKUP($A833,koronahun!$A:$AM,14,FALSE),"")</f>
        <v/>
      </c>
      <c r="O833" t="str">
        <f>IFERROR(VLOOKUP($A833,koronahun!$A:$AM,15,FALSE),"")</f>
        <v/>
      </c>
      <c r="P833" t="str">
        <f>IFERROR(VLOOKUP($A833,koronahun!$A:$AM,16,FALSE),"")</f>
        <v/>
      </c>
      <c r="Q833" s="13" t="str">
        <f>IFERROR(VLOOKUP($A833,koronahun!$A:$AM,17,FALSE),"")</f>
        <v/>
      </c>
      <c r="R833" t="str">
        <f>IFERROR(VLOOKUP($A833,koronahun!$A:$AM,18,FALSE),"")</f>
        <v/>
      </c>
      <c r="S833" t="str">
        <f>IFERROR(VLOOKUP($A833,koronahun!$A:$AM,19,FALSE),"")</f>
        <v/>
      </c>
      <c r="T833" t="str">
        <f>IFERROR(VLOOKUP($A833,koronahun!$A:$AM,20,FALSE),"")</f>
        <v/>
      </c>
      <c r="U833" t="str">
        <f>IFERROR(VLOOKUP($A833,koronahun!$A:$AM,21,FALSE),"")</f>
        <v/>
      </c>
      <c r="V833" s="13" t="str">
        <f>IFERROR(VLOOKUP($A833,koronahun!$A:$AM,22,FALSE),"")</f>
        <v/>
      </c>
      <c r="W833" t="str">
        <f>IFERROR(VLOOKUP($A833,koronahun!$A:$AM,23,FALSE),"")</f>
        <v/>
      </c>
      <c r="X833" t="str">
        <f>IFERROR(VLOOKUP($A833,koronahun!$A:$AM,24,FALSE),"")</f>
        <v/>
      </c>
      <c r="Y833" s="14" t="str">
        <f>IFERROR(VLOOKUP($A833,koronahun!$A:$AM,25,FALSE),"")</f>
        <v/>
      </c>
      <c r="Z833" s="14" t="str">
        <f>IFERROR(VLOOKUP($A833,koronahun!$A:$AM,26,FALSE),"")</f>
        <v/>
      </c>
      <c r="AA833" s="14" t="str">
        <f>IFERROR(VLOOKUP($A833,koronahun!$A:$AM,27,FALSE),"")</f>
        <v/>
      </c>
      <c r="AB833" s="14" t="str">
        <f>IFERROR(VLOOKUP($A833,koronahun!$A:$AM,28,FALSE),"")</f>
        <v/>
      </c>
      <c r="AC833" s="14" t="str">
        <f>IFERROR(VLOOKUP($A833,koronahun!$A:$AM,29,FALSE),"")</f>
        <v/>
      </c>
      <c r="AD833" s="14" t="str">
        <f>IFERROR(VLOOKUP($A833,koronahun!$A:$AM,30,FALSE),"")</f>
        <v/>
      </c>
      <c r="AE833" s="14" t="str">
        <f>IFERROR(VLOOKUP($A833,koronahun!$A:$AM,31,FALSE),"")</f>
        <v/>
      </c>
      <c r="AF833" s="13" t="str">
        <f>IFERROR(VLOOKUP($A833,koronahun!$A:$AM,32,FALSE),"")</f>
        <v/>
      </c>
      <c r="AG833" t="str">
        <f>IFERROR(VLOOKUP($A833,koronahun!$A:$AM,33,FALSE),"")</f>
        <v/>
      </c>
      <c r="AH833" t="str">
        <f>IFERROR(VLOOKUP($A833,koronahun!$A:$AM,34,FALSE),"")</f>
        <v/>
      </c>
      <c r="AI833" t="str">
        <f>IFERROR(VLOOKUP($A833,koronahun!$A:$AM,35,FALSE),"")</f>
        <v/>
      </c>
      <c r="AJ833" t="str">
        <f>IFERROR(VLOOKUP($A833,koronahun!$A:$AM,36,FALSE),"")</f>
        <v/>
      </c>
      <c r="AK833" t="str">
        <f>IFERROR(VLOOKUP($A833,koronahun!$A:$AM,37,FALSE),"")</f>
        <v/>
      </c>
      <c r="AL833" t="str">
        <f>IFERROR(VLOOKUP($A833,koronahun!$A:$AM,38,FALSE),"")</f>
        <v/>
      </c>
      <c r="AM833" s="14" t="str">
        <f>IFERROR(VLOOKUP($A833,koronahun!$A:$AM,39,FALSE),"")</f>
        <v/>
      </c>
      <c r="AN833" s="11">
        <f ca="1">IFERROR(__xludf.DUMMYFUNCTION("""COMPUTED_VALUE"""),44725)</f>
        <v>44725</v>
      </c>
      <c r="AO833" s="12">
        <f ca="1">IFERROR(VLOOKUP(AN833,koronahun!A:B,2,FALSE),"")</f>
        <v>0</v>
      </c>
      <c r="AP833" s="11">
        <f t="shared" ca="1" si="6"/>
        <v>44725</v>
      </c>
      <c r="AQ833" s="11"/>
      <c r="AR833" s="11"/>
      <c r="AS833" s="11"/>
      <c r="AT833" s="11"/>
    </row>
    <row r="834" spans="1:46" ht="13">
      <c r="A834" s="11"/>
      <c r="B834" t="str">
        <f>IFERROR(VLOOKUP($A834,koronahun!$A:$AM,2,FALSE),"")</f>
        <v/>
      </c>
      <c r="C834" t="str">
        <f>IFERROR(VLOOKUP($A834,koronahun!$A:$AM,3,FALSE),"")</f>
        <v/>
      </c>
      <c r="D834" t="str">
        <f>IFERROR(VLOOKUP($A834,koronahun!$A:$AM,4,FALSE),"")</f>
        <v/>
      </c>
      <c r="E834" t="str">
        <f>IFERROR(VLOOKUP($A834,koronahun!$A:$AM,5,FALSE),"")</f>
        <v/>
      </c>
      <c r="F834" t="str">
        <f>IFERROR(VLOOKUP($A834,koronahun!$A:$AM,6,FALSE),"")</f>
        <v/>
      </c>
      <c r="G834" s="12" t="str">
        <f>IFERROR(VLOOKUP($A834,koronahun!$A:$AM,7,FALSE),"")</f>
        <v/>
      </c>
      <c r="H834" t="str">
        <f>IFERROR(VLOOKUP($A834,koronahun!$A:$AM,8,FALSE),"")</f>
        <v/>
      </c>
      <c r="I834" s="13" t="str">
        <f>IFERROR(VLOOKUP($A834,koronahun!$A:$AM,9,FALSE),"")</f>
        <v/>
      </c>
      <c r="J834" s="13" t="str">
        <f>IFERROR(VLOOKUP($A834,koronahun!$A:$AM,10,FALSE),"")</f>
        <v/>
      </c>
      <c r="K834" s="13" t="str">
        <f>IFERROR(VLOOKUP($A834,koronahun!$A:$AM,11,FALSE),"")</f>
        <v/>
      </c>
      <c r="L834" t="str">
        <f>IFERROR(VLOOKUP($A834,koronahun!$A:$AM,12,FALSE),"")</f>
        <v/>
      </c>
      <c r="M834" s="13" t="str">
        <f>IFERROR(VLOOKUP($A834,koronahun!$A:$AM,13,FALSE),"")</f>
        <v/>
      </c>
      <c r="N834" s="13" t="str">
        <f>IFERROR(VLOOKUP($A834,koronahun!$A:$AM,14,FALSE),"")</f>
        <v/>
      </c>
      <c r="O834" t="str">
        <f>IFERROR(VLOOKUP($A834,koronahun!$A:$AM,15,FALSE),"")</f>
        <v/>
      </c>
      <c r="P834" t="str">
        <f>IFERROR(VLOOKUP($A834,koronahun!$A:$AM,16,FALSE),"")</f>
        <v/>
      </c>
      <c r="Q834" s="13" t="str">
        <f>IFERROR(VLOOKUP($A834,koronahun!$A:$AM,17,FALSE),"")</f>
        <v/>
      </c>
      <c r="R834" t="str">
        <f>IFERROR(VLOOKUP($A834,koronahun!$A:$AM,18,FALSE),"")</f>
        <v/>
      </c>
      <c r="S834" t="str">
        <f>IFERROR(VLOOKUP($A834,koronahun!$A:$AM,19,FALSE),"")</f>
        <v/>
      </c>
      <c r="T834" t="str">
        <f>IFERROR(VLOOKUP($A834,koronahun!$A:$AM,20,FALSE),"")</f>
        <v/>
      </c>
      <c r="U834" t="str">
        <f>IFERROR(VLOOKUP($A834,koronahun!$A:$AM,21,FALSE),"")</f>
        <v/>
      </c>
      <c r="V834" s="13" t="str">
        <f>IFERROR(VLOOKUP($A834,koronahun!$A:$AM,22,FALSE),"")</f>
        <v/>
      </c>
      <c r="W834" t="str">
        <f>IFERROR(VLOOKUP($A834,koronahun!$A:$AM,23,FALSE),"")</f>
        <v/>
      </c>
      <c r="X834" t="str">
        <f>IFERROR(VLOOKUP($A834,koronahun!$A:$AM,24,FALSE),"")</f>
        <v/>
      </c>
      <c r="Y834" s="14" t="str">
        <f>IFERROR(VLOOKUP($A834,koronahun!$A:$AM,25,FALSE),"")</f>
        <v/>
      </c>
      <c r="Z834" s="14" t="str">
        <f>IFERROR(VLOOKUP($A834,koronahun!$A:$AM,26,FALSE),"")</f>
        <v/>
      </c>
      <c r="AA834" s="14" t="str">
        <f>IFERROR(VLOOKUP($A834,koronahun!$A:$AM,27,FALSE),"")</f>
        <v/>
      </c>
      <c r="AB834" s="14" t="str">
        <f>IFERROR(VLOOKUP($A834,koronahun!$A:$AM,28,FALSE),"")</f>
        <v/>
      </c>
      <c r="AC834" s="14" t="str">
        <f>IFERROR(VLOOKUP($A834,koronahun!$A:$AM,29,FALSE),"")</f>
        <v/>
      </c>
      <c r="AD834" s="14" t="str">
        <f>IFERROR(VLOOKUP($A834,koronahun!$A:$AM,30,FALSE),"")</f>
        <v/>
      </c>
      <c r="AE834" s="14" t="str">
        <f>IFERROR(VLOOKUP($A834,koronahun!$A:$AM,31,FALSE),"")</f>
        <v/>
      </c>
      <c r="AF834" s="13" t="str">
        <f>IFERROR(VLOOKUP($A834,koronahun!$A:$AM,32,FALSE),"")</f>
        <v/>
      </c>
      <c r="AG834" t="str">
        <f>IFERROR(VLOOKUP($A834,koronahun!$A:$AM,33,FALSE),"")</f>
        <v/>
      </c>
      <c r="AH834" t="str">
        <f>IFERROR(VLOOKUP($A834,koronahun!$A:$AM,34,FALSE),"")</f>
        <v/>
      </c>
      <c r="AI834" t="str">
        <f>IFERROR(VLOOKUP($A834,koronahun!$A:$AM,35,FALSE),"")</f>
        <v/>
      </c>
      <c r="AJ834" t="str">
        <f>IFERROR(VLOOKUP($A834,koronahun!$A:$AM,36,FALSE),"")</f>
        <v/>
      </c>
      <c r="AK834" t="str">
        <f>IFERROR(VLOOKUP($A834,koronahun!$A:$AM,37,FALSE),"")</f>
        <v/>
      </c>
      <c r="AL834" t="str">
        <f>IFERROR(VLOOKUP($A834,koronahun!$A:$AM,38,FALSE),"")</f>
        <v/>
      </c>
      <c r="AM834" s="14" t="str">
        <f>IFERROR(VLOOKUP($A834,koronahun!$A:$AM,39,FALSE),"")</f>
        <v/>
      </c>
      <c r="AN834" s="11">
        <f ca="1">IFERROR(__xludf.DUMMYFUNCTION("""COMPUTED_VALUE"""),44726)</f>
        <v>44726</v>
      </c>
      <c r="AO834" s="12">
        <f ca="1">IFERROR(VLOOKUP(AN834,koronahun!A:B,2,FALSE),"")</f>
        <v>0</v>
      </c>
      <c r="AP834" s="11">
        <f t="shared" ca="1" si="6"/>
        <v>44726</v>
      </c>
      <c r="AQ834" s="11"/>
      <c r="AR834" s="11"/>
      <c r="AS834" s="11"/>
      <c r="AT834" s="11"/>
    </row>
    <row r="835" spans="1:46" ht="13">
      <c r="A835" s="11"/>
      <c r="B835" t="str">
        <f>IFERROR(VLOOKUP($A835,koronahun!$A:$AM,2,FALSE),"")</f>
        <v/>
      </c>
      <c r="C835" t="str">
        <f>IFERROR(VLOOKUP($A835,koronahun!$A:$AM,3,FALSE),"")</f>
        <v/>
      </c>
      <c r="D835" t="str">
        <f>IFERROR(VLOOKUP($A835,koronahun!$A:$AM,4,FALSE),"")</f>
        <v/>
      </c>
      <c r="E835" t="str">
        <f>IFERROR(VLOOKUP($A835,koronahun!$A:$AM,5,FALSE),"")</f>
        <v/>
      </c>
      <c r="F835" t="str">
        <f>IFERROR(VLOOKUP($A835,koronahun!$A:$AM,6,FALSE),"")</f>
        <v/>
      </c>
      <c r="G835" s="12" t="str">
        <f>IFERROR(VLOOKUP($A835,koronahun!$A:$AM,7,FALSE),"")</f>
        <v/>
      </c>
      <c r="H835" t="str">
        <f>IFERROR(VLOOKUP($A835,koronahun!$A:$AM,8,FALSE),"")</f>
        <v/>
      </c>
      <c r="I835" s="13" t="str">
        <f>IFERROR(VLOOKUP($A835,koronahun!$A:$AM,9,FALSE),"")</f>
        <v/>
      </c>
      <c r="J835" s="13" t="str">
        <f>IFERROR(VLOOKUP($A835,koronahun!$A:$AM,10,FALSE),"")</f>
        <v/>
      </c>
      <c r="K835" s="13" t="str">
        <f>IFERROR(VLOOKUP($A835,koronahun!$A:$AM,11,FALSE),"")</f>
        <v/>
      </c>
      <c r="L835" t="str">
        <f>IFERROR(VLOOKUP($A835,koronahun!$A:$AM,12,FALSE),"")</f>
        <v/>
      </c>
      <c r="M835" s="13" t="str">
        <f>IFERROR(VLOOKUP($A835,koronahun!$A:$AM,13,FALSE),"")</f>
        <v/>
      </c>
      <c r="N835" s="13" t="str">
        <f>IFERROR(VLOOKUP($A835,koronahun!$A:$AM,14,FALSE),"")</f>
        <v/>
      </c>
      <c r="O835" t="str">
        <f>IFERROR(VLOOKUP($A835,koronahun!$A:$AM,15,FALSE),"")</f>
        <v/>
      </c>
      <c r="P835" t="str">
        <f>IFERROR(VLOOKUP($A835,koronahun!$A:$AM,16,FALSE),"")</f>
        <v/>
      </c>
      <c r="Q835" s="13" t="str">
        <f>IFERROR(VLOOKUP($A835,koronahun!$A:$AM,17,FALSE),"")</f>
        <v/>
      </c>
      <c r="R835" t="str">
        <f>IFERROR(VLOOKUP($A835,koronahun!$A:$AM,18,FALSE),"")</f>
        <v/>
      </c>
      <c r="S835" t="str">
        <f>IFERROR(VLOOKUP($A835,koronahun!$A:$AM,19,FALSE),"")</f>
        <v/>
      </c>
      <c r="T835" t="str">
        <f>IFERROR(VLOOKUP($A835,koronahun!$A:$AM,20,FALSE),"")</f>
        <v/>
      </c>
      <c r="U835" t="str">
        <f>IFERROR(VLOOKUP($A835,koronahun!$A:$AM,21,FALSE),"")</f>
        <v/>
      </c>
      <c r="V835" s="13" t="str">
        <f>IFERROR(VLOOKUP($A835,koronahun!$A:$AM,22,FALSE),"")</f>
        <v/>
      </c>
      <c r="W835" t="str">
        <f>IFERROR(VLOOKUP($A835,koronahun!$A:$AM,23,FALSE),"")</f>
        <v/>
      </c>
      <c r="X835" t="str">
        <f>IFERROR(VLOOKUP($A835,koronahun!$A:$AM,24,FALSE),"")</f>
        <v/>
      </c>
      <c r="Y835" s="14" t="str">
        <f>IFERROR(VLOOKUP($A835,koronahun!$A:$AM,25,FALSE),"")</f>
        <v/>
      </c>
      <c r="Z835" s="14" t="str">
        <f>IFERROR(VLOOKUP($A835,koronahun!$A:$AM,26,FALSE),"")</f>
        <v/>
      </c>
      <c r="AA835" s="14" t="str">
        <f>IFERROR(VLOOKUP($A835,koronahun!$A:$AM,27,FALSE),"")</f>
        <v/>
      </c>
      <c r="AB835" s="14" t="str">
        <f>IFERROR(VLOOKUP($A835,koronahun!$A:$AM,28,FALSE),"")</f>
        <v/>
      </c>
      <c r="AC835" s="14" t="str">
        <f>IFERROR(VLOOKUP($A835,koronahun!$A:$AM,29,FALSE),"")</f>
        <v/>
      </c>
      <c r="AD835" s="14" t="str">
        <f>IFERROR(VLOOKUP($A835,koronahun!$A:$AM,30,FALSE),"")</f>
        <v/>
      </c>
      <c r="AE835" s="14" t="str">
        <f>IFERROR(VLOOKUP($A835,koronahun!$A:$AM,31,FALSE),"")</f>
        <v/>
      </c>
      <c r="AF835" s="13" t="str">
        <f>IFERROR(VLOOKUP($A835,koronahun!$A:$AM,32,FALSE),"")</f>
        <v/>
      </c>
      <c r="AG835" t="str">
        <f>IFERROR(VLOOKUP($A835,koronahun!$A:$AM,33,FALSE),"")</f>
        <v/>
      </c>
      <c r="AH835" t="str">
        <f>IFERROR(VLOOKUP($A835,koronahun!$A:$AM,34,FALSE),"")</f>
        <v/>
      </c>
      <c r="AI835" t="str">
        <f>IFERROR(VLOOKUP($A835,koronahun!$A:$AM,35,FALSE),"")</f>
        <v/>
      </c>
      <c r="AJ835" t="str">
        <f>IFERROR(VLOOKUP($A835,koronahun!$A:$AM,36,FALSE),"")</f>
        <v/>
      </c>
      <c r="AK835" t="str">
        <f>IFERROR(VLOOKUP($A835,koronahun!$A:$AM,37,FALSE),"")</f>
        <v/>
      </c>
      <c r="AL835" t="str">
        <f>IFERROR(VLOOKUP($A835,koronahun!$A:$AM,38,FALSE),"")</f>
        <v/>
      </c>
      <c r="AM835" s="14" t="str">
        <f>IFERROR(VLOOKUP($A835,koronahun!$A:$AM,39,FALSE),"")</f>
        <v/>
      </c>
      <c r="AN835" s="11">
        <f ca="1">IFERROR(__xludf.DUMMYFUNCTION("""COMPUTED_VALUE"""),44727)</f>
        <v>44727</v>
      </c>
      <c r="AO835" s="12">
        <f ca="1">IFERROR(VLOOKUP(AN835,koronahun!A:B,2,FALSE),"")</f>
        <v>1923122</v>
      </c>
      <c r="AP835" s="11">
        <f t="shared" ca="1" si="6"/>
        <v>44727</v>
      </c>
      <c r="AQ835" s="11"/>
      <c r="AR835" s="11"/>
      <c r="AS835" s="11"/>
      <c r="AT835" s="11"/>
    </row>
    <row r="836" spans="1:46" ht="13">
      <c r="A836" s="11"/>
      <c r="B836" t="str">
        <f>IFERROR(VLOOKUP($A836,koronahun!$A:$AM,2,FALSE),"")</f>
        <v/>
      </c>
      <c r="C836" t="str">
        <f>IFERROR(VLOOKUP($A836,koronahun!$A:$AM,3,FALSE),"")</f>
        <v/>
      </c>
      <c r="D836" t="str">
        <f>IFERROR(VLOOKUP($A836,koronahun!$A:$AM,4,FALSE),"")</f>
        <v/>
      </c>
      <c r="E836" t="str">
        <f>IFERROR(VLOOKUP($A836,koronahun!$A:$AM,5,FALSE),"")</f>
        <v/>
      </c>
      <c r="F836" t="str">
        <f>IFERROR(VLOOKUP($A836,koronahun!$A:$AM,6,FALSE),"")</f>
        <v/>
      </c>
      <c r="G836" s="12" t="str">
        <f>IFERROR(VLOOKUP($A836,koronahun!$A:$AM,7,FALSE),"")</f>
        <v/>
      </c>
      <c r="H836" t="str">
        <f>IFERROR(VLOOKUP($A836,koronahun!$A:$AM,8,FALSE),"")</f>
        <v/>
      </c>
      <c r="I836" s="13" t="str">
        <f>IFERROR(VLOOKUP($A836,koronahun!$A:$AM,9,FALSE),"")</f>
        <v/>
      </c>
      <c r="J836" s="13" t="str">
        <f>IFERROR(VLOOKUP($A836,koronahun!$A:$AM,10,FALSE),"")</f>
        <v/>
      </c>
      <c r="K836" s="13" t="str">
        <f>IFERROR(VLOOKUP($A836,koronahun!$A:$AM,11,FALSE),"")</f>
        <v/>
      </c>
      <c r="L836" t="str">
        <f>IFERROR(VLOOKUP($A836,koronahun!$A:$AM,12,FALSE),"")</f>
        <v/>
      </c>
      <c r="M836" s="13" t="str">
        <f>IFERROR(VLOOKUP($A836,koronahun!$A:$AM,13,FALSE),"")</f>
        <v/>
      </c>
      <c r="N836" s="13" t="str">
        <f>IFERROR(VLOOKUP($A836,koronahun!$A:$AM,14,FALSE),"")</f>
        <v/>
      </c>
      <c r="O836" t="str">
        <f>IFERROR(VLOOKUP($A836,koronahun!$A:$AM,15,FALSE),"")</f>
        <v/>
      </c>
      <c r="P836" t="str">
        <f>IFERROR(VLOOKUP($A836,koronahun!$A:$AM,16,FALSE),"")</f>
        <v/>
      </c>
      <c r="Q836" s="13" t="str">
        <f>IFERROR(VLOOKUP($A836,koronahun!$A:$AM,17,FALSE),"")</f>
        <v/>
      </c>
      <c r="R836" t="str">
        <f>IFERROR(VLOOKUP($A836,koronahun!$A:$AM,18,FALSE),"")</f>
        <v/>
      </c>
      <c r="S836" t="str">
        <f>IFERROR(VLOOKUP($A836,koronahun!$A:$AM,19,FALSE),"")</f>
        <v/>
      </c>
      <c r="T836" t="str">
        <f>IFERROR(VLOOKUP($A836,koronahun!$A:$AM,20,FALSE),"")</f>
        <v/>
      </c>
      <c r="U836" t="str">
        <f>IFERROR(VLOOKUP($A836,koronahun!$A:$AM,21,FALSE),"")</f>
        <v/>
      </c>
      <c r="V836" s="13" t="str">
        <f>IFERROR(VLOOKUP($A836,koronahun!$A:$AM,22,FALSE),"")</f>
        <v/>
      </c>
      <c r="W836" t="str">
        <f>IFERROR(VLOOKUP($A836,koronahun!$A:$AM,23,FALSE),"")</f>
        <v/>
      </c>
      <c r="X836" t="str">
        <f>IFERROR(VLOOKUP($A836,koronahun!$A:$AM,24,FALSE),"")</f>
        <v/>
      </c>
      <c r="Y836" s="14" t="str">
        <f>IFERROR(VLOOKUP($A836,koronahun!$A:$AM,25,FALSE),"")</f>
        <v/>
      </c>
      <c r="Z836" s="14" t="str">
        <f>IFERROR(VLOOKUP($A836,koronahun!$A:$AM,26,FALSE),"")</f>
        <v/>
      </c>
      <c r="AA836" s="14" t="str">
        <f>IFERROR(VLOOKUP($A836,koronahun!$A:$AM,27,FALSE),"")</f>
        <v/>
      </c>
      <c r="AB836" s="14" t="str">
        <f>IFERROR(VLOOKUP($A836,koronahun!$A:$AM,28,FALSE),"")</f>
        <v/>
      </c>
      <c r="AC836" s="14" t="str">
        <f>IFERROR(VLOOKUP($A836,koronahun!$A:$AM,29,FALSE),"")</f>
        <v/>
      </c>
      <c r="AD836" s="14" t="str">
        <f>IFERROR(VLOOKUP($A836,koronahun!$A:$AM,30,FALSE),"")</f>
        <v/>
      </c>
      <c r="AE836" s="14" t="str">
        <f>IFERROR(VLOOKUP($A836,koronahun!$A:$AM,31,FALSE),"")</f>
        <v/>
      </c>
      <c r="AF836" s="13" t="str">
        <f>IFERROR(VLOOKUP($A836,koronahun!$A:$AM,32,FALSE),"")</f>
        <v/>
      </c>
      <c r="AG836" t="str">
        <f>IFERROR(VLOOKUP($A836,koronahun!$A:$AM,33,FALSE),"")</f>
        <v/>
      </c>
      <c r="AH836" t="str">
        <f>IFERROR(VLOOKUP($A836,koronahun!$A:$AM,34,FALSE),"")</f>
        <v/>
      </c>
      <c r="AI836" t="str">
        <f>IFERROR(VLOOKUP($A836,koronahun!$A:$AM,35,FALSE),"")</f>
        <v/>
      </c>
      <c r="AJ836" t="str">
        <f>IFERROR(VLOOKUP($A836,koronahun!$A:$AM,36,FALSE),"")</f>
        <v/>
      </c>
      <c r="AK836" t="str">
        <f>IFERROR(VLOOKUP($A836,koronahun!$A:$AM,37,FALSE),"")</f>
        <v/>
      </c>
      <c r="AL836" t="str">
        <f>IFERROR(VLOOKUP($A836,koronahun!$A:$AM,38,FALSE),"")</f>
        <v/>
      </c>
      <c r="AM836" s="14" t="str">
        <f>IFERROR(VLOOKUP($A836,koronahun!$A:$AM,39,FALSE),"")</f>
        <v/>
      </c>
      <c r="AN836" s="11">
        <f ca="1">IFERROR(__xludf.DUMMYFUNCTION("""COMPUTED_VALUE"""),44728)</f>
        <v>44728</v>
      </c>
      <c r="AO836" s="12">
        <f ca="1">IFERROR(VLOOKUP(AN836,koronahun!A:B,2,FALSE),"")</f>
        <v>0</v>
      </c>
      <c r="AP836" s="11">
        <f t="shared" ca="1" si="6"/>
        <v>44728</v>
      </c>
      <c r="AQ836" s="11"/>
      <c r="AR836" s="11"/>
      <c r="AS836" s="11"/>
      <c r="AT836" s="11"/>
    </row>
    <row r="837" spans="1:46" ht="13">
      <c r="A837" s="11"/>
      <c r="B837" t="str">
        <f>IFERROR(VLOOKUP($A837,koronahun!$A:$AM,2,FALSE),"")</f>
        <v/>
      </c>
      <c r="C837" t="str">
        <f>IFERROR(VLOOKUP($A837,koronahun!$A:$AM,3,FALSE),"")</f>
        <v/>
      </c>
      <c r="D837" t="str">
        <f>IFERROR(VLOOKUP($A837,koronahun!$A:$AM,4,FALSE),"")</f>
        <v/>
      </c>
      <c r="E837" t="str">
        <f>IFERROR(VLOOKUP($A837,koronahun!$A:$AM,5,FALSE),"")</f>
        <v/>
      </c>
      <c r="F837" t="str">
        <f>IFERROR(VLOOKUP($A837,koronahun!$A:$AM,6,FALSE),"")</f>
        <v/>
      </c>
      <c r="G837" s="12" t="str">
        <f>IFERROR(VLOOKUP($A837,koronahun!$A:$AM,7,FALSE),"")</f>
        <v/>
      </c>
      <c r="H837" t="str">
        <f>IFERROR(VLOOKUP($A837,koronahun!$A:$AM,8,FALSE),"")</f>
        <v/>
      </c>
      <c r="I837" s="13" t="str">
        <f>IFERROR(VLOOKUP($A837,koronahun!$A:$AM,9,FALSE),"")</f>
        <v/>
      </c>
      <c r="J837" s="13" t="str">
        <f>IFERROR(VLOOKUP($A837,koronahun!$A:$AM,10,FALSE),"")</f>
        <v/>
      </c>
      <c r="K837" s="13" t="str">
        <f>IFERROR(VLOOKUP($A837,koronahun!$A:$AM,11,FALSE),"")</f>
        <v/>
      </c>
      <c r="L837" t="str">
        <f>IFERROR(VLOOKUP($A837,koronahun!$A:$AM,12,FALSE),"")</f>
        <v/>
      </c>
      <c r="M837" s="13" t="str">
        <f>IFERROR(VLOOKUP($A837,koronahun!$A:$AM,13,FALSE),"")</f>
        <v/>
      </c>
      <c r="N837" s="13" t="str">
        <f>IFERROR(VLOOKUP($A837,koronahun!$A:$AM,14,FALSE),"")</f>
        <v/>
      </c>
      <c r="O837" t="str">
        <f>IFERROR(VLOOKUP($A837,koronahun!$A:$AM,15,FALSE),"")</f>
        <v/>
      </c>
      <c r="P837" t="str">
        <f>IFERROR(VLOOKUP($A837,koronahun!$A:$AM,16,FALSE),"")</f>
        <v/>
      </c>
      <c r="Q837" s="13" t="str">
        <f>IFERROR(VLOOKUP($A837,koronahun!$A:$AM,17,FALSE),"")</f>
        <v/>
      </c>
      <c r="R837" t="str">
        <f>IFERROR(VLOOKUP($A837,koronahun!$A:$AM,18,FALSE),"")</f>
        <v/>
      </c>
      <c r="S837" t="str">
        <f>IFERROR(VLOOKUP($A837,koronahun!$A:$AM,19,FALSE),"")</f>
        <v/>
      </c>
      <c r="T837" t="str">
        <f>IFERROR(VLOOKUP($A837,koronahun!$A:$AM,20,FALSE),"")</f>
        <v/>
      </c>
      <c r="U837" t="str">
        <f>IFERROR(VLOOKUP($A837,koronahun!$A:$AM,21,FALSE),"")</f>
        <v/>
      </c>
      <c r="V837" s="13" t="str">
        <f>IFERROR(VLOOKUP($A837,koronahun!$A:$AM,22,FALSE),"")</f>
        <v/>
      </c>
      <c r="W837" t="str">
        <f>IFERROR(VLOOKUP($A837,koronahun!$A:$AM,23,FALSE),"")</f>
        <v/>
      </c>
      <c r="X837" t="str">
        <f>IFERROR(VLOOKUP($A837,koronahun!$A:$AM,24,FALSE),"")</f>
        <v/>
      </c>
      <c r="Y837" s="14" t="str">
        <f>IFERROR(VLOOKUP($A837,koronahun!$A:$AM,25,FALSE),"")</f>
        <v/>
      </c>
      <c r="Z837" s="14" t="str">
        <f>IFERROR(VLOOKUP($A837,koronahun!$A:$AM,26,FALSE),"")</f>
        <v/>
      </c>
      <c r="AA837" s="14" t="str">
        <f>IFERROR(VLOOKUP($A837,koronahun!$A:$AM,27,FALSE),"")</f>
        <v/>
      </c>
      <c r="AB837" s="14" t="str">
        <f>IFERROR(VLOOKUP($A837,koronahun!$A:$AM,28,FALSE),"")</f>
        <v/>
      </c>
      <c r="AC837" s="14" t="str">
        <f>IFERROR(VLOOKUP($A837,koronahun!$A:$AM,29,FALSE),"")</f>
        <v/>
      </c>
      <c r="AD837" s="14" t="str">
        <f>IFERROR(VLOOKUP($A837,koronahun!$A:$AM,30,FALSE),"")</f>
        <v/>
      </c>
      <c r="AE837" s="14" t="str">
        <f>IFERROR(VLOOKUP($A837,koronahun!$A:$AM,31,FALSE),"")</f>
        <v/>
      </c>
      <c r="AF837" s="13" t="str">
        <f>IFERROR(VLOOKUP($A837,koronahun!$A:$AM,32,FALSE),"")</f>
        <v/>
      </c>
      <c r="AG837" t="str">
        <f>IFERROR(VLOOKUP($A837,koronahun!$A:$AM,33,FALSE),"")</f>
        <v/>
      </c>
      <c r="AH837" t="str">
        <f>IFERROR(VLOOKUP($A837,koronahun!$A:$AM,34,FALSE),"")</f>
        <v/>
      </c>
      <c r="AI837" t="str">
        <f>IFERROR(VLOOKUP($A837,koronahun!$A:$AM,35,FALSE),"")</f>
        <v/>
      </c>
      <c r="AJ837" t="str">
        <f>IFERROR(VLOOKUP($A837,koronahun!$A:$AM,36,FALSE),"")</f>
        <v/>
      </c>
      <c r="AK837" t="str">
        <f>IFERROR(VLOOKUP($A837,koronahun!$A:$AM,37,FALSE),"")</f>
        <v/>
      </c>
      <c r="AL837" t="str">
        <f>IFERROR(VLOOKUP($A837,koronahun!$A:$AM,38,FALSE),"")</f>
        <v/>
      </c>
      <c r="AM837" s="14" t="str">
        <f>IFERROR(VLOOKUP($A837,koronahun!$A:$AM,39,FALSE),"")</f>
        <v/>
      </c>
      <c r="AN837" s="11">
        <f ca="1">IFERROR(__xludf.DUMMYFUNCTION("""COMPUTED_VALUE"""),44729)</f>
        <v>44729</v>
      </c>
      <c r="AO837" s="12">
        <f ca="1">IFERROR(VLOOKUP(AN837,koronahun!A:B,2,FALSE),"")</f>
        <v>0</v>
      </c>
      <c r="AP837" s="11">
        <f t="shared" ca="1" si="6"/>
        <v>44729</v>
      </c>
      <c r="AQ837" s="11"/>
      <c r="AR837" s="11"/>
      <c r="AS837" s="11"/>
      <c r="AT837" s="11"/>
    </row>
    <row r="838" spans="1:46" ht="13">
      <c r="A838" s="11"/>
      <c r="B838" t="str">
        <f>IFERROR(VLOOKUP($A838,koronahun!$A:$AM,2,FALSE),"")</f>
        <v/>
      </c>
      <c r="C838" t="str">
        <f>IFERROR(VLOOKUP($A838,koronahun!$A:$AM,3,FALSE),"")</f>
        <v/>
      </c>
      <c r="D838" t="str">
        <f>IFERROR(VLOOKUP($A838,koronahun!$A:$AM,4,FALSE),"")</f>
        <v/>
      </c>
      <c r="E838" t="str">
        <f>IFERROR(VLOOKUP($A838,koronahun!$A:$AM,5,FALSE),"")</f>
        <v/>
      </c>
      <c r="F838" t="str">
        <f>IFERROR(VLOOKUP($A838,koronahun!$A:$AM,6,FALSE),"")</f>
        <v/>
      </c>
      <c r="G838" s="12" t="str">
        <f>IFERROR(VLOOKUP($A838,koronahun!$A:$AM,7,FALSE),"")</f>
        <v/>
      </c>
      <c r="H838" t="str">
        <f>IFERROR(VLOOKUP($A838,koronahun!$A:$AM,8,FALSE),"")</f>
        <v/>
      </c>
      <c r="I838" s="13" t="str">
        <f>IFERROR(VLOOKUP($A838,koronahun!$A:$AM,9,FALSE),"")</f>
        <v/>
      </c>
      <c r="J838" s="13" t="str">
        <f>IFERROR(VLOOKUP($A838,koronahun!$A:$AM,10,FALSE),"")</f>
        <v/>
      </c>
      <c r="K838" s="13" t="str">
        <f>IFERROR(VLOOKUP($A838,koronahun!$A:$AM,11,FALSE),"")</f>
        <v/>
      </c>
      <c r="L838" t="str">
        <f>IFERROR(VLOOKUP($A838,koronahun!$A:$AM,12,FALSE),"")</f>
        <v/>
      </c>
      <c r="M838" s="13" t="str">
        <f>IFERROR(VLOOKUP($A838,koronahun!$A:$AM,13,FALSE),"")</f>
        <v/>
      </c>
      <c r="N838" s="13" t="str">
        <f>IFERROR(VLOOKUP($A838,koronahun!$A:$AM,14,FALSE),"")</f>
        <v/>
      </c>
      <c r="O838" t="str">
        <f>IFERROR(VLOOKUP($A838,koronahun!$A:$AM,15,FALSE),"")</f>
        <v/>
      </c>
      <c r="P838" t="str">
        <f>IFERROR(VLOOKUP($A838,koronahun!$A:$AM,16,FALSE),"")</f>
        <v/>
      </c>
      <c r="Q838" s="13" t="str">
        <f>IFERROR(VLOOKUP($A838,koronahun!$A:$AM,17,FALSE),"")</f>
        <v/>
      </c>
      <c r="R838" t="str">
        <f>IFERROR(VLOOKUP($A838,koronahun!$A:$AM,18,FALSE),"")</f>
        <v/>
      </c>
      <c r="S838" t="str">
        <f>IFERROR(VLOOKUP($A838,koronahun!$A:$AM,19,FALSE),"")</f>
        <v/>
      </c>
      <c r="T838" t="str">
        <f>IFERROR(VLOOKUP($A838,koronahun!$A:$AM,20,FALSE),"")</f>
        <v/>
      </c>
      <c r="U838" t="str">
        <f>IFERROR(VLOOKUP($A838,koronahun!$A:$AM,21,FALSE),"")</f>
        <v/>
      </c>
      <c r="V838" s="13" t="str">
        <f>IFERROR(VLOOKUP($A838,koronahun!$A:$AM,22,FALSE),"")</f>
        <v/>
      </c>
      <c r="W838" t="str">
        <f>IFERROR(VLOOKUP($A838,koronahun!$A:$AM,23,FALSE),"")</f>
        <v/>
      </c>
      <c r="X838" t="str">
        <f>IFERROR(VLOOKUP($A838,koronahun!$A:$AM,24,FALSE),"")</f>
        <v/>
      </c>
      <c r="Y838" s="14" t="str">
        <f>IFERROR(VLOOKUP($A838,koronahun!$A:$AM,25,FALSE),"")</f>
        <v/>
      </c>
      <c r="Z838" s="14" t="str">
        <f>IFERROR(VLOOKUP($A838,koronahun!$A:$AM,26,FALSE),"")</f>
        <v/>
      </c>
      <c r="AA838" s="14" t="str">
        <f>IFERROR(VLOOKUP($A838,koronahun!$A:$AM,27,FALSE),"")</f>
        <v/>
      </c>
      <c r="AB838" s="14" t="str">
        <f>IFERROR(VLOOKUP($A838,koronahun!$A:$AM,28,FALSE),"")</f>
        <v/>
      </c>
      <c r="AC838" s="14" t="str">
        <f>IFERROR(VLOOKUP($A838,koronahun!$A:$AM,29,FALSE),"")</f>
        <v/>
      </c>
      <c r="AD838" s="14" t="str">
        <f>IFERROR(VLOOKUP($A838,koronahun!$A:$AM,30,FALSE),"")</f>
        <v/>
      </c>
      <c r="AE838" s="14" t="str">
        <f>IFERROR(VLOOKUP($A838,koronahun!$A:$AM,31,FALSE),"")</f>
        <v/>
      </c>
      <c r="AF838" s="13" t="str">
        <f>IFERROR(VLOOKUP($A838,koronahun!$A:$AM,32,FALSE),"")</f>
        <v/>
      </c>
      <c r="AG838" t="str">
        <f>IFERROR(VLOOKUP($A838,koronahun!$A:$AM,33,FALSE),"")</f>
        <v/>
      </c>
      <c r="AH838" t="str">
        <f>IFERROR(VLOOKUP($A838,koronahun!$A:$AM,34,FALSE),"")</f>
        <v/>
      </c>
      <c r="AI838" t="str">
        <f>IFERROR(VLOOKUP($A838,koronahun!$A:$AM,35,FALSE),"")</f>
        <v/>
      </c>
      <c r="AJ838" t="str">
        <f>IFERROR(VLOOKUP($A838,koronahun!$A:$AM,36,FALSE),"")</f>
        <v/>
      </c>
      <c r="AK838" t="str">
        <f>IFERROR(VLOOKUP($A838,koronahun!$A:$AM,37,FALSE),"")</f>
        <v/>
      </c>
      <c r="AL838" t="str">
        <f>IFERROR(VLOOKUP($A838,koronahun!$A:$AM,38,FALSE),"")</f>
        <v/>
      </c>
      <c r="AM838" s="14" t="str">
        <f>IFERROR(VLOOKUP($A838,koronahun!$A:$AM,39,FALSE),"")</f>
        <v/>
      </c>
      <c r="AN838" s="11">
        <f ca="1">IFERROR(__xludf.DUMMYFUNCTION("""COMPUTED_VALUE"""),44730)</f>
        <v>44730</v>
      </c>
      <c r="AO838" s="12">
        <f ca="1">IFERROR(VLOOKUP(AN838,koronahun!A:B,2,FALSE),"")</f>
        <v>0</v>
      </c>
      <c r="AP838" s="11">
        <f t="shared" ca="1" si="6"/>
        <v>44730</v>
      </c>
      <c r="AQ838" s="11"/>
      <c r="AR838" s="11"/>
      <c r="AS838" s="11"/>
      <c r="AT838" s="11"/>
    </row>
    <row r="839" spans="1:46" ht="13">
      <c r="A839" s="11"/>
      <c r="B839" t="str">
        <f>IFERROR(VLOOKUP($A839,koronahun!$A:$AM,2,FALSE),"")</f>
        <v/>
      </c>
      <c r="C839" t="str">
        <f>IFERROR(VLOOKUP($A839,koronahun!$A:$AM,3,FALSE),"")</f>
        <v/>
      </c>
      <c r="D839" t="str">
        <f>IFERROR(VLOOKUP($A839,koronahun!$A:$AM,4,FALSE),"")</f>
        <v/>
      </c>
      <c r="E839" t="str">
        <f>IFERROR(VLOOKUP($A839,koronahun!$A:$AM,5,FALSE),"")</f>
        <v/>
      </c>
      <c r="F839" t="str">
        <f>IFERROR(VLOOKUP($A839,koronahun!$A:$AM,6,FALSE),"")</f>
        <v/>
      </c>
      <c r="G839" s="12" t="str">
        <f>IFERROR(VLOOKUP($A839,koronahun!$A:$AM,7,FALSE),"")</f>
        <v/>
      </c>
      <c r="H839" t="str">
        <f>IFERROR(VLOOKUP($A839,koronahun!$A:$AM,8,FALSE),"")</f>
        <v/>
      </c>
      <c r="I839" s="13" t="str">
        <f>IFERROR(VLOOKUP($A839,koronahun!$A:$AM,9,FALSE),"")</f>
        <v/>
      </c>
      <c r="J839" s="13" t="str">
        <f>IFERROR(VLOOKUP($A839,koronahun!$A:$AM,10,FALSE),"")</f>
        <v/>
      </c>
      <c r="K839" s="13" t="str">
        <f>IFERROR(VLOOKUP($A839,koronahun!$A:$AM,11,FALSE),"")</f>
        <v/>
      </c>
      <c r="L839" t="str">
        <f>IFERROR(VLOOKUP($A839,koronahun!$A:$AM,12,FALSE),"")</f>
        <v/>
      </c>
      <c r="M839" s="13" t="str">
        <f>IFERROR(VLOOKUP($A839,koronahun!$A:$AM,13,FALSE),"")</f>
        <v/>
      </c>
      <c r="N839" s="13" t="str">
        <f>IFERROR(VLOOKUP($A839,koronahun!$A:$AM,14,FALSE),"")</f>
        <v/>
      </c>
      <c r="O839" t="str">
        <f>IFERROR(VLOOKUP($A839,koronahun!$A:$AM,15,FALSE),"")</f>
        <v/>
      </c>
      <c r="P839" t="str">
        <f>IFERROR(VLOOKUP($A839,koronahun!$A:$AM,16,FALSE),"")</f>
        <v/>
      </c>
      <c r="Q839" s="13" t="str">
        <f>IFERROR(VLOOKUP($A839,koronahun!$A:$AM,17,FALSE),"")</f>
        <v/>
      </c>
      <c r="R839" t="str">
        <f>IFERROR(VLOOKUP($A839,koronahun!$A:$AM,18,FALSE),"")</f>
        <v/>
      </c>
      <c r="S839" t="str">
        <f>IFERROR(VLOOKUP($A839,koronahun!$A:$AM,19,FALSE),"")</f>
        <v/>
      </c>
      <c r="T839" t="str">
        <f>IFERROR(VLOOKUP($A839,koronahun!$A:$AM,20,FALSE),"")</f>
        <v/>
      </c>
      <c r="U839" t="str">
        <f>IFERROR(VLOOKUP($A839,koronahun!$A:$AM,21,FALSE),"")</f>
        <v/>
      </c>
      <c r="V839" s="13" t="str">
        <f>IFERROR(VLOOKUP($A839,koronahun!$A:$AM,22,FALSE),"")</f>
        <v/>
      </c>
      <c r="W839" t="str">
        <f>IFERROR(VLOOKUP($A839,koronahun!$A:$AM,23,FALSE),"")</f>
        <v/>
      </c>
      <c r="X839" t="str">
        <f>IFERROR(VLOOKUP($A839,koronahun!$A:$AM,24,FALSE),"")</f>
        <v/>
      </c>
      <c r="Y839" s="14" t="str">
        <f>IFERROR(VLOOKUP($A839,koronahun!$A:$AM,25,FALSE),"")</f>
        <v/>
      </c>
      <c r="Z839" s="14" t="str">
        <f>IFERROR(VLOOKUP($A839,koronahun!$A:$AM,26,FALSE),"")</f>
        <v/>
      </c>
      <c r="AA839" s="14" t="str">
        <f>IFERROR(VLOOKUP($A839,koronahun!$A:$AM,27,FALSE),"")</f>
        <v/>
      </c>
      <c r="AB839" s="14" t="str">
        <f>IFERROR(VLOOKUP($A839,koronahun!$A:$AM,28,FALSE),"")</f>
        <v/>
      </c>
      <c r="AC839" s="14" t="str">
        <f>IFERROR(VLOOKUP($A839,koronahun!$A:$AM,29,FALSE),"")</f>
        <v/>
      </c>
      <c r="AD839" s="14" t="str">
        <f>IFERROR(VLOOKUP($A839,koronahun!$A:$AM,30,FALSE),"")</f>
        <v/>
      </c>
      <c r="AE839" s="14" t="str">
        <f>IFERROR(VLOOKUP($A839,koronahun!$A:$AM,31,FALSE),"")</f>
        <v/>
      </c>
      <c r="AF839" s="13" t="str">
        <f>IFERROR(VLOOKUP($A839,koronahun!$A:$AM,32,FALSE),"")</f>
        <v/>
      </c>
      <c r="AG839" t="str">
        <f>IFERROR(VLOOKUP($A839,koronahun!$A:$AM,33,FALSE),"")</f>
        <v/>
      </c>
      <c r="AH839" t="str">
        <f>IFERROR(VLOOKUP($A839,koronahun!$A:$AM,34,FALSE),"")</f>
        <v/>
      </c>
      <c r="AI839" t="str">
        <f>IFERROR(VLOOKUP($A839,koronahun!$A:$AM,35,FALSE),"")</f>
        <v/>
      </c>
      <c r="AJ839" t="str">
        <f>IFERROR(VLOOKUP($A839,koronahun!$A:$AM,36,FALSE),"")</f>
        <v/>
      </c>
      <c r="AK839" t="str">
        <f>IFERROR(VLOOKUP($A839,koronahun!$A:$AM,37,FALSE),"")</f>
        <v/>
      </c>
      <c r="AL839" t="str">
        <f>IFERROR(VLOOKUP($A839,koronahun!$A:$AM,38,FALSE),"")</f>
        <v/>
      </c>
      <c r="AM839" s="14" t="str">
        <f>IFERROR(VLOOKUP($A839,koronahun!$A:$AM,39,FALSE),"")</f>
        <v/>
      </c>
      <c r="AN839" s="11">
        <f ca="1">IFERROR(__xludf.DUMMYFUNCTION("""COMPUTED_VALUE"""),44731)</f>
        <v>44731</v>
      </c>
      <c r="AO839" s="12">
        <f ca="1">IFERROR(VLOOKUP(AN839,koronahun!A:B,2,FALSE),"")</f>
        <v>0</v>
      </c>
      <c r="AP839" s="11">
        <f t="shared" ca="1" si="6"/>
        <v>44731</v>
      </c>
      <c r="AQ839" s="11"/>
      <c r="AR839" s="11"/>
      <c r="AS839" s="11"/>
      <c r="AT839" s="11"/>
    </row>
    <row r="840" spans="1:46" ht="13">
      <c r="A840" s="11"/>
      <c r="B840" t="str">
        <f>IFERROR(VLOOKUP($A840,koronahun!$A:$AM,2,FALSE),"")</f>
        <v/>
      </c>
      <c r="C840" t="str">
        <f>IFERROR(VLOOKUP($A840,koronahun!$A:$AM,3,FALSE),"")</f>
        <v/>
      </c>
      <c r="D840" t="str">
        <f>IFERROR(VLOOKUP($A840,koronahun!$A:$AM,4,FALSE),"")</f>
        <v/>
      </c>
      <c r="E840" t="str">
        <f>IFERROR(VLOOKUP($A840,koronahun!$A:$AM,5,FALSE),"")</f>
        <v/>
      </c>
      <c r="F840" t="str">
        <f>IFERROR(VLOOKUP($A840,koronahun!$A:$AM,6,FALSE),"")</f>
        <v/>
      </c>
      <c r="G840" s="12" t="str">
        <f>IFERROR(VLOOKUP($A840,koronahun!$A:$AM,7,FALSE),"")</f>
        <v/>
      </c>
      <c r="H840" t="str">
        <f>IFERROR(VLOOKUP($A840,koronahun!$A:$AM,8,FALSE),"")</f>
        <v/>
      </c>
      <c r="I840" s="13" t="str">
        <f>IFERROR(VLOOKUP($A840,koronahun!$A:$AM,9,FALSE),"")</f>
        <v/>
      </c>
      <c r="J840" s="13" t="str">
        <f>IFERROR(VLOOKUP($A840,koronahun!$A:$AM,10,FALSE),"")</f>
        <v/>
      </c>
      <c r="K840" s="13" t="str">
        <f>IFERROR(VLOOKUP($A840,koronahun!$A:$AM,11,FALSE),"")</f>
        <v/>
      </c>
      <c r="L840" t="str">
        <f>IFERROR(VLOOKUP($A840,koronahun!$A:$AM,12,FALSE),"")</f>
        <v/>
      </c>
      <c r="M840" s="13" t="str">
        <f>IFERROR(VLOOKUP($A840,koronahun!$A:$AM,13,FALSE),"")</f>
        <v/>
      </c>
      <c r="N840" s="13" t="str">
        <f>IFERROR(VLOOKUP($A840,koronahun!$A:$AM,14,FALSE),"")</f>
        <v/>
      </c>
      <c r="O840" t="str">
        <f>IFERROR(VLOOKUP($A840,koronahun!$A:$AM,15,FALSE),"")</f>
        <v/>
      </c>
      <c r="P840" t="str">
        <f>IFERROR(VLOOKUP($A840,koronahun!$A:$AM,16,FALSE),"")</f>
        <v/>
      </c>
      <c r="Q840" s="13" t="str">
        <f>IFERROR(VLOOKUP($A840,koronahun!$A:$AM,17,FALSE),"")</f>
        <v/>
      </c>
      <c r="R840" t="str">
        <f>IFERROR(VLOOKUP($A840,koronahun!$A:$AM,18,FALSE),"")</f>
        <v/>
      </c>
      <c r="S840" t="str">
        <f>IFERROR(VLOOKUP($A840,koronahun!$A:$AM,19,FALSE),"")</f>
        <v/>
      </c>
      <c r="T840" t="str">
        <f>IFERROR(VLOOKUP($A840,koronahun!$A:$AM,20,FALSE),"")</f>
        <v/>
      </c>
      <c r="U840" t="str">
        <f>IFERROR(VLOOKUP($A840,koronahun!$A:$AM,21,FALSE),"")</f>
        <v/>
      </c>
      <c r="V840" s="13" t="str">
        <f>IFERROR(VLOOKUP($A840,koronahun!$A:$AM,22,FALSE),"")</f>
        <v/>
      </c>
      <c r="W840" t="str">
        <f>IFERROR(VLOOKUP($A840,koronahun!$A:$AM,23,FALSE),"")</f>
        <v/>
      </c>
      <c r="X840" t="str">
        <f>IFERROR(VLOOKUP($A840,koronahun!$A:$AM,24,FALSE),"")</f>
        <v/>
      </c>
      <c r="Y840" s="14" t="str">
        <f>IFERROR(VLOOKUP($A840,koronahun!$A:$AM,25,FALSE),"")</f>
        <v/>
      </c>
      <c r="Z840" s="14" t="str">
        <f>IFERROR(VLOOKUP($A840,koronahun!$A:$AM,26,FALSE),"")</f>
        <v/>
      </c>
      <c r="AA840" s="14" t="str">
        <f>IFERROR(VLOOKUP($A840,koronahun!$A:$AM,27,FALSE),"")</f>
        <v/>
      </c>
      <c r="AB840" s="14" t="str">
        <f>IFERROR(VLOOKUP($A840,koronahun!$A:$AM,28,FALSE),"")</f>
        <v/>
      </c>
      <c r="AC840" s="14" t="str">
        <f>IFERROR(VLOOKUP($A840,koronahun!$A:$AM,29,FALSE),"")</f>
        <v/>
      </c>
      <c r="AD840" s="14" t="str">
        <f>IFERROR(VLOOKUP($A840,koronahun!$A:$AM,30,FALSE),"")</f>
        <v/>
      </c>
      <c r="AE840" s="14" t="str">
        <f>IFERROR(VLOOKUP($A840,koronahun!$A:$AM,31,FALSE),"")</f>
        <v/>
      </c>
      <c r="AF840" s="13" t="str">
        <f>IFERROR(VLOOKUP($A840,koronahun!$A:$AM,32,FALSE),"")</f>
        <v/>
      </c>
      <c r="AG840" t="str">
        <f>IFERROR(VLOOKUP($A840,koronahun!$A:$AM,33,FALSE),"")</f>
        <v/>
      </c>
      <c r="AH840" t="str">
        <f>IFERROR(VLOOKUP($A840,koronahun!$A:$AM,34,FALSE),"")</f>
        <v/>
      </c>
      <c r="AI840" t="str">
        <f>IFERROR(VLOOKUP($A840,koronahun!$A:$AM,35,FALSE),"")</f>
        <v/>
      </c>
      <c r="AJ840" t="str">
        <f>IFERROR(VLOOKUP($A840,koronahun!$A:$AM,36,FALSE),"")</f>
        <v/>
      </c>
      <c r="AK840" t="str">
        <f>IFERROR(VLOOKUP($A840,koronahun!$A:$AM,37,FALSE),"")</f>
        <v/>
      </c>
      <c r="AL840" t="str">
        <f>IFERROR(VLOOKUP($A840,koronahun!$A:$AM,38,FALSE),"")</f>
        <v/>
      </c>
      <c r="AM840" s="14" t="str">
        <f>IFERROR(VLOOKUP($A840,koronahun!$A:$AM,39,FALSE),"")</f>
        <v/>
      </c>
      <c r="AN840" s="11">
        <f ca="1">IFERROR(__xludf.DUMMYFUNCTION("""COMPUTED_VALUE"""),44732)</f>
        <v>44732</v>
      </c>
      <c r="AO840" s="12">
        <f ca="1">IFERROR(VLOOKUP(AN840,koronahun!A:B,2,FALSE),"")</f>
        <v>0</v>
      </c>
      <c r="AP840" s="11">
        <f t="shared" ca="1" si="6"/>
        <v>44732</v>
      </c>
      <c r="AQ840" s="11"/>
      <c r="AR840" s="11"/>
      <c r="AS840" s="11"/>
      <c r="AT840" s="11"/>
    </row>
    <row r="841" spans="1:46" ht="13">
      <c r="A841" s="11"/>
      <c r="B841" t="str">
        <f>IFERROR(VLOOKUP($A841,koronahun!$A:$AM,2,FALSE),"")</f>
        <v/>
      </c>
      <c r="C841" t="str">
        <f>IFERROR(VLOOKUP($A841,koronahun!$A:$AM,3,FALSE),"")</f>
        <v/>
      </c>
      <c r="D841" t="str">
        <f>IFERROR(VLOOKUP($A841,koronahun!$A:$AM,4,FALSE),"")</f>
        <v/>
      </c>
      <c r="E841" t="str">
        <f>IFERROR(VLOOKUP($A841,koronahun!$A:$AM,5,FALSE),"")</f>
        <v/>
      </c>
      <c r="F841" t="str">
        <f>IFERROR(VLOOKUP($A841,koronahun!$A:$AM,6,FALSE),"")</f>
        <v/>
      </c>
      <c r="G841" s="12" t="str">
        <f>IFERROR(VLOOKUP($A841,koronahun!$A:$AM,7,FALSE),"")</f>
        <v/>
      </c>
      <c r="H841" t="str">
        <f>IFERROR(VLOOKUP($A841,koronahun!$A:$AM,8,FALSE),"")</f>
        <v/>
      </c>
      <c r="I841" s="13" t="str">
        <f>IFERROR(VLOOKUP($A841,koronahun!$A:$AM,9,FALSE),"")</f>
        <v/>
      </c>
      <c r="J841" s="13" t="str">
        <f>IFERROR(VLOOKUP($A841,koronahun!$A:$AM,10,FALSE),"")</f>
        <v/>
      </c>
      <c r="K841" s="13" t="str">
        <f>IFERROR(VLOOKUP($A841,koronahun!$A:$AM,11,FALSE),"")</f>
        <v/>
      </c>
      <c r="L841" t="str">
        <f>IFERROR(VLOOKUP($A841,koronahun!$A:$AM,12,FALSE),"")</f>
        <v/>
      </c>
      <c r="M841" s="13" t="str">
        <f>IFERROR(VLOOKUP($A841,koronahun!$A:$AM,13,FALSE),"")</f>
        <v/>
      </c>
      <c r="N841" s="13" t="str">
        <f>IFERROR(VLOOKUP($A841,koronahun!$A:$AM,14,FALSE),"")</f>
        <v/>
      </c>
      <c r="O841" t="str">
        <f>IFERROR(VLOOKUP($A841,koronahun!$A:$AM,15,FALSE),"")</f>
        <v/>
      </c>
      <c r="P841" t="str">
        <f>IFERROR(VLOOKUP($A841,koronahun!$A:$AM,16,FALSE),"")</f>
        <v/>
      </c>
      <c r="Q841" s="13" t="str">
        <f>IFERROR(VLOOKUP($A841,koronahun!$A:$AM,17,FALSE),"")</f>
        <v/>
      </c>
      <c r="R841" t="str">
        <f>IFERROR(VLOOKUP($A841,koronahun!$A:$AM,18,FALSE),"")</f>
        <v/>
      </c>
      <c r="S841" t="str">
        <f>IFERROR(VLOOKUP($A841,koronahun!$A:$AM,19,FALSE),"")</f>
        <v/>
      </c>
      <c r="T841" t="str">
        <f>IFERROR(VLOOKUP($A841,koronahun!$A:$AM,20,FALSE),"")</f>
        <v/>
      </c>
      <c r="U841" t="str">
        <f>IFERROR(VLOOKUP($A841,koronahun!$A:$AM,21,FALSE),"")</f>
        <v/>
      </c>
      <c r="V841" s="13" t="str">
        <f>IFERROR(VLOOKUP($A841,koronahun!$A:$AM,22,FALSE),"")</f>
        <v/>
      </c>
      <c r="W841" t="str">
        <f>IFERROR(VLOOKUP($A841,koronahun!$A:$AM,23,FALSE),"")</f>
        <v/>
      </c>
      <c r="X841" t="str">
        <f>IFERROR(VLOOKUP($A841,koronahun!$A:$AM,24,FALSE),"")</f>
        <v/>
      </c>
      <c r="Y841" s="14" t="str">
        <f>IFERROR(VLOOKUP($A841,koronahun!$A:$AM,25,FALSE),"")</f>
        <v/>
      </c>
      <c r="Z841" s="14" t="str">
        <f>IFERROR(VLOOKUP($A841,koronahun!$A:$AM,26,FALSE),"")</f>
        <v/>
      </c>
      <c r="AA841" s="14" t="str">
        <f>IFERROR(VLOOKUP($A841,koronahun!$A:$AM,27,FALSE),"")</f>
        <v/>
      </c>
      <c r="AB841" s="14" t="str">
        <f>IFERROR(VLOOKUP($A841,koronahun!$A:$AM,28,FALSE),"")</f>
        <v/>
      </c>
      <c r="AC841" s="14" t="str">
        <f>IFERROR(VLOOKUP($A841,koronahun!$A:$AM,29,FALSE),"")</f>
        <v/>
      </c>
      <c r="AD841" s="14" t="str">
        <f>IFERROR(VLOOKUP($A841,koronahun!$A:$AM,30,FALSE),"")</f>
        <v/>
      </c>
      <c r="AE841" s="14" t="str">
        <f>IFERROR(VLOOKUP($A841,koronahun!$A:$AM,31,FALSE),"")</f>
        <v/>
      </c>
      <c r="AF841" s="13" t="str">
        <f>IFERROR(VLOOKUP($A841,koronahun!$A:$AM,32,FALSE),"")</f>
        <v/>
      </c>
      <c r="AG841" t="str">
        <f>IFERROR(VLOOKUP($A841,koronahun!$A:$AM,33,FALSE),"")</f>
        <v/>
      </c>
      <c r="AH841" t="str">
        <f>IFERROR(VLOOKUP($A841,koronahun!$A:$AM,34,FALSE),"")</f>
        <v/>
      </c>
      <c r="AI841" t="str">
        <f>IFERROR(VLOOKUP($A841,koronahun!$A:$AM,35,FALSE),"")</f>
        <v/>
      </c>
      <c r="AJ841" t="str">
        <f>IFERROR(VLOOKUP($A841,koronahun!$A:$AM,36,FALSE),"")</f>
        <v/>
      </c>
      <c r="AK841" t="str">
        <f>IFERROR(VLOOKUP($A841,koronahun!$A:$AM,37,FALSE),"")</f>
        <v/>
      </c>
      <c r="AL841" t="str">
        <f>IFERROR(VLOOKUP($A841,koronahun!$A:$AM,38,FALSE),"")</f>
        <v/>
      </c>
      <c r="AM841" s="14" t="str">
        <f>IFERROR(VLOOKUP($A841,koronahun!$A:$AM,39,FALSE),"")</f>
        <v/>
      </c>
      <c r="AN841" s="11">
        <f ca="1">IFERROR(__xludf.DUMMYFUNCTION("""COMPUTED_VALUE"""),44733)</f>
        <v>44733</v>
      </c>
      <c r="AO841" s="12">
        <f ca="1">IFERROR(VLOOKUP(AN841,koronahun!A:B,2,FALSE),"")</f>
        <v>0</v>
      </c>
      <c r="AP841" s="11">
        <f t="shared" ca="1" si="6"/>
        <v>44733</v>
      </c>
      <c r="AQ841" s="11"/>
      <c r="AR841" s="11"/>
      <c r="AS841" s="11"/>
      <c r="AT841" s="11"/>
    </row>
    <row r="842" spans="1:46" ht="13">
      <c r="A842" s="11"/>
      <c r="B842" t="str">
        <f>IFERROR(VLOOKUP($A842,koronahun!$A:$AM,2,FALSE),"")</f>
        <v/>
      </c>
      <c r="C842" t="str">
        <f>IFERROR(VLOOKUP($A842,koronahun!$A:$AM,3,FALSE),"")</f>
        <v/>
      </c>
      <c r="D842" t="str">
        <f>IFERROR(VLOOKUP($A842,koronahun!$A:$AM,4,FALSE),"")</f>
        <v/>
      </c>
      <c r="E842" t="str">
        <f>IFERROR(VLOOKUP($A842,koronahun!$A:$AM,5,FALSE),"")</f>
        <v/>
      </c>
      <c r="F842" t="str">
        <f>IFERROR(VLOOKUP($A842,koronahun!$A:$AM,6,FALSE),"")</f>
        <v/>
      </c>
      <c r="G842" s="12" t="str">
        <f>IFERROR(VLOOKUP($A842,koronahun!$A:$AM,7,FALSE),"")</f>
        <v/>
      </c>
      <c r="H842" t="str">
        <f>IFERROR(VLOOKUP($A842,koronahun!$A:$AM,8,FALSE),"")</f>
        <v/>
      </c>
      <c r="I842" s="13" t="str">
        <f>IFERROR(VLOOKUP($A842,koronahun!$A:$AM,9,FALSE),"")</f>
        <v/>
      </c>
      <c r="J842" s="13" t="str">
        <f>IFERROR(VLOOKUP($A842,koronahun!$A:$AM,10,FALSE),"")</f>
        <v/>
      </c>
      <c r="K842" s="13" t="str">
        <f>IFERROR(VLOOKUP($A842,koronahun!$A:$AM,11,FALSE),"")</f>
        <v/>
      </c>
      <c r="L842" t="str">
        <f>IFERROR(VLOOKUP($A842,koronahun!$A:$AM,12,FALSE),"")</f>
        <v/>
      </c>
      <c r="M842" s="13" t="str">
        <f>IFERROR(VLOOKUP($A842,koronahun!$A:$AM,13,FALSE),"")</f>
        <v/>
      </c>
      <c r="N842" s="13" t="str">
        <f>IFERROR(VLOOKUP($A842,koronahun!$A:$AM,14,FALSE),"")</f>
        <v/>
      </c>
      <c r="O842" t="str">
        <f>IFERROR(VLOOKUP($A842,koronahun!$A:$AM,15,FALSE),"")</f>
        <v/>
      </c>
      <c r="P842" t="str">
        <f>IFERROR(VLOOKUP($A842,koronahun!$A:$AM,16,FALSE),"")</f>
        <v/>
      </c>
      <c r="Q842" s="13" t="str">
        <f>IFERROR(VLOOKUP($A842,koronahun!$A:$AM,17,FALSE),"")</f>
        <v/>
      </c>
      <c r="R842" t="str">
        <f>IFERROR(VLOOKUP($A842,koronahun!$A:$AM,18,FALSE),"")</f>
        <v/>
      </c>
      <c r="S842" t="str">
        <f>IFERROR(VLOOKUP($A842,koronahun!$A:$AM,19,FALSE),"")</f>
        <v/>
      </c>
      <c r="T842" t="str">
        <f>IFERROR(VLOOKUP($A842,koronahun!$A:$AM,20,FALSE),"")</f>
        <v/>
      </c>
      <c r="U842" t="str">
        <f>IFERROR(VLOOKUP($A842,koronahun!$A:$AM,21,FALSE),"")</f>
        <v/>
      </c>
      <c r="V842" s="13" t="str">
        <f>IFERROR(VLOOKUP($A842,koronahun!$A:$AM,22,FALSE),"")</f>
        <v/>
      </c>
      <c r="W842" t="str">
        <f>IFERROR(VLOOKUP($A842,koronahun!$A:$AM,23,FALSE),"")</f>
        <v/>
      </c>
      <c r="X842" t="str">
        <f>IFERROR(VLOOKUP($A842,koronahun!$A:$AM,24,FALSE),"")</f>
        <v/>
      </c>
      <c r="Y842" s="14" t="str">
        <f>IFERROR(VLOOKUP($A842,koronahun!$A:$AM,25,FALSE),"")</f>
        <v/>
      </c>
      <c r="Z842" s="14" t="str">
        <f>IFERROR(VLOOKUP($A842,koronahun!$A:$AM,26,FALSE),"")</f>
        <v/>
      </c>
      <c r="AA842" s="14" t="str">
        <f>IFERROR(VLOOKUP($A842,koronahun!$A:$AM,27,FALSE),"")</f>
        <v/>
      </c>
      <c r="AB842" s="14" t="str">
        <f>IFERROR(VLOOKUP($A842,koronahun!$A:$AM,28,FALSE),"")</f>
        <v/>
      </c>
      <c r="AC842" s="14" t="str">
        <f>IFERROR(VLOOKUP($A842,koronahun!$A:$AM,29,FALSE),"")</f>
        <v/>
      </c>
      <c r="AD842" s="14" t="str">
        <f>IFERROR(VLOOKUP($A842,koronahun!$A:$AM,30,FALSE),"")</f>
        <v/>
      </c>
      <c r="AE842" s="14" t="str">
        <f>IFERROR(VLOOKUP($A842,koronahun!$A:$AM,31,FALSE),"")</f>
        <v/>
      </c>
      <c r="AF842" s="13" t="str">
        <f>IFERROR(VLOOKUP($A842,koronahun!$A:$AM,32,FALSE),"")</f>
        <v/>
      </c>
      <c r="AG842" t="str">
        <f>IFERROR(VLOOKUP($A842,koronahun!$A:$AM,33,FALSE),"")</f>
        <v/>
      </c>
      <c r="AH842" t="str">
        <f>IFERROR(VLOOKUP($A842,koronahun!$A:$AM,34,FALSE),"")</f>
        <v/>
      </c>
      <c r="AI842" t="str">
        <f>IFERROR(VLOOKUP($A842,koronahun!$A:$AM,35,FALSE),"")</f>
        <v/>
      </c>
      <c r="AJ842" t="str">
        <f>IFERROR(VLOOKUP($A842,koronahun!$A:$AM,36,FALSE),"")</f>
        <v/>
      </c>
      <c r="AK842" t="str">
        <f>IFERROR(VLOOKUP($A842,koronahun!$A:$AM,37,FALSE),"")</f>
        <v/>
      </c>
      <c r="AL842" t="str">
        <f>IFERROR(VLOOKUP($A842,koronahun!$A:$AM,38,FALSE),"")</f>
        <v/>
      </c>
      <c r="AM842" s="14" t="str">
        <f>IFERROR(VLOOKUP($A842,koronahun!$A:$AM,39,FALSE),"")</f>
        <v/>
      </c>
      <c r="AN842" s="11">
        <f ca="1">IFERROR(__xludf.DUMMYFUNCTION("""COMPUTED_VALUE"""),44734)</f>
        <v>44734</v>
      </c>
      <c r="AO842" s="12">
        <f ca="1">IFERROR(VLOOKUP(AN842,koronahun!A:B,2,FALSE),"")</f>
        <v>1925083</v>
      </c>
      <c r="AP842" s="11">
        <f t="shared" ca="1" si="6"/>
        <v>44734</v>
      </c>
      <c r="AQ842" s="11"/>
      <c r="AR842" s="11"/>
      <c r="AS842" s="11"/>
      <c r="AT842" s="11"/>
    </row>
    <row r="843" spans="1:46" ht="13">
      <c r="A843" s="11"/>
      <c r="B843" t="str">
        <f>IFERROR(VLOOKUP($A843,koronahun!$A:$AM,2,FALSE),"")</f>
        <v/>
      </c>
      <c r="C843" t="str">
        <f>IFERROR(VLOOKUP($A843,koronahun!$A:$AM,3,FALSE),"")</f>
        <v/>
      </c>
      <c r="D843" t="str">
        <f>IFERROR(VLOOKUP($A843,koronahun!$A:$AM,4,FALSE),"")</f>
        <v/>
      </c>
      <c r="E843" t="str">
        <f>IFERROR(VLOOKUP($A843,koronahun!$A:$AM,5,FALSE),"")</f>
        <v/>
      </c>
      <c r="F843" t="str">
        <f>IFERROR(VLOOKUP($A843,koronahun!$A:$AM,6,FALSE),"")</f>
        <v/>
      </c>
      <c r="G843" s="12" t="str">
        <f>IFERROR(VLOOKUP($A843,koronahun!$A:$AM,7,FALSE),"")</f>
        <v/>
      </c>
      <c r="H843" t="str">
        <f>IFERROR(VLOOKUP($A843,koronahun!$A:$AM,8,FALSE),"")</f>
        <v/>
      </c>
      <c r="I843" s="13" t="str">
        <f>IFERROR(VLOOKUP($A843,koronahun!$A:$AM,9,FALSE),"")</f>
        <v/>
      </c>
      <c r="J843" s="13" t="str">
        <f>IFERROR(VLOOKUP($A843,koronahun!$A:$AM,10,FALSE),"")</f>
        <v/>
      </c>
      <c r="K843" s="13" t="str">
        <f>IFERROR(VLOOKUP($A843,koronahun!$A:$AM,11,FALSE),"")</f>
        <v/>
      </c>
      <c r="L843" t="str">
        <f>IFERROR(VLOOKUP($A843,koronahun!$A:$AM,12,FALSE),"")</f>
        <v/>
      </c>
      <c r="M843" s="13" t="str">
        <f>IFERROR(VLOOKUP($A843,koronahun!$A:$AM,13,FALSE),"")</f>
        <v/>
      </c>
      <c r="N843" s="13" t="str">
        <f>IFERROR(VLOOKUP($A843,koronahun!$A:$AM,14,FALSE),"")</f>
        <v/>
      </c>
      <c r="O843" t="str">
        <f>IFERROR(VLOOKUP($A843,koronahun!$A:$AM,15,FALSE),"")</f>
        <v/>
      </c>
      <c r="P843" t="str">
        <f>IFERROR(VLOOKUP($A843,koronahun!$A:$AM,16,FALSE),"")</f>
        <v/>
      </c>
      <c r="Q843" s="13" t="str">
        <f>IFERROR(VLOOKUP($A843,koronahun!$A:$AM,17,FALSE),"")</f>
        <v/>
      </c>
      <c r="R843" t="str">
        <f>IFERROR(VLOOKUP($A843,koronahun!$A:$AM,18,FALSE),"")</f>
        <v/>
      </c>
      <c r="S843" t="str">
        <f>IFERROR(VLOOKUP($A843,koronahun!$A:$AM,19,FALSE),"")</f>
        <v/>
      </c>
      <c r="T843" t="str">
        <f>IFERROR(VLOOKUP($A843,koronahun!$A:$AM,20,FALSE),"")</f>
        <v/>
      </c>
      <c r="U843" t="str">
        <f>IFERROR(VLOOKUP($A843,koronahun!$A:$AM,21,FALSE),"")</f>
        <v/>
      </c>
      <c r="V843" s="13" t="str">
        <f>IFERROR(VLOOKUP($A843,koronahun!$A:$AM,22,FALSE),"")</f>
        <v/>
      </c>
      <c r="W843" t="str">
        <f>IFERROR(VLOOKUP($A843,koronahun!$A:$AM,23,FALSE),"")</f>
        <v/>
      </c>
      <c r="X843" t="str">
        <f>IFERROR(VLOOKUP($A843,koronahun!$A:$AM,24,FALSE),"")</f>
        <v/>
      </c>
      <c r="Y843" s="14" t="str">
        <f>IFERROR(VLOOKUP($A843,koronahun!$A:$AM,25,FALSE),"")</f>
        <v/>
      </c>
      <c r="Z843" s="14" t="str">
        <f>IFERROR(VLOOKUP($A843,koronahun!$A:$AM,26,FALSE),"")</f>
        <v/>
      </c>
      <c r="AA843" s="14" t="str">
        <f>IFERROR(VLOOKUP($A843,koronahun!$A:$AM,27,FALSE),"")</f>
        <v/>
      </c>
      <c r="AB843" s="14" t="str">
        <f>IFERROR(VLOOKUP($A843,koronahun!$A:$AM,28,FALSE),"")</f>
        <v/>
      </c>
      <c r="AC843" s="14" t="str">
        <f>IFERROR(VLOOKUP($A843,koronahun!$A:$AM,29,FALSE),"")</f>
        <v/>
      </c>
      <c r="AD843" s="14" t="str">
        <f>IFERROR(VLOOKUP($A843,koronahun!$A:$AM,30,FALSE),"")</f>
        <v/>
      </c>
      <c r="AE843" s="14" t="str">
        <f>IFERROR(VLOOKUP($A843,koronahun!$A:$AM,31,FALSE),"")</f>
        <v/>
      </c>
      <c r="AF843" s="13" t="str">
        <f>IFERROR(VLOOKUP($A843,koronahun!$A:$AM,32,FALSE),"")</f>
        <v/>
      </c>
      <c r="AG843" t="str">
        <f>IFERROR(VLOOKUP($A843,koronahun!$A:$AM,33,FALSE),"")</f>
        <v/>
      </c>
      <c r="AH843" t="str">
        <f>IFERROR(VLOOKUP($A843,koronahun!$A:$AM,34,FALSE),"")</f>
        <v/>
      </c>
      <c r="AI843" t="str">
        <f>IFERROR(VLOOKUP($A843,koronahun!$A:$AM,35,FALSE),"")</f>
        <v/>
      </c>
      <c r="AJ843" t="str">
        <f>IFERROR(VLOOKUP($A843,koronahun!$A:$AM,36,FALSE),"")</f>
        <v/>
      </c>
      <c r="AK843" t="str">
        <f>IFERROR(VLOOKUP($A843,koronahun!$A:$AM,37,FALSE),"")</f>
        <v/>
      </c>
      <c r="AL843" t="str">
        <f>IFERROR(VLOOKUP($A843,koronahun!$A:$AM,38,FALSE),"")</f>
        <v/>
      </c>
      <c r="AM843" s="14" t="str">
        <f>IFERROR(VLOOKUP($A843,koronahun!$A:$AM,39,FALSE),"")</f>
        <v/>
      </c>
      <c r="AN843" s="11">
        <f ca="1">IFERROR(__xludf.DUMMYFUNCTION("""COMPUTED_VALUE"""),44735)</f>
        <v>44735</v>
      </c>
      <c r="AO843" s="12">
        <f ca="1">IFERROR(VLOOKUP(AN843,koronahun!A:B,2,FALSE),"")</f>
        <v>0</v>
      </c>
      <c r="AP843" s="11">
        <f t="shared" ca="1" si="6"/>
        <v>44735</v>
      </c>
      <c r="AQ843" s="11"/>
      <c r="AR843" s="11"/>
      <c r="AS843" s="11"/>
      <c r="AT843" s="11"/>
    </row>
    <row r="844" spans="1:46" ht="13">
      <c r="A844" s="11"/>
      <c r="B844" t="str">
        <f>IFERROR(VLOOKUP($A844,koronahun!$A:$AM,2,FALSE),"")</f>
        <v/>
      </c>
      <c r="C844" t="str">
        <f>IFERROR(VLOOKUP($A844,koronahun!$A:$AM,3,FALSE),"")</f>
        <v/>
      </c>
      <c r="D844" t="str">
        <f>IFERROR(VLOOKUP($A844,koronahun!$A:$AM,4,FALSE),"")</f>
        <v/>
      </c>
      <c r="E844" t="str">
        <f>IFERROR(VLOOKUP($A844,koronahun!$A:$AM,5,FALSE),"")</f>
        <v/>
      </c>
      <c r="F844" t="str">
        <f>IFERROR(VLOOKUP($A844,koronahun!$A:$AM,6,FALSE),"")</f>
        <v/>
      </c>
      <c r="G844" s="12" t="str">
        <f>IFERROR(VLOOKUP($A844,koronahun!$A:$AM,7,FALSE),"")</f>
        <v/>
      </c>
      <c r="H844" t="str">
        <f>IFERROR(VLOOKUP($A844,koronahun!$A:$AM,8,FALSE),"")</f>
        <v/>
      </c>
      <c r="I844" s="13" t="str">
        <f>IFERROR(VLOOKUP($A844,koronahun!$A:$AM,9,FALSE),"")</f>
        <v/>
      </c>
      <c r="J844" s="13" t="str">
        <f>IFERROR(VLOOKUP($A844,koronahun!$A:$AM,10,FALSE),"")</f>
        <v/>
      </c>
      <c r="K844" s="13" t="str">
        <f>IFERROR(VLOOKUP($A844,koronahun!$A:$AM,11,FALSE),"")</f>
        <v/>
      </c>
      <c r="L844" t="str">
        <f>IFERROR(VLOOKUP($A844,koronahun!$A:$AM,12,FALSE),"")</f>
        <v/>
      </c>
      <c r="M844" s="13" t="str">
        <f>IFERROR(VLOOKUP($A844,koronahun!$A:$AM,13,FALSE),"")</f>
        <v/>
      </c>
      <c r="N844" s="13" t="str">
        <f>IFERROR(VLOOKUP($A844,koronahun!$A:$AM,14,FALSE),"")</f>
        <v/>
      </c>
      <c r="O844" t="str">
        <f>IFERROR(VLOOKUP($A844,koronahun!$A:$AM,15,FALSE),"")</f>
        <v/>
      </c>
      <c r="P844" t="str">
        <f>IFERROR(VLOOKUP($A844,koronahun!$A:$AM,16,FALSE),"")</f>
        <v/>
      </c>
      <c r="Q844" s="13" t="str">
        <f>IFERROR(VLOOKUP($A844,koronahun!$A:$AM,17,FALSE),"")</f>
        <v/>
      </c>
      <c r="R844" t="str">
        <f>IFERROR(VLOOKUP($A844,koronahun!$A:$AM,18,FALSE),"")</f>
        <v/>
      </c>
      <c r="S844" t="str">
        <f>IFERROR(VLOOKUP($A844,koronahun!$A:$AM,19,FALSE),"")</f>
        <v/>
      </c>
      <c r="T844" t="str">
        <f>IFERROR(VLOOKUP($A844,koronahun!$A:$AM,20,FALSE),"")</f>
        <v/>
      </c>
      <c r="U844" t="str">
        <f>IFERROR(VLOOKUP($A844,koronahun!$A:$AM,21,FALSE),"")</f>
        <v/>
      </c>
      <c r="V844" s="13" t="str">
        <f>IFERROR(VLOOKUP($A844,koronahun!$A:$AM,22,FALSE),"")</f>
        <v/>
      </c>
      <c r="W844" t="str">
        <f>IFERROR(VLOOKUP($A844,koronahun!$A:$AM,23,FALSE),"")</f>
        <v/>
      </c>
      <c r="X844" t="str">
        <f>IFERROR(VLOOKUP($A844,koronahun!$A:$AM,24,FALSE),"")</f>
        <v/>
      </c>
      <c r="Y844" s="14" t="str">
        <f>IFERROR(VLOOKUP($A844,koronahun!$A:$AM,25,FALSE),"")</f>
        <v/>
      </c>
      <c r="Z844" s="14" t="str">
        <f>IFERROR(VLOOKUP($A844,koronahun!$A:$AM,26,FALSE),"")</f>
        <v/>
      </c>
      <c r="AA844" s="14" t="str">
        <f>IFERROR(VLOOKUP($A844,koronahun!$A:$AM,27,FALSE),"")</f>
        <v/>
      </c>
      <c r="AB844" s="14" t="str">
        <f>IFERROR(VLOOKUP($A844,koronahun!$A:$AM,28,FALSE),"")</f>
        <v/>
      </c>
      <c r="AC844" s="14" t="str">
        <f>IFERROR(VLOOKUP($A844,koronahun!$A:$AM,29,FALSE),"")</f>
        <v/>
      </c>
      <c r="AD844" s="14" t="str">
        <f>IFERROR(VLOOKUP($A844,koronahun!$A:$AM,30,FALSE),"")</f>
        <v/>
      </c>
      <c r="AE844" s="14" t="str">
        <f>IFERROR(VLOOKUP($A844,koronahun!$A:$AM,31,FALSE),"")</f>
        <v/>
      </c>
      <c r="AF844" s="13" t="str">
        <f>IFERROR(VLOOKUP($A844,koronahun!$A:$AM,32,FALSE),"")</f>
        <v/>
      </c>
      <c r="AG844" t="str">
        <f>IFERROR(VLOOKUP($A844,koronahun!$A:$AM,33,FALSE),"")</f>
        <v/>
      </c>
      <c r="AH844" t="str">
        <f>IFERROR(VLOOKUP($A844,koronahun!$A:$AM,34,FALSE),"")</f>
        <v/>
      </c>
      <c r="AI844" t="str">
        <f>IFERROR(VLOOKUP($A844,koronahun!$A:$AM,35,FALSE),"")</f>
        <v/>
      </c>
      <c r="AJ844" t="str">
        <f>IFERROR(VLOOKUP($A844,koronahun!$A:$AM,36,FALSE),"")</f>
        <v/>
      </c>
      <c r="AK844" t="str">
        <f>IFERROR(VLOOKUP($A844,koronahun!$A:$AM,37,FALSE),"")</f>
        <v/>
      </c>
      <c r="AL844" t="str">
        <f>IFERROR(VLOOKUP($A844,koronahun!$A:$AM,38,FALSE),"")</f>
        <v/>
      </c>
      <c r="AM844" s="14" t="str">
        <f>IFERROR(VLOOKUP($A844,koronahun!$A:$AM,39,FALSE),"")</f>
        <v/>
      </c>
      <c r="AN844" s="11">
        <f ca="1">IFERROR(__xludf.DUMMYFUNCTION("""COMPUTED_VALUE"""),44736)</f>
        <v>44736</v>
      </c>
      <c r="AO844" s="12">
        <f ca="1">IFERROR(VLOOKUP(AN844,koronahun!A:B,2,FALSE),"")</f>
        <v>0</v>
      </c>
      <c r="AP844" s="11">
        <f t="shared" ca="1" si="6"/>
        <v>44736</v>
      </c>
      <c r="AQ844" s="11"/>
      <c r="AR844" s="11"/>
      <c r="AS844" s="11"/>
      <c r="AT844" s="11"/>
    </row>
    <row r="845" spans="1:46" ht="13">
      <c r="A845" s="11"/>
      <c r="B845" t="str">
        <f>IFERROR(VLOOKUP($A845,koronahun!$A:$AM,2,FALSE),"")</f>
        <v/>
      </c>
      <c r="C845" t="str">
        <f>IFERROR(VLOOKUP($A845,koronahun!$A:$AM,3,FALSE),"")</f>
        <v/>
      </c>
      <c r="D845" t="str">
        <f>IFERROR(VLOOKUP($A845,koronahun!$A:$AM,4,FALSE),"")</f>
        <v/>
      </c>
      <c r="E845" t="str">
        <f>IFERROR(VLOOKUP($A845,koronahun!$A:$AM,5,FALSE),"")</f>
        <v/>
      </c>
      <c r="F845" t="str">
        <f>IFERROR(VLOOKUP($A845,koronahun!$A:$AM,6,FALSE),"")</f>
        <v/>
      </c>
      <c r="G845" s="12" t="str">
        <f>IFERROR(VLOOKUP($A845,koronahun!$A:$AM,7,FALSE),"")</f>
        <v/>
      </c>
      <c r="H845" t="str">
        <f>IFERROR(VLOOKUP($A845,koronahun!$A:$AM,8,FALSE),"")</f>
        <v/>
      </c>
      <c r="I845" s="13" t="str">
        <f>IFERROR(VLOOKUP($A845,koronahun!$A:$AM,9,FALSE),"")</f>
        <v/>
      </c>
      <c r="J845" s="13" t="str">
        <f>IFERROR(VLOOKUP($A845,koronahun!$A:$AM,10,FALSE),"")</f>
        <v/>
      </c>
      <c r="K845" s="13" t="str">
        <f>IFERROR(VLOOKUP($A845,koronahun!$A:$AM,11,FALSE),"")</f>
        <v/>
      </c>
      <c r="L845" t="str">
        <f>IFERROR(VLOOKUP($A845,koronahun!$A:$AM,12,FALSE),"")</f>
        <v/>
      </c>
      <c r="M845" s="13" t="str">
        <f>IFERROR(VLOOKUP($A845,koronahun!$A:$AM,13,FALSE),"")</f>
        <v/>
      </c>
      <c r="N845" s="13" t="str">
        <f>IFERROR(VLOOKUP($A845,koronahun!$A:$AM,14,FALSE),"")</f>
        <v/>
      </c>
      <c r="O845" t="str">
        <f>IFERROR(VLOOKUP($A845,koronahun!$A:$AM,15,FALSE),"")</f>
        <v/>
      </c>
      <c r="P845" t="str">
        <f>IFERROR(VLOOKUP($A845,koronahun!$A:$AM,16,FALSE),"")</f>
        <v/>
      </c>
      <c r="Q845" s="13" t="str">
        <f>IFERROR(VLOOKUP($A845,koronahun!$A:$AM,17,FALSE),"")</f>
        <v/>
      </c>
      <c r="R845" t="str">
        <f>IFERROR(VLOOKUP($A845,koronahun!$A:$AM,18,FALSE),"")</f>
        <v/>
      </c>
      <c r="S845" t="str">
        <f>IFERROR(VLOOKUP($A845,koronahun!$A:$AM,19,FALSE),"")</f>
        <v/>
      </c>
      <c r="T845" t="str">
        <f>IFERROR(VLOOKUP($A845,koronahun!$A:$AM,20,FALSE),"")</f>
        <v/>
      </c>
      <c r="U845" t="str">
        <f>IFERROR(VLOOKUP($A845,koronahun!$A:$AM,21,FALSE),"")</f>
        <v/>
      </c>
      <c r="V845" s="13" t="str">
        <f>IFERROR(VLOOKUP($A845,koronahun!$A:$AM,22,FALSE),"")</f>
        <v/>
      </c>
      <c r="W845" t="str">
        <f>IFERROR(VLOOKUP($A845,koronahun!$A:$AM,23,FALSE),"")</f>
        <v/>
      </c>
      <c r="X845" t="str">
        <f>IFERROR(VLOOKUP($A845,koronahun!$A:$AM,24,FALSE),"")</f>
        <v/>
      </c>
      <c r="Y845" s="14" t="str">
        <f>IFERROR(VLOOKUP($A845,koronahun!$A:$AM,25,FALSE),"")</f>
        <v/>
      </c>
      <c r="Z845" s="14" t="str">
        <f>IFERROR(VLOOKUP($A845,koronahun!$A:$AM,26,FALSE),"")</f>
        <v/>
      </c>
      <c r="AA845" s="14" t="str">
        <f>IFERROR(VLOOKUP($A845,koronahun!$A:$AM,27,FALSE),"")</f>
        <v/>
      </c>
      <c r="AB845" s="14" t="str">
        <f>IFERROR(VLOOKUP($A845,koronahun!$A:$AM,28,FALSE),"")</f>
        <v/>
      </c>
      <c r="AC845" s="14" t="str">
        <f>IFERROR(VLOOKUP($A845,koronahun!$A:$AM,29,FALSE),"")</f>
        <v/>
      </c>
      <c r="AD845" s="14" t="str">
        <f>IFERROR(VLOOKUP($A845,koronahun!$A:$AM,30,FALSE),"")</f>
        <v/>
      </c>
      <c r="AE845" s="14" t="str">
        <f>IFERROR(VLOOKUP($A845,koronahun!$A:$AM,31,FALSE),"")</f>
        <v/>
      </c>
      <c r="AF845" s="13" t="str">
        <f>IFERROR(VLOOKUP($A845,koronahun!$A:$AM,32,FALSE),"")</f>
        <v/>
      </c>
      <c r="AG845" t="str">
        <f>IFERROR(VLOOKUP($A845,koronahun!$A:$AM,33,FALSE),"")</f>
        <v/>
      </c>
      <c r="AH845" t="str">
        <f>IFERROR(VLOOKUP($A845,koronahun!$A:$AM,34,FALSE),"")</f>
        <v/>
      </c>
      <c r="AI845" t="str">
        <f>IFERROR(VLOOKUP($A845,koronahun!$A:$AM,35,FALSE),"")</f>
        <v/>
      </c>
      <c r="AJ845" t="str">
        <f>IFERROR(VLOOKUP($A845,koronahun!$A:$AM,36,FALSE),"")</f>
        <v/>
      </c>
      <c r="AK845" t="str">
        <f>IFERROR(VLOOKUP($A845,koronahun!$A:$AM,37,FALSE),"")</f>
        <v/>
      </c>
      <c r="AL845" t="str">
        <f>IFERROR(VLOOKUP($A845,koronahun!$A:$AM,38,FALSE),"")</f>
        <v/>
      </c>
      <c r="AM845" s="14" t="str">
        <f>IFERROR(VLOOKUP($A845,koronahun!$A:$AM,39,FALSE),"")</f>
        <v/>
      </c>
      <c r="AN845" s="11">
        <f ca="1">IFERROR(__xludf.DUMMYFUNCTION("""COMPUTED_VALUE"""),44737)</f>
        <v>44737</v>
      </c>
      <c r="AO845" s="12">
        <f ca="1">IFERROR(VLOOKUP(AN845,koronahun!A:B,2,FALSE),"")</f>
        <v>0</v>
      </c>
      <c r="AP845" s="11">
        <f t="shared" ca="1" si="6"/>
        <v>44737</v>
      </c>
      <c r="AQ845" s="11"/>
      <c r="AR845" s="11"/>
      <c r="AS845" s="11"/>
      <c r="AT845" s="11"/>
    </row>
    <row r="846" spans="1:46" ht="13">
      <c r="A846" s="11"/>
      <c r="B846" t="str">
        <f>IFERROR(VLOOKUP($A846,koronahun!$A:$AM,2,FALSE),"")</f>
        <v/>
      </c>
      <c r="C846" t="str">
        <f>IFERROR(VLOOKUP($A846,koronahun!$A:$AM,3,FALSE),"")</f>
        <v/>
      </c>
      <c r="D846" t="str">
        <f>IFERROR(VLOOKUP($A846,koronahun!$A:$AM,4,FALSE),"")</f>
        <v/>
      </c>
      <c r="E846" t="str">
        <f>IFERROR(VLOOKUP($A846,koronahun!$A:$AM,5,FALSE),"")</f>
        <v/>
      </c>
      <c r="F846" t="str">
        <f>IFERROR(VLOOKUP($A846,koronahun!$A:$AM,6,FALSE),"")</f>
        <v/>
      </c>
      <c r="G846" s="12" t="str">
        <f>IFERROR(VLOOKUP($A846,koronahun!$A:$AM,7,FALSE),"")</f>
        <v/>
      </c>
      <c r="H846" t="str">
        <f>IFERROR(VLOOKUP($A846,koronahun!$A:$AM,8,FALSE),"")</f>
        <v/>
      </c>
      <c r="I846" s="13" t="str">
        <f>IFERROR(VLOOKUP($A846,koronahun!$A:$AM,9,FALSE),"")</f>
        <v/>
      </c>
      <c r="J846" s="13" t="str">
        <f>IFERROR(VLOOKUP($A846,koronahun!$A:$AM,10,FALSE),"")</f>
        <v/>
      </c>
      <c r="K846" s="13" t="str">
        <f>IFERROR(VLOOKUP($A846,koronahun!$A:$AM,11,FALSE),"")</f>
        <v/>
      </c>
      <c r="L846" t="str">
        <f>IFERROR(VLOOKUP($A846,koronahun!$A:$AM,12,FALSE),"")</f>
        <v/>
      </c>
      <c r="M846" s="13" t="str">
        <f>IFERROR(VLOOKUP($A846,koronahun!$A:$AM,13,FALSE),"")</f>
        <v/>
      </c>
      <c r="N846" s="13" t="str">
        <f>IFERROR(VLOOKUP($A846,koronahun!$A:$AM,14,FALSE),"")</f>
        <v/>
      </c>
      <c r="O846" t="str">
        <f>IFERROR(VLOOKUP($A846,koronahun!$A:$AM,15,FALSE),"")</f>
        <v/>
      </c>
      <c r="P846" t="str">
        <f>IFERROR(VLOOKUP($A846,koronahun!$A:$AM,16,FALSE),"")</f>
        <v/>
      </c>
      <c r="Q846" s="13" t="str">
        <f>IFERROR(VLOOKUP($A846,koronahun!$A:$AM,17,FALSE),"")</f>
        <v/>
      </c>
      <c r="R846" t="str">
        <f>IFERROR(VLOOKUP($A846,koronahun!$A:$AM,18,FALSE),"")</f>
        <v/>
      </c>
      <c r="S846" t="str">
        <f>IFERROR(VLOOKUP($A846,koronahun!$A:$AM,19,FALSE),"")</f>
        <v/>
      </c>
      <c r="T846" t="str">
        <f>IFERROR(VLOOKUP($A846,koronahun!$A:$AM,20,FALSE),"")</f>
        <v/>
      </c>
      <c r="U846" t="str">
        <f>IFERROR(VLOOKUP($A846,koronahun!$A:$AM,21,FALSE),"")</f>
        <v/>
      </c>
      <c r="V846" s="13" t="str">
        <f>IFERROR(VLOOKUP($A846,koronahun!$A:$AM,22,FALSE),"")</f>
        <v/>
      </c>
      <c r="W846" t="str">
        <f>IFERROR(VLOOKUP($A846,koronahun!$A:$AM,23,FALSE),"")</f>
        <v/>
      </c>
      <c r="X846" t="str">
        <f>IFERROR(VLOOKUP($A846,koronahun!$A:$AM,24,FALSE),"")</f>
        <v/>
      </c>
      <c r="Y846" s="14" t="str">
        <f>IFERROR(VLOOKUP($A846,koronahun!$A:$AM,25,FALSE),"")</f>
        <v/>
      </c>
      <c r="Z846" s="14" t="str">
        <f>IFERROR(VLOOKUP($A846,koronahun!$A:$AM,26,FALSE),"")</f>
        <v/>
      </c>
      <c r="AA846" s="14" t="str">
        <f>IFERROR(VLOOKUP($A846,koronahun!$A:$AM,27,FALSE),"")</f>
        <v/>
      </c>
      <c r="AB846" s="14" t="str">
        <f>IFERROR(VLOOKUP($A846,koronahun!$A:$AM,28,FALSE),"")</f>
        <v/>
      </c>
      <c r="AC846" s="14" t="str">
        <f>IFERROR(VLOOKUP($A846,koronahun!$A:$AM,29,FALSE),"")</f>
        <v/>
      </c>
      <c r="AD846" s="14" t="str">
        <f>IFERROR(VLOOKUP($A846,koronahun!$A:$AM,30,FALSE),"")</f>
        <v/>
      </c>
      <c r="AE846" s="14" t="str">
        <f>IFERROR(VLOOKUP($A846,koronahun!$A:$AM,31,FALSE),"")</f>
        <v/>
      </c>
      <c r="AF846" s="13" t="str">
        <f>IFERROR(VLOOKUP($A846,koronahun!$A:$AM,32,FALSE),"")</f>
        <v/>
      </c>
      <c r="AG846" t="str">
        <f>IFERROR(VLOOKUP($A846,koronahun!$A:$AM,33,FALSE),"")</f>
        <v/>
      </c>
      <c r="AH846" t="str">
        <f>IFERROR(VLOOKUP($A846,koronahun!$A:$AM,34,FALSE),"")</f>
        <v/>
      </c>
      <c r="AI846" t="str">
        <f>IFERROR(VLOOKUP($A846,koronahun!$A:$AM,35,FALSE),"")</f>
        <v/>
      </c>
      <c r="AJ846" t="str">
        <f>IFERROR(VLOOKUP($A846,koronahun!$A:$AM,36,FALSE),"")</f>
        <v/>
      </c>
      <c r="AK846" t="str">
        <f>IFERROR(VLOOKUP($A846,koronahun!$A:$AM,37,FALSE),"")</f>
        <v/>
      </c>
      <c r="AL846" t="str">
        <f>IFERROR(VLOOKUP($A846,koronahun!$A:$AM,38,FALSE),"")</f>
        <v/>
      </c>
      <c r="AM846" s="14" t="str">
        <f>IFERROR(VLOOKUP($A846,koronahun!$A:$AM,39,FALSE),"")</f>
        <v/>
      </c>
      <c r="AN846" s="11">
        <f ca="1">IFERROR(__xludf.DUMMYFUNCTION("""COMPUTED_VALUE"""),44738)</f>
        <v>44738</v>
      </c>
      <c r="AO846" s="12">
        <f ca="1">IFERROR(VLOOKUP(AN846,koronahun!A:B,2,FALSE),"")</f>
        <v>0</v>
      </c>
      <c r="AP846" s="11">
        <f t="shared" ca="1" si="6"/>
        <v>44738</v>
      </c>
      <c r="AQ846" s="11"/>
      <c r="AR846" s="11"/>
      <c r="AS846" s="11"/>
      <c r="AT846" s="11"/>
    </row>
    <row r="847" spans="1:46" ht="13">
      <c r="A847" s="11"/>
      <c r="B847" t="str">
        <f>IFERROR(VLOOKUP($A847,koronahun!$A:$AM,2,FALSE),"")</f>
        <v/>
      </c>
      <c r="C847" t="str">
        <f>IFERROR(VLOOKUP($A847,koronahun!$A:$AM,3,FALSE),"")</f>
        <v/>
      </c>
      <c r="D847" t="str">
        <f>IFERROR(VLOOKUP($A847,koronahun!$A:$AM,4,FALSE),"")</f>
        <v/>
      </c>
      <c r="E847" t="str">
        <f>IFERROR(VLOOKUP($A847,koronahun!$A:$AM,5,FALSE),"")</f>
        <v/>
      </c>
      <c r="F847" t="str">
        <f>IFERROR(VLOOKUP($A847,koronahun!$A:$AM,6,FALSE),"")</f>
        <v/>
      </c>
      <c r="G847" s="12" t="str">
        <f>IFERROR(VLOOKUP($A847,koronahun!$A:$AM,7,FALSE),"")</f>
        <v/>
      </c>
      <c r="H847" t="str">
        <f>IFERROR(VLOOKUP($A847,koronahun!$A:$AM,8,FALSE),"")</f>
        <v/>
      </c>
      <c r="I847" s="13" t="str">
        <f>IFERROR(VLOOKUP($A847,koronahun!$A:$AM,9,FALSE),"")</f>
        <v/>
      </c>
      <c r="J847" s="13" t="str">
        <f>IFERROR(VLOOKUP($A847,koronahun!$A:$AM,10,FALSE),"")</f>
        <v/>
      </c>
      <c r="K847" s="13" t="str">
        <f>IFERROR(VLOOKUP($A847,koronahun!$A:$AM,11,FALSE),"")</f>
        <v/>
      </c>
      <c r="L847" t="str">
        <f>IFERROR(VLOOKUP($A847,koronahun!$A:$AM,12,FALSE),"")</f>
        <v/>
      </c>
      <c r="M847" s="13" t="str">
        <f>IFERROR(VLOOKUP($A847,koronahun!$A:$AM,13,FALSE),"")</f>
        <v/>
      </c>
      <c r="N847" s="13" t="str">
        <f>IFERROR(VLOOKUP($A847,koronahun!$A:$AM,14,FALSE),"")</f>
        <v/>
      </c>
      <c r="O847" t="str">
        <f>IFERROR(VLOOKUP($A847,koronahun!$A:$AM,15,FALSE),"")</f>
        <v/>
      </c>
      <c r="P847" t="str">
        <f>IFERROR(VLOOKUP($A847,koronahun!$A:$AM,16,FALSE),"")</f>
        <v/>
      </c>
      <c r="Q847" s="13" t="str">
        <f>IFERROR(VLOOKUP($A847,koronahun!$A:$AM,17,FALSE),"")</f>
        <v/>
      </c>
      <c r="R847" t="str">
        <f>IFERROR(VLOOKUP($A847,koronahun!$A:$AM,18,FALSE),"")</f>
        <v/>
      </c>
      <c r="S847" t="str">
        <f>IFERROR(VLOOKUP($A847,koronahun!$A:$AM,19,FALSE),"")</f>
        <v/>
      </c>
      <c r="T847" t="str">
        <f>IFERROR(VLOOKUP($A847,koronahun!$A:$AM,20,FALSE),"")</f>
        <v/>
      </c>
      <c r="U847" t="str">
        <f>IFERROR(VLOOKUP($A847,koronahun!$A:$AM,21,FALSE),"")</f>
        <v/>
      </c>
      <c r="V847" s="13" t="str">
        <f>IFERROR(VLOOKUP($A847,koronahun!$A:$AM,22,FALSE),"")</f>
        <v/>
      </c>
      <c r="W847" t="str">
        <f>IFERROR(VLOOKUP($A847,koronahun!$A:$AM,23,FALSE),"")</f>
        <v/>
      </c>
      <c r="X847" t="str">
        <f>IFERROR(VLOOKUP($A847,koronahun!$A:$AM,24,FALSE),"")</f>
        <v/>
      </c>
      <c r="Y847" s="14" t="str">
        <f>IFERROR(VLOOKUP($A847,koronahun!$A:$AM,25,FALSE),"")</f>
        <v/>
      </c>
      <c r="Z847" s="14" t="str">
        <f>IFERROR(VLOOKUP($A847,koronahun!$A:$AM,26,FALSE),"")</f>
        <v/>
      </c>
      <c r="AA847" s="14" t="str">
        <f>IFERROR(VLOOKUP($A847,koronahun!$A:$AM,27,FALSE),"")</f>
        <v/>
      </c>
      <c r="AB847" s="14" t="str">
        <f>IFERROR(VLOOKUP($A847,koronahun!$A:$AM,28,FALSE),"")</f>
        <v/>
      </c>
      <c r="AC847" s="14" t="str">
        <f>IFERROR(VLOOKUP($A847,koronahun!$A:$AM,29,FALSE),"")</f>
        <v/>
      </c>
      <c r="AD847" s="14" t="str">
        <f>IFERROR(VLOOKUP($A847,koronahun!$A:$AM,30,FALSE),"")</f>
        <v/>
      </c>
      <c r="AE847" s="14" t="str">
        <f>IFERROR(VLOOKUP($A847,koronahun!$A:$AM,31,FALSE),"")</f>
        <v/>
      </c>
      <c r="AF847" s="13" t="str">
        <f>IFERROR(VLOOKUP($A847,koronahun!$A:$AM,32,FALSE),"")</f>
        <v/>
      </c>
      <c r="AG847" t="str">
        <f>IFERROR(VLOOKUP($A847,koronahun!$A:$AM,33,FALSE),"")</f>
        <v/>
      </c>
      <c r="AH847" t="str">
        <f>IFERROR(VLOOKUP($A847,koronahun!$A:$AM,34,FALSE),"")</f>
        <v/>
      </c>
      <c r="AI847" t="str">
        <f>IFERROR(VLOOKUP($A847,koronahun!$A:$AM,35,FALSE),"")</f>
        <v/>
      </c>
      <c r="AJ847" t="str">
        <f>IFERROR(VLOOKUP($A847,koronahun!$A:$AM,36,FALSE),"")</f>
        <v/>
      </c>
      <c r="AK847" t="str">
        <f>IFERROR(VLOOKUP($A847,koronahun!$A:$AM,37,FALSE),"")</f>
        <v/>
      </c>
      <c r="AL847" t="str">
        <f>IFERROR(VLOOKUP($A847,koronahun!$A:$AM,38,FALSE),"")</f>
        <v/>
      </c>
      <c r="AM847" s="14" t="str">
        <f>IFERROR(VLOOKUP($A847,koronahun!$A:$AM,39,FALSE),"")</f>
        <v/>
      </c>
      <c r="AN847" s="11">
        <f ca="1">IFERROR(__xludf.DUMMYFUNCTION("""COMPUTED_VALUE"""),44739)</f>
        <v>44739</v>
      </c>
      <c r="AO847" s="12">
        <f ca="1">IFERROR(VLOOKUP(AN847,koronahun!A:B,2,FALSE),"")</f>
        <v>0</v>
      </c>
      <c r="AP847" s="11">
        <f t="shared" ca="1" si="6"/>
        <v>44739</v>
      </c>
      <c r="AQ847" s="11"/>
      <c r="AR847" s="11"/>
      <c r="AS847" s="11"/>
      <c r="AT847" s="11"/>
    </row>
    <row r="848" spans="1:46" ht="13">
      <c r="A848" s="11"/>
      <c r="B848" t="str">
        <f>IFERROR(VLOOKUP($A848,koronahun!$A:$AM,2,FALSE),"")</f>
        <v/>
      </c>
      <c r="C848" t="str">
        <f>IFERROR(VLOOKUP($A848,koronahun!$A:$AM,3,FALSE),"")</f>
        <v/>
      </c>
      <c r="D848" t="str">
        <f>IFERROR(VLOOKUP($A848,koronahun!$A:$AM,4,FALSE),"")</f>
        <v/>
      </c>
      <c r="E848" t="str">
        <f>IFERROR(VLOOKUP($A848,koronahun!$A:$AM,5,FALSE),"")</f>
        <v/>
      </c>
      <c r="F848" t="str">
        <f>IFERROR(VLOOKUP($A848,koronahun!$A:$AM,6,FALSE),"")</f>
        <v/>
      </c>
      <c r="G848" s="12" t="str">
        <f>IFERROR(VLOOKUP($A848,koronahun!$A:$AM,7,FALSE),"")</f>
        <v/>
      </c>
      <c r="H848" t="str">
        <f>IFERROR(VLOOKUP($A848,koronahun!$A:$AM,8,FALSE),"")</f>
        <v/>
      </c>
      <c r="I848" s="13" t="str">
        <f>IFERROR(VLOOKUP($A848,koronahun!$A:$AM,9,FALSE),"")</f>
        <v/>
      </c>
      <c r="J848" s="13" t="str">
        <f>IFERROR(VLOOKUP($A848,koronahun!$A:$AM,10,FALSE),"")</f>
        <v/>
      </c>
      <c r="K848" s="13" t="str">
        <f>IFERROR(VLOOKUP($A848,koronahun!$A:$AM,11,FALSE),"")</f>
        <v/>
      </c>
      <c r="L848" t="str">
        <f>IFERROR(VLOOKUP($A848,koronahun!$A:$AM,12,FALSE),"")</f>
        <v/>
      </c>
      <c r="M848" s="13" t="str">
        <f>IFERROR(VLOOKUP($A848,koronahun!$A:$AM,13,FALSE),"")</f>
        <v/>
      </c>
      <c r="N848" s="13" t="str">
        <f>IFERROR(VLOOKUP($A848,koronahun!$A:$AM,14,FALSE),"")</f>
        <v/>
      </c>
      <c r="O848" t="str">
        <f>IFERROR(VLOOKUP($A848,koronahun!$A:$AM,15,FALSE),"")</f>
        <v/>
      </c>
      <c r="P848" t="str">
        <f>IFERROR(VLOOKUP($A848,koronahun!$A:$AM,16,FALSE),"")</f>
        <v/>
      </c>
      <c r="Q848" s="13" t="str">
        <f>IFERROR(VLOOKUP($A848,koronahun!$A:$AM,17,FALSE),"")</f>
        <v/>
      </c>
      <c r="R848" t="str">
        <f>IFERROR(VLOOKUP($A848,koronahun!$A:$AM,18,FALSE),"")</f>
        <v/>
      </c>
      <c r="S848" t="str">
        <f>IFERROR(VLOOKUP($A848,koronahun!$A:$AM,19,FALSE),"")</f>
        <v/>
      </c>
      <c r="T848" t="str">
        <f>IFERROR(VLOOKUP($A848,koronahun!$A:$AM,20,FALSE),"")</f>
        <v/>
      </c>
      <c r="U848" t="str">
        <f>IFERROR(VLOOKUP($A848,koronahun!$A:$AM,21,FALSE),"")</f>
        <v/>
      </c>
      <c r="V848" s="13" t="str">
        <f>IFERROR(VLOOKUP($A848,koronahun!$A:$AM,22,FALSE),"")</f>
        <v/>
      </c>
      <c r="W848" t="str">
        <f>IFERROR(VLOOKUP($A848,koronahun!$A:$AM,23,FALSE),"")</f>
        <v/>
      </c>
      <c r="X848" t="str">
        <f>IFERROR(VLOOKUP($A848,koronahun!$A:$AM,24,FALSE),"")</f>
        <v/>
      </c>
      <c r="Y848" s="14" t="str">
        <f>IFERROR(VLOOKUP($A848,koronahun!$A:$AM,25,FALSE),"")</f>
        <v/>
      </c>
      <c r="Z848" s="14" t="str">
        <f>IFERROR(VLOOKUP($A848,koronahun!$A:$AM,26,FALSE),"")</f>
        <v/>
      </c>
      <c r="AA848" s="14" t="str">
        <f>IFERROR(VLOOKUP($A848,koronahun!$A:$AM,27,FALSE),"")</f>
        <v/>
      </c>
      <c r="AB848" s="14" t="str">
        <f>IFERROR(VLOOKUP($A848,koronahun!$A:$AM,28,FALSE),"")</f>
        <v/>
      </c>
      <c r="AC848" s="14" t="str">
        <f>IFERROR(VLOOKUP($A848,koronahun!$A:$AM,29,FALSE),"")</f>
        <v/>
      </c>
      <c r="AD848" s="14" t="str">
        <f>IFERROR(VLOOKUP($A848,koronahun!$A:$AM,30,FALSE),"")</f>
        <v/>
      </c>
      <c r="AE848" s="14" t="str">
        <f>IFERROR(VLOOKUP($A848,koronahun!$A:$AM,31,FALSE),"")</f>
        <v/>
      </c>
      <c r="AF848" s="13" t="str">
        <f>IFERROR(VLOOKUP($A848,koronahun!$A:$AM,32,FALSE),"")</f>
        <v/>
      </c>
      <c r="AG848" t="str">
        <f>IFERROR(VLOOKUP($A848,koronahun!$A:$AM,33,FALSE),"")</f>
        <v/>
      </c>
      <c r="AH848" t="str">
        <f>IFERROR(VLOOKUP($A848,koronahun!$A:$AM,34,FALSE),"")</f>
        <v/>
      </c>
      <c r="AI848" t="str">
        <f>IFERROR(VLOOKUP($A848,koronahun!$A:$AM,35,FALSE),"")</f>
        <v/>
      </c>
      <c r="AJ848" t="str">
        <f>IFERROR(VLOOKUP($A848,koronahun!$A:$AM,36,FALSE),"")</f>
        <v/>
      </c>
      <c r="AK848" t="str">
        <f>IFERROR(VLOOKUP($A848,koronahun!$A:$AM,37,FALSE),"")</f>
        <v/>
      </c>
      <c r="AL848" t="str">
        <f>IFERROR(VLOOKUP($A848,koronahun!$A:$AM,38,FALSE),"")</f>
        <v/>
      </c>
      <c r="AM848" s="14" t="str">
        <f>IFERROR(VLOOKUP($A848,koronahun!$A:$AM,39,FALSE),"")</f>
        <v/>
      </c>
      <c r="AN848" s="11">
        <f ca="1">IFERROR(__xludf.DUMMYFUNCTION("""COMPUTED_VALUE"""),44740)</f>
        <v>44740</v>
      </c>
      <c r="AO848" s="12">
        <f ca="1">IFERROR(VLOOKUP(AN848,koronahun!A:B,2,FALSE),"")</f>
        <v>0</v>
      </c>
      <c r="AP848" s="11">
        <f t="shared" ca="1" si="6"/>
        <v>44740</v>
      </c>
      <c r="AQ848" s="11"/>
      <c r="AR848" s="11"/>
      <c r="AS848" s="11"/>
      <c r="AT848" s="11"/>
    </row>
    <row r="849" spans="1:46" ht="13">
      <c r="A849" s="11"/>
      <c r="B849" t="str">
        <f>IFERROR(VLOOKUP($A849,koronahun!$A:$AM,2,FALSE),"")</f>
        <v/>
      </c>
      <c r="C849" t="str">
        <f>IFERROR(VLOOKUP($A849,koronahun!$A:$AM,3,FALSE),"")</f>
        <v/>
      </c>
      <c r="D849" t="str">
        <f>IFERROR(VLOOKUP($A849,koronahun!$A:$AM,4,FALSE),"")</f>
        <v/>
      </c>
      <c r="E849" t="str">
        <f>IFERROR(VLOOKUP($A849,koronahun!$A:$AM,5,FALSE),"")</f>
        <v/>
      </c>
      <c r="F849" t="str">
        <f>IFERROR(VLOOKUP($A849,koronahun!$A:$AM,6,FALSE),"")</f>
        <v/>
      </c>
      <c r="G849" s="12" t="str">
        <f>IFERROR(VLOOKUP($A849,koronahun!$A:$AM,7,FALSE),"")</f>
        <v/>
      </c>
      <c r="H849" t="str">
        <f>IFERROR(VLOOKUP($A849,koronahun!$A:$AM,8,FALSE),"")</f>
        <v/>
      </c>
      <c r="I849" s="13" t="str">
        <f>IFERROR(VLOOKUP($A849,koronahun!$A:$AM,9,FALSE),"")</f>
        <v/>
      </c>
      <c r="J849" s="13" t="str">
        <f>IFERROR(VLOOKUP($A849,koronahun!$A:$AM,10,FALSE),"")</f>
        <v/>
      </c>
      <c r="K849" s="13" t="str">
        <f>IFERROR(VLOOKUP($A849,koronahun!$A:$AM,11,FALSE),"")</f>
        <v/>
      </c>
      <c r="L849" t="str">
        <f>IFERROR(VLOOKUP($A849,koronahun!$A:$AM,12,FALSE),"")</f>
        <v/>
      </c>
      <c r="M849" s="13" t="str">
        <f>IFERROR(VLOOKUP($A849,koronahun!$A:$AM,13,FALSE),"")</f>
        <v/>
      </c>
      <c r="N849" s="13" t="str">
        <f>IFERROR(VLOOKUP($A849,koronahun!$A:$AM,14,FALSE),"")</f>
        <v/>
      </c>
      <c r="O849" t="str">
        <f>IFERROR(VLOOKUP($A849,koronahun!$A:$AM,15,FALSE),"")</f>
        <v/>
      </c>
      <c r="P849" t="str">
        <f>IFERROR(VLOOKUP($A849,koronahun!$A:$AM,16,FALSE),"")</f>
        <v/>
      </c>
      <c r="Q849" s="13" t="str">
        <f>IFERROR(VLOOKUP($A849,koronahun!$A:$AM,17,FALSE),"")</f>
        <v/>
      </c>
      <c r="R849" t="str">
        <f>IFERROR(VLOOKUP($A849,koronahun!$A:$AM,18,FALSE),"")</f>
        <v/>
      </c>
      <c r="S849" t="str">
        <f>IFERROR(VLOOKUP($A849,koronahun!$A:$AM,19,FALSE),"")</f>
        <v/>
      </c>
      <c r="T849" t="str">
        <f>IFERROR(VLOOKUP($A849,koronahun!$A:$AM,20,FALSE),"")</f>
        <v/>
      </c>
      <c r="U849" t="str">
        <f>IFERROR(VLOOKUP($A849,koronahun!$A:$AM,21,FALSE),"")</f>
        <v/>
      </c>
      <c r="V849" s="13" t="str">
        <f>IFERROR(VLOOKUP($A849,koronahun!$A:$AM,22,FALSE),"")</f>
        <v/>
      </c>
      <c r="W849" t="str">
        <f>IFERROR(VLOOKUP($A849,koronahun!$A:$AM,23,FALSE),"")</f>
        <v/>
      </c>
      <c r="X849" t="str">
        <f>IFERROR(VLOOKUP($A849,koronahun!$A:$AM,24,FALSE),"")</f>
        <v/>
      </c>
      <c r="Y849" s="14" t="str">
        <f>IFERROR(VLOOKUP($A849,koronahun!$A:$AM,25,FALSE),"")</f>
        <v/>
      </c>
      <c r="Z849" s="14" t="str">
        <f>IFERROR(VLOOKUP($A849,koronahun!$A:$AM,26,FALSE),"")</f>
        <v/>
      </c>
      <c r="AA849" s="14" t="str">
        <f>IFERROR(VLOOKUP($A849,koronahun!$A:$AM,27,FALSE),"")</f>
        <v/>
      </c>
      <c r="AB849" s="14" t="str">
        <f>IFERROR(VLOOKUP($A849,koronahun!$A:$AM,28,FALSE),"")</f>
        <v/>
      </c>
      <c r="AC849" s="14" t="str">
        <f>IFERROR(VLOOKUP($A849,koronahun!$A:$AM,29,FALSE),"")</f>
        <v/>
      </c>
      <c r="AD849" s="14" t="str">
        <f>IFERROR(VLOOKUP($A849,koronahun!$A:$AM,30,FALSE),"")</f>
        <v/>
      </c>
      <c r="AE849" s="14" t="str">
        <f>IFERROR(VLOOKUP($A849,koronahun!$A:$AM,31,FALSE),"")</f>
        <v/>
      </c>
      <c r="AF849" s="13" t="str">
        <f>IFERROR(VLOOKUP($A849,koronahun!$A:$AM,32,FALSE),"")</f>
        <v/>
      </c>
      <c r="AG849" t="str">
        <f>IFERROR(VLOOKUP($A849,koronahun!$A:$AM,33,FALSE),"")</f>
        <v/>
      </c>
      <c r="AH849" t="str">
        <f>IFERROR(VLOOKUP($A849,koronahun!$A:$AM,34,FALSE),"")</f>
        <v/>
      </c>
      <c r="AI849" t="str">
        <f>IFERROR(VLOOKUP($A849,koronahun!$A:$AM,35,FALSE),"")</f>
        <v/>
      </c>
      <c r="AJ849" t="str">
        <f>IFERROR(VLOOKUP($A849,koronahun!$A:$AM,36,FALSE),"")</f>
        <v/>
      </c>
      <c r="AK849" t="str">
        <f>IFERROR(VLOOKUP($A849,koronahun!$A:$AM,37,FALSE),"")</f>
        <v/>
      </c>
      <c r="AL849" t="str">
        <f>IFERROR(VLOOKUP($A849,koronahun!$A:$AM,38,FALSE),"")</f>
        <v/>
      </c>
      <c r="AM849" s="14" t="str">
        <f>IFERROR(VLOOKUP($A849,koronahun!$A:$AM,39,FALSE),"")</f>
        <v/>
      </c>
      <c r="AN849" s="11">
        <f ca="1">IFERROR(__xludf.DUMMYFUNCTION("""COMPUTED_VALUE"""),44741)</f>
        <v>44741</v>
      </c>
      <c r="AO849" s="12">
        <f ca="1">IFERROR(VLOOKUP(AN849,koronahun!A:B,2,FALSE),"")</f>
        <v>1928125</v>
      </c>
      <c r="AP849" s="11">
        <f t="shared" ca="1" si="6"/>
        <v>44741</v>
      </c>
      <c r="AQ849" s="11"/>
      <c r="AR849" s="11"/>
      <c r="AS849" s="11"/>
      <c r="AT849" s="11"/>
    </row>
    <row r="850" spans="1:46" ht="13">
      <c r="A850" s="11"/>
      <c r="B850" t="str">
        <f>IFERROR(VLOOKUP($A850,koronahun!$A:$AM,2,FALSE),"")</f>
        <v/>
      </c>
      <c r="C850" t="str">
        <f>IFERROR(VLOOKUP($A850,koronahun!$A:$AM,3,FALSE),"")</f>
        <v/>
      </c>
      <c r="D850" t="str">
        <f>IFERROR(VLOOKUP($A850,koronahun!$A:$AM,4,FALSE),"")</f>
        <v/>
      </c>
      <c r="E850" t="str">
        <f>IFERROR(VLOOKUP($A850,koronahun!$A:$AM,5,FALSE),"")</f>
        <v/>
      </c>
      <c r="F850" t="str">
        <f>IFERROR(VLOOKUP($A850,koronahun!$A:$AM,6,FALSE),"")</f>
        <v/>
      </c>
      <c r="G850" s="12" t="str">
        <f>IFERROR(VLOOKUP($A850,koronahun!$A:$AM,7,FALSE),"")</f>
        <v/>
      </c>
      <c r="H850" t="str">
        <f>IFERROR(VLOOKUP($A850,koronahun!$A:$AM,8,FALSE),"")</f>
        <v/>
      </c>
      <c r="I850" s="13" t="str">
        <f>IFERROR(VLOOKUP($A850,koronahun!$A:$AM,9,FALSE),"")</f>
        <v/>
      </c>
      <c r="J850" s="13" t="str">
        <f>IFERROR(VLOOKUP($A850,koronahun!$A:$AM,10,FALSE),"")</f>
        <v/>
      </c>
      <c r="K850" s="13" t="str">
        <f>IFERROR(VLOOKUP($A850,koronahun!$A:$AM,11,FALSE),"")</f>
        <v/>
      </c>
      <c r="L850" t="str">
        <f>IFERROR(VLOOKUP($A850,koronahun!$A:$AM,12,FALSE),"")</f>
        <v/>
      </c>
      <c r="M850" s="13" t="str">
        <f>IFERROR(VLOOKUP($A850,koronahun!$A:$AM,13,FALSE),"")</f>
        <v/>
      </c>
      <c r="N850" s="13" t="str">
        <f>IFERROR(VLOOKUP($A850,koronahun!$A:$AM,14,FALSE),"")</f>
        <v/>
      </c>
      <c r="O850" t="str">
        <f>IFERROR(VLOOKUP($A850,koronahun!$A:$AM,15,FALSE),"")</f>
        <v/>
      </c>
      <c r="P850" t="str">
        <f>IFERROR(VLOOKUP($A850,koronahun!$A:$AM,16,FALSE),"")</f>
        <v/>
      </c>
      <c r="Q850" s="13" t="str">
        <f>IFERROR(VLOOKUP($A850,koronahun!$A:$AM,17,FALSE),"")</f>
        <v/>
      </c>
      <c r="R850" t="str">
        <f>IFERROR(VLOOKUP($A850,koronahun!$A:$AM,18,FALSE),"")</f>
        <v/>
      </c>
      <c r="S850" t="str">
        <f>IFERROR(VLOOKUP($A850,koronahun!$A:$AM,19,FALSE),"")</f>
        <v/>
      </c>
      <c r="T850" t="str">
        <f>IFERROR(VLOOKUP($A850,koronahun!$A:$AM,20,FALSE),"")</f>
        <v/>
      </c>
      <c r="U850" t="str">
        <f>IFERROR(VLOOKUP($A850,koronahun!$A:$AM,21,FALSE),"")</f>
        <v/>
      </c>
      <c r="V850" s="13" t="str">
        <f>IFERROR(VLOOKUP($A850,koronahun!$A:$AM,22,FALSE),"")</f>
        <v/>
      </c>
      <c r="W850" t="str">
        <f>IFERROR(VLOOKUP($A850,koronahun!$A:$AM,23,FALSE),"")</f>
        <v/>
      </c>
      <c r="X850" t="str">
        <f>IFERROR(VLOOKUP($A850,koronahun!$A:$AM,24,FALSE),"")</f>
        <v/>
      </c>
      <c r="Y850" s="14" t="str">
        <f>IFERROR(VLOOKUP($A850,koronahun!$A:$AM,25,FALSE),"")</f>
        <v/>
      </c>
      <c r="Z850" s="14" t="str">
        <f>IFERROR(VLOOKUP($A850,koronahun!$A:$AM,26,FALSE),"")</f>
        <v/>
      </c>
      <c r="AA850" s="14" t="str">
        <f>IFERROR(VLOOKUP($A850,koronahun!$A:$AM,27,FALSE),"")</f>
        <v/>
      </c>
      <c r="AB850" s="14" t="str">
        <f>IFERROR(VLOOKUP($A850,koronahun!$A:$AM,28,FALSE),"")</f>
        <v/>
      </c>
      <c r="AC850" s="14" t="str">
        <f>IFERROR(VLOOKUP($A850,koronahun!$A:$AM,29,FALSE),"")</f>
        <v/>
      </c>
      <c r="AD850" s="14" t="str">
        <f>IFERROR(VLOOKUP($A850,koronahun!$A:$AM,30,FALSE),"")</f>
        <v/>
      </c>
      <c r="AE850" s="14" t="str">
        <f>IFERROR(VLOOKUP($A850,koronahun!$A:$AM,31,FALSE),"")</f>
        <v/>
      </c>
      <c r="AF850" s="13" t="str">
        <f>IFERROR(VLOOKUP($A850,koronahun!$A:$AM,32,FALSE),"")</f>
        <v/>
      </c>
      <c r="AG850" t="str">
        <f>IFERROR(VLOOKUP($A850,koronahun!$A:$AM,33,FALSE),"")</f>
        <v/>
      </c>
      <c r="AH850" t="str">
        <f>IFERROR(VLOOKUP($A850,koronahun!$A:$AM,34,FALSE),"")</f>
        <v/>
      </c>
      <c r="AI850" t="str">
        <f>IFERROR(VLOOKUP($A850,koronahun!$A:$AM,35,FALSE),"")</f>
        <v/>
      </c>
      <c r="AJ850" t="str">
        <f>IFERROR(VLOOKUP($A850,koronahun!$A:$AM,36,FALSE),"")</f>
        <v/>
      </c>
      <c r="AK850" t="str">
        <f>IFERROR(VLOOKUP($A850,koronahun!$A:$AM,37,FALSE),"")</f>
        <v/>
      </c>
      <c r="AL850" t="str">
        <f>IFERROR(VLOOKUP($A850,koronahun!$A:$AM,38,FALSE),"")</f>
        <v/>
      </c>
      <c r="AM850" s="14" t="str">
        <f>IFERROR(VLOOKUP($A850,koronahun!$A:$AM,39,FALSE),"")</f>
        <v/>
      </c>
      <c r="AN850" s="11">
        <f ca="1">IFERROR(__xludf.DUMMYFUNCTION("""COMPUTED_VALUE"""),44742)</f>
        <v>44742</v>
      </c>
      <c r="AO850" s="12">
        <f ca="1">IFERROR(VLOOKUP(AN850,koronahun!A:B,2,FALSE),"")</f>
        <v>0</v>
      </c>
      <c r="AP850" s="11">
        <f t="shared" ca="1" si="6"/>
        <v>44742</v>
      </c>
      <c r="AQ850" s="11"/>
      <c r="AR850" s="11"/>
      <c r="AS850" s="11"/>
      <c r="AT850" s="11"/>
    </row>
    <row r="851" spans="1:46" ht="13">
      <c r="A851" s="11"/>
      <c r="B851" t="str">
        <f>IFERROR(VLOOKUP($A851,koronahun!$A:$AM,2,FALSE),"")</f>
        <v/>
      </c>
      <c r="C851" t="str">
        <f>IFERROR(VLOOKUP($A851,koronahun!$A:$AM,3,FALSE),"")</f>
        <v/>
      </c>
      <c r="D851" t="str">
        <f>IFERROR(VLOOKUP($A851,koronahun!$A:$AM,4,FALSE),"")</f>
        <v/>
      </c>
      <c r="E851" t="str">
        <f>IFERROR(VLOOKUP($A851,koronahun!$A:$AM,5,FALSE),"")</f>
        <v/>
      </c>
      <c r="F851" t="str">
        <f>IFERROR(VLOOKUP($A851,koronahun!$A:$AM,6,FALSE),"")</f>
        <v/>
      </c>
      <c r="G851" s="12" t="str">
        <f>IFERROR(VLOOKUP($A851,koronahun!$A:$AM,7,FALSE),"")</f>
        <v/>
      </c>
      <c r="H851" t="str">
        <f>IFERROR(VLOOKUP($A851,koronahun!$A:$AM,8,FALSE),"")</f>
        <v/>
      </c>
      <c r="I851" s="13" t="str">
        <f>IFERROR(VLOOKUP($A851,koronahun!$A:$AM,9,FALSE),"")</f>
        <v/>
      </c>
      <c r="J851" s="13" t="str">
        <f>IFERROR(VLOOKUP($A851,koronahun!$A:$AM,10,FALSE),"")</f>
        <v/>
      </c>
      <c r="K851" s="13" t="str">
        <f>IFERROR(VLOOKUP($A851,koronahun!$A:$AM,11,FALSE),"")</f>
        <v/>
      </c>
      <c r="L851" t="str">
        <f>IFERROR(VLOOKUP($A851,koronahun!$A:$AM,12,FALSE),"")</f>
        <v/>
      </c>
      <c r="M851" s="13" t="str">
        <f>IFERROR(VLOOKUP($A851,koronahun!$A:$AM,13,FALSE),"")</f>
        <v/>
      </c>
      <c r="N851" s="13" t="str">
        <f>IFERROR(VLOOKUP($A851,koronahun!$A:$AM,14,FALSE),"")</f>
        <v/>
      </c>
      <c r="O851" t="str">
        <f>IFERROR(VLOOKUP($A851,koronahun!$A:$AM,15,FALSE),"")</f>
        <v/>
      </c>
      <c r="P851" t="str">
        <f>IFERROR(VLOOKUP($A851,koronahun!$A:$AM,16,FALSE),"")</f>
        <v/>
      </c>
      <c r="Q851" s="13" t="str">
        <f>IFERROR(VLOOKUP($A851,koronahun!$A:$AM,17,FALSE),"")</f>
        <v/>
      </c>
      <c r="R851" t="str">
        <f>IFERROR(VLOOKUP($A851,koronahun!$A:$AM,18,FALSE),"")</f>
        <v/>
      </c>
      <c r="S851" t="str">
        <f>IFERROR(VLOOKUP($A851,koronahun!$A:$AM,19,FALSE),"")</f>
        <v/>
      </c>
      <c r="T851" t="str">
        <f>IFERROR(VLOOKUP($A851,koronahun!$A:$AM,20,FALSE),"")</f>
        <v/>
      </c>
      <c r="U851" t="str">
        <f>IFERROR(VLOOKUP($A851,koronahun!$A:$AM,21,FALSE),"")</f>
        <v/>
      </c>
      <c r="V851" s="13" t="str">
        <f>IFERROR(VLOOKUP($A851,koronahun!$A:$AM,22,FALSE),"")</f>
        <v/>
      </c>
      <c r="W851" t="str">
        <f>IFERROR(VLOOKUP($A851,koronahun!$A:$AM,23,FALSE),"")</f>
        <v/>
      </c>
      <c r="X851" t="str">
        <f>IFERROR(VLOOKUP($A851,koronahun!$A:$AM,24,FALSE),"")</f>
        <v/>
      </c>
      <c r="Y851" s="14" t="str">
        <f>IFERROR(VLOOKUP($A851,koronahun!$A:$AM,25,FALSE),"")</f>
        <v/>
      </c>
      <c r="Z851" s="14" t="str">
        <f>IFERROR(VLOOKUP($A851,koronahun!$A:$AM,26,FALSE),"")</f>
        <v/>
      </c>
      <c r="AA851" s="14" t="str">
        <f>IFERROR(VLOOKUP($A851,koronahun!$A:$AM,27,FALSE),"")</f>
        <v/>
      </c>
      <c r="AB851" s="14" t="str">
        <f>IFERROR(VLOOKUP($A851,koronahun!$A:$AM,28,FALSE),"")</f>
        <v/>
      </c>
      <c r="AC851" s="14" t="str">
        <f>IFERROR(VLOOKUP($A851,koronahun!$A:$AM,29,FALSE),"")</f>
        <v/>
      </c>
      <c r="AD851" s="14" t="str">
        <f>IFERROR(VLOOKUP($A851,koronahun!$A:$AM,30,FALSE),"")</f>
        <v/>
      </c>
      <c r="AE851" s="14" t="str">
        <f>IFERROR(VLOOKUP($A851,koronahun!$A:$AM,31,FALSE),"")</f>
        <v/>
      </c>
      <c r="AF851" s="13" t="str">
        <f>IFERROR(VLOOKUP($A851,koronahun!$A:$AM,32,FALSE),"")</f>
        <v/>
      </c>
      <c r="AG851" t="str">
        <f>IFERROR(VLOOKUP($A851,koronahun!$A:$AM,33,FALSE),"")</f>
        <v/>
      </c>
      <c r="AH851" t="str">
        <f>IFERROR(VLOOKUP($A851,koronahun!$A:$AM,34,FALSE),"")</f>
        <v/>
      </c>
      <c r="AI851" t="str">
        <f>IFERROR(VLOOKUP($A851,koronahun!$A:$AM,35,FALSE),"")</f>
        <v/>
      </c>
      <c r="AJ851" t="str">
        <f>IFERROR(VLOOKUP($A851,koronahun!$A:$AM,36,FALSE),"")</f>
        <v/>
      </c>
      <c r="AK851" t="str">
        <f>IFERROR(VLOOKUP($A851,koronahun!$A:$AM,37,FALSE),"")</f>
        <v/>
      </c>
      <c r="AL851" t="str">
        <f>IFERROR(VLOOKUP($A851,koronahun!$A:$AM,38,FALSE),"")</f>
        <v/>
      </c>
      <c r="AM851" s="14" t="str">
        <f>IFERROR(VLOOKUP($A851,koronahun!$A:$AM,39,FALSE),"")</f>
        <v/>
      </c>
      <c r="AN851" s="11">
        <f ca="1">IFERROR(__xludf.DUMMYFUNCTION("""COMPUTED_VALUE"""),44743)</f>
        <v>44743</v>
      </c>
      <c r="AO851" s="12">
        <f ca="1">IFERROR(VLOOKUP(AN851,koronahun!A:B,2,FALSE),"")</f>
        <v>0</v>
      </c>
      <c r="AP851" s="11">
        <f t="shared" ca="1" si="6"/>
        <v>44743</v>
      </c>
      <c r="AQ851" s="11"/>
      <c r="AR851" s="11"/>
      <c r="AS851" s="11"/>
      <c r="AT851" s="11"/>
    </row>
    <row r="852" spans="1:46" ht="13">
      <c r="A852" s="11"/>
      <c r="B852" t="str">
        <f>IFERROR(VLOOKUP($A852,koronahun!$A:$AM,2,FALSE),"")</f>
        <v/>
      </c>
      <c r="C852" t="str">
        <f>IFERROR(VLOOKUP($A852,koronahun!$A:$AM,3,FALSE),"")</f>
        <v/>
      </c>
      <c r="D852" t="str">
        <f>IFERROR(VLOOKUP($A852,koronahun!$A:$AM,4,FALSE),"")</f>
        <v/>
      </c>
      <c r="E852" t="str">
        <f>IFERROR(VLOOKUP($A852,koronahun!$A:$AM,5,FALSE),"")</f>
        <v/>
      </c>
      <c r="F852" t="str">
        <f>IFERROR(VLOOKUP($A852,koronahun!$A:$AM,6,FALSE),"")</f>
        <v/>
      </c>
      <c r="G852" s="12" t="str">
        <f>IFERROR(VLOOKUP($A852,koronahun!$A:$AM,7,FALSE),"")</f>
        <v/>
      </c>
      <c r="H852" t="str">
        <f>IFERROR(VLOOKUP($A852,koronahun!$A:$AM,8,FALSE),"")</f>
        <v/>
      </c>
      <c r="I852" s="13" t="str">
        <f>IFERROR(VLOOKUP($A852,koronahun!$A:$AM,9,FALSE),"")</f>
        <v/>
      </c>
      <c r="J852" s="13" t="str">
        <f>IFERROR(VLOOKUP($A852,koronahun!$A:$AM,10,FALSE),"")</f>
        <v/>
      </c>
      <c r="K852" s="13" t="str">
        <f>IFERROR(VLOOKUP($A852,koronahun!$A:$AM,11,FALSE),"")</f>
        <v/>
      </c>
      <c r="L852" t="str">
        <f>IFERROR(VLOOKUP($A852,koronahun!$A:$AM,12,FALSE),"")</f>
        <v/>
      </c>
      <c r="M852" s="13" t="str">
        <f>IFERROR(VLOOKUP($A852,koronahun!$A:$AM,13,FALSE),"")</f>
        <v/>
      </c>
      <c r="N852" s="13" t="str">
        <f>IFERROR(VLOOKUP($A852,koronahun!$A:$AM,14,FALSE),"")</f>
        <v/>
      </c>
      <c r="O852" t="str">
        <f>IFERROR(VLOOKUP($A852,koronahun!$A:$AM,15,FALSE),"")</f>
        <v/>
      </c>
      <c r="P852" t="str">
        <f>IFERROR(VLOOKUP($A852,koronahun!$A:$AM,16,FALSE),"")</f>
        <v/>
      </c>
      <c r="Q852" s="13" t="str">
        <f>IFERROR(VLOOKUP($A852,koronahun!$A:$AM,17,FALSE),"")</f>
        <v/>
      </c>
      <c r="R852" t="str">
        <f>IFERROR(VLOOKUP($A852,koronahun!$A:$AM,18,FALSE),"")</f>
        <v/>
      </c>
      <c r="S852" t="str">
        <f>IFERROR(VLOOKUP($A852,koronahun!$A:$AM,19,FALSE),"")</f>
        <v/>
      </c>
      <c r="T852" t="str">
        <f>IFERROR(VLOOKUP($A852,koronahun!$A:$AM,20,FALSE),"")</f>
        <v/>
      </c>
      <c r="U852" t="str">
        <f>IFERROR(VLOOKUP($A852,koronahun!$A:$AM,21,FALSE),"")</f>
        <v/>
      </c>
      <c r="V852" s="13" t="str">
        <f>IFERROR(VLOOKUP($A852,koronahun!$A:$AM,22,FALSE),"")</f>
        <v/>
      </c>
      <c r="W852" t="str">
        <f>IFERROR(VLOOKUP($A852,koronahun!$A:$AM,23,FALSE),"")</f>
        <v/>
      </c>
      <c r="X852" t="str">
        <f>IFERROR(VLOOKUP($A852,koronahun!$A:$AM,24,FALSE),"")</f>
        <v/>
      </c>
      <c r="Y852" s="14" t="str">
        <f>IFERROR(VLOOKUP($A852,koronahun!$A:$AM,25,FALSE),"")</f>
        <v/>
      </c>
      <c r="Z852" s="14" t="str">
        <f>IFERROR(VLOOKUP($A852,koronahun!$A:$AM,26,FALSE),"")</f>
        <v/>
      </c>
      <c r="AA852" s="14" t="str">
        <f>IFERROR(VLOOKUP($A852,koronahun!$A:$AM,27,FALSE),"")</f>
        <v/>
      </c>
      <c r="AB852" s="14" t="str">
        <f>IFERROR(VLOOKUP($A852,koronahun!$A:$AM,28,FALSE),"")</f>
        <v/>
      </c>
      <c r="AC852" s="14" t="str">
        <f>IFERROR(VLOOKUP($A852,koronahun!$A:$AM,29,FALSE),"")</f>
        <v/>
      </c>
      <c r="AD852" s="14" t="str">
        <f>IFERROR(VLOOKUP($A852,koronahun!$A:$AM,30,FALSE),"")</f>
        <v/>
      </c>
      <c r="AE852" s="14" t="str">
        <f>IFERROR(VLOOKUP($A852,koronahun!$A:$AM,31,FALSE),"")</f>
        <v/>
      </c>
      <c r="AF852" s="13" t="str">
        <f>IFERROR(VLOOKUP($A852,koronahun!$A:$AM,32,FALSE),"")</f>
        <v/>
      </c>
      <c r="AG852" t="str">
        <f>IFERROR(VLOOKUP($A852,koronahun!$A:$AM,33,FALSE),"")</f>
        <v/>
      </c>
      <c r="AH852" t="str">
        <f>IFERROR(VLOOKUP($A852,koronahun!$A:$AM,34,FALSE),"")</f>
        <v/>
      </c>
      <c r="AI852" t="str">
        <f>IFERROR(VLOOKUP($A852,koronahun!$A:$AM,35,FALSE),"")</f>
        <v/>
      </c>
      <c r="AJ852" t="str">
        <f>IFERROR(VLOOKUP($A852,koronahun!$A:$AM,36,FALSE),"")</f>
        <v/>
      </c>
      <c r="AK852" t="str">
        <f>IFERROR(VLOOKUP($A852,koronahun!$A:$AM,37,FALSE),"")</f>
        <v/>
      </c>
      <c r="AL852" t="str">
        <f>IFERROR(VLOOKUP($A852,koronahun!$A:$AM,38,FALSE),"")</f>
        <v/>
      </c>
      <c r="AM852" s="14" t="str">
        <f>IFERROR(VLOOKUP($A852,koronahun!$A:$AM,39,FALSE),"")</f>
        <v/>
      </c>
      <c r="AN852" s="11">
        <f ca="1">IFERROR(__xludf.DUMMYFUNCTION("""COMPUTED_VALUE"""),44744)</f>
        <v>44744</v>
      </c>
      <c r="AO852" s="12">
        <f ca="1">IFERROR(VLOOKUP(AN852,koronahun!A:B,2,FALSE),"")</f>
        <v>0</v>
      </c>
      <c r="AP852" s="11">
        <f t="shared" ca="1" si="6"/>
        <v>44744</v>
      </c>
      <c r="AQ852" s="11"/>
      <c r="AR852" s="11"/>
      <c r="AS852" s="11"/>
      <c r="AT852" s="11"/>
    </row>
    <row r="853" spans="1:46" ht="13">
      <c r="A853" s="11"/>
      <c r="B853" t="str">
        <f>IFERROR(VLOOKUP($A853,koronahun!$A:$AM,2,FALSE),"")</f>
        <v/>
      </c>
      <c r="C853" t="str">
        <f>IFERROR(VLOOKUP($A853,koronahun!$A:$AM,3,FALSE),"")</f>
        <v/>
      </c>
      <c r="D853" t="str">
        <f>IFERROR(VLOOKUP($A853,koronahun!$A:$AM,4,FALSE),"")</f>
        <v/>
      </c>
      <c r="E853" t="str">
        <f>IFERROR(VLOOKUP($A853,koronahun!$A:$AM,5,FALSE),"")</f>
        <v/>
      </c>
      <c r="F853" t="str">
        <f>IFERROR(VLOOKUP($A853,koronahun!$A:$AM,6,FALSE),"")</f>
        <v/>
      </c>
      <c r="G853" s="12" t="str">
        <f>IFERROR(VLOOKUP($A853,koronahun!$A:$AM,7,FALSE),"")</f>
        <v/>
      </c>
      <c r="H853" t="str">
        <f>IFERROR(VLOOKUP($A853,koronahun!$A:$AM,8,FALSE),"")</f>
        <v/>
      </c>
      <c r="I853" s="13" t="str">
        <f>IFERROR(VLOOKUP($A853,koronahun!$A:$AM,9,FALSE),"")</f>
        <v/>
      </c>
      <c r="J853" s="13" t="str">
        <f>IFERROR(VLOOKUP($A853,koronahun!$A:$AM,10,FALSE),"")</f>
        <v/>
      </c>
      <c r="K853" s="13" t="str">
        <f>IFERROR(VLOOKUP($A853,koronahun!$A:$AM,11,FALSE),"")</f>
        <v/>
      </c>
      <c r="L853" t="str">
        <f>IFERROR(VLOOKUP($A853,koronahun!$A:$AM,12,FALSE),"")</f>
        <v/>
      </c>
      <c r="M853" s="13" t="str">
        <f>IFERROR(VLOOKUP($A853,koronahun!$A:$AM,13,FALSE),"")</f>
        <v/>
      </c>
      <c r="N853" s="13" t="str">
        <f>IFERROR(VLOOKUP($A853,koronahun!$A:$AM,14,FALSE),"")</f>
        <v/>
      </c>
      <c r="O853" t="str">
        <f>IFERROR(VLOOKUP($A853,koronahun!$A:$AM,15,FALSE),"")</f>
        <v/>
      </c>
      <c r="P853" t="str">
        <f>IFERROR(VLOOKUP($A853,koronahun!$A:$AM,16,FALSE),"")</f>
        <v/>
      </c>
      <c r="Q853" s="13" t="str">
        <f>IFERROR(VLOOKUP($A853,koronahun!$A:$AM,17,FALSE),"")</f>
        <v/>
      </c>
      <c r="R853" t="str">
        <f>IFERROR(VLOOKUP($A853,koronahun!$A:$AM,18,FALSE),"")</f>
        <v/>
      </c>
      <c r="S853" t="str">
        <f>IFERROR(VLOOKUP($A853,koronahun!$A:$AM,19,FALSE),"")</f>
        <v/>
      </c>
      <c r="T853" t="str">
        <f>IFERROR(VLOOKUP($A853,koronahun!$A:$AM,20,FALSE),"")</f>
        <v/>
      </c>
      <c r="U853" t="str">
        <f>IFERROR(VLOOKUP($A853,koronahun!$A:$AM,21,FALSE),"")</f>
        <v/>
      </c>
      <c r="V853" s="13" t="str">
        <f>IFERROR(VLOOKUP($A853,koronahun!$A:$AM,22,FALSE),"")</f>
        <v/>
      </c>
      <c r="W853" t="str">
        <f>IFERROR(VLOOKUP($A853,koronahun!$A:$AM,23,FALSE),"")</f>
        <v/>
      </c>
      <c r="X853" t="str">
        <f>IFERROR(VLOOKUP($A853,koronahun!$A:$AM,24,FALSE),"")</f>
        <v/>
      </c>
      <c r="Y853" s="14" t="str">
        <f>IFERROR(VLOOKUP($A853,koronahun!$A:$AM,25,FALSE),"")</f>
        <v/>
      </c>
      <c r="Z853" s="14" t="str">
        <f>IFERROR(VLOOKUP($A853,koronahun!$A:$AM,26,FALSE),"")</f>
        <v/>
      </c>
      <c r="AA853" s="14" t="str">
        <f>IFERROR(VLOOKUP($A853,koronahun!$A:$AM,27,FALSE),"")</f>
        <v/>
      </c>
      <c r="AB853" s="14" t="str">
        <f>IFERROR(VLOOKUP($A853,koronahun!$A:$AM,28,FALSE),"")</f>
        <v/>
      </c>
      <c r="AC853" s="14" t="str">
        <f>IFERROR(VLOOKUP($A853,koronahun!$A:$AM,29,FALSE),"")</f>
        <v/>
      </c>
      <c r="AD853" s="14" t="str">
        <f>IFERROR(VLOOKUP($A853,koronahun!$A:$AM,30,FALSE),"")</f>
        <v/>
      </c>
      <c r="AE853" s="14" t="str">
        <f>IFERROR(VLOOKUP($A853,koronahun!$A:$AM,31,FALSE),"")</f>
        <v/>
      </c>
      <c r="AF853" s="13" t="str">
        <f>IFERROR(VLOOKUP($A853,koronahun!$A:$AM,32,FALSE),"")</f>
        <v/>
      </c>
      <c r="AG853" t="str">
        <f>IFERROR(VLOOKUP($A853,koronahun!$A:$AM,33,FALSE),"")</f>
        <v/>
      </c>
      <c r="AH853" t="str">
        <f>IFERROR(VLOOKUP($A853,koronahun!$A:$AM,34,FALSE),"")</f>
        <v/>
      </c>
      <c r="AI853" t="str">
        <f>IFERROR(VLOOKUP($A853,koronahun!$A:$AM,35,FALSE),"")</f>
        <v/>
      </c>
      <c r="AJ853" t="str">
        <f>IFERROR(VLOOKUP($A853,koronahun!$A:$AM,36,FALSE),"")</f>
        <v/>
      </c>
      <c r="AK853" t="str">
        <f>IFERROR(VLOOKUP($A853,koronahun!$A:$AM,37,FALSE),"")</f>
        <v/>
      </c>
      <c r="AL853" t="str">
        <f>IFERROR(VLOOKUP($A853,koronahun!$A:$AM,38,FALSE),"")</f>
        <v/>
      </c>
      <c r="AM853" s="14" t="str">
        <f>IFERROR(VLOOKUP($A853,koronahun!$A:$AM,39,FALSE),"")</f>
        <v/>
      </c>
      <c r="AN853" s="11">
        <f ca="1">IFERROR(__xludf.DUMMYFUNCTION("""COMPUTED_VALUE"""),44745)</f>
        <v>44745</v>
      </c>
      <c r="AO853" s="12">
        <f ca="1">IFERROR(VLOOKUP(AN853,koronahun!A:B,2,FALSE),"")</f>
        <v>0</v>
      </c>
      <c r="AP853" s="11">
        <f t="shared" ca="1" si="6"/>
        <v>44745</v>
      </c>
      <c r="AQ853" s="11"/>
      <c r="AR853" s="11"/>
      <c r="AS853" s="11"/>
      <c r="AT853" s="11"/>
    </row>
    <row r="854" spans="1:46" ht="13">
      <c r="A854" s="11"/>
      <c r="B854" t="str">
        <f>IFERROR(VLOOKUP($A854,koronahun!$A:$AM,2,FALSE),"")</f>
        <v/>
      </c>
      <c r="C854" t="str">
        <f>IFERROR(VLOOKUP($A854,koronahun!$A:$AM,3,FALSE),"")</f>
        <v/>
      </c>
      <c r="D854" t="str">
        <f>IFERROR(VLOOKUP($A854,koronahun!$A:$AM,4,FALSE),"")</f>
        <v/>
      </c>
      <c r="E854" t="str">
        <f>IFERROR(VLOOKUP($A854,koronahun!$A:$AM,5,FALSE),"")</f>
        <v/>
      </c>
      <c r="F854" t="str">
        <f>IFERROR(VLOOKUP($A854,koronahun!$A:$AM,6,FALSE),"")</f>
        <v/>
      </c>
      <c r="G854" s="12" t="str">
        <f>IFERROR(VLOOKUP($A854,koronahun!$A:$AM,7,FALSE),"")</f>
        <v/>
      </c>
      <c r="H854" t="str">
        <f>IFERROR(VLOOKUP($A854,koronahun!$A:$AM,8,FALSE),"")</f>
        <v/>
      </c>
      <c r="I854" s="13" t="str">
        <f>IFERROR(VLOOKUP($A854,koronahun!$A:$AM,9,FALSE),"")</f>
        <v/>
      </c>
      <c r="J854" s="13" t="str">
        <f>IFERROR(VLOOKUP($A854,koronahun!$A:$AM,10,FALSE),"")</f>
        <v/>
      </c>
      <c r="K854" s="13" t="str">
        <f>IFERROR(VLOOKUP($A854,koronahun!$A:$AM,11,FALSE),"")</f>
        <v/>
      </c>
      <c r="L854" t="str">
        <f>IFERROR(VLOOKUP($A854,koronahun!$A:$AM,12,FALSE),"")</f>
        <v/>
      </c>
      <c r="M854" s="13" t="str">
        <f>IFERROR(VLOOKUP($A854,koronahun!$A:$AM,13,FALSE),"")</f>
        <v/>
      </c>
      <c r="N854" s="13" t="str">
        <f>IFERROR(VLOOKUP($A854,koronahun!$A:$AM,14,FALSE),"")</f>
        <v/>
      </c>
      <c r="O854" t="str">
        <f>IFERROR(VLOOKUP($A854,koronahun!$A:$AM,15,FALSE),"")</f>
        <v/>
      </c>
      <c r="P854" t="str">
        <f>IFERROR(VLOOKUP($A854,koronahun!$A:$AM,16,FALSE),"")</f>
        <v/>
      </c>
      <c r="Q854" s="13" t="str">
        <f>IFERROR(VLOOKUP($A854,koronahun!$A:$AM,17,FALSE),"")</f>
        <v/>
      </c>
      <c r="R854" t="str">
        <f>IFERROR(VLOOKUP($A854,koronahun!$A:$AM,18,FALSE),"")</f>
        <v/>
      </c>
      <c r="S854" t="str">
        <f>IFERROR(VLOOKUP($A854,koronahun!$A:$AM,19,FALSE),"")</f>
        <v/>
      </c>
      <c r="T854" t="str">
        <f>IFERROR(VLOOKUP($A854,koronahun!$A:$AM,20,FALSE),"")</f>
        <v/>
      </c>
      <c r="U854" t="str">
        <f>IFERROR(VLOOKUP($A854,koronahun!$A:$AM,21,FALSE),"")</f>
        <v/>
      </c>
      <c r="V854" s="13" t="str">
        <f>IFERROR(VLOOKUP($A854,koronahun!$A:$AM,22,FALSE),"")</f>
        <v/>
      </c>
      <c r="W854" t="str">
        <f>IFERROR(VLOOKUP($A854,koronahun!$A:$AM,23,FALSE),"")</f>
        <v/>
      </c>
      <c r="X854" t="str">
        <f>IFERROR(VLOOKUP($A854,koronahun!$A:$AM,24,FALSE),"")</f>
        <v/>
      </c>
      <c r="Y854" s="14" t="str">
        <f>IFERROR(VLOOKUP($A854,koronahun!$A:$AM,25,FALSE),"")</f>
        <v/>
      </c>
      <c r="Z854" s="14" t="str">
        <f>IFERROR(VLOOKUP($A854,koronahun!$A:$AM,26,FALSE),"")</f>
        <v/>
      </c>
      <c r="AA854" s="14" t="str">
        <f>IFERROR(VLOOKUP($A854,koronahun!$A:$AM,27,FALSE),"")</f>
        <v/>
      </c>
      <c r="AB854" s="14" t="str">
        <f>IFERROR(VLOOKUP($A854,koronahun!$A:$AM,28,FALSE),"")</f>
        <v/>
      </c>
      <c r="AC854" s="14" t="str">
        <f>IFERROR(VLOOKUP($A854,koronahun!$A:$AM,29,FALSE),"")</f>
        <v/>
      </c>
      <c r="AD854" s="14" t="str">
        <f>IFERROR(VLOOKUP($A854,koronahun!$A:$AM,30,FALSE),"")</f>
        <v/>
      </c>
      <c r="AE854" s="14" t="str">
        <f>IFERROR(VLOOKUP($A854,koronahun!$A:$AM,31,FALSE),"")</f>
        <v/>
      </c>
      <c r="AF854" s="13" t="str">
        <f>IFERROR(VLOOKUP($A854,koronahun!$A:$AM,32,FALSE),"")</f>
        <v/>
      </c>
      <c r="AG854" t="str">
        <f>IFERROR(VLOOKUP($A854,koronahun!$A:$AM,33,FALSE),"")</f>
        <v/>
      </c>
      <c r="AH854" t="str">
        <f>IFERROR(VLOOKUP($A854,koronahun!$A:$AM,34,FALSE),"")</f>
        <v/>
      </c>
      <c r="AI854" t="str">
        <f>IFERROR(VLOOKUP($A854,koronahun!$A:$AM,35,FALSE),"")</f>
        <v/>
      </c>
      <c r="AJ854" t="str">
        <f>IFERROR(VLOOKUP($A854,koronahun!$A:$AM,36,FALSE),"")</f>
        <v/>
      </c>
      <c r="AK854" t="str">
        <f>IFERROR(VLOOKUP($A854,koronahun!$A:$AM,37,FALSE),"")</f>
        <v/>
      </c>
      <c r="AL854" t="str">
        <f>IFERROR(VLOOKUP($A854,koronahun!$A:$AM,38,FALSE),"")</f>
        <v/>
      </c>
      <c r="AM854" s="14" t="str">
        <f>IFERROR(VLOOKUP($A854,koronahun!$A:$AM,39,FALSE),"")</f>
        <v/>
      </c>
      <c r="AN854" s="11">
        <f ca="1">IFERROR(__xludf.DUMMYFUNCTION("""COMPUTED_VALUE"""),44746)</f>
        <v>44746</v>
      </c>
      <c r="AO854" s="12">
        <f ca="1">IFERROR(VLOOKUP(AN854,koronahun!A:B,2,FALSE),"")</f>
        <v>0</v>
      </c>
      <c r="AP854" s="11">
        <f t="shared" ca="1" si="6"/>
        <v>44746</v>
      </c>
      <c r="AQ854" s="11"/>
      <c r="AR854" s="11"/>
      <c r="AS854" s="11"/>
      <c r="AT854" s="11"/>
    </row>
    <row r="855" spans="1:46" ht="13">
      <c r="A855" s="11"/>
      <c r="B855" t="str">
        <f>IFERROR(VLOOKUP($A855,koronahun!$A:$AM,2,FALSE),"")</f>
        <v/>
      </c>
      <c r="C855" t="str">
        <f>IFERROR(VLOOKUP($A855,koronahun!$A:$AM,3,FALSE),"")</f>
        <v/>
      </c>
      <c r="D855" t="str">
        <f>IFERROR(VLOOKUP($A855,koronahun!$A:$AM,4,FALSE),"")</f>
        <v/>
      </c>
      <c r="E855" t="str">
        <f>IFERROR(VLOOKUP($A855,koronahun!$A:$AM,5,FALSE),"")</f>
        <v/>
      </c>
      <c r="F855" t="str">
        <f>IFERROR(VLOOKUP($A855,koronahun!$A:$AM,6,FALSE),"")</f>
        <v/>
      </c>
      <c r="G855" s="12" t="str">
        <f>IFERROR(VLOOKUP($A855,koronahun!$A:$AM,7,FALSE),"")</f>
        <v/>
      </c>
      <c r="H855" t="str">
        <f>IFERROR(VLOOKUP($A855,koronahun!$A:$AM,8,FALSE),"")</f>
        <v/>
      </c>
      <c r="I855" s="13" t="str">
        <f>IFERROR(VLOOKUP($A855,koronahun!$A:$AM,9,FALSE),"")</f>
        <v/>
      </c>
      <c r="J855" s="13" t="str">
        <f>IFERROR(VLOOKUP($A855,koronahun!$A:$AM,10,FALSE),"")</f>
        <v/>
      </c>
      <c r="K855" s="13" t="str">
        <f>IFERROR(VLOOKUP($A855,koronahun!$A:$AM,11,FALSE),"")</f>
        <v/>
      </c>
      <c r="L855" t="str">
        <f>IFERROR(VLOOKUP($A855,koronahun!$A:$AM,12,FALSE),"")</f>
        <v/>
      </c>
      <c r="M855" s="13" t="str">
        <f>IFERROR(VLOOKUP($A855,koronahun!$A:$AM,13,FALSE),"")</f>
        <v/>
      </c>
      <c r="N855" s="13" t="str">
        <f>IFERROR(VLOOKUP($A855,koronahun!$A:$AM,14,FALSE),"")</f>
        <v/>
      </c>
      <c r="O855" t="str">
        <f>IFERROR(VLOOKUP($A855,koronahun!$A:$AM,15,FALSE),"")</f>
        <v/>
      </c>
      <c r="P855" t="str">
        <f>IFERROR(VLOOKUP($A855,koronahun!$A:$AM,16,FALSE),"")</f>
        <v/>
      </c>
      <c r="Q855" s="13" t="str">
        <f>IFERROR(VLOOKUP($A855,koronahun!$A:$AM,17,FALSE),"")</f>
        <v/>
      </c>
      <c r="R855" t="str">
        <f>IFERROR(VLOOKUP($A855,koronahun!$A:$AM,18,FALSE),"")</f>
        <v/>
      </c>
      <c r="S855" t="str">
        <f>IFERROR(VLOOKUP($A855,koronahun!$A:$AM,19,FALSE),"")</f>
        <v/>
      </c>
      <c r="T855" t="str">
        <f>IFERROR(VLOOKUP($A855,koronahun!$A:$AM,20,FALSE),"")</f>
        <v/>
      </c>
      <c r="U855" t="str">
        <f>IFERROR(VLOOKUP($A855,koronahun!$A:$AM,21,FALSE),"")</f>
        <v/>
      </c>
      <c r="V855" s="13" t="str">
        <f>IFERROR(VLOOKUP($A855,koronahun!$A:$AM,22,FALSE),"")</f>
        <v/>
      </c>
      <c r="W855" t="str">
        <f>IFERROR(VLOOKUP($A855,koronahun!$A:$AM,23,FALSE),"")</f>
        <v/>
      </c>
      <c r="X855" t="str">
        <f>IFERROR(VLOOKUP($A855,koronahun!$A:$AM,24,FALSE),"")</f>
        <v/>
      </c>
      <c r="Y855" s="14" t="str">
        <f>IFERROR(VLOOKUP($A855,koronahun!$A:$AM,25,FALSE),"")</f>
        <v/>
      </c>
      <c r="Z855" s="14" t="str">
        <f>IFERROR(VLOOKUP($A855,koronahun!$A:$AM,26,FALSE),"")</f>
        <v/>
      </c>
      <c r="AA855" s="14" t="str">
        <f>IFERROR(VLOOKUP($A855,koronahun!$A:$AM,27,FALSE),"")</f>
        <v/>
      </c>
      <c r="AB855" s="14" t="str">
        <f>IFERROR(VLOOKUP($A855,koronahun!$A:$AM,28,FALSE),"")</f>
        <v/>
      </c>
      <c r="AC855" s="14" t="str">
        <f>IFERROR(VLOOKUP($A855,koronahun!$A:$AM,29,FALSE),"")</f>
        <v/>
      </c>
      <c r="AD855" s="14" t="str">
        <f>IFERROR(VLOOKUP($A855,koronahun!$A:$AM,30,FALSE),"")</f>
        <v/>
      </c>
      <c r="AE855" s="14" t="str">
        <f>IFERROR(VLOOKUP($A855,koronahun!$A:$AM,31,FALSE),"")</f>
        <v/>
      </c>
      <c r="AF855" s="13" t="str">
        <f>IFERROR(VLOOKUP($A855,koronahun!$A:$AM,32,FALSE),"")</f>
        <v/>
      </c>
      <c r="AG855" t="str">
        <f>IFERROR(VLOOKUP($A855,koronahun!$A:$AM,33,FALSE),"")</f>
        <v/>
      </c>
      <c r="AH855" t="str">
        <f>IFERROR(VLOOKUP($A855,koronahun!$A:$AM,34,FALSE),"")</f>
        <v/>
      </c>
      <c r="AI855" t="str">
        <f>IFERROR(VLOOKUP($A855,koronahun!$A:$AM,35,FALSE),"")</f>
        <v/>
      </c>
      <c r="AJ855" t="str">
        <f>IFERROR(VLOOKUP($A855,koronahun!$A:$AM,36,FALSE),"")</f>
        <v/>
      </c>
      <c r="AK855" t="str">
        <f>IFERROR(VLOOKUP($A855,koronahun!$A:$AM,37,FALSE),"")</f>
        <v/>
      </c>
      <c r="AL855" t="str">
        <f>IFERROR(VLOOKUP($A855,koronahun!$A:$AM,38,FALSE),"")</f>
        <v/>
      </c>
      <c r="AM855" s="14" t="str">
        <f>IFERROR(VLOOKUP($A855,koronahun!$A:$AM,39,FALSE),"")</f>
        <v/>
      </c>
      <c r="AN855" s="11">
        <f ca="1">IFERROR(__xludf.DUMMYFUNCTION("""COMPUTED_VALUE"""),44747)</f>
        <v>44747</v>
      </c>
      <c r="AO855" s="12">
        <f ca="1">IFERROR(VLOOKUP(AN855,koronahun!A:B,2,FALSE),"")</f>
        <v>0</v>
      </c>
      <c r="AP855" s="11">
        <f t="shared" ca="1" si="6"/>
        <v>44747</v>
      </c>
      <c r="AQ855" s="11"/>
      <c r="AR855" s="11"/>
      <c r="AS855" s="11"/>
      <c r="AT855" s="11"/>
    </row>
    <row r="856" spans="1:46" ht="13">
      <c r="A856" s="11"/>
      <c r="B856" t="str">
        <f>IFERROR(VLOOKUP($A856,koronahun!$A:$AM,2,FALSE),"")</f>
        <v/>
      </c>
      <c r="C856" t="str">
        <f>IFERROR(VLOOKUP($A856,koronahun!$A:$AM,3,FALSE),"")</f>
        <v/>
      </c>
      <c r="D856" t="str">
        <f>IFERROR(VLOOKUP($A856,koronahun!$A:$AM,4,FALSE),"")</f>
        <v/>
      </c>
      <c r="E856" t="str">
        <f>IFERROR(VLOOKUP($A856,koronahun!$A:$AM,5,FALSE),"")</f>
        <v/>
      </c>
      <c r="F856" t="str">
        <f>IFERROR(VLOOKUP($A856,koronahun!$A:$AM,6,FALSE),"")</f>
        <v/>
      </c>
      <c r="G856" s="12" t="str">
        <f>IFERROR(VLOOKUP($A856,koronahun!$A:$AM,7,FALSE),"")</f>
        <v/>
      </c>
      <c r="H856" t="str">
        <f>IFERROR(VLOOKUP($A856,koronahun!$A:$AM,8,FALSE),"")</f>
        <v/>
      </c>
      <c r="I856" s="13" t="str">
        <f>IFERROR(VLOOKUP($A856,koronahun!$A:$AM,9,FALSE),"")</f>
        <v/>
      </c>
      <c r="J856" s="13" t="str">
        <f>IFERROR(VLOOKUP($A856,koronahun!$A:$AM,10,FALSE),"")</f>
        <v/>
      </c>
      <c r="K856" s="13" t="str">
        <f>IFERROR(VLOOKUP($A856,koronahun!$A:$AM,11,FALSE),"")</f>
        <v/>
      </c>
      <c r="L856" t="str">
        <f>IFERROR(VLOOKUP($A856,koronahun!$A:$AM,12,FALSE),"")</f>
        <v/>
      </c>
      <c r="M856" s="13" t="str">
        <f>IFERROR(VLOOKUP($A856,koronahun!$A:$AM,13,FALSE),"")</f>
        <v/>
      </c>
      <c r="N856" s="13" t="str">
        <f>IFERROR(VLOOKUP($A856,koronahun!$A:$AM,14,FALSE),"")</f>
        <v/>
      </c>
      <c r="O856" t="str">
        <f>IFERROR(VLOOKUP($A856,koronahun!$A:$AM,15,FALSE),"")</f>
        <v/>
      </c>
      <c r="P856" t="str">
        <f>IFERROR(VLOOKUP($A856,koronahun!$A:$AM,16,FALSE),"")</f>
        <v/>
      </c>
      <c r="Q856" s="13" t="str">
        <f>IFERROR(VLOOKUP($A856,koronahun!$A:$AM,17,FALSE),"")</f>
        <v/>
      </c>
      <c r="R856" t="str">
        <f>IFERROR(VLOOKUP($A856,koronahun!$A:$AM,18,FALSE),"")</f>
        <v/>
      </c>
      <c r="S856" t="str">
        <f>IFERROR(VLOOKUP($A856,koronahun!$A:$AM,19,FALSE),"")</f>
        <v/>
      </c>
      <c r="T856" t="str">
        <f>IFERROR(VLOOKUP($A856,koronahun!$A:$AM,20,FALSE),"")</f>
        <v/>
      </c>
      <c r="U856" t="str">
        <f>IFERROR(VLOOKUP($A856,koronahun!$A:$AM,21,FALSE),"")</f>
        <v/>
      </c>
      <c r="V856" s="13" t="str">
        <f>IFERROR(VLOOKUP($A856,koronahun!$A:$AM,22,FALSE),"")</f>
        <v/>
      </c>
      <c r="W856" t="str">
        <f>IFERROR(VLOOKUP($A856,koronahun!$A:$AM,23,FALSE),"")</f>
        <v/>
      </c>
      <c r="X856" t="str">
        <f>IFERROR(VLOOKUP($A856,koronahun!$A:$AM,24,FALSE),"")</f>
        <v/>
      </c>
      <c r="Y856" s="14" t="str">
        <f>IFERROR(VLOOKUP($A856,koronahun!$A:$AM,25,FALSE),"")</f>
        <v/>
      </c>
      <c r="Z856" s="14" t="str">
        <f>IFERROR(VLOOKUP($A856,koronahun!$A:$AM,26,FALSE),"")</f>
        <v/>
      </c>
      <c r="AA856" s="14" t="str">
        <f>IFERROR(VLOOKUP($A856,koronahun!$A:$AM,27,FALSE),"")</f>
        <v/>
      </c>
      <c r="AB856" s="14" t="str">
        <f>IFERROR(VLOOKUP($A856,koronahun!$A:$AM,28,FALSE),"")</f>
        <v/>
      </c>
      <c r="AC856" s="14" t="str">
        <f>IFERROR(VLOOKUP($A856,koronahun!$A:$AM,29,FALSE),"")</f>
        <v/>
      </c>
      <c r="AD856" s="14" t="str">
        <f>IFERROR(VLOOKUP($A856,koronahun!$A:$AM,30,FALSE),"")</f>
        <v/>
      </c>
      <c r="AE856" s="14" t="str">
        <f>IFERROR(VLOOKUP($A856,koronahun!$A:$AM,31,FALSE),"")</f>
        <v/>
      </c>
      <c r="AF856" s="13" t="str">
        <f>IFERROR(VLOOKUP($A856,koronahun!$A:$AM,32,FALSE),"")</f>
        <v/>
      </c>
      <c r="AG856" t="str">
        <f>IFERROR(VLOOKUP($A856,koronahun!$A:$AM,33,FALSE),"")</f>
        <v/>
      </c>
      <c r="AH856" t="str">
        <f>IFERROR(VLOOKUP($A856,koronahun!$A:$AM,34,FALSE),"")</f>
        <v/>
      </c>
      <c r="AI856" t="str">
        <f>IFERROR(VLOOKUP($A856,koronahun!$A:$AM,35,FALSE),"")</f>
        <v/>
      </c>
      <c r="AJ856" t="str">
        <f>IFERROR(VLOOKUP($A856,koronahun!$A:$AM,36,FALSE),"")</f>
        <v/>
      </c>
      <c r="AK856" t="str">
        <f>IFERROR(VLOOKUP($A856,koronahun!$A:$AM,37,FALSE),"")</f>
        <v/>
      </c>
      <c r="AL856" t="str">
        <f>IFERROR(VLOOKUP($A856,koronahun!$A:$AM,38,FALSE),"")</f>
        <v/>
      </c>
      <c r="AM856" s="14" t="str">
        <f>IFERROR(VLOOKUP($A856,koronahun!$A:$AM,39,FALSE),"")</f>
        <v/>
      </c>
      <c r="AN856" s="11">
        <f ca="1">IFERROR(__xludf.DUMMYFUNCTION("""COMPUTED_VALUE"""),44748)</f>
        <v>44748</v>
      </c>
      <c r="AO856" s="12">
        <f ca="1">IFERROR(VLOOKUP(AN856,koronahun!A:B,2,FALSE),"")</f>
        <v>1932788</v>
      </c>
      <c r="AP856" s="11">
        <f t="shared" ca="1" si="6"/>
        <v>44748</v>
      </c>
      <c r="AQ856" s="11"/>
      <c r="AR856" s="11"/>
      <c r="AS856" s="11"/>
      <c r="AT856" s="11"/>
    </row>
    <row r="857" spans="1:46" ht="13">
      <c r="A857" s="11"/>
      <c r="B857" t="str">
        <f>IFERROR(VLOOKUP($A857,koronahun!$A:$AM,2,FALSE),"")</f>
        <v/>
      </c>
      <c r="C857" t="str">
        <f>IFERROR(VLOOKUP($A857,koronahun!$A:$AM,3,FALSE),"")</f>
        <v/>
      </c>
      <c r="D857" t="str">
        <f>IFERROR(VLOOKUP($A857,koronahun!$A:$AM,4,FALSE),"")</f>
        <v/>
      </c>
      <c r="E857" t="str">
        <f>IFERROR(VLOOKUP($A857,koronahun!$A:$AM,5,FALSE),"")</f>
        <v/>
      </c>
      <c r="F857" t="str">
        <f>IFERROR(VLOOKUP($A857,koronahun!$A:$AM,6,FALSE),"")</f>
        <v/>
      </c>
      <c r="G857" s="12" t="str">
        <f>IFERROR(VLOOKUP($A857,koronahun!$A:$AM,7,FALSE),"")</f>
        <v/>
      </c>
      <c r="H857" t="str">
        <f>IFERROR(VLOOKUP($A857,koronahun!$A:$AM,8,FALSE),"")</f>
        <v/>
      </c>
      <c r="I857" s="13" t="str">
        <f>IFERROR(VLOOKUP($A857,koronahun!$A:$AM,9,FALSE),"")</f>
        <v/>
      </c>
      <c r="J857" s="13" t="str">
        <f>IFERROR(VLOOKUP($A857,koronahun!$A:$AM,10,FALSE),"")</f>
        <v/>
      </c>
      <c r="K857" s="13" t="str">
        <f>IFERROR(VLOOKUP($A857,koronahun!$A:$AM,11,FALSE),"")</f>
        <v/>
      </c>
      <c r="L857" t="str">
        <f>IFERROR(VLOOKUP($A857,koronahun!$A:$AM,12,FALSE),"")</f>
        <v/>
      </c>
      <c r="M857" s="13" t="str">
        <f>IFERROR(VLOOKUP($A857,koronahun!$A:$AM,13,FALSE),"")</f>
        <v/>
      </c>
      <c r="N857" s="13" t="str">
        <f>IFERROR(VLOOKUP($A857,koronahun!$A:$AM,14,FALSE),"")</f>
        <v/>
      </c>
      <c r="O857" t="str">
        <f>IFERROR(VLOOKUP($A857,koronahun!$A:$AM,15,FALSE),"")</f>
        <v/>
      </c>
      <c r="P857" t="str">
        <f>IFERROR(VLOOKUP($A857,koronahun!$A:$AM,16,FALSE),"")</f>
        <v/>
      </c>
      <c r="Q857" s="13" t="str">
        <f>IFERROR(VLOOKUP($A857,koronahun!$A:$AM,17,FALSE),"")</f>
        <v/>
      </c>
      <c r="R857" t="str">
        <f>IFERROR(VLOOKUP($A857,koronahun!$A:$AM,18,FALSE),"")</f>
        <v/>
      </c>
      <c r="S857" t="str">
        <f>IFERROR(VLOOKUP($A857,koronahun!$A:$AM,19,FALSE),"")</f>
        <v/>
      </c>
      <c r="T857" t="str">
        <f>IFERROR(VLOOKUP($A857,koronahun!$A:$AM,20,FALSE),"")</f>
        <v/>
      </c>
      <c r="U857" t="str">
        <f>IFERROR(VLOOKUP($A857,koronahun!$A:$AM,21,FALSE),"")</f>
        <v/>
      </c>
      <c r="V857" s="13" t="str">
        <f>IFERROR(VLOOKUP($A857,koronahun!$A:$AM,22,FALSE),"")</f>
        <v/>
      </c>
      <c r="W857" t="str">
        <f>IFERROR(VLOOKUP($A857,koronahun!$A:$AM,23,FALSE),"")</f>
        <v/>
      </c>
      <c r="X857" t="str">
        <f>IFERROR(VLOOKUP($A857,koronahun!$A:$AM,24,FALSE),"")</f>
        <v/>
      </c>
      <c r="Y857" s="14" t="str">
        <f>IFERROR(VLOOKUP($A857,koronahun!$A:$AM,25,FALSE),"")</f>
        <v/>
      </c>
      <c r="Z857" s="14" t="str">
        <f>IFERROR(VLOOKUP($A857,koronahun!$A:$AM,26,FALSE),"")</f>
        <v/>
      </c>
      <c r="AA857" s="14" t="str">
        <f>IFERROR(VLOOKUP($A857,koronahun!$A:$AM,27,FALSE),"")</f>
        <v/>
      </c>
      <c r="AB857" s="14" t="str">
        <f>IFERROR(VLOOKUP($A857,koronahun!$A:$AM,28,FALSE),"")</f>
        <v/>
      </c>
      <c r="AC857" s="14" t="str">
        <f>IFERROR(VLOOKUP($A857,koronahun!$A:$AM,29,FALSE),"")</f>
        <v/>
      </c>
      <c r="AD857" s="14" t="str">
        <f>IFERROR(VLOOKUP($A857,koronahun!$A:$AM,30,FALSE),"")</f>
        <v/>
      </c>
      <c r="AE857" s="14" t="str">
        <f>IFERROR(VLOOKUP($A857,koronahun!$A:$AM,31,FALSE),"")</f>
        <v/>
      </c>
      <c r="AF857" s="13" t="str">
        <f>IFERROR(VLOOKUP($A857,koronahun!$A:$AM,32,FALSE),"")</f>
        <v/>
      </c>
      <c r="AG857" t="str">
        <f>IFERROR(VLOOKUP($A857,koronahun!$A:$AM,33,FALSE),"")</f>
        <v/>
      </c>
      <c r="AH857" t="str">
        <f>IFERROR(VLOOKUP($A857,koronahun!$A:$AM,34,FALSE),"")</f>
        <v/>
      </c>
      <c r="AI857" t="str">
        <f>IFERROR(VLOOKUP($A857,koronahun!$A:$AM,35,FALSE),"")</f>
        <v/>
      </c>
      <c r="AJ857" t="str">
        <f>IFERROR(VLOOKUP($A857,koronahun!$A:$AM,36,FALSE),"")</f>
        <v/>
      </c>
      <c r="AK857" t="str">
        <f>IFERROR(VLOOKUP($A857,koronahun!$A:$AM,37,FALSE),"")</f>
        <v/>
      </c>
      <c r="AL857" t="str">
        <f>IFERROR(VLOOKUP($A857,koronahun!$A:$AM,38,FALSE),"")</f>
        <v/>
      </c>
      <c r="AM857" s="14" t="str">
        <f>IFERROR(VLOOKUP($A857,koronahun!$A:$AM,39,FALSE),"")</f>
        <v/>
      </c>
      <c r="AN857" s="11">
        <f ca="1">IFERROR(__xludf.DUMMYFUNCTION("""COMPUTED_VALUE"""),44749)</f>
        <v>44749</v>
      </c>
      <c r="AO857" s="12">
        <f ca="1">IFERROR(VLOOKUP(AN857,koronahun!A:B,2,FALSE),"")</f>
        <v>0</v>
      </c>
      <c r="AP857" s="11">
        <f t="shared" ca="1" si="6"/>
        <v>44749</v>
      </c>
      <c r="AQ857" s="11"/>
      <c r="AR857" s="11"/>
      <c r="AS857" s="11"/>
      <c r="AT857" s="11"/>
    </row>
    <row r="858" spans="1:46" ht="13">
      <c r="A858" s="11"/>
      <c r="B858" t="str">
        <f>IFERROR(VLOOKUP($A858,koronahun!$A:$AM,2,FALSE),"")</f>
        <v/>
      </c>
      <c r="C858" t="str">
        <f>IFERROR(VLOOKUP($A858,koronahun!$A:$AM,3,FALSE),"")</f>
        <v/>
      </c>
      <c r="D858" t="str">
        <f>IFERROR(VLOOKUP($A858,koronahun!$A:$AM,4,FALSE),"")</f>
        <v/>
      </c>
      <c r="E858" t="str">
        <f>IFERROR(VLOOKUP($A858,koronahun!$A:$AM,5,FALSE),"")</f>
        <v/>
      </c>
      <c r="F858" t="str">
        <f>IFERROR(VLOOKUP($A858,koronahun!$A:$AM,6,FALSE),"")</f>
        <v/>
      </c>
      <c r="G858" s="12" t="str">
        <f>IFERROR(VLOOKUP($A858,koronahun!$A:$AM,7,FALSE),"")</f>
        <v/>
      </c>
      <c r="H858" t="str">
        <f>IFERROR(VLOOKUP($A858,koronahun!$A:$AM,8,FALSE),"")</f>
        <v/>
      </c>
      <c r="I858" s="13" t="str">
        <f>IFERROR(VLOOKUP($A858,koronahun!$A:$AM,9,FALSE),"")</f>
        <v/>
      </c>
      <c r="J858" s="13" t="str">
        <f>IFERROR(VLOOKUP($A858,koronahun!$A:$AM,10,FALSE),"")</f>
        <v/>
      </c>
      <c r="K858" s="13" t="str">
        <f>IFERROR(VLOOKUP($A858,koronahun!$A:$AM,11,FALSE),"")</f>
        <v/>
      </c>
      <c r="L858" t="str">
        <f>IFERROR(VLOOKUP($A858,koronahun!$A:$AM,12,FALSE),"")</f>
        <v/>
      </c>
      <c r="M858" s="13" t="str">
        <f>IFERROR(VLOOKUP($A858,koronahun!$A:$AM,13,FALSE),"")</f>
        <v/>
      </c>
      <c r="N858" s="13" t="str">
        <f>IFERROR(VLOOKUP($A858,koronahun!$A:$AM,14,FALSE),"")</f>
        <v/>
      </c>
      <c r="O858" t="str">
        <f>IFERROR(VLOOKUP($A858,koronahun!$A:$AM,15,FALSE),"")</f>
        <v/>
      </c>
      <c r="P858" t="str">
        <f>IFERROR(VLOOKUP($A858,koronahun!$A:$AM,16,FALSE),"")</f>
        <v/>
      </c>
      <c r="Q858" s="13" t="str">
        <f>IFERROR(VLOOKUP($A858,koronahun!$A:$AM,17,FALSE),"")</f>
        <v/>
      </c>
      <c r="R858" t="str">
        <f>IFERROR(VLOOKUP($A858,koronahun!$A:$AM,18,FALSE),"")</f>
        <v/>
      </c>
      <c r="S858" t="str">
        <f>IFERROR(VLOOKUP($A858,koronahun!$A:$AM,19,FALSE),"")</f>
        <v/>
      </c>
      <c r="T858" t="str">
        <f>IFERROR(VLOOKUP($A858,koronahun!$A:$AM,20,FALSE),"")</f>
        <v/>
      </c>
      <c r="U858" t="str">
        <f>IFERROR(VLOOKUP($A858,koronahun!$A:$AM,21,FALSE),"")</f>
        <v/>
      </c>
      <c r="V858" s="13" t="str">
        <f>IFERROR(VLOOKUP($A858,koronahun!$A:$AM,22,FALSE),"")</f>
        <v/>
      </c>
      <c r="W858" t="str">
        <f>IFERROR(VLOOKUP($A858,koronahun!$A:$AM,23,FALSE),"")</f>
        <v/>
      </c>
      <c r="X858" t="str">
        <f>IFERROR(VLOOKUP($A858,koronahun!$A:$AM,24,FALSE),"")</f>
        <v/>
      </c>
      <c r="Y858" s="14" t="str">
        <f>IFERROR(VLOOKUP($A858,koronahun!$A:$AM,25,FALSE),"")</f>
        <v/>
      </c>
      <c r="Z858" s="14" t="str">
        <f>IFERROR(VLOOKUP($A858,koronahun!$A:$AM,26,FALSE),"")</f>
        <v/>
      </c>
      <c r="AA858" s="14" t="str">
        <f>IFERROR(VLOOKUP($A858,koronahun!$A:$AM,27,FALSE),"")</f>
        <v/>
      </c>
      <c r="AB858" s="14" t="str">
        <f>IFERROR(VLOOKUP($A858,koronahun!$A:$AM,28,FALSE),"")</f>
        <v/>
      </c>
      <c r="AC858" s="14" t="str">
        <f>IFERROR(VLOOKUP($A858,koronahun!$A:$AM,29,FALSE),"")</f>
        <v/>
      </c>
      <c r="AD858" s="14" t="str">
        <f>IFERROR(VLOOKUP($A858,koronahun!$A:$AM,30,FALSE),"")</f>
        <v/>
      </c>
      <c r="AE858" s="14" t="str">
        <f>IFERROR(VLOOKUP($A858,koronahun!$A:$AM,31,FALSE),"")</f>
        <v/>
      </c>
      <c r="AF858" s="13" t="str">
        <f>IFERROR(VLOOKUP($A858,koronahun!$A:$AM,32,FALSE),"")</f>
        <v/>
      </c>
      <c r="AG858" t="str">
        <f>IFERROR(VLOOKUP($A858,koronahun!$A:$AM,33,FALSE),"")</f>
        <v/>
      </c>
      <c r="AH858" t="str">
        <f>IFERROR(VLOOKUP($A858,koronahun!$A:$AM,34,FALSE),"")</f>
        <v/>
      </c>
      <c r="AI858" t="str">
        <f>IFERROR(VLOOKUP($A858,koronahun!$A:$AM,35,FALSE),"")</f>
        <v/>
      </c>
      <c r="AJ858" t="str">
        <f>IFERROR(VLOOKUP($A858,koronahun!$A:$AM,36,FALSE),"")</f>
        <v/>
      </c>
      <c r="AK858" t="str">
        <f>IFERROR(VLOOKUP($A858,koronahun!$A:$AM,37,FALSE),"")</f>
        <v/>
      </c>
      <c r="AL858" t="str">
        <f>IFERROR(VLOOKUP($A858,koronahun!$A:$AM,38,FALSE),"")</f>
        <v/>
      </c>
      <c r="AM858" s="14" t="str">
        <f>IFERROR(VLOOKUP($A858,koronahun!$A:$AM,39,FALSE),"")</f>
        <v/>
      </c>
      <c r="AN858" s="11">
        <f ca="1">IFERROR(__xludf.DUMMYFUNCTION("""COMPUTED_VALUE"""),44750)</f>
        <v>44750</v>
      </c>
      <c r="AO858" s="12">
        <f ca="1">IFERROR(VLOOKUP(AN858,koronahun!A:B,2,FALSE),"")</f>
        <v>0</v>
      </c>
      <c r="AP858" s="11">
        <f t="shared" ca="1" si="6"/>
        <v>44750</v>
      </c>
      <c r="AQ858" s="11"/>
      <c r="AR858" s="11"/>
      <c r="AS858" s="11"/>
      <c r="AT858" s="11"/>
    </row>
    <row r="859" spans="1:46" ht="13">
      <c r="A859" s="11"/>
      <c r="B859" t="str">
        <f>IFERROR(VLOOKUP($A859,koronahun!$A:$AM,2,FALSE),"")</f>
        <v/>
      </c>
      <c r="C859" t="str">
        <f>IFERROR(VLOOKUP($A859,koronahun!$A:$AM,3,FALSE),"")</f>
        <v/>
      </c>
      <c r="D859" t="str">
        <f>IFERROR(VLOOKUP($A859,koronahun!$A:$AM,4,FALSE),"")</f>
        <v/>
      </c>
      <c r="E859" t="str">
        <f>IFERROR(VLOOKUP($A859,koronahun!$A:$AM,5,FALSE),"")</f>
        <v/>
      </c>
      <c r="F859" t="str">
        <f>IFERROR(VLOOKUP($A859,koronahun!$A:$AM,6,FALSE),"")</f>
        <v/>
      </c>
      <c r="G859" s="12" t="str">
        <f>IFERROR(VLOOKUP($A859,koronahun!$A:$AM,7,FALSE),"")</f>
        <v/>
      </c>
      <c r="H859" t="str">
        <f>IFERROR(VLOOKUP($A859,koronahun!$A:$AM,8,FALSE),"")</f>
        <v/>
      </c>
      <c r="I859" s="13" t="str">
        <f>IFERROR(VLOOKUP($A859,koronahun!$A:$AM,9,FALSE),"")</f>
        <v/>
      </c>
      <c r="J859" s="13" t="str">
        <f>IFERROR(VLOOKUP($A859,koronahun!$A:$AM,10,FALSE),"")</f>
        <v/>
      </c>
      <c r="K859" s="13" t="str">
        <f>IFERROR(VLOOKUP($A859,koronahun!$A:$AM,11,FALSE),"")</f>
        <v/>
      </c>
      <c r="L859" t="str">
        <f>IFERROR(VLOOKUP($A859,koronahun!$A:$AM,12,FALSE),"")</f>
        <v/>
      </c>
      <c r="M859" s="13" t="str">
        <f>IFERROR(VLOOKUP($A859,koronahun!$A:$AM,13,FALSE),"")</f>
        <v/>
      </c>
      <c r="N859" s="13" t="str">
        <f>IFERROR(VLOOKUP($A859,koronahun!$A:$AM,14,FALSE),"")</f>
        <v/>
      </c>
      <c r="O859" t="str">
        <f>IFERROR(VLOOKUP($A859,koronahun!$A:$AM,15,FALSE),"")</f>
        <v/>
      </c>
      <c r="P859" t="str">
        <f>IFERROR(VLOOKUP($A859,koronahun!$A:$AM,16,FALSE),"")</f>
        <v/>
      </c>
      <c r="Q859" s="13" t="str">
        <f>IFERROR(VLOOKUP($A859,koronahun!$A:$AM,17,FALSE),"")</f>
        <v/>
      </c>
      <c r="R859" t="str">
        <f>IFERROR(VLOOKUP($A859,koronahun!$A:$AM,18,FALSE),"")</f>
        <v/>
      </c>
      <c r="S859" t="str">
        <f>IFERROR(VLOOKUP($A859,koronahun!$A:$AM,19,FALSE),"")</f>
        <v/>
      </c>
      <c r="T859" t="str">
        <f>IFERROR(VLOOKUP($A859,koronahun!$A:$AM,20,FALSE),"")</f>
        <v/>
      </c>
      <c r="U859" t="str">
        <f>IFERROR(VLOOKUP($A859,koronahun!$A:$AM,21,FALSE),"")</f>
        <v/>
      </c>
      <c r="V859" s="13" t="str">
        <f>IFERROR(VLOOKUP($A859,koronahun!$A:$AM,22,FALSE),"")</f>
        <v/>
      </c>
      <c r="W859" t="str">
        <f>IFERROR(VLOOKUP($A859,koronahun!$A:$AM,23,FALSE),"")</f>
        <v/>
      </c>
      <c r="X859" t="str">
        <f>IFERROR(VLOOKUP($A859,koronahun!$A:$AM,24,FALSE),"")</f>
        <v/>
      </c>
      <c r="Y859" s="14" t="str">
        <f>IFERROR(VLOOKUP($A859,koronahun!$A:$AM,25,FALSE),"")</f>
        <v/>
      </c>
      <c r="Z859" s="14" t="str">
        <f>IFERROR(VLOOKUP($A859,koronahun!$A:$AM,26,FALSE),"")</f>
        <v/>
      </c>
      <c r="AA859" s="14" t="str">
        <f>IFERROR(VLOOKUP($A859,koronahun!$A:$AM,27,FALSE),"")</f>
        <v/>
      </c>
      <c r="AB859" s="14" t="str">
        <f>IFERROR(VLOOKUP($A859,koronahun!$A:$AM,28,FALSE),"")</f>
        <v/>
      </c>
      <c r="AC859" s="14" t="str">
        <f>IFERROR(VLOOKUP($A859,koronahun!$A:$AM,29,FALSE),"")</f>
        <v/>
      </c>
      <c r="AD859" s="14" t="str">
        <f>IFERROR(VLOOKUP($A859,koronahun!$A:$AM,30,FALSE),"")</f>
        <v/>
      </c>
      <c r="AE859" s="14" t="str">
        <f>IFERROR(VLOOKUP($A859,koronahun!$A:$AM,31,FALSE),"")</f>
        <v/>
      </c>
      <c r="AF859" s="13" t="str">
        <f>IFERROR(VLOOKUP($A859,koronahun!$A:$AM,32,FALSE),"")</f>
        <v/>
      </c>
      <c r="AG859" t="str">
        <f>IFERROR(VLOOKUP($A859,koronahun!$A:$AM,33,FALSE),"")</f>
        <v/>
      </c>
      <c r="AH859" t="str">
        <f>IFERROR(VLOOKUP($A859,koronahun!$A:$AM,34,FALSE),"")</f>
        <v/>
      </c>
      <c r="AI859" t="str">
        <f>IFERROR(VLOOKUP($A859,koronahun!$A:$AM,35,FALSE),"")</f>
        <v/>
      </c>
      <c r="AJ859" t="str">
        <f>IFERROR(VLOOKUP($A859,koronahun!$A:$AM,36,FALSE),"")</f>
        <v/>
      </c>
      <c r="AK859" t="str">
        <f>IFERROR(VLOOKUP($A859,koronahun!$A:$AM,37,FALSE),"")</f>
        <v/>
      </c>
      <c r="AL859" t="str">
        <f>IFERROR(VLOOKUP($A859,koronahun!$A:$AM,38,FALSE),"")</f>
        <v/>
      </c>
      <c r="AM859" s="14" t="str">
        <f>IFERROR(VLOOKUP($A859,koronahun!$A:$AM,39,FALSE),"")</f>
        <v/>
      </c>
      <c r="AN859" s="11">
        <f ca="1">IFERROR(__xludf.DUMMYFUNCTION("""COMPUTED_VALUE"""),44751)</f>
        <v>44751</v>
      </c>
      <c r="AO859" s="12">
        <f ca="1">IFERROR(VLOOKUP(AN859,koronahun!A:B,2,FALSE),"")</f>
        <v>0</v>
      </c>
      <c r="AP859" s="11">
        <f t="shared" ca="1" si="6"/>
        <v>44751</v>
      </c>
      <c r="AQ859" s="11"/>
      <c r="AR859" s="11"/>
      <c r="AS859" s="11"/>
      <c r="AT859" s="11"/>
    </row>
    <row r="860" spans="1:46" ht="13">
      <c r="A860" s="11"/>
      <c r="B860" t="str">
        <f>IFERROR(VLOOKUP($A860,koronahun!$A:$AM,2,FALSE),"")</f>
        <v/>
      </c>
      <c r="C860" t="str">
        <f>IFERROR(VLOOKUP($A860,koronahun!$A:$AM,3,FALSE),"")</f>
        <v/>
      </c>
      <c r="D860" t="str">
        <f>IFERROR(VLOOKUP($A860,koronahun!$A:$AM,4,FALSE),"")</f>
        <v/>
      </c>
      <c r="E860" t="str">
        <f>IFERROR(VLOOKUP($A860,koronahun!$A:$AM,5,FALSE),"")</f>
        <v/>
      </c>
      <c r="F860" t="str">
        <f>IFERROR(VLOOKUP($A860,koronahun!$A:$AM,6,FALSE),"")</f>
        <v/>
      </c>
      <c r="G860" s="12" t="str">
        <f>IFERROR(VLOOKUP($A860,koronahun!$A:$AM,7,FALSE),"")</f>
        <v/>
      </c>
      <c r="H860" t="str">
        <f>IFERROR(VLOOKUP($A860,koronahun!$A:$AM,8,FALSE),"")</f>
        <v/>
      </c>
      <c r="I860" s="13" t="str">
        <f>IFERROR(VLOOKUP($A860,koronahun!$A:$AM,9,FALSE),"")</f>
        <v/>
      </c>
      <c r="J860" s="13" t="str">
        <f>IFERROR(VLOOKUP($A860,koronahun!$A:$AM,10,FALSE),"")</f>
        <v/>
      </c>
      <c r="K860" s="13" t="str">
        <f>IFERROR(VLOOKUP($A860,koronahun!$A:$AM,11,FALSE),"")</f>
        <v/>
      </c>
      <c r="L860" t="str">
        <f>IFERROR(VLOOKUP($A860,koronahun!$A:$AM,12,FALSE),"")</f>
        <v/>
      </c>
      <c r="M860" s="13" t="str">
        <f>IFERROR(VLOOKUP($A860,koronahun!$A:$AM,13,FALSE),"")</f>
        <v/>
      </c>
      <c r="N860" s="13" t="str">
        <f>IFERROR(VLOOKUP($A860,koronahun!$A:$AM,14,FALSE),"")</f>
        <v/>
      </c>
      <c r="O860" t="str">
        <f>IFERROR(VLOOKUP($A860,koronahun!$A:$AM,15,FALSE),"")</f>
        <v/>
      </c>
      <c r="P860" t="str">
        <f>IFERROR(VLOOKUP($A860,koronahun!$A:$AM,16,FALSE),"")</f>
        <v/>
      </c>
      <c r="Q860" s="13" t="str">
        <f>IFERROR(VLOOKUP($A860,koronahun!$A:$AM,17,FALSE),"")</f>
        <v/>
      </c>
      <c r="R860" t="str">
        <f>IFERROR(VLOOKUP($A860,koronahun!$A:$AM,18,FALSE),"")</f>
        <v/>
      </c>
      <c r="S860" t="str">
        <f>IFERROR(VLOOKUP($A860,koronahun!$A:$AM,19,FALSE),"")</f>
        <v/>
      </c>
      <c r="T860" t="str">
        <f>IFERROR(VLOOKUP($A860,koronahun!$A:$AM,20,FALSE),"")</f>
        <v/>
      </c>
      <c r="U860" t="str">
        <f>IFERROR(VLOOKUP($A860,koronahun!$A:$AM,21,FALSE),"")</f>
        <v/>
      </c>
      <c r="V860" s="13" t="str">
        <f>IFERROR(VLOOKUP($A860,koronahun!$A:$AM,22,FALSE),"")</f>
        <v/>
      </c>
      <c r="W860" t="str">
        <f>IFERROR(VLOOKUP($A860,koronahun!$A:$AM,23,FALSE),"")</f>
        <v/>
      </c>
      <c r="X860" t="str">
        <f>IFERROR(VLOOKUP($A860,koronahun!$A:$AM,24,FALSE),"")</f>
        <v/>
      </c>
      <c r="Y860" s="14" t="str">
        <f>IFERROR(VLOOKUP($A860,koronahun!$A:$AM,25,FALSE),"")</f>
        <v/>
      </c>
      <c r="Z860" s="14" t="str">
        <f>IFERROR(VLOOKUP($A860,koronahun!$A:$AM,26,FALSE),"")</f>
        <v/>
      </c>
      <c r="AA860" s="14" t="str">
        <f>IFERROR(VLOOKUP($A860,koronahun!$A:$AM,27,FALSE),"")</f>
        <v/>
      </c>
      <c r="AB860" s="14" t="str">
        <f>IFERROR(VLOOKUP($A860,koronahun!$A:$AM,28,FALSE),"")</f>
        <v/>
      </c>
      <c r="AC860" s="14" t="str">
        <f>IFERROR(VLOOKUP($A860,koronahun!$A:$AM,29,FALSE),"")</f>
        <v/>
      </c>
      <c r="AD860" s="14" t="str">
        <f>IFERROR(VLOOKUP($A860,koronahun!$A:$AM,30,FALSE),"")</f>
        <v/>
      </c>
      <c r="AE860" s="14" t="str">
        <f>IFERROR(VLOOKUP($A860,koronahun!$A:$AM,31,FALSE),"")</f>
        <v/>
      </c>
      <c r="AF860" s="13" t="str">
        <f>IFERROR(VLOOKUP($A860,koronahun!$A:$AM,32,FALSE),"")</f>
        <v/>
      </c>
      <c r="AG860" t="str">
        <f>IFERROR(VLOOKUP($A860,koronahun!$A:$AM,33,FALSE),"")</f>
        <v/>
      </c>
      <c r="AH860" t="str">
        <f>IFERROR(VLOOKUP($A860,koronahun!$A:$AM,34,FALSE),"")</f>
        <v/>
      </c>
      <c r="AI860" t="str">
        <f>IFERROR(VLOOKUP($A860,koronahun!$A:$AM,35,FALSE),"")</f>
        <v/>
      </c>
      <c r="AJ860" t="str">
        <f>IFERROR(VLOOKUP($A860,koronahun!$A:$AM,36,FALSE),"")</f>
        <v/>
      </c>
      <c r="AK860" t="str">
        <f>IFERROR(VLOOKUP($A860,koronahun!$A:$AM,37,FALSE),"")</f>
        <v/>
      </c>
      <c r="AL860" t="str">
        <f>IFERROR(VLOOKUP($A860,koronahun!$A:$AM,38,FALSE),"")</f>
        <v/>
      </c>
      <c r="AM860" s="14" t="str">
        <f>IFERROR(VLOOKUP($A860,koronahun!$A:$AM,39,FALSE),"")</f>
        <v/>
      </c>
      <c r="AN860" s="11">
        <f ca="1">IFERROR(__xludf.DUMMYFUNCTION("""COMPUTED_VALUE"""),44752)</f>
        <v>44752</v>
      </c>
      <c r="AO860" s="12">
        <f ca="1">IFERROR(VLOOKUP(AN860,koronahun!A:B,2,FALSE),"")</f>
        <v>0</v>
      </c>
      <c r="AP860" s="11">
        <f t="shared" ca="1" si="6"/>
        <v>44752</v>
      </c>
      <c r="AQ860" s="11"/>
      <c r="AR860" s="11"/>
      <c r="AS860" s="11"/>
      <c r="AT860" s="11"/>
    </row>
    <row r="861" spans="1:46" ht="13">
      <c r="A861" s="11"/>
      <c r="B861" t="str">
        <f>IFERROR(VLOOKUP($A861,koronahun!$A:$AM,2,FALSE),"")</f>
        <v/>
      </c>
      <c r="C861" t="str">
        <f>IFERROR(VLOOKUP($A861,koronahun!$A:$AM,3,FALSE),"")</f>
        <v/>
      </c>
      <c r="D861" t="str">
        <f>IFERROR(VLOOKUP($A861,koronahun!$A:$AM,4,FALSE),"")</f>
        <v/>
      </c>
      <c r="E861" t="str">
        <f>IFERROR(VLOOKUP($A861,koronahun!$A:$AM,5,FALSE),"")</f>
        <v/>
      </c>
      <c r="F861" t="str">
        <f>IFERROR(VLOOKUP($A861,koronahun!$A:$AM,6,FALSE),"")</f>
        <v/>
      </c>
      <c r="G861" s="12" t="str">
        <f>IFERROR(VLOOKUP($A861,koronahun!$A:$AM,7,FALSE),"")</f>
        <v/>
      </c>
      <c r="H861" t="str">
        <f>IFERROR(VLOOKUP($A861,koronahun!$A:$AM,8,FALSE),"")</f>
        <v/>
      </c>
      <c r="I861" s="13" t="str">
        <f>IFERROR(VLOOKUP($A861,koronahun!$A:$AM,9,FALSE),"")</f>
        <v/>
      </c>
      <c r="J861" s="13" t="str">
        <f>IFERROR(VLOOKUP($A861,koronahun!$A:$AM,10,FALSE),"")</f>
        <v/>
      </c>
      <c r="K861" s="13" t="str">
        <f>IFERROR(VLOOKUP($A861,koronahun!$A:$AM,11,FALSE),"")</f>
        <v/>
      </c>
      <c r="L861" t="str">
        <f>IFERROR(VLOOKUP($A861,koronahun!$A:$AM,12,FALSE),"")</f>
        <v/>
      </c>
      <c r="M861" s="13" t="str">
        <f>IFERROR(VLOOKUP($A861,koronahun!$A:$AM,13,FALSE),"")</f>
        <v/>
      </c>
      <c r="N861" s="13" t="str">
        <f>IFERROR(VLOOKUP($A861,koronahun!$A:$AM,14,FALSE),"")</f>
        <v/>
      </c>
      <c r="O861" t="str">
        <f>IFERROR(VLOOKUP($A861,koronahun!$A:$AM,15,FALSE),"")</f>
        <v/>
      </c>
      <c r="P861" t="str">
        <f>IFERROR(VLOOKUP($A861,koronahun!$A:$AM,16,FALSE),"")</f>
        <v/>
      </c>
      <c r="Q861" s="13" t="str">
        <f>IFERROR(VLOOKUP($A861,koronahun!$A:$AM,17,FALSE),"")</f>
        <v/>
      </c>
      <c r="R861" t="str">
        <f>IFERROR(VLOOKUP($A861,koronahun!$A:$AM,18,FALSE),"")</f>
        <v/>
      </c>
      <c r="S861" t="str">
        <f>IFERROR(VLOOKUP($A861,koronahun!$A:$AM,19,FALSE),"")</f>
        <v/>
      </c>
      <c r="T861" t="str">
        <f>IFERROR(VLOOKUP($A861,koronahun!$A:$AM,20,FALSE),"")</f>
        <v/>
      </c>
      <c r="U861" t="str">
        <f>IFERROR(VLOOKUP($A861,koronahun!$A:$AM,21,FALSE),"")</f>
        <v/>
      </c>
      <c r="V861" s="13" t="str">
        <f>IFERROR(VLOOKUP($A861,koronahun!$A:$AM,22,FALSE),"")</f>
        <v/>
      </c>
      <c r="W861" t="str">
        <f>IFERROR(VLOOKUP($A861,koronahun!$A:$AM,23,FALSE),"")</f>
        <v/>
      </c>
      <c r="X861" t="str">
        <f>IFERROR(VLOOKUP($A861,koronahun!$A:$AM,24,FALSE),"")</f>
        <v/>
      </c>
      <c r="Y861" s="14" t="str">
        <f>IFERROR(VLOOKUP($A861,koronahun!$A:$AM,25,FALSE),"")</f>
        <v/>
      </c>
      <c r="Z861" s="14" t="str">
        <f>IFERROR(VLOOKUP($A861,koronahun!$A:$AM,26,FALSE),"")</f>
        <v/>
      </c>
      <c r="AA861" s="14" t="str">
        <f>IFERROR(VLOOKUP($A861,koronahun!$A:$AM,27,FALSE),"")</f>
        <v/>
      </c>
      <c r="AB861" s="14" t="str">
        <f>IFERROR(VLOOKUP($A861,koronahun!$A:$AM,28,FALSE),"")</f>
        <v/>
      </c>
      <c r="AC861" s="14" t="str">
        <f>IFERROR(VLOOKUP($A861,koronahun!$A:$AM,29,FALSE),"")</f>
        <v/>
      </c>
      <c r="AD861" s="14" t="str">
        <f>IFERROR(VLOOKUP($A861,koronahun!$A:$AM,30,FALSE),"")</f>
        <v/>
      </c>
      <c r="AE861" s="14" t="str">
        <f>IFERROR(VLOOKUP($A861,koronahun!$A:$AM,31,FALSE),"")</f>
        <v/>
      </c>
      <c r="AF861" s="13" t="str">
        <f>IFERROR(VLOOKUP($A861,koronahun!$A:$AM,32,FALSE),"")</f>
        <v/>
      </c>
      <c r="AG861" t="str">
        <f>IFERROR(VLOOKUP($A861,koronahun!$A:$AM,33,FALSE),"")</f>
        <v/>
      </c>
      <c r="AH861" t="str">
        <f>IFERROR(VLOOKUP($A861,koronahun!$A:$AM,34,FALSE),"")</f>
        <v/>
      </c>
      <c r="AI861" t="str">
        <f>IFERROR(VLOOKUP($A861,koronahun!$A:$AM,35,FALSE),"")</f>
        <v/>
      </c>
      <c r="AJ861" t="str">
        <f>IFERROR(VLOOKUP($A861,koronahun!$A:$AM,36,FALSE),"")</f>
        <v/>
      </c>
      <c r="AK861" t="str">
        <f>IFERROR(VLOOKUP($A861,koronahun!$A:$AM,37,FALSE),"")</f>
        <v/>
      </c>
      <c r="AL861" t="str">
        <f>IFERROR(VLOOKUP($A861,koronahun!$A:$AM,38,FALSE),"")</f>
        <v/>
      </c>
      <c r="AM861" s="14" t="str">
        <f>IFERROR(VLOOKUP($A861,koronahun!$A:$AM,39,FALSE),"")</f>
        <v/>
      </c>
      <c r="AN861" s="11">
        <f ca="1">IFERROR(__xludf.DUMMYFUNCTION("""COMPUTED_VALUE"""),44753)</f>
        <v>44753</v>
      </c>
      <c r="AO861" s="12">
        <f ca="1">IFERROR(VLOOKUP(AN861,koronahun!A:B,2,FALSE),"")</f>
        <v>0</v>
      </c>
      <c r="AP861" s="11">
        <f t="shared" ca="1" si="6"/>
        <v>44753</v>
      </c>
      <c r="AQ861" s="11"/>
      <c r="AR861" s="11"/>
      <c r="AS861" s="11"/>
      <c r="AT861" s="11"/>
    </row>
    <row r="862" spans="1:46" ht="13">
      <c r="A862" s="11"/>
      <c r="B862" t="str">
        <f>IFERROR(VLOOKUP($A862,koronahun!$A:$AM,2,FALSE),"")</f>
        <v/>
      </c>
      <c r="C862" t="str">
        <f>IFERROR(VLOOKUP($A862,koronahun!$A:$AM,3,FALSE),"")</f>
        <v/>
      </c>
      <c r="D862" t="str">
        <f>IFERROR(VLOOKUP($A862,koronahun!$A:$AM,4,FALSE),"")</f>
        <v/>
      </c>
      <c r="E862" t="str">
        <f>IFERROR(VLOOKUP($A862,koronahun!$A:$AM,5,FALSE),"")</f>
        <v/>
      </c>
      <c r="F862" t="str">
        <f>IFERROR(VLOOKUP($A862,koronahun!$A:$AM,6,FALSE),"")</f>
        <v/>
      </c>
      <c r="G862" s="12" t="str">
        <f>IFERROR(VLOOKUP($A862,koronahun!$A:$AM,7,FALSE),"")</f>
        <v/>
      </c>
      <c r="H862" t="str">
        <f>IFERROR(VLOOKUP($A862,koronahun!$A:$AM,8,FALSE),"")</f>
        <v/>
      </c>
      <c r="I862" s="13" t="str">
        <f>IFERROR(VLOOKUP($A862,koronahun!$A:$AM,9,FALSE),"")</f>
        <v/>
      </c>
      <c r="J862" s="13" t="str">
        <f>IFERROR(VLOOKUP($A862,koronahun!$A:$AM,10,FALSE),"")</f>
        <v/>
      </c>
      <c r="K862" s="13" t="str">
        <f>IFERROR(VLOOKUP($A862,koronahun!$A:$AM,11,FALSE),"")</f>
        <v/>
      </c>
      <c r="L862" t="str">
        <f>IFERROR(VLOOKUP($A862,koronahun!$A:$AM,12,FALSE),"")</f>
        <v/>
      </c>
      <c r="M862" s="13" t="str">
        <f>IFERROR(VLOOKUP($A862,koronahun!$A:$AM,13,FALSE),"")</f>
        <v/>
      </c>
      <c r="N862" s="13" t="str">
        <f>IFERROR(VLOOKUP($A862,koronahun!$A:$AM,14,FALSE),"")</f>
        <v/>
      </c>
      <c r="O862" t="str">
        <f>IFERROR(VLOOKUP($A862,koronahun!$A:$AM,15,FALSE),"")</f>
        <v/>
      </c>
      <c r="P862" t="str">
        <f>IFERROR(VLOOKUP($A862,koronahun!$A:$AM,16,FALSE),"")</f>
        <v/>
      </c>
      <c r="Q862" s="13" t="str">
        <f>IFERROR(VLOOKUP($A862,koronahun!$A:$AM,17,FALSE),"")</f>
        <v/>
      </c>
      <c r="R862" t="str">
        <f>IFERROR(VLOOKUP($A862,koronahun!$A:$AM,18,FALSE),"")</f>
        <v/>
      </c>
      <c r="S862" t="str">
        <f>IFERROR(VLOOKUP($A862,koronahun!$A:$AM,19,FALSE),"")</f>
        <v/>
      </c>
      <c r="T862" t="str">
        <f>IFERROR(VLOOKUP($A862,koronahun!$A:$AM,20,FALSE),"")</f>
        <v/>
      </c>
      <c r="U862" t="str">
        <f>IFERROR(VLOOKUP($A862,koronahun!$A:$AM,21,FALSE),"")</f>
        <v/>
      </c>
      <c r="V862" s="13" t="str">
        <f>IFERROR(VLOOKUP($A862,koronahun!$A:$AM,22,FALSE),"")</f>
        <v/>
      </c>
      <c r="W862" t="str">
        <f>IFERROR(VLOOKUP($A862,koronahun!$A:$AM,23,FALSE),"")</f>
        <v/>
      </c>
      <c r="X862" t="str">
        <f>IFERROR(VLOOKUP($A862,koronahun!$A:$AM,24,FALSE),"")</f>
        <v/>
      </c>
      <c r="Y862" s="14" t="str">
        <f>IFERROR(VLOOKUP($A862,koronahun!$A:$AM,25,FALSE),"")</f>
        <v/>
      </c>
      <c r="Z862" s="14" t="str">
        <f>IFERROR(VLOOKUP($A862,koronahun!$A:$AM,26,FALSE),"")</f>
        <v/>
      </c>
      <c r="AA862" s="14" t="str">
        <f>IFERROR(VLOOKUP($A862,koronahun!$A:$AM,27,FALSE),"")</f>
        <v/>
      </c>
      <c r="AB862" s="14" t="str">
        <f>IFERROR(VLOOKUP($A862,koronahun!$A:$AM,28,FALSE),"")</f>
        <v/>
      </c>
      <c r="AC862" s="14" t="str">
        <f>IFERROR(VLOOKUP($A862,koronahun!$A:$AM,29,FALSE),"")</f>
        <v/>
      </c>
      <c r="AD862" s="14" t="str">
        <f>IFERROR(VLOOKUP($A862,koronahun!$A:$AM,30,FALSE),"")</f>
        <v/>
      </c>
      <c r="AE862" s="14" t="str">
        <f>IFERROR(VLOOKUP($A862,koronahun!$A:$AM,31,FALSE),"")</f>
        <v/>
      </c>
      <c r="AF862" s="13" t="str">
        <f>IFERROR(VLOOKUP($A862,koronahun!$A:$AM,32,FALSE),"")</f>
        <v/>
      </c>
      <c r="AG862" t="str">
        <f>IFERROR(VLOOKUP($A862,koronahun!$A:$AM,33,FALSE),"")</f>
        <v/>
      </c>
      <c r="AH862" t="str">
        <f>IFERROR(VLOOKUP($A862,koronahun!$A:$AM,34,FALSE),"")</f>
        <v/>
      </c>
      <c r="AI862" t="str">
        <f>IFERROR(VLOOKUP($A862,koronahun!$A:$AM,35,FALSE),"")</f>
        <v/>
      </c>
      <c r="AJ862" t="str">
        <f>IFERROR(VLOOKUP($A862,koronahun!$A:$AM,36,FALSE),"")</f>
        <v/>
      </c>
      <c r="AK862" t="str">
        <f>IFERROR(VLOOKUP($A862,koronahun!$A:$AM,37,FALSE),"")</f>
        <v/>
      </c>
      <c r="AL862" t="str">
        <f>IFERROR(VLOOKUP($A862,koronahun!$A:$AM,38,FALSE),"")</f>
        <v/>
      </c>
      <c r="AM862" s="14" t="str">
        <f>IFERROR(VLOOKUP($A862,koronahun!$A:$AM,39,FALSE),"")</f>
        <v/>
      </c>
      <c r="AN862" s="11">
        <f ca="1">IFERROR(__xludf.DUMMYFUNCTION("""COMPUTED_VALUE"""),44754)</f>
        <v>44754</v>
      </c>
      <c r="AO862" s="12">
        <f ca="1">IFERROR(VLOOKUP(AN862,koronahun!A:B,2,FALSE),"")</f>
        <v>0</v>
      </c>
      <c r="AP862" s="11">
        <f t="shared" ca="1" si="6"/>
        <v>44754</v>
      </c>
      <c r="AQ862" s="11"/>
      <c r="AR862" s="11"/>
      <c r="AS862" s="11"/>
      <c r="AT862" s="11"/>
    </row>
    <row r="863" spans="1:46" ht="13">
      <c r="A863" s="11"/>
      <c r="B863" t="str">
        <f>IFERROR(VLOOKUP($A863,koronahun!$A:$AM,2,FALSE),"")</f>
        <v/>
      </c>
      <c r="C863" t="str">
        <f>IFERROR(VLOOKUP($A863,koronahun!$A:$AM,3,FALSE),"")</f>
        <v/>
      </c>
      <c r="D863" t="str">
        <f>IFERROR(VLOOKUP($A863,koronahun!$A:$AM,4,FALSE),"")</f>
        <v/>
      </c>
      <c r="E863" t="str">
        <f>IFERROR(VLOOKUP($A863,koronahun!$A:$AM,5,FALSE),"")</f>
        <v/>
      </c>
      <c r="F863" t="str">
        <f>IFERROR(VLOOKUP($A863,koronahun!$A:$AM,6,FALSE),"")</f>
        <v/>
      </c>
      <c r="G863" s="12" t="str">
        <f>IFERROR(VLOOKUP($A863,koronahun!$A:$AM,7,FALSE),"")</f>
        <v/>
      </c>
      <c r="H863" t="str">
        <f>IFERROR(VLOOKUP($A863,koronahun!$A:$AM,8,FALSE),"")</f>
        <v/>
      </c>
      <c r="I863" s="13" t="str">
        <f>IFERROR(VLOOKUP($A863,koronahun!$A:$AM,9,FALSE),"")</f>
        <v/>
      </c>
      <c r="J863" s="13" t="str">
        <f>IFERROR(VLOOKUP($A863,koronahun!$A:$AM,10,FALSE),"")</f>
        <v/>
      </c>
      <c r="K863" s="13" t="str">
        <f>IFERROR(VLOOKUP($A863,koronahun!$A:$AM,11,FALSE),"")</f>
        <v/>
      </c>
      <c r="L863" t="str">
        <f>IFERROR(VLOOKUP($A863,koronahun!$A:$AM,12,FALSE),"")</f>
        <v/>
      </c>
      <c r="M863" s="13" t="str">
        <f>IFERROR(VLOOKUP($A863,koronahun!$A:$AM,13,FALSE),"")</f>
        <v/>
      </c>
      <c r="N863" s="13" t="str">
        <f>IFERROR(VLOOKUP($A863,koronahun!$A:$AM,14,FALSE),"")</f>
        <v/>
      </c>
      <c r="O863" t="str">
        <f>IFERROR(VLOOKUP($A863,koronahun!$A:$AM,15,FALSE),"")</f>
        <v/>
      </c>
      <c r="P863" t="str">
        <f>IFERROR(VLOOKUP($A863,koronahun!$A:$AM,16,FALSE),"")</f>
        <v/>
      </c>
      <c r="Q863" s="13" t="str">
        <f>IFERROR(VLOOKUP($A863,koronahun!$A:$AM,17,FALSE),"")</f>
        <v/>
      </c>
      <c r="R863" t="str">
        <f>IFERROR(VLOOKUP($A863,koronahun!$A:$AM,18,FALSE),"")</f>
        <v/>
      </c>
      <c r="S863" t="str">
        <f>IFERROR(VLOOKUP($A863,koronahun!$A:$AM,19,FALSE),"")</f>
        <v/>
      </c>
      <c r="T863" t="str">
        <f>IFERROR(VLOOKUP($A863,koronahun!$A:$AM,20,FALSE),"")</f>
        <v/>
      </c>
      <c r="U863" t="str">
        <f>IFERROR(VLOOKUP($A863,koronahun!$A:$AM,21,FALSE),"")</f>
        <v/>
      </c>
      <c r="V863" s="13" t="str">
        <f>IFERROR(VLOOKUP($A863,koronahun!$A:$AM,22,FALSE),"")</f>
        <v/>
      </c>
      <c r="W863" t="str">
        <f>IFERROR(VLOOKUP($A863,koronahun!$A:$AM,23,FALSE),"")</f>
        <v/>
      </c>
      <c r="X863" t="str">
        <f>IFERROR(VLOOKUP($A863,koronahun!$A:$AM,24,FALSE),"")</f>
        <v/>
      </c>
      <c r="Y863" s="14" t="str">
        <f>IFERROR(VLOOKUP($A863,koronahun!$A:$AM,25,FALSE),"")</f>
        <v/>
      </c>
      <c r="Z863" s="14" t="str">
        <f>IFERROR(VLOOKUP($A863,koronahun!$A:$AM,26,FALSE),"")</f>
        <v/>
      </c>
      <c r="AA863" s="14" t="str">
        <f>IFERROR(VLOOKUP($A863,koronahun!$A:$AM,27,FALSE),"")</f>
        <v/>
      </c>
      <c r="AB863" s="14" t="str">
        <f>IFERROR(VLOOKUP($A863,koronahun!$A:$AM,28,FALSE),"")</f>
        <v/>
      </c>
      <c r="AC863" s="14" t="str">
        <f>IFERROR(VLOOKUP($A863,koronahun!$A:$AM,29,FALSE),"")</f>
        <v/>
      </c>
      <c r="AD863" s="14" t="str">
        <f>IFERROR(VLOOKUP($A863,koronahun!$A:$AM,30,FALSE),"")</f>
        <v/>
      </c>
      <c r="AE863" s="14" t="str">
        <f>IFERROR(VLOOKUP($A863,koronahun!$A:$AM,31,FALSE),"")</f>
        <v/>
      </c>
      <c r="AF863" s="13" t="str">
        <f>IFERROR(VLOOKUP($A863,koronahun!$A:$AM,32,FALSE),"")</f>
        <v/>
      </c>
      <c r="AG863" t="str">
        <f>IFERROR(VLOOKUP($A863,koronahun!$A:$AM,33,FALSE),"")</f>
        <v/>
      </c>
      <c r="AH863" t="str">
        <f>IFERROR(VLOOKUP($A863,koronahun!$A:$AM,34,FALSE),"")</f>
        <v/>
      </c>
      <c r="AI863" t="str">
        <f>IFERROR(VLOOKUP($A863,koronahun!$A:$AM,35,FALSE),"")</f>
        <v/>
      </c>
      <c r="AJ863" t="str">
        <f>IFERROR(VLOOKUP($A863,koronahun!$A:$AM,36,FALSE),"")</f>
        <v/>
      </c>
      <c r="AK863" t="str">
        <f>IFERROR(VLOOKUP($A863,koronahun!$A:$AM,37,FALSE),"")</f>
        <v/>
      </c>
      <c r="AL863" t="str">
        <f>IFERROR(VLOOKUP($A863,koronahun!$A:$AM,38,FALSE),"")</f>
        <v/>
      </c>
      <c r="AM863" s="14" t="str">
        <f>IFERROR(VLOOKUP($A863,koronahun!$A:$AM,39,FALSE),"")</f>
        <v/>
      </c>
      <c r="AN863" s="11">
        <f ca="1">IFERROR(__xludf.DUMMYFUNCTION("""COMPUTED_VALUE"""),44755)</f>
        <v>44755</v>
      </c>
      <c r="AO863" s="12">
        <f ca="1">IFERROR(VLOOKUP(AN863,koronahun!A:B,2,FALSE),"")</f>
        <v>1940824</v>
      </c>
      <c r="AP863" s="11">
        <f t="shared" ca="1" si="6"/>
        <v>44755</v>
      </c>
      <c r="AQ863" s="11"/>
      <c r="AR863" s="11"/>
      <c r="AS863" s="11"/>
      <c r="AT863" s="11"/>
    </row>
    <row r="864" spans="1:46" ht="13">
      <c r="A864" s="11"/>
      <c r="B864" t="str">
        <f>IFERROR(VLOOKUP($A864,koronahun!$A:$AM,2,FALSE),"")</f>
        <v/>
      </c>
      <c r="C864" t="str">
        <f>IFERROR(VLOOKUP($A864,koronahun!$A:$AM,3,FALSE),"")</f>
        <v/>
      </c>
      <c r="D864" t="str">
        <f>IFERROR(VLOOKUP($A864,koronahun!$A:$AM,4,FALSE),"")</f>
        <v/>
      </c>
      <c r="E864" t="str">
        <f>IFERROR(VLOOKUP($A864,koronahun!$A:$AM,5,FALSE),"")</f>
        <v/>
      </c>
      <c r="F864" t="str">
        <f>IFERROR(VLOOKUP($A864,koronahun!$A:$AM,6,FALSE),"")</f>
        <v/>
      </c>
      <c r="G864" s="12" t="str">
        <f>IFERROR(VLOOKUP($A864,koronahun!$A:$AM,7,FALSE),"")</f>
        <v/>
      </c>
      <c r="H864" t="str">
        <f>IFERROR(VLOOKUP($A864,koronahun!$A:$AM,8,FALSE),"")</f>
        <v/>
      </c>
      <c r="I864" s="13" t="str">
        <f>IFERROR(VLOOKUP($A864,koronahun!$A:$AM,9,FALSE),"")</f>
        <v/>
      </c>
      <c r="J864" s="13" t="str">
        <f>IFERROR(VLOOKUP($A864,koronahun!$A:$AM,10,FALSE),"")</f>
        <v/>
      </c>
      <c r="K864" s="13" t="str">
        <f>IFERROR(VLOOKUP($A864,koronahun!$A:$AM,11,FALSE),"")</f>
        <v/>
      </c>
      <c r="L864" t="str">
        <f>IFERROR(VLOOKUP($A864,koronahun!$A:$AM,12,FALSE),"")</f>
        <v/>
      </c>
      <c r="M864" s="13" t="str">
        <f>IFERROR(VLOOKUP($A864,koronahun!$A:$AM,13,FALSE),"")</f>
        <v/>
      </c>
      <c r="N864" s="13" t="str">
        <f>IFERROR(VLOOKUP($A864,koronahun!$A:$AM,14,FALSE),"")</f>
        <v/>
      </c>
      <c r="O864" t="str">
        <f>IFERROR(VLOOKUP($A864,koronahun!$A:$AM,15,FALSE),"")</f>
        <v/>
      </c>
      <c r="P864" t="str">
        <f>IFERROR(VLOOKUP($A864,koronahun!$A:$AM,16,FALSE),"")</f>
        <v/>
      </c>
      <c r="Q864" s="13" t="str">
        <f>IFERROR(VLOOKUP($A864,koronahun!$A:$AM,17,FALSE),"")</f>
        <v/>
      </c>
      <c r="R864" t="str">
        <f>IFERROR(VLOOKUP($A864,koronahun!$A:$AM,18,FALSE),"")</f>
        <v/>
      </c>
      <c r="S864" t="str">
        <f>IFERROR(VLOOKUP($A864,koronahun!$A:$AM,19,FALSE),"")</f>
        <v/>
      </c>
      <c r="T864" t="str">
        <f>IFERROR(VLOOKUP($A864,koronahun!$A:$AM,20,FALSE),"")</f>
        <v/>
      </c>
      <c r="U864" t="str">
        <f>IFERROR(VLOOKUP($A864,koronahun!$A:$AM,21,FALSE),"")</f>
        <v/>
      </c>
      <c r="V864" s="13" t="str">
        <f>IFERROR(VLOOKUP($A864,koronahun!$A:$AM,22,FALSE),"")</f>
        <v/>
      </c>
      <c r="W864" t="str">
        <f>IFERROR(VLOOKUP($A864,koronahun!$A:$AM,23,FALSE),"")</f>
        <v/>
      </c>
      <c r="X864" t="str">
        <f>IFERROR(VLOOKUP($A864,koronahun!$A:$AM,24,FALSE),"")</f>
        <v/>
      </c>
      <c r="Y864" s="14" t="str">
        <f>IFERROR(VLOOKUP($A864,koronahun!$A:$AM,25,FALSE),"")</f>
        <v/>
      </c>
      <c r="Z864" s="14" t="str">
        <f>IFERROR(VLOOKUP($A864,koronahun!$A:$AM,26,FALSE),"")</f>
        <v/>
      </c>
      <c r="AA864" s="14" t="str">
        <f>IFERROR(VLOOKUP($A864,koronahun!$A:$AM,27,FALSE),"")</f>
        <v/>
      </c>
      <c r="AB864" s="14" t="str">
        <f>IFERROR(VLOOKUP($A864,koronahun!$A:$AM,28,FALSE),"")</f>
        <v/>
      </c>
      <c r="AC864" s="14" t="str">
        <f>IFERROR(VLOOKUP($A864,koronahun!$A:$AM,29,FALSE),"")</f>
        <v/>
      </c>
      <c r="AD864" s="14" t="str">
        <f>IFERROR(VLOOKUP($A864,koronahun!$A:$AM,30,FALSE),"")</f>
        <v/>
      </c>
      <c r="AE864" s="14" t="str">
        <f>IFERROR(VLOOKUP($A864,koronahun!$A:$AM,31,FALSE),"")</f>
        <v/>
      </c>
      <c r="AF864" s="13" t="str">
        <f>IFERROR(VLOOKUP($A864,koronahun!$A:$AM,32,FALSE),"")</f>
        <v/>
      </c>
      <c r="AG864" t="str">
        <f>IFERROR(VLOOKUP($A864,koronahun!$A:$AM,33,FALSE),"")</f>
        <v/>
      </c>
      <c r="AH864" t="str">
        <f>IFERROR(VLOOKUP($A864,koronahun!$A:$AM,34,FALSE),"")</f>
        <v/>
      </c>
      <c r="AI864" t="str">
        <f>IFERROR(VLOOKUP($A864,koronahun!$A:$AM,35,FALSE),"")</f>
        <v/>
      </c>
      <c r="AJ864" t="str">
        <f>IFERROR(VLOOKUP($A864,koronahun!$A:$AM,36,FALSE),"")</f>
        <v/>
      </c>
      <c r="AK864" t="str">
        <f>IFERROR(VLOOKUP($A864,koronahun!$A:$AM,37,FALSE),"")</f>
        <v/>
      </c>
      <c r="AL864" t="str">
        <f>IFERROR(VLOOKUP($A864,koronahun!$A:$AM,38,FALSE),"")</f>
        <v/>
      </c>
      <c r="AM864" s="14" t="str">
        <f>IFERROR(VLOOKUP($A864,koronahun!$A:$AM,39,FALSE),"")</f>
        <v/>
      </c>
      <c r="AN864" s="11">
        <f ca="1">IFERROR(__xludf.DUMMYFUNCTION("""COMPUTED_VALUE"""),44756)</f>
        <v>44756</v>
      </c>
      <c r="AO864" s="12">
        <f ca="1">IFERROR(VLOOKUP(AN864,koronahun!A:B,2,FALSE),"")</f>
        <v>0</v>
      </c>
      <c r="AP864" s="11">
        <f t="shared" ca="1" si="6"/>
        <v>44756</v>
      </c>
      <c r="AQ864" s="11"/>
      <c r="AR864" s="11"/>
      <c r="AS864" s="11"/>
      <c r="AT864" s="11"/>
    </row>
    <row r="865" spans="1:46" ht="13">
      <c r="A865" s="11"/>
      <c r="B865" t="str">
        <f>IFERROR(VLOOKUP($A865,koronahun!$A:$AM,2,FALSE),"")</f>
        <v/>
      </c>
      <c r="C865" t="str">
        <f>IFERROR(VLOOKUP($A865,koronahun!$A:$AM,3,FALSE),"")</f>
        <v/>
      </c>
      <c r="D865" t="str">
        <f>IFERROR(VLOOKUP($A865,koronahun!$A:$AM,4,FALSE),"")</f>
        <v/>
      </c>
      <c r="E865" t="str">
        <f>IFERROR(VLOOKUP($A865,koronahun!$A:$AM,5,FALSE),"")</f>
        <v/>
      </c>
      <c r="F865" t="str">
        <f>IFERROR(VLOOKUP($A865,koronahun!$A:$AM,6,FALSE),"")</f>
        <v/>
      </c>
      <c r="G865" s="12" t="str">
        <f>IFERROR(VLOOKUP($A865,koronahun!$A:$AM,7,FALSE),"")</f>
        <v/>
      </c>
      <c r="H865" t="str">
        <f>IFERROR(VLOOKUP($A865,koronahun!$A:$AM,8,FALSE),"")</f>
        <v/>
      </c>
      <c r="I865" s="13" t="str">
        <f>IFERROR(VLOOKUP($A865,koronahun!$A:$AM,9,FALSE),"")</f>
        <v/>
      </c>
      <c r="J865" s="13" t="str">
        <f>IFERROR(VLOOKUP($A865,koronahun!$A:$AM,10,FALSE),"")</f>
        <v/>
      </c>
      <c r="K865" s="13" t="str">
        <f>IFERROR(VLOOKUP($A865,koronahun!$A:$AM,11,FALSE),"")</f>
        <v/>
      </c>
      <c r="L865" t="str">
        <f>IFERROR(VLOOKUP($A865,koronahun!$A:$AM,12,FALSE),"")</f>
        <v/>
      </c>
      <c r="M865" s="13" t="str">
        <f>IFERROR(VLOOKUP($A865,koronahun!$A:$AM,13,FALSE),"")</f>
        <v/>
      </c>
      <c r="N865" s="13" t="str">
        <f>IFERROR(VLOOKUP($A865,koronahun!$A:$AM,14,FALSE),"")</f>
        <v/>
      </c>
      <c r="O865" t="str">
        <f>IFERROR(VLOOKUP($A865,koronahun!$A:$AM,15,FALSE),"")</f>
        <v/>
      </c>
      <c r="P865" t="str">
        <f>IFERROR(VLOOKUP($A865,koronahun!$A:$AM,16,FALSE),"")</f>
        <v/>
      </c>
      <c r="Q865" s="13" t="str">
        <f>IFERROR(VLOOKUP($A865,koronahun!$A:$AM,17,FALSE),"")</f>
        <v/>
      </c>
      <c r="R865" t="str">
        <f>IFERROR(VLOOKUP($A865,koronahun!$A:$AM,18,FALSE),"")</f>
        <v/>
      </c>
      <c r="S865" t="str">
        <f>IFERROR(VLOOKUP($A865,koronahun!$A:$AM,19,FALSE),"")</f>
        <v/>
      </c>
      <c r="T865" t="str">
        <f>IFERROR(VLOOKUP($A865,koronahun!$A:$AM,20,FALSE),"")</f>
        <v/>
      </c>
      <c r="U865" t="str">
        <f>IFERROR(VLOOKUP($A865,koronahun!$A:$AM,21,FALSE),"")</f>
        <v/>
      </c>
      <c r="V865" s="13" t="str">
        <f>IFERROR(VLOOKUP($A865,koronahun!$A:$AM,22,FALSE),"")</f>
        <v/>
      </c>
      <c r="W865" t="str">
        <f>IFERROR(VLOOKUP($A865,koronahun!$A:$AM,23,FALSE),"")</f>
        <v/>
      </c>
      <c r="X865" t="str">
        <f>IFERROR(VLOOKUP($A865,koronahun!$A:$AM,24,FALSE),"")</f>
        <v/>
      </c>
      <c r="Y865" s="14" t="str">
        <f>IFERROR(VLOOKUP($A865,koronahun!$A:$AM,25,FALSE),"")</f>
        <v/>
      </c>
      <c r="Z865" s="14" t="str">
        <f>IFERROR(VLOOKUP($A865,koronahun!$A:$AM,26,FALSE),"")</f>
        <v/>
      </c>
      <c r="AA865" s="14" t="str">
        <f>IFERROR(VLOOKUP($A865,koronahun!$A:$AM,27,FALSE),"")</f>
        <v/>
      </c>
      <c r="AB865" s="14" t="str">
        <f>IFERROR(VLOOKUP($A865,koronahun!$A:$AM,28,FALSE),"")</f>
        <v/>
      </c>
      <c r="AC865" s="14" t="str">
        <f>IFERROR(VLOOKUP($A865,koronahun!$A:$AM,29,FALSE),"")</f>
        <v/>
      </c>
      <c r="AD865" s="14" t="str">
        <f>IFERROR(VLOOKUP($A865,koronahun!$A:$AM,30,FALSE),"")</f>
        <v/>
      </c>
      <c r="AE865" s="14" t="str">
        <f>IFERROR(VLOOKUP($A865,koronahun!$A:$AM,31,FALSE),"")</f>
        <v/>
      </c>
      <c r="AF865" s="13" t="str">
        <f>IFERROR(VLOOKUP($A865,koronahun!$A:$AM,32,FALSE),"")</f>
        <v/>
      </c>
      <c r="AG865" t="str">
        <f>IFERROR(VLOOKUP($A865,koronahun!$A:$AM,33,FALSE),"")</f>
        <v/>
      </c>
      <c r="AH865" t="str">
        <f>IFERROR(VLOOKUP($A865,koronahun!$A:$AM,34,FALSE),"")</f>
        <v/>
      </c>
      <c r="AI865" t="str">
        <f>IFERROR(VLOOKUP($A865,koronahun!$A:$AM,35,FALSE),"")</f>
        <v/>
      </c>
      <c r="AJ865" t="str">
        <f>IFERROR(VLOOKUP($A865,koronahun!$A:$AM,36,FALSE),"")</f>
        <v/>
      </c>
      <c r="AK865" t="str">
        <f>IFERROR(VLOOKUP($A865,koronahun!$A:$AM,37,FALSE),"")</f>
        <v/>
      </c>
      <c r="AL865" t="str">
        <f>IFERROR(VLOOKUP($A865,koronahun!$A:$AM,38,FALSE),"")</f>
        <v/>
      </c>
      <c r="AM865" s="14" t="str">
        <f>IFERROR(VLOOKUP($A865,koronahun!$A:$AM,39,FALSE),"")</f>
        <v/>
      </c>
      <c r="AN865" s="11">
        <f ca="1">IFERROR(__xludf.DUMMYFUNCTION("""COMPUTED_VALUE"""),44757)</f>
        <v>44757</v>
      </c>
      <c r="AO865" s="12">
        <f ca="1">IFERROR(VLOOKUP(AN865,koronahun!A:B,2,FALSE),"")</f>
        <v>0</v>
      </c>
      <c r="AP865" s="11">
        <f t="shared" ca="1" si="6"/>
        <v>44757</v>
      </c>
      <c r="AQ865" s="11"/>
      <c r="AR865" s="11"/>
      <c r="AS865" s="11"/>
      <c r="AT865" s="11"/>
    </row>
    <row r="866" spans="1:46" ht="13">
      <c r="A866" s="11"/>
      <c r="B866" t="str">
        <f>IFERROR(VLOOKUP($A866,koronahun!$A:$AM,2,FALSE),"")</f>
        <v/>
      </c>
      <c r="C866" t="str">
        <f>IFERROR(VLOOKUP($A866,koronahun!$A:$AM,3,FALSE),"")</f>
        <v/>
      </c>
      <c r="D866" t="str">
        <f>IFERROR(VLOOKUP($A866,koronahun!$A:$AM,4,FALSE),"")</f>
        <v/>
      </c>
      <c r="E866" t="str">
        <f>IFERROR(VLOOKUP($A866,koronahun!$A:$AM,5,FALSE),"")</f>
        <v/>
      </c>
      <c r="F866" t="str">
        <f>IFERROR(VLOOKUP($A866,koronahun!$A:$AM,6,FALSE),"")</f>
        <v/>
      </c>
      <c r="G866" s="12" t="str">
        <f>IFERROR(VLOOKUP($A866,koronahun!$A:$AM,7,FALSE),"")</f>
        <v/>
      </c>
      <c r="H866" t="str">
        <f>IFERROR(VLOOKUP($A866,koronahun!$A:$AM,8,FALSE),"")</f>
        <v/>
      </c>
      <c r="I866" s="13" t="str">
        <f>IFERROR(VLOOKUP($A866,koronahun!$A:$AM,9,FALSE),"")</f>
        <v/>
      </c>
      <c r="J866" s="13" t="str">
        <f>IFERROR(VLOOKUP($A866,koronahun!$A:$AM,10,FALSE),"")</f>
        <v/>
      </c>
      <c r="K866" s="13" t="str">
        <f>IFERROR(VLOOKUP($A866,koronahun!$A:$AM,11,FALSE),"")</f>
        <v/>
      </c>
      <c r="L866" t="str">
        <f>IFERROR(VLOOKUP($A866,koronahun!$A:$AM,12,FALSE),"")</f>
        <v/>
      </c>
      <c r="M866" s="13" t="str">
        <f>IFERROR(VLOOKUP($A866,koronahun!$A:$AM,13,FALSE),"")</f>
        <v/>
      </c>
      <c r="N866" s="13" t="str">
        <f>IFERROR(VLOOKUP($A866,koronahun!$A:$AM,14,FALSE),"")</f>
        <v/>
      </c>
      <c r="O866" t="str">
        <f>IFERROR(VLOOKUP($A866,koronahun!$A:$AM,15,FALSE),"")</f>
        <v/>
      </c>
      <c r="P866" t="str">
        <f>IFERROR(VLOOKUP($A866,koronahun!$A:$AM,16,FALSE),"")</f>
        <v/>
      </c>
      <c r="Q866" s="13" t="str">
        <f>IFERROR(VLOOKUP($A866,koronahun!$A:$AM,17,FALSE),"")</f>
        <v/>
      </c>
      <c r="R866" t="str">
        <f>IFERROR(VLOOKUP($A866,koronahun!$A:$AM,18,FALSE),"")</f>
        <v/>
      </c>
      <c r="S866" t="str">
        <f>IFERROR(VLOOKUP($A866,koronahun!$A:$AM,19,FALSE),"")</f>
        <v/>
      </c>
      <c r="T866" t="str">
        <f>IFERROR(VLOOKUP($A866,koronahun!$A:$AM,20,FALSE),"")</f>
        <v/>
      </c>
      <c r="U866" t="str">
        <f>IFERROR(VLOOKUP($A866,koronahun!$A:$AM,21,FALSE),"")</f>
        <v/>
      </c>
      <c r="V866" s="13" t="str">
        <f>IFERROR(VLOOKUP($A866,koronahun!$A:$AM,22,FALSE),"")</f>
        <v/>
      </c>
      <c r="W866" t="str">
        <f>IFERROR(VLOOKUP($A866,koronahun!$A:$AM,23,FALSE),"")</f>
        <v/>
      </c>
      <c r="X866" t="str">
        <f>IFERROR(VLOOKUP($A866,koronahun!$A:$AM,24,FALSE),"")</f>
        <v/>
      </c>
      <c r="Y866" s="14" t="str">
        <f>IFERROR(VLOOKUP($A866,koronahun!$A:$AM,25,FALSE),"")</f>
        <v/>
      </c>
      <c r="Z866" s="14" t="str">
        <f>IFERROR(VLOOKUP($A866,koronahun!$A:$AM,26,FALSE),"")</f>
        <v/>
      </c>
      <c r="AA866" s="14" t="str">
        <f>IFERROR(VLOOKUP($A866,koronahun!$A:$AM,27,FALSE),"")</f>
        <v/>
      </c>
      <c r="AB866" s="14" t="str">
        <f>IFERROR(VLOOKUP($A866,koronahun!$A:$AM,28,FALSE),"")</f>
        <v/>
      </c>
      <c r="AC866" s="14" t="str">
        <f>IFERROR(VLOOKUP($A866,koronahun!$A:$AM,29,FALSE),"")</f>
        <v/>
      </c>
      <c r="AD866" s="14" t="str">
        <f>IFERROR(VLOOKUP($A866,koronahun!$A:$AM,30,FALSE),"")</f>
        <v/>
      </c>
      <c r="AE866" s="14" t="str">
        <f>IFERROR(VLOOKUP($A866,koronahun!$A:$AM,31,FALSE),"")</f>
        <v/>
      </c>
      <c r="AF866" s="13" t="str">
        <f>IFERROR(VLOOKUP($A866,koronahun!$A:$AM,32,FALSE),"")</f>
        <v/>
      </c>
      <c r="AG866" t="str">
        <f>IFERROR(VLOOKUP($A866,koronahun!$A:$AM,33,FALSE),"")</f>
        <v/>
      </c>
      <c r="AH866" t="str">
        <f>IFERROR(VLOOKUP($A866,koronahun!$A:$AM,34,FALSE),"")</f>
        <v/>
      </c>
      <c r="AI866" t="str">
        <f>IFERROR(VLOOKUP($A866,koronahun!$A:$AM,35,FALSE),"")</f>
        <v/>
      </c>
      <c r="AJ866" t="str">
        <f>IFERROR(VLOOKUP($A866,koronahun!$A:$AM,36,FALSE),"")</f>
        <v/>
      </c>
      <c r="AK866" t="str">
        <f>IFERROR(VLOOKUP($A866,koronahun!$A:$AM,37,FALSE),"")</f>
        <v/>
      </c>
      <c r="AL866" t="str">
        <f>IFERROR(VLOOKUP($A866,koronahun!$A:$AM,38,FALSE),"")</f>
        <v/>
      </c>
      <c r="AM866" s="14" t="str">
        <f>IFERROR(VLOOKUP($A866,koronahun!$A:$AM,39,FALSE),"")</f>
        <v/>
      </c>
      <c r="AN866" s="11">
        <f ca="1">IFERROR(__xludf.DUMMYFUNCTION("""COMPUTED_VALUE"""),44758)</f>
        <v>44758</v>
      </c>
      <c r="AO866" s="12">
        <f ca="1">IFERROR(VLOOKUP(AN866,koronahun!A:B,2,FALSE),"")</f>
        <v>0</v>
      </c>
      <c r="AP866" s="11">
        <f t="shared" ca="1" si="6"/>
        <v>44758</v>
      </c>
      <c r="AQ866" s="11"/>
      <c r="AR866" s="11"/>
      <c r="AS866" s="11"/>
      <c r="AT866" s="11"/>
    </row>
    <row r="867" spans="1:46" ht="13">
      <c r="A867" s="11"/>
      <c r="B867" t="str">
        <f>IFERROR(VLOOKUP($A867,koronahun!$A:$AM,2,FALSE),"")</f>
        <v/>
      </c>
      <c r="C867" t="str">
        <f>IFERROR(VLOOKUP($A867,koronahun!$A:$AM,3,FALSE),"")</f>
        <v/>
      </c>
      <c r="D867" t="str">
        <f>IFERROR(VLOOKUP($A867,koronahun!$A:$AM,4,FALSE),"")</f>
        <v/>
      </c>
      <c r="E867" t="str">
        <f>IFERROR(VLOOKUP($A867,koronahun!$A:$AM,5,FALSE),"")</f>
        <v/>
      </c>
      <c r="F867" t="str">
        <f>IFERROR(VLOOKUP($A867,koronahun!$A:$AM,6,FALSE),"")</f>
        <v/>
      </c>
      <c r="G867" s="12" t="str">
        <f>IFERROR(VLOOKUP($A867,koronahun!$A:$AM,7,FALSE),"")</f>
        <v/>
      </c>
      <c r="H867" t="str">
        <f>IFERROR(VLOOKUP($A867,koronahun!$A:$AM,8,FALSE),"")</f>
        <v/>
      </c>
      <c r="I867" s="13" t="str">
        <f>IFERROR(VLOOKUP($A867,koronahun!$A:$AM,9,FALSE),"")</f>
        <v/>
      </c>
      <c r="J867" s="13" t="str">
        <f>IFERROR(VLOOKUP($A867,koronahun!$A:$AM,10,FALSE),"")</f>
        <v/>
      </c>
      <c r="K867" s="13" t="str">
        <f>IFERROR(VLOOKUP($A867,koronahun!$A:$AM,11,FALSE),"")</f>
        <v/>
      </c>
      <c r="L867" t="str">
        <f>IFERROR(VLOOKUP($A867,koronahun!$A:$AM,12,FALSE),"")</f>
        <v/>
      </c>
      <c r="M867" s="13" t="str">
        <f>IFERROR(VLOOKUP($A867,koronahun!$A:$AM,13,FALSE),"")</f>
        <v/>
      </c>
      <c r="N867" s="13" t="str">
        <f>IFERROR(VLOOKUP($A867,koronahun!$A:$AM,14,FALSE),"")</f>
        <v/>
      </c>
      <c r="O867" t="str">
        <f>IFERROR(VLOOKUP($A867,koronahun!$A:$AM,15,FALSE),"")</f>
        <v/>
      </c>
      <c r="P867" t="str">
        <f>IFERROR(VLOOKUP($A867,koronahun!$A:$AM,16,FALSE),"")</f>
        <v/>
      </c>
      <c r="Q867" s="13" t="str">
        <f>IFERROR(VLOOKUP($A867,koronahun!$A:$AM,17,FALSE),"")</f>
        <v/>
      </c>
      <c r="R867" t="str">
        <f>IFERROR(VLOOKUP($A867,koronahun!$A:$AM,18,FALSE),"")</f>
        <v/>
      </c>
      <c r="S867" t="str">
        <f>IFERROR(VLOOKUP($A867,koronahun!$A:$AM,19,FALSE),"")</f>
        <v/>
      </c>
      <c r="T867" t="str">
        <f>IFERROR(VLOOKUP($A867,koronahun!$A:$AM,20,FALSE),"")</f>
        <v/>
      </c>
      <c r="U867" t="str">
        <f>IFERROR(VLOOKUP($A867,koronahun!$A:$AM,21,FALSE),"")</f>
        <v/>
      </c>
      <c r="V867" s="13" t="str">
        <f>IFERROR(VLOOKUP($A867,koronahun!$A:$AM,22,FALSE),"")</f>
        <v/>
      </c>
      <c r="W867" t="str">
        <f>IFERROR(VLOOKUP($A867,koronahun!$A:$AM,23,FALSE),"")</f>
        <v/>
      </c>
      <c r="X867" t="str">
        <f>IFERROR(VLOOKUP($A867,koronahun!$A:$AM,24,FALSE),"")</f>
        <v/>
      </c>
      <c r="Y867" s="14" t="str">
        <f>IFERROR(VLOOKUP($A867,koronahun!$A:$AM,25,FALSE),"")</f>
        <v/>
      </c>
      <c r="Z867" s="14" t="str">
        <f>IFERROR(VLOOKUP($A867,koronahun!$A:$AM,26,FALSE),"")</f>
        <v/>
      </c>
      <c r="AA867" s="14" t="str">
        <f>IFERROR(VLOOKUP($A867,koronahun!$A:$AM,27,FALSE),"")</f>
        <v/>
      </c>
      <c r="AB867" s="14" t="str">
        <f>IFERROR(VLOOKUP($A867,koronahun!$A:$AM,28,FALSE),"")</f>
        <v/>
      </c>
      <c r="AC867" s="14" t="str">
        <f>IFERROR(VLOOKUP($A867,koronahun!$A:$AM,29,FALSE),"")</f>
        <v/>
      </c>
      <c r="AD867" s="14" t="str">
        <f>IFERROR(VLOOKUP($A867,koronahun!$A:$AM,30,FALSE),"")</f>
        <v/>
      </c>
      <c r="AE867" s="14" t="str">
        <f>IFERROR(VLOOKUP($A867,koronahun!$A:$AM,31,FALSE),"")</f>
        <v/>
      </c>
      <c r="AF867" s="13" t="str">
        <f>IFERROR(VLOOKUP($A867,koronahun!$A:$AM,32,FALSE),"")</f>
        <v/>
      </c>
      <c r="AG867" t="str">
        <f>IFERROR(VLOOKUP($A867,koronahun!$A:$AM,33,FALSE),"")</f>
        <v/>
      </c>
      <c r="AH867" t="str">
        <f>IFERROR(VLOOKUP($A867,koronahun!$A:$AM,34,FALSE),"")</f>
        <v/>
      </c>
      <c r="AI867" t="str">
        <f>IFERROR(VLOOKUP($A867,koronahun!$A:$AM,35,FALSE),"")</f>
        <v/>
      </c>
      <c r="AJ867" t="str">
        <f>IFERROR(VLOOKUP($A867,koronahun!$A:$AM,36,FALSE),"")</f>
        <v/>
      </c>
      <c r="AK867" t="str">
        <f>IFERROR(VLOOKUP($A867,koronahun!$A:$AM,37,FALSE),"")</f>
        <v/>
      </c>
      <c r="AL867" t="str">
        <f>IFERROR(VLOOKUP($A867,koronahun!$A:$AM,38,FALSE),"")</f>
        <v/>
      </c>
      <c r="AM867" s="14" t="str">
        <f>IFERROR(VLOOKUP($A867,koronahun!$A:$AM,39,FALSE),"")</f>
        <v/>
      </c>
      <c r="AN867" s="11">
        <f ca="1">IFERROR(__xludf.DUMMYFUNCTION("""COMPUTED_VALUE"""),44759)</f>
        <v>44759</v>
      </c>
      <c r="AO867" s="12">
        <f ca="1">IFERROR(VLOOKUP(AN867,koronahun!A:B,2,FALSE),"")</f>
        <v>0</v>
      </c>
      <c r="AP867" s="11">
        <f t="shared" ca="1" si="6"/>
        <v>44759</v>
      </c>
      <c r="AQ867" s="11"/>
      <c r="AR867" s="11"/>
      <c r="AS867" s="11"/>
      <c r="AT867" s="11"/>
    </row>
    <row r="868" spans="1:46" ht="13">
      <c r="A868" s="11"/>
      <c r="B868" t="str">
        <f>IFERROR(VLOOKUP($A868,koronahun!$A:$AM,2,FALSE),"")</f>
        <v/>
      </c>
      <c r="C868" t="str">
        <f>IFERROR(VLOOKUP($A868,koronahun!$A:$AM,3,FALSE),"")</f>
        <v/>
      </c>
      <c r="D868" t="str">
        <f>IFERROR(VLOOKUP($A868,koronahun!$A:$AM,4,FALSE),"")</f>
        <v/>
      </c>
      <c r="E868" t="str">
        <f>IFERROR(VLOOKUP($A868,koronahun!$A:$AM,5,FALSE),"")</f>
        <v/>
      </c>
      <c r="F868" t="str">
        <f>IFERROR(VLOOKUP($A868,koronahun!$A:$AM,6,FALSE),"")</f>
        <v/>
      </c>
      <c r="G868" s="12" t="str">
        <f>IFERROR(VLOOKUP($A868,koronahun!$A:$AM,7,FALSE),"")</f>
        <v/>
      </c>
      <c r="H868" t="str">
        <f>IFERROR(VLOOKUP($A868,koronahun!$A:$AM,8,FALSE),"")</f>
        <v/>
      </c>
      <c r="I868" s="13" t="str">
        <f>IFERROR(VLOOKUP($A868,koronahun!$A:$AM,9,FALSE),"")</f>
        <v/>
      </c>
      <c r="J868" s="13" t="str">
        <f>IFERROR(VLOOKUP($A868,koronahun!$A:$AM,10,FALSE),"")</f>
        <v/>
      </c>
      <c r="K868" s="13" t="str">
        <f>IFERROR(VLOOKUP($A868,koronahun!$A:$AM,11,FALSE),"")</f>
        <v/>
      </c>
      <c r="L868" t="str">
        <f>IFERROR(VLOOKUP($A868,koronahun!$A:$AM,12,FALSE),"")</f>
        <v/>
      </c>
      <c r="M868" s="13" t="str">
        <f>IFERROR(VLOOKUP($A868,koronahun!$A:$AM,13,FALSE),"")</f>
        <v/>
      </c>
      <c r="N868" s="13" t="str">
        <f>IFERROR(VLOOKUP($A868,koronahun!$A:$AM,14,FALSE),"")</f>
        <v/>
      </c>
      <c r="O868" t="str">
        <f>IFERROR(VLOOKUP($A868,koronahun!$A:$AM,15,FALSE),"")</f>
        <v/>
      </c>
      <c r="P868" t="str">
        <f>IFERROR(VLOOKUP($A868,koronahun!$A:$AM,16,FALSE),"")</f>
        <v/>
      </c>
      <c r="Q868" s="13" t="str">
        <f>IFERROR(VLOOKUP($A868,koronahun!$A:$AM,17,FALSE),"")</f>
        <v/>
      </c>
      <c r="R868" t="str">
        <f>IFERROR(VLOOKUP($A868,koronahun!$A:$AM,18,FALSE),"")</f>
        <v/>
      </c>
      <c r="S868" t="str">
        <f>IFERROR(VLOOKUP($A868,koronahun!$A:$AM,19,FALSE),"")</f>
        <v/>
      </c>
      <c r="T868" t="str">
        <f>IFERROR(VLOOKUP($A868,koronahun!$A:$AM,20,FALSE),"")</f>
        <v/>
      </c>
      <c r="U868" t="str">
        <f>IFERROR(VLOOKUP($A868,koronahun!$A:$AM,21,FALSE),"")</f>
        <v/>
      </c>
      <c r="V868" s="13" t="str">
        <f>IFERROR(VLOOKUP($A868,koronahun!$A:$AM,22,FALSE),"")</f>
        <v/>
      </c>
      <c r="W868" t="str">
        <f>IFERROR(VLOOKUP($A868,koronahun!$A:$AM,23,FALSE),"")</f>
        <v/>
      </c>
      <c r="X868" t="str">
        <f>IFERROR(VLOOKUP($A868,koronahun!$A:$AM,24,FALSE),"")</f>
        <v/>
      </c>
      <c r="Y868" s="14" t="str">
        <f>IFERROR(VLOOKUP($A868,koronahun!$A:$AM,25,FALSE),"")</f>
        <v/>
      </c>
      <c r="Z868" s="14" t="str">
        <f>IFERROR(VLOOKUP($A868,koronahun!$A:$AM,26,FALSE),"")</f>
        <v/>
      </c>
      <c r="AA868" s="14" t="str">
        <f>IFERROR(VLOOKUP($A868,koronahun!$A:$AM,27,FALSE),"")</f>
        <v/>
      </c>
      <c r="AB868" s="14" t="str">
        <f>IFERROR(VLOOKUP($A868,koronahun!$A:$AM,28,FALSE),"")</f>
        <v/>
      </c>
      <c r="AC868" s="14" t="str">
        <f>IFERROR(VLOOKUP($A868,koronahun!$A:$AM,29,FALSE),"")</f>
        <v/>
      </c>
      <c r="AD868" s="14" t="str">
        <f>IFERROR(VLOOKUP($A868,koronahun!$A:$AM,30,FALSE),"")</f>
        <v/>
      </c>
      <c r="AE868" s="14" t="str">
        <f>IFERROR(VLOOKUP($A868,koronahun!$A:$AM,31,FALSE),"")</f>
        <v/>
      </c>
      <c r="AF868" s="13" t="str">
        <f>IFERROR(VLOOKUP($A868,koronahun!$A:$AM,32,FALSE),"")</f>
        <v/>
      </c>
      <c r="AG868" t="str">
        <f>IFERROR(VLOOKUP($A868,koronahun!$A:$AM,33,FALSE),"")</f>
        <v/>
      </c>
      <c r="AH868" t="str">
        <f>IFERROR(VLOOKUP($A868,koronahun!$A:$AM,34,FALSE),"")</f>
        <v/>
      </c>
      <c r="AI868" t="str">
        <f>IFERROR(VLOOKUP($A868,koronahun!$A:$AM,35,FALSE),"")</f>
        <v/>
      </c>
      <c r="AJ868" t="str">
        <f>IFERROR(VLOOKUP($A868,koronahun!$A:$AM,36,FALSE),"")</f>
        <v/>
      </c>
      <c r="AK868" t="str">
        <f>IFERROR(VLOOKUP($A868,koronahun!$A:$AM,37,FALSE),"")</f>
        <v/>
      </c>
      <c r="AL868" t="str">
        <f>IFERROR(VLOOKUP($A868,koronahun!$A:$AM,38,FALSE),"")</f>
        <v/>
      </c>
      <c r="AM868" s="14" t="str">
        <f>IFERROR(VLOOKUP($A868,koronahun!$A:$AM,39,FALSE),"")</f>
        <v/>
      </c>
      <c r="AN868" s="11">
        <f ca="1">IFERROR(__xludf.DUMMYFUNCTION("""COMPUTED_VALUE"""),44760)</f>
        <v>44760</v>
      </c>
      <c r="AO868" s="12">
        <f ca="1">IFERROR(VLOOKUP(AN868,koronahun!A:B,2,FALSE),"")</f>
        <v>0</v>
      </c>
      <c r="AP868" s="11">
        <f t="shared" ca="1" si="6"/>
        <v>44760</v>
      </c>
      <c r="AQ868" s="11"/>
      <c r="AR868" s="11"/>
      <c r="AS868" s="11"/>
      <c r="AT868" s="11"/>
    </row>
    <row r="869" spans="1:46" ht="13">
      <c r="A869" s="11"/>
      <c r="B869" t="str">
        <f>IFERROR(VLOOKUP($A869,koronahun!$A:$AM,2,FALSE),"")</f>
        <v/>
      </c>
      <c r="C869" t="str">
        <f>IFERROR(VLOOKUP($A869,koronahun!$A:$AM,3,FALSE),"")</f>
        <v/>
      </c>
      <c r="D869" t="str">
        <f>IFERROR(VLOOKUP($A869,koronahun!$A:$AM,4,FALSE),"")</f>
        <v/>
      </c>
      <c r="E869" t="str">
        <f>IFERROR(VLOOKUP($A869,koronahun!$A:$AM,5,FALSE),"")</f>
        <v/>
      </c>
      <c r="F869" t="str">
        <f>IFERROR(VLOOKUP($A869,koronahun!$A:$AM,6,FALSE),"")</f>
        <v/>
      </c>
      <c r="G869" s="12" t="str">
        <f>IFERROR(VLOOKUP($A869,koronahun!$A:$AM,7,FALSE),"")</f>
        <v/>
      </c>
      <c r="H869" t="str">
        <f>IFERROR(VLOOKUP($A869,koronahun!$A:$AM,8,FALSE),"")</f>
        <v/>
      </c>
      <c r="I869" s="13" t="str">
        <f>IFERROR(VLOOKUP($A869,koronahun!$A:$AM,9,FALSE),"")</f>
        <v/>
      </c>
      <c r="J869" s="13" t="str">
        <f>IFERROR(VLOOKUP($A869,koronahun!$A:$AM,10,FALSE),"")</f>
        <v/>
      </c>
      <c r="K869" s="13" t="str">
        <f>IFERROR(VLOOKUP($A869,koronahun!$A:$AM,11,FALSE),"")</f>
        <v/>
      </c>
      <c r="L869" t="str">
        <f>IFERROR(VLOOKUP($A869,koronahun!$A:$AM,12,FALSE),"")</f>
        <v/>
      </c>
      <c r="M869" s="13" t="str">
        <f>IFERROR(VLOOKUP($A869,koronahun!$A:$AM,13,FALSE),"")</f>
        <v/>
      </c>
      <c r="N869" s="13" t="str">
        <f>IFERROR(VLOOKUP($A869,koronahun!$A:$AM,14,FALSE),"")</f>
        <v/>
      </c>
      <c r="O869" t="str">
        <f>IFERROR(VLOOKUP($A869,koronahun!$A:$AM,15,FALSE),"")</f>
        <v/>
      </c>
      <c r="P869" t="str">
        <f>IFERROR(VLOOKUP($A869,koronahun!$A:$AM,16,FALSE),"")</f>
        <v/>
      </c>
      <c r="Q869" s="13" t="str">
        <f>IFERROR(VLOOKUP($A869,koronahun!$A:$AM,17,FALSE),"")</f>
        <v/>
      </c>
      <c r="R869" t="str">
        <f>IFERROR(VLOOKUP($A869,koronahun!$A:$AM,18,FALSE),"")</f>
        <v/>
      </c>
      <c r="S869" t="str">
        <f>IFERROR(VLOOKUP($A869,koronahun!$A:$AM,19,FALSE),"")</f>
        <v/>
      </c>
      <c r="T869" t="str">
        <f>IFERROR(VLOOKUP($A869,koronahun!$A:$AM,20,FALSE),"")</f>
        <v/>
      </c>
      <c r="U869" t="str">
        <f>IFERROR(VLOOKUP($A869,koronahun!$A:$AM,21,FALSE),"")</f>
        <v/>
      </c>
      <c r="V869" s="13" t="str">
        <f>IFERROR(VLOOKUP($A869,koronahun!$A:$AM,22,FALSE),"")</f>
        <v/>
      </c>
      <c r="W869" t="str">
        <f>IFERROR(VLOOKUP($A869,koronahun!$A:$AM,23,FALSE),"")</f>
        <v/>
      </c>
      <c r="X869" t="str">
        <f>IFERROR(VLOOKUP($A869,koronahun!$A:$AM,24,FALSE),"")</f>
        <v/>
      </c>
      <c r="Y869" s="14" t="str">
        <f>IFERROR(VLOOKUP($A869,koronahun!$A:$AM,25,FALSE),"")</f>
        <v/>
      </c>
      <c r="Z869" s="14" t="str">
        <f>IFERROR(VLOOKUP($A869,koronahun!$A:$AM,26,FALSE),"")</f>
        <v/>
      </c>
      <c r="AA869" s="14" t="str">
        <f>IFERROR(VLOOKUP($A869,koronahun!$A:$AM,27,FALSE),"")</f>
        <v/>
      </c>
      <c r="AB869" s="14" t="str">
        <f>IFERROR(VLOOKUP($A869,koronahun!$A:$AM,28,FALSE),"")</f>
        <v/>
      </c>
      <c r="AC869" s="14" t="str">
        <f>IFERROR(VLOOKUP($A869,koronahun!$A:$AM,29,FALSE),"")</f>
        <v/>
      </c>
      <c r="AD869" s="14" t="str">
        <f>IFERROR(VLOOKUP($A869,koronahun!$A:$AM,30,FALSE),"")</f>
        <v/>
      </c>
      <c r="AE869" s="14" t="str">
        <f>IFERROR(VLOOKUP($A869,koronahun!$A:$AM,31,FALSE),"")</f>
        <v/>
      </c>
      <c r="AF869" s="13" t="str">
        <f>IFERROR(VLOOKUP($A869,koronahun!$A:$AM,32,FALSE),"")</f>
        <v/>
      </c>
      <c r="AG869" t="str">
        <f>IFERROR(VLOOKUP($A869,koronahun!$A:$AM,33,FALSE),"")</f>
        <v/>
      </c>
      <c r="AH869" t="str">
        <f>IFERROR(VLOOKUP($A869,koronahun!$A:$AM,34,FALSE),"")</f>
        <v/>
      </c>
      <c r="AI869" t="str">
        <f>IFERROR(VLOOKUP($A869,koronahun!$A:$AM,35,FALSE),"")</f>
        <v/>
      </c>
      <c r="AJ869" t="str">
        <f>IFERROR(VLOOKUP($A869,koronahun!$A:$AM,36,FALSE),"")</f>
        <v/>
      </c>
      <c r="AK869" t="str">
        <f>IFERROR(VLOOKUP($A869,koronahun!$A:$AM,37,FALSE),"")</f>
        <v/>
      </c>
      <c r="AL869" t="str">
        <f>IFERROR(VLOOKUP($A869,koronahun!$A:$AM,38,FALSE),"")</f>
        <v/>
      </c>
      <c r="AM869" s="14" t="str">
        <f>IFERROR(VLOOKUP($A869,koronahun!$A:$AM,39,FALSE),"")</f>
        <v/>
      </c>
      <c r="AN869" s="11">
        <f ca="1">IFERROR(__xludf.DUMMYFUNCTION("""COMPUTED_VALUE"""),44761)</f>
        <v>44761</v>
      </c>
      <c r="AO869" s="12">
        <f ca="1">IFERROR(VLOOKUP(AN869,koronahun!A:B,2,FALSE),"")</f>
        <v>0</v>
      </c>
      <c r="AP869" s="11">
        <f t="shared" ca="1" si="6"/>
        <v>44761</v>
      </c>
      <c r="AQ869" s="11"/>
      <c r="AR869" s="11"/>
      <c r="AS869" s="11"/>
      <c r="AT869" s="11"/>
    </row>
    <row r="870" spans="1:46" ht="13">
      <c r="A870" s="11"/>
      <c r="B870" t="str">
        <f>IFERROR(VLOOKUP($A870,koronahun!$A:$AM,2,FALSE),"")</f>
        <v/>
      </c>
      <c r="C870" t="str">
        <f>IFERROR(VLOOKUP($A870,koronahun!$A:$AM,3,FALSE),"")</f>
        <v/>
      </c>
      <c r="D870" t="str">
        <f>IFERROR(VLOOKUP($A870,koronahun!$A:$AM,4,FALSE),"")</f>
        <v/>
      </c>
      <c r="E870" t="str">
        <f>IFERROR(VLOOKUP($A870,koronahun!$A:$AM,5,FALSE),"")</f>
        <v/>
      </c>
      <c r="F870" t="str">
        <f>IFERROR(VLOOKUP($A870,koronahun!$A:$AM,6,FALSE),"")</f>
        <v/>
      </c>
      <c r="G870" s="12" t="str">
        <f>IFERROR(VLOOKUP($A870,koronahun!$A:$AM,7,FALSE),"")</f>
        <v/>
      </c>
      <c r="H870" t="str">
        <f>IFERROR(VLOOKUP($A870,koronahun!$A:$AM,8,FALSE),"")</f>
        <v/>
      </c>
      <c r="I870" s="13" t="str">
        <f>IFERROR(VLOOKUP($A870,koronahun!$A:$AM,9,FALSE),"")</f>
        <v/>
      </c>
      <c r="J870" s="13" t="str">
        <f>IFERROR(VLOOKUP($A870,koronahun!$A:$AM,10,FALSE),"")</f>
        <v/>
      </c>
      <c r="K870" s="13" t="str">
        <f>IFERROR(VLOOKUP($A870,koronahun!$A:$AM,11,FALSE),"")</f>
        <v/>
      </c>
      <c r="L870" t="str">
        <f>IFERROR(VLOOKUP($A870,koronahun!$A:$AM,12,FALSE),"")</f>
        <v/>
      </c>
      <c r="M870" s="13" t="str">
        <f>IFERROR(VLOOKUP($A870,koronahun!$A:$AM,13,FALSE),"")</f>
        <v/>
      </c>
      <c r="N870" s="13" t="str">
        <f>IFERROR(VLOOKUP($A870,koronahun!$A:$AM,14,FALSE),"")</f>
        <v/>
      </c>
      <c r="O870" t="str">
        <f>IFERROR(VLOOKUP($A870,koronahun!$A:$AM,15,FALSE),"")</f>
        <v/>
      </c>
      <c r="P870" t="str">
        <f>IFERROR(VLOOKUP($A870,koronahun!$A:$AM,16,FALSE),"")</f>
        <v/>
      </c>
      <c r="Q870" s="13" t="str">
        <f>IFERROR(VLOOKUP($A870,koronahun!$A:$AM,17,FALSE),"")</f>
        <v/>
      </c>
      <c r="R870" t="str">
        <f>IFERROR(VLOOKUP($A870,koronahun!$A:$AM,18,FALSE),"")</f>
        <v/>
      </c>
      <c r="S870" t="str">
        <f>IFERROR(VLOOKUP($A870,koronahun!$A:$AM,19,FALSE),"")</f>
        <v/>
      </c>
      <c r="T870" t="str">
        <f>IFERROR(VLOOKUP($A870,koronahun!$A:$AM,20,FALSE),"")</f>
        <v/>
      </c>
      <c r="U870" t="str">
        <f>IFERROR(VLOOKUP($A870,koronahun!$A:$AM,21,FALSE),"")</f>
        <v/>
      </c>
      <c r="V870" s="13" t="str">
        <f>IFERROR(VLOOKUP($A870,koronahun!$A:$AM,22,FALSE),"")</f>
        <v/>
      </c>
      <c r="W870" t="str">
        <f>IFERROR(VLOOKUP($A870,koronahun!$A:$AM,23,FALSE),"")</f>
        <v/>
      </c>
      <c r="X870" t="str">
        <f>IFERROR(VLOOKUP($A870,koronahun!$A:$AM,24,FALSE),"")</f>
        <v/>
      </c>
      <c r="Y870" s="14" t="str">
        <f>IFERROR(VLOOKUP($A870,koronahun!$A:$AM,25,FALSE),"")</f>
        <v/>
      </c>
      <c r="Z870" s="14" t="str">
        <f>IFERROR(VLOOKUP($A870,koronahun!$A:$AM,26,FALSE),"")</f>
        <v/>
      </c>
      <c r="AA870" s="14" t="str">
        <f>IFERROR(VLOOKUP($A870,koronahun!$A:$AM,27,FALSE),"")</f>
        <v/>
      </c>
      <c r="AB870" s="14" t="str">
        <f>IFERROR(VLOOKUP($A870,koronahun!$A:$AM,28,FALSE),"")</f>
        <v/>
      </c>
      <c r="AC870" s="14" t="str">
        <f>IFERROR(VLOOKUP($A870,koronahun!$A:$AM,29,FALSE),"")</f>
        <v/>
      </c>
      <c r="AD870" s="14" t="str">
        <f>IFERROR(VLOOKUP($A870,koronahun!$A:$AM,30,FALSE),"")</f>
        <v/>
      </c>
      <c r="AE870" s="14" t="str">
        <f>IFERROR(VLOOKUP($A870,koronahun!$A:$AM,31,FALSE),"")</f>
        <v/>
      </c>
      <c r="AF870" s="13" t="str">
        <f>IFERROR(VLOOKUP($A870,koronahun!$A:$AM,32,FALSE),"")</f>
        <v/>
      </c>
      <c r="AG870" t="str">
        <f>IFERROR(VLOOKUP($A870,koronahun!$A:$AM,33,FALSE),"")</f>
        <v/>
      </c>
      <c r="AH870" t="str">
        <f>IFERROR(VLOOKUP($A870,koronahun!$A:$AM,34,FALSE),"")</f>
        <v/>
      </c>
      <c r="AI870" t="str">
        <f>IFERROR(VLOOKUP($A870,koronahun!$A:$AM,35,FALSE),"")</f>
        <v/>
      </c>
      <c r="AJ870" t="str">
        <f>IFERROR(VLOOKUP($A870,koronahun!$A:$AM,36,FALSE),"")</f>
        <v/>
      </c>
      <c r="AK870" t="str">
        <f>IFERROR(VLOOKUP($A870,koronahun!$A:$AM,37,FALSE),"")</f>
        <v/>
      </c>
      <c r="AL870" t="str">
        <f>IFERROR(VLOOKUP($A870,koronahun!$A:$AM,38,FALSE),"")</f>
        <v/>
      </c>
      <c r="AM870" s="14" t="str">
        <f>IFERROR(VLOOKUP($A870,koronahun!$A:$AM,39,FALSE),"")</f>
        <v/>
      </c>
      <c r="AN870" s="11">
        <f ca="1">IFERROR(__xludf.DUMMYFUNCTION("""COMPUTED_VALUE"""),44762)</f>
        <v>44762</v>
      </c>
      <c r="AO870" s="12">
        <f ca="1">IFERROR(VLOOKUP(AN870,koronahun!A:B,2,FALSE),"")</f>
        <v>1951079</v>
      </c>
      <c r="AP870" s="11">
        <f t="shared" ca="1" si="6"/>
        <v>44762</v>
      </c>
      <c r="AQ870" s="11"/>
      <c r="AR870" s="11"/>
      <c r="AS870" s="11"/>
      <c r="AT870" s="11"/>
    </row>
    <row r="871" spans="1:46" ht="13">
      <c r="A871" s="11"/>
      <c r="B871" t="str">
        <f>IFERROR(VLOOKUP($A871,koronahun!$A:$AM,2,FALSE),"")</f>
        <v/>
      </c>
      <c r="C871" t="str">
        <f>IFERROR(VLOOKUP($A871,koronahun!$A:$AM,3,FALSE),"")</f>
        <v/>
      </c>
      <c r="D871" t="str">
        <f>IFERROR(VLOOKUP($A871,koronahun!$A:$AM,4,FALSE),"")</f>
        <v/>
      </c>
      <c r="E871" t="str">
        <f>IFERROR(VLOOKUP($A871,koronahun!$A:$AM,5,FALSE),"")</f>
        <v/>
      </c>
      <c r="F871" t="str">
        <f>IFERROR(VLOOKUP($A871,koronahun!$A:$AM,6,FALSE),"")</f>
        <v/>
      </c>
      <c r="G871" s="12" t="str">
        <f>IFERROR(VLOOKUP($A871,koronahun!$A:$AM,7,FALSE),"")</f>
        <v/>
      </c>
      <c r="H871" t="str">
        <f>IFERROR(VLOOKUP($A871,koronahun!$A:$AM,8,FALSE),"")</f>
        <v/>
      </c>
      <c r="I871" s="13" t="str">
        <f>IFERROR(VLOOKUP($A871,koronahun!$A:$AM,9,FALSE),"")</f>
        <v/>
      </c>
      <c r="J871" s="13" t="str">
        <f>IFERROR(VLOOKUP($A871,koronahun!$A:$AM,10,FALSE),"")</f>
        <v/>
      </c>
      <c r="K871" s="13" t="str">
        <f>IFERROR(VLOOKUP($A871,koronahun!$A:$AM,11,FALSE),"")</f>
        <v/>
      </c>
      <c r="L871" t="str">
        <f>IFERROR(VLOOKUP($A871,koronahun!$A:$AM,12,FALSE),"")</f>
        <v/>
      </c>
      <c r="M871" s="13" t="str">
        <f>IFERROR(VLOOKUP($A871,koronahun!$A:$AM,13,FALSE),"")</f>
        <v/>
      </c>
      <c r="N871" s="13" t="str">
        <f>IFERROR(VLOOKUP($A871,koronahun!$A:$AM,14,FALSE),"")</f>
        <v/>
      </c>
      <c r="O871" t="str">
        <f>IFERROR(VLOOKUP($A871,koronahun!$A:$AM,15,FALSE),"")</f>
        <v/>
      </c>
      <c r="P871" t="str">
        <f>IFERROR(VLOOKUP($A871,koronahun!$A:$AM,16,FALSE),"")</f>
        <v/>
      </c>
      <c r="Q871" s="13" t="str">
        <f>IFERROR(VLOOKUP($A871,koronahun!$A:$AM,17,FALSE),"")</f>
        <v/>
      </c>
      <c r="R871" t="str">
        <f>IFERROR(VLOOKUP($A871,koronahun!$A:$AM,18,FALSE),"")</f>
        <v/>
      </c>
      <c r="S871" t="str">
        <f>IFERROR(VLOOKUP($A871,koronahun!$A:$AM,19,FALSE),"")</f>
        <v/>
      </c>
      <c r="T871" t="str">
        <f>IFERROR(VLOOKUP($A871,koronahun!$A:$AM,20,FALSE),"")</f>
        <v/>
      </c>
      <c r="U871" t="str">
        <f>IFERROR(VLOOKUP($A871,koronahun!$A:$AM,21,FALSE),"")</f>
        <v/>
      </c>
      <c r="V871" s="13" t="str">
        <f>IFERROR(VLOOKUP($A871,koronahun!$A:$AM,22,FALSE),"")</f>
        <v/>
      </c>
      <c r="W871" t="str">
        <f>IFERROR(VLOOKUP($A871,koronahun!$A:$AM,23,FALSE),"")</f>
        <v/>
      </c>
      <c r="X871" t="str">
        <f>IFERROR(VLOOKUP($A871,koronahun!$A:$AM,24,FALSE),"")</f>
        <v/>
      </c>
      <c r="Y871" s="14" t="str">
        <f>IFERROR(VLOOKUP($A871,koronahun!$A:$AM,25,FALSE),"")</f>
        <v/>
      </c>
      <c r="Z871" s="14" t="str">
        <f>IFERROR(VLOOKUP($A871,koronahun!$A:$AM,26,FALSE),"")</f>
        <v/>
      </c>
      <c r="AA871" s="14" t="str">
        <f>IFERROR(VLOOKUP($A871,koronahun!$A:$AM,27,FALSE),"")</f>
        <v/>
      </c>
      <c r="AB871" s="14" t="str">
        <f>IFERROR(VLOOKUP($A871,koronahun!$A:$AM,28,FALSE),"")</f>
        <v/>
      </c>
      <c r="AC871" s="14" t="str">
        <f>IFERROR(VLOOKUP($A871,koronahun!$A:$AM,29,FALSE),"")</f>
        <v/>
      </c>
      <c r="AD871" s="14" t="str">
        <f>IFERROR(VLOOKUP($A871,koronahun!$A:$AM,30,FALSE),"")</f>
        <v/>
      </c>
      <c r="AE871" s="14" t="str">
        <f>IFERROR(VLOOKUP($A871,koronahun!$A:$AM,31,FALSE),"")</f>
        <v/>
      </c>
      <c r="AF871" s="13" t="str">
        <f>IFERROR(VLOOKUP($A871,koronahun!$A:$AM,32,FALSE),"")</f>
        <v/>
      </c>
      <c r="AG871" t="str">
        <f>IFERROR(VLOOKUP($A871,koronahun!$A:$AM,33,FALSE),"")</f>
        <v/>
      </c>
      <c r="AH871" t="str">
        <f>IFERROR(VLOOKUP($A871,koronahun!$A:$AM,34,FALSE),"")</f>
        <v/>
      </c>
      <c r="AI871" t="str">
        <f>IFERROR(VLOOKUP($A871,koronahun!$A:$AM,35,FALSE),"")</f>
        <v/>
      </c>
      <c r="AJ871" t="str">
        <f>IFERROR(VLOOKUP($A871,koronahun!$A:$AM,36,FALSE),"")</f>
        <v/>
      </c>
      <c r="AK871" t="str">
        <f>IFERROR(VLOOKUP($A871,koronahun!$A:$AM,37,FALSE),"")</f>
        <v/>
      </c>
      <c r="AL871" t="str">
        <f>IFERROR(VLOOKUP($A871,koronahun!$A:$AM,38,FALSE),"")</f>
        <v/>
      </c>
      <c r="AM871" s="14" t="str">
        <f>IFERROR(VLOOKUP($A871,koronahun!$A:$AM,39,FALSE),"")</f>
        <v/>
      </c>
      <c r="AN871" s="11">
        <f ca="1">IFERROR(__xludf.DUMMYFUNCTION("""COMPUTED_VALUE"""),44763)</f>
        <v>44763</v>
      </c>
      <c r="AO871" s="12">
        <f ca="1">IFERROR(VLOOKUP(AN871,koronahun!A:B,2,FALSE),"")</f>
        <v>0</v>
      </c>
      <c r="AP871" s="11">
        <f t="shared" ca="1" si="6"/>
        <v>44763</v>
      </c>
      <c r="AQ871" s="11"/>
      <c r="AR871" s="11"/>
      <c r="AS871" s="11"/>
      <c r="AT871" s="11"/>
    </row>
    <row r="872" spans="1:46" ht="13">
      <c r="A872" s="11"/>
      <c r="B872" t="str">
        <f>IFERROR(VLOOKUP($A872,koronahun!$A:$AM,2,FALSE),"")</f>
        <v/>
      </c>
      <c r="C872" t="str">
        <f>IFERROR(VLOOKUP($A872,koronahun!$A:$AM,3,FALSE),"")</f>
        <v/>
      </c>
      <c r="D872" t="str">
        <f>IFERROR(VLOOKUP($A872,koronahun!$A:$AM,4,FALSE),"")</f>
        <v/>
      </c>
      <c r="E872" t="str">
        <f>IFERROR(VLOOKUP($A872,koronahun!$A:$AM,5,FALSE),"")</f>
        <v/>
      </c>
      <c r="F872" t="str">
        <f>IFERROR(VLOOKUP($A872,koronahun!$A:$AM,6,FALSE),"")</f>
        <v/>
      </c>
      <c r="G872" s="12" t="str">
        <f>IFERROR(VLOOKUP($A872,koronahun!$A:$AM,7,FALSE),"")</f>
        <v/>
      </c>
      <c r="H872" t="str">
        <f>IFERROR(VLOOKUP($A872,koronahun!$A:$AM,8,FALSE),"")</f>
        <v/>
      </c>
      <c r="I872" s="13" t="str">
        <f>IFERROR(VLOOKUP($A872,koronahun!$A:$AM,9,FALSE),"")</f>
        <v/>
      </c>
      <c r="J872" s="13" t="str">
        <f>IFERROR(VLOOKUP($A872,koronahun!$A:$AM,10,FALSE),"")</f>
        <v/>
      </c>
      <c r="K872" s="13" t="str">
        <f>IFERROR(VLOOKUP($A872,koronahun!$A:$AM,11,FALSE),"")</f>
        <v/>
      </c>
      <c r="L872" t="str">
        <f>IFERROR(VLOOKUP($A872,koronahun!$A:$AM,12,FALSE),"")</f>
        <v/>
      </c>
      <c r="M872" s="13" t="str">
        <f>IFERROR(VLOOKUP($A872,koronahun!$A:$AM,13,FALSE),"")</f>
        <v/>
      </c>
      <c r="N872" s="13" t="str">
        <f>IFERROR(VLOOKUP($A872,koronahun!$A:$AM,14,FALSE),"")</f>
        <v/>
      </c>
      <c r="O872" t="str">
        <f>IFERROR(VLOOKUP($A872,koronahun!$A:$AM,15,FALSE),"")</f>
        <v/>
      </c>
      <c r="P872" t="str">
        <f>IFERROR(VLOOKUP($A872,koronahun!$A:$AM,16,FALSE),"")</f>
        <v/>
      </c>
      <c r="Q872" s="13" t="str">
        <f>IFERROR(VLOOKUP($A872,koronahun!$A:$AM,17,FALSE),"")</f>
        <v/>
      </c>
      <c r="R872" t="str">
        <f>IFERROR(VLOOKUP($A872,koronahun!$A:$AM,18,FALSE),"")</f>
        <v/>
      </c>
      <c r="S872" t="str">
        <f>IFERROR(VLOOKUP($A872,koronahun!$A:$AM,19,FALSE),"")</f>
        <v/>
      </c>
      <c r="T872" t="str">
        <f>IFERROR(VLOOKUP($A872,koronahun!$A:$AM,20,FALSE),"")</f>
        <v/>
      </c>
      <c r="U872" t="str">
        <f>IFERROR(VLOOKUP($A872,koronahun!$A:$AM,21,FALSE),"")</f>
        <v/>
      </c>
      <c r="V872" s="13" t="str">
        <f>IFERROR(VLOOKUP($A872,koronahun!$A:$AM,22,FALSE),"")</f>
        <v/>
      </c>
      <c r="W872" t="str">
        <f>IFERROR(VLOOKUP($A872,koronahun!$A:$AM,23,FALSE),"")</f>
        <v/>
      </c>
      <c r="X872" t="str">
        <f>IFERROR(VLOOKUP($A872,koronahun!$A:$AM,24,FALSE),"")</f>
        <v/>
      </c>
      <c r="Y872" s="14" t="str">
        <f>IFERROR(VLOOKUP($A872,koronahun!$A:$AM,25,FALSE),"")</f>
        <v/>
      </c>
      <c r="Z872" s="14" t="str">
        <f>IFERROR(VLOOKUP($A872,koronahun!$A:$AM,26,FALSE),"")</f>
        <v/>
      </c>
      <c r="AA872" s="14" t="str">
        <f>IFERROR(VLOOKUP($A872,koronahun!$A:$AM,27,FALSE),"")</f>
        <v/>
      </c>
      <c r="AB872" s="14" t="str">
        <f>IFERROR(VLOOKUP($A872,koronahun!$A:$AM,28,FALSE),"")</f>
        <v/>
      </c>
      <c r="AC872" s="14" t="str">
        <f>IFERROR(VLOOKUP($A872,koronahun!$A:$AM,29,FALSE),"")</f>
        <v/>
      </c>
      <c r="AD872" s="14" t="str">
        <f>IFERROR(VLOOKUP($A872,koronahun!$A:$AM,30,FALSE),"")</f>
        <v/>
      </c>
      <c r="AE872" s="14" t="str">
        <f>IFERROR(VLOOKUP($A872,koronahun!$A:$AM,31,FALSE),"")</f>
        <v/>
      </c>
      <c r="AF872" s="13" t="str">
        <f>IFERROR(VLOOKUP($A872,koronahun!$A:$AM,32,FALSE),"")</f>
        <v/>
      </c>
      <c r="AG872" t="str">
        <f>IFERROR(VLOOKUP($A872,koronahun!$A:$AM,33,FALSE),"")</f>
        <v/>
      </c>
      <c r="AH872" t="str">
        <f>IFERROR(VLOOKUP($A872,koronahun!$A:$AM,34,FALSE),"")</f>
        <v/>
      </c>
      <c r="AI872" t="str">
        <f>IFERROR(VLOOKUP($A872,koronahun!$A:$AM,35,FALSE),"")</f>
        <v/>
      </c>
      <c r="AJ872" t="str">
        <f>IFERROR(VLOOKUP($A872,koronahun!$A:$AM,36,FALSE),"")</f>
        <v/>
      </c>
      <c r="AK872" t="str">
        <f>IFERROR(VLOOKUP($A872,koronahun!$A:$AM,37,FALSE),"")</f>
        <v/>
      </c>
      <c r="AL872" t="str">
        <f>IFERROR(VLOOKUP($A872,koronahun!$A:$AM,38,FALSE),"")</f>
        <v/>
      </c>
      <c r="AM872" s="14" t="str">
        <f>IFERROR(VLOOKUP($A872,koronahun!$A:$AM,39,FALSE),"")</f>
        <v/>
      </c>
      <c r="AN872" s="11">
        <f ca="1">IFERROR(__xludf.DUMMYFUNCTION("""COMPUTED_VALUE"""),44764)</f>
        <v>44764</v>
      </c>
      <c r="AO872" s="12">
        <f ca="1">IFERROR(VLOOKUP(AN872,koronahun!A:B,2,FALSE),"")</f>
        <v>0</v>
      </c>
      <c r="AP872" s="11">
        <f t="shared" ca="1" si="6"/>
        <v>44764</v>
      </c>
      <c r="AQ872" s="11"/>
      <c r="AR872" s="11"/>
      <c r="AS872" s="11"/>
      <c r="AT872" s="11"/>
    </row>
    <row r="873" spans="1:46" ht="13">
      <c r="A873" s="11"/>
      <c r="B873" t="str">
        <f>IFERROR(VLOOKUP($A873,koronahun!$A:$AM,2,FALSE),"")</f>
        <v/>
      </c>
      <c r="C873" t="str">
        <f>IFERROR(VLOOKUP($A873,koronahun!$A:$AM,3,FALSE),"")</f>
        <v/>
      </c>
      <c r="D873" t="str">
        <f>IFERROR(VLOOKUP($A873,koronahun!$A:$AM,4,FALSE),"")</f>
        <v/>
      </c>
      <c r="E873" t="str">
        <f>IFERROR(VLOOKUP($A873,koronahun!$A:$AM,5,FALSE),"")</f>
        <v/>
      </c>
      <c r="F873" t="str">
        <f>IFERROR(VLOOKUP($A873,koronahun!$A:$AM,6,FALSE),"")</f>
        <v/>
      </c>
      <c r="G873" s="12" t="str">
        <f>IFERROR(VLOOKUP($A873,koronahun!$A:$AM,7,FALSE),"")</f>
        <v/>
      </c>
      <c r="H873" t="str">
        <f>IFERROR(VLOOKUP($A873,koronahun!$A:$AM,8,FALSE),"")</f>
        <v/>
      </c>
      <c r="I873" s="13" t="str">
        <f>IFERROR(VLOOKUP($A873,koronahun!$A:$AM,9,FALSE),"")</f>
        <v/>
      </c>
      <c r="J873" s="13" t="str">
        <f>IFERROR(VLOOKUP($A873,koronahun!$A:$AM,10,FALSE),"")</f>
        <v/>
      </c>
      <c r="K873" s="13" t="str">
        <f>IFERROR(VLOOKUP($A873,koronahun!$A:$AM,11,FALSE),"")</f>
        <v/>
      </c>
      <c r="L873" t="str">
        <f>IFERROR(VLOOKUP($A873,koronahun!$A:$AM,12,FALSE),"")</f>
        <v/>
      </c>
      <c r="M873" s="13" t="str">
        <f>IFERROR(VLOOKUP($A873,koronahun!$A:$AM,13,FALSE),"")</f>
        <v/>
      </c>
      <c r="N873" s="13" t="str">
        <f>IFERROR(VLOOKUP($A873,koronahun!$A:$AM,14,FALSE),"")</f>
        <v/>
      </c>
      <c r="O873" t="str">
        <f>IFERROR(VLOOKUP($A873,koronahun!$A:$AM,15,FALSE),"")</f>
        <v/>
      </c>
      <c r="P873" t="str">
        <f>IFERROR(VLOOKUP($A873,koronahun!$A:$AM,16,FALSE),"")</f>
        <v/>
      </c>
      <c r="Q873" s="13" t="str">
        <f>IFERROR(VLOOKUP($A873,koronahun!$A:$AM,17,FALSE),"")</f>
        <v/>
      </c>
      <c r="R873" t="str">
        <f>IFERROR(VLOOKUP($A873,koronahun!$A:$AM,18,FALSE),"")</f>
        <v/>
      </c>
      <c r="S873" t="str">
        <f>IFERROR(VLOOKUP($A873,koronahun!$A:$AM,19,FALSE),"")</f>
        <v/>
      </c>
      <c r="T873" t="str">
        <f>IFERROR(VLOOKUP($A873,koronahun!$A:$AM,20,FALSE),"")</f>
        <v/>
      </c>
      <c r="U873" t="str">
        <f>IFERROR(VLOOKUP($A873,koronahun!$A:$AM,21,FALSE),"")</f>
        <v/>
      </c>
      <c r="V873" s="13" t="str">
        <f>IFERROR(VLOOKUP($A873,koronahun!$A:$AM,22,FALSE),"")</f>
        <v/>
      </c>
      <c r="W873" t="str">
        <f>IFERROR(VLOOKUP($A873,koronahun!$A:$AM,23,FALSE),"")</f>
        <v/>
      </c>
      <c r="X873" t="str">
        <f>IFERROR(VLOOKUP($A873,koronahun!$A:$AM,24,FALSE),"")</f>
        <v/>
      </c>
      <c r="Y873" s="14" t="str">
        <f>IFERROR(VLOOKUP($A873,koronahun!$A:$AM,25,FALSE),"")</f>
        <v/>
      </c>
      <c r="Z873" s="14" t="str">
        <f>IFERROR(VLOOKUP($A873,koronahun!$A:$AM,26,FALSE),"")</f>
        <v/>
      </c>
      <c r="AA873" s="14" t="str">
        <f>IFERROR(VLOOKUP($A873,koronahun!$A:$AM,27,FALSE),"")</f>
        <v/>
      </c>
      <c r="AB873" s="14" t="str">
        <f>IFERROR(VLOOKUP($A873,koronahun!$A:$AM,28,FALSE),"")</f>
        <v/>
      </c>
      <c r="AC873" s="14" t="str">
        <f>IFERROR(VLOOKUP($A873,koronahun!$A:$AM,29,FALSE),"")</f>
        <v/>
      </c>
      <c r="AD873" s="14" t="str">
        <f>IFERROR(VLOOKUP($A873,koronahun!$A:$AM,30,FALSE),"")</f>
        <v/>
      </c>
      <c r="AE873" s="14" t="str">
        <f>IFERROR(VLOOKUP($A873,koronahun!$A:$AM,31,FALSE),"")</f>
        <v/>
      </c>
      <c r="AF873" s="13" t="str">
        <f>IFERROR(VLOOKUP($A873,koronahun!$A:$AM,32,FALSE),"")</f>
        <v/>
      </c>
      <c r="AG873" t="str">
        <f>IFERROR(VLOOKUP($A873,koronahun!$A:$AM,33,FALSE),"")</f>
        <v/>
      </c>
      <c r="AH873" t="str">
        <f>IFERROR(VLOOKUP($A873,koronahun!$A:$AM,34,FALSE),"")</f>
        <v/>
      </c>
      <c r="AI873" t="str">
        <f>IFERROR(VLOOKUP($A873,koronahun!$A:$AM,35,FALSE),"")</f>
        <v/>
      </c>
      <c r="AJ873" t="str">
        <f>IFERROR(VLOOKUP($A873,koronahun!$A:$AM,36,FALSE),"")</f>
        <v/>
      </c>
      <c r="AK873" t="str">
        <f>IFERROR(VLOOKUP($A873,koronahun!$A:$AM,37,FALSE),"")</f>
        <v/>
      </c>
      <c r="AL873" t="str">
        <f>IFERROR(VLOOKUP($A873,koronahun!$A:$AM,38,FALSE),"")</f>
        <v/>
      </c>
      <c r="AM873" s="14" t="str">
        <f>IFERROR(VLOOKUP($A873,koronahun!$A:$AM,39,FALSE),"")</f>
        <v/>
      </c>
      <c r="AN873" s="11">
        <f ca="1">IFERROR(__xludf.DUMMYFUNCTION("""COMPUTED_VALUE"""),44765)</f>
        <v>44765</v>
      </c>
      <c r="AO873" s="12">
        <f ca="1">IFERROR(VLOOKUP(AN873,koronahun!A:B,2,FALSE),"")</f>
        <v>0</v>
      </c>
      <c r="AP873" s="11">
        <f t="shared" ca="1" si="6"/>
        <v>44765</v>
      </c>
      <c r="AQ873" s="11"/>
      <c r="AR873" s="11"/>
      <c r="AS873" s="11"/>
      <c r="AT873" s="11"/>
    </row>
    <row r="874" spans="1:46" ht="13">
      <c r="A874" s="11"/>
      <c r="B874" t="str">
        <f>IFERROR(VLOOKUP($A874,koronahun!$A:$AM,2,FALSE),"")</f>
        <v/>
      </c>
      <c r="C874" t="str">
        <f>IFERROR(VLOOKUP($A874,koronahun!$A:$AM,3,FALSE),"")</f>
        <v/>
      </c>
      <c r="D874" t="str">
        <f>IFERROR(VLOOKUP($A874,koronahun!$A:$AM,4,FALSE),"")</f>
        <v/>
      </c>
      <c r="E874" t="str">
        <f>IFERROR(VLOOKUP($A874,koronahun!$A:$AM,5,FALSE),"")</f>
        <v/>
      </c>
      <c r="F874" t="str">
        <f>IFERROR(VLOOKUP($A874,koronahun!$A:$AM,6,FALSE),"")</f>
        <v/>
      </c>
      <c r="G874" s="12" t="str">
        <f>IFERROR(VLOOKUP($A874,koronahun!$A:$AM,7,FALSE),"")</f>
        <v/>
      </c>
      <c r="H874" t="str">
        <f>IFERROR(VLOOKUP($A874,koronahun!$A:$AM,8,FALSE),"")</f>
        <v/>
      </c>
      <c r="I874" s="13" t="str">
        <f>IFERROR(VLOOKUP($A874,koronahun!$A:$AM,9,FALSE),"")</f>
        <v/>
      </c>
      <c r="J874" s="13" t="str">
        <f>IFERROR(VLOOKUP($A874,koronahun!$A:$AM,10,FALSE),"")</f>
        <v/>
      </c>
      <c r="K874" s="13" t="str">
        <f>IFERROR(VLOOKUP($A874,koronahun!$A:$AM,11,FALSE),"")</f>
        <v/>
      </c>
      <c r="L874" t="str">
        <f>IFERROR(VLOOKUP($A874,koronahun!$A:$AM,12,FALSE),"")</f>
        <v/>
      </c>
      <c r="M874" s="13" t="str">
        <f>IFERROR(VLOOKUP($A874,koronahun!$A:$AM,13,FALSE),"")</f>
        <v/>
      </c>
      <c r="N874" s="13" t="str">
        <f>IFERROR(VLOOKUP($A874,koronahun!$A:$AM,14,FALSE),"")</f>
        <v/>
      </c>
      <c r="O874" t="str">
        <f>IFERROR(VLOOKUP($A874,koronahun!$A:$AM,15,FALSE),"")</f>
        <v/>
      </c>
      <c r="P874" t="str">
        <f>IFERROR(VLOOKUP($A874,koronahun!$A:$AM,16,FALSE),"")</f>
        <v/>
      </c>
      <c r="Q874" s="13" t="str">
        <f>IFERROR(VLOOKUP($A874,koronahun!$A:$AM,17,FALSE),"")</f>
        <v/>
      </c>
      <c r="R874" t="str">
        <f>IFERROR(VLOOKUP($A874,koronahun!$A:$AM,18,FALSE),"")</f>
        <v/>
      </c>
      <c r="S874" t="str">
        <f>IFERROR(VLOOKUP($A874,koronahun!$A:$AM,19,FALSE),"")</f>
        <v/>
      </c>
      <c r="T874" t="str">
        <f>IFERROR(VLOOKUP($A874,koronahun!$A:$AM,20,FALSE),"")</f>
        <v/>
      </c>
      <c r="U874" t="str">
        <f>IFERROR(VLOOKUP($A874,koronahun!$A:$AM,21,FALSE),"")</f>
        <v/>
      </c>
      <c r="V874" s="13" t="str">
        <f>IFERROR(VLOOKUP($A874,koronahun!$A:$AM,22,FALSE),"")</f>
        <v/>
      </c>
      <c r="W874" t="str">
        <f>IFERROR(VLOOKUP($A874,koronahun!$A:$AM,23,FALSE),"")</f>
        <v/>
      </c>
      <c r="X874" t="str">
        <f>IFERROR(VLOOKUP($A874,koronahun!$A:$AM,24,FALSE),"")</f>
        <v/>
      </c>
      <c r="Y874" s="14" t="str">
        <f>IFERROR(VLOOKUP($A874,koronahun!$A:$AM,25,FALSE),"")</f>
        <v/>
      </c>
      <c r="Z874" s="14" t="str">
        <f>IFERROR(VLOOKUP($A874,koronahun!$A:$AM,26,FALSE),"")</f>
        <v/>
      </c>
      <c r="AA874" s="14" t="str">
        <f>IFERROR(VLOOKUP($A874,koronahun!$A:$AM,27,FALSE),"")</f>
        <v/>
      </c>
      <c r="AB874" s="14" t="str">
        <f>IFERROR(VLOOKUP($A874,koronahun!$A:$AM,28,FALSE),"")</f>
        <v/>
      </c>
      <c r="AC874" s="14" t="str">
        <f>IFERROR(VLOOKUP($A874,koronahun!$A:$AM,29,FALSE),"")</f>
        <v/>
      </c>
      <c r="AD874" s="14" t="str">
        <f>IFERROR(VLOOKUP($A874,koronahun!$A:$AM,30,FALSE),"")</f>
        <v/>
      </c>
      <c r="AE874" s="14" t="str">
        <f>IFERROR(VLOOKUP($A874,koronahun!$A:$AM,31,FALSE),"")</f>
        <v/>
      </c>
      <c r="AF874" s="13" t="str">
        <f>IFERROR(VLOOKUP($A874,koronahun!$A:$AM,32,FALSE),"")</f>
        <v/>
      </c>
      <c r="AG874" t="str">
        <f>IFERROR(VLOOKUP($A874,koronahun!$A:$AM,33,FALSE),"")</f>
        <v/>
      </c>
      <c r="AH874" t="str">
        <f>IFERROR(VLOOKUP($A874,koronahun!$A:$AM,34,FALSE),"")</f>
        <v/>
      </c>
      <c r="AI874" t="str">
        <f>IFERROR(VLOOKUP($A874,koronahun!$A:$AM,35,FALSE),"")</f>
        <v/>
      </c>
      <c r="AJ874" t="str">
        <f>IFERROR(VLOOKUP($A874,koronahun!$A:$AM,36,FALSE),"")</f>
        <v/>
      </c>
      <c r="AK874" t="str">
        <f>IFERROR(VLOOKUP($A874,koronahun!$A:$AM,37,FALSE),"")</f>
        <v/>
      </c>
      <c r="AL874" t="str">
        <f>IFERROR(VLOOKUP($A874,koronahun!$A:$AM,38,FALSE),"")</f>
        <v/>
      </c>
      <c r="AM874" s="14" t="str">
        <f>IFERROR(VLOOKUP($A874,koronahun!$A:$AM,39,FALSE),"")</f>
        <v/>
      </c>
      <c r="AN874" s="11">
        <f ca="1">IFERROR(__xludf.DUMMYFUNCTION("""COMPUTED_VALUE"""),44766)</f>
        <v>44766</v>
      </c>
      <c r="AO874" s="12">
        <f ca="1">IFERROR(VLOOKUP(AN874,koronahun!A:B,2,FALSE),"")</f>
        <v>0</v>
      </c>
      <c r="AP874" s="11">
        <f t="shared" ca="1" si="6"/>
        <v>44766</v>
      </c>
      <c r="AQ874" s="11"/>
      <c r="AR874" s="11"/>
      <c r="AS874" s="11"/>
      <c r="AT874" s="11"/>
    </row>
    <row r="875" spans="1:46" ht="13">
      <c r="A875" s="11"/>
      <c r="B875" t="str">
        <f>IFERROR(VLOOKUP($A875,koronahun!$A:$AM,2,FALSE),"")</f>
        <v/>
      </c>
      <c r="C875" t="str">
        <f>IFERROR(VLOOKUP($A875,koronahun!$A:$AM,3,FALSE),"")</f>
        <v/>
      </c>
      <c r="D875" t="str">
        <f>IFERROR(VLOOKUP($A875,koronahun!$A:$AM,4,FALSE),"")</f>
        <v/>
      </c>
      <c r="E875" t="str">
        <f>IFERROR(VLOOKUP($A875,koronahun!$A:$AM,5,FALSE),"")</f>
        <v/>
      </c>
      <c r="F875" t="str">
        <f>IFERROR(VLOOKUP($A875,koronahun!$A:$AM,6,FALSE),"")</f>
        <v/>
      </c>
      <c r="G875" s="12" t="str">
        <f>IFERROR(VLOOKUP($A875,koronahun!$A:$AM,7,FALSE),"")</f>
        <v/>
      </c>
      <c r="H875" t="str">
        <f>IFERROR(VLOOKUP($A875,koronahun!$A:$AM,8,FALSE),"")</f>
        <v/>
      </c>
      <c r="I875" s="13" t="str">
        <f>IFERROR(VLOOKUP($A875,koronahun!$A:$AM,9,FALSE),"")</f>
        <v/>
      </c>
      <c r="J875" s="13" t="str">
        <f>IFERROR(VLOOKUP($A875,koronahun!$A:$AM,10,FALSE),"")</f>
        <v/>
      </c>
      <c r="K875" s="13" t="str">
        <f>IFERROR(VLOOKUP($A875,koronahun!$A:$AM,11,FALSE),"")</f>
        <v/>
      </c>
      <c r="L875" t="str">
        <f>IFERROR(VLOOKUP($A875,koronahun!$A:$AM,12,FALSE),"")</f>
        <v/>
      </c>
      <c r="M875" s="13" t="str">
        <f>IFERROR(VLOOKUP($A875,koronahun!$A:$AM,13,FALSE),"")</f>
        <v/>
      </c>
      <c r="N875" s="13" t="str">
        <f>IFERROR(VLOOKUP($A875,koronahun!$A:$AM,14,FALSE),"")</f>
        <v/>
      </c>
      <c r="O875" t="str">
        <f>IFERROR(VLOOKUP($A875,koronahun!$A:$AM,15,FALSE),"")</f>
        <v/>
      </c>
      <c r="P875" t="str">
        <f>IFERROR(VLOOKUP($A875,koronahun!$A:$AM,16,FALSE),"")</f>
        <v/>
      </c>
      <c r="Q875" s="13" t="str">
        <f>IFERROR(VLOOKUP($A875,koronahun!$A:$AM,17,FALSE),"")</f>
        <v/>
      </c>
      <c r="R875" t="str">
        <f>IFERROR(VLOOKUP($A875,koronahun!$A:$AM,18,FALSE),"")</f>
        <v/>
      </c>
      <c r="S875" t="str">
        <f>IFERROR(VLOOKUP($A875,koronahun!$A:$AM,19,FALSE),"")</f>
        <v/>
      </c>
      <c r="T875" t="str">
        <f>IFERROR(VLOOKUP($A875,koronahun!$A:$AM,20,FALSE),"")</f>
        <v/>
      </c>
      <c r="U875" t="str">
        <f>IFERROR(VLOOKUP($A875,koronahun!$A:$AM,21,FALSE),"")</f>
        <v/>
      </c>
      <c r="V875" s="13" t="str">
        <f>IFERROR(VLOOKUP($A875,koronahun!$A:$AM,22,FALSE),"")</f>
        <v/>
      </c>
      <c r="W875" t="str">
        <f>IFERROR(VLOOKUP($A875,koronahun!$A:$AM,23,FALSE),"")</f>
        <v/>
      </c>
      <c r="X875" t="str">
        <f>IFERROR(VLOOKUP($A875,koronahun!$A:$AM,24,FALSE),"")</f>
        <v/>
      </c>
      <c r="Y875" s="14" t="str">
        <f>IFERROR(VLOOKUP($A875,koronahun!$A:$AM,25,FALSE),"")</f>
        <v/>
      </c>
      <c r="Z875" s="14" t="str">
        <f>IFERROR(VLOOKUP($A875,koronahun!$A:$AM,26,FALSE),"")</f>
        <v/>
      </c>
      <c r="AA875" s="14" t="str">
        <f>IFERROR(VLOOKUP($A875,koronahun!$A:$AM,27,FALSE),"")</f>
        <v/>
      </c>
      <c r="AB875" s="14" t="str">
        <f>IFERROR(VLOOKUP($A875,koronahun!$A:$AM,28,FALSE),"")</f>
        <v/>
      </c>
      <c r="AC875" s="14" t="str">
        <f>IFERROR(VLOOKUP($A875,koronahun!$A:$AM,29,FALSE),"")</f>
        <v/>
      </c>
      <c r="AD875" s="14" t="str">
        <f>IFERROR(VLOOKUP($A875,koronahun!$A:$AM,30,FALSE),"")</f>
        <v/>
      </c>
      <c r="AE875" s="14" t="str">
        <f>IFERROR(VLOOKUP($A875,koronahun!$A:$AM,31,FALSE),"")</f>
        <v/>
      </c>
      <c r="AF875" s="13" t="str">
        <f>IFERROR(VLOOKUP($A875,koronahun!$A:$AM,32,FALSE),"")</f>
        <v/>
      </c>
      <c r="AG875" t="str">
        <f>IFERROR(VLOOKUP($A875,koronahun!$A:$AM,33,FALSE),"")</f>
        <v/>
      </c>
      <c r="AH875" t="str">
        <f>IFERROR(VLOOKUP($A875,koronahun!$A:$AM,34,FALSE),"")</f>
        <v/>
      </c>
      <c r="AI875" t="str">
        <f>IFERROR(VLOOKUP($A875,koronahun!$A:$AM,35,FALSE),"")</f>
        <v/>
      </c>
      <c r="AJ875" t="str">
        <f>IFERROR(VLOOKUP($A875,koronahun!$A:$AM,36,FALSE),"")</f>
        <v/>
      </c>
      <c r="AK875" t="str">
        <f>IFERROR(VLOOKUP($A875,koronahun!$A:$AM,37,FALSE),"")</f>
        <v/>
      </c>
      <c r="AL875" t="str">
        <f>IFERROR(VLOOKUP($A875,koronahun!$A:$AM,38,FALSE),"")</f>
        <v/>
      </c>
      <c r="AM875" s="14" t="str">
        <f>IFERROR(VLOOKUP($A875,koronahun!$A:$AM,39,FALSE),"")</f>
        <v/>
      </c>
      <c r="AN875" s="11">
        <f ca="1">IFERROR(__xludf.DUMMYFUNCTION("""COMPUTED_VALUE"""),44767)</f>
        <v>44767</v>
      </c>
      <c r="AO875" s="12">
        <f ca="1">IFERROR(VLOOKUP(AN875,koronahun!A:B,2,FALSE),"")</f>
        <v>0</v>
      </c>
      <c r="AP875" s="11">
        <f t="shared" ca="1" si="6"/>
        <v>44767</v>
      </c>
      <c r="AQ875" s="11"/>
      <c r="AR875" s="11"/>
      <c r="AS875" s="11"/>
      <c r="AT875" s="11"/>
    </row>
    <row r="876" spans="1:46" ht="13">
      <c r="A876" s="11"/>
      <c r="B876" t="str">
        <f>IFERROR(VLOOKUP($A876,koronahun!$A:$AM,2,FALSE),"")</f>
        <v/>
      </c>
      <c r="C876" t="str">
        <f>IFERROR(VLOOKUP($A876,koronahun!$A:$AM,3,FALSE),"")</f>
        <v/>
      </c>
      <c r="D876" t="str">
        <f>IFERROR(VLOOKUP($A876,koronahun!$A:$AM,4,FALSE),"")</f>
        <v/>
      </c>
      <c r="E876" t="str">
        <f>IFERROR(VLOOKUP($A876,koronahun!$A:$AM,5,FALSE),"")</f>
        <v/>
      </c>
      <c r="F876" t="str">
        <f>IFERROR(VLOOKUP($A876,koronahun!$A:$AM,6,FALSE),"")</f>
        <v/>
      </c>
      <c r="G876" s="12" t="str">
        <f>IFERROR(VLOOKUP($A876,koronahun!$A:$AM,7,FALSE),"")</f>
        <v/>
      </c>
      <c r="H876" t="str">
        <f>IFERROR(VLOOKUP($A876,koronahun!$A:$AM,8,FALSE),"")</f>
        <v/>
      </c>
      <c r="I876" s="13" t="str">
        <f>IFERROR(VLOOKUP($A876,koronahun!$A:$AM,9,FALSE),"")</f>
        <v/>
      </c>
      <c r="J876" s="13" t="str">
        <f>IFERROR(VLOOKUP($A876,koronahun!$A:$AM,10,FALSE),"")</f>
        <v/>
      </c>
      <c r="K876" s="13" t="str">
        <f>IFERROR(VLOOKUP($A876,koronahun!$A:$AM,11,FALSE),"")</f>
        <v/>
      </c>
      <c r="L876" t="str">
        <f>IFERROR(VLOOKUP($A876,koronahun!$A:$AM,12,FALSE),"")</f>
        <v/>
      </c>
      <c r="M876" s="13" t="str">
        <f>IFERROR(VLOOKUP($A876,koronahun!$A:$AM,13,FALSE),"")</f>
        <v/>
      </c>
      <c r="N876" s="13" t="str">
        <f>IFERROR(VLOOKUP($A876,koronahun!$A:$AM,14,FALSE),"")</f>
        <v/>
      </c>
      <c r="O876" t="str">
        <f>IFERROR(VLOOKUP($A876,koronahun!$A:$AM,15,FALSE),"")</f>
        <v/>
      </c>
      <c r="P876" t="str">
        <f>IFERROR(VLOOKUP($A876,koronahun!$A:$AM,16,FALSE),"")</f>
        <v/>
      </c>
      <c r="Q876" s="13" t="str">
        <f>IFERROR(VLOOKUP($A876,koronahun!$A:$AM,17,FALSE),"")</f>
        <v/>
      </c>
      <c r="R876" t="str">
        <f>IFERROR(VLOOKUP($A876,koronahun!$A:$AM,18,FALSE),"")</f>
        <v/>
      </c>
      <c r="S876" t="str">
        <f>IFERROR(VLOOKUP($A876,koronahun!$A:$AM,19,FALSE),"")</f>
        <v/>
      </c>
      <c r="T876" t="str">
        <f>IFERROR(VLOOKUP($A876,koronahun!$A:$AM,20,FALSE),"")</f>
        <v/>
      </c>
      <c r="U876" t="str">
        <f>IFERROR(VLOOKUP($A876,koronahun!$A:$AM,21,FALSE),"")</f>
        <v/>
      </c>
      <c r="V876" s="13" t="str">
        <f>IFERROR(VLOOKUP($A876,koronahun!$A:$AM,22,FALSE),"")</f>
        <v/>
      </c>
      <c r="W876" t="str">
        <f>IFERROR(VLOOKUP($A876,koronahun!$A:$AM,23,FALSE),"")</f>
        <v/>
      </c>
      <c r="X876" t="str">
        <f>IFERROR(VLOOKUP($A876,koronahun!$A:$AM,24,FALSE),"")</f>
        <v/>
      </c>
      <c r="Y876" s="14" t="str">
        <f>IFERROR(VLOOKUP($A876,koronahun!$A:$AM,25,FALSE),"")</f>
        <v/>
      </c>
      <c r="Z876" s="14" t="str">
        <f>IFERROR(VLOOKUP($A876,koronahun!$A:$AM,26,FALSE),"")</f>
        <v/>
      </c>
      <c r="AA876" s="14" t="str">
        <f>IFERROR(VLOOKUP($A876,koronahun!$A:$AM,27,FALSE),"")</f>
        <v/>
      </c>
      <c r="AB876" s="14" t="str">
        <f>IFERROR(VLOOKUP($A876,koronahun!$A:$AM,28,FALSE),"")</f>
        <v/>
      </c>
      <c r="AC876" s="14" t="str">
        <f>IFERROR(VLOOKUP($A876,koronahun!$A:$AM,29,FALSE),"")</f>
        <v/>
      </c>
      <c r="AD876" s="14" t="str">
        <f>IFERROR(VLOOKUP($A876,koronahun!$A:$AM,30,FALSE),"")</f>
        <v/>
      </c>
      <c r="AE876" s="14" t="str">
        <f>IFERROR(VLOOKUP($A876,koronahun!$A:$AM,31,FALSE),"")</f>
        <v/>
      </c>
      <c r="AF876" s="13" t="str">
        <f>IFERROR(VLOOKUP($A876,koronahun!$A:$AM,32,FALSE),"")</f>
        <v/>
      </c>
      <c r="AG876" t="str">
        <f>IFERROR(VLOOKUP($A876,koronahun!$A:$AM,33,FALSE),"")</f>
        <v/>
      </c>
      <c r="AH876" t="str">
        <f>IFERROR(VLOOKUP($A876,koronahun!$A:$AM,34,FALSE),"")</f>
        <v/>
      </c>
      <c r="AI876" t="str">
        <f>IFERROR(VLOOKUP($A876,koronahun!$A:$AM,35,FALSE),"")</f>
        <v/>
      </c>
      <c r="AJ876" t="str">
        <f>IFERROR(VLOOKUP($A876,koronahun!$A:$AM,36,FALSE),"")</f>
        <v/>
      </c>
      <c r="AK876" t="str">
        <f>IFERROR(VLOOKUP($A876,koronahun!$A:$AM,37,FALSE),"")</f>
        <v/>
      </c>
      <c r="AL876" t="str">
        <f>IFERROR(VLOOKUP($A876,koronahun!$A:$AM,38,FALSE),"")</f>
        <v/>
      </c>
      <c r="AM876" s="14" t="str">
        <f>IFERROR(VLOOKUP($A876,koronahun!$A:$AM,39,FALSE),"")</f>
        <v/>
      </c>
      <c r="AN876" s="11">
        <f ca="1">IFERROR(__xludf.DUMMYFUNCTION("""COMPUTED_VALUE"""),44768)</f>
        <v>44768</v>
      </c>
      <c r="AO876" s="12">
        <f ca="1">IFERROR(VLOOKUP(AN876,koronahun!A:B,2,FALSE),"")</f>
        <v>0</v>
      </c>
      <c r="AP876" s="11">
        <f t="shared" ca="1" si="6"/>
        <v>44768</v>
      </c>
      <c r="AQ876" s="11"/>
      <c r="AR876" s="11"/>
      <c r="AS876" s="11"/>
      <c r="AT876" s="11"/>
    </row>
    <row r="877" spans="1:46" ht="13">
      <c r="A877" s="11"/>
      <c r="B877" t="str">
        <f>IFERROR(VLOOKUP($A877,koronahun!$A:$AM,2,FALSE),"")</f>
        <v/>
      </c>
      <c r="C877" t="str">
        <f>IFERROR(VLOOKUP($A877,koronahun!$A:$AM,3,FALSE),"")</f>
        <v/>
      </c>
      <c r="D877" t="str">
        <f>IFERROR(VLOOKUP($A877,koronahun!$A:$AM,4,FALSE),"")</f>
        <v/>
      </c>
      <c r="E877" t="str">
        <f>IFERROR(VLOOKUP($A877,koronahun!$A:$AM,5,FALSE),"")</f>
        <v/>
      </c>
      <c r="F877" t="str">
        <f>IFERROR(VLOOKUP($A877,koronahun!$A:$AM,6,FALSE),"")</f>
        <v/>
      </c>
      <c r="G877" s="12" t="str">
        <f>IFERROR(VLOOKUP($A877,koronahun!$A:$AM,7,FALSE),"")</f>
        <v/>
      </c>
      <c r="H877" t="str">
        <f>IFERROR(VLOOKUP($A877,koronahun!$A:$AM,8,FALSE),"")</f>
        <v/>
      </c>
      <c r="I877" s="13" t="str">
        <f>IFERROR(VLOOKUP($A877,koronahun!$A:$AM,9,FALSE),"")</f>
        <v/>
      </c>
      <c r="J877" s="13" t="str">
        <f>IFERROR(VLOOKUP($A877,koronahun!$A:$AM,10,FALSE),"")</f>
        <v/>
      </c>
      <c r="K877" s="13" t="str">
        <f>IFERROR(VLOOKUP($A877,koronahun!$A:$AM,11,FALSE),"")</f>
        <v/>
      </c>
      <c r="L877" t="str">
        <f>IFERROR(VLOOKUP($A877,koronahun!$A:$AM,12,FALSE),"")</f>
        <v/>
      </c>
      <c r="M877" s="13" t="str">
        <f>IFERROR(VLOOKUP($A877,koronahun!$A:$AM,13,FALSE),"")</f>
        <v/>
      </c>
      <c r="N877" s="13" t="str">
        <f>IFERROR(VLOOKUP($A877,koronahun!$A:$AM,14,FALSE),"")</f>
        <v/>
      </c>
      <c r="O877" t="str">
        <f>IFERROR(VLOOKUP($A877,koronahun!$A:$AM,15,FALSE),"")</f>
        <v/>
      </c>
      <c r="P877" t="str">
        <f>IFERROR(VLOOKUP($A877,koronahun!$A:$AM,16,FALSE),"")</f>
        <v/>
      </c>
      <c r="Q877" s="13" t="str">
        <f>IFERROR(VLOOKUP($A877,koronahun!$A:$AM,17,FALSE),"")</f>
        <v/>
      </c>
      <c r="R877" t="str">
        <f>IFERROR(VLOOKUP($A877,koronahun!$A:$AM,18,FALSE),"")</f>
        <v/>
      </c>
      <c r="S877" t="str">
        <f>IFERROR(VLOOKUP($A877,koronahun!$A:$AM,19,FALSE),"")</f>
        <v/>
      </c>
      <c r="T877" t="str">
        <f>IFERROR(VLOOKUP($A877,koronahun!$A:$AM,20,FALSE),"")</f>
        <v/>
      </c>
      <c r="U877" t="str">
        <f>IFERROR(VLOOKUP($A877,koronahun!$A:$AM,21,FALSE),"")</f>
        <v/>
      </c>
      <c r="V877" s="13" t="str">
        <f>IFERROR(VLOOKUP($A877,koronahun!$A:$AM,22,FALSE),"")</f>
        <v/>
      </c>
      <c r="W877" t="str">
        <f>IFERROR(VLOOKUP($A877,koronahun!$A:$AM,23,FALSE),"")</f>
        <v/>
      </c>
      <c r="X877" t="str">
        <f>IFERROR(VLOOKUP($A877,koronahun!$A:$AM,24,FALSE),"")</f>
        <v/>
      </c>
      <c r="Y877" s="14" t="str">
        <f>IFERROR(VLOOKUP($A877,koronahun!$A:$AM,25,FALSE),"")</f>
        <v/>
      </c>
      <c r="Z877" s="14" t="str">
        <f>IFERROR(VLOOKUP($A877,koronahun!$A:$AM,26,FALSE),"")</f>
        <v/>
      </c>
      <c r="AA877" s="14" t="str">
        <f>IFERROR(VLOOKUP($A877,koronahun!$A:$AM,27,FALSE),"")</f>
        <v/>
      </c>
      <c r="AB877" s="14" t="str">
        <f>IFERROR(VLOOKUP($A877,koronahun!$A:$AM,28,FALSE),"")</f>
        <v/>
      </c>
      <c r="AC877" s="14" t="str">
        <f>IFERROR(VLOOKUP($A877,koronahun!$A:$AM,29,FALSE),"")</f>
        <v/>
      </c>
      <c r="AD877" s="14" t="str">
        <f>IFERROR(VLOOKUP($A877,koronahun!$A:$AM,30,FALSE),"")</f>
        <v/>
      </c>
      <c r="AE877" s="14" t="str">
        <f>IFERROR(VLOOKUP($A877,koronahun!$A:$AM,31,FALSE),"")</f>
        <v/>
      </c>
      <c r="AF877" s="13" t="str">
        <f>IFERROR(VLOOKUP($A877,koronahun!$A:$AM,32,FALSE),"")</f>
        <v/>
      </c>
      <c r="AG877" t="str">
        <f>IFERROR(VLOOKUP($A877,koronahun!$A:$AM,33,FALSE),"")</f>
        <v/>
      </c>
      <c r="AH877" t="str">
        <f>IFERROR(VLOOKUP($A877,koronahun!$A:$AM,34,FALSE),"")</f>
        <v/>
      </c>
      <c r="AI877" t="str">
        <f>IFERROR(VLOOKUP($A877,koronahun!$A:$AM,35,FALSE),"")</f>
        <v/>
      </c>
      <c r="AJ877" t="str">
        <f>IFERROR(VLOOKUP($A877,koronahun!$A:$AM,36,FALSE),"")</f>
        <v/>
      </c>
      <c r="AK877" t="str">
        <f>IFERROR(VLOOKUP($A877,koronahun!$A:$AM,37,FALSE),"")</f>
        <v/>
      </c>
      <c r="AL877" t="str">
        <f>IFERROR(VLOOKUP($A877,koronahun!$A:$AM,38,FALSE),"")</f>
        <v/>
      </c>
      <c r="AM877" s="14" t="str">
        <f>IFERROR(VLOOKUP($A877,koronahun!$A:$AM,39,FALSE),"")</f>
        <v/>
      </c>
      <c r="AN877" s="11">
        <f ca="1">IFERROR(__xludf.DUMMYFUNCTION("""COMPUTED_VALUE"""),44769)</f>
        <v>44769</v>
      </c>
      <c r="AO877" s="12">
        <f ca="1">IFERROR(VLOOKUP(AN877,koronahun!A:B,2,FALSE),"")</f>
        <v>1965481</v>
      </c>
      <c r="AP877" s="11">
        <f t="shared" ca="1" si="6"/>
        <v>44769</v>
      </c>
      <c r="AQ877" s="11"/>
      <c r="AR877" s="11"/>
      <c r="AS877" s="11"/>
      <c r="AT877" s="11"/>
    </row>
    <row r="878" spans="1:46" ht="13">
      <c r="A878" s="11"/>
      <c r="B878" t="str">
        <f>IFERROR(VLOOKUP($A878,koronahun!$A:$AM,2,FALSE),"")</f>
        <v/>
      </c>
      <c r="C878" t="str">
        <f>IFERROR(VLOOKUP($A878,koronahun!$A:$AM,3,FALSE),"")</f>
        <v/>
      </c>
      <c r="D878" t="str">
        <f>IFERROR(VLOOKUP($A878,koronahun!$A:$AM,4,FALSE),"")</f>
        <v/>
      </c>
      <c r="E878" t="str">
        <f>IFERROR(VLOOKUP($A878,koronahun!$A:$AM,5,FALSE),"")</f>
        <v/>
      </c>
      <c r="F878" t="str">
        <f>IFERROR(VLOOKUP($A878,koronahun!$A:$AM,6,FALSE),"")</f>
        <v/>
      </c>
      <c r="G878" s="12" t="str">
        <f>IFERROR(VLOOKUP($A878,koronahun!$A:$AM,7,FALSE),"")</f>
        <v/>
      </c>
      <c r="H878" t="str">
        <f>IFERROR(VLOOKUP($A878,koronahun!$A:$AM,8,FALSE),"")</f>
        <v/>
      </c>
      <c r="I878" s="13" t="str">
        <f>IFERROR(VLOOKUP($A878,koronahun!$A:$AM,9,FALSE),"")</f>
        <v/>
      </c>
      <c r="J878" s="13" t="str">
        <f>IFERROR(VLOOKUP($A878,koronahun!$A:$AM,10,FALSE),"")</f>
        <v/>
      </c>
      <c r="K878" s="13" t="str">
        <f>IFERROR(VLOOKUP($A878,koronahun!$A:$AM,11,FALSE),"")</f>
        <v/>
      </c>
      <c r="L878" t="str">
        <f>IFERROR(VLOOKUP($A878,koronahun!$A:$AM,12,FALSE),"")</f>
        <v/>
      </c>
      <c r="M878" s="13" t="str">
        <f>IFERROR(VLOOKUP($A878,koronahun!$A:$AM,13,FALSE),"")</f>
        <v/>
      </c>
      <c r="N878" s="13" t="str">
        <f>IFERROR(VLOOKUP($A878,koronahun!$A:$AM,14,FALSE),"")</f>
        <v/>
      </c>
      <c r="O878" t="str">
        <f>IFERROR(VLOOKUP($A878,koronahun!$A:$AM,15,FALSE),"")</f>
        <v/>
      </c>
      <c r="P878" t="str">
        <f>IFERROR(VLOOKUP($A878,koronahun!$A:$AM,16,FALSE),"")</f>
        <v/>
      </c>
      <c r="Q878" s="13" t="str">
        <f>IFERROR(VLOOKUP($A878,koronahun!$A:$AM,17,FALSE),"")</f>
        <v/>
      </c>
      <c r="R878" t="str">
        <f>IFERROR(VLOOKUP($A878,koronahun!$A:$AM,18,FALSE),"")</f>
        <v/>
      </c>
      <c r="S878" t="str">
        <f>IFERROR(VLOOKUP($A878,koronahun!$A:$AM,19,FALSE),"")</f>
        <v/>
      </c>
      <c r="T878" t="str">
        <f>IFERROR(VLOOKUP($A878,koronahun!$A:$AM,20,FALSE),"")</f>
        <v/>
      </c>
      <c r="U878" t="str">
        <f>IFERROR(VLOOKUP($A878,koronahun!$A:$AM,21,FALSE),"")</f>
        <v/>
      </c>
      <c r="V878" s="13" t="str">
        <f>IFERROR(VLOOKUP($A878,koronahun!$A:$AM,22,FALSE),"")</f>
        <v/>
      </c>
      <c r="W878" t="str">
        <f>IFERROR(VLOOKUP($A878,koronahun!$A:$AM,23,FALSE),"")</f>
        <v/>
      </c>
      <c r="X878" t="str">
        <f>IFERROR(VLOOKUP($A878,koronahun!$A:$AM,24,FALSE),"")</f>
        <v/>
      </c>
      <c r="Y878" s="14" t="str">
        <f>IFERROR(VLOOKUP($A878,koronahun!$A:$AM,25,FALSE),"")</f>
        <v/>
      </c>
      <c r="Z878" s="14" t="str">
        <f>IFERROR(VLOOKUP($A878,koronahun!$A:$AM,26,FALSE),"")</f>
        <v/>
      </c>
      <c r="AA878" s="14" t="str">
        <f>IFERROR(VLOOKUP($A878,koronahun!$A:$AM,27,FALSE),"")</f>
        <v/>
      </c>
      <c r="AB878" s="14" t="str">
        <f>IFERROR(VLOOKUP($A878,koronahun!$A:$AM,28,FALSE),"")</f>
        <v/>
      </c>
      <c r="AC878" s="14" t="str">
        <f>IFERROR(VLOOKUP($A878,koronahun!$A:$AM,29,FALSE),"")</f>
        <v/>
      </c>
      <c r="AD878" s="14" t="str">
        <f>IFERROR(VLOOKUP($A878,koronahun!$A:$AM,30,FALSE),"")</f>
        <v/>
      </c>
      <c r="AE878" s="14" t="str">
        <f>IFERROR(VLOOKUP($A878,koronahun!$A:$AM,31,FALSE),"")</f>
        <v/>
      </c>
      <c r="AF878" s="13" t="str">
        <f>IFERROR(VLOOKUP($A878,koronahun!$A:$AM,32,FALSE),"")</f>
        <v/>
      </c>
      <c r="AG878" t="str">
        <f>IFERROR(VLOOKUP($A878,koronahun!$A:$AM,33,FALSE),"")</f>
        <v/>
      </c>
      <c r="AH878" t="str">
        <f>IFERROR(VLOOKUP($A878,koronahun!$A:$AM,34,FALSE),"")</f>
        <v/>
      </c>
      <c r="AI878" t="str">
        <f>IFERROR(VLOOKUP($A878,koronahun!$A:$AM,35,FALSE),"")</f>
        <v/>
      </c>
      <c r="AJ878" t="str">
        <f>IFERROR(VLOOKUP($A878,koronahun!$A:$AM,36,FALSE),"")</f>
        <v/>
      </c>
      <c r="AK878" t="str">
        <f>IFERROR(VLOOKUP($A878,koronahun!$A:$AM,37,FALSE),"")</f>
        <v/>
      </c>
      <c r="AL878" t="str">
        <f>IFERROR(VLOOKUP($A878,koronahun!$A:$AM,38,FALSE),"")</f>
        <v/>
      </c>
      <c r="AM878" s="14" t="str">
        <f>IFERROR(VLOOKUP($A878,koronahun!$A:$AM,39,FALSE),"")</f>
        <v/>
      </c>
      <c r="AN878" s="11">
        <f ca="1">IFERROR(__xludf.DUMMYFUNCTION("""COMPUTED_VALUE"""),44770)</f>
        <v>44770</v>
      </c>
      <c r="AO878" s="12">
        <f ca="1">IFERROR(VLOOKUP(AN878,koronahun!A:B,2,FALSE),"")</f>
        <v>0</v>
      </c>
      <c r="AP878" s="11">
        <f t="shared" ca="1" si="6"/>
        <v>44770</v>
      </c>
      <c r="AQ878" s="11"/>
      <c r="AR878" s="11"/>
      <c r="AS878" s="11"/>
      <c r="AT878" s="11"/>
    </row>
    <row r="879" spans="1:46" ht="13">
      <c r="A879" s="11"/>
      <c r="B879" t="str">
        <f>IFERROR(VLOOKUP($A879,koronahun!$A:$AM,2,FALSE),"")</f>
        <v/>
      </c>
      <c r="C879" t="str">
        <f>IFERROR(VLOOKUP($A879,koronahun!$A:$AM,3,FALSE),"")</f>
        <v/>
      </c>
      <c r="D879" t="str">
        <f>IFERROR(VLOOKUP($A879,koronahun!$A:$AM,4,FALSE),"")</f>
        <v/>
      </c>
      <c r="E879" t="str">
        <f>IFERROR(VLOOKUP($A879,koronahun!$A:$AM,5,FALSE),"")</f>
        <v/>
      </c>
      <c r="F879" t="str">
        <f>IFERROR(VLOOKUP($A879,koronahun!$A:$AM,6,FALSE),"")</f>
        <v/>
      </c>
      <c r="G879" s="12" t="str">
        <f>IFERROR(VLOOKUP($A879,koronahun!$A:$AM,7,FALSE),"")</f>
        <v/>
      </c>
      <c r="H879" t="str">
        <f>IFERROR(VLOOKUP($A879,koronahun!$A:$AM,8,FALSE),"")</f>
        <v/>
      </c>
      <c r="I879" s="13" t="str">
        <f>IFERROR(VLOOKUP($A879,koronahun!$A:$AM,9,FALSE),"")</f>
        <v/>
      </c>
      <c r="J879" s="13" t="str">
        <f>IFERROR(VLOOKUP($A879,koronahun!$A:$AM,10,FALSE),"")</f>
        <v/>
      </c>
      <c r="K879" s="13" t="str">
        <f>IFERROR(VLOOKUP($A879,koronahun!$A:$AM,11,FALSE),"")</f>
        <v/>
      </c>
      <c r="L879" t="str">
        <f>IFERROR(VLOOKUP($A879,koronahun!$A:$AM,12,FALSE),"")</f>
        <v/>
      </c>
      <c r="M879" s="13" t="str">
        <f>IFERROR(VLOOKUP($A879,koronahun!$A:$AM,13,FALSE),"")</f>
        <v/>
      </c>
      <c r="N879" s="13" t="str">
        <f>IFERROR(VLOOKUP($A879,koronahun!$A:$AM,14,FALSE),"")</f>
        <v/>
      </c>
      <c r="O879" t="str">
        <f>IFERROR(VLOOKUP($A879,koronahun!$A:$AM,15,FALSE),"")</f>
        <v/>
      </c>
      <c r="P879" t="str">
        <f>IFERROR(VLOOKUP($A879,koronahun!$A:$AM,16,FALSE),"")</f>
        <v/>
      </c>
      <c r="Q879" s="13" t="str">
        <f>IFERROR(VLOOKUP($A879,koronahun!$A:$AM,17,FALSE),"")</f>
        <v/>
      </c>
      <c r="R879" t="str">
        <f>IFERROR(VLOOKUP($A879,koronahun!$A:$AM,18,FALSE),"")</f>
        <v/>
      </c>
      <c r="S879" t="str">
        <f>IFERROR(VLOOKUP($A879,koronahun!$A:$AM,19,FALSE),"")</f>
        <v/>
      </c>
      <c r="T879" t="str">
        <f>IFERROR(VLOOKUP($A879,koronahun!$A:$AM,20,FALSE),"")</f>
        <v/>
      </c>
      <c r="U879" t="str">
        <f>IFERROR(VLOOKUP($A879,koronahun!$A:$AM,21,FALSE),"")</f>
        <v/>
      </c>
      <c r="V879" s="13" t="str">
        <f>IFERROR(VLOOKUP($A879,koronahun!$A:$AM,22,FALSE),"")</f>
        <v/>
      </c>
      <c r="W879" t="str">
        <f>IFERROR(VLOOKUP($A879,koronahun!$A:$AM,23,FALSE),"")</f>
        <v/>
      </c>
      <c r="X879" t="str">
        <f>IFERROR(VLOOKUP($A879,koronahun!$A:$AM,24,FALSE),"")</f>
        <v/>
      </c>
      <c r="Y879" s="14" t="str">
        <f>IFERROR(VLOOKUP($A879,koronahun!$A:$AM,25,FALSE),"")</f>
        <v/>
      </c>
      <c r="Z879" s="14" t="str">
        <f>IFERROR(VLOOKUP($A879,koronahun!$A:$AM,26,FALSE),"")</f>
        <v/>
      </c>
      <c r="AA879" s="14" t="str">
        <f>IFERROR(VLOOKUP($A879,koronahun!$A:$AM,27,FALSE),"")</f>
        <v/>
      </c>
      <c r="AB879" s="14" t="str">
        <f>IFERROR(VLOOKUP($A879,koronahun!$A:$AM,28,FALSE),"")</f>
        <v/>
      </c>
      <c r="AC879" s="14" t="str">
        <f>IFERROR(VLOOKUP($A879,koronahun!$A:$AM,29,FALSE),"")</f>
        <v/>
      </c>
      <c r="AD879" s="14" t="str">
        <f>IFERROR(VLOOKUP($A879,koronahun!$A:$AM,30,FALSE),"")</f>
        <v/>
      </c>
      <c r="AE879" s="14" t="str">
        <f>IFERROR(VLOOKUP($A879,koronahun!$A:$AM,31,FALSE),"")</f>
        <v/>
      </c>
      <c r="AF879" s="13" t="str">
        <f>IFERROR(VLOOKUP($A879,koronahun!$A:$AM,32,FALSE),"")</f>
        <v/>
      </c>
      <c r="AG879" t="str">
        <f>IFERROR(VLOOKUP($A879,koronahun!$A:$AM,33,FALSE),"")</f>
        <v/>
      </c>
      <c r="AH879" t="str">
        <f>IFERROR(VLOOKUP($A879,koronahun!$A:$AM,34,FALSE),"")</f>
        <v/>
      </c>
      <c r="AI879" t="str">
        <f>IFERROR(VLOOKUP($A879,koronahun!$A:$AM,35,FALSE),"")</f>
        <v/>
      </c>
      <c r="AJ879" t="str">
        <f>IFERROR(VLOOKUP($A879,koronahun!$A:$AM,36,FALSE),"")</f>
        <v/>
      </c>
      <c r="AK879" t="str">
        <f>IFERROR(VLOOKUP($A879,koronahun!$A:$AM,37,FALSE),"")</f>
        <v/>
      </c>
      <c r="AL879" t="str">
        <f>IFERROR(VLOOKUP($A879,koronahun!$A:$AM,38,FALSE),"")</f>
        <v/>
      </c>
      <c r="AM879" s="14" t="str">
        <f>IFERROR(VLOOKUP($A879,koronahun!$A:$AM,39,FALSE),"")</f>
        <v/>
      </c>
      <c r="AN879" s="11">
        <f ca="1">IFERROR(__xludf.DUMMYFUNCTION("""COMPUTED_VALUE"""),44771)</f>
        <v>44771</v>
      </c>
      <c r="AO879" s="12">
        <f ca="1">IFERROR(VLOOKUP(AN879,koronahun!A:B,2,FALSE),"")</f>
        <v>0</v>
      </c>
      <c r="AP879" s="11">
        <f t="shared" ca="1" si="6"/>
        <v>44771</v>
      </c>
      <c r="AQ879" s="11"/>
      <c r="AR879" s="11"/>
      <c r="AS879" s="11"/>
      <c r="AT879" s="11"/>
    </row>
    <row r="880" spans="1:46" ht="13">
      <c r="A880" s="11"/>
      <c r="B880" t="str">
        <f>IFERROR(VLOOKUP($A880,koronahun!$A:$AM,2,FALSE),"")</f>
        <v/>
      </c>
      <c r="C880" t="str">
        <f>IFERROR(VLOOKUP($A880,koronahun!$A:$AM,3,FALSE),"")</f>
        <v/>
      </c>
      <c r="D880" t="str">
        <f>IFERROR(VLOOKUP($A880,koronahun!$A:$AM,4,FALSE),"")</f>
        <v/>
      </c>
      <c r="E880" t="str">
        <f>IFERROR(VLOOKUP($A880,koronahun!$A:$AM,5,FALSE),"")</f>
        <v/>
      </c>
      <c r="F880" t="str">
        <f>IFERROR(VLOOKUP($A880,koronahun!$A:$AM,6,FALSE),"")</f>
        <v/>
      </c>
      <c r="G880" s="12" t="str">
        <f>IFERROR(VLOOKUP($A880,koronahun!$A:$AM,7,FALSE),"")</f>
        <v/>
      </c>
      <c r="H880" t="str">
        <f>IFERROR(VLOOKUP($A880,koronahun!$A:$AM,8,FALSE),"")</f>
        <v/>
      </c>
      <c r="I880" s="13" t="str">
        <f>IFERROR(VLOOKUP($A880,koronahun!$A:$AM,9,FALSE),"")</f>
        <v/>
      </c>
      <c r="J880" s="13" t="str">
        <f>IFERROR(VLOOKUP($A880,koronahun!$A:$AM,10,FALSE),"")</f>
        <v/>
      </c>
      <c r="K880" s="13" t="str">
        <f>IFERROR(VLOOKUP($A880,koronahun!$A:$AM,11,FALSE),"")</f>
        <v/>
      </c>
      <c r="L880" t="str">
        <f>IFERROR(VLOOKUP($A880,koronahun!$A:$AM,12,FALSE),"")</f>
        <v/>
      </c>
      <c r="M880" s="13" t="str">
        <f>IFERROR(VLOOKUP($A880,koronahun!$A:$AM,13,FALSE),"")</f>
        <v/>
      </c>
      <c r="N880" s="13" t="str">
        <f>IFERROR(VLOOKUP($A880,koronahun!$A:$AM,14,FALSE),"")</f>
        <v/>
      </c>
      <c r="O880" t="str">
        <f>IFERROR(VLOOKUP($A880,koronahun!$A:$AM,15,FALSE),"")</f>
        <v/>
      </c>
      <c r="P880" t="str">
        <f>IFERROR(VLOOKUP($A880,koronahun!$A:$AM,16,FALSE),"")</f>
        <v/>
      </c>
      <c r="Q880" s="13" t="str">
        <f>IFERROR(VLOOKUP($A880,koronahun!$A:$AM,17,FALSE),"")</f>
        <v/>
      </c>
      <c r="R880" t="str">
        <f>IFERROR(VLOOKUP($A880,koronahun!$A:$AM,18,FALSE),"")</f>
        <v/>
      </c>
      <c r="S880" t="str">
        <f>IFERROR(VLOOKUP($A880,koronahun!$A:$AM,19,FALSE),"")</f>
        <v/>
      </c>
      <c r="T880" t="str">
        <f>IFERROR(VLOOKUP($A880,koronahun!$A:$AM,20,FALSE),"")</f>
        <v/>
      </c>
      <c r="U880" t="str">
        <f>IFERROR(VLOOKUP($A880,koronahun!$A:$AM,21,FALSE),"")</f>
        <v/>
      </c>
      <c r="V880" s="13" t="str">
        <f>IFERROR(VLOOKUP($A880,koronahun!$A:$AM,22,FALSE),"")</f>
        <v/>
      </c>
      <c r="W880" t="str">
        <f>IFERROR(VLOOKUP($A880,koronahun!$A:$AM,23,FALSE),"")</f>
        <v/>
      </c>
      <c r="X880" t="str">
        <f>IFERROR(VLOOKUP($A880,koronahun!$A:$AM,24,FALSE),"")</f>
        <v/>
      </c>
      <c r="Y880" s="14" t="str">
        <f>IFERROR(VLOOKUP($A880,koronahun!$A:$AM,25,FALSE),"")</f>
        <v/>
      </c>
      <c r="Z880" s="14" t="str">
        <f>IFERROR(VLOOKUP($A880,koronahun!$A:$AM,26,FALSE),"")</f>
        <v/>
      </c>
      <c r="AA880" s="14" t="str">
        <f>IFERROR(VLOOKUP($A880,koronahun!$A:$AM,27,FALSE),"")</f>
        <v/>
      </c>
      <c r="AB880" s="14" t="str">
        <f>IFERROR(VLOOKUP($A880,koronahun!$A:$AM,28,FALSE),"")</f>
        <v/>
      </c>
      <c r="AC880" s="14" t="str">
        <f>IFERROR(VLOOKUP($A880,koronahun!$A:$AM,29,FALSE),"")</f>
        <v/>
      </c>
      <c r="AD880" s="14" t="str">
        <f>IFERROR(VLOOKUP($A880,koronahun!$A:$AM,30,FALSE),"")</f>
        <v/>
      </c>
      <c r="AE880" s="14" t="str">
        <f>IFERROR(VLOOKUP($A880,koronahun!$A:$AM,31,FALSE),"")</f>
        <v/>
      </c>
      <c r="AF880" s="13" t="str">
        <f>IFERROR(VLOOKUP($A880,koronahun!$A:$AM,32,FALSE),"")</f>
        <v/>
      </c>
      <c r="AG880" t="str">
        <f>IFERROR(VLOOKUP($A880,koronahun!$A:$AM,33,FALSE),"")</f>
        <v/>
      </c>
      <c r="AH880" t="str">
        <f>IFERROR(VLOOKUP($A880,koronahun!$A:$AM,34,FALSE),"")</f>
        <v/>
      </c>
      <c r="AI880" t="str">
        <f>IFERROR(VLOOKUP($A880,koronahun!$A:$AM,35,FALSE),"")</f>
        <v/>
      </c>
      <c r="AJ880" t="str">
        <f>IFERROR(VLOOKUP($A880,koronahun!$A:$AM,36,FALSE),"")</f>
        <v/>
      </c>
      <c r="AK880" t="str">
        <f>IFERROR(VLOOKUP($A880,koronahun!$A:$AM,37,FALSE),"")</f>
        <v/>
      </c>
      <c r="AL880" t="str">
        <f>IFERROR(VLOOKUP($A880,koronahun!$A:$AM,38,FALSE),"")</f>
        <v/>
      </c>
      <c r="AM880" s="14" t="str">
        <f>IFERROR(VLOOKUP($A880,koronahun!$A:$AM,39,FALSE),"")</f>
        <v/>
      </c>
      <c r="AN880" s="11">
        <f ca="1">IFERROR(__xludf.DUMMYFUNCTION("""COMPUTED_VALUE"""),44772)</f>
        <v>44772</v>
      </c>
      <c r="AO880" s="12">
        <f ca="1">IFERROR(VLOOKUP(AN880,koronahun!A:B,2,FALSE),"")</f>
        <v>0</v>
      </c>
      <c r="AP880" s="11">
        <f t="shared" ca="1" si="6"/>
        <v>44772</v>
      </c>
      <c r="AQ880" s="11"/>
      <c r="AR880" s="11"/>
      <c r="AS880" s="11"/>
      <c r="AT880" s="11"/>
    </row>
    <row r="881" spans="1:46" ht="13">
      <c r="A881" s="11"/>
      <c r="B881" t="str">
        <f>IFERROR(VLOOKUP($A881,koronahun!$A:$AM,2,FALSE),"")</f>
        <v/>
      </c>
      <c r="C881" t="str">
        <f>IFERROR(VLOOKUP($A881,koronahun!$A:$AM,3,FALSE),"")</f>
        <v/>
      </c>
      <c r="D881" t="str">
        <f>IFERROR(VLOOKUP($A881,koronahun!$A:$AM,4,FALSE),"")</f>
        <v/>
      </c>
      <c r="E881" t="str">
        <f>IFERROR(VLOOKUP($A881,koronahun!$A:$AM,5,FALSE),"")</f>
        <v/>
      </c>
      <c r="F881" t="str">
        <f>IFERROR(VLOOKUP($A881,koronahun!$A:$AM,6,FALSE),"")</f>
        <v/>
      </c>
      <c r="G881" s="12" t="str">
        <f>IFERROR(VLOOKUP($A881,koronahun!$A:$AM,7,FALSE),"")</f>
        <v/>
      </c>
      <c r="H881" t="str">
        <f>IFERROR(VLOOKUP($A881,koronahun!$A:$AM,8,FALSE),"")</f>
        <v/>
      </c>
      <c r="I881" s="13" t="str">
        <f>IFERROR(VLOOKUP($A881,koronahun!$A:$AM,9,FALSE),"")</f>
        <v/>
      </c>
      <c r="J881" s="13" t="str">
        <f>IFERROR(VLOOKUP($A881,koronahun!$A:$AM,10,FALSE),"")</f>
        <v/>
      </c>
      <c r="K881" s="13" t="str">
        <f>IFERROR(VLOOKUP($A881,koronahun!$A:$AM,11,FALSE),"")</f>
        <v/>
      </c>
      <c r="L881" t="str">
        <f>IFERROR(VLOOKUP($A881,koronahun!$A:$AM,12,FALSE),"")</f>
        <v/>
      </c>
      <c r="M881" s="13" t="str">
        <f>IFERROR(VLOOKUP($A881,koronahun!$A:$AM,13,FALSE),"")</f>
        <v/>
      </c>
      <c r="N881" s="13" t="str">
        <f>IFERROR(VLOOKUP($A881,koronahun!$A:$AM,14,FALSE),"")</f>
        <v/>
      </c>
      <c r="O881" t="str">
        <f>IFERROR(VLOOKUP($A881,koronahun!$A:$AM,15,FALSE),"")</f>
        <v/>
      </c>
      <c r="P881" t="str">
        <f>IFERROR(VLOOKUP($A881,koronahun!$A:$AM,16,FALSE),"")</f>
        <v/>
      </c>
      <c r="Q881" s="13" t="str">
        <f>IFERROR(VLOOKUP($A881,koronahun!$A:$AM,17,FALSE),"")</f>
        <v/>
      </c>
      <c r="R881" t="str">
        <f>IFERROR(VLOOKUP($A881,koronahun!$A:$AM,18,FALSE),"")</f>
        <v/>
      </c>
      <c r="S881" t="str">
        <f>IFERROR(VLOOKUP($A881,koronahun!$A:$AM,19,FALSE),"")</f>
        <v/>
      </c>
      <c r="T881" t="str">
        <f>IFERROR(VLOOKUP($A881,koronahun!$A:$AM,20,FALSE),"")</f>
        <v/>
      </c>
      <c r="U881" t="str">
        <f>IFERROR(VLOOKUP($A881,koronahun!$A:$AM,21,FALSE),"")</f>
        <v/>
      </c>
      <c r="V881" s="13" t="str">
        <f>IFERROR(VLOOKUP($A881,koronahun!$A:$AM,22,FALSE),"")</f>
        <v/>
      </c>
      <c r="W881" t="str">
        <f>IFERROR(VLOOKUP($A881,koronahun!$A:$AM,23,FALSE),"")</f>
        <v/>
      </c>
      <c r="X881" t="str">
        <f>IFERROR(VLOOKUP($A881,koronahun!$A:$AM,24,FALSE),"")</f>
        <v/>
      </c>
      <c r="Y881" s="14" t="str">
        <f>IFERROR(VLOOKUP($A881,koronahun!$A:$AM,25,FALSE),"")</f>
        <v/>
      </c>
      <c r="Z881" s="14" t="str">
        <f>IFERROR(VLOOKUP($A881,koronahun!$A:$AM,26,FALSE),"")</f>
        <v/>
      </c>
      <c r="AA881" s="14" t="str">
        <f>IFERROR(VLOOKUP($A881,koronahun!$A:$AM,27,FALSE),"")</f>
        <v/>
      </c>
      <c r="AB881" s="14" t="str">
        <f>IFERROR(VLOOKUP($A881,koronahun!$A:$AM,28,FALSE),"")</f>
        <v/>
      </c>
      <c r="AC881" s="14" t="str">
        <f>IFERROR(VLOOKUP($A881,koronahun!$A:$AM,29,FALSE),"")</f>
        <v/>
      </c>
      <c r="AD881" s="14" t="str">
        <f>IFERROR(VLOOKUP($A881,koronahun!$A:$AM,30,FALSE),"")</f>
        <v/>
      </c>
      <c r="AE881" s="14" t="str">
        <f>IFERROR(VLOOKUP($A881,koronahun!$A:$AM,31,FALSE),"")</f>
        <v/>
      </c>
      <c r="AF881" s="13" t="str">
        <f>IFERROR(VLOOKUP($A881,koronahun!$A:$AM,32,FALSE),"")</f>
        <v/>
      </c>
      <c r="AG881" t="str">
        <f>IFERROR(VLOOKUP($A881,koronahun!$A:$AM,33,FALSE),"")</f>
        <v/>
      </c>
      <c r="AH881" t="str">
        <f>IFERROR(VLOOKUP($A881,koronahun!$A:$AM,34,FALSE),"")</f>
        <v/>
      </c>
      <c r="AI881" t="str">
        <f>IFERROR(VLOOKUP($A881,koronahun!$A:$AM,35,FALSE),"")</f>
        <v/>
      </c>
      <c r="AJ881" t="str">
        <f>IFERROR(VLOOKUP($A881,koronahun!$A:$AM,36,FALSE),"")</f>
        <v/>
      </c>
      <c r="AK881" t="str">
        <f>IFERROR(VLOOKUP($A881,koronahun!$A:$AM,37,FALSE),"")</f>
        <v/>
      </c>
      <c r="AL881" t="str">
        <f>IFERROR(VLOOKUP($A881,koronahun!$A:$AM,38,FALSE),"")</f>
        <v/>
      </c>
      <c r="AM881" s="14" t="str">
        <f>IFERROR(VLOOKUP($A881,koronahun!$A:$AM,39,FALSE),"")</f>
        <v/>
      </c>
      <c r="AN881" s="11">
        <f ca="1">IFERROR(__xludf.DUMMYFUNCTION("""COMPUTED_VALUE"""),44773)</f>
        <v>44773</v>
      </c>
      <c r="AO881" s="12">
        <f ca="1">IFERROR(VLOOKUP(AN881,koronahun!A:B,2,FALSE),"")</f>
        <v>0</v>
      </c>
      <c r="AP881" s="11">
        <f t="shared" ca="1" si="6"/>
        <v>44773</v>
      </c>
      <c r="AQ881" s="11"/>
      <c r="AR881" s="11"/>
      <c r="AS881" s="11"/>
      <c r="AT881" s="11"/>
    </row>
    <row r="882" spans="1:46" ht="13">
      <c r="A882" s="11"/>
      <c r="B882" t="str">
        <f>IFERROR(VLOOKUP($A882,koronahun!$A:$AM,2,FALSE),"")</f>
        <v/>
      </c>
      <c r="C882" t="str">
        <f>IFERROR(VLOOKUP($A882,koronahun!$A:$AM,3,FALSE),"")</f>
        <v/>
      </c>
      <c r="D882" t="str">
        <f>IFERROR(VLOOKUP($A882,koronahun!$A:$AM,4,FALSE),"")</f>
        <v/>
      </c>
      <c r="E882" t="str">
        <f>IFERROR(VLOOKUP($A882,koronahun!$A:$AM,5,FALSE),"")</f>
        <v/>
      </c>
      <c r="F882" t="str">
        <f>IFERROR(VLOOKUP($A882,koronahun!$A:$AM,6,FALSE),"")</f>
        <v/>
      </c>
      <c r="G882" s="12" t="str">
        <f>IFERROR(VLOOKUP($A882,koronahun!$A:$AM,7,FALSE),"")</f>
        <v/>
      </c>
      <c r="H882" t="str">
        <f>IFERROR(VLOOKUP($A882,koronahun!$A:$AM,8,FALSE),"")</f>
        <v/>
      </c>
      <c r="I882" s="13" t="str">
        <f>IFERROR(VLOOKUP($A882,koronahun!$A:$AM,9,FALSE),"")</f>
        <v/>
      </c>
      <c r="J882" s="13" t="str">
        <f>IFERROR(VLOOKUP($A882,koronahun!$A:$AM,10,FALSE),"")</f>
        <v/>
      </c>
      <c r="K882" s="13" t="str">
        <f>IFERROR(VLOOKUP($A882,koronahun!$A:$AM,11,FALSE),"")</f>
        <v/>
      </c>
      <c r="L882" t="str">
        <f>IFERROR(VLOOKUP($A882,koronahun!$A:$AM,12,FALSE),"")</f>
        <v/>
      </c>
      <c r="M882" s="13" t="str">
        <f>IFERROR(VLOOKUP($A882,koronahun!$A:$AM,13,FALSE),"")</f>
        <v/>
      </c>
      <c r="N882" s="13" t="str">
        <f>IFERROR(VLOOKUP($A882,koronahun!$A:$AM,14,FALSE),"")</f>
        <v/>
      </c>
      <c r="O882" t="str">
        <f>IFERROR(VLOOKUP($A882,koronahun!$A:$AM,15,FALSE),"")</f>
        <v/>
      </c>
      <c r="P882" t="str">
        <f>IFERROR(VLOOKUP($A882,koronahun!$A:$AM,16,FALSE),"")</f>
        <v/>
      </c>
      <c r="Q882" s="13" t="str">
        <f>IFERROR(VLOOKUP($A882,koronahun!$A:$AM,17,FALSE),"")</f>
        <v/>
      </c>
      <c r="R882" t="str">
        <f>IFERROR(VLOOKUP($A882,koronahun!$A:$AM,18,FALSE),"")</f>
        <v/>
      </c>
      <c r="S882" t="str">
        <f>IFERROR(VLOOKUP($A882,koronahun!$A:$AM,19,FALSE),"")</f>
        <v/>
      </c>
      <c r="T882" t="str">
        <f>IFERROR(VLOOKUP($A882,koronahun!$A:$AM,20,FALSE),"")</f>
        <v/>
      </c>
      <c r="U882" t="str">
        <f>IFERROR(VLOOKUP($A882,koronahun!$A:$AM,21,FALSE),"")</f>
        <v/>
      </c>
      <c r="V882" s="13" t="str">
        <f>IFERROR(VLOOKUP($A882,koronahun!$A:$AM,22,FALSE),"")</f>
        <v/>
      </c>
      <c r="W882" t="str">
        <f>IFERROR(VLOOKUP($A882,koronahun!$A:$AM,23,FALSE),"")</f>
        <v/>
      </c>
      <c r="X882" t="str">
        <f>IFERROR(VLOOKUP($A882,koronahun!$A:$AM,24,FALSE),"")</f>
        <v/>
      </c>
      <c r="Y882" s="14" t="str">
        <f>IFERROR(VLOOKUP($A882,koronahun!$A:$AM,25,FALSE),"")</f>
        <v/>
      </c>
      <c r="Z882" s="14" t="str">
        <f>IFERROR(VLOOKUP($A882,koronahun!$A:$AM,26,FALSE),"")</f>
        <v/>
      </c>
      <c r="AA882" s="14" t="str">
        <f>IFERROR(VLOOKUP($A882,koronahun!$A:$AM,27,FALSE),"")</f>
        <v/>
      </c>
      <c r="AB882" s="14" t="str">
        <f>IFERROR(VLOOKUP($A882,koronahun!$A:$AM,28,FALSE),"")</f>
        <v/>
      </c>
      <c r="AC882" s="14" t="str">
        <f>IFERROR(VLOOKUP($A882,koronahun!$A:$AM,29,FALSE),"")</f>
        <v/>
      </c>
      <c r="AD882" s="14" t="str">
        <f>IFERROR(VLOOKUP($A882,koronahun!$A:$AM,30,FALSE),"")</f>
        <v/>
      </c>
      <c r="AE882" s="14" t="str">
        <f>IFERROR(VLOOKUP($A882,koronahun!$A:$AM,31,FALSE),"")</f>
        <v/>
      </c>
      <c r="AF882" s="13" t="str">
        <f>IFERROR(VLOOKUP($A882,koronahun!$A:$AM,32,FALSE),"")</f>
        <v/>
      </c>
      <c r="AG882" t="str">
        <f>IFERROR(VLOOKUP($A882,koronahun!$A:$AM,33,FALSE),"")</f>
        <v/>
      </c>
      <c r="AH882" t="str">
        <f>IFERROR(VLOOKUP($A882,koronahun!$A:$AM,34,FALSE),"")</f>
        <v/>
      </c>
      <c r="AI882" t="str">
        <f>IFERROR(VLOOKUP($A882,koronahun!$A:$AM,35,FALSE),"")</f>
        <v/>
      </c>
      <c r="AJ882" t="str">
        <f>IFERROR(VLOOKUP($A882,koronahun!$A:$AM,36,FALSE),"")</f>
        <v/>
      </c>
      <c r="AK882" t="str">
        <f>IFERROR(VLOOKUP($A882,koronahun!$A:$AM,37,FALSE),"")</f>
        <v/>
      </c>
      <c r="AL882" t="str">
        <f>IFERROR(VLOOKUP($A882,koronahun!$A:$AM,38,FALSE),"")</f>
        <v/>
      </c>
      <c r="AM882" s="14" t="str">
        <f>IFERROR(VLOOKUP($A882,koronahun!$A:$AM,39,FALSE),"")</f>
        <v/>
      </c>
      <c r="AN882" s="11">
        <f ca="1">IFERROR(__xludf.DUMMYFUNCTION("""COMPUTED_VALUE"""),44774)</f>
        <v>44774</v>
      </c>
      <c r="AO882" s="12">
        <f ca="1">IFERROR(VLOOKUP(AN882,koronahun!A:B,2,FALSE),"")</f>
        <v>0</v>
      </c>
      <c r="AP882" s="11">
        <f t="shared" ca="1" si="6"/>
        <v>44774</v>
      </c>
      <c r="AQ882" s="11"/>
      <c r="AR882" s="11"/>
      <c r="AS882" s="11"/>
      <c r="AT882" s="11"/>
    </row>
    <row r="883" spans="1:46" ht="13">
      <c r="A883" s="11"/>
      <c r="B883" t="str">
        <f>IFERROR(VLOOKUP($A883,koronahun!$A:$AM,2,FALSE),"")</f>
        <v/>
      </c>
      <c r="C883" t="str">
        <f>IFERROR(VLOOKUP($A883,koronahun!$A:$AM,3,FALSE),"")</f>
        <v/>
      </c>
      <c r="D883" t="str">
        <f>IFERROR(VLOOKUP($A883,koronahun!$A:$AM,4,FALSE),"")</f>
        <v/>
      </c>
      <c r="E883" t="str">
        <f>IFERROR(VLOOKUP($A883,koronahun!$A:$AM,5,FALSE),"")</f>
        <v/>
      </c>
      <c r="F883" t="str">
        <f>IFERROR(VLOOKUP($A883,koronahun!$A:$AM,6,FALSE),"")</f>
        <v/>
      </c>
      <c r="G883" s="12" t="str">
        <f>IFERROR(VLOOKUP($A883,koronahun!$A:$AM,7,FALSE),"")</f>
        <v/>
      </c>
      <c r="H883" t="str">
        <f>IFERROR(VLOOKUP($A883,koronahun!$A:$AM,8,FALSE),"")</f>
        <v/>
      </c>
      <c r="I883" s="13" t="str">
        <f>IFERROR(VLOOKUP($A883,koronahun!$A:$AM,9,FALSE),"")</f>
        <v/>
      </c>
      <c r="J883" s="13" t="str">
        <f>IFERROR(VLOOKUP($A883,koronahun!$A:$AM,10,FALSE),"")</f>
        <v/>
      </c>
      <c r="K883" s="13" t="str">
        <f>IFERROR(VLOOKUP($A883,koronahun!$A:$AM,11,FALSE),"")</f>
        <v/>
      </c>
      <c r="L883" t="str">
        <f>IFERROR(VLOOKUP($A883,koronahun!$A:$AM,12,FALSE),"")</f>
        <v/>
      </c>
      <c r="M883" s="13" t="str">
        <f>IFERROR(VLOOKUP($A883,koronahun!$A:$AM,13,FALSE),"")</f>
        <v/>
      </c>
      <c r="N883" s="13" t="str">
        <f>IFERROR(VLOOKUP($A883,koronahun!$A:$AM,14,FALSE),"")</f>
        <v/>
      </c>
      <c r="O883" t="str">
        <f>IFERROR(VLOOKUP($A883,koronahun!$A:$AM,15,FALSE),"")</f>
        <v/>
      </c>
      <c r="P883" t="str">
        <f>IFERROR(VLOOKUP($A883,koronahun!$A:$AM,16,FALSE),"")</f>
        <v/>
      </c>
      <c r="Q883" s="13" t="str">
        <f>IFERROR(VLOOKUP($A883,koronahun!$A:$AM,17,FALSE),"")</f>
        <v/>
      </c>
      <c r="R883" t="str">
        <f>IFERROR(VLOOKUP($A883,koronahun!$A:$AM,18,FALSE),"")</f>
        <v/>
      </c>
      <c r="S883" t="str">
        <f>IFERROR(VLOOKUP($A883,koronahun!$A:$AM,19,FALSE),"")</f>
        <v/>
      </c>
      <c r="T883" t="str">
        <f>IFERROR(VLOOKUP($A883,koronahun!$A:$AM,20,FALSE),"")</f>
        <v/>
      </c>
      <c r="U883" t="str">
        <f>IFERROR(VLOOKUP($A883,koronahun!$A:$AM,21,FALSE),"")</f>
        <v/>
      </c>
      <c r="V883" s="13" t="str">
        <f>IFERROR(VLOOKUP($A883,koronahun!$A:$AM,22,FALSE),"")</f>
        <v/>
      </c>
      <c r="W883" t="str">
        <f>IFERROR(VLOOKUP($A883,koronahun!$A:$AM,23,FALSE),"")</f>
        <v/>
      </c>
      <c r="X883" t="str">
        <f>IFERROR(VLOOKUP($A883,koronahun!$A:$AM,24,FALSE),"")</f>
        <v/>
      </c>
      <c r="Y883" s="14" t="str">
        <f>IFERROR(VLOOKUP($A883,koronahun!$A:$AM,25,FALSE),"")</f>
        <v/>
      </c>
      <c r="Z883" s="14" t="str">
        <f>IFERROR(VLOOKUP($A883,koronahun!$A:$AM,26,FALSE),"")</f>
        <v/>
      </c>
      <c r="AA883" s="14" t="str">
        <f>IFERROR(VLOOKUP($A883,koronahun!$A:$AM,27,FALSE),"")</f>
        <v/>
      </c>
      <c r="AB883" s="14" t="str">
        <f>IFERROR(VLOOKUP($A883,koronahun!$A:$AM,28,FALSE),"")</f>
        <v/>
      </c>
      <c r="AC883" s="14" t="str">
        <f>IFERROR(VLOOKUP($A883,koronahun!$A:$AM,29,FALSE),"")</f>
        <v/>
      </c>
      <c r="AD883" s="14" t="str">
        <f>IFERROR(VLOOKUP($A883,koronahun!$A:$AM,30,FALSE),"")</f>
        <v/>
      </c>
      <c r="AE883" s="14" t="str">
        <f>IFERROR(VLOOKUP($A883,koronahun!$A:$AM,31,FALSE),"")</f>
        <v/>
      </c>
      <c r="AF883" s="13" t="str">
        <f>IFERROR(VLOOKUP($A883,koronahun!$A:$AM,32,FALSE),"")</f>
        <v/>
      </c>
      <c r="AG883" t="str">
        <f>IFERROR(VLOOKUP($A883,koronahun!$A:$AM,33,FALSE),"")</f>
        <v/>
      </c>
      <c r="AH883" t="str">
        <f>IFERROR(VLOOKUP($A883,koronahun!$A:$AM,34,FALSE),"")</f>
        <v/>
      </c>
      <c r="AI883" t="str">
        <f>IFERROR(VLOOKUP($A883,koronahun!$A:$AM,35,FALSE),"")</f>
        <v/>
      </c>
      <c r="AJ883" t="str">
        <f>IFERROR(VLOOKUP($A883,koronahun!$A:$AM,36,FALSE),"")</f>
        <v/>
      </c>
      <c r="AK883" t="str">
        <f>IFERROR(VLOOKUP($A883,koronahun!$A:$AM,37,FALSE),"")</f>
        <v/>
      </c>
      <c r="AL883" t="str">
        <f>IFERROR(VLOOKUP($A883,koronahun!$A:$AM,38,FALSE),"")</f>
        <v/>
      </c>
      <c r="AM883" s="14" t="str">
        <f>IFERROR(VLOOKUP($A883,koronahun!$A:$AM,39,FALSE),"")</f>
        <v/>
      </c>
      <c r="AN883" s="11">
        <f ca="1">IFERROR(__xludf.DUMMYFUNCTION("""COMPUTED_VALUE"""),44775)</f>
        <v>44775</v>
      </c>
      <c r="AO883" s="12">
        <f ca="1">IFERROR(VLOOKUP(AN883,koronahun!A:B,2,FALSE),"")</f>
        <v>0</v>
      </c>
      <c r="AP883" s="11">
        <f t="shared" ca="1" si="6"/>
        <v>44775</v>
      </c>
      <c r="AQ883" s="11"/>
      <c r="AR883" s="11"/>
      <c r="AS883" s="11"/>
      <c r="AT883" s="11"/>
    </row>
    <row r="884" spans="1:46" ht="13">
      <c r="A884" s="11"/>
      <c r="B884" t="str">
        <f>IFERROR(VLOOKUP($A884,koronahun!$A:$AM,2,FALSE),"")</f>
        <v/>
      </c>
      <c r="C884" t="str">
        <f>IFERROR(VLOOKUP($A884,koronahun!$A:$AM,3,FALSE),"")</f>
        <v/>
      </c>
      <c r="D884" t="str">
        <f>IFERROR(VLOOKUP($A884,koronahun!$A:$AM,4,FALSE),"")</f>
        <v/>
      </c>
      <c r="E884" t="str">
        <f>IFERROR(VLOOKUP($A884,koronahun!$A:$AM,5,FALSE),"")</f>
        <v/>
      </c>
      <c r="F884" t="str">
        <f>IFERROR(VLOOKUP($A884,koronahun!$A:$AM,6,FALSE),"")</f>
        <v/>
      </c>
      <c r="G884" s="12" t="str">
        <f>IFERROR(VLOOKUP($A884,koronahun!$A:$AM,7,FALSE),"")</f>
        <v/>
      </c>
      <c r="H884" t="str">
        <f>IFERROR(VLOOKUP($A884,koronahun!$A:$AM,8,FALSE),"")</f>
        <v/>
      </c>
      <c r="I884" s="13" t="str">
        <f>IFERROR(VLOOKUP($A884,koronahun!$A:$AM,9,FALSE),"")</f>
        <v/>
      </c>
      <c r="J884" s="13" t="str">
        <f>IFERROR(VLOOKUP($A884,koronahun!$A:$AM,10,FALSE),"")</f>
        <v/>
      </c>
      <c r="K884" s="13" t="str">
        <f>IFERROR(VLOOKUP($A884,koronahun!$A:$AM,11,FALSE),"")</f>
        <v/>
      </c>
      <c r="L884" t="str">
        <f>IFERROR(VLOOKUP($A884,koronahun!$A:$AM,12,FALSE),"")</f>
        <v/>
      </c>
      <c r="M884" s="13" t="str">
        <f>IFERROR(VLOOKUP($A884,koronahun!$A:$AM,13,FALSE),"")</f>
        <v/>
      </c>
      <c r="N884" s="13" t="str">
        <f>IFERROR(VLOOKUP($A884,koronahun!$A:$AM,14,FALSE),"")</f>
        <v/>
      </c>
      <c r="O884" t="str">
        <f>IFERROR(VLOOKUP($A884,koronahun!$A:$AM,15,FALSE),"")</f>
        <v/>
      </c>
      <c r="P884" t="str">
        <f>IFERROR(VLOOKUP($A884,koronahun!$A:$AM,16,FALSE),"")</f>
        <v/>
      </c>
      <c r="Q884" s="13" t="str">
        <f>IFERROR(VLOOKUP($A884,koronahun!$A:$AM,17,FALSE),"")</f>
        <v/>
      </c>
      <c r="R884" t="str">
        <f>IFERROR(VLOOKUP($A884,koronahun!$A:$AM,18,FALSE),"")</f>
        <v/>
      </c>
      <c r="S884" t="str">
        <f>IFERROR(VLOOKUP($A884,koronahun!$A:$AM,19,FALSE),"")</f>
        <v/>
      </c>
      <c r="T884" t="str">
        <f>IFERROR(VLOOKUP($A884,koronahun!$A:$AM,20,FALSE),"")</f>
        <v/>
      </c>
      <c r="U884" t="str">
        <f>IFERROR(VLOOKUP($A884,koronahun!$A:$AM,21,FALSE),"")</f>
        <v/>
      </c>
      <c r="V884" s="13" t="str">
        <f>IFERROR(VLOOKUP($A884,koronahun!$A:$AM,22,FALSE),"")</f>
        <v/>
      </c>
      <c r="W884" t="str">
        <f>IFERROR(VLOOKUP($A884,koronahun!$A:$AM,23,FALSE),"")</f>
        <v/>
      </c>
      <c r="X884" t="str">
        <f>IFERROR(VLOOKUP($A884,koronahun!$A:$AM,24,FALSE),"")</f>
        <v/>
      </c>
      <c r="Y884" s="14" t="str">
        <f>IFERROR(VLOOKUP($A884,koronahun!$A:$AM,25,FALSE),"")</f>
        <v/>
      </c>
      <c r="Z884" s="14" t="str">
        <f>IFERROR(VLOOKUP($A884,koronahun!$A:$AM,26,FALSE),"")</f>
        <v/>
      </c>
      <c r="AA884" s="14" t="str">
        <f>IFERROR(VLOOKUP($A884,koronahun!$A:$AM,27,FALSE),"")</f>
        <v/>
      </c>
      <c r="AB884" s="14" t="str">
        <f>IFERROR(VLOOKUP($A884,koronahun!$A:$AM,28,FALSE),"")</f>
        <v/>
      </c>
      <c r="AC884" s="14" t="str">
        <f>IFERROR(VLOOKUP($A884,koronahun!$A:$AM,29,FALSE),"")</f>
        <v/>
      </c>
      <c r="AD884" s="14" t="str">
        <f>IFERROR(VLOOKUP($A884,koronahun!$A:$AM,30,FALSE),"")</f>
        <v/>
      </c>
      <c r="AE884" s="14" t="str">
        <f>IFERROR(VLOOKUP($A884,koronahun!$A:$AM,31,FALSE),"")</f>
        <v/>
      </c>
      <c r="AF884" s="13" t="str">
        <f>IFERROR(VLOOKUP($A884,koronahun!$A:$AM,32,FALSE),"")</f>
        <v/>
      </c>
      <c r="AG884" t="str">
        <f>IFERROR(VLOOKUP($A884,koronahun!$A:$AM,33,FALSE),"")</f>
        <v/>
      </c>
      <c r="AH884" t="str">
        <f>IFERROR(VLOOKUP($A884,koronahun!$A:$AM,34,FALSE),"")</f>
        <v/>
      </c>
      <c r="AI884" t="str">
        <f>IFERROR(VLOOKUP($A884,koronahun!$A:$AM,35,FALSE),"")</f>
        <v/>
      </c>
      <c r="AJ884" t="str">
        <f>IFERROR(VLOOKUP($A884,koronahun!$A:$AM,36,FALSE),"")</f>
        <v/>
      </c>
      <c r="AK884" t="str">
        <f>IFERROR(VLOOKUP($A884,koronahun!$A:$AM,37,FALSE),"")</f>
        <v/>
      </c>
      <c r="AL884" t="str">
        <f>IFERROR(VLOOKUP($A884,koronahun!$A:$AM,38,FALSE),"")</f>
        <v/>
      </c>
      <c r="AM884" s="14" t="str">
        <f>IFERROR(VLOOKUP($A884,koronahun!$A:$AM,39,FALSE),"")</f>
        <v/>
      </c>
      <c r="AN884" s="11">
        <f ca="1">IFERROR(__xludf.DUMMYFUNCTION("""COMPUTED_VALUE"""),44776)</f>
        <v>44776</v>
      </c>
      <c r="AO884" s="12">
        <f ca="1">IFERROR(VLOOKUP(AN884,koronahun!A:B,2,FALSE),"")</f>
        <v>1987321</v>
      </c>
      <c r="AP884" s="11">
        <f t="shared" ca="1" si="6"/>
        <v>44776</v>
      </c>
      <c r="AQ884" s="11"/>
      <c r="AR884" s="11"/>
      <c r="AS884" s="11"/>
      <c r="AT884" s="11"/>
    </row>
    <row r="885" spans="1:46" ht="13">
      <c r="A885" s="11"/>
      <c r="B885" t="str">
        <f>IFERROR(VLOOKUP($A885,koronahun!$A:$AM,2,FALSE),"")</f>
        <v/>
      </c>
      <c r="C885" t="str">
        <f>IFERROR(VLOOKUP($A885,koronahun!$A:$AM,3,FALSE),"")</f>
        <v/>
      </c>
      <c r="D885" t="str">
        <f>IFERROR(VLOOKUP($A885,koronahun!$A:$AM,4,FALSE),"")</f>
        <v/>
      </c>
      <c r="E885" t="str">
        <f>IFERROR(VLOOKUP($A885,koronahun!$A:$AM,5,FALSE),"")</f>
        <v/>
      </c>
      <c r="F885" t="str">
        <f>IFERROR(VLOOKUP($A885,koronahun!$A:$AM,6,FALSE),"")</f>
        <v/>
      </c>
      <c r="G885" s="12" t="str">
        <f>IFERROR(VLOOKUP($A885,koronahun!$A:$AM,7,FALSE),"")</f>
        <v/>
      </c>
      <c r="H885" t="str">
        <f>IFERROR(VLOOKUP($A885,koronahun!$A:$AM,8,FALSE),"")</f>
        <v/>
      </c>
      <c r="I885" s="13" t="str">
        <f>IFERROR(VLOOKUP($A885,koronahun!$A:$AM,9,FALSE),"")</f>
        <v/>
      </c>
      <c r="J885" s="13" t="str">
        <f>IFERROR(VLOOKUP($A885,koronahun!$A:$AM,10,FALSE),"")</f>
        <v/>
      </c>
      <c r="K885" s="13" t="str">
        <f>IFERROR(VLOOKUP($A885,koronahun!$A:$AM,11,FALSE),"")</f>
        <v/>
      </c>
      <c r="L885" t="str">
        <f>IFERROR(VLOOKUP($A885,koronahun!$A:$AM,12,FALSE),"")</f>
        <v/>
      </c>
      <c r="M885" s="13" t="str">
        <f>IFERROR(VLOOKUP($A885,koronahun!$A:$AM,13,FALSE),"")</f>
        <v/>
      </c>
      <c r="N885" s="13" t="str">
        <f>IFERROR(VLOOKUP($A885,koronahun!$A:$AM,14,FALSE),"")</f>
        <v/>
      </c>
      <c r="O885" t="str">
        <f>IFERROR(VLOOKUP($A885,koronahun!$A:$AM,15,FALSE),"")</f>
        <v/>
      </c>
      <c r="P885" t="str">
        <f>IFERROR(VLOOKUP($A885,koronahun!$A:$AM,16,FALSE),"")</f>
        <v/>
      </c>
      <c r="Q885" s="13" t="str">
        <f>IFERROR(VLOOKUP($A885,koronahun!$A:$AM,17,FALSE),"")</f>
        <v/>
      </c>
      <c r="R885" t="str">
        <f>IFERROR(VLOOKUP($A885,koronahun!$A:$AM,18,FALSE),"")</f>
        <v/>
      </c>
      <c r="S885" t="str">
        <f>IFERROR(VLOOKUP($A885,koronahun!$A:$AM,19,FALSE),"")</f>
        <v/>
      </c>
      <c r="T885" t="str">
        <f>IFERROR(VLOOKUP($A885,koronahun!$A:$AM,20,FALSE),"")</f>
        <v/>
      </c>
      <c r="U885" t="str">
        <f>IFERROR(VLOOKUP($A885,koronahun!$A:$AM,21,FALSE),"")</f>
        <v/>
      </c>
      <c r="V885" s="13" t="str">
        <f>IFERROR(VLOOKUP($A885,koronahun!$A:$AM,22,FALSE),"")</f>
        <v/>
      </c>
      <c r="W885" t="str">
        <f>IFERROR(VLOOKUP($A885,koronahun!$A:$AM,23,FALSE),"")</f>
        <v/>
      </c>
      <c r="X885" t="str">
        <f>IFERROR(VLOOKUP($A885,koronahun!$A:$AM,24,FALSE),"")</f>
        <v/>
      </c>
      <c r="Y885" s="14" t="str">
        <f>IFERROR(VLOOKUP($A885,koronahun!$A:$AM,25,FALSE),"")</f>
        <v/>
      </c>
      <c r="Z885" s="14" t="str">
        <f>IFERROR(VLOOKUP($A885,koronahun!$A:$AM,26,FALSE),"")</f>
        <v/>
      </c>
      <c r="AA885" s="14" t="str">
        <f>IFERROR(VLOOKUP($A885,koronahun!$A:$AM,27,FALSE),"")</f>
        <v/>
      </c>
      <c r="AB885" s="14" t="str">
        <f>IFERROR(VLOOKUP($A885,koronahun!$A:$AM,28,FALSE),"")</f>
        <v/>
      </c>
      <c r="AC885" s="14" t="str">
        <f>IFERROR(VLOOKUP($A885,koronahun!$A:$AM,29,FALSE),"")</f>
        <v/>
      </c>
      <c r="AD885" s="14" t="str">
        <f>IFERROR(VLOOKUP($A885,koronahun!$A:$AM,30,FALSE),"")</f>
        <v/>
      </c>
      <c r="AE885" s="14" t="str">
        <f>IFERROR(VLOOKUP($A885,koronahun!$A:$AM,31,FALSE),"")</f>
        <v/>
      </c>
      <c r="AF885" s="13" t="str">
        <f>IFERROR(VLOOKUP($A885,koronahun!$A:$AM,32,FALSE),"")</f>
        <v/>
      </c>
      <c r="AG885" t="str">
        <f>IFERROR(VLOOKUP($A885,koronahun!$A:$AM,33,FALSE),"")</f>
        <v/>
      </c>
      <c r="AH885" t="str">
        <f>IFERROR(VLOOKUP($A885,koronahun!$A:$AM,34,FALSE),"")</f>
        <v/>
      </c>
      <c r="AI885" t="str">
        <f>IFERROR(VLOOKUP($A885,koronahun!$A:$AM,35,FALSE),"")</f>
        <v/>
      </c>
      <c r="AJ885" t="str">
        <f>IFERROR(VLOOKUP($A885,koronahun!$A:$AM,36,FALSE),"")</f>
        <v/>
      </c>
      <c r="AK885" t="str">
        <f>IFERROR(VLOOKUP($A885,koronahun!$A:$AM,37,FALSE),"")</f>
        <v/>
      </c>
      <c r="AL885" t="str">
        <f>IFERROR(VLOOKUP($A885,koronahun!$A:$AM,38,FALSE),"")</f>
        <v/>
      </c>
      <c r="AM885" s="14" t="str">
        <f>IFERROR(VLOOKUP($A885,koronahun!$A:$AM,39,FALSE),"")</f>
        <v/>
      </c>
      <c r="AN885" s="11">
        <f ca="1">IFERROR(__xludf.DUMMYFUNCTION("""COMPUTED_VALUE"""),44777)</f>
        <v>44777</v>
      </c>
      <c r="AO885" s="12">
        <f ca="1">IFERROR(VLOOKUP(AN885,koronahun!A:B,2,FALSE),"")</f>
        <v>0</v>
      </c>
      <c r="AP885" s="11">
        <f t="shared" ca="1" si="6"/>
        <v>44777</v>
      </c>
      <c r="AQ885" s="11"/>
      <c r="AR885" s="11"/>
      <c r="AS885" s="11"/>
      <c r="AT885" s="11"/>
    </row>
    <row r="886" spans="1:46" ht="13">
      <c r="A886" s="11"/>
      <c r="B886" t="str">
        <f>IFERROR(VLOOKUP($A886,koronahun!$A:$AM,2,FALSE),"")</f>
        <v/>
      </c>
      <c r="C886" t="str">
        <f>IFERROR(VLOOKUP($A886,koronahun!$A:$AM,3,FALSE),"")</f>
        <v/>
      </c>
      <c r="D886" t="str">
        <f>IFERROR(VLOOKUP($A886,koronahun!$A:$AM,4,FALSE),"")</f>
        <v/>
      </c>
      <c r="E886" t="str">
        <f>IFERROR(VLOOKUP($A886,koronahun!$A:$AM,5,FALSE),"")</f>
        <v/>
      </c>
      <c r="F886" t="str">
        <f>IFERROR(VLOOKUP($A886,koronahun!$A:$AM,6,FALSE),"")</f>
        <v/>
      </c>
      <c r="G886" s="12" t="str">
        <f>IFERROR(VLOOKUP($A886,koronahun!$A:$AM,7,FALSE),"")</f>
        <v/>
      </c>
      <c r="H886" t="str">
        <f>IFERROR(VLOOKUP($A886,koronahun!$A:$AM,8,FALSE),"")</f>
        <v/>
      </c>
      <c r="I886" s="13" t="str">
        <f>IFERROR(VLOOKUP($A886,koronahun!$A:$AM,9,FALSE),"")</f>
        <v/>
      </c>
      <c r="J886" s="13" t="str">
        <f>IFERROR(VLOOKUP($A886,koronahun!$A:$AM,10,FALSE),"")</f>
        <v/>
      </c>
      <c r="K886" s="13" t="str">
        <f>IFERROR(VLOOKUP($A886,koronahun!$A:$AM,11,FALSE),"")</f>
        <v/>
      </c>
      <c r="L886" t="str">
        <f>IFERROR(VLOOKUP($A886,koronahun!$A:$AM,12,FALSE),"")</f>
        <v/>
      </c>
      <c r="M886" s="13" t="str">
        <f>IFERROR(VLOOKUP($A886,koronahun!$A:$AM,13,FALSE),"")</f>
        <v/>
      </c>
      <c r="N886" s="13" t="str">
        <f>IFERROR(VLOOKUP($A886,koronahun!$A:$AM,14,FALSE),"")</f>
        <v/>
      </c>
      <c r="O886" t="str">
        <f>IFERROR(VLOOKUP($A886,koronahun!$A:$AM,15,FALSE),"")</f>
        <v/>
      </c>
      <c r="P886" t="str">
        <f>IFERROR(VLOOKUP($A886,koronahun!$A:$AM,16,FALSE),"")</f>
        <v/>
      </c>
      <c r="Q886" s="13" t="str">
        <f>IFERROR(VLOOKUP($A886,koronahun!$A:$AM,17,FALSE),"")</f>
        <v/>
      </c>
      <c r="R886" t="str">
        <f>IFERROR(VLOOKUP($A886,koronahun!$A:$AM,18,FALSE),"")</f>
        <v/>
      </c>
      <c r="S886" t="str">
        <f>IFERROR(VLOOKUP($A886,koronahun!$A:$AM,19,FALSE),"")</f>
        <v/>
      </c>
      <c r="T886" t="str">
        <f>IFERROR(VLOOKUP($A886,koronahun!$A:$AM,20,FALSE),"")</f>
        <v/>
      </c>
      <c r="U886" t="str">
        <f>IFERROR(VLOOKUP($A886,koronahun!$A:$AM,21,FALSE),"")</f>
        <v/>
      </c>
      <c r="V886" s="13" t="str">
        <f>IFERROR(VLOOKUP($A886,koronahun!$A:$AM,22,FALSE),"")</f>
        <v/>
      </c>
      <c r="W886" t="str">
        <f>IFERROR(VLOOKUP($A886,koronahun!$A:$AM,23,FALSE),"")</f>
        <v/>
      </c>
      <c r="X886" t="str">
        <f>IFERROR(VLOOKUP($A886,koronahun!$A:$AM,24,FALSE),"")</f>
        <v/>
      </c>
      <c r="Y886" s="14" t="str">
        <f>IFERROR(VLOOKUP($A886,koronahun!$A:$AM,25,FALSE),"")</f>
        <v/>
      </c>
      <c r="Z886" s="14" t="str">
        <f>IFERROR(VLOOKUP($A886,koronahun!$A:$AM,26,FALSE),"")</f>
        <v/>
      </c>
      <c r="AA886" s="14" t="str">
        <f>IFERROR(VLOOKUP($A886,koronahun!$A:$AM,27,FALSE),"")</f>
        <v/>
      </c>
      <c r="AB886" s="14" t="str">
        <f>IFERROR(VLOOKUP($A886,koronahun!$A:$AM,28,FALSE),"")</f>
        <v/>
      </c>
      <c r="AC886" s="14" t="str">
        <f>IFERROR(VLOOKUP($A886,koronahun!$A:$AM,29,FALSE),"")</f>
        <v/>
      </c>
      <c r="AD886" s="14" t="str">
        <f>IFERROR(VLOOKUP($A886,koronahun!$A:$AM,30,FALSE),"")</f>
        <v/>
      </c>
      <c r="AE886" s="14" t="str">
        <f>IFERROR(VLOOKUP($A886,koronahun!$A:$AM,31,FALSE),"")</f>
        <v/>
      </c>
      <c r="AF886" s="13" t="str">
        <f>IFERROR(VLOOKUP($A886,koronahun!$A:$AM,32,FALSE),"")</f>
        <v/>
      </c>
      <c r="AG886" t="str">
        <f>IFERROR(VLOOKUP($A886,koronahun!$A:$AM,33,FALSE),"")</f>
        <v/>
      </c>
      <c r="AH886" t="str">
        <f>IFERROR(VLOOKUP($A886,koronahun!$A:$AM,34,FALSE),"")</f>
        <v/>
      </c>
      <c r="AI886" t="str">
        <f>IFERROR(VLOOKUP($A886,koronahun!$A:$AM,35,FALSE),"")</f>
        <v/>
      </c>
      <c r="AJ886" t="str">
        <f>IFERROR(VLOOKUP($A886,koronahun!$A:$AM,36,FALSE),"")</f>
        <v/>
      </c>
      <c r="AK886" t="str">
        <f>IFERROR(VLOOKUP($A886,koronahun!$A:$AM,37,FALSE),"")</f>
        <v/>
      </c>
      <c r="AL886" t="str">
        <f>IFERROR(VLOOKUP($A886,koronahun!$A:$AM,38,FALSE),"")</f>
        <v/>
      </c>
      <c r="AM886" s="14" t="str">
        <f>IFERROR(VLOOKUP($A886,koronahun!$A:$AM,39,FALSE),"")</f>
        <v/>
      </c>
      <c r="AN886" s="11">
        <f ca="1">IFERROR(__xludf.DUMMYFUNCTION("""COMPUTED_VALUE"""),44778)</f>
        <v>44778</v>
      </c>
      <c r="AO886" s="12">
        <f ca="1">IFERROR(VLOOKUP(AN886,koronahun!A:B,2,FALSE),"")</f>
        <v>0</v>
      </c>
      <c r="AP886" s="11">
        <f t="shared" ca="1" si="6"/>
        <v>44778</v>
      </c>
      <c r="AQ886" s="11"/>
      <c r="AR886" s="11"/>
      <c r="AS886" s="11"/>
      <c r="AT886" s="11"/>
    </row>
    <row r="887" spans="1:46" ht="13">
      <c r="A887" s="11"/>
      <c r="B887" t="str">
        <f>IFERROR(VLOOKUP($A887,koronahun!$A:$AM,2,FALSE),"")</f>
        <v/>
      </c>
      <c r="C887" t="str">
        <f>IFERROR(VLOOKUP($A887,koronahun!$A:$AM,3,FALSE),"")</f>
        <v/>
      </c>
      <c r="D887" t="str">
        <f>IFERROR(VLOOKUP($A887,koronahun!$A:$AM,4,FALSE),"")</f>
        <v/>
      </c>
      <c r="E887" t="str">
        <f>IFERROR(VLOOKUP($A887,koronahun!$A:$AM,5,FALSE),"")</f>
        <v/>
      </c>
      <c r="F887" t="str">
        <f>IFERROR(VLOOKUP($A887,koronahun!$A:$AM,6,FALSE),"")</f>
        <v/>
      </c>
      <c r="G887" s="12" t="str">
        <f>IFERROR(VLOOKUP($A887,koronahun!$A:$AM,7,FALSE),"")</f>
        <v/>
      </c>
      <c r="H887" t="str">
        <f>IFERROR(VLOOKUP($A887,koronahun!$A:$AM,8,FALSE),"")</f>
        <v/>
      </c>
      <c r="I887" s="13" t="str">
        <f>IFERROR(VLOOKUP($A887,koronahun!$A:$AM,9,FALSE),"")</f>
        <v/>
      </c>
      <c r="J887" s="13" t="str">
        <f>IFERROR(VLOOKUP($A887,koronahun!$A:$AM,10,FALSE),"")</f>
        <v/>
      </c>
      <c r="K887" s="13" t="str">
        <f>IFERROR(VLOOKUP($A887,koronahun!$A:$AM,11,FALSE),"")</f>
        <v/>
      </c>
      <c r="L887" t="str">
        <f>IFERROR(VLOOKUP($A887,koronahun!$A:$AM,12,FALSE),"")</f>
        <v/>
      </c>
      <c r="M887" s="13" t="str">
        <f>IFERROR(VLOOKUP($A887,koronahun!$A:$AM,13,FALSE),"")</f>
        <v/>
      </c>
      <c r="N887" s="13" t="str">
        <f>IFERROR(VLOOKUP($A887,koronahun!$A:$AM,14,FALSE),"")</f>
        <v/>
      </c>
      <c r="O887" t="str">
        <f>IFERROR(VLOOKUP($A887,koronahun!$A:$AM,15,FALSE),"")</f>
        <v/>
      </c>
      <c r="P887" t="str">
        <f>IFERROR(VLOOKUP($A887,koronahun!$A:$AM,16,FALSE),"")</f>
        <v/>
      </c>
      <c r="Q887" s="13" t="str">
        <f>IFERROR(VLOOKUP($A887,koronahun!$A:$AM,17,FALSE),"")</f>
        <v/>
      </c>
      <c r="R887" t="str">
        <f>IFERROR(VLOOKUP($A887,koronahun!$A:$AM,18,FALSE),"")</f>
        <v/>
      </c>
      <c r="S887" t="str">
        <f>IFERROR(VLOOKUP($A887,koronahun!$A:$AM,19,FALSE),"")</f>
        <v/>
      </c>
      <c r="T887" t="str">
        <f>IFERROR(VLOOKUP($A887,koronahun!$A:$AM,20,FALSE),"")</f>
        <v/>
      </c>
      <c r="U887" t="str">
        <f>IFERROR(VLOOKUP($A887,koronahun!$A:$AM,21,FALSE),"")</f>
        <v/>
      </c>
      <c r="V887" s="13" t="str">
        <f>IFERROR(VLOOKUP($A887,koronahun!$A:$AM,22,FALSE),"")</f>
        <v/>
      </c>
      <c r="W887" t="str">
        <f>IFERROR(VLOOKUP($A887,koronahun!$A:$AM,23,FALSE),"")</f>
        <v/>
      </c>
      <c r="X887" t="str">
        <f>IFERROR(VLOOKUP($A887,koronahun!$A:$AM,24,FALSE),"")</f>
        <v/>
      </c>
      <c r="Y887" s="14" t="str">
        <f>IFERROR(VLOOKUP($A887,koronahun!$A:$AM,25,FALSE),"")</f>
        <v/>
      </c>
      <c r="Z887" s="14" t="str">
        <f>IFERROR(VLOOKUP($A887,koronahun!$A:$AM,26,FALSE),"")</f>
        <v/>
      </c>
      <c r="AA887" s="14" t="str">
        <f>IFERROR(VLOOKUP($A887,koronahun!$A:$AM,27,FALSE),"")</f>
        <v/>
      </c>
      <c r="AB887" s="14" t="str">
        <f>IFERROR(VLOOKUP($A887,koronahun!$A:$AM,28,FALSE),"")</f>
        <v/>
      </c>
      <c r="AC887" s="14" t="str">
        <f>IFERROR(VLOOKUP($A887,koronahun!$A:$AM,29,FALSE),"")</f>
        <v/>
      </c>
      <c r="AD887" s="14" t="str">
        <f>IFERROR(VLOOKUP($A887,koronahun!$A:$AM,30,FALSE),"")</f>
        <v/>
      </c>
      <c r="AE887" s="14" t="str">
        <f>IFERROR(VLOOKUP($A887,koronahun!$A:$AM,31,FALSE),"")</f>
        <v/>
      </c>
      <c r="AF887" s="13" t="str">
        <f>IFERROR(VLOOKUP($A887,koronahun!$A:$AM,32,FALSE),"")</f>
        <v/>
      </c>
      <c r="AG887" t="str">
        <f>IFERROR(VLOOKUP($A887,koronahun!$A:$AM,33,FALSE),"")</f>
        <v/>
      </c>
      <c r="AH887" t="str">
        <f>IFERROR(VLOOKUP($A887,koronahun!$A:$AM,34,FALSE),"")</f>
        <v/>
      </c>
      <c r="AI887" t="str">
        <f>IFERROR(VLOOKUP($A887,koronahun!$A:$AM,35,FALSE),"")</f>
        <v/>
      </c>
      <c r="AJ887" t="str">
        <f>IFERROR(VLOOKUP($A887,koronahun!$A:$AM,36,FALSE),"")</f>
        <v/>
      </c>
      <c r="AK887" t="str">
        <f>IFERROR(VLOOKUP($A887,koronahun!$A:$AM,37,FALSE),"")</f>
        <v/>
      </c>
      <c r="AL887" t="str">
        <f>IFERROR(VLOOKUP($A887,koronahun!$A:$AM,38,FALSE),"")</f>
        <v/>
      </c>
      <c r="AM887" s="14" t="str">
        <f>IFERROR(VLOOKUP($A887,koronahun!$A:$AM,39,FALSE),"")</f>
        <v/>
      </c>
      <c r="AN887" s="11">
        <f ca="1">IFERROR(__xludf.DUMMYFUNCTION("""COMPUTED_VALUE"""),44779)</f>
        <v>44779</v>
      </c>
      <c r="AO887" s="12">
        <f ca="1">IFERROR(VLOOKUP(AN887,koronahun!A:B,2,FALSE),"")</f>
        <v>0</v>
      </c>
      <c r="AP887" s="11">
        <f t="shared" ca="1" si="6"/>
        <v>44779</v>
      </c>
      <c r="AQ887" s="11"/>
      <c r="AR887" s="11"/>
      <c r="AS887" s="11"/>
      <c r="AT887" s="11"/>
    </row>
    <row r="888" spans="1:46" ht="13">
      <c r="A888" s="11"/>
      <c r="B888" t="str">
        <f>IFERROR(VLOOKUP($A888,koronahun!$A:$AM,2,FALSE),"")</f>
        <v/>
      </c>
      <c r="C888" t="str">
        <f>IFERROR(VLOOKUP($A888,koronahun!$A:$AM,3,FALSE),"")</f>
        <v/>
      </c>
      <c r="D888" t="str">
        <f>IFERROR(VLOOKUP($A888,koronahun!$A:$AM,4,FALSE),"")</f>
        <v/>
      </c>
      <c r="E888" t="str">
        <f>IFERROR(VLOOKUP($A888,koronahun!$A:$AM,5,FALSE),"")</f>
        <v/>
      </c>
      <c r="F888" t="str">
        <f>IFERROR(VLOOKUP($A888,koronahun!$A:$AM,6,FALSE),"")</f>
        <v/>
      </c>
      <c r="G888" s="12" t="str">
        <f>IFERROR(VLOOKUP($A888,koronahun!$A:$AM,7,FALSE),"")</f>
        <v/>
      </c>
      <c r="H888" t="str">
        <f>IFERROR(VLOOKUP($A888,koronahun!$A:$AM,8,FALSE),"")</f>
        <v/>
      </c>
      <c r="I888" s="13" t="str">
        <f>IFERROR(VLOOKUP($A888,koronahun!$A:$AM,9,FALSE),"")</f>
        <v/>
      </c>
      <c r="J888" s="13" t="str">
        <f>IFERROR(VLOOKUP($A888,koronahun!$A:$AM,10,FALSE),"")</f>
        <v/>
      </c>
      <c r="K888" s="13" t="str">
        <f>IFERROR(VLOOKUP($A888,koronahun!$A:$AM,11,FALSE),"")</f>
        <v/>
      </c>
      <c r="L888" t="str">
        <f>IFERROR(VLOOKUP($A888,koronahun!$A:$AM,12,FALSE),"")</f>
        <v/>
      </c>
      <c r="M888" s="13" t="str">
        <f>IFERROR(VLOOKUP($A888,koronahun!$A:$AM,13,FALSE),"")</f>
        <v/>
      </c>
      <c r="N888" s="13" t="str">
        <f>IFERROR(VLOOKUP($A888,koronahun!$A:$AM,14,FALSE),"")</f>
        <v/>
      </c>
      <c r="O888" t="str">
        <f>IFERROR(VLOOKUP($A888,koronahun!$A:$AM,15,FALSE),"")</f>
        <v/>
      </c>
      <c r="P888" t="str">
        <f>IFERROR(VLOOKUP($A888,koronahun!$A:$AM,16,FALSE),"")</f>
        <v/>
      </c>
      <c r="Q888" s="13" t="str">
        <f>IFERROR(VLOOKUP($A888,koronahun!$A:$AM,17,FALSE),"")</f>
        <v/>
      </c>
      <c r="R888" t="str">
        <f>IFERROR(VLOOKUP($A888,koronahun!$A:$AM,18,FALSE),"")</f>
        <v/>
      </c>
      <c r="S888" t="str">
        <f>IFERROR(VLOOKUP($A888,koronahun!$A:$AM,19,FALSE),"")</f>
        <v/>
      </c>
      <c r="T888" t="str">
        <f>IFERROR(VLOOKUP($A888,koronahun!$A:$AM,20,FALSE),"")</f>
        <v/>
      </c>
      <c r="U888" t="str">
        <f>IFERROR(VLOOKUP($A888,koronahun!$A:$AM,21,FALSE),"")</f>
        <v/>
      </c>
      <c r="V888" s="13" t="str">
        <f>IFERROR(VLOOKUP($A888,koronahun!$A:$AM,22,FALSE),"")</f>
        <v/>
      </c>
      <c r="W888" t="str">
        <f>IFERROR(VLOOKUP($A888,koronahun!$A:$AM,23,FALSE),"")</f>
        <v/>
      </c>
      <c r="X888" t="str">
        <f>IFERROR(VLOOKUP($A888,koronahun!$A:$AM,24,FALSE),"")</f>
        <v/>
      </c>
      <c r="Y888" s="14" t="str">
        <f>IFERROR(VLOOKUP($A888,koronahun!$A:$AM,25,FALSE),"")</f>
        <v/>
      </c>
      <c r="Z888" s="14" t="str">
        <f>IFERROR(VLOOKUP($A888,koronahun!$A:$AM,26,FALSE),"")</f>
        <v/>
      </c>
      <c r="AA888" s="14" t="str">
        <f>IFERROR(VLOOKUP($A888,koronahun!$A:$AM,27,FALSE),"")</f>
        <v/>
      </c>
      <c r="AB888" s="14" t="str">
        <f>IFERROR(VLOOKUP($A888,koronahun!$A:$AM,28,FALSE),"")</f>
        <v/>
      </c>
      <c r="AC888" s="14" t="str">
        <f>IFERROR(VLOOKUP($A888,koronahun!$A:$AM,29,FALSE),"")</f>
        <v/>
      </c>
      <c r="AD888" s="14" t="str">
        <f>IFERROR(VLOOKUP($A888,koronahun!$A:$AM,30,FALSE),"")</f>
        <v/>
      </c>
      <c r="AE888" s="14" t="str">
        <f>IFERROR(VLOOKUP($A888,koronahun!$A:$AM,31,FALSE),"")</f>
        <v/>
      </c>
      <c r="AF888" s="13" t="str">
        <f>IFERROR(VLOOKUP($A888,koronahun!$A:$AM,32,FALSE),"")</f>
        <v/>
      </c>
      <c r="AG888" t="str">
        <f>IFERROR(VLOOKUP($A888,koronahun!$A:$AM,33,FALSE),"")</f>
        <v/>
      </c>
      <c r="AH888" t="str">
        <f>IFERROR(VLOOKUP($A888,koronahun!$A:$AM,34,FALSE),"")</f>
        <v/>
      </c>
      <c r="AI888" t="str">
        <f>IFERROR(VLOOKUP($A888,koronahun!$A:$AM,35,FALSE),"")</f>
        <v/>
      </c>
      <c r="AJ888" t="str">
        <f>IFERROR(VLOOKUP($A888,koronahun!$A:$AM,36,FALSE),"")</f>
        <v/>
      </c>
      <c r="AK888" t="str">
        <f>IFERROR(VLOOKUP($A888,koronahun!$A:$AM,37,FALSE),"")</f>
        <v/>
      </c>
      <c r="AL888" t="str">
        <f>IFERROR(VLOOKUP($A888,koronahun!$A:$AM,38,FALSE),"")</f>
        <v/>
      </c>
      <c r="AM888" s="14" t="str">
        <f>IFERROR(VLOOKUP($A888,koronahun!$A:$AM,39,FALSE),"")</f>
        <v/>
      </c>
      <c r="AN888" s="11">
        <f ca="1">IFERROR(__xludf.DUMMYFUNCTION("""COMPUTED_VALUE"""),44780)</f>
        <v>44780</v>
      </c>
      <c r="AO888" s="12">
        <f ca="1">IFERROR(VLOOKUP(AN888,koronahun!A:B,2,FALSE),"")</f>
        <v>0</v>
      </c>
      <c r="AP888" s="11">
        <f t="shared" ca="1" si="6"/>
        <v>44780</v>
      </c>
      <c r="AQ888" s="11"/>
      <c r="AR888" s="11"/>
      <c r="AS888" s="11"/>
      <c r="AT888" s="11"/>
    </row>
    <row r="889" spans="1:46" ht="13">
      <c r="A889" s="11"/>
      <c r="B889" t="str">
        <f>IFERROR(VLOOKUP($A889,koronahun!$A:$AM,2,FALSE),"")</f>
        <v/>
      </c>
      <c r="C889" t="str">
        <f>IFERROR(VLOOKUP($A889,koronahun!$A:$AM,3,FALSE),"")</f>
        <v/>
      </c>
      <c r="D889" t="str">
        <f>IFERROR(VLOOKUP($A889,koronahun!$A:$AM,4,FALSE),"")</f>
        <v/>
      </c>
      <c r="E889" t="str">
        <f>IFERROR(VLOOKUP($A889,koronahun!$A:$AM,5,FALSE),"")</f>
        <v/>
      </c>
      <c r="F889" t="str">
        <f>IFERROR(VLOOKUP($A889,koronahun!$A:$AM,6,FALSE),"")</f>
        <v/>
      </c>
      <c r="G889" s="12" t="str">
        <f>IFERROR(VLOOKUP($A889,koronahun!$A:$AM,7,FALSE),"")</f>
        <v/>
      </c>
      <c r="H889" t="str">
        <f>IFERROR(VLOOKUP($A889,koronahun!$A:$AM,8,FALSE),"")</f>
        <v/>
      </c>
      <c r="I889" s="13" t="str">
        <f>IFERROR(VLOOKUP($A889,koronahun!$A:$AM,9,FALSE),"")</f>
        <v/>
      </c>
      <c r="J889" s="13" t="str">
        <f>IFERROR(VLOOKUP($A889,koronahun!$A:$AM,10,FALSE),"")</f>
        <v/>
      </c>
      <c r="K889" s="13" t="str">
        <f>IFERROR(VLOOKUP($A889,koronahun!$A:$AM,11,FALSE),"")</f>
        <v/>
      </c>
      <c r="L889" t="str">
        <f>IFERROR(VLOOKUP($A889,koronahun!$A:$AM,12,FALSE),"")</f>
        <v/>
      </c>
      <c r="M889" s="13" t="str">
        <f>IFERROR(VLOOKUP($A889,koronahun!$A:$AM,13,FALSE),"")</f>
        <v/>
      </c>
      <c r="N889" s="13" t="str">
        <f>IFERROR(VLOOKUP($A889,koronahun!$A:$AM,14,FALSE),"")</f>
        <v/>
      </c>
      <c r="O889" t="str">
        <f>IFERROR(VLOOKUP($A889,koronahun!$A:$AM,15,FALSE),"")</f>
        <v/>
      </c>
      <c r="P889" t="str">
        <f>IFERROR(VLOOKUP($A889,koronahun!$A:$AM,16,FALSE),"")</f>
        <v/>
      </c>
      <c r="Q889" s="13" t="str">
        <f>IFERROR(VLOOKUP($A889,koronahun!$A:$AM,17,FALSE),"")</f>
        <v/>
      </c>
      <c r="R889" t="str">
        <f>IFERROR(VLOOKUP($A889,koronahun!$A:$AM,18,FALSE),"")</f>
        <v/>
      </c>
      <c r="S889" t="str">
        <f>IFERROR(VLOOKUP($A889,koronahun!$A:$AM,19,FALSE),"")</f>
        <v/>
      </c>
      <c r="T889" t="str">
        <f>IFERROR(VLOOKUP($A889,koronahun!$A:$AM,20,FALSE),"")</f>
        <v/>
      </c>
      <c r="U889" t="str">
        <f>IFERROR(VLOOKUP($A889,koronahun!$A:$AM,21,FALSE),"")</f>
        <v/>
      </c>
      <c r="V889" s="13" t="str">
        <f>IFERROR(VLOOKUP($A889,koronahun!$A:$AM,22,FALSE),"")</f>
        <v/>
      </c>
      <c r="W889" t="str">
        <f>IFERROR(VLOOKUP($A889,koronahun!$A:$AM,23,FALSE),"")</f>
        <v/>
      </c>
      <c r="X889" t="str">
        <f>IFERROR(VLOOKUP($A889,koronahun!$A:$AM,24,FALSE),"")</f>
        <v/>
      </c>
      <c r="Y889" s="14" t="str">
        <f>IFERROR(VLOOKUP($A889,koronahun!$A:$AM,25,FALSE),"")</f>
        <v/>
      </c>
      <c r="Z889" s="14" t="str">
        <f>IFERROR(VLOOKUP($A889,koronahun!$A:$AM,26,FALSE),"")</f>
        <v/>
      </c>
      <c r="AA889" s="14" t="str">
        <f>IFERROR(VLOOKUP($A889,koronahun!$A:$AM,27,FALSE),"")</f>
        <v/>
      </c>
      <c r="AB889" s="14" t="str">
        <f>IFERROR(VLOOKUP($A889,koronahun!$A:$AM,28,FALSE),"")</f>
        <v/>
      </c>
      <c r="AC889" s="14" t="str">
        <f>IFERROR(VLOOKUP($A889,koronahun!$A:$AM,29,FALSE),"")</f>
        <v/>
      </c>
      <c r="AD889" s="14" t="str">
        <f>IFERROR(VLOOKUP($A889,koronahun!$A:$AM,30,FALSE),"")</f>
        <v/>
      </c>
      <c r="AE889" s="14" t="str">
        <f>IFERROR(VLOOKUP($A889,koronahun!$A:$AM,31,FALSE),"")</f>
        <v/>
      </c>
      <c r="AF889" s="13" t="str">
        <f>IFERROR(VLOOKUP($A889,koronahun!$A:$AM,32,FALSE),"")</f>
        <v/>
      </c>
      <c r="AG889" t="str">
        <f>IFERROR(VLOOKUP($A889,koronahun!$A:$AM,33,FALSE),"")</f>
        <v/>
      </c>
      <c r="AH889" t="str">
        <f>IFERROR(VLOOKUP($A889,koronahun!$A:$AM,34,FALSE),"")</f>
        <v/>
      </c>
      <c r="AI889" t="str">
        <f>IFERROR(VLOOKUP($A889,koronahun!$A:$AM,35,FALSE),"")</f>
        <v/>
      </c>
      <c r="AJ889" t="str">
        <f>IFERROR(VLOOKUP($A889,koronahun!$A:$AM,36,FALSE),"")</f>
        <v/>
      </c>
      <c r="AK889" t="str">
        <f>IFERROR(VLOOKUP($A889,koronahun!$A:$AM,37,FALSE),"")</f>
        <v/>
      </c>
      <c r="AL889" t="str">
        <f>IFERROR(VLOOKUP($A889,koronahun!$A:$AM,38,FALSE),"")</f>
        <v/>
      </c>
      <c r="AM889" s="14" t="str">
        <f>IFERROR(VLOOKUP($A889,koronahun!$A:$AM,39,FALSE),"")</f>
        <v/>
      </c>
      <c r="AN889" s="11">
        <f ca="1">IFERROR(__xludf.DUMMYFUNCTION("""COMPUTED_VALUE"""),44781)</f>
        <v>44781</v>
      </c>
      <c r="AO889" s="12">
        <f ca="1">IFERROR(VLOOKUP(AN889,koronahun!A:B,2,FALSE),"")</f>
        <v>0</v>
      </c>
      <c r="AP889" s="11">
        <f t="shared" ca="1" si="6"/>
        <v>44781</v>
      </c>
      <c r="AQ889" s="11"/>
      <c r="AR889" s="11"/>
      <c r="AS889" s="11"/>
      <c r="AT889" s="11"/>
    </row>
    <row r="890" spans="1:46" ht="13">
      <c r="A890" s="11"/>
      <c r="B890" t="str">
        <f>IFERROR(VLOOKUP($A890,koronahun!$A:$AM,2,FALSE),"")</f>
        <v/>
      </c>
      <c r="C890" t="str">
        <f>IFERROR(VLOOKUP($A890,koronahun!$A:$AM,3,FALSE),"")</f>
        <v/>
      </c>
      <c r="D890" t="str">
        <f>IFERROR(VLOOKUP($A890,koronahun!$A:$AM,4,FALSE),"")</f>
        <v/>
      </c>
      <c r="E890" t="str">
        <f>IFERROR(VLOOKUP($A890,koronahun!$A:$AM,5,FALSE),"")</f>
        <v/>
      </c>
      <c r="F890" t="str">
        <f>IFERROR(VLOOKUP($A890,koronahun!$A:$AM,6,FALSE),"")</f>
        <v/>
      </c>
      <c r="G890" s="12" t="str">
        <f>IFERROR(VLOOKUP($A890,koronahun!$A:$AM,7,FALSE),"")</f>
        <v/>
      </c>
      <c r="H890" t="str">
        <f>IFERROR(VLOOKUP($A890,koronahun!$A:$AM,8,FALSE),"")</f>
        <v/>
      </c>
      <c r="I890" s="13" t="str">
        <f>IFERROR(VLOOKUP($A890,koronahun!$A:$AM,9,FALSE),"")</f>
        <v/>
      </c>
      <c r="J890" s="13" t="str">
        <f>IFERROR(VLOOKUP($A890,koronahun!$A:$AM,10,FALSE),"")</f>
        <v/>
      </c>
      <c r="K890" s="13" t="str">
        <f>IFERROR(VLOOKUP($A890,koronahun!$A:$AM,11,FALSE),"")</f>
        <v/>
      </c>
      <c r="L890" t="str">
        <f>IFERROR(VLOOKUP($A890,koronahun!$A:$AM,12,FALSE),"")</f>
        <v/>
      </c>
      <c r="M890" s="13" t="str">
        <f>IFERROR(VLOOKUP($A890,koronahun!$A:$AM,13,FALSE),"")</f>
        <v/>
      </c>
      <c r="N890" s="13" t="str">
        <f>IFERROR(VLOOKUP($A890,koronahun!$A:$AM,14,FALSE),"")</f>
        <v/>
      </c>
      <c r="O890" t="str">
        <f>IFERROR(VLOOKUP($A890,koronahun!$A:$AM,15,FALSE),"")</f>
        <v/>
      </c>
      <c r="P890" t="str">
        <f>IFERROR(VLOOKUP($A890,koronahun!$A:$AM,16,FALSE),"")</f>
        <v/>
      </c>
      <c r="Q890" s="13" t="str">
        <f>IFERROR(VLOOKUP($A890,koronahun!$A:$AM,17,FALSE),"")</f>
        <v/>
      </c>
      <c r="R890" t="str">
        <f>IFERROR(VLOOKUP($A890,koronahun!$A:$AM,18,FALSE),"")</f>
        <v/>
      </c>
      <c r="S890" t="str">
        <f>IFERROR(VLOOKUP($A890,koronahun!$A:$AM,19,FALSE),"")</f>
        <v/>
      </c>
      <c r="T890" t="str">
        <f>IFERROR(VLOOKUP($A890,koronahun!$A:$AM,20,FALSE),"")</f>
        <v/>
      </c>
      <c r="U890" t="str">
        <f>IFERROR(VLOOKUP($A890,koronahun!$A:$AM,21,FALSE),"")</f>
        <v/>
      </c>
      <c r="V890" s="13" t="str">
        <f>IFERROR(VLOOKUP($A890,koronahun!$A:$AM,22,FALSE),"")</f>
        <v/>
      </c>
      <c r="W890" t="str">
        <f>IFERROR(VLOOKUP($A890,koronahun!$A:$AM,23,FALSE),"")</f>
        <v/>
      </c>
      <c r="X890" t="str">
        <f>IFERROR(VLOOKUP($A890,koronahun!$A:$AM,24,FALSE),"")</f>
        <v/>
      </c>
      <c r="Y890" s="14" t="str">
        <f>IFERROR(VLOOKUP($A890,koronahun!$A:$AM,25,FALSE),"")</f>
        <v/>
      </c>
      <c r="Z890" s="14" t="str">
        <f>IFERROR(VLOOKUP($A890,koronahun!$A:$AM,26,FALSE),"")</f>
        <v/>
      </c>
      <c r="AA890" s="14" t="str">
        <f>IFERROR(VLOOKUP($A890,koronahun!$A:$AM,27,FALSE),"")</f>
        <v/>
      </c>
      <c r="AB890" s="14" t="str">
        <f>IFERROR(VLOOKUP($A890,koronahun!$A:$AM,28,FALSE),"")</f>
        <v/>
      </c>
      <c r="AC890" s="14" t="str">
        <f>IFERROR(VLOOKUP($A890,koronahun!$A:$AM,29,FALSE),"")</f>
        <v/>
      </c>
      <c r="AD890" s="14" t="str">
        <f>IFERROR(VLOOKUP($A890,koronahun!$A:$AM,30,FALSE),"")</f>
        <v/>
      </c>
      <c r="AE890" s="14" t="str">
        <f>IFERROR(VLOOKUP($A890,koronahun!$A:$AM,31,FALSE),"")</f>
        <v/>
      </c>
      <c r="AF890" s="13" t="str">
        <f>IFERROR(VLOOKUP($A890,koronahun!$A:$AM,32,FALSE),"")</f>
        <v/>
      </c>
      <c r="AG890" t="str">
        <f>IFERROR(VLOOKUP($A890,koronahun!$A:$AM,33,FALSE),"")</f>
        <v/>
      </c>
      <c r="AH890" t="str">
        <f>IFERROR(VLOOKUP($A890,koronahun!$A:$AM,34,FALSE),"")</f>
        <v/>
      </c>
      <c r="AI890" t="str">
        <f>IFERROR(VLOOKUP($A890,koronahun!$A:$AM,35,FALSE),"")</f>
        <v/>
      </c>
      <c r="AJ890" t="str">
        <f>IFERROR(VLOOKUP($A890,koronahun!$A:$AM,36,FALSE),"")</f>
        <v/>
      </c>
      <c r="AK890" t="str">
        <f>IFERROR(VLOOKUP($A890,koronahun!$A:$AM,37,FALSE),"")</f>
        <v/>
      </c>
      <c r="AL890" t="str">
        <f>IFERROR(VLOOKUP($A890,koronahun!$A:$AM,38,FALSE),"")</f>
        <v/>
      </c>
      <c r="AM890" s="14" t="str">
        <f>IFERROR(VLOOKUP($A890,koronahun!$A:$AM,39,FALSE),"")</f>
        <v/>
      </c>
      <c r="AN890" s="11">
        <f ca="1">IFERROR(__xludf.DUMMYFUNCTION("""COMPUTED_VALUE"""),44782)</f>
        <v>44782</v>
      </c>
      <c r="AO890" s="12">
        <f ca="1">IFERROR(VLOOKUP(AN890,koronahun!A:B,2,FALSE),"")</f>
        <v>0</v>
      </c>
      <c r="AP890" s="11">
        <f t="shared" ca="1" si="6"/>
        <v>44782</v>
      </c>
      <c r="AQ890" s="11"/>
      <c r="AR890" s="11"/>
      <c r="AS890" s="11"/>
      <c r="AT890" s="11"/>
    </row>
    <row r="891" spans="1:46" ht="13">
      <c r="A891" s="11"/>
      <c r="B891" t="str">
        <f>IFERROR(VLOOKUP($A891,koronahun!$A:$AM,2,FALSE),"")</f>
        <v/>
      </c>
      <c r="C891" t="str">
        <f>IFERROR(VLOOKUP($A891,koronahun!$A:$AM,3,FALSE),"")</f>
        <v/>
      </c>
      <c r="D891" t="str">
        <f>IFERROR(VLOOKUP($A891,koronahun!$A:$AM,4,FALSE),"")</f>
        <v/>
      </c>
      <c r="E891" t="str">
        <f>IFERROR(VLOOKUP($A891,koronahun!$A:$AM,5,FALSE),"")</f>
        <v/>
      </c>
      <c r="F891" t="str">
        <f>IFERROR(VLOOKUP($A891,koronahun!$A:$AM,6,FALSE),"")</f>
        <v/>
      </c>
      <c r="G891" s="12" t="str">
        <f>IFERROR(VLOOKUP($A891,koronahun!$A:$AM,7,FALSE),"")</f>
        <v/>
      </c>
      <c r="H891" t="str">
        <f>IFERROR(VLOOKUP($A891,koronahun!$A:$AM,8,FALSE),"")</f>
        <v/>
      </c>
      <c r="I891" s="13" t="str">
        <f>IFERROR(VLOOKUP($A891,koronahun!$A:$AM,9,FALSE),"")</f>
        <v/>
      </c>
      <c r="J891" s="13" t="str">
        <f>IFERROR(VLOOKUP($A891,koronahun!$A:$AM,10,FALSE),"")</f>
        <v/>
      </c>
      <c r="K891" s="13" t="str">
        <f>IFERROR(VLOOKUP($A891,koronahun!$A:$AM,11,FALSE),"")</f>
        <v/>
      </c>
      <c r="L891" t="str">
        <f>IFERROR(VLOOKUP($A891,koronahun!$A:$AM,12,FALSE),"")</f>
        <v/>
      </c>
      <c r="M891" s="13" t="str">
        <f>IFERROR(VLOOKUP($A891,koronahun!$A:$AM,13,FALSE),"")</f>
        <v/>
      </c>
      <c r="N891" s="13" t="str">
        <f>IFERROR(VLOOKUP($A891,koronahun!$A:$AM,14,FALSE),"")</f>
        <v/>
      </c>
      <c r="O891" t="str">
        <f>IFERROR(VLOOKUP($A891,koronahun!$A:$AM,15,FALSE),"")</f>
        <v/>
      </c>
      <c r="P891" t="str">
        <f>IFERROR(VLOOKUP($A891,koronahun!$A:$AM,16,FALSE),"")</f>
        <v/>
      </c>
      <c r="Q891" s="13" t="str">
        <f>IFERROR(VLOOKUP($A891,koronahun!$A:$AM,17,FALSE),"")</f>
        <v/>
      </c>
      <c r="R891" t="str">
        <f>IFERROR(VLOOKUP($A891,koronahun!$A:$AM,18,FALSE),"")</f>
        <v/>
      </c>
      <c r="S891" t="str">
        <f>IFERROR(VLOOKUP($A891,koronahun!$A:$AM,19,FALSE),"")</f>
        <v/>
      </c>
      <c r="T891" t="str">
        <f>IFERROR(VLOOKUP($A891,koronahun!$A:$AM,20,FALSE),"")</f>
        <v/>
      </c>
      <c r="U891" t="str">
        <f>IFERROR(VLOOKUP($A891,koronahun!$A:$AM,21,FALSE),"")</f>
        <v/>
      </c>
      <c r="V891" s="13" t="str">
        <f>IFERROR(VLOOKUP($A891,koronahun!$A:$AM,22,FALSE),"")</f>
        <v/>
      </c>
      <c r="W891" t="str">
        <f>IFERROR(VLOOKUP($A891,koronahun!$A:$AM,23,FALSE),"")</f>
        <v/>
      </c>
      <c r="X891" t="str">
        <f>IFERROR(VLOOKUP($A891,koronahun!$A:$AM,24,FALSE),"")</f>
        <v/>
      </c>
      <c r="Y891" s="14" t="str">
        <f>IFERROR(VLOOKUP($A891,koronahun!$A:$AM,25,FALSE),"")</f>
        <v/>
      </c>
      <c r="Z891" s="14" t="str">
        <f>IFERROR(VLOOKUP($A891,koronahun!$A:$AM,26,FALSE),"")</f>
        <v/>
      </c>
      <c r="AA891" s="14" t="str">
        <f>IFERROR(VLOOKUP($A891,koronahun!$A:$AM,27,FALSE),"")</f>
        <v/>
      </c>
      <c r="AB891" s="14" t="str">
        <f>IFERROR(VLOOKUP($A891,koronahun!$A:$AM,28,FALSE),"")</f>
        <v/>
      </c>
      <c r="AC891" s="14" t="str">
        <f>IFERROR(VLOOKUP($A891,koronahun!$A:$AM,29,FALSE),"")</f>
        <v/>
      </c>
      <c r="AD891" s="14" t="str">
        <f>IFERROR(VLOOKUP($A891,koronahun!$A:$AM,30,FALSE),"")</f>
        <v/>
      </c>
      <c r="AE891" s="14" t="str">
        <f>IFERROR(VLOOKUP($A891,koronahun!$A:$AM,31,FALSE),"")</f>
        <v/>
      </c>
      <c r="AF891" s="13" t="str">
        <f>IFERROR(VLOOKUP($A891,koronahun!$A:$AM,32,FALSE),"")</f>
        <v/>
      </c>
      <c r="AG891" t="str">
        <f>IFERROR(VLOOKUP($A891,koronahun!$A:$AM,33,FALSE),"")</f>
        <v/>
      </c>
      <c r="AH891" t="str">
        <f>IFERROR(VLOOKUP($A891,koronahun!$A:$AM,34,FALSE),"")</f>
        <v/>
      </c>
      <c r="AI891" t="str">
        <f>IFERROR(VLOOKUP($A891,koronahun!$A:$AM,35,FALSE),"")</f>
        <v/>
      </c>
      <c r="AJ891" t="str">
        <f>IFERROR(VLOOKUP($A891,koronahun!$A:$AM,36,FALSE),"")</f>
        <v/>
      </c>
      <c r="AK891" t="str">
        <f>IFERROR(VLOOKUP($A891,koronahun!$A:$AM,37,FALSE),"")</f>
        <v/>
      </c>
      <c r="AL891" t="str">
        <f>IFERROR(VLOOKUP($A891,koronahun!$A:$AM,38,FALSE),"")</f>
        <v/>
      </c>
      <c r="AM891" s="14" t="str">
        <f>IFERROR(VLOOKUP($A891,koronahun!$A:$AM,39,FALSE),"")</f>
        <v/>
      </c>
      <c r="AN891" s="11">
        <f ca="1">IFERROR(__xludf.DUMMYFUNCTION("""COMPUTED_VALUE"""),44783)</f>
        <v>44783</v>
      </c>
      <c r="AO891" s="12">
        <f ca="1">IFERROR(VLOOKUP(AN891,koronahun!A:B,2,FALSE),"")</f>
        <v>2005399</v>
      </c>
      <c r="AP891" s="11">
        <f t="shared" ca="1" si="6"/>
        <v>44783</v>
      </c>
      <c r="AQ891" s="11"/>
      <c r="AR891" s="11"/>
      <c r="AS891" s="11"/>
      <c r="AT891" s="11"/>
    </row>
    <row r="892" spans="1:46" ht="13">
      <c r="A892" s="11"/>
      <c r="B892" t="str">
        <f>IFERROR(VLOOKUP($A892,koronahun!$A:$AM,2,FALSE),"")</f>
        <v/>
      </c>
      <c r="C892" t="str">
        <f>IFERROR(VLOOKUP($A892,koronahun!$A:$AM,3,FALSE),"")</f>
        <v/>
      </c>
      <c r="D892" t="str">
        <f>IFERROR(VLOOKUP($A892,koronahun!$A:$AM,4,FALSE),"")</f>
        <v/>
      </c>
      <c r="E892" t="str">
        <f>IFERROR(VLOOKUP($A892,koronahun!$A:$AM,5,FALSE),"")</f>
        <v/>
      </c>
      <c r="F892" t="str">
        <f>IFERROR(VLOOKUP($A892,koronahun!$A:$AM,6,FALSE),"")</f>
        <v/>
      </c>
      <c r="G892" s="12" t="str">
        <f>IFERROR(VLOOKUP($A892,koronahun!$A:$AM,7,FALSE),"")</f>
        <v/>
      </c>
      <c r="H892" t="str">
        <f>IFERROR(VLOOKUP($A892,koronahun!$A:$AM,8,FALSE),"")</f>
        <v/>
      </c>
      <c r="I892" s="13" t="str">
        <f>IFERROR(VLOOKUP($A892,koronahun!$A:$AM,9,FALSE),"")</f>
        <v/>
      </c>
      <c r="J892" s="13" t="str">
        <f>IFERROR(VLOOKUP($A892,koronahun!$A:$AM,10,FALSE),"")</f>
        <v/>
      </c>
      <c r="K892" s="13" t="str">
        <f>IFERROR(VLOOKUP($A892,koronahun!$A:$AM,11,FALSE),"")</f>
        <v/>
      </c>
      <c r="L892" t="str">
        <f>IFERROR(VLOOKUP($A892,koronahun!$A:$AM,12,FALSE),"")</f>
        <v/>
      </c>
      <c r="M892" s="13" t="str">
        <f>IFERROR(VLOOKUP($A892,koronahun!$A:$AM,13,FALSE),"")</f>
        <v/>
      </c>
      <c r="N892" s="13" t="str">
        <f>IFERROR(VLOOKUP($A892,koronahun!$A:$AM,14,FALSE),"")</f>
        <v/>
      </c>
      <c r="O892" t="str">
        <f>IFERROR(VLOOKUP($A892,koronahun!$A:$AM,15,FALSE),"")</f>
        <v/>
      </c>
      <c r="P892" t="str">
        <f>IFERROR(VLOOKUP($A892,koronahun!$A:$AM,16,FALSE),"")</f>
        <v/>
      </c>
      <c r="Q892" s="13" t="str">
        <f>IFERROR(VLOOKUP($A892,koronahun!$A:$AM,17,FALSE),"")</f>
        <v/>
      </c>
      <c r="R892" t="str">
        <f>IFERROR(VLOOKUP($A892,koronahun!$A:$AM,18,FALSE),"")</f>
        <v/>
      </c>
      <c r="S892" t="str">
        <f>IFERROR(VLOOKUP($A892,koronahun!$A:$AM,19,FALSE),"")</f>
        <v/>
      </c>
      <c r="T892" t="str">
        <f>IFERROR(VLOOKUP($A892,koronahun!$A:$AM,20,FALSE),"")</f>
        <v/>
      </c>
      <c r="U892" t="str">
        <f>IFERROR(VLOOKUP($A892,koronahun!$A:$AM,21,FALSE),"")</f>
        <v/>
      </c>
      <c r="V892" s="13" t="str">
        <f>IFERROR(VLOOKUP($A892,koronahun!$A:$AM,22,FALSE),"")</f>
        <v/>
      </c>
      <c r="W892" t="str">
        <f>IFERROR(VLOOKUP($A892,koronahun!$A:$AM,23,FALSE),"")</f>
        <v/>
      </c>
      <c r="X892" t="str">
        <f>IFERROR(VLOOKUP($A892,koronahun!$A:$AM,24,FALSE),"")</f>
        <v/>
      </c>
      <c r="Y892" s="14" t="str">
        <f>IFERROR(VLOOKUP($A892,koronahun!$A:$AM,25,FALSE),"")</f>
        <v/>
      </c>
      <c r="Z892" s="14" t="str">
        <f>IFERROR(VLOOKUP($A892,koronahun!$A:$AM,26,FALSE),"")</f>
        <v/>
      </c>
      <c r="AA892" s="14" t="str">
        <f>IFERROR(VLOOKUP($A892,koronahun!$A:$AM,27,FALSE),"")</f>
        <v/>
      </c>
      <c r="AB892" s="14" t="str">
        <f>IFERROR(VLOOKUP($A892,koronahun!$A:$AM,28,FALSE),"")</f>
        <v/>
      </c>
      <c r="AC892" s="14" t="str">
        <f>IFERROR(VLOOKUP($A892,koronahun!$A:$AM,29,FALSE),"")</f>
        <v/>
      </c>
      <c r="AD892" s="14" t="str">
        <f>IFERROR(VLOOKUP($A892,koronahun!$A:$AM,30,FALSE),"")</f>
        <v/>
      </c>
      <c r="AE892" s="14" t="str">
        <f>IFERROR(VLOOKUP($A892,koronahun!$A:$AM,31,FALSE),"")</f>
        <v/>
      </c>
      <c r="AF892" s="13" t="str">
        <f>IFERROR(VLOOKUP($A892,koronahun!$A:$AM,32,FALSE),"")</f>
        <v/>
      </c>
      <c r="AG892" t="str">
        <f>IFERROR(VLOOKUP($A892,koronahun!$A:$AM,33,FALSE),"")</f>
        <v/>
      </c>
      <c r="AH892" t="str">
        <f>IFERROR(VLOOKUP($A892,koronahun!$A:$AM,34,FALSE),"")</f>
        <v/>
      </c>
      <c r="AI892" t="str">
        <f>IFERROR(VLOOKUP($A892,koronahun!$A:$AM,35,FALSE),"")</f>
        <v/>
      </c>
      <c r="AJ892" t="str">
        <f>IFERROR(VLOOKUP($A892,koronahun!$A:$AM,36,FALSE),"")</f>
        <v/>
      </c>
      <c r="AK892" t="str">
        <f>IFERROR(VLOOKUP($A892,koronahun!$A:$AM,37,FALSE),"")</f>
        <v/>
      </c>
      <c r="AL892" t="str">
        <f>IFERROR(VLOOKUP($A892,koronahun!$A:$AM,38,FALSE),"")</f>
        <v/>
      </c>
      <c r="AM892" s="14" t="str">
        <f>IFERROR(VLOOKUP($A892,koronahun!$A:$AM,39,FALSE),"")</f>
        <v/>
      </c>
      <c r="AN892" s="11">
        <f ca="1">IFERROR(__xludf.DUMMYFUNCTION("""COMPUTED_VALUE"""),44784)</f>
        <v>44784</v>
      </c>
      <c r="AO892" s="12">
        <f ca="1">IFERROR(VLOOKUP(AN892,koronahun!A:B,2,FALSE),"")</f>
        <v>0</v>
      </c>
      <c r="AP892" s="11">
        <f t="shared" ca="1" si="6"/>
        <v>44784</v>
      </c>
      <c r="AQ892" s="11"/>
      <c r="AR892" s="11"/>
      <c r="AS892" s="11"/>
      <c r="AT892" s="11"/>
    </row>
    <row r="893" spans="1:46" ht="13">
      <c r="A893" s="11"/>
      <c r="B893" t="str">
        <f>IFERROR(VLOOKUP($A893,koronahun!$A:$AM,2,FALSE),"")</f>
        <v/>
      </c>
      <c r="C893" t="str">
        <f>IFERROR(VLOOKUP($A893,koronahun!$A:$AM,3,FALSE),"")</f>
        <v/>
      </c>
      <c r="D893" t="str">
        <f>IFERROR(VLOOKUP($A893,koronahun!$A:$AM,4,FALSE),"")</f>
        <v/>
      </c>
      <c r="E893" t="str">
        <f>IFERROR(VLOOKUP($A893,koronahun!$A:$AM,5,FALSE),"")</f>
        <v/>
      </c>
      <c r="F893" t="str">
        <f>IFERROR(VLOOKUP($A893,koronahun!$A:$AM,6,FALSE),"")</f>
        <v/>
      </c>
      <c r="G893" s="12" t="str">
        <f>IFERROR(VLOOKUP($A893,koronahun!$A:$AM,7,FALSE),"")</f>
        <v/>
      </c>
      <c r="H893" t="str">
        <f>IFERROR(VLOOKUP($A893,koronahun!$A:$AM,8,FALSE),"")</f>
        <v/>
      </c>
      <c r="I893" s="13" t="str">
        <f>IFERROR(VLOOKUP($A893,koronahun!$A:$AM,9,FALSE),"")</f>
        <v/>
      </c>
      <c r="J893" s="13" t="str">
        <f>IFERROR(VLOOKUP($A893,koronahun!$A:$AM,10,FALSE),"")</f>
        <v/>
      </c>
      <c r="K893" s="13" t="str">
        <f>IFERROR(VLOOKUP($A893,koronahun!$A:$AM,11,FALSE),"")</f>
        <v/>
      </c>
      <c r="L893" t="str">
        <f>IFERROR(VLOOKUP($A893,koronahun!$A:$AM,12,FALSE),"")</f>
        <v/>
      </c>
      <c r="M893" s="13" t="str">
        <f>IFERROR(VLOOKUP($A893,koronahun!$A:$AM,13,FALSE),"")</f>
        <v/>
      </c>
      <c r="N893" s="13" t="str">
        <f>IFERROR(VLOOKUP($A893,koronahun!$A:$AM,14,FALSE),"")</f>
        <v/>
      </c>
      <c r="O893" t="str">
        <f>IFERROR(VLOOKUP($A893,koronahun!$A:$AM,15,FALSE),"")</f>
        <v/>
      </c>
      <c r="P893" t="str">
        <f>IFERROR(VLOOKUP($A893,koronahun!$A:$AM,16,FALSE),"")</f>
        <v/>
      </c>
      <c r="Q893" s="13" t="str">
        <f>IFERROR(VLOOKUP($A893,koronahun!$A:$AM,17,FALSE),"")</f>
        <v/>
      </c>
      <c r="R893" t="str">
        <f>IFERROR(VLOOKUP($A893,koronahun!$A:$AM,18,FALSE),"")</f>
        <v/>
      </c>
      <c r="S893" t="str">
        <f>IFERROR(VLOOKUP($A893,koronahun!$A:$AM,19,FALSE),"")</f>
        <v/>
      </c>
      <c r="T893" t="str">
        <f>IFERROR(VLOOKUP($A893,koronahun!$A:$AM,20,FALSE),"")</f>
        <v/>
      </c>
      <c r="U893" t="str">
        <f>IFERROR(VLOOKUP($A893,koronahun!$A:$AM,21,FALSE),"")</f>
        <v/>
      </c>
      <c r="V893" s="13" t="str">
        <f>IFERROR(VLOOKUP($A893,koronahun!$A:$AM,22,FALSE),"")</f>
        <v/>
      </c>
      <c r="W893" t="str">
        <f>IFERROR(VLOOKUP($A893,koronahun!$A:$AM,23,FALSE),"")</f>
        <v/>
      </c>
      <c r="X893" t="str">
        <f>IFERROR(VLOOKUP($A893,koronahun!$A:$AM,24,FALSE),"")</f>
        <v/>
      </c>
      <c r="Y893" s="14" t="str">
        <f>IFERROR(VLOOKUP($A893,koronahun!$A:$AM,25,FALSE),"")</f>
        <v/>
      </c>
      <c r="Z893" s="14" t="str">
        <f>IFERROR(VLOOKUP($A893,koronahun!$A:$AM,26,FALSE),"")</f>
        <v/>
      </c>
      <c r="AA893" s="14" t="str">
        <f>IFERROR(VLOOKUP($A893,koronahun!$A:$AM,27,FALSE),"")</f>
        <v/>
      </c>
      <c r="AB893" s="14" t="str">
        <f>IFERROR(VLOOKUP($A893,koronahun!$A:$AM,28,FALSE),"")</f>
        <v/>
      </c>
      <c r="AC893" s="14" t="str">
        <f>IFERROR(VLOOKUP($A893,koronahun!$A:$AM,29,FALSE),"")</f>
        <v/>
      </c>
      <c r="AD893" s="14" t="str">
        <f>IFERROR(VLOOKUP($A893,koronahun!$A:$AM,30,FALSE),"")</f>
        <v/>
      </c>
      <c r="AE893" s="14" t="str">
        <f>IFERROR(VLOOKUP($A893,koronahun!$A:$AM,31,FALSE),"")</f>
        <v/>
      </c>
      <c r="AF893" s="13" t="str">
        <f>IFERROR(VLOOKUP($A893,koronahun!$A:$AM,32,FALSE),"")</f>
        <v/>
      </c>
      <c r="AG893" t="str">
        <f>IFERROR(VLOOKUP($A893,koronahun!$A:$AM,33,FALSE),"")</f>
        <v/>
      </c>
      <c r="AH893" t="str">
        <f>IFERROR(VLOOKUP($A893,koronahun!$A:$AM,34,FALSE),"")</f>
        <v/>
      </c>
      <c r="AI893" t="str">
        <f>IFERROR(VLOOKUP($A893,koronahun!$A:$AM,35,FALSE),"")</f>
        <v/>
      </c>
      <c r="AJ893" t="str">
        <f>IFERROR(VLOOKUP($A893,koronahun!$A:$AM,36,FALSE),"")</f>
        <v/>
      </c>
      <c r="AK893" t="str">
        <f>IFERROR(VLOOKUP($A893,koronahun!$A:$AM,37,FALSE),"")</f>
        <v/>
      </c>
      <c r="AL893" t="str">
        <f>IFERROR(VLOOKUP($A893,koronahun!$A:$AM,38,FALSE),"")</f>
        <v/>
      </c>
      <c r="AM893" s="14" t="str">
        <f>IFERROR(VLOOKUP($A893,koronahun!$A:$AM,39,FALSE),"")</f>
        <v/>
      </c>
      <c r="AN893" s="11">
        <f ca="1">IFERROR(__xludf.DUMMYFUNCTION("""COMPUTED_VALUE"""),44785)</f>
        <v>44785</v>
      </c>
      <c r="AO893" s="12">
        <f ca="1">IFERROR(VLOOKUP(AN893,koronahun!A:B,2,FALSE),"")</f>
        <v>0</v>
      </c>
      <c r="AP893" s="11">
        <f t="shared" ca="1" si="6"/>
        <v>44785</v>
      </c>
      <c r="AQ893" s="11"/>
      <c r="AR893" s="11"/>
      <c r="AS893" s="11"/>
      <c r="AT893" s="11"/>
    </row>
    <row r="894" spans="1:46" ht="13">
      <c r="A894" s="11"/>
      <c r="B894" t="str">
        <f>IFERROR(VLOOKUP($A894,koronahun!$A:$AM,2,FALSE),"")</f>
        <v/>
      </c>
      <c r="C894" t="str">
        <f>IFERROR(VLOOKUP($A894,koronahun!$A:$AM,3,FALSE),"")</f>
        <v/>
      </c>
      <c r="D894" t="str">
        <f>IFERROR(VLOOKUP($A894,koronahun!$A:$AM,4,FALSE),"")</f>
        <v/>
      </c>
      <c r="E894" t="str">
        <f>IFERROR(VLOOKUP($A894,koronahun!$A:$AM,5,FALSE),"")</f>
        <v/>
      </c>
      <c r="F894" t="str">
        <f>IFERROR(VLOOKUP($A894,koronahun!$A:$AM,6,FALSE),"")</f>
        <v/>
      </c>
      <c r="G894" s="12" t="str">
        <f>IFERROR(VLOOKUP($A894,koronahun!$A:$AM,7,FALSE),"")</f>
        <v/>
      </c>
      <c r="H894" t="str">
        <f>IFERROR(VLOOKUP($A894,koronahun!$A:$AM,8,FALSE),"")</f>
        <v/>
      </c>
      <c r="I894" s="13" t="str">
        <f>IFERROR(VLOOKUP($A894,koronahun!$A:$AM,9,FALSE),"")</f>
        <v/>
      </c>
      <c r="J894" s="13" t="str">
        <f>IFERROR(VLOOKUP($A894,koronahun!$A:$AM,10,FALSE),"")</f>
        <v/>
      </c>
      <c r="K894" s="13" t="str">
        <f>IFERROR(VLOOKUP($A894,koronahun!$A:$AM,11,FALSE),"")</f>
        <v/>
      </c>
      <c r="L894" t="str">
        <f>IFERROR(VLOOKUP($A894,koronahun!$A:$AM,12,FALSE),"")</f>
        <v/>
      </c>
      <c r="M894" s="13" t="str">
        <f>IFERROR(VLOOKUP($A894,koronahun!$A:$AM,13,FALSE),"")</f>
        <v/>
      </c>
      <c r="N894" s="13" t="str">
        <f>IFERROR(VLOOKUP($A894,koronahun!$A:$AM,14,FALSE),"")</f>
        <v/>
      </c>
      <c r="O894" t="str">
        <f>IFERROR(VLOOKUP($A894,koronahun!$A:$AM,15,FALSE),"")</f>
        <v/>
      </c>
      <c r="P894" t="str">
        <f>IFERROR(VLOOKUP($A894,koronahun!$A:$AM,16,FALSE),"")</f>
        <v/>
      </c>
      <c r="Q894" s="13" t="str">
        <f>IFERROR(VLOOKUP($A894,koronahun!$A:$AM,17,FALSE),"")</f>
        <v/>
      </c>
      <c r="R894" t="str">
        <f>IFERROR(VLOOKUP($A894,koronahun!$A:$AM,18,FALSE),"")</f>
        <v/>
      </c>
      <c r="S894" t="str">
        <f>IFERROR(VLOOKUP($A894,koronahun!$A:$AM,19,FALSE),"")</f>
        <v/>
      </c>
      <c r="T894" t="str">
        <f>IFERROR(VLOOKUP($A894,koronahun!$A:$AM,20,FALSE),"")</f>
        <v/>
      </c>
      <c r="U894" t="str">
        <f>IFERROR(VLOOKUP($A894,koronahun!$A:$AM,21,FALSE),"")</f>
        <v/>
      </c>
      <c r="V894" s="13" t="str">
        <f>IFERROR(VLOOKUP($A894,koronahun!$A:$AM,22,FALSE),"")</f>
        <v/>
      </c>
      <c r="W894" t="str">
        <f>IFERROR(VLOOKUP($A894,koronahun!$A:$AM,23,FALSE),"")</f>
        <v/>
      </c>
      <c r="X894" t="str">
        <f>IFERROR(VLOOKUP($A894,koronahun!$A:$AM,24,FALSE),"")</f>
        <v/>
      </c>
      <c r="Y894" s="14" t="str">
        <f>IFERROR(VLOOKUP($A894,koronahun!$A:$AM,25,FALSE),"")</f>
        <v/>
      </c>
      <c r="Z894" s="14" t="str">
        <f>IFERROR(VLOOKUP($A894,koronahun!$A:$AM,26,FALSE),"")</f>
        <v/>
      </c>
      <c r="AA894" s="14" t="str">
        <f>IFERROR(VLOOKUP($A894,koronahun!$A:$AM,27,FALSE),"")</f>
        <v/>
      </c>
      <c r="AB894" s="14" t="str">
        <f>IFERROR(VLOOKUP($A894,koronahun!$A:$AM,28,FALSE),"")</f>
        <v/>
      </c>
      <c r="AC894" s="14" t="str">
        <f>IFERROR(VLOOKUP($A894,koronahun!$A:$AM,29,FALSE),"")</f>
        <v/>
      </c>
      <c r="AD894" s="14" t="str">
        <f>IFERROR(VLOOKUP($A894,koronahun!$A:$AM,30,FALSE),"")</f>
        <v/>
      </c>
      <c r="AE894" s="14" t="str">
        <f>IFERROR(VLOOKUP($A894,koronahun!$A:$AM,31,FALSE),"")</f>
        <v/>
      </c>
      <c r="AF894" s="13" t="str">
        <f>IFERROR(VLOOKUP($A894,koronahun!$A:$AM,32,FALSE),"")</f>
        <v/>
      </c>
      <c r="AG894" t="str">
        <f>IFERROR(VLOOKUP($A894,koronahun!$A:$AM,33,FALSE),"")</f>
        <v/>
      </c>
      <c r="AH894" t="str">
        <f>IFERROR(VLOOKUP($A894,koronahun!$A:$AM,34,FALSE),"")</f>
        <v/>
      </c>
      <c r="AI894" t="str">
        <f>IFERROR(VLOOKUP($A894,koronahun!$A:$AM,35,FALSE),"")</f>
        <v/>
      </c>
      <c r="AJ894" t="str">
        <f>IFERROR(VLOOKUP($A894,koronahun!$A:$AM,36,FALSE),"")</f>
        <v/>
      </c>
      <c r="AK894" t="str">
        <f>IFERROR(VLOOKUP($A894,koronahun!$A:$AM,37,FALSE),"")</f>
        <v/>
      </c>
      <c r="AL894" t="str">
        <f>IFERROR(VLOOKUP($A894,koronahun!$A:$AM,38,FALSE),"")</f>
        <v/>
      </c>
      <c r="AM894" s="14" t="str">
        <f>IFERROR(VLOOKUP($A894,koronahun!$A:$AM,39,FALSE),"")</f>
        <v/>
      </c>
      <c r="AN894" s="11">
        <f ca="1">IFERROR(__xludf.DUMMYFUNCTION("""COMPUTED_VALUE"""),44786)</f>
        <v>44786</v>
      </c>
      <c r="AO894" s="12">
        <f ca="1">IFERROR(VLOOKUP(AN894,koronahun!A:B,2,FALSE),"")</f>
        <v>0</v>
      </c>
      <c r="AP894" s="11">
        <f t="shared" ca="1" si="6"/>
        <v>44786</v>
      </c>
      <c r="AQ894" s="11"/>
      <c r="AR894" s="11"/>
      <c r="AS894" s="11"/>
      <c r="AT894" s="11"/>
    </row>
    <row r="895" spans="1:46" ht="13">
      <c r="A895" s="11"/>
      <c r="B895" t="str">
        <f>IFERROR(VLOOKUP($A895,koronahun!$A:$AM,2,FALSE),"")</f>
        <v/>
      </c>
      <c r="C895" t="str">
        <f>IFERROR(VLOOKUP($A895,koronahun!$A:$AM,3,FALSE),"")</f>
        <v/>
      </c>
      <c r="D895" t="str">
        <f>IFERROR(VLOOKUP($A895,koronahun!$A:$AM,4,FALSE),"")</f>
        <v/>
      </c>
      <c r="E895" t="str">
        <f>IFERROR(VLOOKUP($A895,koronahun!$A:$AM,5,FALSE),"")</f>
        <v/>
      </c>
      <c r="F895" t="str">
        <f>IFERROR(VLOOKUP($A895,koronahun!$A:$AM,6,FALSE),"")</f>
        <v/>
      </c>
      <c r="G895" s="12" t="str">
        <f>IFERROR(VLOOKUP($A895,koronahun!$A:$AM,7,FALSE),"")</f>
        <v/>
      </c>
      <c r="H895" t="str">
        <f>IFERROR(VLOOKUP($A895,koronahun!$A:$AM,8,FALSE),"")</f>
        <v/>
      </c>
      <c r="I895" s="13" t="str">
        <f>IFERROR(VLOOKUP($A895,koronahun!$A:$AM,9,FALSE),"")</f>
        <v/>
      </c>
      <c r="J895" s="13" t="str">
        <f>IFERROR(VLOOKUP($A895,koronahun!$A:$AM,10,FALSE),"")</f>
        <v/>
      </c>
      <c r="K895" s="13" t="str">
        <f>IFERROR(VLOOKUP($A895,koronahun!$A:$AM,11,FALSE),"")</f>
        <v/>
      </c>
      <c r="L895" t="str">
        <f>IFERROR(VLOOKUP($A895,koronahun!$A:$AM,12,FALSE),"")</f>
        <v/>
      </c>
      <c r="M895" s="13" t="str">
        <f>IFERROR(VLOOKUP($A895,koronahun!$A:$AM,13,FALSE),"")</f>
        <v/>
      </c>
      <c r="N895" s="13" t="str">
        <f>IFERROR(VLOOKUP($A895,koronahun!$A:$AM,14,FALSE),"")</f>
        <v/>
      </c>
      <c r="O895" t="str">
        <f>IFERROR(VLOOKUP($A895,koronahun!$A:$AM,15,FALSE),"")</f>
        <v/>
      </c>
      <c r="P895" t="str">
        <f>IFERROR(VLOOKUP($A895,koronahun!$A:$AM,16,FALSE),"")</f>
        <v/>
      </c>
      <c r="Q895" s="13" t="str">
        <f>IFERROR(VLOOKUP($A895,koronahun!$A:$AM,17,FALSE),"")</f>
        <v/>
      </c>
      <c r="R895" t="str">
        <f>IFERROR(VLOOKUP($A895,koronahun!$A:$AM,18,FALSE),"")</f>
        <v/>
      </c>
      <c r="S895" t="str">
        <f>IFERROR(VLOOKUP($A895,koronahun!$A:$AM,19,FALSE),"")</f>
        <v/>
      </c>
      <c r="T895" t="str">
        <f>IFERROR(VLOOKUP($A895,koronahun!$A:$AM,20,FALSE),"")</f>
        <v/>
      </c>
      <c r="U895" t="str">
        <f>IFERROR(VLOOKUP($A895,koronahun!$A:$AM,21,FALSE),"")</f>
        <v/>
      </c>
      <c r="V895" s="13" t="str">
        <f>IFERROR(VLOOKUP($A895,koronahun!$A:$AM,22,FALSE),"")</f>
        <v/>
      </c>
      <c r="W895" t="str">
        <f>IFERROR(VLOOKUP($A895,koronahun!$A:$AM,23,FALSE),"")</f>
        <v/>
      </c>
      <c r="X895" t="str">
        <f>IFERROR(VLOOKUP($A895,koronahun!$A:$AM,24,FALSE),"")</f>
        <v/>
      </c>
      <c r="Y895" s="14" t="str">
        <f>IFERROR(VLOOKUP($A895,koronahun!$A:$AM,25,FALSE),"")</f>
        <v/>
      </c>
      <c r="Z895" s="14" t="str">
        <f>IFERROR(VLOOKUP($A895,koronahun!$A:$AM,26,FALSE),"")</f>
        <v/>
      </c>
      <c r="AA895" s="14" t="str">
        <f>IFERROR(VLOOKUP($A895,koronahun!$A:$AM,27,FALSE),"")</f>
        <v/>
      </c>
      <c r="AB895" s="14" t="str">
        <f>IFERROR(VLOOKUP($A895,koronahun!$A:$AM,28,FALSE),"")</f>
        <v/>
      </c>
      <c r="AC895" s="14" t="str">
        <f>IFERROR(VLOOKUP($A895,koronahun!$A:$AM,29,FALSE),"")</f>
        <v/>
      </c>
      <c r="AD895" s="14" t="str">
        <f>IFERROR(VLOOKUP($A895,koronahun!$A:$AM,30,FALSE),"")</f>
        <v/>
      </c>
      <c r="AE895" s="14" t="str">
        <f>IFERROR(VLOOKUP($A895,koronahun!$A:$AM,31,FALSE),"")</f>
        <v/>
      </c>
      <c r="AF895" s="13" t="str">
        <f>IFERROR(VLOOKUP($A895,koronahun!$A:$AM,32,FALSE),"")</f>
        <v/>
      </c>
      <c r="AG895" t="str">
        <f>IFERROR(VLOOKUP($A895,koronahun!$A:$AM,33,FALSE),"")</f>
        <v/>
      </c>
      <c r="AH895" t="str">
        <f>IFERROR(VLOOKUP($A895,koronahun!$A:$AM,34,FALSE),"")</f>
        <v/>
      </c>
      <c r="AI895" t="str">
        <f>IFERROR(VLOOKUP($A895,koronahun!$A:$AM,35,FALSE),"")</f>
        <v/>
      </c>
      <c r="AJ895" t="str">
        <f>IFERROR(VLOOKUP($A895,koronahun!$A:$AM,36,FALSE),"")</f>
        <v/>
      </c>
      <c r="AK895" t="str">
        <f>IFERROR(VLOOKUP($A895,koronahun!$A:$AM,37,FALSE),"")</f>
        <v/>
      </c>
      <c r="AL895" t="str">
        <f>IFERROR(VLOOKUP($A895,koronahun!$A:$AM,38,FALSE),"")</f>
        <v/>
      </c>
      <c r="AM895" s="14" t="str">
        <f>IFERROR(VLOOKUP($A895,koronahun!$A:$AM,39,FALSE),"")</f>
        <v/>
      </c>
      <c r="AN895" s="11">
        <f ca="1">IFERROR(__xludf.DUMMYFUNCTION("""COMPUTED_VALUE"""),44787)</f>
        <v>44787</v>
      </c>
      <c r="AO895" s="12">
        <f ca="1">IFERROR(VLOOKUP(AN895,koronahun!A:B,2,FALSE),"")</f>
        <v>0</v>
      </c>
      <c r="AP895" s="11">
        <f t="shared" ca="1" si="6"/>
        <v>44787</v>
      </c>
      <c r="AQ895" s="11"/>
      <c r="AR895" s="11"/>
      <c r="AS895" s="11"/>
      <c r="AT895" s="11"/>
    </row>
    <row r="896" spans="1:46" ht="13">
      <c r="A896" s="11"/>
      <c r="B896" t="str">
        <f>IFERROR(VLOOKUP($A896,koronahun!$A:$AM,2,FALSE),"")</f>
        <v/>
      </c>
      <c r="C896" t="str">
        <f>IFERROR(VLOOKUP($A896,koronahun!$A:$AM,3,FALSE),"")</f>
        <v/>
      </c>
      <c r="D896" t="str">
        <f>IFERROR(VLOOKUP($A896,koronahun!$A:$AM,4,FALSE),"")</f>
        <v/>
      </c>
      <c r="E896" t="str">
        <f>IFERROR(VLOOKUP($A896,koronahun!$A:$AM,5,FALSE),"")</f>
        <v/>
      </c>
      <c r="F896" t="str">
        <f>IFERROR(VLOOKUP($A896,koronahun!$A:$AM,6,FALSE),"")</f>
        <v/>
      </c>
      <c r="G896" s="12" t="str">
        <f>IFERROR(VLOOKUP($A896,koronahun!$A:$AM,7,FALSE),"")</f>
        <v/>
      </c>
      <c r="H896" t="str">
        <f>IFERROR(VLOOKUP($A896,koronahun!$A:$AM,8,FALSE),"")</f>
        <v/>
      </c>
      <c r="I896" s="13" t="str">
        <f>IFERROR(VLOOKUP($A896,koronahun!$A:$AM,9,FALSE),"")</f>
        <v/>
      </c>
      <c r="J896" s="13" t="str">
        <f>IFERROR(VLOOKUP($A896,koronahun!$A:$AM,10,FALSE),"")</f>
        <v/>
      </c>
      <c r="K896" s="13" t="str">
        <f>IFERROR(VLOOKUP($A896,koronahun!$A:$AM,11,FALSE),"")</f>
        <v/>
      </c>
      <c r="L896" t="str">
        <f>IFERROR(VLOOKUP($A896,koronahun!$A:$AM,12,FALSE),"")</f>
        <v/>
      </c>
      <c r="M896" s="13" t="str">
        <f>IFERROR(VLOOKUP($A896,koronahun!$A:$AM,13,FALSE),"")</f>
        <v/>
      </c>
      <c r="N896" s="13" t="str">
        <f>IFERROR(VLOOKUP($A896,koronahun!$A:$AM,14,FALSE),"")</f>
        <v/>
      </c>
      <c r="O896" t="str">
        <f>IFERROR(VLOOKUP($A896,koronahun!$A:$AM,15,FALSE),"")</f>
        <v/>
      </c>
      <c r="P896" t="str">
        <f>IFERROR(VLOOKUP($A896,koronahun!$A:$AM,16,FALSE),"")</f>
        <v/>
      </c>
      <c r="Q896" s="13" t="str">
        <f>IFERROR(VLOOKUP($A896,koronahun!$A:$AM,17,FALSE),"")</f>
        <v/>
      </c>
      <c r="R896" t="str">
        <f>IFERROR(VLOOKUP($A896,koronahun!$A:$AM,18,FALSE),"")</f>
        <v/>
      </c>
      <c r="S896" t="str">
        <f>IFERROR(VLOOKUP($A896,koronahun!$A:$AM,19,FALSE),"")</f>
        <v/>
      </c>
      <c r="T896" t="str">
        <f>IFERROR(VLOOKUP($A896,koronahun!$A:$AM,20,FALSE),"")</f>
        <v/>
      </c>
      <c r="U896" t="str">
        <f>IFERROR(VLOOKUP($A896,koronahun!$A:$AM,21,FALSE),"")</f>
        <v/>
      </c>
      <c r="V896" s="13" t="str">
        <f>IFERROR(VLOOKUP($A896,koronahun!$A:$AM,22,FALSE),"")</f>
        <v/>
      </c>
      <c r="W896" t="str">
        <f>IFERROR(VLOOKUP($A896,koronahun!$A:$AM,23,FALSE),"")</f>
        <v/>
      </c>
      <c r="X896" t="str">
        <f>IFERROR(VLOOKUP($A896,koronahun!$A:$AM,24,FALSE),"")</f>
        <v/>
      </c>
      <c r="Y896" s="14" t="str">
        <f>IFERROR(VLOOKUP($A896,koronahun!$A:$AM,25,FALSE),"")</f>
        <v/>
      </c>
      <c r="Z896" s="14" t="str">
        <f>IFERROR(VLOOKUP($A896,koronahun!$A:$AM,26,FALSE),"")</f>
        <v/>
      </c>
      <c r="AA896" s="14" t="str">
        <f>IFERROR(VLOOKUP($A896,koronahun!$A:$AM,27,FALSE),"")</f>
        <v/>
      </c>
      <c r="AB896" s="14" t="str">
        <f>IFERROR(VLOOKUP($A896,koronahun!$A:$AM,28,FALSE),"")</f>
        <v/>
      </c>
      <c r="AC896" s="14" t="str">
        <f>IFERROR(VLOOKUP($A896,koronahun!$A:$AM,29,FALSE),"")</f>
        <v/>
      </c>
      <c r="AD896" s="14" t="str">
        <f>IFERROR(VLOOKUP($A896,koronahun!$A:$AM,30,FALSE),"")</f>
        <v/>
      </c>
      <c r="AE896" s="14" t="str">
        <f>IFERROR(VLOOKUP($A896,koronahun!$A:$AM,31,FALSE),"")</f>
        <v/>
      </c>
      <c r="AF896" s="13" t="str">
        <f>IFERROR(VLOOKUP($A896,koronahun!$A:$AM,32,FALSE),"")</f>
        <v/>
      </c>
      <c r="AG896" t="str">
        <f>IFERROR(VLOOKUP($A896,koronahun!$A:$AM,33,FALSE),"")</f>
        <v/>
      </c>
      <c r="AH896" t="str">
        <f>IFERROR(VLOOKUP($A896,koronahun!$A:$AM,34,FALSE),"")</f>
        <v/>
      </c>
      <c r="AI896" t="str">
        <f>IFERROR(VLOOKUP($A896,koronahun!$A:$AM,35,FALSE),"")</f>
        <v/>
      </c>
      <c r="AJ896" t="str">
        <f>IFERROR(VLOOKUP($A896,koronahun!$A:$AM,36,FALSE),"")</f>
        <v/>
      </c>
      <c r="AK896" t="str">
        <f>IFERROR(VLOOKUP($A896,koronahun!$A:$AM,37,FALSE),"")</f>
        <v/>
      </c>
      <c r="AL896" t="str">
        <f>IFERROR(VLOOKUP($A896,koronahun!$A:$AM,38,FALSE),"")</f>
        <v/>
      </c>
      <c r="AM896" s="14" t="str">
        <f>IFERROR(VLOOKUP($A896,koronahun!$A:$AM,39,FALSE),"")</f>
        <v/>
      </c>
      <c r="AN896" s="11">
        <f ca="1">IFERROR(__xludf.DUMMYFUNCTION("""COMPUTED_VALUE"""),44788)</f>
        <v>44788</v>
      </c>
      <c r="AO896" s="12">
        <f ca="1">IFERROR(VLOOKUP(AN896,koronahun!A:B,2,FALSE),"")</f>
        <v>0</v>
      </c>
      <c r="AP896" s="11">
        <f t="shared" ca="1" si="6"/>
        <v>44788</v>
      </c>
      <c r="AQ896" s="11"/>
      <c r="AR896" s="11"/>
      <c r="AS896" s="11"/>
      <c r="AT896" s="11"/>
    </row>
    <row r="897" spans="1:46" ht="13">
      <c r="A897" s="11"/>
      <c r="B897" t="str">
        <f>IFERROR(VLOOKUP($A897,koronahun!$A:$AM,2,FALSE),"")</f>
        <v/>
      </c>
      <c r="C897" t="str">
        <f>IFERROR(VLOOKUP($A897,koronahun!$A:$AM,3,FALSE),"")</f>
        <v/>
      </c>
      <c r="D897" t="str">
        <f>IFERROR(VLOOKUP($A897,koronahun!$A:$AM,4,FALSE),"")</f>
        <v/>
      </c>
      <c r="E897" t="str">
        <f>IFERROR(VLOOKUP($A897,koronahun!$A:$AM,5,FALSE),"")</f>
        <v/>
      </c>
      <c r="F897" t="str">
        <f>IFERROR(VLOOKUP($A897,koronahun!$A:$AM,6,FALSE),"")</f>
        <v/>
      </c>
      <c r="G897" s="12" t="str">
        <f>IFERROR(VLOOKUP($A897,koronahun!$A:$AM,7,FALSE),"")</f>
        <v/>
      </c>
      <c r="H897" t="str">
        <f>IFERROR(VLOOKUP($A897,koronahun!$A:$AM,8,FALSE),"")</f>
        <v/>
      </c>
      <c r="I897" s="13" t="str">
        <f>IFERROR(VLOOKUP($A897,koronahun!$A:$AM,9,FALSE),"")</f>
        <v/>
      </c>
      <c r="J897" s="13" t="str">
        <f>IFERROR(VLOOKUP($A897,koronahun!$A:$AM,10,FALSE),"")</f>
        <v/>
      </c>
      <c r="K897" s="13" t="str">
        <f>IFERROR(VLOOKUP($A897,koronahun!$A:$AM,11,FALSE),"")</f>
        <v/>
      </c>
      <c r="L897" t="str">
        <f>IFERROR(VLOOKUP($A897,koronahun!$A:$AM,12,FALSE),"")</f>
        <v/>
      </c>
      <c r="M897" s="13" t="str">
        <f>IFERROR(VLOOKUP($A897,koronahun!$A:$AM,13,FALSE),"")</f>
        <v/>
      </c>
      <c r="N897" s="13" t="str">
        <f>IFERROR(VLOOKUP($A897,koronahun!$A:$AM,14,FALSE),"")</f>
        <v/>
      </c>
      <c r="O897" t="str">
        <f>IFERROR(VLOOKUP($A897,koronahun!$A:$AM,15,FALSE),"")</f>
        <v/>
      </c>
      <c r="P897" t="str">
        <f>IFERROR(VLOOKUP($A897,koronahun!$A:$AM,16,FALSE),"")</f>
        <v/>
      </c>
      <c r="Q897" s="13" t="str">
        <f>IFERROR(VLOOKUP($A897,koronahun!$A:$AM,17,FALSE),"")</f>
        <v/>
      </c>
      <c r="R897" t="str">
        <f>IFERROR(VLOOKUP($A897,koronahun!$A:$AM,18,FALSE),"")</f>
        <v/>
      </c>
      <c r="S897" t="str">
        <f>IFERROR(VLOOKUP($A897,koronahun!$A:$AM,19,FALSE),"")</f>
        <v/>
      </c>
      <c r="T897" t="str">
        <f>IFERROR(VLOOKUP($A897,koronahun!$A:$AM,20,FALSE),"")</f>
        <v/>
      </c>
      <c r="U897" t="str">
        <f>IFERROR(VLOOKUP($A897,koronahun!$A:$AM,21,FALSE),"")</f>
        <v/>
      </c>
      <c r="V897" s="13" t="str">
        <f>IFERROR(VLOOKUP($A897,koronahun!$A:$AM,22,FALSE),"")</f>
        <v/>
      </c>
      <c r="W897" t="str">
        <f>IFERROR(VLOOKUP($A897,koronahun!$A:$AM,23,FALSE),"")</f>
        <v/>
      </c>
      <c r="X897" t="str">
        <f>IFERROR(VLOOKUP($A897,koronahun!$A:$AM,24,FALSE),"")</f>
        <v/>
      </c>
      <c r="Y897" s="14" t="str">
        <f>IFERROR(VLOOKUP($A897,koronahun!$A:$AM,25,FALSE),"")</f>
        <v/>
      </c>
      <c r="Z897" s="14" t="str">
        <f>IFERROR(VLOOKUP($A897,koronahun!$A:$AM,26,FALSE),"")</f>
        <v/>
      </c>
      <c r="AA897" s="14" t="str">
        <f>IFERROR(VLOOKUP($A897,koronahun!$A:$AM,27,FALSE),"")</f>
        <v/>
      </c>
      <c r="AB897" s="14" t="str">
        <f>IFERROR(VLOOKUP($A897,koronahun!$A:$AM,28,FALSE),"")</f>
        <v/>
      </c>
      <c r="AC897" s="14" t="str">
        <f>IFERROR(VLOOKUP($A897,koronahun!$A:$AM,29,FALSE),"")</f>
        <v/>
      </c>
      <c r="AD897" s="14" t="str">
        <f>IFERROR(VLOOKUP($A897,koronahun!$A:$AM,30,FALSE),"")</f>
        <v/>
      </c>
      <c r="AE897" s="14" t="str">
        <f>IFERROR(VLOOKUP($A897,koronahun!$A:$AM,31,FALSE),"")</f>
        <v/>
      </c>
      <c r="AF897" s="13" t="str">
        <f>IFERROR(VLOOKUP($A897,koronahun!$A:$AM,32,FALSE),"")</f>
        <v/>
      </c>
      <c r="AG897" t="str">
        <f>IFERROR(VLOOKUP($A897,koronahun!$A:$AM,33,FALSE),"")</f>
        <v/>
      </c>
      <c r="AH897" t="str">
        <f>IFERROR(VLOOKUP($A897,koronahun!$A:$AM,34,FALSE),"")</f>
        <v/>
      </c>
      <c r="AI897" t="str">
        <f>IFERROR(VLOOKUP($A897,koronahun!$A:$AM,35,FALSE),"")</f>
        <v/>
      </c>
      <c r="AJ897" t="str">
        <f>IFERROR(VLOOKUP($A897,koronahun!$A:$AM,36,FALSE),"")</f>
        <v/>
      </c>
      <c r="AK897" t="str">
        <f>IFERROR(VLOOKUP($A897,koronahun!$A:$AM,37,FALSE),"")</f>
        <v/>
      </c>
      <c r="AL897" t="str">
        <f>IFERROR(VLOOKUP($A897,koronahun!$A:$AM,38,FALSE),"")</f>
        <v/>
      </c>
      <c r="AM897" s="14" t="str">
        <f>IFERROR(VLOOKUP($A897,koronahun!$A:$AM,39,FALSE),"")</f>
        <v/>
      </c>
      <c r="AN897" s="11">
        <f ca="1">IFERROR(__xludf.DUMMYFUNCTION("""COMPUTED_VALUE"""),44789)</f>
        <v>44789</v>
      </c>
      <c r="AO897" s="12">
        <f ca="1">IFERROR(VLOOKUP(AN897,koronahun!A:B,2,FALSE),"")</f>
        <v>0</v>
      </c>
      <c r="AP897" s="11">
        <f t="shared" ca="1" si="6"/>
        <v>44789</v>
      </c>
      <c r="AQ897" s="11"/>
      <c r="AR897" s="11"/>
      <c r="AS897" s="11"/>
      <c r="AT897" s="11"/>
    </row>
    <row r="898" spans="1:46" ht="13">
      <c r="A898" s="11"/>
      <c r="B898" t="str">
        <f>IFERROR(VLOOKUP($A898,koronahun!$A:$AM,2,FALSE),"")</f>
        <v/>
      </c>
      <c r="C898" t="str">
        <f>IFERROR(VLOOKUP($A898,koronahun!$A:$AM,3,FALSE),"")</f>
        <v/>
      </c>
      <c r="D898" t="str">
        <f>IFERROR(VLOOKUP($A898,koronahun!$A:$AM,4,FALSE),"")</f>
        <v/>
      </c>
      <c r="E898" t="str">
        <f>IFERROR(VLOOKUP($A898,koronahun!$A:$AM,5,FALSE),"")</f>
        <v/>
      </c>
      <c r="F898" t="str">
        <f>IFERROR(VLOOKUP($A898,koronahun!$A:$AM,6,FALSE),"")</f>
        <v/>
      </c>
      <c r="G898" s="12" t="str">
        <f>IFERROR(VLOOKUP($A898,koronahun!$A:$AM,7,FALSE),"")</f>
        <v/>
      </c>
      <c r="H898" t="str">
        <f>IFERROR(VLOOKUP($A898,koronahun!$A:$AM,8,FALSE),"")</f>
        <v/>
      </c>
      <c r="I898" s="13" t="str">
        <f>IFERROR(VLOOKUP($A898,koronahun!$A:$AM,9,FALSE),"")</f>
        <v/>
      </c>
      <c r="J898" s="13" t="str">
        <f>IFERROR(VLOOKUP($A898,koronahun!$A:$AM,10,FALSE),"")</f>
        <v/>
      </c>
      <c r="K898" s="13" t="str">
        <f>IFERROR(VLOOKUP($A898,koronahun!$A:$AM,11,FALSE),"")</f>
        <v/>
      </c>
      <c r="L898" t="str">
        <f>IFERROR(VLOOKUP($A898,koronahun!$A:$AM,12,FALSE),"")</f>
        <v/>
      </c>
      <c r="M898" s="13" t="str">
        <f>IFERROR(VLOOKUP($A898,koronahun!$A:$AM,13,FALSE),"")</f>
        <v/>
      </c>
      <c r="N898" s="13" t="str">
        <f>IFERROR(VLOOKUP($A898,koronahun!$A:$AM,14,FALSE),"")</f>
        <v/>
      </c>
      <c r="O898" t="str">
        <f>IFERROR(VLOOKUP($A898,koronahun!$A:$AM,15,FALSE),"")</f>
        <v/>
      </c>
      <c r="P898" t="str">
        <f>IFERROR(VLOOKUP($A898,koronahun!$A:$AM,16,FALSE),"")</f>
        <v/>
      </c>
      <c r="Q898" s="13" t="str">
        <f>IFERROR(VLOOKUP($A898,koronahun!$A:$AM,17,FALSE),"")</f>
        <v/>
      </c>
      <c r="R898" t="str">
        <f>IFERROR(VLOOKUP($A898,koronahun!$A:$AM,18,FALSE),"")</f>
        <v/>
      </c>
      <c r="S898" t="str">
        <f>IFERROR(VLOOKUP($A898,koronahun!$A:$AM,19,FALSE),"")</f>
        <v/>
      </c>
      <c r="T898" t="str">
        <f>IFERROR(VLOOKUP($A898,koronahun!$A:$AM,20,FALSE),"")</f>
        <v/>
      </c>
      <c r="U898" t="str">
        <f>IFERROR(VLOOKUP($A898,koronahun!$A:$AM,21,FALSE),"")</f>
        <v/>
      </c>
      <c r="V898" s="13" t="str">
        <f>IFERROR(VLOOKUP($A898,koronahun!$A:$AM,22,FALSE),"")</f>
        <v/>
      </c>
      <c r="W898" t="str">
        <f>IFERROR(VLOOKUP($A898,koronahun!$A:$AM,23,FALSE),"")</f>
        <v/>
      </c>
      <c r="X898" t="str">
        <f>IFERROR(VLOOKUP($A898,koronahun!$A:$AM,24,FALSE),"")</f>
        <v/>
      </c>
      <c r="Y898" s="14" t="str">
        <f>IFERROR(VLOOKUP($A898,koronahun!$A:$AM,25,FALSE),"")</f>
        <v/>
      </c>
      <c r="Z898" s="14" t="str">
        <f>IFERROR(VLOOKUP($A898,koronahun!$A:$AM,26,FALSE),"")</f>
        <v/>
      </c>
      <c r="AA898" s="14" t="str">
        <f>IFERROR(VLOOKUP($A898,koronahun!$A:$AM,27,FALSE),"")</f>
        <v/>
      </c>
      <c r="AB898" s="14" t="str">
        <f>IFERROR(VLOOKUP($A898,koronahun!$A:$AM,28,FALSE),"")</f>
        <v/>
      </c>
      <c r="AC898" s="14" t="str">
        <f>IFERROR(VLOOKUP($A898,koronahun!$A:$AM,29,FALSE),"")</f>
        <v/>
      </c>
      <c r="AD898" s="14" t="str">
        <f>IFERROR(VLOOKUP($A898,koronahun!$A:$AM,30,FALSE),"")</f>
        <v/>
      </c>
      <c r="AE898" s="14" t="str">
        <f>IFERROR(VLOOKUP($A898,koronahun!$A:$AM,31,FALSE),"")</f>
        <v/>
      </c>
      <c r="AF898" s="13" t="str">
        <f>IFERROR(VLOOKUP($A898,koronahun!$A:$AM,32,FALSE),"")</f>
        <v/>
      </c>
      <c r="AG898" t="str">
        <f>IFERROR(VLOOKUP($A898,koronahun!$A:$AM,33,FALSE),"")</f>
        <v/>
      </c>
      <c r="AH898" t="str">
        <f>IFERROR(VLOOKUP($A898,koronahun!$A:$AM,34,FALSE),"")</f>
        <v/>
      </c>
      <c r="AI898" t="str">
        <f>IFERROR(VLOOKUP($A898,koronahun!$A:$AM,35,FALSE),"")</f>
        <v/>
      </c>
      <c r="AJ898" t="str">
        <f>IFERROR(VLOOKUP($A898,koronahun!$A:$AM,36,FALSE),"")</f>
        <v/>
      </c>
      <c r="AK898" t="str">
        <f>IFERROR(VLOOKUP($A898,koronahun!$A:$AM,37,FALSE),"")</f>
        <v/>
      </c>
      <c r="AL898" t="str">
        <f>IFERROR(VLOOKUP($A898,koronahun!$A:$AM,38,FALSE),"")</f>
        <v/>
      </c>
      <c r="AM898" s="14" t="str">
        <f>IFERROR(VLOOKUP($A898,koronahun!$A:$AM,39,FALSE),"")</f>
        <v/>
      </c>
      <c r="AN898" s="11">
        <f ca="1">IFERROR(__xludf.DUMMYFUNCTION("""COMPUTED_VALUE"""),44790)</f>
        <v>44790</v>
      </c>
      <c r="AO898" s="12">
        <f ca="1">IFERROR(VLOOKUP(AN898,koronahun!A:B,2,FALSE),"")</f>
        <v>2021648</v>
      </c>
      <c r="AP898" s="11">
        <f t="shared" ca="1" si="6"/>
        <v>44790</v>
      </c>
      <c r="AQ898" s="11"/>
      <c r="AR898" s="11"/>
      <c r="AS898" s="11"/>
      <c r="AT898" s="11"/>
    </row>
    <row r="899" spans="1:46" ht="13">
      <c r="A899" s="11"/>
      <c r="B899" t="str">
        <f>IFERROR(VLOOKUP($A899,koronahun!$A:$AM,2,FALSE),"")</f>
        <v/>
      </c>
      <c r="C899" t="str">
        <f>IFERROR(VLOOKUP($A899,koronahun!$A:$AM,3,FALSE),"")</f>
        <v/>
      </c>
      <c r="D899" t="str">
        <f>IFERROR(VLOOKUP($A899,koronahun!$A:$AM,4,FALSE),"")</f>
        <v/>
      </c>
      <c r="E899" t="str">
        <f>IFERROR(VLOOKUP($A899,koronahun!$A:$AM,5,FALSE),"")</f>
        <v/>
      </c>
      <c r="F899" t="str">
        <f>IFERROR(VLOOKUP($A899,koronahun!$A:$AM,6,FALSE),"")</f>
        <v/>
      </c>
      <c r="G899" s="12" t="str">
        <f>IFERROR(VLOOKUP($A899,koronahun!$A:$AM,7,FALSE),"")</f>
        <v/>
      </c>
      <c r="H899" t="str">
        <f>IFERROR(VLOOKUP($A899,koronahun!$A:$AM,8,FALSE),"")</f>
        <v/>
      </c>
      <c r="I899" s="13" t="str">
        <f>IFERROR(VLOOKUP($A899,koronahun!$A:$AM,9,FALSE),"")</f>
        <v/>
      </c>
      <c r="J899" s="13" t="str">
        <f>IFERROR(VLOOKUP($A899,koronahun!$A:$AM,10,FALSE),"")</f>
        <v/>
      </c>
      <c r="K899" s="13" t="str">
        <f>IFERROR(VLOOKUP($A899,koronahun!$A:$AM,11,FALSE),"")</f>
        <v/>
      </c>
      <c r="L899" t="str">
        <f>IFERROR(VLOOKUP($A899,koronahun!$A:$AM,12,FALSE),"")</f>
        <v/>
      </c>
      <c r="M899" s="13" t="str">
        <f>IFERROR(VLOOKUP($A899,koronahun!$A:$AM,13,FALSE),"")</f>
        <v/>
      </c>
      <c r="N899" s="13" t="str">
        <f>IFERROR(VLOOKUP($A899,koronahun!$A:$AM,14,FALSE),"")</f>
        <v/>
      </c>
      <c r="O899" t="str">
        <f>IFERROR(VLOOKUP($A899,koronahun!$A:$AM,15,FALSE),"")</f>
        <v/>
      </c>
      <c r="P899" t="str">
        <f>IFERROR(VLOOKUP($A899,koronahun!$A:$AM,16,FALSE),"")</f>
        <v/>
      </c>
      <c r="Q899" s="13" t="str">
        <f>IFERROR(VLOOKUP($A899,koronahun!$A:$AM,17,FALSE),"")</f>
        <v/>
      </c>
      <c r="R899" t="str">
        <f>IFERROR(VLOOKUP($A899,koronahun!$A:$AM,18,FALSE),"")</f>
        <v/>
      </c>
      <c r="S899" t="str">
        <f>IFERROR(VLOOKUP($A899,koronahun!$A:$AM,19,FALSE),"")</f>
        <v/>
      </c>
      <c r="T899" t="str">
        <f>IFERROR(VLOOKUP($A899,koronahun!$A:$AM,20,FALSE),"")</f>
        <v/>
      </c>
      <c r="U899" t="str">
        <f>IFERROR(VLOOKUP($A899,koronahun!$A:$AM,21,FALSE),"")</f>
        <v/>
      </c>
      <c r="V899" s="13" t="str">
        <f>IFERROR(VLOOKUP($A899,koronahun!$A:$AM,22,FALSE),"")</f>
        <v/>
      </c>
      <c r="W899" t="str">
        <f>IFERROR(VLOOKUP($A899,koronahun!$A:$AM,23,FALSE),"")</f>
        <v/>
      </c>
      <c r="X899" t="str">
        <f>IFERROR(VLOOKUP($A899,koronahun!$A:$AM,24,FALSE),"")</f>
        <v/>
      </c>
      <c r="Y899" s="14" t="str">
        <f>IFERROR(VLOOKUP($A899,koronahun!$A:$AM,25,FALSE),"")</f>
        <v/>
      </c>
      <c r="Z899" s="14" t="str">
        <f>IFERROR(VLOOKUP($A899,koronahun!$A:$AM,26,FALSE),"")</f>
        <v/>
      </c>
      <c r="AA899" s="14" t="str">
        <f>IFERROR(VLOOKUP($A899,koronahun!$A:$AM,27,FALSE),"")</f>
        <v/>
      </c>
      <c r="AB899" s="14" t="str">
        <f>IFERROR(VLOOKUP($A899,koronahun!$A:$AM,28,FALSE),"")</f>
        <v/>
      </c>
      <c r="AC899" s="14" t="str">
        <f>IFERROR(VLOOKUP($A899,koronahun!$A:$AM,29,FALSE),"")</f>
        <v/>
      </c>
      <c r="AD899" s="14" t="str">
        <f>IFERROR(VLOOKUP($A899,koronahun!$A:$AM,30,FALSE),"")</f>
        <v/>
      </c>
      <c r="AE899" s="14" t="str">
        <f>IFERROR(VLOOKUP($A899,koronahun!$A:$AM,31,FALSE),"")</f>
        <v/>
      </c>
      <c r="AF899" s="13" t="str">
        <f>IFERROR(VLOOKUP($A899,koronahun!$A:$AM,32,FALSE),"")</f>
        <v/>
      </c>
      <c r="AG899" t="str">
        <f>IFERROR(VLOOKUP($A899,koronahun!$A:$AM,33,FALSE),"")</f>
        <v/>
      </c>
      <c r="AH899" t="str">
        <f>IFERROR(VLOOKUP($A899,koronahun!$A:$AM,34,FALSE),"")</f>
        <v/>
      </c>
      <c r="AI899" t="str">
        <f>IFERROR(VLOOKUP($A899,koronahun!$A:$AM,35,FALSE),"")</f>
        <v/>
      </c>
      <c r="AJ899" t="str">
        <f>IFERROR(VLOOKUP($A899,koronahun!$A:$AM,36,FALSE),"")</f>
        <v/>
      </c>
      <c r="AK899" t="str">
        <f>IFERROR(VLOOKUP($A899,koronahun!$A:$AM,37,FALSE),"")</f>
        <v/>
      </c>
      <c r="AL899" t="str">
        <f>IFERROR(VLOOKUP($A899,koronahun!$A:$AM,38,FALSE),"")</f>
        <v/>
      </c>
      <c r="AM899" s="14" t="str">
        <f>IFERROR(VLOOKUP($A899,koronahun!$A:$AM,39,FALSE),"")</f>
        <v/>
      </c>
      <c r="AN899" s="11">
        <f ca="1">IFERROR(__xludf.DUMMYFUNCTION("""COMPUTED_VALUE"""),44791)</f>
        <v>44791</v>
      </c>
      <c r="AO899" s="12">
        <f ca="1">IFERROR(VLOOKUP(AN899,koronahun!A:B,2,FALSE),"")</f>
        <v>0</v>
      </c>
      <c r="AP899" s="11">
        <f t="shared" ca="1" si="6"/>
        <v>44791</v>
      </c>
      <c r="AQ899" s="11"/>
      <c r="AR899" s="11"/>
      <c r="AS899" s="11"/>
      <c r="AT899" s="11"/>
    </row>
    <row r="900" spans="1:46" ht="13">
      <c r="A900" s="11"/>
      <c r="B900" t="str">
        <f>IFERROR(VLOOKUP($A900,koronahun!$A:$AM,2,FALSE),"")</f>
        <v/>
      </c>
      <c r="C900" t="str">
        <f>IFERROR(VLOOKUP($A900,koronahun!$A:$AM,3,FALSE),"")</f>
        <v/>
      </c>
      <c r="D900" t="str">
        <f>IFERROR(VLOOKUP($A900,koronahun!$A:$AM,4,FALSE),"")</f>
        <v/>
      </c>
      <c r="E900" t="str">
        <f>IFERROR(VLOOKUP($A900,koronahun!$A:$AM,5,FALSE),"")</f>
        <v/>
      </c>
      <c r="F900" t="str">
        <f>IFERROR(VLOOKUP($A900,koronahun!$A:$AM,6,FALSE),"")</f>
        <v/>
      </c>
      <c r="G900" s="12" t="str">
        <f>IFERROR(VLOOKUP($A900,koronahun!$A:$AM,7,FALSE),"")</f>
        <v/>
      </c>
      <c r="H900" t="str">
        <f>IFERROR(VLOOKUP($A900,koronahun!$A:$AM,8,FALSE),"")</f>
        <v/>
      </c>
      <c r="I900" s="13" t="str">
        <f>IFERROR(VLOOKUP($A900,koronahun!$A:$AM,9,FALSE),"")</f>
        <v/>
      </c>
      <c r="J900" s="13" t="str">
        <f>IFERROR(VLOOKUP($A900,koronahun!$A:$AM,10,FALSE),"")</f>
        <v/>
      </c>
      <c r="K900" s="13" t="str">
        <f>IFERROR(VLOOKUP($A900,koronahun!$A:$AM,11,FALSE),"")</f>
        <v/>
      </c>
      <c r="L900" t="str">
        <f>IFERROR(VLOOKUP($A900,koronahun!$A:$AM,12,FALSE),"")</f>
        <v/>
      </c>
      <c r="M900" s="13" t="str">
        <f>IFERROR(VLOOKUP($A900,koronahun!$A:$AM,13,FALSE),"")</f>
        <v/>
      </c>
      <c r="N900" s="13" t="str">
        <f>IFERROR(VLOOKUP($A900,koronahun!$A:$AM,14,FALSE),"")</f>
        <v/>
      </c>
      <c r="O900" t="str">
        <f>IFERROR(VLOOKUP($A900,koronahun!$A:$AM,15,FALSE),"")</f>
        <v/>
      </c>
      <c r="P900" t="str">
        <f>IFERROR(VLOOKUP($A900,koronahun!$A:$AM,16,FALSE),"")</f>
        <v/>
      </c>
      <c r="Q900" s="13" t="str">
        <f>IFERROR(VLOOKUP($A900,koronahun!$A:$AM,17,FALSE),"")</f>
        <v/>
      </c>
      <c r="R900" t="str">
        <f>IFERROR(VLOOKUP($A900,koronahun!$A:$AM,18,FALSE),"")</f>
        <v/>
      </c>
      <c r="S900" t="str">
        <f>IFERROR(VLOOKUP($A900,koronahun!$A:$AM,19,FALSE),"")</f>
        <v/>
      </c>
      <c r="T900" t="str">
        <f>IFERROR(VLOOKUP($A900,koronahun!$A:$AM,20,FALSE),"")</f>
        <v/>
      </c>
      <c r="U900" t="str">
        <f>IFERROR(VLOOKUP($A900,koronahun!$A:$AM,21,FALSE),"")</f>
        <v/>
      </c>
      <c r="V900" s="13" t="str">
        <f>IFERROR(VLOOKUP($A900,koronahun!$A:$AM,22,FALSE),"")</f>
        <v/>
      </c>
      <c r="W900" t="str">
        <f>IFERROR(VLOOKUP($A900,koronahun!$A:$AM,23,FALSE),"")</f>
        <v/>
      </c>
      <c r="X900" t="str">
        <f>IFERROR(VLOOKUP($A900,koronahun!$A:$AM,24,FALSE),"")</f>
        <v/>
      </c>
      <c r="Y900" s="14" t="str">
        <f>IFERROR(VLOOKUP($A900,koronahun!$A:$AM,25,FALSE),"")</f>
        <v/>
      </c>
      <c r="Z900" s="14" t="str">
        <f>IFERROR(VLOOKUP($A900,koronahun!$A:$AM,26,FALSE),"")</f>
        <v/>
      </c>
      <c r="AA900" s="14" t="str">
        <f>IFERROR(VLOOKUP($A900,koronahun!$A:$AM,27,FALSE),"")</f>
        <v/>
      </c>
      <c r="AB900" s="14" t="str">
        <f>IFERROR(VLOOKUP($A900,koronahun!$A:$AM,28,FALSE),"")</f>
        <v/>
      </c>
      <c r="AC900" s="14" t="str">
        <f>IFERROR(VLOOKUP($A900,koronahun!$A:$AM,29,FALSE),"")</f>
        <v/>
      </c>
      <c r="AD900" s="14" t="str">
        <f>IFERROR(VLOOKUP($A900,koronahun!$A:$AM,30,FALSE),"")</f>
        <v/>
      </c>
      <c r="AE900" s="14" t="str">
        <f>IFERROR(VLOOKUP($A900,koronahun!$A:$AM,31,FALSE),"")</f>
        <v/>
      </c>
      <c r="AF900" s="13" t="str">
        <f>IFERROR(VLOOKUP($A900,koronahun!$A:$AM,32,FALSE),"")</f>
        <v/>
      </c>
      <c r="AG900" t="str">
        <f>IFERROR(VLOOKUP($A900,koronahun!$A:$AM,33,FALSE),"")</f>
        <v/>
      </c>
      <c r="AH900" t="str">
        <f>IFERROR(VLOOKUP($A900,koronahun!$A:$AM,34,FALSE),"")</f>
        <v/>
      </c>
      <c r="AI900" t="str">
        <f>IFERROR(VLOOKUP($A900,koronahun!$A:$AM,35,FALSE),"")</f>
        <v/>
      </c>
      <c r="AJ900" t="str">
        <f>IFERROR(VLOOKUP($A900,koronahun!$A:$AM,36,FALSE),"")</f>
        <v/>
      </c>
      <c r="AK900" t="str">
        <f>IFERROR(VLOOKUP($A900,koronahun!$A:$AM,37,FALSE),"")</f>
        <v/>
      </c>
      <c r="AL900" t="str">
        <f>IFERROR(VLOOKUP($A900,koronahun!$A:$AM,38,FALSE),"")</f>
        <v/>
      </c>
      <c r="AM900" s="14" t="str">
        <f>IFERROR(VLOOKUP($A900,koronahun!$A:$AM,39,FALSE),"")</f>
        <v/>
      </c>
      <c r="AN900" s="11">
        <f ca="1">IFERROR(__xludf.DUMMYFUNCTION("""COMPUTED_VALUE"""),44792)</f>
        <v>44792</v>
      </c>
      <c r="AO900" s="12">
        <f ca="1">IFERROR(VLOOKUP(AN900,koronahun!A:B,2,FALSE),"")</f>
        <v>0</v>
      </c>
      <c r="AP900" s="11">
        <f t="shared" ca="1" si="6"/>
        <v>44792</v>
      </c>
      <c r="AQ900" s="11"/>
      <c r="AR900" s="11"/>
      <c r="AS900" s="11"/>
      <c r="AT900" s="11"/>
    </row>
    <row r="901" spans="1:46" ht="13">
      <c r="A901" s="11"/>
      <c r="B901" t="str">
        <f>IFERROR(VLOOKUP($A901,koronahun!$A:$AM,2,FALSE),"")</f>
        <v/>
      </c>
      <c r="C901" t="str">
        <f>IFERROR(VLOOKUP($A901,koronahun!$A:$AM,3,FALSE),"")</f>
        <v/>
      </c>
      <c r="D901" t="str">
        <f>IFERROR(VLOOKUP($A901,koronahun!$A:$AM,4,FALSE),"")</f>
        <v/>
      </c>
      <c r="E901" t="str">
        <f>IFERROR(VLOOKUP($A901,koronahun!$A:$AM,5,FALSE),"")</f>
        <v/>
      </c>
      <c r="F901" t="str">
        <f>IFERROR(VLOOKUP($A901,koronahun!$A:$AM,6,FALSE),"")</f>
        <v/>
      </c>
      <c r="G901" s="12" t="str">
        <f>IFERROR(VLOOKUP($A901,koronahun!$A:$AM,7,FALSE),"")</f>
        <v/>
      </c>
      <c r="H901" t="str">
        <f>IFERROR(VLOOKUP($A901,koronahun!$A:$AM,8,FALSE),"")</f>
        <v/>
      </c>
      <c r="I901" s="13" t="str">
        <f>IFERROR(VLOOKUP($A901,koronahun!$A:$AM,9,FALSE),"")</f>
        <v/>
      </c>
      <c r="J901" s="13" t="str">
        <f>IFERROR(VLOOKUP($A901,koronahun!$A:$AM,10,FALSE),"")</f>
        <v/>
      </c>
      <c r="K901" s="13" t="str">
        <f>IFERROR(VLOOKUP($A901,koronahun!$A:$AM,11,FALSE),"")</f>
        <v/>
      </c>
      <c r="L901" t="str">
        <f>IFERROR(VLOOKUP($A901,koronahun!$A:$AM,12,FALSE),"")</f>
        <v/>
      </c>
      <c r="M901" s="13" t="str">
        <f>IFERROR(VLOOKUP($A901,koronahun!$A:$AM,13,FALSE),"")</f>
        <v/>
      </c>
      <c r="N901" s="13" t="str">
        <f>IFERROR(VLOOKUP($A901,koronahun!$A:$AM,14,FALSE),"")</f>
        <v/>
      </c>
      <c r="O901" t="str">
        <f>IFERROR(VLOOKUP($A901,koronahun!$A:$AM,15,FALSE),"")</f>
        <v/>
      </c>
      <c r="P901" t="str">
        <f>IFERROR(VLOOKUP($A901,koronahun!$A:$AM,16,FALSE),"")</f>
        <v/>
      </c>
      <c r="Q901" s="13" t="str">
        <f>IFERROR(VLOOKUP($A901,koronahun!$A:$AM,17,FALSE),"")</f>
        <v/>
      </c>
      <c r="R901" t="str">
        <f>IFERROR(VLOOKUP($A901,koronahun!$A:$AM,18,FALSE),"")</f>
        <v/>
      </c>
      <c r="S901" t="str">
        <f>IFERROR(VLOOKUP($A901,koronahun!$A:$AM,19,FALSE),"")</f>
        <v/>
      </c>
      <c r="T901" t="str">
        <f>IFERROR(VLOOKUP($A901,koronahun!$A:$AM,20,FALSE),"")</f>
        <v/>
      </c>
      <c r="U901" t="str">
        <f>IFERROR(VLOOKUP($A901,koronahun!$A:$AM,21,FALSE),"")</f>
        <v/>
      </c>
      <c r="V901" s="13" t="str">
        <f>IFERROR(VLOOKUP($A901,koronahun!$A:$AM,22,FALSE),"")</f>
        <v/>
      </c>
      <c r="W901" t="str">
        <f>IFERROR(VLOOKUP($A901,koronahun!$A:$AM,23,FALSE),"")</f>
        <v/>
      </c>
      <c r="X901" t="str">
        <f>IFERROR(VLOOKUP($A901,koronahun!$A:$AM,24,FALSE),"")</f>
        <v/>
      </c>
      <c r="Y901" s="14" t="str">
        <f>IFERROR(VLOOKUP($A901,koronahun!$A:$AM,25,FALSE),"")</f>
        <v/>
      </c>
      <c r="Z901" s="14" t="str">
        <f>IFERROR(VLOOKUP($A901,koronahun!$A:$AM,26,FALSE),"")</f>
        <v/>
      </c>
      <c r="AA901" s="14" t="str">
        <f>IFERROR(VLOOKUP($A901,koronahun!$A:$AM,27,FALSE),"")</f>
        <v/>
      </c>
      <c r="AB901" s="14" t="str">
        <f>IFERROR(VLOOKUP($A901,koronahun!$A:$AM,28,FALSE),"")</f>
        <v/>
      </c>
      <c r="AC901" s="14" t="str">
        <f>IFERROR(VLOOKUP($A901,koronahun!$A:$AM,29,FALSE),"")</f>
        <v/>
      </c>
      <c r="AD901" s="14" t="str">
        <f>IFERROR(VLOOKUP($A901,koronahun!$A:$AM,30,FALSE),"")</f>
        <v/>
      </c>
      <c r="AE901" s="14" t="str">
        <f>IFERROR(VLOOKUP($A901,koronahun!$A:$AM,31,FALSE),"")</f>
        <v/>
      </c>
      <c r="AF901" s="13" t="str">
        <f>IFERROR(VLOOKUP($A901,koronahun!$A:$AM,32,FALSE),"")</f>
        <v/>
      </c>
      <c r="AG901" t="str">
        <f>IFERROR(VLOOKUP($A901,koronahun!$A:$AM,33,FALSE),"")</f>
        <v/>
      </c>
      <c r="AH901" t="str">
        <f>IFERROR(VLOOKUP($A901,koronahun!$A:$AM,34,FALSE),"")</f>
        <v/>
      </c>
      <c r="AI901" t="str">
        <f>IFERROR(VLOOKUP($A901,koronahun!$A:$AM,35,FALSE),"")</f>
        <v/>
      </c>
      <c r="AJ901" t="str">
        <f>IFERROR(VLOOKUP($A901,koronahun!$A:$AM,36,FALSE),"")</f>
        <v/>
      </c>
      <c r="AK901" t="str">
        <f>IFERROR(VLOOKUP($A901,koronahun!$A:$AM,37,FALSE),"")</f>
        <v/>
      </c>
      <c r="AL901" t="str">
        <f>IFERROR(VLOOKUP($A901,koronahun!$A:$AM,38,FALSE),"")</f>
        <v/>
      </c>
      <c r="AM901" s="14" t="str">
        <f>IFERROR(VLOOKUP($A901,koronahun!$A:$AM,39,FALSE),"")</f>
        <v/>
      </c>
      <c r="AN901" s="11">
        <f ca="1">IFERROR(__xludf.DUMMYFUNCTION("""COMPUTED_VALUE"""),44793)</f>
        <v>44793</v>
      </c>
      <c r="AO901" s="12">
        <f ca="1">IFERROR(VLOOKUP(AN901,koronahun!A:B,2,FALSE),"")</f>
        <v>0</v>
      </c>
      <c r="AP901" s="11">
        <f t="shared" ca="1" si="6"/>
        <v>44793</v>
      </c>
      <c r="AQ901" s="11"/>
      <c r="AR901" s="11"/>
      <c r="AS901" s="11"/>
      <c r="AT901" s="11"/>
    </row>
    <row r="902" spans="1:46" ht="13">
      <c r="A902" s="11"/>
      <c r="B902" t="str">
        <f>IFERROR(VLOOKUP($A902,koronahun!$A:$AM,2,FALSE),"")</f>
        <v/>
      </c>
      <c r="C902" t="str">
        <f>IFERROR(VLOOKUP($A902,koronahun!$A:$AM,3,FALSE),"")</f>
        <v/>
      </c>
      <c r="D902" t="str">
        <f>IFERROR(VLOOKUP($A902,koronahun!$A:$AM,4,FALSE),"")</f>
        <v/>
      </c>
      <c r="E902" t="str">
        <f>IFERROR(VLOOKUP($A902,koronahun!$A:$AM,5,FALSE),"")</f>
        <v/>
      </c>
      <c r="F902" t="str">
        <f>IFERROR(VLOOKUP($A902,koronahun!$A:$AM,6,FALSE),"")</f>
        <v/>
      </c>
      <c r="G902" s="12" t="str">
        <f>IFERROR(VLOOKUP($A902,koronahun!$A:$AM,7,FALSE),"")</f>
        <v/>
      </c>
      <c r="H902" t="str">
        <f>IFERROR(VLOOKUP($A902,koronahun!$A:$AM,8,FALSE),"")</f>
        <v/>
      </c>
      <c r="I902" s="13" t="str">
        <f>IFERROR(VLOOKUP($A902,koronahun!$A:$AM,9,FALSE),"")</f>
        <v/>
      </c>
      <c r="J902" s="13" t="str">
        <f>IFERROR(VLOOKUP($A902,koronahun!$A:$AM,10,FALSE),"")</f>
        <v/>
      </c>
      <c r="K902" s="13" t="str">
        <f>IFERROR(VLOOKUP($A902,koronahun!$A:$AM,11,FALSE),"")</f>
        <v/>
      </c>
      <c r="L902" t="str">
        <f>IFERROR(VLOOKUP($A902,koronahun!$A:$AM,12,FALSE),"")</f>
        <v/>
      </c>
      <c r="M902" s="13" t="str">
        <f>IFERROR(VLOOKUP($A902,koronahun!$A:$AM,13,FALSE),"")</f>
        <v/>
      </c>
      <c r="N902" s="13" t="str">
        <f>IFERROR(VLOOKUP($A902,koronahun!$A:$AM,14,FALSE),"")</f>
        <v/>
      </c>
      <c r="O902" t="str">
        <f>IFERROR(VLOOKUP($A902,koronahun!$A:$AM,15,FALSE),"")</f>
        <v/>
      </c>
      <c r="P902" t="str">
        <f>IFERROR(VLOOKUP($A902,koronahun!$A:$AM,16,FALSE),"")</f>
        <v/>
      </c>
      <c r="Q902" s="13" t="str">
        <f>IFERROR(VLOOKUP($A902,koronahun!$A:$AM,17,FALSE),"")</f>
        <v/>
      </c>
      <c r="R902" t="str">
        <f>IFERROR(VLOOKUP($A902,koronahun!$A:$AM,18,FALSE),"")</f>
        <v/>
      </c>
      <c r="S902" t="str">
        <f>IFERROR(VLOOKUP($A902,koronahun!$A:$AM,19,FALSE),"")</f>
        <v/>
      </c>
      <c r="T902" t="str">
        <f>IFERROR(VLOOKUP($A902,koronahun!$A:$AM,20,FALSE),"")</f>
        <v/>
      </c>
      <c r="U902" t="str">
        <f>IFERROR(VLOOKUP($A902,koronahun!$A:$AM,21,FALSE),"")</f>
        <v/>
      </c>
      <c r="V902" s="13" t="str">
        <f>IFERROR(VLOOKUP($A902,koronahun!$A:$AM,22,FALSE),"")</f>
        <v/>
      </c>
      <c r="W902" t="str">
        <f>IFERROR(VLOOKUP($A902,koronahun!$A:$AM,23,FALSE),"")</f>
        <v/>
      </c>
      <c r="X902" t="str">
        <f>IFERROR(VLOOKUP($A902,koronahun!$A:$AM,24,FALSE),"")</f>
        <v/>
      </c>
      <c r="Y902" s="14" t="str">
        <f>IFERROR(VLOOKUP($A902,koronahun!$A:$AM,25,FALSE),"")</f>
        <v/>
      </c>
      <c r="Z902" s="14" t="str">
        <f>IFERROR(VLOOKUP($A902,koronahun!$A:$AM,26,FALSE),"")</f>
        <v/>
      </c>
      <c r="AA902" s="14" t="str">
        <f>IFERROR(VLOOKUP($A902,koronahun!$A:$AM,27,FALSE),"")</f>
        <v/>
      </c>
      <c r="AB902" s="14" t="str">
        <f>IFERROR(VLOOKUP($A902,koronahun!$A:$AM,28,FALSE),"")</f>
        <v/>
      </c>
      <c r="AC902" s="14" t="str">
        <f>IFERROR(VLOOKUP($A902,koronahun!$A:$AM,29,FALSE),"")</f>
        <v/>
      </c>
      <c r="AD902" s="14" t="str">
        <f>IFERROR(VLOOKUP($A902,koronahun!$A:$AM,30,FALSE),"")</f>
        <v/>
      </c>
      <c r="AE902" s="14" t="str">
        <f>IFERROR(VLOOKUP($A902,koronahun!$A:$AM,31,FALSE),"")</f>
        <v/>
      </c>
      <c r="AF902" s="13" t="str">
        <f>IFERROR(VLOOKUP($A902,koronahun!$A:$AM,32,FALSE),"")</f>
        <v/>
      </c>
      <c r="AG902" t="str">
        <f>IFERROR(VLOOKUP($A902,koronahun!$A:$AM,33,FALSE),"")</f>
        <v/>
      </c>
      <c r="AH902" t="str">
        <f>IFERROR(VLOOKUP($A902,koronahun!$A:$AM,34,FALSE),"")</f>
        <v/>
      </c>
      <c r="AI902" t="str">
        <f>IFERROR(VLOOKUP($A902,koronahun!$A:$AM,35,FALSE),"")</f>
        <v/>
      </c>
      <c r="AJ902" t="str">
        <f>IFERROR(VLOOKUP($A902,koronahun!$A:$AM,36,FALSE),"")</f>
        <v/>
      </c>
      <c r="AK902" t="str">
        <f>IFERROR(VLOOKUP($A902,koronahun!$A:$AM,37,FALSE),"")</f>
        <v/>
      </c>
      <c r="AL902" t="str">
        <f>IFERROR(VLOOKUP($A902,koronahun!$A:$AM,38,FALSE),"")</f>
        <v/>
      </c>
      <c r="AM902" s="14" t="str">
        <f>IFERROR(VLOOKUP($A902,koronahun!$A:$AM,39,FALSE),"")</f>
        <v/>
      </c>
      <c r="AN902" s="11">
        <f ca="1">IFERROR(__xludf.DUMMYFUNCTION("""COMPUTED_VALUE"""),44794)</f>
        <v>44794</v>
      </c>
      <c r="AO902" s="12">
        <f ca="1">IFERROR(VLOOKUP(AN902,koronahun!A:B,2,FALSE),"")</f>
        <v>0</v>
      </c>
      <c r="AP902" s="11">
        <f t="shared" ca="1" si="6"/>
        <v>44794</v>
      </c>
      <c r="AQ902" s="11"/>
      <c r="AR902" s="11"/>
      <c r="AS902" s="11"/>
      <c r="AT902" s="11"/>
    </row>
    <row r="903" spans="1:46" ht="13">
      <c r="A903" s="11"/>
      <c r="B903" t="str">
        <f>IFERROR(VLOOKUP($A903,koronahun!$A:$AM,2,FALSE),"")</f>
        <v/>
      </c>
      <c r="C903" t="str">
        <f>IFERROR(VLOOKUP($A903,koronahun!$A:$AM,3,FALSE),"")</f>
        <v/>
      </c>
      <c r="D903" t="str">
        <f>IFERROR(VLOOKUP($A903,koronahun!$A:$AM,4,FALSE),"")</f>
        <v/>
      </c>
      <c r="E903" t="str">
        <f>IFERROR(VLOOKUP($A903,koronahun!$A:$AM,5,FALSE),"")</f>
        <v/>
      </c>
      <c r="F903" t="str">
        <f>IFERROR(VLOOKUP($A903,koronahun!$A:$AM,6,FALSE),"")</f>
        <v/>
      </c>
      <c r="G903" s="12" t="str">
        <f>IFERROR(VLOOKUP($A903,koronahun!$A:$AM,7,FALSE),"")</f>
        <v/>
      </c>
      <c r="H903" t="str">
        <f>IFERROR(VLOOKUP($A903,koronahun!$A:$AM,8,FALSE),"")</f>
        <v/>
      </c>
      <c r="I903" s="13" t="str">
        <f>IFERROR(VLOOKUP($A903,koronahun!$A:$AM,9,FALSE),"")</f>
        <v/>
      </c>
      <c r="J903" s="13" t="str">
        <f>IFERROR(VLOOKUP($A903,koronahun!$A:$AM,10,FALSE),"")</f>
        <v/>
      </c>
      <c r="K903" s="13" t="str">
        <f>IFERROR(VLOOKUP($A903,koronahun!$A:$AM,11,FALSE),"")</f>
        <v/>
      </c>
      <c r="L903" t="str">
        <f>IFERROR(VLOOKUP($A903,koronahun!$A:$AM,12,FALSE),"")</f>
        <v/>
      </c>
      <c r="M903" s="13" t="str">
        <f>IFERROR(VLOOKUP($A903,koronahun!$A:$AM,13,FALSE),"")</f>
        <v/>
      </c>
      <c r="N903" s="13" t="str">
        <f>IFERROR(VLOOKUP($A903,koronahun!$A:$AM,14,FALSE),"")</f>
        <v/>
      </c>
      <c r="O903" t="str">
        <f>IFERROR(VLOOKUP($A903,koronahun!$A:$AM,15,FALSE),"")</f>
        <v/>
      </c>
      <c r="P903" t="str">
        <f>IFERROR(VLOOKUP($A903,koronahun!$A:$AM,16,FALSE),"")</f>
        <v/>
      </c>
      <c r="Q903" s="13" t="str">
        <f>IFERROR(VLOOKUP($A903,koronahun!$A:$AM,17,FALSE),"")</f>
        <v/>
      </c>
      <c r="R903" t="str">
        <f>IFERROR(VLOOKUP($A903,koronahun!$A:$AM,18,FALSE),"")</f>
        <v/>
      </c>
      <c r="S903" t="str">
        <f>IFERROR(VLOOKUP($A903,koronahun!$A:$AM,19,FALSE),"")</f>
        <v/>
      </c>
      <c r="T903" t="str">
        <f>IFERROR(VLOOKUP($A903,koronahun!$A:$AM,20,FALSE),"")</f>
        <v/>
      </c>
      <c r="U903" t="str">
        <f>IFERROR(VLOOKUP($A903,koronahun!$A:$AM,21,FALSE),"")</f>
        <v/>
      </c>
      <c r="V903" s="13" t="str">
        <f>IFERROR(VLOOKUP($A903,koronahun!$A:$AM,22,FALSE),"")</f>
        <v/>
      </c>
      <c r="W903" t="str">
        <f>IFERROR(VLOOKUP($A903,koronahun!$A:$AM,23,FALSE),"")</f>
        <v/>
      </c>
      <c r="X903" t="str">
        <f>IFERROR(VLOOKUP($A903,koronahun!$A:$AM,24,FALSE),"")</f>
        <v/>
      </c>
      <c r="Y903" s="14" t="str">
        <f>IFERROR(VLOOKUP($A903,koronahun!$A:$AM,25,FALSE),"")</f>
        <v/>
      </c>
      <c r="Z903" s="14" t="str">
        <f>IFERROR(VLOOKUP($A903,koronahun!$A:$AM,26,FALSE),"")</f>
        <v/>
      </c>
      <c r="AA903" s="14" t="str">
        <f>IFERROR(VLOOKUP($A903,koronahun!$A:$AM,27,FALSE),"")</f>
        <v/>
      </c>
      <c r="AB903" s="14" t="str">
        <f>IFERROR(VLOOKUP($A903,koronahun!$A:$AM,28,FALSE),"")</f>
        <v/>
      </c>
      <c r="AC903" s="14" t="str">
        <f>IFERROR(VLOOKUP($A903,koronahun!$A:$AM,29,FALSE),"")</f>
        <v/>
      </c>
      <c r="AD903" s="14" t="str">
        <f>IFERROR(VLOOKUP($A903,koronahun!$A:$AM,30,FALSE),"")</f>
        <v/>
      </c>
      <c r="AE903" s="14" t="str">
        <f>IFERROR(VLOOKUP($A903,koronahun!$A:$AM,31,FALSE),"")</f>
        <v/>
      </c>
      <c r="AF903" s="13" t="str">
        <f>IFERROR(VLOOKUP($A903,koronahun!$A:$AM,32,FALSE),"")</f>
        <v/>
      </c>
      <c r="AG903" t="str">
        <f>IFERROR(VLOOKUP($A903,koronahun!$A:$AM,33,FALSE),"")</f>
        <v/>
      </c>
      <c r="AH903" t="str">
        <f>IFERROR(VLOOKUP($A903,koronahun!$A:$AM,34,FALSE),"")</f>
        <v/>
      </c>
      <c r="AI903" t="str">
        <f>IFERROR(VLOOKUP($A903,koronahun!$A:$AM,35,FALSE),"")</f>
        <v/>
      </c>
      <c r="AJ903" t="str">
        <f>IFERROR(VLOOKUP($A903,koronahun!$A:$AM,36,FALSE),"")</f>
        <v/>
      </c>
      <c r="AK903" t="str">
        <f>IFERROR(VLOOKUP($A903,koronahun!$A:$AM,37,FALSE),"")</f>
        <v/>
      </c>
      <c r="AL903" t="str">
        <f>IFERROR(VLOOKUP($A903,koronahun!$A:$AM,38,FALSE),"")</f>
        <v/>
      </c>
      <c r="AM903" s="14" t="str">
        <f>IFERROR(VLOOKUP($A903,koronahun!$A:$AM,39,FALSE),"")</f>
        <v/>
      </c>
      <c r="AN903" s="11">
        <f ca="1">IFERROR(__xludf.DUMMYFUNCTION("""COMPUTED_VALUE"""),44795)</f>
        <v>44795</v>
      </c>
      <c r="AO903" s="12">
        <f ca="1">IFERROR(VLOOKUP(AN903,koronahun!A:B,2,FALSE),"")</f>
        <v>0</v>
      </c>
      <c r="AP903" s="11">
        <f t="shared" ca="1" si="6"/>
        <v>44795</v>
      </c>
      <c r="AQ903" s="11"/>
      <c r="AR903" s="11"/>
      <c r="AS903" s="11"/>
      <c r="AT903" s="11"/>
    </row>
    <row r="904" spans="1:46" ht="13">
      <c r="A904" s="11"/>
      <c r="B904" t="str">
        <f>IFERROR(VLOOKUP($A904,koronahun!$A:$AM,2,FALSE),"")</f>
        <v/>
      </c>
      <c r="C904" t="str">
        <f>IFERROR(VLOOKUP($A904,koronahun!$A:$AM,3,FALSE),"")</f>
        <v/>
      </c>
      <c r="D904" t="str">
        <f>IFERROR(VLOOKUP($A904,koronahun!$A:$AM,4,FALSE),"")</f>
        <v/>
      </c>
      <c r="E904" t="str">
        <f>IFERROR(VLOOKUP($A904,koronahun!$A:$AM,5,FALSE),"")</f>
        <v/>
      </c>
      <c r="F904" t="str">
        <f>IFERROR(VLOOKUP($A904,koronahun!$A:$AM,6,FALSE),"")</f>
        <v/>
      </c>
      <c r="G904" s="12" t="str">
        <f>IFERROR(VLOOKUP($A904,koronahun!$A:$AM,7,FALSE),"")</f>
        <v/>
      </c>
      <c r="H904" t="str">
        <f>IFERROR(VLOOKUP($A904,koronahun!$A:$AM,8,FALSE),"")</f>
        <v/>
      </c>
      <c r="I904" s="13" t="str">
        <f>IFERROR(VLOOKUP($A904,koronahun!$A:$AM,9,FALSE),"")</f>
        <v/>
      </c>
      <c r="J904" s="13" t="str">
        <f>IFERROR(VLOOKUP($A904,koronahun!$A:$AM,10,FALSE),"")</f>
        <v/>
      </c>
      <c r="K904" s="13" t="str">
        <f>IFERROR(VLOOKUP($A904,koronahun!$A:$AM,11,FALSE),"")</f>
        <v/>
      </c>
      <c r="L904" t="str">
        <f>IFERROR(VLOOKUP($A904,koronahun!$A:$AM,12,FALSE),"")</f>
        <v/>
      </c>
      <c r="M904" s="13" t="str">
        <f>IFERROR(VLOOKUP($A904,koronahun!$A:$AM,13,FALSE),"")</f>
        <v/>
      </c>
      <c r="N904" s="13" t="str">
        <f>IFERROR(VLOOKUP($A904,koronahun!$A:$AM,14,FALSE),"")</f>
        <v/>
      </c>
      <c r="O904" t="str">
        <f>IFERROR(VLOOKUP($A904,koronahun!$A:$AM,15,FALSE),"")</f>
        <v/>
      </c>
      <c r="P904" t="str">
        <f>IFERROR(VLOOKUP($A904,koronahun!$A:$AM,16,FALSE),"")</f>
        <v/>
      </c>
      <c r="Q904" s="13" t="str">
        <f>IFERROR(VLOOKUP($A904,koronahun!$A:$AM,17,FALSE),"")</f>
        <v/>
      </c>
      <c r="R904" t="str">
        <f>IFERROR(VLOOKUP($A904,koronahun!$A:$AM,18,FALSE),"")</f>
        <v/>
      </c>
      <c r="S904" t="str">
        <f>IFERROR(VLOOKUP($A904,koronahun!$A:$AM,19,FALSE),"")</f>
        <v/>
      </c>
      <c r="T904" t="str">
        <f>IFERROR(VLOOKUP($A904,koronahun!$A:$AM,20,FALSE),"")</f>
        <v/>
      </c>
      <c r="U904" t="str">
        <f>IFERROR(VLOOKUP($A904,koronahun!$A:$AM,21,FALSE),"")</f>
        <v/>
      </c>
      <c r="V904" s="13" t="str">
        <f>IFERROR(VLOOKUP($A904,koronahun!$A:$AM,22,FALSE),"")</f>
        <v/>
      </c>
      <c r="W904" t="str">
        <f>IFERROR(VLOOKUP($A904,koronahun!$A:$AM,23,FALSE),"")</f>
        <v/>
      </c>
      <c r="X904" t="str">
        <f>IFERROR(VLOOKUP($A904,koronahun!$A:$AM,24,FALSE),"")</f>
        <v/>
      </c>
      <c r="Y904" s="14" t="str">
        <f>IFERROR(VLOOKUP($A904,koronahun!$A:$AM,25,FALSE),"")</f>
        <v/>
      </c>
      <c r="Z904" s="14" t="str">
        <f>IFERROR(VLOOKUP($A904,koronahun!$A:$AM,26,FALSE),"")</f>
        <v/>
      </c>
      <c r="AA904" s="14" t="str">
        <f>IFERROR(VLOOKUP($A904,koronahun!$A:$AM,27,FALSE),"")</f>
        <v/>
      </c>
      <c r="AB904" s="14" t="str">
        <f>IFERROR(VLOOKUP($A904,koronahun!$A:$AM,28,FALSE),"")</f>
        <v/>
      </c>
      <c r="AC904" s="14" t="str">
        <f>IFERROR(VLOOKUP($A904,koronahun!$A:$AM,29,FALSE),"")</f>
        <v/>
      </c>
      <c r="AD904" s="14" t="str">
        <f>IFERROR(VLOOKUP($A904,koronahun!$A:$AM,30,FALSE),"")</f>
        <v/>
      </c>
      <c r="AE904" s="14" t="str">
        <f>IFERROR(VLOOKUP($A904,koronahun!$A:$AM,31,FALSE),"")</f>
        <v/>
      </c>
      <c r="AF904" s="13" t="str">
        <f>IFERROR(VLOOKUP($A904,koronahun!$A:$AM,32,FALSE),"")</f>
        <v/>
      </c>
      <c r="AG904" t="str">
        <f>IFERROR(VLOOKUP($A904,koronahun!$A:$AM,33,FALSE),"")</f>
        <v/>
      </c>
      <c r="AH904" t="str">
        <f>IFERROR(VLOOKUP($A904,koronahun!$A:$AM,34,FALSE),"")</f>
        <v/>
      </c>
      <c r="AI904" t="str">
        <f>IFERROR(VLOOKUP($A904,koronahun!$A:$AM,35,FALSE),"")</f>
        <v/>
      </c>
      <c r="AJ904" t="str">
        <f>IFERROR(VLOOKUP($A904,koronahun!$A:$AM,36,FALSE),"")</f>
        <v/>
      </c>
      <c r="AK904" t="str">
        <f>IFERROR(VLOOKUP($A904,koronahun!$A:$AM,37,FALSE),"")</f>
        <v/>
      </c>
      <c r="AL904" t="str">
        <f>IFERROR(VLOOKUP($A904,koronahun!$A:$AM,38,FALSE),"")</f>
        <v/>
      </c>
      <c r="AM904" s="14" t="str">
        <f>IFERROR(VLOOKUP($A904,koronahun!$A:$AM,39,FALSE),"")</f>
        <v/>
      </c>
      <c r="AN904" s="11">
        <f ca="1">IFERROR(__xludf.DUMMYFUNCTION("""COMPUTED_VALUE"""),44796)</f>
        <v>44796</v>
      </c>
      <c r="AO904" s="12">
        <f ca="1">IFERROR(VLOOKUP(AN904,koronahun!A:B,2,FALSE),"")</f>
        <v>0</v>
      </c>
      <c r="AP904" s="11">
        <f t="shared" ca="1" si="6"/>
        <v>44796</v>
      </c>
      <c r="AQ904" s="11"/>
      <c r="AR904" s="11"/>
      <c r="AS904" s="11"/>
      <c r="AT904" s="11"/>
    </row>
    <row r="905" spans="1:46" ht="13">
      <c r="A905" s="11"/>
      <c r="B905" t="str">
        <f>IFERROR(VLOOKUP($A905,koronahun!$A:$AM,2,FALSE),"")</f>
        <v/>
      </c>
      <c r="C905" t="str">
        <f>IFERROR(VLOOKUP($A905,koronahun!$A:$AM,3,FALSE),"")</f>
        <v/>
      </c>
      <c r="D905" t="str">
        <f>IFERROR(VLOOKUP($A905,koronahun!$A:$AM,4,FALSE),"")</f>
        <v/>
      </c>
      <c r="E905" t="str">
        <f>IFERROR(VLOOKUP($A905,koronahun!$A:$AM,5,FALSE),"")</f>
        <v/>
      </c>
      <c r="F905" t="str">
        <f>IFERROR(VLOOKUP($A905,koronahun!$A:$AM,6,FALSE),"")</f>
        <v/>
      </c>
      <c r="G905" s="12" t="str">
        <f>IFERROR(VLOOKUP($A905,koronahun!$A:$AM,7,FALSE),"")</f>
        <v/>
      </c>
      <c r="H905" t="str">
        <f>IFERROR(VLOOKUP($A905,koronahun!$A:$AM,8,FALSE),"")</f>
        <v/>
      </c>
      <c r="I905" s="13" t="str">
        <f>IFERROR(VLOOKUP($A905,koronahun!$A:$AM,9,FALSE),"")</f>
        <v/>
      </c>
      <c r="J905" s="13" t="str">
        <f>IFERROR(VLOOKUP($A905,koronahun!$A:$AM,10,FALSE),"")</f>
        <v/>
      </c>
      <c r="K905" s="13" t="str">
        <f>IFERROR(VLOOKUP($A905,koronahun!$A:$AM,11,FALSE),"")</f>
        <v/>
      </c>
      <c r="L905" t="str">
        <f>IFERROR(VLOOKUP($A905,koronahun!$A:$AM,12,FALSE),"")</f>
        <v/>
      </c>
      <c r="M905" s="13" t="str">
        <f>IFERROR(VLOOKUP($A905,koronahun!$A:$AM,13,FALSE),"")</f>
        <v/>
      </c>
      <c r="N905" s="13" t="str">
        <f>IFERROR(VLOOKUP($A905,koronahun!$A:$AM,14,FALSE),"")</f>
        <v/>
      </c>
      <c r="O905" t="str">
        <f>IFERROR(VLOOKUP($A905,koronahun!$A:$AM,15,FALSE),"")</f>
        <v/>
      </c>
      <c r="P905" t="str">
        <f>IFERROR(VLOOKUP($A905,koronahun!$A:$AM,16,FALSE),"")</f>
        <v/>
      </c>
      <c r="Q905" s="13" t="str">
        <f>IFERROR(VLOOKUP($A905,koronahun!$A:$AM,17,FALSE),"")</f>
        <v/>
      </c>
      <c r="R905" t="str">
        <f>IFERROR(VLOOKUP($A905,koronahun!$A:$AM,18,FALSE),"")</f>
        <v/>
      </c>
      <c r="S905" t="str">
        <f>IFERROR(VLOOKUP($A905,koronahun!$A:$AM,19,FALSE),"")</f>
        <v/>
      </c>
      <c r="T905" t="str">
        <f>IFERROR(VLOOKUP($A905,koronahun!$A:$AM,20,FALSE),"")</f>
        <v/>
      </c>
      <c r="U905" t="str">
        <f>IFERROR(VLOOKUP($A905,koronahun!$A:$AM,21,FALSE),"")</f>
        <v/>
      </c>
      <c r="V905" s="13" t="str">
        <f>IFERROR(VLOOKUP($A905,koronahun!$A:$AM,22,FALSE),"")</f>
        <v/>
      </c>
      <c r="W905" t="str">
        <f>IFERROR(VLOOKUP($A905,koronahun!$A:$AM,23,FALSE),"")</f>
        <v/>
      </c>
      <c r="X905" t="str">
        <f>IFERROR(VLOOKUP($A905,koronahun!$A:$AM,24,FALSE),"")</f>
        <v/>
      </c>
      <c r="Y905" s="14" t="str">
        <f>IFERROR(VLOOKUP($A905,koronahun!$A:$AM,25,FALSE),"")</f>
        <v/>
      </c>
      <c r="Z905" s="14" t="str">
        <f>IFERROR(VLOOKUP($A905,koronahun!$A:$AM,26,FALSE),"")</f>
        <v/>
      </c>
      <c r="AA905" s="14" t="str">
        <f>IFERROR(VLOOKUP($A905,koronahun!$A:$AM,27,FALSE),"")</f>
        <v/>
      </c>
      <c r="AB905" s="14" t="str">
        <f>IFERROR(VLOOKUP($A905,koronahun!$A:$AM,28,FALSE),"")</f>
        <v/>
      </c>
      <c r="AC905" s="14" t="str">
        <f>IFERROR(VLOOKUP($A905,koronahun!$A:$AM,29,FALSE),"")</f>
        <v/>
      </c>
      <c r="AD905" s="14" t="str">
        <f>IFERROR(VLOOKUP($A905,koronahun!$A:$AM,30,FALSE),"")</f>
        <v/>
      </c>
      <c r="AE905" s="14" t="str">
        <f>IFERROR(VLOOKUP($A905,koronahun!$A:$AM,31,FALSE),"")</f>
        <v/>
      </c>
      <c r="AF905" s="13" t="str">
        <f>IFERROR(VLOOKUP($A905,koronahun!$A:$AM,32,FALSE),"")</f>
        <v/>
      </c>
      <c r="AG905" t="str">
        <f>IFERROR(VLOOKUP($A905,koronahun!$A:$AM,33,FALSE),"")</f>
        <v/>
      </c>
      <c r="AH905" t="str">
        <f>IFERROR(VLOOKUP($A905,koronahun!$A:$AM,34,FALSE),"")</f>
        <v/>
      </c>
      <c r="AI905" t="str">
        <f>IFERROR(VLOOKUP($A905,koronahun!$A:$AM,35,FALSE),"")</f>
        <v/>
      </c>
      <c r="AJ905" t="str">
        <f>IFERROR(VLOOKUP($A905,koronahun!$A:$AM,36,FALSE),"")</f>
        <v/>
      </c>
      <c r="AK905" t="str">
        <f>IFERROR(VLOOKUP($A905,koronahun!$A:$AM,37,FALSE),"")</f>
        <v/>
      </c>
      <c r="AL905" t="str">
        <f>IFERROR(VLOOKUP($A905,koronahun!$A:$AM,38,FALSE),"")</f>
        <v/>
      </c>
      <c r="AM905" s="14" t="str">
        <f>IFERROR(VLOOKUP($A905,koronahun!$A:$AM,39,FALSE),"")</f>
        <v/>
      </c>
      <c r="AN905" s="11">
        <f ca="1">IFERROR(__xludf.DUMMYFUNCTION("""COMPUTED_VALUE"""),44797)</f>
        <v>44797</v>
      </c>
      <c r="AO905" s="12">
        <f ca="1">IFERROR(VLOOKUP(AN905,koronahun!A:B,2,FALSE),"")</f>
        <v>2036390</v>
      </c>
      <c r="AP905" s="11">
        <f t="shared" ca="1" si="6"/>
        <v>44797</v>
      </c>
      <c r="AQ905" s="11"/>
      <c r="AR905" s="11"/>
      <c r="AS905" s="11"/>
      <c r="AT905" s="11"/>
    </row>
    <row r="906" spans="1:46" ht="13">
      <c r="A906" s="11"/>
      <c r="B906" t="str">
        <f>IFERROR(VLOOKUP($A906,koronahun!$A:$AM,2,FALSE),"")</f>
        <v/>
      </c>
      <c r="C906" t="str">
        <f>IFERROR(VLOOKUP($A906,koronahun!$A:$AM,3,FALSE),"")</f>
        <v/>
      </c>
      <c r="D906" t="str">
        <f>IFERROR(VLOOKUP($A906,koronahun!$A:$AM,4,FALSE),"")</f>
        <v/>
      </c>
      <c r="E906" t="str">
        <f>IFERROR(VLOOKUP($A906,koronahun!$A:$AM,5,FALSE),"")</f>
        <v/>
      </c>
      <c r="F906" t="str">
        <f>IFERROR(VLOOKUP($A906,koronahun!$A:$AM,6,FALSE),"")</f>
        <v/>
      </c>
      <c r="G906" s="12" t="str">
        <f>IFERROR(VLOOKUP($A906,koronahun!$A:$AM,7,FALSE),"")</f>
        <v/>
      </c>
      <c r="H906" t="str">
        <f>IFERROR(VLOOKUP($A906,koronahun!$A:$AM,8,FALSE),"")</f>
        <v/>
      </c>
      <c r="I906" s="13" t="str">
        <f>IFERROR(VLOOKUP($A906,koronahun!$A:$AM,9,FALSE),"")</f>
        <v/>
      </c>
      <c r="J906" s="13" t="str">
        <f>IFERROR(VLOOKUP($A906,koronahun!$A:$AM,10,FALSE),"")</f>
        <v/>
      </c>
      <c r="K906" s="13" t="str">
        <f>IFERROR(VLOOKUP($A906,koronahun!$A:$AM,11,FALSE),"")</f>
        <v/>
      </c>
      <c r="L906" t="str">
        <f>IFERROR(VLOOKUP($A906,koronahun!$A:$AM,12,FALSE),"")</f>
        <v/>
      </c>
      <c r="M906" s="13" t="str">
        <f>IFERROR(VLOOKUP($A906,koronahun!$A:$AM,13,FALSE),"")</f>
        <v/>
      </c>
      <c r="N906" s="13" t="str">
        <f>IFERROR(VLOOKUP($A906,koronahun!$A:$AM,14,FALSE),"")</f>
        <v/>
      </c>
      <c r="O906" t="str">
        <f>IFERROR(VLOOKUP($A906,koronahun!$A:$AM,15,FALSE),"")</f>
        <v/>
      </c>
      <c r="P906" t="str">
        <f>IFERROR(VLOOKUP($A906,koronahun!$A:$AM,16,FALSE),"")</f>
        <v/>
      </c>
      <c r="Q906" s="13" t="str">
        <f>IFERROR(VLOOKUP($A906,koronahun!$A:$AM,17,FALSE),"")</f>
        <v/>
      </c>
      <c r="R906" t="str">
        <f>IFERROR(VLOOKUP($A906,koronahun!$A:$AM,18,FALSE),"")</f>
        <v/>
      </c>
      <c r="S906" t="str">
        <f>IFERROR(VLOOKUP($A906,koronahun!$A:$AM,19,FALSE),"")</f>
        <v/>
      </c>
      <c r="T906" t="str">
        <f>IFERROR(VLOOKUP($A906,koronahun!$A:$AM,20,FALSE),"")</f>
        <v/>
      </c>
      <c r="U906" t="str">
        <f>IFERROR(VLOOKUP($A906,koronahun!$A:$AM,21,FALSE),"")</f>
        <v/>
      </c>
      <c r="V906" s="13" t="str">
        <f>IFERROR(VLOOKUP($A906,koronahun!$A:$AM,22,FALSE),"")</f>
        <v/>
      </c>
      <c r="W906" t="str">
        <f>IFERROR(VLOOKUP($A906,koronahun!$A:$AM,23,FALSE),"")</f>
        <v/>
      </c>
      <c r="X906" t="str">
        <f>IFERROR(VLOOKUP($A906,koronahun!$A:$AM,24,FALSE),"")</f>
        <v/>
      </c>
      <c r="Y906" s="14" t="str">
        <f>IFERROR(VLOOKUP($A906,koronahun!$A:$AM,25,FALSE),"")</f>
        <v/>
      </c>
      <c r="Z906" s="14" t="str">
        <f>IFERROR(VLOOKUP($A906,koronahun!$A:$AM,26,FALSE),"")</f>
        <v/>
      </c>
      <c r="AA906" s="14" t="str">
        <f>IFERROR(VLOOKUP($A906,koronahun!$A:$AM,27,FALSE),"")</f>
        <v/>
      </c>
      <c r="AB906" s="14" t="str">
        <f>IFERROR(VLOOKUP($A906,koronahun!$A:$AM,28,FALSE),"")</f>
        <v/>
      </c>
      <c r="AC906" s="14" t="str">
        <f>IFERROR(VLOOKUP($A906,koronahun!$A:$AM,29,FALSE),"")</f>
        <v/>
      </c>
      <c r="AD906" s="14" t="str">
        <f>IFERROR(VLOOKUP($A906,koronahun!$A:$AM,30,FALSE),"")</f>
        <v/>
      </c>
      <c r="AE906" s="14" t="str">
        <f>IFERROR(VLOOKUP($A906,koronahun!$A:$AM,31,FALSE),"")</f>
        <v/>
      </c>
      <c r="AF906" s="13" t="str">
        <f>IFERROR(VLOOKUP($A906,koronahun!$A:$AM,32,FALSE),"")</f>
        <v/>
      </c>
      <c r="AG906" t="str">
        <f>IFERROR(VLOOKUP($A906,koronahun!$A:$AM,33,FALSE),"")</f>
        <v/>
      </c>
      <c r="AH906" t="str">
        <f>IFERROR(VLOOKUP($A906,koronahun!$A:$AM,34,FALSE),"")</f>
        <v/>
      </c>
      <c r="AI906" t="str">
        <f>IFERROR(VLOOKUP($A906,koronahun!$A:$AM,35,FALSE),"")</f>
        <v/>
      </c>
      <c r="AJ906" t="str">
        <f>IFERROR(VLOOKUP($A906,koronahun!$A:$AM,36,FALSE),"")</f>
        <v/>
      </c>
      <c r="AK906" t="str">
        <f>IFERROR(VLOOKUP($A906,koronahun!$A:$AM,37,FALSE),"")</f>
        <v/>
      </c>
      <c r="AL906" t="str">
        <f>IFERROR(VLOOKUP($A906,koronahun!$A:$AM,38,FALSE),"")</f>
        <v/>
      </c>
      <c r="AM906" s="14" t="str">
        <f>IFERROR(VLOOKUP($A906,koronahun!$A:$AM,39,FALSE),"")</f>
        <v/>
      </c>
      <c r="AN906" s="11">
        <f ca="1">IFERROR(__xludf.DUMMYFUNCTION("""COMPUTED_VALUE"""),44798)</f>
        <v>44798</v>
      </c>
      <c r="AO906" s="12">
        <f ca="1">IFERROR(VLOOKUP(AN906,koronahun!A:B,2,FALSE),"")</f>
        <v>0</v>
      </c>
      <c r="AP906" s="11">
        <f t="shared" ca="1" si="6"/>
        <v>44798</v>
      </c>
      <c r="AQ906" s="11"/>
      <c r="AR906" s="11"/>
      <c r="AS906" s="11"/>
      <c r="AT906" s="11"/>
    </row>
    <row r="907" spans="1:46" ht="13">
      <c r="A907" s="11"/>
      <c r="B907" t="str">
        <f>IFERROR(VLOOKUP($A907,koronahun!$A:$AM,2,FALSE),"")</f>
        <v/>
      </c>
      <c r="C907" t="str">
        <f>IFERROR(VLOOKUP($A907,koronahun!$A:$AM,3,FALSE),"")</f>
        <v/>
      </c>
      <c r="D907" t="str">
        <f>IFERROR(VLOOKUP($A907,koronahun!$A:$AM,4,FALSE),"")</f>
        <v/>
      </c>
      <c r="E907" t="str">
        <f>IFERROR(VLOOKUP($A907,koronahun!$A:$AM,5,FALSE),"")</f>
        <v/>
      </c>
      <c r="F907" t="str">
        <f>IFERROR(VLOOKUP($A907,koronahun!$A:$AM,6,FALSE),"")</f>
        <v/>
      </c>
      <c r="G907" s="12" t="str">
        <f>IFERROR(VLOOKUP($A907,koronahun!$A:$AM,7,FALSE),"")</f>
        <v/>
      </c>
      <c r="H907" t="str">
        <f>IFERROR(VLOOKUP($A907,koronahun!$A:$AM,8,FALSE),"")</f>
        <v/>
      </c>
      <c r="I907" s="13" t="str">
        <f>IFERROR(VLOOKUP($A907,koronahun!$A:$AM,9,FALSE),"")</f>
        <v/>
      </c>
      <c r="J907" s="13" t="str">
        <f>IFERROR(VLOOKUP($A907,koronahun!$A:$AM,10,FALSE),"")</f>
        <v/>
      </c>
      <c r="K907" s="13" t="str">
        <f>IFERROR(VLOOKUP($A907,koronahun!$A:$AM,11,FALSE),"")</f>
        <v/>
      </c>
      <c r="L907" t="str">
        <f>IFERROR(VLOOKUP($A907,koronahun!$A:$AM,12,FALSE),"")</f>
        <v/>
      </c>
      <c r="M907" s="13" t="str">
        <f>IFERROR(VLOOKUP($A907,koronahun!$A:$AM,13,FALSE),"")</f>
        <v/>
      </c>
      <c r="N907" s="13" t="str">
        <f>IFERROR(VLOOKUP($A907,koronahun!$A:$AM,14,FALSE),"")</f>
        <v/>
      </c>
      <c r="O907" t="str">
        <f>IFERROR(VLOOKUP($A907,koronahun!$A:$AM,15,FALSE),"")</f>
        <v/>
      </c>
      <c r="P907" t="str">
        <f>IFERROR(VLOOKUP($A907,koronahun!$A:$AM,16,FALSE),"")</f>
        <v/>
      </c>
      <c r="Q907" s="13" t="str">
        <f>IFERROR(VLOOKUP($A907,koronahun!$A:$AM,17,FALSE),"")</f>
        <v/>
      </c>
      <c r="R907" t="str">
        <f>IFERROR(VLOOKUP($A907,koronahun!$A:$AM,18,FALSE),"")</f>
        <v/>
      </c>
      <c r="S907" t="str">
        <f>IFERROR(VLOOKUP($A907,koronahun!$A:$AM,19,FALSE),"")</f>
        <v/>
      </c>
      <c r="T907" t="str">
        <f>IFERROR(VLOOKUP($A907,koronahun!$A:$AM,20,FALSE),"")</f>
        <v/>
      </c>
      <c r="U907" t="str">
        <f>IFERROR(VLOOKUP($A907,koronahun!$A:$AM,21,FALSE),"")</f>
        <v/>
      </c>
      <c r="V907" s="13" t="str">
        <f>IFERROR(VLOOKUP($A907,koronahun!$A:$AM,22,FALSE),"")</f>
        <v/>
      </c>
      <c r="W907" t="str">
        <f>IFERROR(VLOOKUP($A907,koronahun!$A:$AM,23,FALSE),"")</f>
        <v/>
      </c>
      <c r="X907" t="str">
        <f>IFERROR(VLOOKUP($A907,koronahun!$A:$AM,24,FALSE),"")</f>
        <v/>
      </c>
      <c r="Y907" s="14" t="str">
        <f>IFERROR(VLOOKUP($A907,koronahun!$A:$AM,25,FALSE),"")</f>
        <v/>
      </c>
      <c r="Z907" s="14" t="str">
        <f>IFERROR(VLOOKUP($A907,koronahun!$A:$AM,26,FALSE),"")</f>
        <v/>
      </c>
      <c r="AA907" s="14" t="str">
        <f>IFERROR(VLOOKUP($A907,koronahun!$A:$AM,27,FALSE),"")</f>
        <v/>
      </c>
      <c r="AB907" s="14" t="str">
        <f>IFERROR(VLOOKUP($A907,koronahun!$A:$AM,28,FALSE),"")</f>
        <v/>
      </c>
      <c r="AC907" s="14" t="str">
        <f>IFERROR(VLOOKUP($A907,koronahun!$A:$AM,29,FALSE),"")</f>
        <v/>
      </c>
      <c r="AD907" s="14" t="str">
        <f>IFERROR(VLOOKUP($A907,koronahun!$A:$AM,30,FALSE),"")</f>
        <v/>
      </c>
      <c r="AE907" s="14" t="str">
        <f>IFERROR(VLOOKUP($A907,koronahun!$A:$AM,31,FALSE),"")</f>
        <v/>
      </c>
      <c r="AF907" s="13" t="str">
        <f>IFERROR(VLOOKUP($A907,koronahun!$A:$AM,32,FALSE),"")</f>
        <v/>
      </c>
      <c r="AG907" t="str">
        <f>IFERROR(VLOOKUP($A907,koronahun!$A:$AM,33,FALSE),"")</f>
        <v/>
      </c>
      <c r="AH907" t="str">
        <f>IFERROR(VLOOKUP($A907,koronahun!$A:$AM,34,FALSE),"")</f>
        <v/>
      </c>
      <c r="AI907" t="str">
        <f>IFERROR(VLOOKUP($A907,koronahun!$A:$AM,35,FALSE),"")</f>
        <v/>
      </c>
      <c r="AJ907" t="str">
        <f>IFERROR(VLOOKUP($A907,koronahun!$A:$AM,36,FALSE),"")</f>
        <v/>
      </c>
      <c r="AK907" t="str">
        <f>IFERROR(VLOOKUP($A907,koronahun!$A:$AM,37,FALSE),"")</f>
        <v/>
      </c>
      <c r="AL907" t="str">
        <f>IFERROR(VLOOKUP($A907,koronahun!$A:$AM,38,FALSE),"")</f>
        <v/>
      </c>
      <c r="AM907" s="14" t="str">
        <f>IFERROR(VLOOKUP($A907,koronahun!$A:$AM,39,FALSE),"")</f>
        <v/>
      </c>
      <c r="AN907" s="11">
        <f ca="1">IFERROR(__xludf.DUMMYFUNCTION("""COMPUTED_VALUE"""),44799)</f>
        <v>44799</v>
      </c>
      <c r="AO907" s="12">
        <f ca="1">IFERROR(VLOOKUP(AN907,koronahun!A:B,2,FALSE),"")</f>
        <v>0</v>
      </c>
      <c r="AP907" s="11">
        <f t="shared" ca="1" si="6"/>
        <v>44799</v>
      </c>
      <c r="AQ907" s="11"/>
      <c r="AR907" s="11"/>
      <c r="AS907" s="11"/>
      <c r="AT907" s="11"/>
    </row>
    <row r="908" spans="1:46" ht="13">
      <c r="A908" s="11"/>
      <c r="B908" t="str">
        <f>IFERROR(VLOOKUP($A908,koronahun!$A:$AM,2,FALSE),"")</f>
        <v/>
      </c>
      <c r="C908" t="str">
        <f>IFERROR(VLOOKUP($A908,koronahun!$A:$AM,3,FALSE),"")</f>
        <v/>
      </c>
      <c r="D908" t="str">
        <f>IFERROR(VLOOKUP($A908,koronahun!$A:$AM,4,FALSE),"")</f>
        <v/>
      </c>
      <c r="E908" t="str">
        <f>IFERROR(VLOOKUP($A908,koronahun!$A:$AM,5,FALSE),"")</f>
        <v/>
      </c>
      <c r="F908" t="str">
        <f>IFERROR(VLOOKUP($A908,koronahun!$A:$AM,6,FALSE),"")</f>
        <v/>
      </c>
      <c r="G908" s="12" t="str">
        <f>IFERROR(VLOOKUP($A908,koronahun!$A:$AM,7,FALSE),"")</f>
        <v/>
      </c>
      <c r="H908" t="str">
        <f>IFERROR(VLOOKUP($A908,koronahun!$A:$AM,8,FALSE),"")</f>
        <v/>
      </c>
      <c r="I908" s="13" t="str">
        <f>IFERROR(VLOOKUP($A908,koronahun!$A:$AM,9,FALSE),"")</f>
        <v/>
      </c>
      <c r="J908" s="13" t="str">
        <f>IFERROR(VLOOKUP($A908,koronahun!$A:$AM,10,FALSE),"")</f>
        <v/>
      </c>
      <c r="K908" s="13" t="str">
        <f>IFERROR(VLOOKUP($A908,koronahun!$A:$AM,11,FALSE),"")</f>
        <v/>
      </c>
      <c r="L908" t="str">
        <f>IFERROR(VLOOKUP($A908,koronahun!$A:$AM,12,FALSE),"")</f>
        <v/>
      </c>
      <c r="M908" s="13" t="str">
        <f>IFERROR(VLOOKUP($A908,koronahun!$A:$AM,13,FALSE),"")</f>
        <v/>
      </c>
      <c r="N908" s="13" t="str">
        <f>IFERROR(VLOOKUP($A908,koronahun!$A:$AM,14,FALSE),"")</f>
        <v/>
      </c>
      <c r="O908" t="str">
        <f>IFERROR(VLOOKUP($A908,koronahun!$A:$AM,15,FALSE),"")</f>
        <v/>
      </c>
      <c r="P908" t="str">
        <f>IFERROR(VLOOKUP($A908,koronahun!$A:$AM,16,FALSE),"")</f>
        <v/>
      </c>
      <c r="Q908" s="13" t="str">
        <f>IFERROR(VLOOKUP($A908,koronahun!$A:$AM,17,FALSE),"")</f>
        <v/>
      </c>
      <c r="R908" t="str">
        <f>IFERROR(VLOOKUP($A908,koronahun!$A:$AM,18,FALSE),"")</f>
        <v/>
      </c>
      <c r="S908" t="str">
        <f>IFERROR(VLOOKUP($A908,koronahun!$A:$AM,19,FALSE),"")</f>
        <v/>
      </c>
      <c r="T908" t="str">
        <f>IFERROR(VLOOKUP($A908,koronahun!$A:$AM,20,FALSE),"")</f>
        <v/>
      </c>
      <c r="U908" t="str">
        <f>IFERROR(VLOOKUP($A908,koronahun!$A:$AM,21,FALSE),"")</f>
        <v/>
      </c>
      <c r="V908" s="13" t="str">
        <f>IFERROR(VLOOKUP($A908,koronahun!$A:$AM,22,FALSE),"")</f>
        <v/>
      </c>
      <c r="W908" t="str">
        <f>IFERROR(VLOOKUP($A908,koronahun!$A:$AM,23,FALSE),"")</f>
        <v/>
      </c>
      <c r="X908" t="str">
        <f>IFERROR(VLOOKUP($A908,koronahun!$A:$AM,24,FALSE),"")</f>
        <v/>
      </c>
      <c r="Y908" s="14" t="str">
        <f>IFERROR(VLOOKUP($A908,koronahun!$A:$AM,25,FALSE),"")</f>
        <v/>
      </c>
      <c r="Z908" s="14" t="str">
        <f>IFERROR(VLOOKUP($A908,koronahun!$A:$AM,26,FALSE),"")</f>
        <v/>
      </c>
      <c r="AA908" s="14" t="str">
        <f>IFERROR(VLOOKUP($A908,koronahun!$A:$AM,27,FALSE),"")</f>
        <v/>
      </c>
      <c r="AB908" s="14" t="str">
        <f>IFERROR(VLOOKUP($A908,koronahun!$A:$AM,28,FALSE),"")</f>
        <v/>
      </c>
      <c r="AC908" s="14" t="str">
        <f>IFERROR(VLOOKUP($A908,koronahun!$A:$AM,29,FALSE),"")</f>
        <v/>
      </c>
      <c r="AD908" s="14" t="str">
        <f>IFERROR(VLOOKUP($A908,koronahun!$A:$AM,30,FALSE),"")</f>
        <v/>
      </c>
      <c r="AE908" s="14" t="str">
        <f>IFERROR(VLOOKUP($A908,koronahun!$A:$AM,31,FALSE),"")</f>
        <v/>
      </c>
      <c r="AF908" s="13" t="str">
        <f>IFERROR(VLOOKUP($A908,koronahun!$A:$AM,32,FALSE),"")</f>
        <v/>
      </c>
      <c r="AG908" t="str">
        <f>IFERROR(VLOOKUP($A908,koronahun!$A:$AM,33,FALSE),"")</f>
        <v/>
      </c>
      <c r="AH908" t="str">
        <f>IFERROR(VLOOKUP($A908,koronahun!$A:$AM,34,FALSE),"")</f>
        <v/>
      </c>
      <c r="AI908" t="str">
        <f>IFERROR(VLOOKUP($A908,koronahun!$A:$AM,35,FALSE),"")</f>
        <v/>
      </c>
      <c r="AJ908" t="str">
        <f>IFERROR(VLOOKUP($A908,koronahun!$A:$AM,36,FALSE),"")</f>
        <v/>
      </c>
      <c r="AK908" t="str">
        <f>IFERROR(VLOOKUP($A908,koronahun!$A:$AM,37,FALSE),"")</f>
        <v/>
      </c>
      <c r="AL908" t="str">
        <f>IFERROR(VLOOKUP($A908,koronahun!$A:$AM,38,FALSE),"")</f>
        <v/>
      </c>
      <c r="AM908" s="14" t="str">
        <f>IFERROR(VLOOKUP($A908,koronahun!$A:$AM,39,FALSE),"")</f>
        <v/>
      </c>
      <c r="AN908" s="11">
        <f ca="1">IFERROR(__xludf.DUMMYFUNCTION("""COMPUTED_VALUE"""),44800)</f>
        <v>44800</v>
      </c>
      <c r="AO908" s="12">
        <f ca="1">IFERROR(VLOOKUP(AN908,koronahun!A:B,2,FALSE),"")</f>
        <v>0</v>
      </c>
      <c r="AP908" s="11">
        <f t="shared" ca="1" si="6"/>
        <v>44800</v>
      </c>
      <c r="AQ908" s="11"/>
      <c r="AR908" s="11"/>
      <c r="AS908" s="11"/>
      <c r="AT908" s="11"/>
    </row>
    <row r="909" spans="1:46" ht="13">
      <c r="A909" s="11"/>
      <c r="B909" t="str">
        <f>IFERROR(VLOOKUP($A909,koronahun!$A:$AM,2,FALSE),"")</f>
        <v/>
      </c>
      <c r="C909" t="str">
        <f>IFERROR(VLOOKUP($A909,koronahun!$A:$AM,3,FALSE),"")</f>
        <v/>
      </c>
      <c r="D909" t="str">
        <f>IFERROR(VLOOKUP($A909,koronahun!$A:$AM,4,FALSE),"")</f>
        <v/>
      </c>
      <c r="E909" t="str">
        <f>IFERROR(VLOOKUP($A909,koronahun!$A:$AM,5,FALSE),"")</f>
        <v/>
      </c>
      <c r="F909" t="str">
        <f>IFERROR(VLOOKUP($A909,koronahun!$A:$AM,6,FALSE),"")</f>
        <v/>
      </c>
      <c r="G909" s="12" t="str">
        <f>IFERROR(VLOOKUP($A909,koronahun!$A:$AM,7,FALSE),"")</f>
        <v/>
      </c>
      <c r="H909" t="str">
        <f>IFERROR(VLOOKUP($A909,koronahun!$A:$AM,8,FALSE),"")</f>
        <v/>
      </c>
      <c r="I909" s="13" t="str">
        <f>IFERROR(VLOOKUP($A909,koronahun!$A:$AM,9,FALSE),"")</f>
        <v/>
      </c>
      <c r="J909" s="13" t="str">
        <f>IFERROR(VLOOKUP($A909,koronahun!$A:$AM,10,FALSE),"")</f>
        <v/>
      </c>
      <c r="K909" s="13" t="str">
        <f>IFERROR(VLOOKUP($A909,koronahun!$A:$AM,11,FALSE),"")</f>
        <v/>
      </c>
      <c r="L909" t="str">
        <f>IFERROR(VLOOKUP($A909,koronahun!$A:$AM,12,FALSE),"")</f>
        <v/>
      </c>
      <c r="M909" s="13" t="str">
        <f>IFERROR(VLOOKUP($A909,koronahun!$A:$AM,13,FALSE),"")</f>
        <v/>
      </c>
      <c r="N909" s="13" t="str">
        <f>IFERROR(VLOOKUP($A909,koronahun!$A:$AM,14,FALSE),"")</f>
        <v/>
      </c>
      <c r="O909" t="str">
        <f>IFERROR(VLOOKUP($A909,koronahun!$A:$AM,15,FALSE),"")</f>
        <v/>
      </c>
      <c r="P909" t="str">
        <f>IFERROR(VLOOKUP($A909,koronahun!$A:$AM,16,FALSE),"")</f>
        <v/>
      </c>
      <c r="Q909" s="13" t="str">
        <f>IFERROR(VLOOKUP($A909,koronahun!$A:$AM,17,FALSE),"")</f>
        <v/>
      </c>
      <c r="R909" t="str">
        <f>IFERROR(VLOOKUP($A909,koronahun!$A:$AM,18,FALSE),"")</f>
        <v/>
      </c>
      <c r="S909" t="str">
        <f>IFERROR(VLOOKUP($A909,koronahun!$A:$AM,19,FALSE),"")</f>
        <v/>
      </c>
      <c r="T909" t="str">
        <f>IFERROR(VLOOKUP($A909,koronahun!$A:$AM,20,FALSE),"")</f>
        <v/>
      </c>
      <c r="U909" t="str">
        <f>IFERROR(VLOOKUP($A909,koronahun!$A:$AM,21,FALSE),"")</f>
        <v/>
      </c>
      <c r="V909" s="13" t="str">
        <f>IFERROR(VLOOKUP($A909,koronahun!$A:$AM,22,FALSE),"")</f>
        <v/>
      </c>
      <c r="W909" t="str">
        <f>IFERROR(VLOOKUP($A909,koronahun!$A:$AM,23,FALSE),"")</f>
        <v/>
      </c>
      <c r="X909" t="str">
        <f>IFERROR(VLOOKUP($A909,koronahun!$A:$AM,24,FALSE),"")</f>
        <v/>
      </c>
      <c r="Y909" s="14" t="str">
        <f>IFERROR(VLOOKUP($A909,koronahun!$A:$AM,25,FALSE),"")</f>
        <v/>
      </c>
      <c r="Z909" s="14" t="str">
        <f>IFERROR(VLOOKUP($A909,koronahun!$A:$AM,26,FALSE),"")</f>
        <v/>
      </c>
      <c r="AA909" s="14" t="str">
        <f>IFERROR(VLOOKUP($A909,koronahun!$A:$AM,27,FALSE),"")</f>
        <v/>
      </c>
      <c r="AB909" s="14" t="str">
        <f>IFERROR(VLOOKUP($A909,koronahun!$A:$AM,28,FALSE),"")</f>
        <v/>
      </c>
      <c r="AC909" s="14" t="str">
        <f>IFERROR(VLOOKUP($A909,koronahun!$A:$AM,29,FALSE),"")</f>
        <v/>
      </c>
      <c r="AD909" s="14" t="str">
        <f>IFERROR(VLOOKUP($A909,koronahun!$A:$AM,30,FALSE),"")</f>
        <v/>
      </c>
      <c r="AE909" s="14" t="str">
        <f>IFERROR(VLOOKUP($A909,koronahun!$A:$AM,31,FALSE),"")</f>
        <v/>
      </c>
      <c r="AF909" s="13" t="str">
        <f>IFERROR(VLOOKUP($A909,koronahun!$A:$AM,32,FALSE),"")</f>
        <v/>
      </c>
      <c r="AG909" t="str">
        <f>IFERROR(VLOOKUP($A909,koronahun!$A:$AM,33,FALSE),"")</f>
        <v/>
      </c>
      <c r="AH909" t="str">
        <f>IFERROR(VLOOKUP($A909,koronahun!$A:$AM,34,FALSE),"")</f>
        <v/>
      </c>
      <c r="AI909" t="str">
        <f>IFERROR(VLOOKUP($A909,koronahun!$A:$AM,35,FALSE),"")</f>
        <v/>
      </c>
      <c r="AJ909" t="str">
        <f>IFERROR(VLOOKUP($A909,koronahun!$A:$AM,36,FALSE),"")</f>
        <v/>
      </c>
      <c r="AK909" t="str">
        <f>IFERROR(VLOOKUP($A909,koronahun!$A:$AM,37,FALSE),"")</f>
        <v/>
      </c>
      <c r="AL909" t="str">
        <f>IFERROR(VLOOKUP($A909,koronahun!$A:$AM,38,FALSE),"")</f>
        <v/>
      </c>
      <c r="AM909" s="14" t="str">
        <f>IFERROR(VLOOKUP($A909,koronahun!$A:$AM,39,FALSE),"")</f>
        <v/>
      </c>
      <c r="AN909" s="11">
        <f ca="1">IFERROR(__xludf.DUMMYFUNCTION("""COMPUTED_VALUE"""),44801)</f>
        <v>44801</v>
      </c>
      <c r="AO909" s="12">
        <f ca="1">IFERROR(VLOOKUP(AN909,koronahun!A:B,2,FALSE),"")</f>
        <v>0</v>
      </c>
      <c r="AP909" s="11">
        <f t="shared" ca="1" si="6"/>
        <v>44801</v>
      </c>
      <c r="AQ909" s="11"/>
      <c r="AR909" s="11"/>
      <c r="AS909" s="11"/>
      <c r="AT909" s="11"/>
    </row>
    <row r="910" spans="1:46" ht="13">
      <c r="A910" s="11"/>
      <c r="B910" t="str">
        <f>IFERROR(VLOOKUP($A910,koronahun!$A:$AM,2,FALSE),"")</f>
        <v/>
      </c>
      <c r="C910" t="str">
        <f>IFERROR(VLOOKUP($A910,koronahun!$A:$AM,3,FALSE),"")</f>
        <v/>
      </c>
      <c r="D910" t="str">
        <f>IFERROR(VLOOKUP($A910,koronahun!$A:$AM,4,FALSE),"")</f>
        <v/>
      </c>
      <c r="E910" t="str">
        <f>IFERROR(VLOOKUP($A910,koronahun!$A:$AM,5,FALSE),"")</f>
        <v/>
      </c>
      <c r="F910" t="str">
        <f>IFERROR(VLOOKUP($A910,koronahun!$A:$AM,6,FALSE),"")</f>
        <v/>
      </c>
      <c r="G910" s="12" t="str">
        <f>IFERROR(VLOOKUP($A910,koronahun!$A:$AM,7,FALSE),"")</f>
        <v/>
      </c>
      <c r="H910" t="str">
        <f>IFERROR(VLOOKUP($A910,koronahun!$A:$AM,8,FALSE),"")</f>
        <v/>
      </c>
      <c r="I910" s="13" t="str">
        <f>IFERROR(VLOOKUP($A910,koronahun!$A:$AM,9,FALSE),"")</f>
        <v/>
      </c>
      <c r="J910" s="13" t="str">
        <f>IFERROR(VLOOKUP($A910,koronahun!$A:$AM,10,FALSE),"")</f>
        <v/>
      </c>
      <c r="K910" s="13" t="str">
        <f>IFERROR(VLOOKUP($A910,koronahun!$A:$AM,11,FALSE),"")</f>
        <v/>
      </c>
      <c r="L910" t="str">
        <f>IFERROR(VLOOKUP($A910,koronahun!$A:$AM,12,FALSE),"")</f>
        <v/>
      </c>
      <c r="M910" s="13" t="str">
        <f>IFERROR(VLOOKUP($A910,koronahun!$A:$AM,13,FALSE),"")</f>
        <v/>
      </c>
      <c r="N910" s="13" t="str">
        <f>IFERROR(VLOOKUP($A910,koronahun!$A:$AM,14,FALSE),"")</f>
        <v/>
      </c>
      <c r="O910" t="str">
        <f>IFERROR(VLOOKUP($A910,koronahun!$A:$AM,15,FALSE),"")</f>
        <v/>
      </c>
      <c r="P910" t="str">
        <f>IFERROR(VLOOKUP($A910,koronahun!$A:$AM,16,FALSE),"")</f>
        <v/>
      </c>
      <c r="Q910" s="13" t="str">
        <f>IFERROR(VLOOKUP($A910,koronahun!$A:$AM,17,FALSE),"")</f>
        <v/>
      </c>
      <c r="R910" t="str">
        <f>IFERROR(VLOOKUP($A910,koronahun!$A:$AM,18,FALSE),"")</f>
        <v/>
      </c>
      <c r="S910" t="str">
        <f>IFERROR(VLOOKUP($A910,koronahun!$A:$AM,19,FALSE),"")</f>
        <v/>
      </c>
      <c r="T910" t="str">
        <f>IFERROR(VLOOKUP($A910,koronahun!$A:$AM,20,FALSE),"")</f>
        <v/>
      </c>
      <c r="U910" t="str">
        <f>IFERROR(VLOOKUP($A910,koronahun!$A:$AM,21,FALSE),"")</f>
        <v/>
      </c>
      <c r="V910" s="13" t="str">
        <f>IFERROR(VLOOKUP($A910,koronahun!$A:$AM,22,FALSE),"")</f>
        <v/>
      </c>
      <c r="W910" t="str">
        <f>IFERROR(VLOOKUP($A910,koronahun!$A:$AM,23,FALSE),"")</f>
        <v/>
      </c>
      <c r="X910" t="str">
        <f>IFERROR(VLOOKUP($A910,koronahun!$A:$AM,24,FALSE),"")</f>
        <v/>
      </c>
      <c r="Y910" s="14" t="str">
        <f>IFERROR(VLOOKUP($A910,koronahun!$A:$AM,25,FALSE),"")</f>
        <v/>
      </c>
      <c r="Z910" s="14" t="str">
        <f>IFERROR(VLOOKUP($A910,koronahun!$A:$AM,26,FALSE),"")</f>
        <v/>
      </c>
      <c r="AA910" s="14" t="str">
        <f>IFERROR(VLOOKUP($A910,koronahun!$A:$AM,27,FALSE),"")</f>
        <v/>
      </c>
      <c r="AB910" s="14" t="str">
        <f>IFERROR(VLOOKUP($A910,koronahun!$A:$AM,28,FALSE),"")</f>
        <v/>
      </c>
      <c r="AC910" s="14" t="str">
        <f>IFERROR(VLOOKUP($A910,koronahun!$A:$AM,29,FALSE),"")</f>
        <v/>
      </c>
      <c r="AD910" s="14" t="str">
        <f>IFERROR(VLOOKUP($A910,koronahun!$A:$AM,30,FALSE),"")</f>
        <v/>
      </c>
      <c r="AE910" s="14" t="str">
        <f>IFERROR(VLOOKUP($A910,koronahun!$A:$AM,31,FALSE),"")</f>
        <v/>
      </c>
      <c r="AF910" s="13" t="str">
        <f>IFERROR(VLOOKUP($A910,koronahun!$A:$AM,32,FALSE),"")</f>
        <v/>
      </c>
      <c r="AG910" t="str">
        <f>IFERROR(VLOOKUP($A910,koronahun!$A:$AM,33,FALSE),"")</f>
        <v/>
      </c>
      <c r="AH910" t="str">
        <f>IFERROR(VLOOKUP($A910,koronahun!$A:$AM,34,FALSE),"")</f>
        <v/>
      </c>
      <c r="AI910" t="str">
        <f>IFERROR(VLOOKUP($A910,koronahun!$A:$AM,35,FALSE),"")</f>
        <v/>
      </c>
      <c r="AJ910" t="str">
        <f>IFERROR(VLOOKUP($A910,koronahun!$A:$AM,36,FALSE),"")</f>
        <v/>
      </c>
      <c r="AK910" t="str">
        <f>IFERROR(VLOOKUP($A910,koronahun!$A:$AM,37,FALSE),"")</f>
        <v/>
      </c>
      <c r="AL910" t="str">
        <f>IFERROR(VLOOKUP($A910,koronahun!$A:$AM,38,FALSE),"")</f>
        <v/>
      </c>
      <c r="AM910" s="14" t="str">
        <f>IFERROR(VLOOKUP($A910,koronahun!$A:$AM,39,FALSE),"")</f>
        <v/>
      </c>
      <c r="AN910" s="11">
        <f ca="1">IFERROR(__xludf.DUMMYFUNCTION("""COMPUTED_VALUE"""),44802)</f>
        <v>44802</v>
      </c>
      <c r="AO910" s="12">
        <f ca="1">IFERROR(VLOOKUP(AN910,koronahun!A:B,2,FALSE),"")</f>
        <v>0</v>
      </c>
      <c r="AP910" s="11">
        <f t="shared" ca="1" si="6"/>
        <v>44802</v>
      </c>
      <c r="AQ910" s="11"/>
      <c r="AR910" s="11"/>
      <c r="AS910" s="11"/>
      <c r="AT910" s="11"/>
    </row>
    <row r="911" spans="1:46" ht="13">
      <c r="A911" s="11"/>
      <c r="B911" t="str">
        <f>IFERROR(VLOOKUP($A911,koronahun!$A:$AM,2,FALSE),"")</f>
        <v/>
      </c>
      <c r="C911" t="str">
        <f>IFERROR(VLOOKUP($A911,koronahun!$A:$AM,3,FALSE),"")</f>
        <v/>
      </c>
      <c r="D911" t="str">
        <f>IFERROR(VLOOKUP($A911,koronahun!$A:$AM,4,FALSE),"")</f>
        <v/>
      </c>
      <c r="E911" t="str">
        <f>IFERROR(VLOOKUP($A911,koronahun!$A:$AM,5,FALSE),"")</f>
        <v/>
      </c>
      <c r="F911" t="str">
        <f>IFERROR(VLOOKUP($A911,koronahun!$A:$AM,6,FALSE),"")</f>
        <v/>
      </c>
      <c r="G911" s="12" t="str">
        <f>IFERROR(VLOOKUP($A911,koronahun!$A:$AM,7,FALSE),"")</f>
        <v/>
      </c>
      <c r="H911" t="str">
        <f>IFERROR(VLOOKUP($A911,koronahun!$A:$AM,8,FALSE),"")</f>
        <v/>
      </c>
      <c r="I911" s="13" t="str">
        <f>IFERROR(VLOOKUP($A911,koronahun!$A:$AM,9,FALSE),"")</f>
        <v/>
      </c>
      <c r="J911" s="13" t="str">
        <f>IFERROR(VLOOKUP($A911,koronahun!$A:$AM,10,FALSE),"")</f>
        <v/>
      </c>
      <c r="K911" s="13" t="str">
        <f>IFERROR(VLOOKUP($A911,koronahun!$A:$AM,11,FALSE),"")</f>
        <v/>
      </c>
      <c r="L911" t="str">
        <f>IFERROR(VLOOKUP($A911,koronahun!$A:$AM,12,FALSE),"")</f>
        <v/>
      </c>
      <c r="M911" s="13" t="str">
        <f>IFERROR(VLOOKUP($A911,koronahun!$A:$AM,13,FALSE),"")</f>
        <v/>
      </c>
      <c r="N911" s="13" t="str">
        <f>IFERROR(VLOOKUP($A911,koronahun!$A:$AM,14,FALSE),"")</f>
        <v/>
      </c>
      <c r="O911" t="str">
        <f>IFERROR(VLOOKUP($A911,koronahun!$A:$AM,15,FALSE),"")</f>
        <v/>
      </c>
      <c r="P911" t="str">
        <f>IFERROR(VLOOKUP($A911,koronahun!$A:$AM,16,FALSE),"")</f>
        <v/>
      </c>
      <c r="Q911" s="13" t="str">
        <f>IFERROR(VLOOKUP($A911,koronahun!$A:$AM,17,FALSE),"")</f>
        <v/>
      </c>
      <c r="R911" t="str">
        <f>IFERROR(VLOOKUP($A911,koronahun!$A:$AM,18,FALSE),"")</f>
        <v/>
      </c>
      <c r="S911" t="str">
        <f>IFERROR(VLOOKUP($A911,koronahun!$A:$AM,19,FALSE),"")</f>
        <v/>
      </c>
      <c r="T911" t="str">
        <f>IFERROR(VLOOKUP($A911,koronahun!$A:$AM,20,FALSE),"")</f>
        <v/>
      </c>
      <c r="U911" t="str">
        <f>IFERROR(VLOOKUP($A911,koronahun!$A:$AM,21,FALSE),"")</f>
        <v/>
      </c>
      <c r="V911" s="13" t="str">
        <f>IFERROR(VLOOKUP($A911,koronahun!$A:$AM,22,FALSE),"")</f>
        <v/>
      </c>
      <c r="W911" t="str">
        <f>IFERROR(VLOOKUP($A911,koronahun!$A:$AM,23,FALSE),"")</f>
        <v/>
      </c>
      <c r="X911" t="str">
        <f>IFERROR(VLOOKUP($A911,koronahun!$A:$AM,24,FALSE),"")</f>
        <v/>
      </c>
      <c r="Y911" s="14" t="str">
        <f>IFERROR(VLOOKUP($A911,koronahun!$A:$AM,25,FALSE),"")</f>
        <v/>
      </c>
      <c r="Z911" s="14" t="str">
        <f>IFERROR(VLOOKUP($A911,koronahun!$A:$AM,26,FALSE),"")</f>
        <v/>
      </c>
      <c r="AA911" s="14" t="str">
        <f>IFERROR(VLOOKUP($A911,koronahun!$A:$AM,27,FALSE),"")</f>
        <v/>
      </c>
      <c r="AB911" s="14" t="str">
        <f>IFERROR(VLOOKUP($A911,koronahun!$A:$AM,28,FALSE),"")</f>
        <v/>
      </c>
      <c r="AC911" s="14" t="str">
        <f>IFERROR(VLOOKUP($A911,koronahun!$A:$AM,29,FALSE),"")</f>
        <v/>
      </c>
      <c r="AD911" s="14" t="str">
        <f>IFERROR(VLOOKUP($A911,koronahun!$A:$AM,30,FALSE),"")</f>
        <v/>
      </c>
      <c r="AE911" s="14" t="str">
        <f>IFERROR(VLOOKUP($A911,koronahun!$A:$AM,31,FALSE),"")</f>
        <v/>
      </c>
      <c r="AF911" s="13" t="str">
        <f>IFERROR(VLOOKUP($A911,koronahun!$A:$AM,32,FALSE),"")</f>
        <v/>
      </c>
      <c r="AG911" t="str">
        <f>IFERROR(VLOOKUP($A911,koronahun!$A:$AM,33,FALSE),"")</f>
        <v/>
      </c>
      <c r="AH911" t="str">
        <f>IFERROR(VLOOKUP($A911,koronahun!$A:$AM,34,FALSE),"")</f>
        <v/>
      </c>
      <c r="AI911" t="str">
        <f>IFERROR(VLOOKUP($A911,koronahun!$A:$AM,35,FALSE),"")</f>
        <v/>
      </c>
      <c r="AJ911" t="str">
        <f>IFERROR(VLOOKUP($A911,koronahun!$A:$AM,36,FALSE),"")</f>
        <v/>
      </c>
      <c r="AK911" t="str">
        <f>IFERROR(VLOOKUP($A911,koronahun!$A:$AM,37,FALSE),"")</f>
        <v/>
      </c>
      <c r="AL911" t="str">
        <f>IFERROR(VLOOKUP($A911,koronahun!$A:$AM,38,FALSE),"")</f>
        <v/>
      </c>
      <c r="AM911" s="14" t="str">
        <f>IFERROR(VLOOKUP($A911,koronahun!$A:$AM,39,FALSE),"")</f>
        <v/>
      </c>
      <c r="AN911" s="11">
        <f ca="1">IFERROR(__xludf.DUMMYFUNCTION("""COMPUTED_VALUE"""),44803)</f>
        <v>44803</v>
      </c>
      <c r="AO911" s="12">
        <f ca="1">IFERROR(VLOOKUP(AN911,koronahun!A:B,2,FALSE),"")</f>
        <v>0</v>
      </c>
      <c r="AP911" s="11">
        <f t="shared" ca="1" si="6"/>
        <v>44803</v>
      </c>
      <c r="AQ911" s="11"/>
      <c r="AR911" s="11"/>
      <c r="AS911" s="11"/>
      <c r="AT911" s="11"/>
    </row>
    <row r="912" spans="1:46" ht="13">
      <c r="A912" s="11"/>
      <c r="B912" t="str">
        <f>IFERROR(VLOOKUP($A912,koronahun!$A:$AM,2,FALSE),"")</f>
        <v/>
      </c>
      <c r="C912" t="str">
        <f>IFERROR(VLOOKUP($A912,koronahun!$A:$AM,3,FALSE),"")</f>
        <v/>
      </c>
      <c r="D912" t="str">
        <f>IFERROR(VLOOKUP($A912,koronahun!$A:$AM,4,FALSE),"")</f>
        <v/>
      </c>
      <c r="E912" t="str">
        <f>IFERROR(VLOOKUP($A912,koronahun!$A:$AM,5,FALSE),"")</f>
        <v/>
      </c>
      <c r="F912" t="str">
        <f>IFERROR(VLOOKUP($A912,koronahun!$A:$AM,6,FALSE),"")</f>
        <v/>
      </c>
      <c r="G912" s="12" t="str">
        <f>IFERROR(VLOOKUP($A912,koronahun!$A:$AM,7,FALSE),"")</f>
        <v/>
      </c>
      <c r="H912" t="str">
        <f>IFERROR(VLOOKUP($A912,koronahun!$A:$AM,8,FALSE),"")</f>
        <v/>
      </c>
      <c r="I912" s="13" t="str">
        <f>IFERROR(VLOOKUP($A912,koronahun!$A:$AM,9,FALSE),"")</f>
        <v/>
      </c>
      <c r="J912" s="13" t="str">
        <f>IFERROR(VLOOKUP($A912,koronahun!$A:$AM,10,FALSE),"")</f>
        <v/>
      </c>
      <c r="K912" s="13" t="str">
        <f>IFERROR(VLOOKUP($A912,koronahun!$A:$AM,11,FALSE),"")</f>
        <v/>
      </c>
      <c r="L912" t="str">
        <f>IFERROR(VLOOKUP($A912,koronahun!$A:$AM,12,FALSE),"")</f>
        <v/>
      </c>
      <c r="M912" s="13" t="str">
        <f>IFERROR(VLOOKUP($A912,koronahun!$A:$AM,13,FALSE),"")</f>
        <v/>
      </c>
      <c r="N912" s="13" t="str">
        <f>IFERROR(VLOOKUP($A912,koronahun!$A:$AM,14,FALSE),"")</f>
        <v/>
      </c>
      <c r="O912" t="str">
        <f>IFERROR(VLOOKUP($A912,koronahun!$A:$AM,15,FALSE),"")</f>
        <v/>
      </c>
      <c r="P912" t="str">
        <f>IFERROR(VLOOKUP($A912,koronahun!$A:$AM,16,FALSE),"")</f>
        <v/>
      </c>
      <c r="Q912" s="13" t="str">
        <f>IFERROR(VLOOKUP($A912,koronahun!$A:$AM,17,FALSE),"")</f>
        <v/>
      </c>
      <c r="R912" t="str">
        <f>IFERROR(VLOOKUP($A912,koronahun!$A:$AM,18,FALSE),"")</f>
        <v/>
      </c>
      <c r="S912" t="str">
        <f>IFERROR(VLOOKUP($A912,koronahun!$A:$AM,19,FALSE),"")</f>
        <v/>
      </c>
      <c r="T912" t="str">
        <f>IFERROR(VLOOKUP($A912,koronahun!$A:$AM,20,FALSE),"")</f>
        <v/>
      </c>
      <c r="U912" t="str">
        <f>IFERROR(VLOOKUP($A912,koronahun!$A:$AM,21,FALSE),"")</f>
        <v/>
      </c>
      <c r="V912" s="13" t="str">
        <f>IFERROR(VLOOKUP($A912,koronahun!$A:$AM,22,FALSE),"")</f>
        <v/>
      </c>
      <c r="W912" t="str">
        <f>IFERROR(VLOOKUP($A912,koronahun!$A:$AM,23,FALSE),"")</f>
        <v/>
      </c>
      <c r="X912" t="str">
        <f>IFERROR(VLOOKUP($A912,koronahun!$A:$AM,24,FALSE),"")</f>
        <v/>
      </c>
      <c r="Y912" s="14" t="str">
        <f>IFERROR(VLOOKUP($A912,koronahun!$A:$AM,25,FALSE),"")</f>
        <v/>
      </c>
      <c r="Z912" s="14" t="str">
        <f>IFERROR(VLOOKUP($A912,koronahun!$A:$AM,26,FALSE),"")</f>
        <v/>
      </c>
      <c r="AA912" s="14" t="str">
        <f>IFERROR(VLOOKUP($A912,koronahun!$A:$AM,27,FALSE),"")</f>
        <v/>
      </c>
      <c r="AB912" s="14" t="str">
        <f>IFERROR(VLOOKUP($A912,koronahun!$A:$AM,28,FALSE),"")</f>
        <v/>
      </c>
      <c r="AC912" s="14" t="str">
        <f>IFERROR(VLOOKUP($A912,koronahun!$A:$AM,29,FALSE),"")</f>
        <v/>
      </c>
      <c r="AD912" s="14" t="str">
        <f>IFERROR(VLOOKUP($A912,koronahun!$A:$AM,30,FALSE),"")</f>
        <v/>
      </c>
      <c r="AE912" s="14" t="str">
        <f>IFERROR(VLOOKUP($A912,koronahun!$A:$AM,31,FALSE),"")</f>
        <v/>
      </c>
      <c r="AF912" s="13" t="str">
        <f>IFERROR(VLOOKUP($A912,koronahun!$A:$AM,32,FALSE),"")</f>
        <v/>
      </c>
      <c r="AG912" t="str">
        <f>IFERROR(VLOOKUP($A912,koronahun!$A:$AM,33,FALSE),"")</f>
        <v/>
      </c>
      <c r="AH912" t="str">
        <f>IFERROR(VLOOKUP($A912,koronahun!$A:$AM,34,FALSE),"")</f>
        <v/>
      </c>
      <c r="AI912" t="str">
        <f>IFERROR(VLOOKUP($A912,koronahun!$A:$AM,35,FALSE),"")</f>
        <v/>
      </c>
      <c r="AJ912" t="str">
        <f>IFERROR(VLOOKUP($A912,koronahun!$A:$AM,36,FALSE),"")</f>
        <v/>
      </c>
      <c r="AK912" t="str">
        <f>IFERROR(VLOOKUP($A912,koronahun!$A:$AM,37,FALSE),"")</f>
        <v/>
      </c>
      <c r="AL912" t="str">
        <f>IFERROR(VLOOKUP($A912,koronahun!$A:$AM,38,FALSE),"")</f>
        <v/>
      </c>
      <c r="AM912" s="14" t="str">
        <f>IFERROR(VLOOKUP($A912,koronahun!$A:$AM,39,FALSE),"")</f>
        <v/>
      </c>
      <c r="AN912" s="11">
        <f ca="1">IFERROR(__xludf.DUMMYFUNCTION("""COMPUTED_VALUE"""),44804)</f>
        <v>44804</v>
      </c>
      <c r="AO912" s="12">
        <f ca="1">IFERROR(VLOOKUP(AN912,koronahun!A:B,2,FALSE),"")</f>
        <v>2048547</v>
      </c>
      <c r="AP912" s="11">
        <f t="shared" ca="1" si="6"/>
        <v>44804</v>
      </c>
      <c r="AQ912" s="11"/>
      <c r="AR912" s="11"/>
      <c r="AS912" s="11"/>
      <c r="AT912" s="11"/>
    </row>
    <row r="913" spans="1:46" ht="13">
      <c r="A913" s="11"/>
      <c r="B913" t="str">
        <f>IFERROR(VLOOKUP($A913,koronahun!$A:$AM,2,FALSE),"")</f>
        <v/>
      </c>
      <c r="C913" t="str">
        <f>IFERROR(VLOOKUP($A913,koronahun!$A:$AM,3,FALSE),"")</f>
        <v/>
      </c>
      <c r="D913" t="str">
        <f>IFERROR(VLOOKUP($A913,koronahun!$A:$AM,4,FALSE),"")</f>
        <v/>
      </c>
      <c r="E913" t="str">
        <f>IFERROR(VLOOKUP($A913,koronahun!$A:$AM,5,FALSE),"")</f>
        <v/>
      </c>
      <c r="F913" t="str">
        <f>IFERROR(VLOOKUP($A913,koronahun!$A:$AM,6,FALSE),"")</f>
        <v/>
      </c>
      <c r="G913" s="12" t="str">
        <f>IFERROR(VLOOKUP($A913,koronahun!$A:$AM,7,FALSE),"")</f>
        <v/>
      </c>
      <c r="H913" t="str">
        <f>IFERROR(VLOOKUP($A913,koronahun!$A:$AM,8,FALSE),"")</f>
        <v/>
      </c>
      <c r="I913" s="13" t="str">
        <f>IFERROR(VLOOKUP($A913,koronahun!$A:$AM,9,FALSE),"")</f>
        <v/>
      </c>
      <c r="J913" s="13" t="str">
        <f>IFERROR(VLOOKUP($A913,koronahun!$A:$AM,10,FALSE),"")</f>
        <v/>
      </c>
      <c r="K913" s="13" t="str">
        <f>IFERROR(VLOOKUP($A913,koronahun!$A:$AM,11,FALSE),"")</f>
        <v/>
      </c>
      <c r="L913" t="str">
        <f>IFERROR(VLOOKUP($A913,koronahun!$A:$AM,12,FALSE),"")</f>
        <v/>
      </c>
      <c r="M913" s="13" t="str">
        <f>IFERROR(VLOOKUP($A913,koronahun!$A:$AM,13,FALSE),"")</f>
        <v/>
      </c>
      <c r="N913" s="13" t="str">
        <f>IFERROR(VLOOKUP($A913,koronahun!$A:$AM,14,FALSE),"")</f>
        <v/>
      </c>
      <c r="O913" t="str">
        <f>IFERROR(VLOOKUP($A913,koronahun!$A:$AM,15,FALSE),"")</f>
        <v/>
      </c>
      <c r="P913" t="str">
        <f>IFERROR(VLOOKUP($A913,koronahun!$A:$AM,16,FALSE),"")</f>
        <v/>
      </c>
      <c r="Q913" s="13" t="str">
        <f>IFERROR(VLOOKUP($A913,koronahun!$A:$AM,17,FALSE),"")</f>
        <v/>
      </c>
      <c r="R913" t="str">
        <f>IFERROR(VLOOKUP($A913,koronahun!$A:$AM,18,FALSE),"")</f>
        <v/>
      </c>
      <c r="S913" t="str">
        <f>IFERROR(VLOOKUP($A913,koronahun!$A:$AM,19,FALSE),"")</f>
        <v/>
      </c>
      <c r="T913" t="str">
        <f>IFERROR(VLOOKUP($A913,koronahun!$A:$AM,20,FALSE),"")</f>
        <v/>
      </c>
      <c r="U913" t="str">
        <f>IFERROR(VLOOKUP($A913,koronahun!$A:$AM,21,FALSE),"")</f>
        <v/>
      </c>
      <c r="V913" s="13" t="str">
        <f>IFERROR(VLOOKUP($A913,koronahun!$A:$AM,22,FALSE),"")</f>
        <v/>
      </c>
      <c r="W913" t="str">
        <f>IFERROR(VLOOKUP($A913,koronahun!$A:$AM,23,FALSE),"")</f>
        <v/>
      </c>
      <c r="X913" t="str">
        <f>IFERROR(VLOOKUP($A913,koronahun!$A:$AM,24,FALSE),"")</f>
        <v/>
      </c>
      <c r="Y913" s="14" t="str">
        <f>IFERROR(VLOOKUP($A913,koronahun!$A:$AM,25,FALSE),"")</f>
        <v/>
      </c>
      <c r="Z913" s="14" t="str">
        <f>IFERROR(VLOOKUP($A913,koronahun!$A:$AM,26,FALSE),"")</f>
        <v/>
      </c>
      <c r="AA913" s="14" t="str">
        <f>IFERROR(VLOOKUP($A913,koronahun!$A:$AM,27,FALSE),"")</f>
        <v/>
      </c>
      <c r="AB913" s="14" t="str">
        <f>IFERROR(VLOOKUP($A913,koronahun!$A:$AM,28,FALSE),"")</f>
        <v/>
      </c>
      <c r="AC913" s="14" t="str">
        <f>IFERROR(VLOOKUP($A913,koronahun!$A:$AM,29,FALSE),"")</f>
        <v/>
      </c>
      <c r="AD913" s="14" t="str">
        <f>IFERROR(VLOOKUP($A913,koronahun!$A:$AM,30,FALSE),"")</f>
        <v/>
      </c>
      <c r="AE913" s="14" t="str">
        <f>IFERROR(VLOOKUP($A913,koronahun!$A:$AM,31,FALSE),"")</f>
        <v/>
      </c>
      <c r="AF913" s="13" t="str">
        <f>IFERROR(VLOOKUP($A913,koronahun!$A:$AM,32,FALSE),"")</f>
        <v/>
      </c>
      <c r="AG913" t="str">
        <f>IFERROR(VLOOKUP($A913,koronahun!$A:$AM,33,FALSE),"")</f>
        <v/>
      </c>
      <c r="AH913" t="str">
        <f>IFERROR(VLOOKUP($A913,koronahun!$A:$AM,34,FALSE),"")</f>
        <v/>
      </c>
      <c r="AI913" t="str">
        <f>IFERROR(VLOOKUP($A913,koronahun!$A:$AM,35,FALSE),"")</f>
        <v/>
      </c>
      <c r="AJ913" t="str">
        <f>IFERROR(VLOOKUP($A913,koronahun!$A:$AM,36,FALSE),"")</f>
        <v/>
      </c>
      <c r="AK913" t="str">
        <f>IFERROR(VLOOKUP($A913,koronahun!$A:$AM,37,FALSE),"")</f>
        <v/>
      </c>
      <c r="AL913" t="str">
        <f>IFERROR(VLOOKUP($A913,koronahun!$A:$AM,38,FALSE),"")</f>
        <v/>
      </c>
      <c r="AM913" s="14" t="str">
        <f>IFERROR(VLOOKUP($A913,koronahun!$A:$AM,39,FALSE),"")</f>
        <v/>
      </c>
      <c r="AN913" s="11">
        <f ca="1">IFERROR(__xludf.DUMMYFUNCTION("""COMPUTED_VALUE"""),44805)</f>
        <v>44805</v>
      </c>
      <c r="AO913" s="12">
        <f ca="1">IFERROR(VLOOKUP(AN913,koronahun!A:B,2,FALSE),"")</f>
        <v>0</v>
      </c>
      <c r="AP913" s="11">
        <f t="shared" ca="1" si="6"/>
        <v>44805</v>
      </c>
      <c r="AQ913" s="11"/>
      <c r="AR913" s="11"/>
      <c r="AS913" s="11"/>
      <c r="AT913" s="11"/>
    </row>
    <row r="914" spans="1:46" ht="13">
      <c r="A914" s="11"/>
      <c r="B914" t="str">
        <f>IFERROR(VLOOKUP($A914,koronahun!$A:$AM,2,FALSE),"")</f>
        <v/>
      </c>
      <c r="C914" t="str">
        <f>IFERROR(VLOOKUP($A914,koronahun!$A:$AM,3,FALSE),"")</f>
        <v/>
      </c>
      <c r="D914" t="str">
        <f>IFERROR(VLOOKUP($A914,koronahun!$A:$AM,4,FALSE),"")</f>
        <v/>
      </c>
      <c r="E914" t="str">
        <f>IFERROR(VLOOKUP($A914,koronahun!$A:$AM,5,FALSE),"")</f>
        <v/>
      </c>
      <c r="F914" t="str">
        <f>IFERROR(VLOOKUP($A914,koronahun!$A:$AM,6,FALSE),"")</f>
        <v/>
      </c>
      <c r="G914" s="12" t="str">
        <f>IFERROR(VLOOKUP($A914,koronahun!$A:$AM,7,FALSE),"")</f>
        <v/>
      </c>
      <c r="H914" t="str">
        <f>IFERROR(VLOOKUP($A914,koronahun!$A:$AM,8,FALSE),"")</f>
        <v/>
      </c>
      <c r="I914" s="13" t="str">
        <f>IFERROR(VLOOKUP($A914,koronahun!$A:$AM,9,FALSE),"")</f>
        <v/>
      </c>
      <c r="J914" s="13" t="str">
        <f>IFERROR(VLOOKUP($A914,koronahun!$A:$AM,10,FALSE),"")</f>
        <v/>
      </c>
      <c r="K914" s="13" t="str">
        <f>IFERROR(VLOOKUP($A914,koronahun!$A:$AM,11,FALSE),"")</f>
        <v/>
      </c>
      <c r="L914" t="str">
        <f>IFERROR(VLOOKUP($A914,koronahun!$A:$AM,12,FALSE),"")</f>
        <v/>
      </c>
      <c r="M914" s="13" t="str">
        <f>IFERROR(VLOOKUP($A914,koronahun!$A:$AM,13,FALSE),"")</f>
        <v/>
      </c>
      <c r="N914" s="13" t="str">
        <f>IFERROR(VLOOKUP($A914,koronahun!$A:$AM,14,FALSE),"")</f>
        <v/>
      </c>
      <c r="O914" t="str">
        <f>IFERROR(VLOOKUP($A914,koronahun!$A:$AM,15,FALSE),"")</f>
        <v/>
      </c>
      <c r="P914" t="str">
        <f>IFERROR(VLOOKUP($A914,koronahun!$A:$AM,16,FALSE),"")</f>
        <v/>
      </c>
      <c r="Q914" s="13" t="str">
        <f>IFERROR(VLOOKUP($A914,koronahun!$A:$AM,17,FALSE),"")</f>
        <v/>
      </c>
      <c r="R914" t="str">
        <f>IFERROR(VLOOKUP($A914,koronahun!$A:$AM,18,FALSE),"")</f>
        <v/>
      </c>
      <c r="S914" t="str">
        <f>IFERROR(VLOOKUP($A914,koronahun!$A:$AM,19,FALSE),"")</f>
        <v/>
      </c>
      <c r="T914" t="str">
        <f>IFERROR(VLOOKUP($A914,koronahun!$A:$AM,20,FALSE),"")</f>
        <v/>
      </c>
      <c r="U914" t="str">
        <f>IFERROR(VLOOKUP($A914,koronahun!$A:$AM,21,FALSE),"")</f>
        <v/>
      </c>
      <c r="V914" s="13" t="str">
        <f>IFERROR(VLOOKUP($A914,koronahun!$A:$AM,22,FALSE),"")</f>
        <v/>
      </c>
      <c r="W914" t="str">
        <f>IFERROR(VLOOKUP($A914,koronahun!$A:$AM,23,FALSE),"")</f>
        <v/>
      </c>
      <c r="X914" t="str">
        <f>IFERROR(VLOOKUP($A914,koronahun!$A:$AM,24,FALSE),"")</f>
        <v/>
      </c>
      <c r="Y914" s="14" t="str">
        <f>IFERROR(VLOOKUP($A914,koronahun!$A:$AM,25,FALSE),"")</f>
        <v/>
      </c>
      <c r="Z914" s="14" t="str">
        <f>IFERROR(VLOOKUP($A914,koronahun!$A:$AM,26,FALSE),"")</f>
        <v/>
      </c>
      <c r="AA914" s="14" t="str">
        <f>IFERROR(VLOOKUP($A914,koronahun!$A:$AM,27,FALSE),"")</f>
        <v/>
      </c>
      <c r="AB914" s="14" t="str">
        <f>IFERROR(VLOOKUP($A914,koronahun!$A:$AM,28,FALSE),"")</f>
        <v/>
      </c>
      <c r="AC914" s="14" t="str">
        <f>IFERROR(VLOOKUP($A914,koronahun!$A:$AM,29,FALSE),"")</f>
        <v/>
      </c>
      <c r="AD914" s="14" t="str">
        <f>IFERROR(VLOOKUP($A914,koronahun!$A:$AM,30,FALSE),"")</f>
        <v/>
      </c>
      <c r="AE914" s="14" t="str">
        <f>IFERROR(VLOOKUP($A914,koronahun!$A:$AM,31,FALSE),"")</f>
        <v/>
      </c>
      <c r="AF914" s="13" t="str">
        <f>IFERROR(VLOOKUP($A914,koronahun!$A:$AM,32,FALSE),"")</f>
        <v/>
      </c>
      <c r="AG914" t="str">
        <f>IFERROR(VLOOKUP($A914,koronahun!$A:$AM,33,FALSE),"")</f>
        <v/>
      </c>
      <c r="AH914" t="str">
        <f>IFERROR(VLOOKUP($A914,koronahun!$A:$AM,34,FALSE),"")</f>
        <v/>
      </c>
      <c r="AI914" t="str">
        <f>IFERROR(VLOOKUP($A914,koronahun!$A:$AM,35,FALSE),"")</f>
        <v/>
      </c>
      <c r="AJ914" t="str">
        <f>IFERROR(VLOOKUP($A914,koronahun!$A:$AM,36,FALSE),"")</f>
        <v/>
      </c>
      <c r="AK914" t="str">
        <f>IFERROR(VLOOKUP($A914,koronahun!$A:$AM,37,FALSE),"")</f>
        <v/>
      </c>
      <c r="AL914" t="str">
        <f>IFERROR(VLOOKUP($A914,koronahun!$A:$AM,38,FALSE),"")</f>
        <v/>
      </c>
      <c r="AM914" s="14" t="str">
        <f>IFERROR(VLOOKUP($A914,koronahun!$A:$AM,39,FALSE),"")</f>
        <v/>
      </c>
      <c r="AN914" s="11">
        <f ca="1">IFERROR(__xludf.DUMMYFUNCTION("""COMPUTED_VALUE"""),44806)</f>
        <v>44806</v>
      </c>
      <c r="AO914" s="12">
        <f ca="1">IFERROR(VLOOKUP(AN914,koronahun!A:B,2,FALSE),"")</f>
        <v>0</v>
      </c>
      <c r="AP914" s="11">
        <f t="shared" ca="1" si="6"/>
        <v>44806</v>
      </c>
      <c r="AQ914" s="11"/>
      <c r="AR914" s="11"/>
      <c r="AS914" s="11"/>
      <c r="AT914" s="11"/>
    </row>
    <row r="915" spans="1:46" ht="13">
      <c r="A915" s="11"/>
      <c r="B915" t="str">
        <f>IFERROR(VLOOKUP($A915,koronahun!$A:$AM,2,FALSE),"")</f>
        <v/>
      </c>
      <c r="C915" t="str">
        <f>IFERROR(VLOOKUP($A915,koronahun!$A:$AM,3,FALSE),"")</f>
        <v/>
      </c>
      <c r="D915" t="str">
        <f>IFERROR(VLOOKUP($A915,koronahun!$A:$AM,4,FALSE),"")</f>
        <v/>
      </c>
      <c r="E915" t="str">
        <f>IFERROR(VLOOKUP($A915,koronahun!$A:$AM,5,FALSE),"")</f>
        <v/>
      </c>
      <c r="F915" t="str">
        <f>IFERROR(VLOOKUP($A915,koronahun!$A:$AM,6,FALSE),"")</f>
        <v/>
      </c>
      <c r="G915" s="12" t="str">
        <f>IFERROR(VLOOKUP($A915,koronahun!$A:$AM,7,FALSE),"")</f>
        <v/>
      </c>
      <c r="H915" t="str">
        <f>IFERROR(VLOOKUP($A915,koronahun!$A:$AM,8,FALSE),"")</f>
        <v/>
      </c>
      <c r="I915" s="13" t="str">
        <f>IFERROR(VLOOKUP($A915,koronahun!$A:$AM,9,FALSE),"")</f>
        <v/>
      </c>
      <c r="J915" s="13" t="str">
        <f>IFERROR(VLOOKUP($A915,koronahun!$A:$AM,10,FALSE),"")</f>
        <v/>
      </c>
      <c r="K915" s="13" t="str">
        <f>IFERROR(VLOOKUP($A915,koronahun!$A:$AM,11,FALSE),"")</f>
        <v/>
      </c>
      <c r="L915" t="str">
        <f>IFERROR(VLOOKUP($A915,koronahun!$A:$AM,12,FALSE),"")</f>
        <v/>
      </c>
      <c r="M915" s="13" t="str">
        <f>IFERROR(VLOOKUP($A915,koronahun!$A:$AM,13,FALSE),"")</f>
        <v/>
      </c>
      <c r="N915" s="13" t="str">
        <f>IFERROR(VLOOKUP($A915,koronahun!$A:$AM,14,FALSE),"")</f>
        <v/>
      </c>
      <c r="O915" t="str">
        <f>IFERROR(VLOOKUP($A915,koronahun!$A:$AM,15,FALSE),"")</f>
        <v/>
      </c>
      <c r="P915" t="str">
        <f>IFERROR(VLOOKUP($A915,koronahun!$A:$AM,16,FALSE),"")</f>
        <v/>
      </c>
      <c r="Q915" s="13" t="str">
        <f>IFERROR(VLOOKUP($A915,koronahun!$A:$AM,17,FALSE),"")</f>
        <v/>
      </c>
      <c r="R915" t="str">
        <f>IFERROR(VLOOKUP($A915,koronahun!$A:$AM,18,FALSE),"")</f>
        <v/>
      </c>
      <c r="S915" t="str">
        <f>IFERROR(VLOOKUP($A915,koronahun!$A:$AM,19,FALSE),"")</f>
        <v/>
      </c>
      <c r="T915" t="str">
        <f>IFERROR(VLOOKUP($A915,koronahun!$A:$AM,20,FALSE),"")</f>
        <v/>
      </c>
      <c r="U915" t="str">
        <f>IFERROR(VLOOKUP($A915,koronahun!$A:$AM,21,FALSE),"")</f>
        <v/>
      </c>
      <c r="V915" s="13" t="str">
        <f>IFERROR(VLOOKUP($A915,koronahun!$A:$AM,22,FALSE),"")</f>
        <v/>
      </c>
      <c r="W915" t="str">
        <f>IFERROR(VLOOKUP($A915,koronahun!$A:$AM,23,FALSE),"")</f>
        <v/>
      </c>
      <c r="X915" t="str">
        <f>IFERROR(VLOOKUP($A915,koronahun!$A:$AM,24,FALSE),"")</f>
        <v/>
      </c>
      <c r="Y915" s="14" t="str">
        <f>IFERROR(VLOOKUP($A915,koronahun!$A:$AM,25,FALSE),"")</f>
        <v/>
      </c>
      <c r="Z915" s="14" t="str">
        <f>IFERROR(VLOOKUP($A915,koronahun!$A:$AM,26,FALSE),"")</f>
        <v/>
      </c>
      <c r="AA915" s="14" t="str">
        <f>IFERROR(VLOOKUP($A915,koronahun!$A:$AM,27,FALSE),"")</f>
        <v/>
      </c>
      <c r="AB915" s="14" t="str">
        <f>IFERROR(VLOOKUP($A915,koronahun!$A:$AM,28,FALSE),"")</f>
        <v/>
      </c>
      <c r="AC915" s="14" t="str">
        <f>IFERROR(VLOOKUP($A915,koronahun!$A:$AM,29,FALSE),"")</f>
        <v/>
      </c>
      <c r="AD915" s="14" t="str">
        <f>IFERROR(VLOOKUP($A915,koronahun!$A:$AM,30,FALSE),"")</f>
        <v/>
      </c>
      <c r="AE915" s="14" t="str">
        <f>IFERROR(VLOOKUP($A915,koronahun!$A:$AM,31,FALSE),"")</f>
        <v/>
      </c>
      <c r="AF915" s="13" t="str">
        <f>IFERROR(VLOOKUP($A915,koronahun!$A:$AM,32,FALSE),"")</f>
        <v/>
      </c>
      <c r="AG915" t="str">
        <f>IFERROR(VLOOKUP($A915,koronahun!$A:$AM,33,FALSE),"")</f>
        <v/>
      </c>
      <c r="AH915" t="str">
        <f>IFERROR(VLOOKUP($A915,koronahun!$A:$AM,34,FALSE),"")</f>
        <v/>
      </c>
      <c r="AI915" t="str">
        <f>IFERROR(VLOOKUP($A915,koronahun!$A:$AM,35,FALSE),"")</f>
        <v/>
      </c>
      <c r="AJ915" t="str">
        <f>IFERROR(VLOOKUP($A915,koronahun!$A:$AM,36,FALSE),"")</f>
        <v/>
      </c>
      <c r="AK915" t="str">
        <f>IFERROR(VLOOKUP($A915,koronahun!$A:$AM,37,FALSE),"")</f>
        <v/>
      </c>
      <c r="AL915" t="str">
        <f>IFERROR(VLOOKUP($A915,koronahun!$A:$AM,38,FALSE),"")</f>
        <v/>
      </c>
      <c r="AM915" s="14" t="str">
        <f>IFERROR(VLOOKUP($A915,koronahun!$A:$AM,39,FALSE),"")</f>
        <v/>
      </c>
      <c r="AN915" s="11">
        <f ca="1">IFERROR(__xludf.DUMMYFUNCTION("""COMPUTED_VALUE"""),44807)</f>
        <v>44807</v>
      </c>
      <c r="AO915" s="12">
        <f ca="1">IFERROR(VLOOKUP(AN915,koronahun!A:B,2,FALSE),"")</f>
        <v>0</v>
      </c>
      <c r="AP915" s="11">
        <f t="shared" ca="1" si="6"/>
        <v>44807</v>
      </c>
      <c r="AQ915" s="11"/>
      <c r="AR915" s="11"/>
      <c r="AS915" s="11"/>
      <c r="AT915" s="11"/>
    </row>
    <row r="916" spans="1:46" ht="13">
      <c r="A916" s="11"/>
      <c r="B916" t="str">
        <f>IFERROR(VLOOKUP($A916,koronahun!$A:$AM,2,FALSE),"")</f>
        <v/>
      </c>
      <c r="C916" t="str">
        <f>IFERROR(VLOOKUP($A916,koronahun!$A:$AM,3,FALSE),"")</f>
        <v/>
      </c>
      <c r="D916" t="str">
        <f>IFERROR(VLOOKUP($A916,koronahun!$A:$AM,4,FALSE),"")</f>
        <v/>
      </c>
      <c r="E916" t="str">
        <f>IFERROR(VLOOKUP($A916,koronahun!$A:$AM,5,FALSE),"")</f>
        <v/>
      </c>
      <c r="F916" t="str">
        <f>IFERROR(VLOOKUP($A916,koronahun!$A:$AM,6,FALSE),"")</f>
        <v/>
      </c>
      <c r="G916" s="12" t="str">
        <f>IFERROR(VLOOKUP($A916,koronahun!$A:$AM,7,FALSE),"")</f>
        <v/>
      </c>
      <c r="H916" t="str">
        <f>IFERROR(VLOOKUP($A916,koronahun!$A:$AM,8,FALSE),"")</f>
        <v/>
      </c>
      <c r="I916" s="13" t="str">
        <f>IFERROR(VLOOKUP($A916,koronahun!$A:$AM,9,FALSE),"")</f>
        <v/>
      </c>
      <c r="J916" s="13" t="str">
        <f>IFERROR(VLOOKUP($A916,koronahun!$A:$AM,10,FALSE),"")</f>
        <v/>
      </c>
      <c r="K916" s="13" t="str">
        <f>IFERROR(VLOOKUP($A916,koronahun!$A:$AM,11,FALSE),"")</f>
        <v/>
      </c>
      <c r="L916" t="str">
        <f>IFERROR(VLOOKUP($A916,koronahun!$A:$AM,12,FALSE),"")</f>
        <v/>
      </c>
      <c r="M916" s="13" t="str">
        <f>IFERROR(VLOOKUP($A916,koronahun!$A:$AM,13,FALSE),"")</f>
        <v/>
      </c>
      <c r="N916" s="13" t="str">
        <f>IFERROR(VLOOKUP($A916,koronahun!$A:$AM,14,FALSE),"")</f>
        <v/>
      </c>
      <c r="O916" t="str">
        <f>IFERROR(VLOOKUP($A916,koronahun!$A:$AM,15,FALSE),"")</f>
        <v/>
      </c>
      <c r="P916" t="str">
        <f>IFERROR(VLOOKUP($A916,koronahun!$A:$AM,16,FALSE),"")</f>
        <v/>
      </c>
      <c r="Q916" s="13" t="str">
        <f>IFERROR(VLOOKUP($A916,koronahun!$A:$AM,17,FALSE),"")</f>
        <v/>
      </c>
      <c r="R916" t="str">
        <f>IFERROR(VLOOKUP($A916,koronahun!$A:$AM,18,FALSE),"")</f>
        <v/>
      </c>
      <c r="S916" t="str">
        <f>IFERROR(VLOOKUP($A916,koronahun!$A:$AM,19,FALSE),"")</f>
        <v/>
      </c>
      <c r="T916" t="str">
        <f>IFERROR(VLOOKUP($A916,koronahun!$A:$AM,20,FALSE),"")</f>
        <v/>
      </c>
      <c r="U916" t="str">
        <f>IFERROR(VLOOKUP($A916,koronahun!$A:$AM,21,FALSE),"")</f>
        <v/>
      </c>
      <c r="V916" s="13" t="str">
        <f>IFERROR(VLOOKUP($A916,koronahun!$A:$AM,22,FALSE),"")</f>
        <v/>
      </c>
      <c r="W916" t="str">
        <f>IFERROR(VLOOKUP($A916,koronahun!$A:$AM,23,FALSE),"")</f>
        <v/>
      </c>
      <c r="X916" t="str">
        <f>IFERROR(VLOOKUP($A916,koronahun!$A:$AM,24,FALSE),"")</f>
        <v/>
      </c>
      <c r="Y916" s="14" t="str">
        <f>IFERROR(VLOOKUP($A916,koronahun!$A:$AM,25,FALSE),"")</f>
        <v/>
      </c>
      <c r="Z916" s="14" t="str">
        <f>IFERROR(VLOOKUP($A916,koronahun!$A:$AM,26,FALSE),"")</f>
        <v/>
      </c>
      <c r="AA916" s="14" t="str">
        <f>IFERROR(VLOOKUP($A916,koronahun!$A:$AM,27,FALSE),"")</f>
        <v/>
      </c>
      <c r="AB916" s="14" t="str">
        <f>IFERROR(VLOOKUP($A916,koronahun!$A:$AM,28,FALSE),"")</f>
        <v/>
      </c>
      <c r="AC916" s="14" t="str">
        <f>IFERROR(VLOOKUP($A916,koronahun!$A:$AM,29,FALSE),"")</f>
        <v/>
      </c>
      <c r="AD916" s="14" t="str">
        <f>IFERROR(VLOOKUP($A916,koronahun!$A:$AM,30,FALSE),"")</f>
        <v/>
      </c>
      <c r="AE916" s="14" t="str">
        <f>IFERROR(VLOOKUP($A916,koronahun!$A:$AM,31,FALSE),"")</f>
        <v/>
      </c>
      <c r="AF916" s="13" t="str">
        <f>IFERROR(VLOOKUP($A916,koronahun!$A:$AM,32,FALSE),"")</f>
        <v/>
      </c>
      <c r="AG916" t="str">
        <f>IFERROR(VLOOKUP($A916,koronahun!$A:$AM,33,FALSE),"")</f>
        <v/>
      </c>
      <c r="AH916" t="str">
        <f>IFERROR(VLOOKUP($A916,koronahun!$A:$AM,34,FALSE),"")</f>
        <v/>
      </c>
      <c r="AI916" t="str">
        <f>IFERROR(VLOOKUP($A916,koronahun!$A:$AM,35,FALSE),"")</f>
        <v/>
      </c>
      <c r="AJ916" t="str">
        <f>IFERROR(VLOOKUP($A916,koronahun!$A:$AM,36,FALSE),"")</f>
        <v/>
      </c>
      <c r="AK916" t="str">
        <f>IFERROR(VLOOKUP($A916,koronahun!$A:$AM,37,FALSE),"")</f>
        <v/>
      </c>
      <c r="AL916" t="str">
        <f>IFERROR(VLOOKUP($A916,koronahun!$A:$AM,38,FALSE),"")</f>
        <v/>
      </c>
      <c r="AM916" s="14" t="str">
        <f>IFERROR(VLOOKUP($A916,koronahun!$A:$AM,39,FALSE),"")</f>
        <v/>
      </c>
      <c r="AN916" s="11">
        <f ca="1">IFERROR(__xludf.DUMMYFUNCTION("""COMPUTED_VALUE"""),44808)</f>
        <v>44808</v>
      </c>
      <c r="AO916" s="12">
        <f ca="1">IFERROR(VLOOKUP(AN916,koronahun!A:B,2,FALSE),"")</f>
        <v>0</v>
      </c>
      <c r="AP916" s="11">
        <f t="shared" ca="1" si="6"/>
        <v>44808</v>
      </c>
      <c r="AQ916" s="11"/>
      <c r="AR916" s="11"/>
      <c r="AS916" s="11"/>
      <c r="AT916" s="11"/>
    </row>
    <row r="917" spans="1:46" ht="13">
      <c r="A917" s="11"/>
      <c r="B917" t="str">
        <f>IFERROR(VLOOKUP($A917,koronahun!$A:$AM,2,FALSE),"")</f>
        <v/>
      </c>
      <c r="C917" t="str">
        <f>IFERROR(VLOOKUP($A917,koronahun!$A:$AM,3,FALSE),"")</f>
        <v/>
      </c>
      <c r="D917" t="str">
        <f>IFERROR(VLOOKUP($A917,koronahun!$A:$AM,4,FALSE),"")</f>
        <v/>
      </c>
      <c r="E917" t="str">
        <f>IFERROR(VLOOKUP($A917,koronahun!$A:$AM,5,FALSE),"")</f>
        <v/>
      </c>
      <c r="F917" t="str">
        <f>IFERROR(VLOOKUP($A917,koronahun!$A:$AM,6,FALSE),"")</f>
        <v/>
      </c>
      <c r="G917" s="12" t="str">
        <f>IFERROR(VLOOKUP($A917,koronahun!$A:$AM,7,FALSE),"")</f>
        <v/>
      </c>
      <c r="H917" t="str">
        <f>IFERROR(VLOOKUP($A917,koronahun!$A:$AM,8,FALSE),"")</f>
        <v/>
      </c>
      <c r="I917" s="13" t="str">
        <f>IFERROR(VLOOKUP($A917,koronahun!$A:$AM,9,FALSE),"")</f>
        <v/>
      </c>
      <c r="J917" s="13" t="str">
        <f>IFERROR(VLOOKUP($A917,koronahun!$A:$AM,10,FALSE),"")</f>
        <v/>
      </c>
      <c r="K917" s="13" t="str">
        <f>IFERROR(VLOOKUP($A917,koronahun!$A:$AM,11,FALSE),"")</f>
        <v/>
      </c>
      <c r="L917" t="str">
        <f>IFERROR(VLOOKUP($A917,koronahun!$A:$AM,12,FALSE),"")</f>
        <v/>
      </c>
      <c r="M917" s="13" t="str">
        <f>IFERROR(VLOOKUP($A917,koronahun!$A:$AM,13,FALSE),"")</f>
        <v/>
      </c>
      <c r="N917" s="13" t="str">
        <f>IFERROR(VLOOKUP($A917,koronahun!$A:$AM,14,FALSE),"")</f>
        <v/>
      </c>
      <c r="O917" t="str">
        <f>IFERROR(VLOOKUP($A917,koronahun!$A:$AM,15,FALSE),"")</f>
        <v/>
      </c>
      <c r="P917" t="str">
        <f>IFERROR(VLOOKUP($A917,koronahun!$A:$AM,16,FALSE),"")</f>
        <v/>
      </c>
      <c r="Q917" s="13" t="str">
        <f>IFERROR(VLOOKUP($A917,koronahun!$A:$AM,17,FALSE),"")</f>
        <v/>
      </c>
      <c r="R917" t="str">
        <f>IFERROR(VLOOKUP($A917,koronahun!$A:$AM,18,FALSE),"")</f>
        <v/>
      </c>
      <c r="S917" t="str">
        <f>IFERROR(VLOOKUP($A917,koronahun!$A:$AM,19,FALSE),"")</f>
        <v/>
      </c>
      <c r="T917" t="str">
        <f>IFERROR(VLOOKUP($A917,koronahun!$A:$AM,20,FALSE),"")</f>
        <v/>
      </c>
      <c r="U917" t="str">
        <f>IFERROR(VLOOKUP($A917,koronahun!$A:$AM,21,FALSE),"")</f>
        <v/>
      </c>
      <c r="V917" s="13" t="str">
        <f>IFERROR(VLOOKUP($A917,koronahun!$A:$AM,22,FALSE),"")</f>
        <v/>
      </c>
      <c r="W917" t="str">
        <f>IFERROR(VLOOKUP($A917,koronahun!$A:$AM,23,FALSE),"")</f>
        <v/>
      </c>
      <c r="X917" t="str">
        <f>IFERROR(VLOOKUP($A917,koronahun!$A:$AM,24,FALSE),"")</f>
        <v/>
      </c>
      <c r="Y917" s="14" t="str">
        <f>IFERROR(VLOOKUP($A917,koronahun!$A:$AM,25,FALSE),"")</f>
        <v/>
      </c>
      <c r="Z917" s="14" t="str">
        <f>IFERROR(VLOOKUP($A917,koronahun!$A:$AM,26,FALSE),"")</f>
        <v/>
      </c>
      <c r="AA917" s="14" t="str">
        <f>IFERROR(VLOOKUP($A917,koronahun!$A:$AM,27,FALSE),"")</f>
        <v/>
      </c>
      <c r="AB917" s="14" t="str">
        <f>IFERROR(VLOOKUP($A917,koronahun!$A:$AM,28,FALSE),"")</f>
        <v/>
      </c>
      <c r="AC917" s="14" t="str">
        <f>IFERROR(VLOOKUP($A917,koronahun!$A:$AM,29,FALSE),"")</f>
        <v/>
      </c>
      <c r="AD917" s="14" t="str">
        <f>IFERROR(VLOOKUP($A917,koronahun!$A:$AM,30,FALSE),"")</f>
        <v/>
      </c>
      <c r="AE917" s="14" t="str">
        <f>IFERROR(VLOOKUP($A917,koronahun!$A:$AM,31,FALSE),"")</f>
        <v/>
      </c>
      <c r="AF917" s="13" t="str">
        <f>IFERROR(VLOOKUP($A917,koronahun!$A:$AM,32,FALSE),"")</f>
        <v/>
      </c>
      <c r="AG917" t="str">
        <f>IFERROR(VLOOKUP($A917,koronahun!$A:$AM,33,FALSE),"")</f>
        <v/>
      </c>
      <c r="AH917" t="str">
        <f>IFERROR(VLOOKUP($A917,koronahun!$A:$AM,34,FALSE),"")</f>
        <v/>
      </c>
      <c r="AI917" t="str">
        <f>IFERROR(VLOOKUP($A917,koronahun!$A:$AM,35,FALSE),"")</f>
        <v/>
      </c>
      <c r="AJ917" t="str">
        <f>IFERROR(VLOOKUP($A917,koronahun!$A:$AM,36,FALSE),"")</f>
        <v/>
      </c>
      <c r="AK917" t="str">
        <f>IFERROR(VLOOKUP($A917,koronahun!$A:$AM,37,FALSE),"")</f>
        <v/>
      </c>
      <c r="AL917" t="str">
        <f>IFERROR(VLOOKUP($A917,koronahun!$A:$AM,38,FALSE),"")</f>
        <v/>
      </c>
      <c r="AM917" s="14" t="str">
        <f>IFERROR(VLOOKUP($A917,koronahun!$A:$AM,39,FALSE),"")</f>
        <v/>
      </c>
      <c r="AN917" s="11">
        <f ca="1">IFERROR(__xludf.DUMMYFUNCTION("""COMPUTED_VALUE"""),44809)</f>
        <v>44809</v>
      </c>
      <c r="AO917" s="12">
        <f ca="1">IFERROR(VLOOKUP(AN917,koronahun!A:B,2,FALSE),"")</f>
        <v>0</v>
      </c>
      <c r="AP917" s="11">
        <f t="shared" ca="1" si="6"/>
        <v>44809</v>
      </c>
      <c r="AQ917" s="11"/>
      <c r="AR917" s="11"/>
      <c r="AS917" s="11"/>
      <c r="AT917" s="11"/>
    </row>
    <row r="918" spans="1:46" ht="13">
      <c r="A918" s="11"/>
      <c r="B918" t="str">
        <f>IFERROR(VLOOKUP($A918,koronahun!$A:$AM,2,FALSE),"")</f>
        <v/>
      </c>
      <c r="C918" t="str">
        <f>IFERROR(VLOOKUP($A918,koronahun!$A:$AM,3,FALSE),"")</f>
        <v/>
      </c>
      <c r="D918" t="str">
        <f>IFERROR(VLOOKUP($A918,koronahun!$A:$AM,4,FALSE),"")</f>
        <v/>
      </c>
      <c r="E918" t="str">
        <f>IFERROR(VLOOKUP($A918,koronahun!$A:$AM,5,FALSE),"")</f>
        <v/>
      </c>
      <c r="F918" t="str">
        <f>IFERROR(VLOOKUP($A918,koronahun!$A:$AM,6,FALSE),"")</f>
        <v/>
      </c>
      <c r="G918" s="12" t="str">
        <f>IFERROR(VLOOKUP($A918,koronahun!$A:$AM,7,FALSE),"")</f>
        <v/>
      </c>
      <c r="H918" t="str">
        <f>IFERROR(VLOOKUP($A918,koronahun!$A:$AM,8,FALSE),"")</f>
        <v/>
      </c>
      <c r="I918" s="13" t="str">
        <f>IFERROR(VLOOKUP($A918,koronahun!$A:$AM,9,FALSE),"")</f>
        <v/>
      </c>
      <c r="J918" s="13" t="str">
        <f>IFERROR(VLOOKUP($A918,koronahun!$A:$AM,10,FALSE),"")</f>
        <v/>
      </c>
      <c r="K918" s="13" t="str">
        <f>IFERROR(VLOOKUP($A918,koronahun!$A:$AM,11,FALSE),"")</f>
        <v/>
      </c>
      <c r="L918" t="str">
        <f>IFERROR(VLOOKUP($A918,koronahun!$A:$AM,12,FALSE),"")</f>
        <v/>
      </c>
      <c r="M918" s="13" t="str">
        <f>IFERROR(VLOOKUP($A918,koronahun!$A:$AM,13,FALSE),"")</f>
        <v/>
      </c>
      <c r="N918" s="13" t="str">
        <f>IFERROR(VLOOKUP($A918,koronahun!$A:$AM,14,FALSE),"")</f>
        <v/>
      </c>
      <c r="O918" t="str">
        <f>IFERROR(VLOOKUP($A918,koronahun!$A:$AM,15,FALSE),"")</f>
        <v/>
      </c>
      <c r="P918" t="str">
        <f>IFERROR(VLOOKUP($A918,koronahun!$A:$AM,16,FALSE),"")</f>
        <v/>
      </c>
      <c r="Q918" s="13" t="str">
        <f>IFERROR(VLOOKUP($A918,koronahun!$A:$AM,17,FALSE),"")</f>
        <v/>
      </c>
      <c r="R918" t="str">
        <f>IFERROR(VLOOKUP($A918,koronahun!$A:$AM,18,FALSE),"")</f>
        <v/>
      </c>
      <c r="S918" t="str">
        <f>IFERROR(VLOOKUP($A918,koronahun!$A:$AM,19,FALSE),"")</f>
        <v/>
      </c>
      <c r="T918" t="str">
        <f>IFERROR(VLOOKUP($A918,koronahun!$A:$AM,20,FALSE),"")</f>
        <v/>
      </c>
      <c r="U918" t="str">
        <f>IFERROR(VLOOKUP($A918,koronahun!$A:$AM,21,FALSE),"")</f>
        <v/>
      </c>
      <c r="V918" s="13" t="str">
        <f>IFERROR(VLOOKUP($A918,koronahun!$A:$AM,22,FALSE),"")</f>
        <v/>
      </c>
      <c r="W918" t="str">
        <f>IFERROR(VLOOKUP($A918,koronahun!$A:$AM,23,FALSE),"")</f>
        <v/>
      </c>
      <c r="X918" t="str">
        <f>IFERROR(VLOOKUP($A918,koronahun!$A:$AM,24,FALSE),"")</f>
        <v/>
      </c>
      <c r="Y918" s="14" t="str">
        <f>IFERROR(VLOOKUP($A918,koronahun!$A:$AM,25,FALSE),"")</f>
        <v/>
      </c>
      <c r="Z918" s="14" t="str">
        <f>IFERROR(VLOOKUP($A918,koronahun!$A:$AM,26,FALSE),"")</f>
        <v/>
      </c>
      <c r="AA918" s="14" t="str">
        <f>IFERROR(VLOOKUP($A918,koronahun!$A:$AM,27,FALSE),"")</f>
        <v/>
      </c>
      <c r="AB918" s="14" t="str">
        <f>IFERROR(VLOOKUP($A918,koronahun!$A:$AM,28,FALSE),"")</f>
        <v/>
      </c>
      <c r="AC918" s="14" t="str">
        <f>IFERROR(VLOOKUP($A918,koronahun!$A:$AM,29,FALSE),"")</f>
        <v/>
      </c>
      <c r="AD918" s="14" t="str">
        <f>IFERROR(VLOOKUP($A918,koronahun!$A:$AM,30,FALSE),"")</f>
        <v/>
      </c>
      <c r="AE918" s="14" t="str">
        <f>IFERROR(VLOOKUP($A918,koronahun!$A:$AM,31,FALSE),"")</f>
        <v/>
      </c>
      <c r="AF918" s="13" t="str">
        <f>IFERROR(VLOOKUP($A918,koronahun!$A:$AM,32,FALSE),"")</f>
        <v/>
      </c>
      <c r="AG918" t="str">
        <f>IFERROR(VLOOKUP($A918,koronahun!$A:$AM,33,FALSE),"")</f>
        <v/>
      </c>
      <c r="AH918" t="str">
        <f>IFERROR(VLOOKUP($A918,koronahun!$A:$AM,34,FALSE),"")</f>
        <v/>
      </c>
      <c r="AI918" t="str">
        <f>IFERROR(VLOOKUP($A918,koronahun!$A:$AM,35,FALSE),"")</f>
        <v/>
      </c>
      <c r="AJ918" t="str">
        <f>IFERROR(VLOOKUP($A918,koronahun!$A:$AM,36,FALSE),"")</f>
        <v/>
      </c>
      <c r="AK918" t="str">
        <f>IFERROR(VLOOKUP($A918,koronahun!$A:$AM,37,FALSE),"")</f>
        <v/>
      </c>
      <c r="AL918" t="str">
        <f>IFERROR(VLOOKUP($A918,koronahun!$A:$AM,38,FALSE),"")</f>
        <v/>
      </c>
      <c r="AM918" s="14" t="str">
        <f>IFERROR(VLOOKUP($A918,koronahun!$A:$AM,39,FALSE),"")</f>
        <v/>
      </c>
      <c r="AN918" s="11">
        <f ca="1">IFERROR(__xludf.DUMMYFUNCTION("""COMPUTED_VALUE"""),44810)</f>
        <v>44810</v>
      </c>
      <c r="AO918" s="12">
        <f ca="1">IFERROR(VLOOKUP(AN918,koronahun!A:B,2,FALSE),"")</f>
        <v>0</v>
      </c>
      <c r="AP918" s="11">
        <f t="shared" ca="1" si="6"/>
        <v>44810</v>
      </c>
      <c r="AQ918" s="11"/>
      <c r="AR918" s="11"/>
      <c r="AS918" s="11"/>
      <c r="AT918" s="11"/>
    </row>
    <row r="919" spans="1:46" ht="13">
      <c r="A919" s="11"/>
      <c r="B919" t="str">
        <f>IFERROR(VLOOKUP($A919,koronahun!$A:$AM,2,FALSE),"")</f>
        <v/>
      </c>
      <c r="C919" t="str">
        <f>IFERROR(VLOOKUP($A919,koronahun!$A:$AM,3,FALSE),"")</f>
        <v/>
      </c>
      <c r="D919" t="str">
        <f>IFERROR(VLOOKUP($A919,koronahun!$A:$AM,4,FALSE),"")</f>
        <v/>
      </c>
      <c r="E919" t="str">
        <f>IFERROR(VLOOKUP($A919,koronahun!$A:$AM,5,FALSE),"")</f>
        <v/>
      </c>
      <c r="F919" t="str">
        <f>IFERROR(VLOOKUP($A919,koronahun!$A:$AM,6,FALSE),"")</f>
        <v/>
      </c>
      <c r="G919" s="12" t="str">
        <f>IFERROR(VLOOKUP($A919,koronahun!$A:$AM,7,FALSE),"")</f>
        <v/>
      </c>
      <c r="H919" t="str">
        <f>IFERROR(VLOOKUP($A919,koronahun!$A:$AM,8,FALSE),"")</f>
        <v/>
      </c>
      <c r="I919" s="13" t="str">
        <f>IFERROR(VLOOKUP($A919,koronahun!$A:$AM,9,FALSE),"")</f>
        <v/>
      </c>
      <c r="J919" s="13" t="str">
        <f>IFERROR(VLOOKUP($A919,koronahun!$A:$AM,10,FALSE),"")</f>
        <v/>
      </c>
      <c r="K919" s="13" t="str">
        <f>IFERROR(VLOOKUP($A919,koronahun!$A:$AM,11,FALSE),"")</f>
        <v/>
      </c>
      <c r="L919" t="str">
        <f>IFERROR(VLOOKUP($A919,koronahun!$A:$AM,12,FALSE),"")</f>
        <v/>
      </c>
      <c r="M919" s="13" t="str">
        <f>IFERROR(VLOOKUP($A919,koronahun!$A:$AM,13,FALSE),"")</f>
        <v/>
      </c>
      <c r="N919" s="13" t="str">
        <f>IFERROR(VLOOKUP($A919,koronahun!$A:$AM,14,FALSE),"")</f>
        <v/>
      </c>
      <c r="O919" t="str">
        <f>IFERROR(VLOOKUP($A919,koronahun!$A:$AM,15,FALSE),"")</f>
        <v/>
      </c>
      <c r="P919" t="str">
        <f>IFERROR(VLOOKUP($A919,koronahun!$A:$AM,16,FALSE),"")</f>
        <v/>
      </c>
      <c r="Q919" s="13" t="str">
        <f>IFERROR(VLOOKUP($A919,koronahun!$A:$AM,17,FALSE),"")</f>
        <v/>
      </c>
      <c r="R919" t="str">
        <f>IFERROR(VLOOKUP($A919,koronahun!$A:$AM,18,FALSE),"")</f>
        <v/>
      </c>
      <c r="S919" t="str">
        <f>IFERROR(VLOOKUP($A919,koronahun!$A:$AM,19,FALSE),"")</f>
        <v/>
      </c>
      <c r="T919" t="str">
        <f>IFERROR(VLOOKUP($A919,koronahun!$A:$AM,20,FALSE),"")</f>
        <v/>
      </c>
      <c r="U919" t="str">
        <f>IFERROR(VLOOKUP($A919,koronahun!$A:$AM,21,FALSE),"")</f>
        <v/>
      </c>
      <c r="V919" s="13" t="str">
        <f>IFERROR(VLOOKUP($A919,koronahun!$A:$AM,22,FALSE),"")</f>
        <v/>
      </c>
      <c r="W919" t="str">
        <f>IFERROR(VLOOKUP($A919,koronahun!$A:$AM,23,FALSE),"")</f>
        <v/>
      </c>
      <c r="X919" t="str">
        <f>IFERROR(VLOOKUP($A919,koronahun!$A:$AM,24,FALSE),"")</f>
        <v/>
      </c>
      <c r="Y919" s="14" t="str">
        <f>IFERROR(VLOOKUP($A919,koronahun!$A:$AM,25,FALSE),"")</f>
        <v/>
      </c>
      <c r="Z919" s="14" t="str">
        <f>IFERROR(VLOOKUP($A919,koronahun!$A:$AM,26,FALSE),"")</f>
        <v/>
      </c>
      <c r="AA919" s="14" t="str">
        <f>IFERROR(VLOOKUP($A919,koronahun!$A:$AM,27,FALSE),"")</f>
        <v/>
      </c>
      <c r="AB919" s="14" t="str">
        <f>IFERROR(VLOOKUP($A919,koronahun!$A:$AM,28,FALSE),"")</f>
        <v/>
      </c>
      <c r="AC919" s="14" t="str">
        <f>IFERROR(VLOOKUP($A919,koronahun!$A:$AM,29,FALSE),"")</f>
        <v/>
      </c>
      <c r="AD919" s="14" t="str">
        <f>IFERROR(VLOOKUP($A919,koronahun!$A:$AM,30,FALSE),"")</f>
        <v/>
      </c>
      <c r="AE919" s="14" t="str">
        <f>IFERROR(VLOOKUP($A919,koronahun!$A:$AM,31,FALSE),"")</f>
        <v/>
      </c>
      <c r="AF919" s="13" t="str">
        <f>IFERROR(VLOOKUP($A919,koronahun!$A:$AM,32,FALSE),"")</f>
        <v/>
      </c>
      <c r="AG919" t="str">
        <f>IFERROR(VLOOKUP($A919,koronahun!$A:$AM,33,FALSE),"")</f>
        <v/>
      </c>
      <c r="AH919" t="str">
        <f>IFERROR(VLOOKUP($A919,koronahun!$A:$AM,34,FALSE),"")</f>
        <v/>
      </c>
      <c r="AI919" t="str">
        <f>IFERROR(VLOOKUP($A919,koronahun!$A:$AM,35,FALSE),"")</f>
        <v/>
      </c>
      <c r="AJ919" t="str">
        <f>IFERROR(VLOOKUP($A919,koronahun!$A:$AM,36,FALSE),"")</f>
        <v/>
      </c>
      <c r="AK919" t="str">
        <f>IFERROR(VLOOKUP($A919,koronahun!$A:$AM,37,FALSE),"")</f>
        <v/>
      </c>
      <c r="AL919" t="str">
        <f>IFERROR(VLOOKUP($A919,koronahun!$A:$AM,38,FALSE),"")</f>
        <v/>
      </c>
      <c r="AM919" s="14" t="str">
        <f>IFERROR(VLOOKUP($A919,koronahun!$A:$AM,39,FALSE),"")</f>
        <v/>
      </c>
      <c r="AN919" s="11">
        <f ca="1">IFERROR(__xludf.DUMMYFUNCTION("""COMPUTED_VALUE"""),44811)</f>
        <v>44811</v>
      </c>
      <c r="AO919" s="12">
        <f ca="1">IFERROR(VLOOKUP(AN919,koronahun!A:B,2,FALSE),"")</f>
        <v>2058847</v>
      </c>
      <c r="AP919" s="11">
        <f t="shared" ca="1" si="6"/>
        <v>44811</v>
      </c>
      <c r="AQ919" s="11"/>
      <c r="AR919" s="11"/>
      <c r="AS919" s="11"/>
      <c r="AT919" s="11"/>
    </row>
    <row r="920" spans="1:46" ht="13">
      <c r="A920" s="11"/>
      <c r="B920" t="str">
        <f>IFERROR(VLOOKUP($A920,koronahun!$A:$AM,2,FALSE),"")</f>
        <v/>
      </c>
      <c r="C920" t="str">
        <f>IFERROR(VLOOKUP($A920,koronahun!$A:$AM,3,FALSE),"")</f>
        <v/>
      </c>
      <c r="D920" t="str">
        <f>IFERROR(VLOOKUP($A920,koronahun!$A:$AM,4,FALSE),"")</f>
        <v/>
      </c>
      <c r="E920" t="str">
        <f>IFERROR(VLOOKUP($A920,koronahun!$A:$AM,5,FALSE),"")</f>
        <v/>
      </c>
      <c r="F920" t="str">
        <f>IFERROR(VLOOKUP($A920,koronahun!$A:$AM,6,FALSE),"")</f>
        <v/>
      </c>
      <c r="G920" s="12" t="str">
        <f>IFERROR(VLOOKUP($A920,koronahun!$A:$AM,7,FALSE),"")</f>
        <v/>
      </c>
      <c r="H920" t="str">
        <f>IFERROR(VLOOKUP($A920,koronahun!$A:$AM,8,FALSE),"")</f>
        <v/>
      </c>
      <c r="I920" s="13" t="str">
        <f>IFERROR(VLOOKUP($A920,koronahun!$A:$AM,9,FALSE),"")</f>
        <v/>
      </c>
      <c r="J920" s="13" t="str">
        <f>IFERROR(VLOOKUP($A920,koronahun!$A:$AM,10,FALSE),"")</f>
        <v/>
      </c>
      <c r="K920" s="13" t="str">
        <f>IFERROR(VLOOKUP($A920,koronahun!$A:$AM,11,FALSE),"")</f>
        <v/>
      </c>
      <c r="L920" t="str">
        <f>IFERROR(VLOOKUP($A920,koronahun!$A:$AM,12,FALSE),"")</f>
        <v/>
      </c>
      <c r="M920" s="13" t="str">
        <f>IFERROR(VLOOKUP($A920,koronahun!$A:$AM,13,FALSE),"")</f>
        <v/>
      </c>
      <c r="N920" s="13" t="str">
        <f>IFERROR(VLOOKUP($A920,koronahun!$A:$AM,14,FALSE),"")</f>
        <v/>
      </c>
      <c r="O920" t="str">
        <f>IFERROR(VLOOKUP($A920,koronahun!$A:$AM,15,FALSE),"")</f>
        <v/>
      </c>
      <c r="P920" t="str">
        <f>IFERROR(VLOOKUP($A920,koronahun!$A:$AM,16,FALSE),"")</f>
        <v/>
      </c>
      <c r="Q920" s="13" t="str">
        <f>IFERROR(VLOOKUP($A920,koronahun!$A:$AM,17,FALSE),"")</f>
        <v/>
      </c>
      <c r="R920" t="str">
        <f>IFERROR(VLOOKUP($A920,koronahun!$A:$AM,18,FALSE),"")</f>
        <v/>
      </c>
      <c r="S920" t="str">
        <f>IFERROR(VLOOKUP($A920,koronahun!$A:$AM,19,FALSE),"")</f>
        <v/>
      </c>
      <c r="T920" t="str">
        <f>IFERROR(VLOOKUP($A920,koronahun!$A:$AM,20,FALSE),"")</f>
        <v/>
      </c>
      <c r="U920" t="str">
        <f>IFERROR(VLOOKUP($A920,koronahun!$A:$AM,21,FALSE),"")</f>
        <v/>
      </c>
      <c r="V920" s="13" t="str">
        <f>IFERROR(VLOOKUP($A920,koronahun!$A:$AM,22,FALSE),"")</f>
        <v/>
      </c>
      <c r="W920" t="str">
        <f>IFERROR(VLOOKUP($A920,koronahun!$A:$AM,23,FALSE),"")</f>
        <v/>
      </c>
      <c r="X920" t="str">
        <f>IFERROR(VLOOKUP($A920,koronahun!$A:$AM,24,FALSE),"")</f>
        <v/>
      </c>
      <c r="Y920" s="14" t="str">
        <f>IFERROR(VLOOKUP($A920,koronahun!$A:$AM,25,FALSE),"")</f>
        <v/>
      </c>
      <c r="Z920" s="14" t="str">
        <f>IFERROR(VLOOKUP($A920,koronahun!$A:$AM,26,FALSE),"")</f>
        <v/>
      </c>
      <c r="AA920" s="14" t="str">
        <f>IFERROR(VLOOKUP($A920,koronahun!$A:$AM,27,FALSE),"")</f>
        <v/>
      </c>
      <c r="AB920" s="14" t="str">
        <f>IFERROR(VLOOKUP($A920,koronahun!$A:$AM,28,FALSE),"")</f>
        <v/>
      </c>
      <c r="AC920" s="14" t="str">
        <f>IFERROR(VLOOKUP($A920,koronahun!$A:$AM,29,FALSE),"")</f>
        <v/>
      </c>
      <c r="AD920" s="14" t="str">
        <f>IFERROR(VLOOKUP($A920,koronahun!$A:$AM,30,FALSE),"")</f>
        <v/>
      </c>
      <c r="AE920" s="14" t="str">
        <f>IFERROR(VLOOKUP($A920,koronahun!$A:$AM,31,FALSE),"")</f>
        <v/>
      </c>
      <c r="AF920" s="13" t="str">
        <f>IFERROR(VLOOKUP($A920,koronahun!$A:$AM,32,FALSE),"")</f>
        <v/>
      </c>
      <c r="AG920" t="str">
        <f>IFERROR(VLOOKUP($A920,koronahun!$A:$AM,33,FALSE),"")</f>
        <v/>
      </c>
      <c r="AH920" t="str">
        <f>IFERROR(VLOOKUP($A920,koronahun!$A:$AM,34,FALSE),"")</f>
        <v/>
      </c>
      <c r="AI920" t="str">
        <f>IFERROR(VLOOKUP($A920,koronahun!$A:$AM,35,FALSE),"")</f>
        <v/>
      </c>
      <c r="AJ920" t="str">
        <f>IFERROR(VLOOKUP($A920,koronahun!$A:$AM,36,FALSE),"")</f>
        <v/>
      </c>
      <c r="AK920" t="str">
        <f>IFERROR(VLOOKUP($A920,koronahun!$A:$AM,37,FALSE),"")</f>
        <v/>
      </c>
      <c r="AL920" t="str">
        <f>IFERROR(VLOOKUP($A920,koronahun!$A:$AM,38,FALSE),"")</f>
        <v/>
      </c>
      <c r="AM920" s="14" t="str">
        <f>IFERROR(VLOOKUP($A920,koronahun!$A:$AM,39,FALSE),"")</f>
        <v/>
      </c>
      <c r="AN920" s="11">
        <f ca="1">IFERROR(__xludf.DUMMYFUNCTION("""COMPUTED_VALUE"""),44812)</f>
        <v>44812</v>
      </c>
      <c r="AO920" s="12">
        <f ca="1">IFERROR(VLOOKUP(AN920,koronahun!A:B,2,FALSE),"")</f>
        <v>0</v>
      </c>
      <c r="AP920" s="11">
        <f t="shared" ca="1" si="6"/>
        <v>44812</v>
      </c>
      <c r="AQ920" s="11"/>
      <c r="AR920" s="11"/>
      <c r="AS920" s="11"/>
      <c r="AT920" s="11"/>
    </row>
    <row r="921" spans="1:46" ht="13">
      <c r="A921" s="11"/>
      <c r="B921" t="str">
        <f>IFERROR(VLOOKUP($A921,koronahun!$A:$AM,2,FALSE),"")</f>
        <v/>
      </c>
      <c r="C921" t="str">
        <f>IFERROR(VLOOKUP($A921,koronahun!$A:$AM,3,FALSE),"")</f>
        <v/>
      </c>
      <c r="D921" t="str">
        <f>IFERROR(VLOOKUP($A921,koronahun!$A:$AM,4,FALSE),"")</f>
        <v/>
      </c>
      <c r="E921" t="str">
        <f>IFERROR(VLOOKUP($A921,koronahun!$A:$AM,5,FALSE),"")</f>
        <v/>
      </c>
      <c r="F921" t="str">
        <f>IFERROR(VLOOKUP($A921,koronahun!$A:$AM,6,FALSE),"")</f>
        <v/>
      </c>
      <c r="G921" s="12" t="str">
        <f>IFERROR(VLOOKUP($A921,koronahun!$A:$AM,7,FALSE),"")</f>
        <v/>
      </c>
      <c r="H921" t="str">
        <f>IFERROR(VLOOKUP($A921,koronahun!$A:$AM,8,FALSE),"")</f>
        <v/>
      </c>
      <c r="I921" s="13" t="str">
        <f>IFERROR(VLOOKUP($A921,koronahun!$A:$AM,9,FALSE),"")</f>
        <v/>
      </c>
      <c r="J921" s="13" t="str">
        <f>IFERROR(VLOOKUP($A921,koronahun!$A:$AM,10,FALSE),"")</f>
        <v/>
      </c>
      <c r="K921" s="13" t="str">
        <f>IFERROR(VLOOKUP($A921,koronahun!$A:$AM,11,FALSE),"")</f>
        <v/>
      </c>
      <c r="L921" t="str">
        <f>IFERROR(VLOOKUP($A921,koronahun!$A:$AM,12,FALSE),"")</f>
        <v/>
      </c>
      <c r="M921" s="13" t="str">
        <f>IFERROR(VLOOKUP($A921,koronahun!$A:$AM,13,FALSE),"")</f>
        <v/>
      </c>
      <c r="N921" s="13" t="str">
        <f>IFERROR(VLOOKUP($A921,koronahun!$A:$AM,14,FALSE),"")</f>
        <v/>
      </c>
      <c r="O921" t="str">
        <f>IFERROR(VLOOKUP($A921,koronahun!$A:$AM,15,FALSE),"")</f>
        <v/>
      </c>
      <c r="P921" t="str">
        <f>IFERROR(VLOOKUP($A921,koronahun!$A:$AM,16,FALSE),"")</f>
        <v/>
      </c>
      <c r="Q921" s="13" t="str">
        <f>IFERROR(VLOOKUP($A921,koronahun!$A:$AM,17,FALSE),"")</f>
        <v/>
      </c>
      <c r="R921" t="str">
        <f>IFERROR(VLOOKUP($A921,koronahun!$A:$AM,18,FALSE),"")</f>
        <v/>
      </c>
      <c r="S921" t="str">
        <f>IFERROR(VLOOKUP($A921,koronahun!$A:$AM,19,FALSE),"")</f>
        <v/>
      </c>
      <c r="T921" t="str">
        <f>IFERROR(VLOOKUP($A921,koronahun!$A:$AM,20,FALSE),"")</f>
        <v/>
      </c>
      <c r="U921" t="str">
        <f>IFERROR(VLOOKUP($A921,koronahun!$A:$AM,21,FALSE),"")</f>
        <v/>
      </c>
      <c r="V921" s="13" t="str">
        <f>IFERROR(VLOOKUP($A921,koronahun!$A:$AM,22,FALSE),"")</f>
        <v/>
      </c>
      <c r="W921" t="str">
        <f>IFERROR(VLOOKUP($A921,koronahun!$A:$AM,23,FALSE),"")</f>
        <v/>
      </c>
      <c r="X921" t="str">
        <f>IFERROR(VLOOKUP($A921,koronahun!$A:$AM,24,FALSE),"")</f>
        <v/>
      </c>
      <c r="Y921" s="14" t="str">
        <f>IFERROR(VLOOKUP($A921,koronahun!$A:$AM,25,FALSE),"")</f>
        <v/>
      </c>
      <c r="Z921" s="14" t="str">
        <f>IFERROR(VLOOKUP($A921,koronahun!$A:$AM,26,FALSE),"")</f>
        <v/>
      </c>
      <c r="AA921" s="14" t="str">
        <f>IFERROR(VLOOKUP($A921,koronahun!$A:$AM,27,FALSE),"")</f>
        <v/>
      </c>
      <c r="AB921" s="14" t="str">
        <f>IFERROR(VLOOKUP($A921,koronahun!$A:$AM,28,FALSE),"")</f>
        <v/>
      </c>
      <c r="AC921" s="14" t="str">
        <f>IFERROR(VLOOKUP($A921,koronahun!$A:$AM,29,FALSE),"")</f>
        <v/>
      </c>
      <c r="AD921" s="14" t="str">
        <f>IFERROR(VLOOKUP($A921,koronahun!$A:$AM,30,FALSE),"")</f>
        <v/>
      </c>
      <c r="AE921" s="14" t="str">
        <f>IFERROR(VLOOKUP($A921,koronahun!$A:$AM,31,FALSE),"")</f>
        <v/>
      </c>
      <c r="AF921" s="13" t="str">
        <f>IFERROR(VLOOKUP($A921,koronahun!$A:$AM,32,FALSE),"")</f>
        <v/>
      </c>
      <c r="AG921" t="str">
        <f>IFERROR(VLOOKUP($A921,koronahun!$A:$AM,33,FALSE),"")</f>
        <v/>
      </c>
      <c r="AH921" t="str">
        <f>IFERROR(VLOOKUP($A921,koronahun!$A:$AM,34,FALSE),"")</f>
        <v/>
      </c>
      <c r="AI921" t="str">
        <f>IFERROR(VLOOKUP($A921,koronahun!$A:$AM,35,FALSE),"")</f>
        <v/>
      </c>
      <c r="AJ921" t="str">
        <f>IFERROR(VLOOKUP($A921,koronahun!$A:$AM,36,FALSE),"")</f>
        <v/>
      </c>
      <c r="AK921" t="str">
        <f>IFERROR(VLOOKUP($A921,koronahun!$A:$AM,37,FALSE),"")</f>
        <v/>
      </c>
      <c r="AL921" t="str">
        <f>IFERROR(VLOOKUP($A921,koronahun!$A:$AM,38,FALSE),"")</f>
        <v/>
      </c>
      <c r="AM921" s="14" t="str">
        <f>IFERROR(VLOOKUP($A921,koronahun!$A:$AM,39,FALSE),"")</f>
        <v/>
      </c>
      <c r="AN921" s="11">
        <f ca="1">IFERROR(__xludf.DUMMYFUNCTION("""COMPUTED_VALUE"""),44813)</f>
        <v>44813</v>
      </c>
      <c r="AO921" s="12">
        <f ca="1">IFERROR(VLOOKUP(AN921,koronahun!A:B,2,FALSE),"")</f>
        <v>0</v>
      </c>
      <c r="AP921" s="11">
        <f t="shared" ca="1" si="6"/>
        <v>44813</v>
      </c>
      <c r="AQ921" s="11"/>
      <c r="AR921" s="11"/>
      <c r="AS921" s="11"/>
      <c r="AT921" s="11"/>
    </row>
    <row r="922" spans="1:46" ht="13">
      <c r="A922" s="11"/>
      <c r="B922" t="str">
        <f>IFERROR(VLOOKUP($A922,koronahun!$A:$AM,2,FALSE),"")</f>
        <v/>
      </c>
      <c r="C922" t="str">
        <f>IFERROR(VLOOKUP($A922,koronahun!$A:$AM,3,FALSE),"")</f>
        <v/>
      </c>
      <c r="D922" t="str">
        <f>IFERROR(VLOOKUP($A922,koronahun!$A:$AM,4,FALSE),"")</f>
        <v/>
      </c>
      <c r="E922" t="str">
        <f>IFERROR(VLOOKUP($A922,koronahun!$A:$AM,5,FALSE),"")</f>
        <v/>
      </c>
      <c r="F922" t="str">
        <f>IFERROR(VLOOKUP($A922,koronahun!$A:$AM,6,FALSE),"")</f>
        <v/>
      </c>
      <c r="G922" s="12" t="str">
        <f>IFERROR(VLOOKUP($A922,koronahun!$A:$AM,7,FALSE),"")</f>
        <v/>
      </c>
      <c r="H922" t="str">
        <f>IFERROR(VLOOKUP($A922,koronahun!$A:$AM,8,FALSE),"")</f>
        <v/>
      </c>
      <c r="I922" s="13" t="str">
        <f>IFERROR(VLOOKUP($A922,koronahun!$A:$AM,9,FALSE),"")</f>
        <v/>
      </c>
      <c r="J922" s="13" t="str">
        <f>IFERROR(VLOOKUP($A922,koronahun!$A:$AM,10,FALSE),"")</f>
        <v/>
      </c>
      <c r="K922" s="13" t="str">
        <f>IFERROR(VLOOKUP($A922,koronahun!$A:$AM,11,FALSE),"")</f>
        <v/>
      </c>
      <c r="L922" t="str">
        <f>IFERROR(VLOOKUP($A922,koronahun!$A:$AM,12,FALSE),"")</f>
        <v/>
      </c>
      <c r="M922" s="13" t="str">
        <f>IFERROR(VLOOKUP($A922,koronahun!$A:$AM,13,FALSE),"")</f>
        <v/>
      </c>
      <c r="N922" s="13" t="str">
        <f>IFERROR(VLOOKUP($A922,koronahun!$A:$AM,14,FALSE),"")</f>
        <v/>
      </c>
      <c r="O922" t="str">
        <f>IFERROR(VLOOKUP($A922,koronahun!$A:$AM,15,FALSE),"")</f>
        <v/>
      </c>
      <c r="P922" t="str">
        <f>IFERROR(VLOOKUP($A922,koronahun!$A:$AM,16,FALSE),"")</f>
        <v/>
      </c>
      <c r="Q922" s="13" t="str">
        <f>IFERROR(VLOOKUP($A922,koronahun!$A:$AM,17,FALSE),"")</f>
        <v/>
      </c>
      <c r="R922" t="str">
        <f>IFERROR(VLOOKUP($A922,koronahun!$A:$AM,18,FALSE),"")</f>
        <v/>
      </c>
      <c r="S922" t="str">
        <f>IFERROR(VLOOKUP($A922,koronahun!$A:$AM,19,FALSE),"")</f>
        <v/>
      </c>
      <c r="T922" t="str">
        <f>IFERROR(VLOOKUP($A922,koronahun!$A:$AM,20,FALSE),"")</f>
        <v/>
      </c>
      <c r="U922" t="str">
        <f>IFERROR(VLOOKUP($A922,koronahun!$A:$AM,21,FALSE),"")</f>
        <v/>
      </c>
      <c r="V922" s="13" t="str">
        <f>IFERROR(VLOOKUP($A922,koronahun!$A:$AM,22,FALSE),"")</f>
        <v/>
      </c>
      <c r="W922" t="str">
        <f>IFERROR(VLOOKUP($A922,koronahun!$A:$AM,23,FALSE),"")</f>
        <v/>
      </c>
      <c r="X922" t="str">
        <f>IFERROR(VLOOKUP($A922,koronahun!$A:$AM,24,FALSE),"")</f>
        <v/>
      </c>
      <c r="Y922" s="14" t="str">
        <f>IFERROR(VLOOKUP($A922,koronahun!$A:$AM,25,FALSE),"")</f>
        <v/>
      </c>
      <c r="Z922" s="14" t="str">
        <f>IFERROR(VLOOKUP($A922,koronahun!$A:$AM,26,FALSE),"")</f>
        <v/>
      </c>
      <c r="AA922" s="14" t="str">
        <f>IFERROR(VLOOKUP($A922,koronahun!$A:$AM,27,FALSE),"")</f>
        <v/>
      </c>
      <c r="AB922" s="14" t="str">
        <f>IFERROR(VLOOKUP($A922,koronahun!$A:$AM,28,FALSE),"")</f>
        <v/>
      </c>
      <c r="AC922" s="14" t="str">
        <f>IFERROR(VLOOKUP($A922,koronahun!$A:$AM,29,FALSE),"")</f>
        <v/>
      </c>
      <c r="AD922" s="14" t="str">
        <f>IFERROR(VLOOKUP($A922,koronahun!$A:$AM,30,FALSE),"")</f>
        <v/>
      </c>
      <c r="AE922" s="14" t="str">
        <f>IFERROR(VLOOKUP($A922,koronahun!$A:$AM,31,FALSE),"")</f>
        <v/>
      </c>
      <c r="AF922" s="13" t="str">
        <f>IFERROR(VLOOKUP($A922,koronahun!$A:$AM,32,FALSE),"")</f>
        <v/>
      </c>
      <c r="AG922" t="str">
        <f>IFERROR(VLOOKUP($A922,koronahun!$A:$AM,33,FALSE),"")</f>
        <v/>
      </c>
      <c r="AH922" t="str">
        <f>IFERROR(VLOOKUP($A922,koronahun!$A:$AM,34,FALSE),"")</f>
        <v/>
      </c>
      <c r="AI922" t="str">
        <f>IFERROR(VLOOKUP($A922,koronahun!$A:$AM,35,FALSE),"")</f>
        <v/>
      </c>
      <c r="AJ922" t="str">
        <f>IFERROR(VLOOKUP($A922,koronahun!$A:$AM,36,FALSE),"")</f>
        <v/>
      </c>
      <c r="AK922" t="str">
        <f>IFERROR(VLOOKUP($A922,koronahun!$A:$AM,37,FALSE),"")</f>
        <v/>
      </c>
      <c r="AL922" t="str">
        <f>IFERROR(VLOOKUP($A922,koronahun!$A:$AM,38,FALSE),"")</f>
        <v/>
      </c>
      <c r="AM922" s="14" t="str">
        <f>IFERROR(VLOOKUP($A922,koronahun!$A:$AM,39,FALSE),"")</f>
        <v/>
      </c>
      <c r="AN922" s="11">
        <f ca="1">IFERROR(__xludf.DUMMYFUNCTION("""COMPUTED_VALUE"""),44814)</f>
        <v>44814</v>
      </c>
      <c r="AO922" s="12">
        <f ca="1">IFERROR(VLOOKUP(AN922,koronahun!A:B,2,FALSE),"")</f>
        <v>0</v>
      </c>
      <c r="AP922" s="11">
        <f t="shared" ca="1" si="6"/>
        <v>44814</v>
      </c>
      <c r="AQ922" s="11"/>
      <c r="AR922" s="11"/>
      <c r="AS922" s="11"/>
      <c r="AT922" s="11"/>
    </row>
    <row r="923" spans="1:46" ht="13">
      <c r="A923" s="11"/>
      <c r="B923" t="str">
        <f>IFERROR(VLOOKUP($A923,koronahun!$A:$AM,2,FALSE),"")</f>
        <v/>
      </c>
      <c r="C923" t="str">
        <f>IFERROR(VLOOKUP($A923,koronahun!$A:$AM,3,FALSE),"")</f>
        <v/>
      </c>
      <c r="D923" t="str">
        <f>IFERROR(VLOOKUP($A923,koronahun!$A:$AM,4,FALSE),"")</f>
        <v/>
      </c>
      <c r="E923" t="str">
        <f>IFERROR(VLOOKUP($A923,koronahun!$A:$AM,5,FALSE),"")</f>
        <v/>
      </c>
      <c r="F923" t="str">
        <f>IFERROR(VLOOKUP($A923,koronahun!$A:$AM,6,FALSE),"")</f>
        <v/>
      </c>
      <c r="G923" s="12" t="str">
        <f>IFERROR(VLOOKUP($A923,koronahun!$A:$AM,7,FALSE),"")</f>
        <v/>
      </c>
      <c r="H923" t="str">
        <f>IFERROR(VLOOKUP($A923,koronahun!$A:$AM,8,FALSE),"")</f>
        <v/>
      </c>
      <c r="I923" s="13" t="str">
        <f>IFERROR(VLOOKUP($A923,koronahun!$A:$AM,9,FALSE),"")</f>
        <v/>
      </c>
      <c r="J923" s="13" t="str">
        <f>IFERROR(VLOOKUP($A923,koronahun!$A:$AM,10,FALSE),"")</f>
        <v/>
      </c>
      <c r="K923" s="13" t="str">
        <f>IFERROR(VLOOKUP($A923,koronahun!$A:$AM,11,FALSE),"")</f>
        <v/>
      </c>
      <c r="L923" t="str">
        <f>IFERROR(VLOOKUP($A923,koronahun!$A:$AM,12,FALSE),"")</f>
        <v/>
      </c>
      <c r="M923" s="13" t="str">
        <f>IFERROR(VLOOKUP($A923,koronahun!$A:$AM,13,FALSE),"")</f>
        <v/>
      </c>
      <c r="N923" s="13" t="str">
        <f>IFERROR(VLOOKUP($A923,koronahun!$A:$AM,14,FALSE),"")</f>
        <v/>
      </c>
      <c r="O923" t="str">
        <f>IFERROR(VLOOKUP($A923,koronahun!$A:$AM,15,FALSE),"")</f>
        <v/>
      </c>
      <c r="P923" t="str">
        <f>IFERROR(VLOOKUP($A923,koronahun!$A:$AM,16,FALSE),"")</f>
        <v/>
      </c>
      <c r="Q923" s="13" t="str">
        <f>IFERROR(VLOOKUP($A923,koronahun!$A:$AM,17,FALSE),"")</f>
        <v/>
      </c>
      <c r="R923" t="str">
        <f>IFERROR(VLOOKUP($A923,koronahun!$A:$AM,18,FALSE),"")</f>
        <v/>
      </c>
      <c r="S923" t="str">
        <f>IFERROR(VLOOKUP($A923,koronahun!$A:$AM,19,FALSE),"")</f>
        <v/>
      </c>
      <c r="T923" t="str">
        <f>IFERROR(VLOOKUP($A923,koronahun!$A:$AM,20,FALSE),"")</f>
        <v/>
      </c>
      <c r="U923" t="str">
        <f>IFERROR(VLOOKUP($A923,koronahun!$A:$AM,21,FALSE),"")</f>
        <v/>
      </c>
      <c r="V923" s="13" t="str">
        <f>IFERROR(VLOOKUP($A923,koronahun!$A:$AM,22,FALSE),"")</f>
        <v/>
      </c>
      <c r="W923" t="str">
        <f>IFERROR(VLOOKUP($A923,koronahun!$A:$AM,23,FALSE),"")</f>
        <v/>
      </c>
      <c r="X923" t="str">
        <f>IFERROR(VLOOKUP($A923,koronahun!$A:$AM,24,FALSE),"")</f>
        <v/>
      </c>
      <c r="Y923" s="14" t="str">
        <f>IFERROR(VLOOKUP($A923,koronahun!$A:$AM,25,FALSE),"")</f>
        <v/>
      </c>
      <c r="Z923" s="14" t="str">
        <f>IFERROR(VLOOKUP($A923,koronahun!$A:$AM,26,FALSE),"")</f>
        <v/>
      </c>
      <c r="AA923" s="14" t="str">
        <f>IFERROR(VLOOKUP($A923,koronahun!$A:$AM,27,FALSE),"")</f>
        <v/>
      </c>
      <c r="AB923" s="14" t="str">
        <f>IFERROR(VLOOKUP($A923,koronahun!$A:$AM,28,FALSE),"")</f>
        <v/>
      </c>
      <c r="AC923" s="14" t="str">
        <f>IFERROR(VLOOKUP($A923,koronahun!$A:$AM,29,FALSE),"")</f>
        <v/>
      </c>
      <c r="AD923" s="14" t="str">
        <f>IFERROR(VLOOKUP($A923,koronahun!$A:$AM,30,FALSE),"")</f>
        <v/>
      </c>
      <c r="AE923" s="14" t="str">
        <f>IFERROR(VLOOKUP($A923,koronahun!$A:$AM,31,FALSE),"")</f>
        <v/>
      </c>
      <c r="AF923" s="13" t="str">
        <f>IFERROR(VLOOKUP($A923,koronahun!$A:$AM,32,FALSE),"")</f>
        <v/>
      </c>
      <c r="AG923" t="str">
        <f>IFERROR(VLOOKUP($A923,koronahun!$A:$AM,33,FALSE),"")</f>
        <v/>
      </c>
      <c r="AH923" t="str">
        <f>IFERROR(VLOOKUP($A923,koronahun!$A:$AM,34,FALSE),"")</f>
        <v/>
      </c>
      <c r="AI923" t="str">
        <f>IFERROR(VLOOKUP($A923,koronahun!$A:$AM,35,FALSE),"")</f>
        <v/>
      </c>
      <c r="AJ923" t="str">
        <f>IFERROR(VLOOKUP($A923,koronahun!$A:$AM,36,FALSE),"")</f>
        <v/>
      </c>
      <c r="AK923" t="str">
        <f>IFERROR(VLOOKUP($A923,koronahun!$A:$AM,37,FALSE),"")</f>
        <v/>
      </c>
      <c r="AL923" t="str">
        <f>IFERROR(VLOOKUP($A923,koronahun!$A:$AM,38,FALSE),"")</f>
        <v/>
      </c>
      <c r="AM923" s="14" t="str">
        <f>IFERROR(VLOOKUP($A923,koronahun!$A:$AM,39,FALSE),"")</f>
        <v/>
      </c>
      <c r="AN923" s="11">
        <f ca="1">IFERROR(__xludf.DUMMYFUNCTION("""COMPUTED_VALUE"""),44815)</f>
        <v>44815</v>
      </c>
      <c r="AO923" s="12">
        <f ca="1">IFERROR(VLOOKUP(AN923,koronahun!A:B,2,FALSE),"")</f>
        <v>0</v>
      </c>
      <c r="AP923" s="11">
        <f t="shared" ca="1" si="6"/>
        <v>44815</v>
      </c>
      <c r="AQ923" s="11"/>
      <c r="AR923" s="11"/>
      <c r="AS923" s="11"/>
      <c r="AT923" s="11"/>
    </row>
    <row r="924" spans="1:46" ht="13">
      <c r="A924" s="11"/>
      <c r="B924" t="str">
        <f>IFERROR(VLOOKUP($A924,koronahun!$A:$AM,2,FALSE),"")</f>
        <v/>
      </c>
      <c r="C924" t="str">
        <f>IFERROR(VLOOKUP($A924,koronahun!$A:$AM,3,FALSE),"")</f>
        <v/>
      </c>
      <c r="D924" t="str">
        <f>IFERROR(VLOOKUP($A924,koronahun!$A:$AM,4,FALSE),"")</f>
        <v/>
      </c>
      <c r="E924" t="str">
        <f>IFERROR(VLOOKUP($A924,koronahun!$A:$AM,5,FALSE),"")</f>
        <v/>
      </c>
      <c r="F924" t="str">
        <f>IFERROR(VLOOKUP($A924,koronahun!$A:$AM,6,FALSE),"")</f>
        <v/>
      </c>
      <c r="G924" s="12" t="str">
        <f>IFERROR(VLOOKUP($A924,koronahun!$A:$AM,7,FALSE),"")</f>
        <v/>
      </c>
      <c r="H924" t="str">
        <f>IFERROR(VLOOKUP($A924,koronahun!$A:$AM,8,FALSE),"")</f>
        <v/>
      </c>
      <c r="I924" s="13" t="str">
        <f>IFERROR(VLOOKUP($A924,koronahun!$A:$AM,9,FALSE),"")</f>
        <v/>
      </c>
      <c r="J924" s="13" t="str">
        <f>IFERROR(VLOOKUP($A924,koronahun!$A:$AM,10,FALSE),"")</f>
        <v/>
      </c>
      <c r="K924" s="13" t="str">
        <f>IFERROR(VLOOKUP($A924,koronahun!$A:$AM,11,FALSE),"")</f>
        <v/>
      </c>
      <c r="L924" t="str">
        <f>IFERROR(VLOOKUP($A924,koronahun!$A:$AM,12,FALSE),"")</f>
        <v/>
      </c>
      <c r="M924" s="13" t="str">
        <f>IFERROR(VLOOKUP($A924,koronahun!$A:$AM,13,FALSE),"")</f>
        <v/>
      </c>
      <c r="N924" s="13" t="str">
        <f>IFERROR(VLOOKUP($A924,koronahun!$A:$AM,14,FALSE),"")</f>
        <v/>
      </c>
      <c r="O924" t="str">
        <f>IFERROR(VLOOKUP($A924,koronahun!$A:$AM,15,FALSE),"")</f>
        <v/>
      </c>
      <c r="P924" t="str">
        <f>IFERROR(VLOOKUP($A924,koronahun!$A:$AM,16,FALSE),"")</f>
        <v/>
      </c>
      <c r="Q924" s="13" t="str">
        <f>IFERROR(VLOOKUP($A924,koronahun!$A:$AM,17,FALSE),"")</f>
        <v/>
      </c>
      <c r="R924" t="str">
        <f>IFERROR(VLOOKUP($A924,koronahun!$A:$AM,18,FALSE),"")</f>
        <v/>
      </c>
      <c r="S924" t="str">
        <f>IFERROR(VLOOKUP($A924,koronahun!$A:$AM,19,FALSE),"")</f>
        <v/>
      </c>
      <c r="T924" t="str">
        <f>IFERROR(VLOOKUP($A924,koronahun!$A:$AM,20,FALSE),"")</f>
        <v/>
      </c>
      <c r="U924" t="str">
        <f>IFERROR(VLOOKUP($A924,koronahun!$A:$AM,21,FALSE),"")</f>
        <v/>
      </c>
      <c r="V924" s="13" t="str">
        <f>IFERROR(VLOOKUP($A924,koronahun!$A:$AM,22,FALSE),"")</f>
        <v/>
      </c>
      <c r="W924" t="str">
        <f>IFERROR(VLOOKUP($A924,koronahun!$A:$AM,23,FALSE),"")</f>
        <v/>
      </c>
      <c r="X924" t="str">
        <f>IFERROR(VLOOKUP($A924,koronahun!$A:$AM,24,FALSE),"")</f>
        <v/>
      </c>
      <c r="Y924" s="14" t="str">
        <f>IFERROR(VLOOKUP($A924,koronahun!$A:$AM,25,FALSE),"")</f>
        <v/>
      </c>
      <c r="Z924" s="14" t="str">
        <f>IFERROR(VLOOKUP($A924,koronahun!$A:$AM,26,FALSE),"")</f>
        <v/>
      </c>
      <c r="AA924" s="14" t="str">
        <f>IFERROR(VLOOKUP($A924,koronahun!$A:$AM,27,FALSE),"")</f>
        <v/>
      </c>
      <c r="AB924" s="14" t="str">
        <f>IFERROR(VLOOKUP($A924,koronahun!$A:$AM,28,FALSE),"")</f>
        <v/>
      </c>
      <c r="AC924" s="14" t="str">
        <f>IFERROR(VLOOKUP($A924,koronahun!$A:$AM,29,FALSE),"")</f>
        <v/>
      </c>
      <c r="AD924" s="14" t="str">
        <f>IFERROR(VLOOKUP($A924,koronahun!$A:$AM,30,FALSE),"")</f>
        <v/>
      </c>
      <c r="AE924" s="14" t="str">
        <f>IFERROR(VLOOKUP($A924,koronahun!$A:$AM,31,FALSE),"")</f>
        <v/>
      </c>
      <c r="AF924" s="13" t="str">
        <f>IFERROR(VLOOKUP($A924,koronahun!$A:$AM,32,FALSE),"")</f>
        <v/>
      </c>
      <c r="AG924" t="str">
        <f>IFERROR(VLOOKUP($A924,koronahun!$A:$AM,33,FALSE),"")</f>
        <v/>
      </c>
      <c r="AH924" t="str">
        <f>IFERROR(VLOOKUP($A924,koronahun!$A:$AM,34,FALSE),"")</f>
        <v/>
      </c>
      <c r="AI924" t="str">
        <f>IFERROR(VLOOKUP($A924,koronahun!$A:$AM,35,FALSE),"")</f>
        <v/>
      </c>
      <c r="AJ924" t="str">
        <f>IFERROR(VLOOKUP($A924,koronahun!$A:$AM,36,FALSE),"")</f>
        <v/>
      </c>
      <c r="AK924" t="str">
        <f>IFERROR(VLOOKUP($A924,koronahun!$A:$AM,37,FALSE),"")</f>
        <v/>
      </c>
      <c r="AL924" t="str">
        <f>IFERROR(VLOOKUP($A924,koronahun!$A:$AM,38,FALSE),"")</f>
        <v/>
      </c>
      <c r="AM924" s="14" t="str">
        <f>IFERROR(VLOOKUP($A924,koronahun!$A:$AM,39,FALSE),"")</f>
        <v/>
      </c>
      <c r="AN924" s="11">
        <f ca="1">IFERROR(__xludf.DUMMYFUNCTION("""COMPUTED_VALUE"""),44816)</f>
        <v>44816</v>
      </c>
      <c r="AO924" s="12">
        <f ca="1">IFERROR(VLOOKUP(AN924,koronahun!A:B,2,FALSE),"")</f>
        <v>0</v>
      </c>
      <c r="AP924" s="11">
        <f t="shared" ca="1" si="6"/>
        <v>44816</v>
      </c>
      <c r="AQ924" s="11"/>
      <c r="AR924" s="11"/>
      <c r="AS924" s="11"/>
      <c r="AT924" s="11"/>
    </row>
    <row r="925" spans="1:46" ht="13">
      <c r="A925" s="11"/>
      <c r="B925" t="str">
        <f>IFERROR(VLOOKUP($A925,koronahun!$A:$AM,2,FALSE),"")</f>
        <v/>
      </c>
      <c r="C925" t="str">
        <f>IFERROR(VLOOKUP($A925,koronahun!$A:$AM,3,FALSE),"")</f>
        <v/>
      </c>
      <c r="D925" t="str">
        <f>IFERROR(VLOOKUP($A925,koronahun!$A:$AM,4,FALSE),"")</f>
        <v/>
      </c>
      <c r="E925" t="str">
        <f>IFERROR(VLOOKUP($A925,koronahun!$A:$AM,5,FALSE),"")</f>
        <v/>
      </c>
      <c r="F925" t="str">
        <f>IFERROR(VLOOKUP($A925,koronahun!$A:$AM,6,FALSE),"")</f>
        <v/>
      </c>
      <c r="G925" s="12" t="str">
        <f>IFERROR(VLOOKUP($A925,koronahun!$A:$AM,7,FALSE),"")</f>
        <v/>
      </c>
      <c r="H925" t="str">
        <f>IFERROR(VLOOKUP($A925,koronahun!$A:$AM,8,FALSE),"")</f>
        <v/>
      </c>
      <c r="I925" s="13" t="str">
        <f>IFERROR(VLOOKUP($A925,koronahun!$A:$AM,9,FALSE),"")</f>
        <v/>
      </c>
      <c r="J925" s="13" t="str">
        <f>IFERROR(VLOOKUP($A925,koronahun!$A:$AM,10,FALSE),"")</f>
        <v/>
      </c>
      <c r="K925" s="13" t="str">
        <f>IFERROR(VLOOKUP($A925,koronahun!$A:$AM,11,FALSE),"")</f>
        <v/>
      </c>
      <c r="L925" t="str">
        <f>IFERROR(VLOOKUP($A925,koronahun!$A:$AM,12,FALSE),"")</f>
        <v/>
      </c>
      <c r="M925" s="13" t="str">
        <f>IFERROR(VLOOKUP($A925,koronahun!$A:$AM,13,FALSE),"")</f>
        <v/>
      </c>
      <c r="N925" s="13" t="str">
        <f>IFERROR(VLOOKUP($A925,koronahun!$A:$AM,14,FALSE),"")</f>
        <v/>
      </c>
      <c r="O925" t="str">
        <f>IFERROR(VLOOKUP($A925,koronahun!$A:$AM,15,FALSE),"")</f>
        <v/>
      </c>
      <c r="P925" t="str">
        <f>IFERROR(VLOOKUP($A925,koronahun!$A:$AM,16,FALSE),"")</f>
        <v/>
      </c>
      <c r="Q925" s="13" t="str">
        <f>IFERROR(VLOOKUP($A925,koronahun!$A:$AM,17,FALSE),"")</f>
        <v/>
      </c>
      <c r="R925" t="str">
        <f>IFERROR(VLOOKUP($A925,koronahun!$A:$AM,18,FALSE),"")</f>
        <v/>
      </c>
      <c r="S925" t="str">
        <f>IFERROR(VLOOKUP($A925,koronahun!$A:$AM,19,FALSE),"")</f>
        <v/>
      </c>
      <c r="T925" t="str">
        <f>IFERROR(VLOOKUP($A925,koronahun!$A:$AM,20,FALSE),"")</f>
        <v/>
      </c>
      <c r="U925" t="str">
        <f>IFERROR(VLOOKUP($A925,koronahun!$A:$AM,21,FALSE),"")</f>
        <v/>
      </c>
      <c r="V925" s="13" t="str">
        <f>IFERROR(VLOOKUP($A925,koronahun!$A:$AM,22,FALSE),"")</f>
        <v/>
      </c>
      <c r="W925" t="str">
        <f>IFERROR(VLOOKUP($A925,koronahun!$A:$AM,23,FALSE),"")</f>
        <v/>
      </c>
      <c r="X925" t="str">
        <f>IFERROR(VLOOKUP($A925,koronahun!$A:$AM,24,FALSE),"")</f>
        <v/>
      </c>
      <c r="Y925" s="14" t="str">
        <f>IFERROR(VLOOKUP($A925,koronahun!$A:$AM,25,FALSE),"")</f>
        <v/>
      </c>
      <c r="Z925" s="14" t="str">
        <f>IFERROR(VLOOKUP($A925,koronahun!$A:$AM,26,FALSE),"")</f>
        <v/>
      </c>
      <c r="AA925" s="14" t="str">
        <f>IFERROR(VLOOKUP($A925,koronahun!$A:$AM,27,FALSE),"")</f>
        <v/>
      </c>
      <c r="AB925" s="14" t="str">
        <f>IFERROR(VLOOKUP($A925,koronahun!$A:$AM,28,FALSE),"")</f>
        <v/>
      </c>
      <c r="AC925" s="14" t="str">
        <f>IFERROR(VLOOKUP($A925,koronahun!$A:$AM,29,FALSE),"")</f>
        <v/>
      </c>
      <c r="AD925" s="14" t="str">
        <f>IFERROR(VLOOKUP($A925,koronahun!$A:$AM,30,FALSE),"")</f>
        <v/>
      </c>
      <c r="AE925" s="14" t="str">
        <f>IFERROR(VLOOKUP($A925,koronahun!$A:$AM,31,FALSE),"")</f>
        <v/>
      </c>
      <c r="AF925" s="13" t="str">
        <f>IFERROR(VLOOKUP($A925,koronahun!$A:$AM,32,FALSE),"")</f>
        <v/>
      </c>
      <c r="AG925" t="str">
        <f>IFERROR(VLOOKUP($A925,koronahun!$A:$AM,33,FALSE),"")</f>
        <v/>
      </c>
      <c r="AH925" t="str">
        <f>IFERROR(VLOOKUP($A925,koronahun!$A:$AM,34,FALSE),"")</f>
        <v/>
      </c>
      <c r="AI925" t="str">
        <f>IFERROR(VLOOKUP($A925,koronahun!$A:$AM,35,FALSE),"")</f>
        <v/>
      </c>
      <c r="AJ925" t="str">
        <f>IFERROR(VLOOKUP($A925,koronahun!$A:$AM,36,FALSE),"")</f>
        <v/>
      </c>
      <c r="AK925" t="str">
        <f>IFERROR(VLOOKUP($A925,koronahun!$A:$AM,37,FALSE),"")</f>
        <v/>
      </c>
      <c r="AL925" t="str">
        <f>IFERROR(VLOOKUP($A925,koronahun!$A:$AM,38,FALSE),"")</f>
        <v/>
      </c>
      <c r="AM925" s="14" t="str">
        <f>IFERROR(VLOOKUP($A925,koronahun!$A:$AM,39,FALSE),"")</f>
        <v/>
      </c>
      <c r="AN925" s="11">
        <f ca="1">IFERROR(__xludf.DUMMYFUNCTION("""COMPUTED_VALUE"""),44817)</f>
        <v>44817</v>
      </c>
      <c r="AO925" s="12">
        <f ca="1">IFERROR(VLOOKUP(AN925,koronahun!A:B,2,FALSE),"")</f>
        <v>0</v>
      </c>
      <c r="AP925" s="11">
        <f t="shared" ca="1" si="6"/>
        <v>44817</v>
      </c>
      <c r="AQ925" s="11"/>
      <c r="AR925" s="11"/>
      <c r="AS925" s="11"/>
      <c r="AT925" s="11"/>
    </row>
    <row r="926" spans="1:46" ht="13">
      <c r="A926" s="11"/>
      <c r="B926" t="str">
        <f>IFERROR(VLOOKUP($A926,koronahun!$A:$AM,2,FALSE),"")</f>
        <v/>
      </c>
      <c r="C926" t="str">
        <f>IFERROR(VLOOKUP($A926,koronahun!$A:$AM,3,FALSE),"")</f>
        <v/>
      </c>
      <c r="D926" t="str">
        <f>IFERROR(VLOOKUP($A926,koronahun!$A:$AM,4,FALSE),"")</f>
        <v/>
      </c>
      <c r="E926" t="str">
        <f>IFERROR(VLOOKUP($A926,koronahun!$A:$AM,5,FALSE),"")</f>
        <v/>
      </c>
      <c r="F926" t="str">
        <f>IFERROR(VLOOKUP($A926,koronahun!$A:$AM,6,FALSE),"")</f>
        <v/>
      </c>
      <c r="G926" s="12" t="str">
        <f>IFERROR(VLOOKUP($A926,koronahun!$A:$AM,7,FALSE),"")</f>
        <v/>
      </c>
      <c r="H926" t="str">
        <f>IFERROR(VLOOKUP($A926,koronahun!$A:$AM,8,FALSE),"")</f>
        <v/>
      </c>
      <c r="I926" s="13" t="str">
        <f>IFERROR(VLOOKUP($A926,koronahun!$A:$AM,9,FALSE),"")</f>
        <v/>
      </c>
      <c r="J926" s="13" t="str">
        <f>IFERROR(VLOOKUP($A926,koronahun!$A:$AM,10,FALSE),"")</f>
        <v/>
      </c>
      <c r="K926" s="13" t="str">
        <f>IFERROR(VLOOKUP($A926,koronahun!$A:$AM,11,FALSE),"")</f>
        <v/>
      </c>
      <c r="L926" t="str">
        <f>IFERROR(VLOOKUP($A926,koronahun!$A:$AM,12,FALSE),"")</f>
        <v/>
      </c>
      <c r="M926" s="13" t="str">
        <f>IFERROR(VLOOKUP($A926,koronahun!$A:$AM,13,FALSE),"")</f>
        <v/>
      </c>
      <c r="N926" s="13" t="str">
        <f>IFERROR(VLOOKUP($A926,koronahun!$A:$AM,14,FALSE),"")</f>
        <v/>
      </c>
      <c r="O926" t="str">
        <f>IFERROR(VLOOKUP($A926,koronahun!$A:$AM,15,FALSE),"")</f>
        <v/>
      </c>
      <c r="P926" t="str">
        <f>IFERROR(VLOOKUP($A926,koronahun!$A:$AM,16,FALSE),"")</f>
        <v/>
      </c>
      <c r="Q926" s="13" t="str">
        <f>IFERROR(VLOOKUP($A926,koronahun!$A:$AM,17,FALSE),"")</f>
        <v/>
      </c>
      <c r="R926" t="str">
        <f>IFERROR(VLOOKUP($A926,koronahun!$A:$AM,18,FALSE),"")</f>
        <v/>
      </c>
      <c r="S926" t="str">
        <f>IFERROR(VLOOKUP($A926,koronahun!$A:$AM,19,FALSE),"")</f>
        <v/>
      </c>
      <c r="T926" t="str">
        <f>IFERROR(VLOOKUP($A926,koronahun!$A:$AM,20,FALSE),"")</f>
        <v/>
      </c>
      <c r="U926" t="str">
        <f>IFERROR(VLOOKUP($A926,koronahun!$A:$AM,21,FALSE),"")</f>
        <v/>
      </c>
      <c r="V926" s="13" t="str">
        <f>IFERROR(VLOOKUP($A926,koronahun!$A:$AM,22,FALSE),"")</f>
        <v/>
      </c>
      <c r="W926" t="str">
        <f>IFERROR(VLOOKUP($A926,koronahun!$A:$AM,23,FALSE),"")</f>
        <v/>
      </c>
      <c r="X926" t="str">
        <f>IFERROR(VLOOKUP($A926,koronahun!$A:$AM,24,FALSE),"")</f>
        <v/>
      </c>
      <c r="Y926" s="14" t="str">
        <f>IFERROR(VLOOKUP($A926,koronahun!$A:$AM,25,FALSE),"")</f>
        <v/>
      </c>
      <c r="Z926" s="14" t="str">
        <f>IFERROR(VLOOKUP($A926,koronahun!$A:$AM,26,FALSE),"")</f>
        <v/>
      </c>
      <c r="AA926" s="14" t="str">
        <f>IFERROR(VLOOKUP($A926,koronahun!$A:$AM,27,FALSE),"")</f>
        <v/>
      </c>
      <c r="AB926" s="14" t="str">
        <f>IFERROR(VLOOKUP($A926,koronahun!$A:$AM,28,FALSE),"")</f>
        <v/>
      </c>
      <c r="AC926" s="14" t="str">
        <f>IFERROR(VLOOKUP($A926,koronahun!$A:$AM,29,FALSE),"")</f>
        <v/>
      </c>
      <c r="AD926" s="14" t="str">
        <f>IFERROR(VLOOKUP($A926,koronahun!$A:$AM,30,FALSE),"")</f>
        <v/>
      </c>
      <c r="AE926" s="14" t="str">
        <f>IFERROR(VLOOKUP($A926,koronahun!$A:$AM,31,FALSE),"")</f>
        <v/>
      </c>
      <c r="AF926" s="13" t="str">
        <f>IFERROR(VLOOKUP($A926,koronahun!$A:$AM,32,FALSE),"")</f>
        <v/>
      </c>
      <c r="AG926" t="str">
        <f>IFERROR(VLOOKUP($A926,koronahun!$A:$AM,33,FALSE),"")</f>
        <v/>
      </c>
      <c r="AH926" t="str">
        <f>IFERROR(VLOOKUP($A926,koronahun!$A:$AM,34,FALSE),"")</f>
        <v/>
      </c>
      <c r="AI926" t="str">
        <f>IFERROR(VLOOKUP($A926,koronahun!$A:$AM,35,FALSE),"")</f>
        <v/>
      </c>
      <c r="AJ926" t="str">
        <f>IFERROR(VLOOKUP($A926,koronahun!$A:$AM,36,FALSE),"")</f>
        <v/>
      </c>
      <c r="AK926" t="str">
        <f>IFERROR(VLOOKUP($A926,koronahun!$A:$AM,37,FALSE),"")</f>
        <v/>
      </c>
      <c r="AL926" t="str">
        <f>IFERROR(VLOOKUP($A926,koronahun!$A:$AM,38,FALSE),"")</f>
        <v/>
      </c>
      <c r="AM926" s="14" t="str">
        <f>IFERROR(VLOOKUP($A926,koronahun!$A:$AM,39,FALSE),"")</f>
        <v/>
      </c>
      <c r="AN926" s="11">
        <f ca="1">IFERROR(__xludf.DUMMYFUNCTION("""COMPUTED_VALUE"""),44818)</f>
        <v>44818</v>
      </c>
      <c r="AO926" s="12">
        <f ca="1">IFERROR(VLOOKUP(AN926,koronahun!A:B,2,FALSE),"")</f>
        <v>2070443</v>
      </c>
      <c r="AP926" s="11">
        <f t="shared" ca="1" si="6"/>
        <v>44818</v>
      </c>
      <c r="AQ926" s="11"/>
      <c r="AR926" s="11"/>
      <c r="AS926" s="11"/>
      <c r="AT926" s="11"/>
    </row>
    <row r="927" spans="1:46" ht="13">
      <c r="A927" s="11"/>
      <c r="B927" t="str">
        <f>IFERROR(VLOOKUP($A927,koronahun!$A:$AM,2,FALSE),"")</f>
        <v/>
      </c>
      <c r="C927" t="str">
        <f>IFERROR(VLOOKUP($A927,koronahun!$A:$AM,3,FALSE),"")</f>
        <v/>
      </c>
      <c r="D927" t="str">
        <f>IFERROR(VLOOKUP($A927,koronahun!$A:$AM,4,FALSE),"")</f>
        <v/>
      </c>
      <c r="E927" t="str">
        <f>IFERROR(VLOOKUP($A927,koronahun!$A:$AM,5,FALSE),"")</f>
        <v/>
      </c>
      <c r="F927" t="str">
        <f>IFERROR(VLOOKUP($A927,koronahun!$A:$AM,6,FALSE),"")</f>
        <v/>
      </c>
      <c r="G927" s="12" t="str">
        <f>IFERROR(VLOOKUP($A927,koronahun!$A:$AM,7,FALSE),"")</f>
        <v/>
      </c>
      <c r="H927" t="str">
        <f>IFERROR(VLOOKUP($A927,koronahun!$A:$AM,8,FALSE),"")</f>
        <v/>
      </c>
      <c r="I927" s="13" t="str">
        <f>IFERROR(VLOOKUP($A927,koronahun!$A:$AM,9,FALSE),"")</f>
        <v/>
      </c>
      <c r="J927" s="13" t="str">
        <f>IFERROR(VLOOKUP($A927,koronahun!$A:$AM,10,FALSE),"")</f>
        <v/>
      </c>
      <c r="K927" s="13" t="str">
        <f>IFERROR(VLOOKUP($A927,koronahun!$A:$AM,11,FALSE),"")</f>
        <v/>
      </c>
      <c r="L927" t="str">
        <f>IFERROR(VLOOKUP($A927,koronahun!$A:$AM,12,FALSE),"")</f>
        <v/>
      </c>
      <c r="M927" s="13" t="str">
        <f>IFERROR(VLOOKUP($A927,koronahun!$A:$AM,13,FALSE),"")</f>
        <v/>
      </c>
      <c r="N927" s="13" t="str">
        <f>IFERROR(VLOOKUP($A927,koronahun!$A:$AM,14,FALSE),"")</f>
        <v/>
      </c>
      <c r="O927" t="str">
        <f>IFERROR(VLOOKUP($A927,koronahun!$A:$AM,15,FALSE),"")</f>
        <v/>
      </c>
      <c r="P927" t="str">
        <f>IFERROR(VLOOKUP($A927,koronahun!$A:$AM,16,FALSE),"")</f>
        <v/>
      </c>
      <c r="Q927" s="13" t="str">
        <f>IFERROR(VLOOKUP($A927,koronahun!$A:$AM,17,FALSE),"")</f>
        <v/>
      </c>
      <c r="R927" t="str">
        <f>IFERROR(VLOOKUP($A927,koronahun!$A:$AM,18,FALSE),"")</f>
        <v/>
      </c>
      <c r="S927" t="str">
        <f>IFERROR(VLOOKUP($A927,koronahun!$A:$AM,19,FALSE),"")</f>
        <v/>
      </c>
      <c r="T927" t="str">
        <f>IFERROR(VLOOKUP($A927,koronahun!$A:$AM,20,FALSE),"")</f>
        <v/>
      </c>
      <c r="U927" t="str">
        <f>IFERROR(VLOOKUP($A927,koronahun!$A:$AM,21,FALSE),"")</f>
        <v/>
      </c>
      <c r="V927" s="13" t="str">
        <f>IFERROR(VLOOKUP($A927,koronahun!$A:$AM,22,FALSE),"")</f>
        <v/>
      </c>
      <c r="W927" t="str">
        <f>IFERROR(VLOOKUP($A927,koronahun!$A:$AM,23,FALSE),"")</f>
        <v/>
      </c>
      <c r="X927" t="str">
        <f>IFERROR(VLOOKUP($A927,koronahun!$A:$AM,24,FALSE),"")</f>
        <v/>
      </c>
      <c r="Y927" s="14" t="str">
        <f>IFERROR(VLOOKUP($A927,koronahun!$A:$AM,25,FALSE),"")</f>
        <v/>
      </c>
      <c r="Z927" s="14" t="str">
        <f>IFERROR(VLOOKUP($A927,koronahun!$A:$AM,26,FALSE),"")</f>
        <v/>
      </c>
      <c r="AA927" s="14" t="str">
        <f>IFERROR(VLOOKUP($A927,koronahun!$A:$AM,27,FALSE),"")</f>
        <v/>
      </c>
      <c r="AB927" s="14" t="str">
        <f>IFERROR(VLOOKUP($A927,koronahun!$A:$AM,28,FALSE),"")</f>
        <v/>
      </c>
      <c r="AC927" s="14" t="str">
        <f>IFERROR(VLOOKUP($A927,koronahun!$A:$AM,29,FALSE),"")</f>
        <v/>
      </c>
      <c r="AD927" s="14" t="str">
        <f>IFERROR(VLOOKUP($A927,koronahun!$A:$AM,30,FALSE),"")</f>
        <v/>
      </c>
      <c r="AE927" s="14" t="str">
        <f>IFERROR(VLOOKUP($A927,koronahun!$A:$AM,31,FALSE),"")</f>
        <v/>
      </c>
      <c r="AF927" s="13" t="str">
        <f>IFERROR(VLOOKUP($A927,koronahun!$A:$AM,32,FALSE),"")</f>
        <v/>
      </c>
      <c r="AG927" t="str">
        <f>IFERROR(VLOOKUP($A927,koronahun!$A:$AM,33,FALSE),"")</f>
        <v/>
      </c>
      <c r="AH927" t="str">
        <f>IFERROR(VLOOKUP($A927,koronahun!$A:$AM,34,FALSE),"")</f>
        <v/>
      </c>
      <c r="AI927" t="str">
        <f>IFERROR(VLOOKUP($A927,koronahun!$A:$AM,35,FALSE),"")</f>
        <v/>
      </c>
      <c r="AJ927" t="str">
        <f>IFERROR(VLOOKUP($A927,koronahun!$A:$AM,36,FALSE),"")</f>
        <v/>
      </c>
      <c r="AK927" t="str">
        <f>IFERROR(VLOOKUP($A927,koronahun!$A:$AM,37,FALSE),"")</f>
        <v/>
      </c>
      <c r="AL927" t="str">
        <f>IFERROR(VLOOKUP($A927,koronahun!$A:$AM,38,FALSE),"")</f>
        <v/>
      </c>
      <c r="AM927" s="14" t="str">
        <f>IFERROR(VLOOKUP($A927,koronahun!$A:$AM,39,FALSE),"")</f>
        <v/>
      </c>
      <c r="AN927" s="11">
        <f ca="1">IFERROR(__xludf.DUMMYFUNCTION("""COMPUTED_VALUE"""),44819)</f>
        <v>44819</v>
      </c>
      <c r="AO927" s="12">
        <f ca="1">IFERROR(VLOOKUP(AN927,koronahun!A:B,2,FALSE),"")</f>
        <v>0</v>
      </c>
      <c r="AP927" s="11">
        <f t="shared" ca="1" si="6"/>
        <v>44819</v>
      </c>
      <c r="AQ927" s="11"/>
      <c r="AR927" s="11"/>
      <c r="AS927" s="11"/>
      <c r="AT927" s="11"/>
    </row>
    <row r="928" spans="1:46" ht="13">
      <c r="A928" s="11"/>
      <c r="B928" t="str">
        <f>IFERROR(VLOOKUP($A928,koronahun!$A:$AM,2,FALSE),"")</f>
        <v/>
      </c>
      <c r="C928" t="str">
        <f>IFERROR(VLOOKUP($A928,koronahun!$A:$AM,3,FALSE),"")</f>
        <v/>
      </c>
      <c r="D928" t="str">
        <f>IFERROR(VLOOKUP($A928,koronahun!$A:$AM,4,FALSE),"")</f>
        <v/>
      </c>
      <c r="E928" t="str">
        <f>IFERROR(VLOOKUP($A928,koronahun!$A:$AM,5,FALSE),"")</f>
        <v/>
      </c>
      <c r="F928" t="str">
        <f>IFERROR(VLOOKUP($A928,koronahun!$A:$AM,6,FALSE),"")</f>
        <v/>
      </c>
      <c r="G928" s="12" t="str">
        <f>IFERROR(VLOOKUP($A928,koronahun!$A:$AM,7,FALSE),"")</f>
        <v/>
      </c>
      <c r="H928" t="str">
        <f>IFERROR(VLOOKUP($A928,koronahun!$A:$AM,8,FALSE),"")</f>
        <v/>
      </c>
      <c r="I928" s="13" t="str">
        <f>IFERROR(VLOOKUP($A928,koronahun!$A:$AM,9,FALSE),"")</f>
        <v/>
      </c>
      <c r="J928" s="13" t="str">
        <f>IFERROR(VLOOKUP($A928,koronahun!$A:$AM,10,FALSE),"")</f>
        <v/>
      </c>
      <c r="K928" s="13" t="str">
        <f>IFERROR(VLOOKUP($A928,koronahun!$A:$AM,11,FALSE),"")</f>
        <v/>
      </c>
      <c r="L928" t="str">
        <f>IFERROR(VLOOKUP($A928,koronahun!$A:$AM,12,FALSE),"")</f>
        <v/>
      </c>
      <c r="M928" s="13" t="str">
        <f>IFERROR(VLOOKUP($A928,koronahun!$A:$AM,13,FALSE),"")</f>
        <v/>
      </c>
      <c r="N928" s="13" t="str">
        <f>IFERROR(VLOOKUP($A928,koronahun!$A:$AM,14,FALSE),"")</f>
        <v/>
      </c>
      <c r="O928" t="str">
        <f>IFERROR(VLOOKUP($A928,koronahun!$A:$AM,15,FALSE),"")</f>
        <v/>
      </c>
      <c r="P928" t="str">
        <f>IFERROR(VLOOKUP($A928,koronahun!$A:$AM,16,FALSE),"")</f>
        <v/>
      </c>
      <c r="Q928" s="13" t="str">
        <f>IFERROR(VLOOKUP($A928,koronahun!$A:$AM,17,FALSE),"")</f>
        <v/>
      </c>
      <c r="R928" t="str">
        <f>IFERROR(VLOOKUP($A928,koronahun!$A:$AM,18,FALSE),"")</f>
        <v/>
      </c>
      <c r="S928" t="str">
        <f>IFERROR(VLOOKUP($A928,koronahun!$A:$AM,19,FALSE),"")</f>
        <v/>
      </c>
      <c r="T928" t="str">
        <f>IFERROR(VLOOKUP($A928,koronahun!$A:$AM,20,FALSE),"")</f>
        <v/>
      </c>
      <c r="U928" t="str">
        <f>IFERROR(VLOOKUP($A928,koronahun!$A:$AM,21,FALSE),"")</f>
        <v/>
      </c>
      <c r="V928" s="13" t="str">
        <f>IFERROR(VLOOKUP($A928,koronahun!$A:$AM,22,FALSE),"")</f>
        <v/>
      </c>
      <c r="W928" t="str">
        <f>IFERROR(VLOOKUP($A928,koronahun!$A:$AM,23,FALSE),"")</f>
        <v/>
      </c>
      <c r="X928" t="str">
        <f>IFERROR(VLOOKUP($A928,koronahun!$A:$AM,24,FALSE),"")</f>
        <v/>
      </c>
      <c r="Y928" s="14" t="str">
        <f>IFERROR(VLOOKUP($A928,koronahun!$A:$AM,25,FALSE),"")</f>
        <v/>
      </c>
      <c r="Z928" s="14" t="str">
        <f>IFERROR(VLOOKUP($A928,koronahun!$A:$AM,26,FALSE),"")</f>
        <v/>
      </c>
      <c r="AA928" s="14" t="str">
        <f>IFERROR(VLOOKUP($A928,koronahun!$A:$AM,27,FALSE),"")</f>
        <v/>
      </c>
      <c r="AB928" s="14" t="str">
        <f>IFERROR(VLOOKUP($A928,koronahun!$A:$AM,28,FALSE),"")</f>
        <v/>
      </c>
      <c r="AC928" s="14" t="str">
        <f>IFERROR(VLOOKUP($A928,koronahun!$A:$AM,29,FALSE),"")</f>
        <v/>
      </c>
      <c r="AD928" s="14" t="str">
        <f>IFERROR(VLOOKUP($A928,koronahun!$A:$AM,30,FALSE),"")</f>
        <v/>
      </c>
      <c r="AE928" s="14" t="str">
        <f>IFERROR(VLOOKUP($A928,koronahun!$A:$AM,31,FALSE),"")</f>
        <v/>
      </c>
      <c r="AF928" s="13" t="str">
        <f>IFERROR(VLOOKUP($A928,koronahun!$A:$AM,32,FALSE),"")</f>
        <v/>
      </c>
      <c r="AG928" t="str">
        <f>IFERROR(VLOOKUP($A928,koronahun!$A:$AM,33,FALSE),"")</f>
        <v/>
      </c>
      <c r="AH928" t="str">
        <f>IFERROR(VLOOKUP($A928,koronahun!$A:$AM,34,FALSE),"")</f>
        <v/>
      </c>
      <c r="AI928" t="str">
        <f>IFERROR(VLOOKUP($A928,koronahun!$A:$AM,35,FALSE),"")</f>
        <v/>
      </c>
      <c r="AJ928" t="str">
        <f>IFERROR(VLOOKUP($A928,koronahun!$A:$AM,36,FALSE),"")</f>
        <v/>
      </c>
      <c r="AK928" t="str">
        <f>IFERROR(VLOOKUP($A928,koronahun!$A:$AM,37,FALSE),"")</f>
        <v/>
      </c>
      <c r="AL928" t="str">
        <f>IFERROR(VLOOKUP($A928,koronahun!$A:$AM,38,FALSE),"")</f>
        <v/>
      </c>
      <c r="AM928" s="14" t="str">
        <f>IFERROR(VLOOKUP($A928,koronahun!$A:$AM,39,FALSE),"")</f>
        <v/>
      </c>
      <c r="AN928" s="11">
        <f ca="1">IFERROR(__xludf.DUMMYFUNCTION("""COMPUTED_VALUE"""),44820)</f>
        <v>44820</v>
      </c>
      <c r="AO928" s="12">
        <f ca="1">IFERROR(VLOOKUP(AN928,koronahun!A:B,2,FALSE),"")</f>
        <v>0</v>
      </c>
      <c r="AP928" s="11">
        <f t="shared" ca="1" si="6"/>
        <v>44820</v>
      </c>
      <c r="AQ928" s="11"/>
      <c r="AR928" s="11"/>
      <c r="AS928" s="11"/>
      <c r="AT928" s="11"/>
    </row>
    <row r="929" spans="1:46" ht="13">
      <c r="A929" s="11"/>
      <c r="B929" t="str">
        <f>IFERROR(VLOOKUP($A929,koronahun!$A:$AM,2,FALSE),"")</f>
        <v/>
      </c>
      <c r="C929" t="str">
        <f>IFERROR(VLOOKUP($A929,koronahun!$A:$AM,3,FALSE),"")</f>
        <v/>
      </c>
      <c r="D929" t="str">
        <f>IFERROR(VLOOKUP($A929,koronahun!$A:$AM,4,FALSE),"")</f>
        <v/>
      </c>
      <c r="E929" t="str">
        <f>IFERROR(VLOOKUP($A929,koronahun!$A:$AM,5,FALSE),"")</f>
        <v/>
      </c>
      <c r="F929" t="str">
        <f>IFERROR(VLOOKUP($A929,koronahun!$A:$AM,6,FALSE),"")</f>
        <v/>
      </c>
      <c r="G929" s="12" t="str">
        <f>IFERROR(VLOOKUP($A929,koronahun!$A:$AM,7,FALSE),"")</f>
        <v/>
      </c>
      <c r="H929" t="str">
        <f>IFERROR(VLOOKUP($A929,koronahun!$A:$AM,8,FALSE),"")</f>
        <v/>
      </c>
      <c r="I929" s="13" t="str">
        <f>IFERROR(VLOOKUP($A929,koronahun!$A:$AM,9,FALSE),"")</f>
        <v/>
      </c>
      <c r="J929" s="13" t="str">
        <f>IFERROR(VLOOKUP($A929,koronahun!$A:$AM,10,FALSE),"")</f>
        <v/>
      </c>
      <c r="K929" s="13" t="str">
        <f>IFERROR(VLOOKUP($A929,koronahun!$A:$AM,11,FALSE),"")</f>
        <v/>
      </c>
      <c r="L929" t="str">
        <f>IFERROR(VLOOKUP($A929,koronahun!$A:$AM,12,FALSE),"")</f>
        <v/>
      </c>
      <c r="M929" s="13" t="str">
        <f>IFERROR(VLOOKUP($A929,koronahun!$A:$AM,13,FALSE),"")</f>
        <v/>
      </c>
      <c r="N929" s="13" t="str">
        <f>IFERROR(VLOOKUP($A929,koronahun!$A:$AM,14,FALSE),"")</f>
        <v/>
      </c>
      <c r="O929" t="str">
        <f>IFERROR(VLOOKUP($A929,koronahun!$A:$AM,15,FALSE),"")</f>
        <v/>
      </c>
      <c r="P929" t="str">
        <f>IFERROR(VLOOKUP($A929,koronahun!$A:$AM,16,FALSE),"")</f>
        <v/>
      </c>
      <c r="Q929" s="13" t="str">
        <f>IFERROR(VLOOKUP($A929,koronahun!$A:$AM,17,FALSE),"")</f>
        <v/>
      </c>
      <c r="R929" t="str">
        <f>IFERROR(VLOOKUP($A929,koronahun!$A:$AM,18,FALSE),"")</f>
        <v/>
      </c>
      <c r="S929" t="str">
        <f>IFERROR(VLOOKUP($A929,koronahun!$A:$AM,19,FALSE),"")</f>
        <v/>
      </c>
      <c r="T929" t="str">
        <f>IFERROR(VLOOKUP($A929,koronahun!$A:$AM,20,FALSE),"")</f>
        <v/>
      </c>
      <c r="U929" t="str">
        <f>IFERROR(VLOOKUP($A929,koronahun!$A:$AM,21,FALSE),"")</f>
        <v/>
      </c>
      <c r="V929" s="13" t="str">
        <f>IFERROR(VLOOKUP($A929,koronahun!$A:$AM,22,FALSE),"")</f>
        <v/>
      </c>
      <c r="W929" t="str">
        <f>IFERROR(VLOOKUP($A929,koronahun!$A:$AM,23,FALSE),"")</f>
        <v/>
      </c>
      <c r="X929" t="str">
        <f>IFERROR(VLOOKUP($A929,koronahun!$A:$AM,24,FALSE),"")</f>
        <v/>
      </c>
      <c r="Y929" s="14" t="str">
        <f>IFERROR(VLOOKUP($A929,koronahun!$A:$AM,25,FALSE),"")</f>
        <v/>
      </c>
      <c r="Z929" s="14" t="str">
        <f>IFERROR(VLOOKUP($A929,koronahun!$A:$AM,26,FALSE),"")</f>
        <v/>
      </c>
      <c r="AA929" s="14" t="str">
        <f>IFERROR(VLOOKUP($A929,koronahun!$A:$AM,27,FALSE),"")</f>
        <v/>
      </c>
      <c r="AB929" s="14" t="str">
        <f>IFERROR(VLOOKUP($A929,koronahun!$A:$AM,28,FALSE),"")</f>
        <v/>
      </c>
      <c r="AC929" s="14" t="str">
        <f>IFERROR(VLOOKUP($A929,koronahun!$A:$AM,29,FALSE),"")</f>
        <v/>
      </c>
      <c r="AD929" s="14" t="str">
        <f>IFERROR(VLOOKUP($A929,koronahun!$A:$AM,30,FALSE),"")</f>
        <v/>
      </c>
      <c r="AE929" s="14" t="str">
        <f>IFERROR(VLOOKUP($A929,koronahun!$A:$AM,31,FALSE),"")</f>
        <v/>
      </c>
      <c r="AF929" s="13" t="str">
        <f>IFERROR(VLOOKUP($A929,koronahun!$A:$AM,32,FALSE),"")</f>
        <v/>
      </c>
      <c r="AG929" t="str">
        <f>IFERROR(VLOOKUP($A929,koronahun!$A:$AM,33,FALSE),"")</f>
        <v/>
      </c>
      <c r="AH929" t="str">
        <f>IFERROR(VLOOKUP($A929,koronahun!$A:$AM,34,FALSE),"")</f>
        <v/>
      </c>
      <c r="AI929" t="str">
        <f>IFERROR(VLOOKUP($A929,koronahun!$A:$AM,35,FALSE),"")</f>
        <v/>
      </c>
      <c r="AJ929" t="str">
        <f>IFERROR(VLOOKUP($A929,koronahun!$A:$AM,36,FALSE),"")</f>
        <v/>
      </c>
      <c r="AK929" t="str">
        <f>IFERROR(VLOOKUP($A929,koronahun!$A:$AM,37,FALSE),"")</f>
        <v/>
      </c>
      <c r="AL929" t="str">
        <f>IFERROR(VLOOKUP($A929,koronahun!$A:$AM,38,FALSE),"")</f>
        <v/>
      </c>
      <c r="AM929" s="14" t="str">
        <f>IFERROR(VLOOKUP($A929,koronahun!$A:$AM,39,FALSE),"")</f>
        <v/>
      </c>
      <c r="AN929" s="11">
        <f ca="1">IFERROR(__xludf.DUMMYFUNCTION("""COMPUTED_VALUE"""),44821)</f>
        <v>44821</v>
      </c>
      <c r="AO929" s="12">
        <f ca="1">IFERROR(VLOOKUP(AN929,koronahun!A:B,2,FALSE),"")</f>
        <v>0</v>
      </c>
      <c r="AP929" s="11">
        <f t="shared" ca="1" si="6"/>
        <v>44821</v>
      </c>
      <c r="AQ929" s="11"/>
      <c r="AR929" s="11"/>
      <c r="AS929" s="11"/>
      <c r="AT929" s="11"/>
    </row>
    <row r="930" spans="1:46" ht="13">
      <c r="A930" s="11"/>
      <c r="B930" t="str">
        <f>IFERROR(VLOOKUP($A930,koronahun!$A:$AM,2,FALSE),"")</f>
        <v/>
      </c>
      <c r="C930" t="str">
        <f>IFERROR(VLOOKUP($A930,koronahun!$A:$AM,3,FALSE),"")</f>
        <v/>
      </c>
      <c r="D930" t="str">
        <f>IFERROR(VLOOKUP($A930,koronahun!$A:$AM,4,FALSE),"")</f>
        <v/>
      </c>
      <c r="E930" t="str">
        <f>IFERROR(VLOOKUP($A930,koronahun!$A:$AM,5,FALSE),"")</f>
        <v/>
      </c>
      <c r="F930" t="str">
        <f>IFERROR(VLOOKUP($A930,koronahun!$A:$AM,6,FALSE),"")</f>
        <v/>
      </c>
      <c r="G930" s="12" t="str">
        <f>IFERROR(VLOOKUP($A930,koronahun!$A:$AM,7,FALSE),"")</f>
        <v/>
      </c>
      <c r="H930" t="str">
        <f>IFERROR(VLOOKUP($A930,koronahun!$A:$AM,8,FALSE),"")</f>
        <v/>
      </c>
      <c r="I930" s="13" t="str">
        <f>IFERROR(VLOOKUP($A930,koronahun!$A:$AM,9,FALSE),"")</f>
        <v/>
      </c>
      <c r="J930" s="13" t="str">
        <f>IFERROR(VLOOKUP($A930,koronahun!$A:$AM,10,FALSE),"")</f>
        <v/>
      </c>
      <c r="K930" s="13" t="str">
        <f>IFERROR(VLOOKUP($A930,koronahun!$A:$AM,11,FALSE),"")</f>
        <v/>
      </c>
      <c r="L930" t="str">
        <f>IFERROR(VLOOKUP($A930,koronahun!$A:$AM,12,FALSE),"")</f>
        <v/>
      </c>
      <c r="M930" s="13" t="str">
        <f>IFERROR(VLOOKUP($A930,koronahun!$A:$AM,13,FALSE),"")</f>
        <v/>
      </c>
      <c r="N930" s="13" t="str">
        <f>IFERROR(VLOOKUP($A930,koronahun!$A:$AM,14,FALSE),"")</f>
        <v/>
      </c>
      <c r="O930" t="str">
        <f>IFERROR(VLOOKUP($A930,koronahun!$A:$AM,15,FALSE),"")</f>
        <v/>
      </c>
      <c r="P930" t="str">
        <f>IFERROR(VLOOKUP($A930,koronahun!$A:$AM,16,FALSE),"")</f>
        <v/>
      </c>
      <c r="Q930" s="13" t="str">
        <f>IFERROR(VLOOKUP($A930,koronahun!$A:$AM,17,FALSE),"")</f>
        <v/>
      </c>
      <c r="R930" t="str">
        <f>IFERROR(VLOOKUP($A930,koronahun!$A:$AM,18,FALSE),"")</f>
        <v/>
      </c>
      <c r="S930" t="str">
        <f>IFERROR(VLOOKUP($A930,koronahun!$A:$AM,19,FALSE),"")</f>
        <v/>
      </c>
      <c r="T930" t="str">
        <f>IFERROR(VLOOKUP($A930,koronahun!$A:$AM,20,FALSE),"")</f>
        <v/>
      </c>
      <c r="U930" t="str">
        <f>IFERROR(VLOOKUP($A930,koronahun!$A:$AM,21,FALSE),"")</f>
        <v/>
      </c>
      <c r="V930" s="13" t="str">
        <f>IFERROR(VLOOKUP($A930,koronahun!$A:$AM,22,FALSE),"")</f>
        <v/>
      </c>
      <c r="W930" t="str">
        <f>IFERROR(VLOOKUP($A930,koronahun!$A:$AM,23,FALSE),"")</f>
        <v/>
      </c>
      <c r="X930" t="str">
        <f>IFERROR(VLOOKUP($A930,koronahun!$A:$AM,24,FALSE),"")</f>
        <v/>
      </c>
      <c r="Y930" s="14" t="str">
        <f>IFERROR(VLOOKUP($A930,koronahun!$A:$AM,25,FALSE),"")</f>
        <v/>
      </c>
      <c r="Z930" s="14" t="str">
        <f>IFERROR(VLOOKUP($A930,koronahun!$A:$AM,26,FALSE),"")</f>
        <v/>
      </c>
      <c r="AA930" s="14" t="str">
        <f>IFERROR(VLOOKUP($A930,koronahun!$A:$AM,27,FALSE),"")</f>
        <v/>
      </c>
      <c r="AB930" s="14" t="str">
        <f>IFERROR(VLOOKUP($A930,koronahun!$A:$AM,28,FALSE),"")</f>
        <v/>
      </c>
      <c r="AC930" s="14" t="str">
        <f>IFERROR(VLOOKUP($A930,koronahun!$A:$AM,29,FALSE),"")</f>
        <v/>
      </c>
      <c r="AD930" s="14" t="str">
        <f>IFERROR(VLOOKUP($A930,koronahun!$A:$AM,30,FALSE),"")</f>
        <v/>
      </c>
      <c r="AE930" s="14" t="str">
        <f>IFERROR(VLOOKUP($A930,koronahun!$A:$AM,31,FALSE),"")</f>
        <v/>
      </c>
      <c r="AF930" s="13" t="str">
        <f>IFERROR(VLOOKUP($A930,koronahun!$A:$AM,32,FALSE),"")</f>
        <v/>
      </c>
      <c r="AG930" t="str">
        <f>IFERROR(VLOOKUP($A930,koronahun!$A:$AM,33,FALSE),"")</f>
        <v/>
      </c>
      <c r="AH930" t="str">
        <f>IFERROR(VLOOKUP($A930,koronahun!$A:$AM,34,FALSE),"")</f>
        <v/>
      </c>
      <c r="AI930" t="str">
        <f>IFERROR(VLOOKUP($A930,koronahun!$A:$AM,35,FALSE),"")</f>
        <v/>
      </c>
      <c r="AJ930" t="str">
        <f>IFERROR(VLOOKUP($A930,koronahun!$A:$AM,36,FALSE),"")</f>
        <v/>
      </c>
      <c r="AK930" t="str">
        <f>IFERROR(VLOOKUP($A930,koronahun!$A:$AM,37,FALSE),"")</f>
        <v/>
      </c>
      <c r="AL930" t="str">
        <f>IFERROR(VLOOKUP($A930,koronahun!$A:$AM,38,FALSE),"")</f>
        <v/>
      </c>
      <c r="AM930" s="14" t="str">
        <f>IFERROR(VLOOKUP($A930,koronahun!$A:$AM,39,FALSE),"")</f>
        <v/>
      </c>
      <c r="AN930" s="11">
        <f ca="1">IFERROR(__xludf.DUMMYFUNCTION("""COMPUTED_VALUE"""),44822)</f>
        <v>44822</v>
      </c>
      <c r="AO930" s="12">
        <f ca="1">IFERROR(VLOOKUP(AN930,koronahun!A:B,2,FALSE),"")</f>
        <v>0</v>
      </c>
      <c r="AP930" s="11">
        <f t="shared" ca="1" si="6"/>
        <v>44822</v>
      </c>
      <c r="AQ930" s="11"/>
      <c r="AR930" s="11"/>
      <c r="AS930" s="11"/>
      <c r="AT930" s="11"/>
    </row>
    <row r="931" spans="1:46" ht="13">
      <c r="A931" s="11"/>
      <c r="B931" t="str">
        <f>IFERROR(VLOOKUP($A931,koronahun!$A:$AM,2,FALSE),"")</f>
        <v/>
      </c>
      <c r="C931" t="str">
        <f>IFERROR(VLOOKUP($A931,koronahun!$A:$AM,3,FALSE),"")</f>
        <v/>
      </c>
      <c r="D931" t="str">
        <f>IFERROR(VLOOKUP($A931,koronahun!$A:$AM,4,FALSE),"")</f>
        <v/>
      </c>
      <c r="E931" t="str">
        <f>IFERROR(VLOOKUP($A931,koronahun!$A:$AM,5,FALSE),"")</f>
        <v/>
      </c>
      <c r="F931" t="str">
        <f>IFERROR(VLOOKUP($A931,koronahun!$A:$AM,6,FALSE),"")</f>
        <v/>
      </c>
      <c r="G931" s="12" t="str">
        <f>IFERROR(VLOOKUP($A931,koronahun!$A:$AM,7,FALSE),"")</f>
        <v/>
      </c>
      <c r="H931" t="str">
        <f>IFERROR(VLOOKUP($A931,koronahun!$A:$AM,8,FALSE),"")</f>
        <v/>
      </c>
      <c r="I931" s="13" t="str">
        <f>IFERROR(VLOOKUP($A931,koronahun!$A:$AM,9,FALSE),"")</f>
        <v/>
      </c>
      <c r="J931" s="13" t="str">
        <f>IFERROR(VLOOKUP($A931,koronahun!$A:$AM,10,FALSE),"")</f>
        <v/>
      </c>
      <c r="K931" s="13" t="str">
        <f>IFERROR(VLOOKUP($A931,koronahun!$A:$AM,11,FALSE),"")</f>
        <v/>
      </c>
      <c r="L931" t="str">
        <f>IFERROR(VLOOKUP($A931,koronahun!$A:$AM,12,FALSE),"")</f>
        <v/>
      </c>
      <c r="M931" s="13" t="str">
        <f>IFERROR(VLOOKUP($A931,koronahun!$A:$AM,13,FALSE),"")</f>
        <v/>
      </c>
      <c r="N931" s="13" t="str">
        <f>IFERROR(VLOOKUP($A931,koronahun!$A:$AM,14,FALSE),"")</f>
        <v/>
      </c>
      <c r="O931" t="str">
        <f>IFERROR(VLOOKUP($A931,koronahun!$A:$AM,15,FALSE),"")</f>
        <v/>
      </c>
      <c r="P931" t="str">
        <f>IFERROR(VLOOKUP($A931,koronahun!$A:$AM,16,FALSE),"")</f>
        <v/>
      </c>
      <c r="Q931" s="13" t="str">
        <f>IFERROR(VLOOKUP($A931,koronahun!$A:$AM,17,FALSE),"")</f>
        <v/>
      </c>
      <c r="R931" t="str">
        <f>IFERROR(VLOOKUP($A931,koronahun!$A:$AM,18,FALSE),"")</f>
        <v/>
      </c>
      <c r="S931" t="str">
        <f>IFERROR(VLOOKUP($A931,koronahun!$A:$AM,19,FALSE),"")</f>
        <v/>
      </c>
      <c r="T931" t="str">
        <f>IFERROR(VLOOKUP($A931,koronahun!$A:$AM,20,FALSE),"")</f>
        <v/>
      </c>
      <c r="U931" t="str">
        <f>IFERROR(VLOOKUP($A931,koronahun!$A:$AM,21,FALSE),"")</f>
        <v/>
      </c>
      <c r="V931" s="13" t="str">
        <f>IFERROR(VLOOKUP($A931,koronahun!$A:$AM,22,FALSE),"")</f>
        <v/>
      </c>
      <c r="W931" t="str">
        <f>IFERROR(VLOOKUP($A931,koronahun!$A:$AM,23,FALSE),"")</f>
        <v/>
      </c>
      <c r="X931" t="str">
        <f>IFERROR(VLOOKUP($A931,koronahun!$A:$AM,24,FALSE),"")</f>
        <v/>
      </c>
      <c r="Y931" s="14" t="str">
        <f>IFERROR(VLOOKUP($A931,koronahun!$A:$AM,25,FALSE),"")</f>
        <v/>
      </c>
      <c r="Z931" s="14" t="str">
        <f>IFERROR(VLOOKUP($A931,koronahun!$A:$AM,26,FALSE),"")</f>
        <v/>
      </c>
      <c r="AA931" s="14" t="str">
        <f>IFERROR(VLOOKUP($A931,koronahun!$A:$AM,27,FALSE),"")</f>
        <v/>
      </c>
      <c r="AB931" s="14" t="str">
        <f>IFERROR(VLOOKUP($A931,koronahun!$A:$AM,28,FALSE),"")</f>
        <v/>
      </c>
      <c r="AC931" s="14" t="str">
        <f>IFERROR(VLOOKUP($A931,koronahun!$A:$AM,29,FALSE),"")</f>
        <v/>
      </c>
      <c r="AD931" s="14" t="str">
        <f>IFERROR(VLOOKUP($A931,koronahun!$A:$AM,30,FALSE),"")</f>
        <v/>
      </c>
      <c r="AE931" s="14" t="str">
        <f>IFERROR(VLOOKUP($A931,koronahun!$A:$AM,31,FALSE),"")</f>
        <v/>
      </c>
      <c r="AF931" s="13" t="str">
        <f>IFERROR(VLOOKUP($A931,koronahun!$A:$AM,32,FALSE),"")</f>
        <v/>
      </c>
      <c r="AG931" t="str">
        <f>IFERROR(VLOOKUP($A931,koronahun!$A:$AM,33,FALSE),"")</f>
        <v/>
      </c>
      <c r="AH931" t="str">
        <f>IFERROR(VLOOKUP($A931,koronahun!$A:$AM,34,FALSE),"")</f>
        <v/>
      </c>
      <c r="AI931" t="str">
        <f>IFERROR(VLOOKUP($A931,koronahun!$A:$AM,35,FALSE),"")</f>
        <v/>
      </c>
      <c r="AJ931" t="str">
        <f>IFERROR(VLOOKUP($A931,koronahun!$A:$AM,36,FALSE),"")</f>
        <v/>
      </c>
      <c r="AK931" t="str">
        <f>IFERROR(VLOOKUP($A931,koronahun!$A:$AM,37,FALSE),"")</f>
        <v/>
      </c>
      <c r="AL931" t="str">
        <f>IFERROR(VLOOKUP($A931,koronahun!$A:$AM,38,FALSE),"")</f>
        <v/>
      </c>
      <c r="AM931" s="14" t="str">
        <f>IFERROR(VLOOKUP($A931,koronahun!$A:$AM,39,FALSE),"")</f>
        <v/>
      </c>
      <c r="AN931" s="11">
        <f ca="1">IFERROR(__xludf.DUMMYFUNCTION("""COMPUTED_VALUE"""),44823)</f>
        <v>44823</v>
      </c>
      <c r="AO931" s="12">
        <f ca="1">IFERROR(VLOOKUP(AN931,koronahun!A:B,2,FALSE),"")</f>
        <v>0</v>
      </c>
      <c r="AP931" s="11">
        <f t="shared" ca="1" si="6"/>
        <v>44823</v>
      </c>
      <c r="AQ931" s="11"/>
      <c r="AR931" s="11"/>
      <c r="AS931" s="11"/>
      <c r="AT931" s="11"/>
    </row>
    <row r="932" spans="1:46" ht="13">
      <c r="A932" s="11"/>
      <c r="B932" t="str">
        <f>IFERROR(VLOOKUP($A932,koronahun!$A:$AM,2,FALSE),"")</f>
        <v/>
      </c>
      <c r="C932" t="str">
        <f>IFERROR(VLOOKUP($A932,koronahun!$A:$AM,3,FALSE),"")</f>
        <v/>
      </c>
      <c r="D932" t="str">
        <f>IFERROR(VLOOKUP($A932,koronahun!$A:$AM,4,FALSE),"")</f>
        <v/>
      </c>
      <c r="E932" t="str">
        <f>IFERROR(VLOOKUP($A932,koronahun!$A:$AM,5,FALSE),"")</f>
        <v/>
      </c>
      <c r="F932" t="str">
        <f>IFERROR(VLOOKUP($A932,koronahun!$A:$AM,6,FALSE),"")</f>
        <v/>
      </c>
      <c r="G932" s="12" t="str">
        <f>IFERROR(VLOOKUP($A932,koronahun!$A:$AM,7,FALSE),"")</f>
        <v/>
      </c>
      <c r="H932" t="str">
        <f>IFERROR(VLOOKUP($A932,koronahun!$A:$AM,8,FALSE),"")</f>
        <v/>
      </c>
      <c r="I932" s="13" t="str">
        <f>IFERROR(VLOOKUP($A932,koronahun!$A:$AM,9,FALSE),"")</f>
        <v/>
      </c>
      <c r="J932" s="13" t="str">
        <f>IFERROR(VLOOKUP($A932,koronahun!$A:$AM,10,FALSE),"")</f>
        <v/>
      </c>
      <c r="K932" s="13" t="str">
        <f>IFERROR(VLOOKUP($A932,koronahun!$A:$AM,11,FALSE),"")</f>
        <v/>
      </c>
      <c r="L932" t="str">
        <f>IFERROR(VLOOKUP($A932,koronahun!$A:$AM,12,FALSE),"")</f>
        <v/>
      </c>
      <c r="M932" s="13" t="str">
        <f>IFERROR(VLOOKUP($A932,koronahun!$A:$AM,13,FALSE),"")</f>
        <v/>
      </c>
      <c r="N932" s="13" t="str">
        <f>IFERROR(VLOOKUP($A932,koronahun!$A:$AM,14,FALSE),"")</f>
        <v/>
      </c>
      <c r="O932" t="str">
        <f>IFERROR(VLOOKUP($A932,koronahun!$A:$AM,15,FALSE),"")</f>
        <v/>
      </c>
      <c r="P932" t="str">
        <f>IFERROR(VLOOKUP($A932,koronahun!$A:$AM,16,FALSE),"")</f>
        <v/>
      </c>
      <c r="Q932" s="13" t="str">
        <f>IFERROR(VLOOKUP($A932,koronahun!$A:$AM,17,FALSE),"")</f>
        <v/>
      </c>
      <c r="R932" t="str">
        <f>IFERROR(VLOOKUP($A932,koronahun!$A:$AM,18,FALSE),"")</f>
        <v/>
      </c>
      <c r="S932" t="str">
        <f>IFERROR(VLOOKUP($A932,koronahun!$A:$AM,19,FALSE),"")</f>
        <v/>
      </c>
      <c r="T932" t="str">
        <f>IFERROR(VLOOKUP($A932,koronahun!$A:$AM,20,FALSE),"")</f>
        <v/>
      </c>
      <c r="U932" t="str">
        <f>IFERROR(VLOOKUP($A932,koronahun!$A:$AM,21,FALSE),"")</f>
        <v/>
      </c>
      <c r="V932" s="13" t="str">
        <f>IFERROR(VLOOKUP($A932,koronahun!$A:$AM,22,FALSE),"")</f>
        <v/>
      </c>
      <c r="W932" t="str">
        <f>IFERROR(VLOOKUP($A932,koronahun!$A:$AM,23,FALSE),"")</f>
        <v/>
      </c>
      <c r="X932" t="str">
        <f>IFERROR(VLOOKUP($A932,koronahun!$A:$AM,24,FALSE),"")</f>
        <v/>
      </c>
      <c r="Y932" s="14" t="str">
        <f>IFERROR(VLOOKUP($A932,koronahun!$A:$AM,25,FALSE),"")</f>
        <v/>
      </c>
      <c r="Z932" s="14" t="str">
        <f>IFERROR(VLOOKUP($A932,koronahun!$A:$AM,26,FALSE),"")</f>
        <v/>
      </c>
      <c r="AA932" s="14" t="str">
        <f>IFERROR(VLOOKUP($A932,koronahun!$A:$AM,27,FALSE),"")</f>
        <v/>
      </c>
      <c r="AB932" s="14" t="str">
        <f>IFERROR(VLOOKUP($A932,koronahun!$A:$AM,28,FALSE),"")</f>
        <v/>
      </c>
      <c r="AC932" s="14" t="str">
        <f>IFERROR(VLOOKUP($A932,koronahun!$A:$AM,29,FALSE),"")</f>
        <v/>
      </c>
      <c r="AD932" s="14" t="str">
        <f>IFERROR(VLOOKUP($A932,koronahun!$A:$AM,30,FALSE),"")</f>
        <v/>
      </c>
      <c r="AE932" s="14" t="str">
        <f>IFERROR(VLOOKUP($A932,koronahun!$A:$AM,31,FALSE),"")</f>
        <v/>
      </c>
      <c r="AF932" s="13" t="str">
        <f>IFERROR(VLOOKUP($A932,koronahun!$A:$AM,32,FALSE),"")</f>
        <v/>
      </c>
      <c r="AG932" t="str">
        <f>IFERROR(VLOOKUP($A932,koronahun!$A:$AM,33,FALSE),"")</f>
        <v/>
      </c>
      <c r="AH932" t="str">
        <f>IFERROR(VLOOKUP($A932,koronahun!$A:$AM,34,FALSE),"")</f>
        <v/>
      </c>
      <c r="AI932" t="str">
        <f>IFERROR(VLOOKUP($A932,koronahun!$A:$AM,35,FALSE),"")</f>
        <v/>
      </c>
      <c r="AJ932" t="str">
        <f>IFERROR(VLOOKUP($A932,koronahun!$A:$AM,36,FALSE),"")</f>
        <v/>
      </c>
      <c r="AK932" t="str">
        <f>IFERROR(VLOOKUP($A932,koronahun!$A:$AM,37,FALSE),"")</f>
        <v/>
      </c>
      <c r="AL932" t="str">
        <f>IFERROR(VLOOKUP($A932,koronahun!$A:$AM,38,FALSE),"")</f>
        <v/>
      </c>
      <c r="AM932" s="14" t="str">
        <f>IFERROR(VLOOKUP($A932,koronahun!$A:$AM,39,FALSE),"")</f>
        <v/>
      </c>
      <c r="AN932" s="11">
        <f ca="1">IFERROR(__xludf.DUMMYFUNCTION("""COMPUTED_VALUE"""),44824)</f>
        <v>44824</v>
      </c>
      <c r="AO932" s="12">
        <f ca="1">IFERROR(VLOOKUP(AN932,koronahun!A:B,2,FALSE),"")</f>
        <v>0</v>
      </c>
      <c r="AP932" s="11">
        <f t="shared" ca="1" si="6"/>
        <v>44824</v>
      </c>
      <c r="AQ932" s="11"/>
      <c r="AR932" s="11"/>
      <c r="AS932" s="11"/>
      <c r="AT932" s="11"/>
    </row>
    <row r="933" spans="1:46" ht="13">
      <c r="A933" s="11"/>
      <c r="B933" t="str">
        <f>IFERROR(VLOOKUP($A933,koronahun!$A:$AM,2,FALSE),"")</f>
        <v/>
      </c>
      <c r="C933" t="str">
        <f>IFERROR(VLOOKUP($A933,koronahun!$A:$AM,3,FALSE),"")</f>
        <v/>
      </c>
      <c r="D933" t="str">
        <f>IFERROR(VLOOKUP($A933,koronahun!$A:$AM,4,FALSE),"")</f>
        <v/>
      </c>
      <c r="E933" t="str">
        <f>IFERROR(VLOOKUP($A933,koronahun!$A:$AM,5,FALSE),"")</f>
        <v/>
      </c>
      <c r="F933" t="str">
        <f>IFERROR(VLOOKUP($A933,koronahun!$A:$AM,6,FALSE),"")</f>
        <v/>
      </c>
      <c r="G933" s="12" t="str">
        <f>IFERROR(VLOOKUP($A933,koronahun!$A:$AM,7,FALSE),"")</f>
        <v/>
      </c>
      <c r="H933" t="str">
        <f>IFERROR(VLOOKUP($A933,koronahun!$A:$AM,8,FALSE),"")</f>
        <v/>
      </c>
      <c r="I933" s="13" t="str">
        <f>IFERROR(VLOOKUP($A933,koronahun!$A:$AM,9,FALSE),"")</f>
        <v/>
      </c>
      <c r="J933" s="13" t="str">
        <f>IFERROR(VLOOKUP($A933,koronahun!$A:$AM,10,FALSE),"")</f>
        <v/>
      </c>
      <c r="K933" s="13" t="str">
        <f>IFERROR(VLOOKUP($A933,koronahun!$A:$AM,11,FALSE),"")</f>
        <v/>
      </c>
      <c r="L933" t="str">
        <f>IFERROR(VLOOKUP($A933,koronahun!$A:$AM,12,FALSE),"")</f>
        <v/>
      </c>
      <c r="M933" s="13" t="str">
        <f>IFERROR(VLOOKUP($A933,koronahun!$A:$AM,13,FALSE),"")</f>
        <v/>
      </c>
      <c r="N933" s="13" t="str">
        <f>IFERROR(VLOOKUP($A933,koronahun!$A:$AM,14,FALSE),"")</f>
        <v/>
      </c>
      <c r="O933" t="str">
        <f>IFERROR(VLOOKUP($A933,koronahun!$A:$AM,15,FALSE),"")</f>
        <v/>
      </c>
      <c r="P933" t="str">
        <f>IFERROR(VLOOKUP($A933,koronahun!$A:$AM,16,FALSE),"")</f>
        <v/>
      </c>
      <c r="Q933" s="13" t="str">
        <f>IFERROR(VLOOKUP($A933,koronahun!$A:$AM,17,FALSE),"")</f>
        <v/>
      </c>
      <c r="R933" t="str">
        <f>IFERROR(VLOOKUP($A933,koronahun!$A:$AM,18,FALSE),"")</f>
        <v/>
      </c>
      <c r="S933" t="str">
        <f>IFERROR(VLOOKUP($A933,koronahun!$A:$AM,19,FALSE),"")</f>
        <v/>
      </c>
      <c r="T933" t="str">
        <f>IFERROR(VLOOKUP($A933,koronahun!$A:$AM,20,FALSE),"")</f>
        <v/>
      </c>
      <c r="U933" t="str">
        <f>IFERROR(VLOOKUP($A933,koronahun!$A:$AM,21,FALSE),"")</f>
        <v/>
      </c>
      <c r="V933" s="13" t="str">
        <f>IFERROR(VLOOKUP($A933,koronahun!$A:$AM,22,FALSE),"")</f>
        <v/>
      </c>
      <c r="W933" t="str">
        <f>IFERROR(VLOOKUP($A933,koronahun!$A:$AM,23,FALSE),"")</f>
        <v/>
      </c>
      <c r="X933" t="str">
        <f>IFERROR(VLOOKUP($A933,koronahun!$A:$AM,24,FALSE),"")</f>
        <v/>
      </c>
      <c r="Y933" s="14" t="str">
        <f>IFERROR(VLOOKUP($A933,koronahun!$A:$AM,25,FALSE),"")</f>
        <v/>
      </c>
      <c r="Z933" s="14" t="str">
        <f>IFERROR(VLOOKUP($A933,koronahun!$A:$AM,26,FALSE),"")</f>
        <v/>
      </c>
      <c r="AA933" s="14" t="str">
        <f>IFERROR(VLOOKUP($A933,koronahun!$A:$AM,27,FALSE),"")</f>
        <v/>
      </c>
      <c r="AB933" s="14" t="str">
        <f>IFERROR(VLOOKUP($A933,koronahun!$A:$AM,28,FALSE),"")</f>
        <v/>
      </c>
      <c r="AC933" s="14" t="str">
        <f>IFERROR(VLOOKUP($A933,koronahun!$A:$AM,29,FALSE),"")</f>
        <v/>
      </c>
      <c r="AD933" s="14" t="str">
        <f>IFERROR(VLOOKUP($A933,koronahun!$A:$AM,30,FALSE),"")</f>
        <v/>
      </c>
      <c r="AE933" s="14" t="str">
        <f>IFERROR(VLOOKUP($A933,koronahun!$A:$AM,31,FALSE),"")</f>
        <v/>
      </c>
      <c r="AF933" s="13" t="str">
        <f>IFERROR(VLOOKUP($A933,koronahun!$A:$AM,32,FALSE),"")</f>
        <v/>
      </c>
      <c r="AG933" t="str">
        <f>IFERROR(VLOOKUP($A933,koronahun!$A:$AM,33,FALSE),"")</f>
        <v/>
      </c>
      <c r="AH933" t="str">
        <f>IFERROR(VLOOKUP($A933,koronahun!$A:$AM,34,FALSE),"")</f>
        <v/>
      </c>
      <c r="AI933" t="str">
        <f>IFERROR(VLOOKUP($A933,koronahun!$A:$AM,35,FALSE),"")</f>
        <v/>
      </c>
      <c r="AJ933" t="str">
        <f>IFERROR(VLOOKUP($A933,koronahun!$A:$AM,36,FALSE),"")</f>
        <v/>
      </c>
      <c r="AK933" t="str">
        <f>IFERROR(VLOOKUP($A933,koronahun!$A:$AM,37,FALSE),"")</f>
        <v/>
      </c>
      <c r="AL933" t="str">
        <f>IFERROR(VLOOKUP($A933,koronahun!$A:$AM,38,FALSE),"")</f>
        <v/>
      </c>
      <c r="AM933" s="14" t="str">
        <f>IFERROR(VLOOKUP($A933,koronahun!$A:$AM,39,FALSE),"")</f>
        <v/>
      </c>
      <c r="AN933" s="11">
        <f ca="1">IFERROR(__xludf.DUMMYFUNCTION("""COMPUTED_VALUE"""),44825)</f>
        <v>44825</v>
      </c>
      <c r="AO933" s="12">
        <f ca="1">IFERROR(VLOOKUP(AN933,koronahun!A:B,2,FALSE),"")</f>
        <v>2082750</v>
      </c>
      <c r="AP933" s="11">
        <f t="shared" ca="1" si="6"/>
        <v>44825</v>
      </c>
      <c r="AQ933" s="11"/>
      <c r="AR933" s="11"/>
      <c r="AS933" s="11"/>
      <c r="AT933" s="11"/>
    </row>
    <row r="934" spans="1:46" ht="13">
      <c r="A934" s="11"/>
      <c r="B934" t="str">
        <f>IFERROR(VLOOKUP($A934,koronahun!$A:$AM,2,FALSE),"")</f>
        <v/>
      </c>
      <c r="C934" t="str">
        <f>IFERROR(VLOOKUP($A934,koronahun!$A:$AM,3,FALSE),"")</f>
        <v/>
      </c>
      <c r="D934" t="str">
        <f>IFERROR(VLOOKUP($A934,koronahun!$A:$AM,4,FALSE),"")</f>
        <v/>
      </c>
      <c r="E934" t="str">
        <f>IFERROR(VLOOKUP($A934,koronahun!$A:$AM,5,FALSE),"")</f>
        <v/>
      </c>
      <c r="F934" t="str">
        <f>IFERROR(VLOOKUP($A934,koronahun!$A:$AM,6,FALSE),"")</f>
        <v/>
      </c>
      <c r="G934" s="12" t="str">
        <f>IFERROR(VLOOKUP($A934,koronahun!$A:$AM,7,FALSE),"")</f>
        <v/>
      </c>
      <c r="H934" t="str">
        <f>IFERROR(VLOOKUP($A934,koronahun!$A:$AM,8,FALSE),"")</f>
        <v/>
      </c>
      <c r="I934" s="13" t="str">
        <f>IFERROR(VLOOKUP($A934,koronahun!$A:$AM,9,FALSE),"")</f>
        <v/>
      </c>
      <c r="J934" s="13" t="str">
        <f>IFERROR(VLOOKUP($A934,koronahun!$A:$AM,10,FALSE),"")</f>
        <v/>
      </c>
      <c r="K934" s="13" t="str">
        <f>IFERROR(VLOOKUP($A934,koronahun!$A:$AM,11,FALSE),"")</f>
        <v/>
      </c>
      <c r="L934" t="str">
        <f>IFERROR(VLOOKUP($A934,koronahun!$A:$AM,12,FALSE),"")</f>
        <v/>
      </c>
      <c r="M934" s="13" t="str">
        <f>IFERROR(VLOOKUP($A934,koronahun!$A:$AM,13,FALSE),"")</f>
        <v/>
      </c>
      <c r="N934" s="13" t="str">
        <f>IFERROR(VLOOKUP($A934,koronahun!$A:$AM,14,FALSE),"")</f>
        <v/>
      </c>
      <c r="O934" t="str">
        <f>IFERROR(VLOOKUP($A934,koronahun!$A:$AM,15,FALSE),"")</f>
        <v/>
      </c>
      <c r="P934" t="str">
        <f>IFERROR(VLOOKUP($A934,koronahun!$A:$AM,16,FALSE),"")</f>
        <v/>
      </c>
      <c r="Q934" s="13" t="str">
        <f>IFERROR(VLOOKUP($A934,koronahun!$A:$AM,17,FALSE),"")</f>
        <v/>
      </c>
      <c r="R934" t="str">
        <f>IFERROR(VLOOKUP($A934,koronahun!$A:$AM,18,FALSE),"")</f>
        <v/>
      </c>
      <c r="S934" t="str">
        <f>IFERROR(VLOOKUP($A934,koronahun!$A:$AM,19,FALSE),"")</f>
        <v/>
      </c>
      <c r="T934" t="str">
        <f>IFERROR(VLOOKUP($A934,koronahun!$A:$AM,20,FALSE),"")</f>
        <v/>
      </c>
      <c r="U934" t="str">
        <f>IFERROR(VLOOKUP($A934,koronahun!$A:$AM,21,FALSE),"")</f>
        <v/>
      </c>
      <c r="V934" s="13" t="str">
        <f>IFERROR(VLOOKUP($A934,koronahun!$A:$AM,22,FALSE),"")</f>
        <v/>
      </c>
      <c r="W934" t="str">
        <f>IFERROR(VLOOKUP($A934,koronahun!$A:$AM,23,FALSE),"")</f>
        <v/>
      </c>
      <c r="X934" t="str">
        <f>IFERROR(VLOOKUP($A934,koronahun!$A:$AM,24,FALSE),"")</f>
        <v/>
      </c>
      <c r="Y934" s="14" t="str">
        <f>IFERROR(VLOOKUP($A934,koronahun!$A:$AM,25,FALSE),"")</f>
        <v/>
      </c>
      <c r="Z934" s="14" t="str">
        <f>IFERROR(VLOOKUP($A934,koronahun!$A:$AM,26,FALSE),"")</f>
        <v/>
      </c>
      <c r="AA934" s="14" t="str">
        <f>IFERROR(VLOOKUP($A934,koronahun!$A:$AM,27,FALSE),"")</f>
        <v/>
      </c>
      <c r="AB934" s="14" t="str">
        <f>IFERROR(VLOOKUP($A934,koronahun!$A:$AM,28,FALSE),"")</f>
        <v/>
      </c>
      <c r="AC934" s="14" t="str">
        <f>IFERROR(VLOOKUP($A934,koronahun!$A:$AM,29,FALSE),"")</f>
        <v/>
      </c>
      <c r="AD934" s="14" t="str">
        <f>IFERROR(VLOOKUP($A934,koronahun!$A:$AM,30,FALSE),"")</f>
        <v/>
      </c>
      <c r="AE934" s="14" t="str">
        <f>IFERROR(VLOOKUP($A934,koronahun!$A:$AM,31,FALSE),"")</f>
        <v/>
      </c>
      <c r="AF934" s="13" t="str">
        <f>IFERROR(VLOOKUP($A934,koronahun!$A:$AM,32,FALSE),"")</f>
        <v/>
      </c>
      <c r="AG934" t="str">
        <f>IFERROR(VLOOKUP($A934,koronahun!$A:$AM,33,FALSE),"")</f>
        <v/>
      </c>
      <c r="AH934" t="str">
        <f>IFERROR(VLOOKUP($A934,koronahun!$A:$AM,34,FALSE),"")</f>
        <v/>
      </c>
      <c r="AI934" t="str">
        <f>IFERROR(VLOOKUP($A934,koronahun!$A:$AM,35,FALSE),"")</f>
        <v/>
      </c>
      <c r="AJ934" t="str">
        <f>IFERROR(VLOOKUP($A934,koronahun!$A:$AM,36,FALSE),"")</f>
        <v/>
      </c>
      <c r="AK934" t="str">
        <f>IFERROR(VLOOKUP($A934,koronahun!$A:$AM,37,FALSE),"")</f>
        <v/>
      </c>
      <c r="AL934" t="str">
        <f>IFERROR(VLOOKUP($A934,koronahun!$A:$AM,38,FALSE),"")</f>
        <v/>
      </c>
      <c r="AM934" s="14" t="str">
        <f>IFERROR(VLOOKUP($A934,koronahun!$A:$AM,39,FALSE),"")</f>
        <v/>
      </c>
      <c r="AN934" s="11">
        <f ca="1">IFERROR(__xludf.DUMMYFUNCTION("""COMPUTED_VALUE"""),44826)</f>
        <v>44826</v>
      </c>
      <c r="AO934" s="12">
        <f ca="1">IFERROR(VLOOKUP(AN934,koronahun!A:B,2,FALSE),"")</f>
        <v>0</v>
      </c>
      <c r="AP934" s="11">
        <f t="shared" ca="1" si="6"/>
        <v>44826</v>
      </c>
      <c r="AQ934" s="11"/>
      <c r="AR934" s="11"/>
      <c r="AS934" s="11"/>
      <c r="AT934" s="11"/>
    </row>
    <row r="935" spans="1:46" ht="13">
      <c r="A935" s="11"/>
      <c r="B935" t="str">
        <f>IFERROR(VLOOKUP($A935,koronahun!$A:$AM,2,FALSE),"")</f>
        <v/>
      </c>
      <c r="C935" t="str">
        <f>IFERROR(VLOOKUP($A935,koronahun!$A:$AM,3,FALSE),"")</f>
        <v/>
      </c>
      <c r="D935" t="str">
        <f>IFERROR(VLOOKUP($A935,koronahun!$A:$AM,4,FALSE),"")</f>
        <v/>
      </c>
      <c r="E935" t="str">
        <f>IFERROR(VLOOKUP($A935,koronahun!$A:$AM,5,FALSE),"")</f>
        <v/>
      </c>
      <c r="F935" t="str">
        <f>IFERROR(VLOOKUP($A935,koronahun!$A:$AM,6,FALSE),"")</f>
        <v/>
      </c>
      <c r="G935" s="12" t="str">
        <f>IFERROR(VLOOKUP($A935,koronahun!$A:$AM,7,FALSE),"")</f>
        <v/>
      </c>
      <c r="H935" t="str">
        <f>IFERROR(VLOOKUP($A935,koronahun!$A:$AM,8,FALSE),"")</f>
        <v/>
      </c>
      <c r="I935" s="13" t="str">
        <f>IFERROR(VLOOKUP($A935,koronahun!$A:$AM,9,FALSE),"")</f>
        <v/>
      </c>
      <c r="J935" s="13" t="str">
        <f>IFERROR(VLOOKUP($A935,koronahun!$A:$AM,10,FALSE),"")</f>
        <v/>
      </c>
      <c r="K935" s="13" t="str">
        <f>IFERROR(VLOOKUP($A935,koronahun!$A:$AM,11,FALSE),"")</f>
        <v/>
      </c>
      <c r="L935" t="str">
        <f>IFERROR(VLOOKUP($A935,koronahun!$A:$AM,12,FALSE),"")</f>
        <v/>
      </c>
      <c r="M935" s="13" t="str">
        <f>IFERROR(VLOOKUP($A935,koronahun!$A:$AM,13,FALSE),"")</f>
        <v/>
      </c>
      <c r="N935" s="13" t="str">
        <f>IFERROR(VLOOKUP($A935,koronahun!$A:$AM,14,FALSE),"")</f>
        <v/>
      </c>
      <c r="O935" t="str">
        <f>IFERROR(VLOOKUP($A935,koronahun!$A:$AM,15,FALSE),"")</f>
        <v/>
      </c>
      <c r="P935" t="str">
        <f>IFERROR(VLOOKUP($A935,koronahun!$A:$AM,16,FALSE),"")</f>
        <v/>
      </c>
      <c r="Q935" s="13" t="str">
        <f>IFERROR(VLOOKUP($A935,koronahun!$A:$AM,17,FALSE),"")</f>
        <v/>
      </c>
      <c r="R935" t="str">
        <f>IFERROR(VLOOKUP($A935,koronahun!$A:$AM,18,FALSE),"")</f>
        <v/>
      </c>
      <c r="S935" t="str">
        <f>IFERROR(VLOOKUP($A935,koronahun!$A:$AM,19,FALSE),"")</f>
        <v/>
      </c>
      <c r="T935" t="str">
        <f>IFERROR(VLOOKUP($A935,koronahun!$A:$AM,20,FALSE),"")</f>
        <v/>
      </c>
      <c r="U935" t="str">
        <f>IFERROR(VLOOKUP($A935,koronahun!$A:$AM,21,FALSE),"")</f>
        <v/>
      </c>
      <c r="V935" s="13" t="str">
        <f>IFERROR(VLOOKUP($A935,koronahun!$A:$AM,22,FALSE),"")</f>
        <v/>
      </c>
      <c r="W935" t="str">
        <f>IFERROR(VLOOKUP($A935,koronahun!$A:$AM,23,FALSE),"")</f>
        <v/>
      </c>
      <c r="X935" t="str">
        <f>IFERROR(VLOOKUP($A935,koronahun!$A:$AM,24,FALSE),"")</f>
        <v/>
      </c>
      <c r="Y935" s="14" t="str">
        <f>IFERROR(VLOOKUP($A935,koronahun!$A:$AM,25,FALSE),"")</f>
        <v/>
      </c>
      <c r="Z935" s="14" t="str">
        <f>IFERROR(VLOOKUP($A935,koronahun!$A:$AM,26,FALSE),"")</f>
        <v/>
      </c>
      <c r="AA935" s="14" t="str">
        <f>IFERROR(VLOOKUP($A935,koronahun!$A:$AM,27,FALSE),"")</f>
        <v/>
      </c>
      <c r="AB935" s="14" t="str">
        <f>IFERROR(VLOOKUP($A935,koronahun!$A:$AM,28,FALSE),"")</f>
        <v/>
      </c>
      <c r="AC935" s="14" t="str">
        <f>IFERROR(VLOOKUP($A935,koronahun!$A:$AM,29,FALSE),"")</f>
        <v/>
      </c>
      <c r="AD935" s="14" t="str">
        <f>IFERROR(VLOOKUP($A935,koronahun!$A:$AM,30,FALSE),"")</f>
        <v/>
      </c>
      <c r="AE935" s="14" t="str">
        <f>IFERROR(VLOOKUP($A935,koronahun!$A:$AM,31,FALSE),"")</f>
        <v/>
      </c>
      <c r="AF935" s="13" t="str">
        <f>IFERROR(VLOOKUP($A935,koronahun!$A:$AM,32,FALSE),"")</f>
        <v/>
      </c>
      <c r="AG935" t="str">
        <f>IFERROR(VLOOKUP($A935,koronahun!$A:$AM,33,FALSE),"")</f>
        <v/>
      </c>
      <c r="AH935" t="str">
        <f>IFERROR(VLOOKUP($A935,koronahun!$A:$AM,34,FALSE),"")</f>
        <v/>
      </c>
      <c r="AI935" t="str">
        <f>IFERROR(VLOOKUP($A935,koronahun!$A:$AM,35,FALSE),"")</f>
        <v/>
      </c>
      <c r="AJ935" t="str">
        <f>IFERROR(VLOOKUP($A935,koronahun!$A:$AM,36,FALSE),"")</f>
        <v/>
      </c>
      <c r="AK935" t="str">
        <f>IFERROR(VLOOKUP($A935,koronahun!$A:$AM,37,FALSE),"")</f>
        <v/>
      </c>
      <c r="AL935" t="str">
        <f>IFERROR(VLOOKUP($A935,koronahun!$A:$AM,38,FALSE),"")</f>
        <v/>
      </c>
      <c r="AM935" s="14" t="str">
        <f>IFERROR(VLOOKUP($A935,koronahun!$A:$AM,39,FALSE),"")</f>
        <v/>
      </c>
      <c r="AN935" s="11">
        <f ca="1">IFERROR(__xludf.DUMMYFUNCTION("""COMPUTED_VALUE"""),44827)</f>
        <v>44827</v>
      </c>
      <c r="AO935" s="12">
        <f ca="1">IFERROR(VLOOKUP(AN935,koronahun!A:B,2,FALSE),"")</f>
        <v>0</v>
      </c>
      <c r="AP935" s="11">
        <f t="shared" ca="1" si="6"/>
        <v>44827</v>
      </c>
      <c r="AQ935" s="11"/>
      <c r="AR935" s="11"/>
      <c r="AS935" s="11"/>
      <c r="AT935" s="11"/>
    </row>
    <row r="936" spans="1:46" ht="13">
      <c r="A936" s="11"/>
      <c r="B936" t="str">
        <f>IFERROR(VLOOKUP($A936,koronahun!$A:$AM,2,FALSE),"")</f>
        <v/>
      </c>
      <c r="C936" t="str">
        <f>IFERROR(VLOOKUP($A936,koronahun!$A:$AM,3,FALSE),"")</f>
        <v/>
      </c>
      <c r="D936" t="str">
        <f>IFERROR(VLOOKUP($A936,koronahun!$A:$AM,4,FALSE),"")</f>
        <v/>
      </c>
      <c r="E936" t="str">
        <f>IFERROR(VLOOKUP($A936,koronahun!$A:$AM,5,FALSE),"")</f>
        <v/>
      </c>
      <c r="F936" t="str">
        <f>IFERROR(VLOOKUP($A936,koronahun!$A:$AM,6,FALSE),"")</f>
        <v/>
      </c>
      <c r="G936" s="12" t="str">
        <f>IFERROR(VLOOKUP($A936,koronahun!$A:$AM,7,FALSE),"")</f>
        <v/>
      </c>
      <c r="H936" t="str">
        <f>IFERROR(VLOOKUP($A936,koronahun!$A:$AM,8,FALSE),"")</f>
        <v/>
      </c>
      <c r="I936" s="13" t="str">
        <f>IFERROR(VLOOKUP($A936,koronahun!$A:$AM,9,FALSE),"")</f>
        <v/>
      </c>
      <c r="J936" s="13" t="str">
        <f>IFERROR(VLOOKUP($A936,koronahun!$A:$AM,10,FALSE),"")</f>
        <v/>
      </c>
      <c r="K936" s="13" t="str">
        <f>IFERROR(VLOOKUP($A936,koronahun!$A:$AM,11,FALSE),"")</f>
        <v/>
      </c>
      <c r="L936" t="str">
        <f>IFERROR(VLOOKUP($A936,koronahun!$A:$AM,12,FALSE),"")</f>
        <v/>
      </c>
      <c r="M936" s="13" t="str">
        <f>IFERROR(VLOOKUP($A936,koronahun!$A:$AM,13,FALSE),"")</f>
        <v/>
      </c>
      <c r="N936" s="13" t="str">
        <f>IFERROR(VLOOKUP($A936,koronahun!$A:$AM,14,FALSE),"")</f>
        <v/>
      </c>
      <c r="O936" t="str">
        <f>IFERROR(VLOOKUP($A936,koronahun!$A:$AM,15,FALSE),"")</f>
        <v/>
      </c>
      <c r="P936" t="str">
        <f>IFERROR(VLOOKUP($A936,koronahun!$A:$AM,16,FALSE),"")</f>
        <v/>
      </c>
      <c r="Q936" s="13" t="str">
        <f>IFERROR(VLOOKUP($A936,koronahun!$A:$AM,17,FALSE),"")</f>
        <v/>
      </c>
      <c r="R936" t="str">
        <f>IFERROR(VLOOKUP($A936,koronahun!$A:$AM,18,FALSE),"")</f>
        <v/>
      </c>
      <c r="S936" t="str">
        <f>IFERROR(VLOOKUP($A936,koronahun!$A:$AM,19,FALSE),"")</f>
        <v/>
      </c>
      <c r="T936" t="str">
        <f>IFERROR(VLOOKUP($A936,koronahun!$A:$AM,20,FALSE),"")</f>
        <v/>
      </c>
      <c r="U936" t="str">
        <f>IFERROR(VLOOKUP($A936,koronahun!$A:$AM,21,FALSE),"")</f>
        <v/>
      </c>
      <c r="V936" s="13" t="str">
        <f>IFERROR(VLOOKUP($A936,koronahun!$A:$AM,22,FALSE),"")</f>
        <v/>
      </c>
      <c r="W936" t="str">
        <f>IFERROR(VLOOKUP($A936,koronahun!$A:$AM,23,FALSE),"")</f>
        <v/>
      </c>
      <c r="X936" t="str">
        <f>IFERROR(VLOOKUP($A936,koronahun!$A:$AM,24,FALSE),"")</f>
        <v/>
      </c>
      <c r="Y936" s="14" t="str">
        <f>IFERROR(VLOOKUP($A936,koronahun!$A:$AM,25,FALSE),"")</f>
        <v/>
      </c>
      <c r="Z936" s="14" t="str">
        <f>IFERROR(VLOOKUP($A936,koronahun!$A:$AM,26,FALSE),"")</f>
        <v/>
      </c>
      <c r="AA936" s="14" t="str">
        <f>IFERROR(VLOOKUP($A936,koronahun!$A:$AM,27,FALSE),"")</f>
        <v/>
      </c>
      <c r="AB936" s="14" t="str">
        <f>IFERROR(VLOOKUP($A936,koronahun!$A:$AM,28,FALSE),"")</f>
        <v/>
      </c>
      <c r="AC936" s="14" t="str">
        <f>IFERROR(VLOOKUP($A936,koronahun!$A:$AM,29,FALSE),"")</f>
        <v/>
      </c>
      <c r="AD936" s="14" t="str">
        <f>IFERROR(VLOOKUP($A936,koronahun!$A:$AM,30,FALSE),"")</f>
        <v/>
      </c>
      <c r="AE936" s="14" t="str">
        <f>IFERROR(VLOOKUP($A936,koronahun!$A:$AM,31,FALSE),"")</f>
        <v/>
      </c>
      <c r="AF936" s="13" t="str">
        <f>IFERROR(VLOOKUP($A936,koronahun!$A:$AM,32,FALSE),"")</f>
        <v/>
      </c>
      <c r="AG936" t="str">
        <f>IFERROR(VLOOKUP($A936,koronahun!$A:$AM,33,FALSE),"")</f>
        <v/>
      </c>
      <c r="AH936" t="str">
        <f>IFERROR(VLOOKUP($A936,koronahun!$A:$AM,34,FALSE),"")</f>
        <v/>
      </c>
      <c r="AI936" t="str">
        <f>IFERROR(VLOOKUP($A936,koronahun!$A:$AM,35,FALSE),"")</f>
        <v/>
      </c>
      <c r="AJ936" t="str">
        <f>IFERROR(VLOOKUP($A936,koronahun!$A:$AM,36,FALSE),"")</f>
        <v/>
      </c>
      <c r="AK936" t="str">
        <f>IFERROR(VLOOKUP($A936,koronahun!$A:$AM,37,FALSE),"")</f>
        <v/>
      </c>
      <c r="AL936" t="str">
        <f>IFERROR(VLOOKUP($A936,koronahun!$A:$AM,38,FALSE),"")</f>
        <v/>
      </c>
      <c r="AM936" s="14" t="str">
        <f>IFERROR(VLOOKUP($A936,koronahun!$A:$AM,39,FALSE),"")</f>
        <v/>
      </c>
      <c r="AN936" s="11">
        <f ca="1">IFERROR(__xludf.DUMMYFUNCTION("""COMPUTED_VALUE"""),44828)</f>
        <v>44828</v>
      </c>
      <c r="AO936" s="12">
        <f ca="1">IFERROR(VLOOKUP(AN936,koronahun!A:B,2,FALSE),"")</f>
        <v>0</v>
      </c>
      <c r="AP936" s="11">
        <f t="shared" ca="1" si="6"/>
        <v>44828</v>
      </c>
      <c r="AQ936" s="11"/>
      <c r="AR936" s="11"/>
      <c r="AS936" s="11"/>
      <c r="AT936" s="11"/>
    </row>
    <row r="937" spans="1:46" ht="13">
      <c r="A937" s="11"/>
      <c r="B937" t="str">
        <f>IFERROR(VLOOKUP($A937,koronahun!$A:$AM,2,FALSE),"")</f>
        <v/>
      </c>
      <c r="C937" t="str">
        <f>IFERROR(VLOOKUP($A937,koronahun!$A:$AM,3,FALSE),"")</f>
        <v/>
      </c>
      <c r="D937" t="str">
        <f>IFERROR(VLOOKUP($A937,koronahun!$A:$AM,4,FALSE),"")</f>
        <v/>
      </c>
      <c r="E937" t="str">
        <f>IFERROR(VLOOKUP($A937,koronahun!$A:$AM,5,FALSE),"")</f>
        <v/>
      </c>
      <c r="F937" t="str">
        <f>IFERROR(VLOOKUP($A937,koronahun!$A:$AM,6,FALSE),"")</f>
        <v/>
      </c>
      <c r="G937" s="12" t="str">
        <f>IFERROR(VLOOKUP($A937,koronahun!$A:$AM,7,FALSE),"")</f>
        <v/>
      </c>
      <c r="H937" t="str">
        <f>IFERROR(VLOOKUP($A937,koronahun!$A:$AM,8,FALSE),"")</f>
        <v/>
      </c>
      <c r="I937" s="13" t="str">
        <f>IFERROR(VLOOKUP($A937,koronahun!$A:$AM,9,FALSE),"")</f>
        <v/>
      </c>
      <c r="J937" s="13" t="str">
        <f>IFERROR(VLOOKUP($A937,koronahun!$A:$AM,10,FALSE),"")</f>
        <v/>
      </c>
      <c r="K937" s="13" t="str">
        <f>IFERROR(VLOOKUP($A937,koronahun!$A:$AM,11,FALSE),"")</f>
        <v/>
      </c>
      <c r="L937" t="str">
        <f>IFERROR(VLOOKUP($A937,koronahun!$A:$AM,12,FALSE),"")</f>
        <v/>
      </c>
      <c r="M937" s="13" t="str">
        <f>IFERROR(VLOOKUP($A937,koronahun!$A:$AM,13,FALSE),"")</f>
        <v/>
      </c>
      <c r="N937" s="13" t="str">
        <f>IFERROR(VLOOKUP($A937,koronahun!$A:$AM,14,FALSE),"")</f>
        <v/>
      </c>
      <c r="O937" t="str">
        <f>IFERROR(VLOOKUP($A937,koronahun!$A:$AM,15,FALSE),"")</f>
        <v/>
      </c>
      <c r="P937" t="str">
        <f>IFERROR(VLOOKUP($A937,koronahun!$A:$AM,16,FALSE),"")</f>
        <v/>
      </c>
      <c r="Q937" s="13" t="str">
        <f>IFERROR(VLOOKUP($A937,koronahun!$A:$AM,17,FALSE),"")</f>
        <v/>
      </c>
      <c r="R937" t="str">
        <f>IFERROR(VLOOKUP($A937,koronahun!$A:$AM,18,FALSE),"")</f>
        <v/>
      </c>
      <c r="S937" t="str">
        <f>IFERROR(VLOOKUP($A937,koronahun!$A:$AM,19,FALSE),"")</f>
        <v/>
      </c>
      <c r="T937" t="str">
        <f>IFERROR(VLOOKUP($A937,koronahun!$A:$AM,20,FALSE),"")</f>
        <v/>
      </c>
      <c r="U937" t="str">
        <f>IFERROR(VLOOKUP($A937,koronahun!$A:$AM,21,FALSE),"")</f>
        <v/>
      </c>
      <c r="V937" s="13" t="str">
        <f>IFERROR(VLOOKUP($A937,koronahun!$A:$AM,22,FALSE),"")</f>
        <v/>
      </c>
      <c r="W937" t="str">
        <f>IFERROR(VLOOKUP($A937,koronahun!$A:$AM,23,FALSE),"")</f>
        <v/>
      </c>
      <c r="X937" t="str">
        <f>IFERROR(VLOOKUP($A937,koronahun!$A:$AM,24,FALSE),"")</f>
        <v/>
      </c>
      <c r="Y937" s="14" t="str">
        <f>IFERROR(VLOOKUP($A937,koronahun!$A:$AM,25,FALSE),"")</f>
        <v/>
      </c>
      <c r="Z937" s="14" t="str">
        <f>IFERROR(VLOOKUP($A937,koronahun!$A:$AM,26,FALSE),"")</f>
        <v/>
      </c>
      <c r="AA937" s="14" t="str">
        <f>IFERROR(VLOOKUP($A937,koronahun!$A:$AM,27,FALSE),"")</f>
        <v/>
      </c>
      <c r="AB937" s="14" t="str">
        <f>IFERROR(VLOOKUP($A937,koronahun!$A:$AM,28,FALSE),"")</f>
        <v/>
      </c>
      <c r="AC937" s="14" t="str">
        <f>IFERROR(VLOOKUP($A937,koronahun!$A:$AM,29,FALSE),"")</f>
        <v/>
      </c>
      <c r="AD937" s="14" t="str">
        <f>IFERROR(VLOOKUP($A937,koronahun!$A:$AM,30,FALSE),"")</f>
        <v/>
      </c>
      <c r="AE937" s="14" t="str">
        <f>IFERROR(VLOOKUP($A937,koronahun!$A:$AM,31,FALSE),"")</f>
        <v/>
      </c>
      <c r="AF937" s="13" t="str">
        <f>IFERROR(VLOOKUP($A937,koronahun!$A:$AM,32,FALSE),"")</f>
        <v/>
      </c>
      <c r="AG937" t="str">
        <f>IFERROR(VLOOKUP($A937,koronahun!$A:$AM,33,FALSE),"")</f>
        <v/>
      </c>
      <c r="AH937" t="str">
        <f>IFERROR(VLOOKUP($A937,koronahun!$A:$AM,34,FALSE),"")</f>
        <v/>
      </c>
      <c r="AI937" t="str">
        <f>IFERROR(VLOOKUP($A937,koronahun!$A:$AM,35,FALSE),"")</f>
        <v/>
      </c>
      <c r="AJ937" t="str">
        <f>IFERROR(VLOOKUP($A937,koronahun!$A:$AM,36,FALSE),"")</f>
        <v/>
      </c>
      <c r="AK937" t="str">
        <f>IFERROR(VLOOKUP($A937,koronahun!$A:$AM,37,FALSE),"")</f>
        <v/>
      </c>
      <c r="AL937" t="str">
        <f>IFERROR(VLOOKUP($A937,koronahun!$A:$AM,38,FALSE),"")</f>
        <v/>
      </c>
      <c r="AM937" s="14" t="str">
        <f>IFERROR(VLOOKUP($A937,koronahun!$A:$AM,39,FALSE),"")</f>
        <v/>
      </c>
      <c r="AN937" s="11">
        <f ca="1">IFERROR(__xludf.DUMMYFUNCTION("""COMPUTED_VALUE"""),44829)</f>
        <v>44829</v>
      </c>
      <c r="AO937" s="12">
        <f ca="1">IFERROR(VLOOKUP(AN937,koronahun!A:B,2,FALSE),"")</f>
        <v>0</v>
      </c>
      <c r="AP937" s="11">
        <f t="shared" ca="1" si="6"/>
        <v>44829</v>
      </c>
      <c r="AQ937" s="11"/>
      <c r="AR937" s="11"/>
      <c r="AS937" s="11"/>
      <c r="AT937" s="11"/>
    </row>
    <row r="938" spans="1:46" ht="13">
      <c r="A938" s="11"/>
      <c r="B938" t="str">
        <f>IFERROR(VLOOKUP($A938,koronahun!$A:$AM,2,FALSE),"")</f>
        <v/>
      </c>
      <c r="C938" t="str">
        <f>IFERROR(VLOOKUP($A938,koronahun!$A:$AM,3,FALSE),"")</f>
        <v/>
      </c>
      <c r="D938" t="str">
        <f>IFERROR(VLOOKUP($A938,koronahun!$A:$AM,4,FALSE),"")</f>
        <v/>
      </c>
      <c r="E938" t="str">
        <f>IFERROR(VLOOKUP($A938,koronahun!$A:$AM,5,FALSE),"")</f>
        <v/>
      </c>
      <c r="F938" t="str">
        <f>IFERROR(VLOOKUP($A938,koronahun!$A:$AM,6,FALSE),"")</f>
        <v/>
      </c>
      <c r="G938" s="12" t="str">
        <f>IFERROR(VLOOKUP($A938,koronahun!$A:$AM,7,FALSE),"")</f>
        <v/>
      </c>
      <c r="H938" t="str">
        <f>IFERROR(VLOOKUP($A938,koronahun!$A:$AM,8,FALSE),"")</f>
        <v/>
      </c>
      <c r="I938" s="13" t="str">
        <f>IFERROR(VLOOKUP($A938,koronahun!$A:$AM,9,FALSE),"")</f>
        <v/>
      </c>
      <c r="J938" s="13" t="str">
        <f>IFERROR(VLOOKUP($A938,koronahun!$A:$AM,10,FALSE),"")</f>
        <v/>
      </c>
      <c r="K938" s="13" t="str">
        <f>IFERROR(VLOOKUP($A938,koronahun!$A:$AM,11,FALSE),"")</f>
        <v/>
      </c>
      <c r="L938" t="str">
        <f>IFERROR(VLOOKUP($A938,koronahun!$A:$AM,12,FALSE),"")</f>
        <v/>
      </c>
      <c r="M938" s="13" t="str">
        <f>IFERROR(VLOOKUP($A938,koronahun!$A:$AM,13,FALSE),"")</f>
        <v/>
      </c>
      <c r="N938" s="13" t="str">
        <f>IFERROR(VLOOKUP($A938,koronahun!$A:$AM,14,FALSE),"")</f>
        <v/>
      </c>
      <c r="O938" t="str">
        <f>IFERROR(VLOOKUP($A938,koronahun!$A:$AM,15,FALSE),"")</f>
        <v/>
      </c>
      <c r="P938" t="str">
        <f>IFERROR(VLOOKUP($A938,koronahun!$A:$AM,16,FALSE),"")</f>
        <v/>
      </c>
      <c r="Q938" s="13" t="str">
        <f>IFERROR(VLOOKUP($A938,koronahun!$A:$AM,17,FALSE),"")</f>
        <v/>
      </c>
      <c r="R938" t="str">
        <f>IFERROR(VLOOKUP($A938,koronahun!$A:$AM,18,FALSE),"")</f>
        <v/>
      </c>
      <c r="S938" t="str">
        <f>IFERROR(VLOOKUP($A938,koronahun!$A:$AM,19,FALSE),"")</f>
        <v/>
      </c>
      <c r="T938" t="str">
        <f>IFERROR(VLOOKUP($A938,koronahun!$A:$AM,20,FALSE),"")</f>
        <v/>
      </c>
      <c r="U938" t="str">
        <f>IFERROR(VLOOKUP($A938,koronahun!$A:$AM,21,FALSE),"")</f>
        <v/>
      </c>
      <c r="V938" s="13" t="str">
        <f>IFERROR(VLOOKUP($A938,koronahun!$A:$AM,22,FALSE),"")</f>
        <v/>
      </c>
      <c r="W938" t="str">
        <f>IFERROR(VLOOKUP($A938,koronahun!$A:$AM,23,FALSE),"")</f>
        <v/>
      </c>
      <c r="X938" t="str">
        <f>IFERROR(VLOOKUP($A938,koronahun!$A:$AM,24,FALSE),"")</f>
        <v/>
      </c>
      <c r="Y938" s="14" t="str">
        <f>IFERROR(VLOOKUP($A938,koronahun!$A:$AM,25,FALSE),"")</f>
        <v/>
      </c>
      <c r="Z938" s="14" t="str">
        <f>IFERROR(VLOOKUP($A938,koronahun!$A:$AM,26,FALSE),"")</f>
        <v/>
      </c>
      <c r="AA938" s="14" t="str">
        <f>IFERROR(VLOOKUP($A938,koronahun!$A:$AM,27,FALSE),"")</f>
        <v/>
      </c>
      <c r="AB938" s="14" t="str">
        <f>IFERROR(VLOOKUP($A938,koronahun!$A:$AM,28,FALSE),"")</f>
        <v/>
      </c>
      <c r="AC938" s="14" t="str">
        <f>IFERROR(VLOOKUP($A938,koronahun!$A:$AM,29,FALSE),"")</f>
        <v/>
      </c>
      <c r="AD938" s="14" t="str">
        <f>IFERROR(VLOOKUP($A938,koronahun!$A:$AM,30,FALSE),"")</f>
        <v/>
      </c>
      <c r="AE938" s="14" t="str">
        <f>IFERROR(VLOOKUP($A938,koronahun!$A:$AM,31,FALSE),"")</f>
        <v/>
      </c>
      <c r="AF938" s="13" t="str">
        <f>IFERROR(VLOOKUP($A938,koronahun!$A:$AM,32,FALSE),"")</f>
        <v/>
      </c>
      <c r="AG938" t="str">
        <f>IFERROR(VLOOKUP($A938,koronahun!$A:$AM,33,FALSE),"")</f>
        <v/>
      </c>
      <c r="AH938" t="str">
        <f>IFERROR(VLOOKUP($A938,koronahun!$A:$AM,34,FALSE),"")</f>
        <v/>
      </c>
      <c r="AI938" t="str">
        <f>IFERROR(VLOOKUP($A938,koronahun!$A:$AM,35,FALSE),"")</f>
        <v/>
      </c>
      <c r="AJ938" t="str">
        <f>IFERROR(VLOOKUP($A938,koronahun!$A:$AM,36,FALSE),"")</f>
        <v/>
      </c>
      <c r="AK938" t="str">
        <f>IFERROR(VLOOKUP($A938,koronahun!$A:$AM,37,FALSE),"")</f>
        <v/>
      </c>
      <c r="AL938" t="str">
        <f>IFERROR(VLOOKUP($A938,koronahun!$A:$AM,38,FALSE),"")</f>
        <v/>
      </c>
      <c r="AM938" s="14" t="str">
        <f>IFERROR(VLOOKUP($A938,koronahun!$A:$AM,39,FALSE),"")</f>
        <v/>
      </c>
      <c r="AN938" s="11">
        <f ca="1">IFERROR(__xludf.DUMMYFUNCTION("""COMPUTED_VALUE"""),44830)</f>
        <v>44830</v>
      </c>
      <c r="AO938" s="12">
        <f ca="1">IFERROR(VLOOKUP(AN938,koronahun!A:B,2,FALSE),"")</f>
        <v>0</v>
      </c>
      <c r="AP938" s="11">
        <f t="shared" ca="1" si="6"/>
        <v>44830</v>
      </c>
      <c r="AQ938" s="11"/>
      <c r="AR938" s="11"/>
      <c r="AS938" s="11"/>
      <c r="AT938" s="11"/>
    </row>
    <row r="939" spans="1:46" ht="13">
      <c r="A939" s="11"/>
      <c r="B939" t="str">
        <f>IFERROR(VLOOKUP($A939,koronahun!$A:$AM,2,FALSE),"")</f>
        <v/>
      </c>
      <c r="C939" t="str">
        <f>IFERROR(VLOOKUP($A939,koronahun!$A:$AM,3,FALSE),"")</f>
        <v/>
      </c>
      <c r="D939" t="str">
        <f>IFERROR(VLOOKUP($A939,koronahun!$A:$AM,4,FALSE),"")</f>
        <v/>
      </c>
      <c r="E939" t="str">
        <f>IFERROR(VLOOKUP($A939,koronahun!$A:$AM,5,FALSE),"")</f>
        <v/>
      </c>
      <c r="F939" t="str">
        <f>IFERROR(VLOOKUP($A939,koronahun!$A:$AM,6,FALSE),"")</f>
        <v/>
      </c>
      <c r="G939" s="12" t="str">
        <f>IFERROR(VLOOKUP($A939,koronahun!$A:$AM,7,FALSE),"")</f>
        <v/>
      </c>
      <c r="H939" t="str">
        <f>IFERROR(VLOOKUP($A939,koronahun!$A:$AM,8,FALSE),"")</f>
        <v/>
      </c>
      <c r="I939" s="13" t="str">
        <f>IFERROR(VLOOKUP($A939,koronahun!$A:$AM,9,FALSE),"")</f>
        <v/>
      </c>
      <c r="J939" s="13" t="str">
        <f>IFERROR(VLOOKUP($A939,koronahun!$A:$AM,10,FALSE),"")</f>
        <v/>
      </c>
      <c r="K939" s="13" t="str">
        <f>IFERROR(VLOOKUP($A939,koronahun!$A:$AM,11,FALSE),"")</f>
        <v/>
      </c>
      <c r="L939" t="str">
        <f>IFERROR(VLOOKUP($A939,koronahun!$A:$AM,12,FALSE),"")</f>
        <v/>
      </c>
      <c r="M939" s="13" t="str">
        <f>IFERROR(VLOOKUP($A939,koronahun!$A:$AM,13,FALSE),"")</f>
        <v/>
      </c>
      <c r="N939" s="13" t="str">
        <f>IFERROR(VLOOKUP($A939,koronahun!$A:$AM,14,FALSE),"")</f>
        <v/>
      </c>
      <c r="O939" t="str">
        <f>IFERROR(VLOOKUP($A939,koronahun!$A:$AM,15,FALSE),"")</f>
        <v/>
      </c>
      <c r="P939" t="str">
        <f>IFERROR(VLOOKUP($A939,koronahun!$A:$AM,16,FALSE),"")</f>
        <v/>
      </c>
      <c r="Q939" s="13" t="str">
        <f>IFERROR(VLOOKUP($A939,koronahun!$A:$AM,17,FALSE),"")</f>
        <v/>
      </c>
      <c r="R939" t="str">
        <f>IFERROR(VLOOKUP($A939,koronahun!$A:$AM,18,FALSE),"")</f>
        <v/>
      </c>
      <c r="S939" t="str">
        <f>IFERROR(VLOOKUP($A939,koronahun!$A:$AM,19,FALSE),"")</f>
        <v/>
      </c>
      <c r="T939" t="str">
        <f>IFERROR(VLOOKUP($A939,koronahun!$A:$AM,20,FALSE),"")</f>
        <v/>
      </c>
      <c r="U939" t="str">
        <f>IFERROR(VLOOKUP($A939,koronahun!$A:$AM,21,FALSE),"")</f>
        <v/>
      </c>
      <c r="V939" s="13" t="str">
        <f>IFERROR(VLOOKUP($A939,koronahun!$A:$AM,22,FALSE),"")</f>
        <v/>
      </c>
      <c r="W939" t="str">
        <f>IFERROR(VLOOKUP($A939,koronahun!$A:$AM,23,FALSE),"")</f>
        <v/>
      </c>
      <c r="X939" t="str">
        <f>IFERROR(VLOOKUP($A939,koronahun!$A:$AM,24,FALSE),"")</f>
        <v/>
      </c>
      <c r="Y939" s="14" t="str">
        <f>IFERROR(VLOOKUP($A939,koronahun!$A:$AM,25,FALSE),"")</f>
        <v/>
      </c>
      <c r="Z939" s="14" t="str">
        <f>IFERROR(VLOOKUP($A939,koronahun!$A:$AM,26,FALSE),"")</f>
        <v/>
      </c>
      <c r="AA939" s="14" t="str">
        <f>IFERROR(VLOOKUP($A939,koronahun!$A:$AM,27,FALSE),"")</f>
        <v/>
      </c>
      <c r="AB939" s="14" t="str">
        <f>IFERROR(VLOOKUP($A939,koronahun!$A:$AM,28,FALSE),"")</f>
        <v/>
      </c>
      <c r="AC939" s="14" t="str">
        <f>IFERROR(VLOOKUP($A939,koronahun!$A:$AM,29,FALSE),"")</f>
        <v/>
      </c>
      <c r="AD939" s="14" t="str">
        <f>IFERROR(VLOOKUP($A939,koronahun!$A:$AM,30,FALSE),"")</f>
        <v/>
      </c>
      <c r="AE939" s="14" t="str">
        <f>IFERROR(VLOOKUP($A939,koronahun!$A:$AM,31,FALSE),"")</f>
        <v/>
      </c>
      <c r="AF939" s="13" t="str">
        <f>IFERROR(VLOOKUP($A939,koronahun!$A:$AM,32,FALSE),"")</f>
        <v/>
      </c>
      <c r="AG939" t="str">
        <f>IFERROR(VLOOKUP($A939,koronahun!$A:$AM,33,FALSE),"")</f>
        <v/>
      </c>
      <c r="AH939" t="str">
        <f>IFERROR(VLOOKUP($A939,koronahun!$A:$AM,34,FALSE),"")</f>
        <v/>
      </c>
      <c r="AI939" t="str">
        <f>IFERROR(VLOOKUP($A939,koronahun!$A:$AM,35,FALSE),"")</f>
        <v/>
      </c>
      <c r="AJ939" t="str">
        <f>IFERROR(VLOOKUP($A939,koronahun!$A:$AM,36,FALSE),"")</f>
        <v/>
      </c>
      <c r="AK939" t="str">
        <f>IFERROR(VLOOKUP($A939,koronahun!$A:$AM,37,FALSE),"")</f>
        <v/>
      </c>
      <c r="AL939" t="str">
        <f>IFERROR(VLOOKUP($A939,koronahun!$A:$AM,38,FALSE),"")</f>
        <v/>
      </c>
      <c r="AM939" s="14" t="str">
        <f>IFERROR(VLOOKUP($A939,koronahun!$A:$AM,39,FALSE),"")</f>
        <v/>
      </c>
      <c r="AN939" s="11">
        <f ca="1">IFERROR(__xludf.DUMMYFUNCTION("""COMPUTED_VALUE"""),44831)</f>
        <v>44831</v>
      </c>
      <c r="AO939" s="12">
        <f ca="1">IFERROR(VLOOKUP(AN939,koronahun!A:B,2,FALSE),"")</f>
        <v>0</v>
      </c>
      <c r="AP939" s="11">
        <f t="shared" ca="1" si="6"/>
        <v>44831</v>
      </c>
      <c r="AQ939" s="11"/>
      <c r="AR939" s="11"/>
      <c r="AS939" s="11"/>
      <c r="AT939" s="11"/>
    </row>
    <row r="940" spans="1:46" ht="13">
      <c r="A940" s="11"/>
      <c r="B940" t="str">
        <f>IFERROR(VLOOKUP($A940,koronahun!$A:$AM,2,FALSE),"")</f>
        <v/>
      </c>
      <c r="C940" t="str">
        <f>IFERROR(VLOOKUP($A940,koronahun!$A:$AM,3,FALSE),"")</f>
        <v/>
      </c>
      <c r="D940" t="str">
        <f>IFERROR(VLOOKUP($A940,koronahun!$A:$AM,4,FALSE),"")</f>
        <v/>
      </c>
      <c r="E940" t="str">
        <f>IFERROR(VLOOKUP($A940,koronahun!$A:$AM,5,FALSE),"")</f>
        <v/>
      </c>
      <c r="F940" t="str">
        <f>IFERROR(VLOOKUP($A940,koronahun!$A:$AM,6,FALSE),"")</f>
        <v/>
      </c>
      <c r="G940" s="12" t="str">
        <f>IFERROR(VLOOKUP($A940,koronahun!$A:$AM,7,FALSE),"")</f>
        <v/>
      </c>
      <c r="H940" t="str">
        <f>IFERROR(VLOOKUP($A940,koronahun!$A:$AM,8,FALSE),"")</f>
        <v/>
      </c>
      <c r="I940" s="13" t="str">
        <f>IFERROR(VLOOKUP($A940,koronahun!$A:$AM,9,FALSE),"")</f>
        <v/>
      </c>
      <c r="J940" s="13" t="str">
        <f>IFERROR(VLOOKUP($A940,koronahun!$A:$AM,10,FALSE),"")</f>
        <v/>
      </c>
      <c r="K940" s="13" t="str">
        <f>IFERROR(VLOOKUP($A940,koronahun!$A:$AM,11,FALSE),"")</f>
        <v/>
      </c>
      <c r="L940" t="str">
        <f>IFERROR(VLOOKUP($A940,koronahun!$A:$AM,12,FALSE),"")</f>
        <v/>
      </c>
      <c r="M940" s="13" t="str">
        <f>IFERROR(VLOOKUP($A940,koronahun!$A:$AM,13,FALSE),"")</f>
        <v/>
      </c>
      <c r="N940" s="13" t="str">
        <f>IFERROR(VLOOKUP($A940,koronahun!$A:$AM,14,FALSE),"")</f>
        <v/>
      </c>
      <c r="O940" t="str">
        <f>IFERROR(VLOOKUP($A940,koronahun!$A:$AM,15,FALSE),"")</f>
        <v/>
      </c>
      <c r="P940" t="str">
        <f>IFERROR(VLOOKUP($A940,koronahun!$A:$AM,16,FALSE),"")</f>
        <v/>
      </c>
      <c r="Q940" s="13" t="str">
        <f>IFERROR(VLOOKUP($A940,koronahun!$A:$AM,17,FALSE),"")</f>
        <v/>
      </c>
      <c r="R940" t="str">
        <f>IFERROR(VLOOKUP($A940,koronahun!$A:$AM,18,FALSE),"")</f>
        <v/>
      </c>
      <c r="S940" t="str">
        <f>IFERROR(VLOOKUP($A940,koronahun!$A:$AM,19,FALSE),"")</f>
        <v/>
      </c>
      <c r="T940" t="str">
        <f>IFERROR(VLOOKUP($A940,koronahun!$A:$AM,20,FALSE),"")</f>
        <v/>
      </c>
      <c r="U940" t="str">
        <f>IFERROR(VLOOKUP($A940,koronahun!$A:$AM,21,FALSE),"")</f>
        <v/>
      </c>
      <c r="V940" s="13" t="str">
        <f>IFERROR(VLOOKUP($A940,koronahun!$A:$AM,22,FALSE),"")</f>
        <v/>
      </c>
      <c r="W940" t="str">
        <f>IFERROR(VLOOKUP($A940,koronahun!$A:$AM,23,FALSE),"")</f>
        <v/>
      </c>
      <c r="X940" t="str">
        <f>IFERROR(VLOOKUP($A940,koronahun!$A:$AM,24,FALSE),"")</f>
        <v/>
      </c>
      <c r="Y940" s="14" t="str">
        <f>IFERROR(VLOOKUP($A940,koronahun!$A:$AM,25,FALSE),"")</f>
        <v/>
      </c>
      <c r="Z940" s="14" t="str">
        <f>IFERROR(VLOOKUP($A940,koronahun!$A:$AM,26,FALSE),"")</f>
        <v/>
      </c>
      <c r="AA940" s="14" t="str">
        <f>IFERROR(VLOOKUP($A940,koronahun!$A:$AM,27,FALSE),"")</f>
        <v/>
      </c>
      <c r="AB940" s="14" t="str">
        <f>IFERROR(VLOOKUP($A940,koronahun!$A:$AM,28,FALSE),"")</f>
        <v/>
      </c>
      <c r="AC940" s="14" t="str">
        <f>IFERROR(VLOOKUP($A940,koronahun!$A:$AM,29,FALSE),"")</f>
        <v/>
      </c>
      <c r="AD940" s="14" t="str">
        <f>IFERROR(VLOOKUP($A940,koronahun!$A:$AM,30,FALSE),"")</f>
        <v/>
      </c>
      <c r="AE940" s="14" t="str">
        <f>IFERROR(VLOOKUP($A940,koronahun!$A:$AM,31,FALSE),"")</f>
        <v/>
      </c>
      <c r="AF940" s="13" t="str">
        <f>IFERROR(VLOOKUP($A940,koronahun!$A:$AM,32,FALSE),"")</f>
        <v/>
      </c>
      <c r="AG940" t="str">
        <f>IFERROR(VLOOKUP($A940,koronahun!$A:$AM,33,FALSE),"")</f>
        <v/>
      </c>
      <c r="AH940" t="str">
        <f>IFERROR(VLOOKUP($A940,koronahun!$A:$AM,34,FALSE),"")</f>
        <v/>
      </c>
      <c r="AI940" t="str">
        <f>IFERROR(VLOOKUP($A940,koronahun!$A:$AM,35,FALSE),"")</f>
        <v/>
      </c>
      <c r="AJ940" t="str">
        <f>IFERROR(VLOOKUP($A940,koronahun!$A:$AM,36,FALSE),"")</f>
        <v/>
      </c>
      <c r="AK940" t="str">
        <f>IFERROR(VLOOKUP($A940,koronahun!$A:$AM,37,FALSE),"")</f>
        <v/>
      </c>
      <c r="AL940" t="str">
        <f>IFERROR(VLOOKUP($A940,koronahun!$A:$AM,38,FALSE),"")</f>
        <v/>
      </c>
      <c r="AM940" s="14" t="str">
        <f>IFERROR(VLOOKUP($A940,koronahun!$A:$AM,39,FALSE),"")</f>
        <v/>
      </c>
      <c r="AN940" s="11">
        <f ca="1">IFERROR(__xludf.DUMMYFUNCTION("""COMPUTED_VALUE"""),44832)</f>
        <v>44832</v>
      </c>
      <c r="AO940" s="12">
        <f ca="1">IFERROR(VLOOKUP(AN940,koronahun!A:B,2,FALSE),"")</f>
        <v>2094142</v>
      </c>
      <c r="AP940" s="11">
        <f t="shared" ca="1" si="6"/>
        <v>44832</v>
      </c>
      <c r="AQ940" s="11"/>
      <c r="AR940" s="11"/>
      <c r="AS940" s="11"/>
      <c r="AT940" s="11"/>
    </row>
    <row r="941" spans="1:46" ht="13">
      <c r="A941" s="11"/>
      <c r="B941" t="str">
        <f>IFERROR(VLOOKUP($A941,koronahun!$A:$AM,2,FALSE),"")</f>
        <v/>
      </c>
      <c r="C941" t="str">
        <f>IFERROR(VLOOKUP($A941,koronahun!$A:$AM,3,FALSE),"")</f>
        <v/>
      </c>
      <c r="D941" t="str">
        <f>IFERROR(VLOOKUP($A941,koronahun!$A:$AM,4,FALSE),"")</f>
        <v/>
      </c>
      <c r="E941" t="str">
        <f>IFERROR(VLOOKUP($A941,koronahun!$A:$AM,5,FALSE),"")</f>
        <v/>
      </c>
      <c r="F941" t="str">
        <f>IFERROR(VLOOKUP($A941,koronahun!$A:$AM,6,FALSE),"")</f>
        <v/>
      </c>
      <c r="G941" s="12" t="str">
        <f>IFERROR(VLOOKUP($A941,koronahun!$A:$AM,7,FALSE),"")</f>
        <v/>
      </c>
      <c r="H941" t="str">
        <f>IFERROR(VLOOKUP($A941,koronahun!$A:$AM,8,FALSE),"")</f>
        <v/>
      </c>
      <c r="I941" s="13" t="str">
        <f>IFERROR(VLOOKUP($A941,koronahun!$A:$AM,9,FALSE),"")</f>
        <v/>
      </c>
      <c r="J941" s="13" t="str">
        <f>IFERROR(VLOOKUP($A941,koronahun!$A:$AM,10,FALSE),"")</f>
        <v/>
      </c>
      <c r="K941" s="13" t="str">
        <f>IFERROR(VLOOKUP($A941,koronahun!$A:$AM,11,FALSE),"")</f>
        <v/>
      </c>
      <c r="L941" t="str">
        <f>IFERROR(VLOOKUP($A941,koronahun!$A:$AM,12,FALSE),"")</f>
        <v/>
      </c>
      <c r="M941" s="13" t="str">
        <f>IFERROR(VLOOKUP($A941,koronahun!$A:$AM,13,FALSE),"")</f>
        <v/>
      </c>
      <c r="N941" s="13" t="str">
        <f>IFERROR(VLOOKUP($A941,koronahun!$A:$AM,14,FALSE),"")</f>
        <v/>
      </c>
      <c r="O941" t="str">
        <f>IFERROR(VLOOKUP($A941,koronahun!$A:$AM,15,FALSE),"")</f>
        <v/>
      </c>
      <c r="P941" t="str">
        <f>IFERROR(VLOOKUP($A941,koronahun!$A:$AM,16,FALSE),"")</f>
        <v/>
      </c>
      <c r="Q941" s="13" t="str">
        <f>IFERROR(VLOOKUP($A941,koronahun!$A:$AM,17,FALSE),"")</f>
        <v/>
      </c>
      <c r="R941" t="str">
        <f>IFERROR(VLOOKUP($A941,koronahun!$A:$AM,18,FALSE),"")</f>
        <v/>
      </c>
      <c r="S941" t="str">
        <f>IFERROR(VLOOKUP($A941,koronahun!$A:$AM,19,FALSE),"")</f>
        <v/>
      </c>
      <c r="T941" t="str">
        <f>IFERROR(VLOOKUP($A941,koronahun!$A:$AM,20,FALSE),"")</f>
        <v/>
      </c>
      <c r="U941" t="str">
        <f>IFERROR(VLOOKUP($A941,koronahun!$A:$AM,21,FALSE),"")</f>
        <v/>
      </c>
      <c r="V941" s="13" t="str">
        <f>IFERROR(VLOOKUP($A941,koronahun!$A:$AM,22,FALSE),"")</f>
        <v/>
      </c>
      <c r="W941" t="str">
        <f>IFERROR(VLOOKUP($A941,koronahun!$A:$AM,23,FALSE),"")</f>
        <v/>
      </c>
      <c r="X941" t="str">
        <f>IFERROR(VLOOKUP($A941,koronahun!$A:$AM,24,FALSE),"")</f>
        <v/>
      </c>
      <c r="Y941" s="14" t="str">
        <f>IFERROR(VLOOKUP($A941,koronahun!$A:$AM,25,FALSE),"")</f>
        <v/>
      </c>
      <c r="Z941" s="14" t="str">
        <f>IFERROR(VLOOKUP($A941,koronahun!$A:$AM,26,FALSE),"")</f>
        <v/>
      </c>
      <c r="AA941" s="14" t="str">
        <f>IFERROR(VLOOKUP($A941,koronahun!$A:$AM,27,FALSE),"")</f>
        <v/>
      </c>
      <c r="AB941" s="14" t="str">
        <f>IFERROR(VLOOKUP($A941,koronahun!$A:$AM,28,FALSE),"")</f>
        <v/>
      </c>
      <c r="AC941" s="14" t="str">
        <f>IFERROR(VLOOKUP($A941,koronahun!$A:$AM,29,FALSE),"")</f>
        <v/>
      </c>
      <c r="AD941" s="14" t="str">
        <f>IFERROR(VLOOKUP($A941,koronahun!$A:$AM,30,FALSE),"")</f>
        <v/>
      </c>
      <c r="AE941" s="14" t="str">
        <f>IFERROR(VLOOKUP($A941,koronahun!$A:$AM,31,FALSE),"")</f>
        <v/>
      </c>
      <c r="AF941" s="13" t="str">
        <f>IFERROR(VLOOKUP($A941,koronahun!$A:$AM,32,FALSE),"")</f>
        <v/>
      </c>
      <c r="AG941" t="str">
        <f>IFERROR(VLOOKUP($A941,koronahun!$A:$AM,33,FALSE),"")</f>
        <v/>
      </c>
      <c r="AH941" t="str">
        <f>IFERROR(VLOOKUP($A941,koronahun!$A:$AM,34,FALSE),"")</f>
        <v/>
      </c>
      <c r="AI941" t="str">
        <f>IFERROR(VLOOKUP($A941,koronahun!$A:$AM,35,FALSE),"")</f>
        <v/>
      </c>
      <c r="AJ941" t="str">
        <f>IFERROR(VLOOKUP($A941,koronahun!$A:$AM,36,FALSE),"")</f>
        <v/>
      </c>
      <c r="AK941" t="str">
        <f>IFERROR(VLOOKUP($A941,koronahun!$A:$AM,37,FALSE),"")</f>
        <v/>
      </c>
      <c r="AL941" t="str">
        <f>IFERROR(VLOOKUP($A941,koronahun!$A:$AM,38,FALSE),"")</f>
        <v/>
      </c>
      <c r="AM941" s="14" t="str">
        <f>IFERROR(VLOOKUP($A941,koronahun!$A:$AM,39,FALSE),"")</f>
        <v/>
      </c>
      <c r="AN941" s="11">
        <f ca="1">IFERROR(__xludf.DUMMYFUNCTION("""COMPUTED_VALUE"""),44833)</f>
        <v>44833</v>
      </c>
      <c r="AO941" s="12">
        <f ca="1">IFERROR(VLOOKUP(AN941,koronahun!A:B,2,FALSE),"")</f>
        <v>0</v>
      </c>
      <c r="AP941" s="11">
        <f t="shared" ca="1" si="6"/>
        <v>44833</v>
      </c>
      <c r="AQ941" s="11"/>
      <c r="AR941" s="11"/>
      <c r="AS941" s="11"/>
      <c r="AT941" s="11"/>
    </row>
    <row r="942" spans="1:46" ht="13">
      <c r="A942" s="11"/>
      <c r="B942" t="str">
        <f>IFERROR(VLOOKUP($A942,koronahun!$A:$AM,2,FALSE),"")</f>
        <v/>
      </c>
      <c r="C942" t="str">
        <f>IFERROR(VLOOKUP($A942,koronahun!$A:$AM,3,FALSE),"")</f>
        <v/>
      </c>
      <c r="D942" t="str">
        <f>IFERROR(VLOOKUP($A942,koronahun!$A:$AM,4,FALSE),"")</f>
        <v/>
      </c>
      <c r="E942" t="str">
        <f>IFERROR(VLOOKUP($A942,koronahun!$A:$AM,5,FALSE),"")</f>
        <v/>
      </c>
      <c r="F942" t="str">
        <f>IFERROR(VLOOKUP($A942,koronahun!$A:$AM,6,FALSE),"")</f>
        <v/>
      </c>
      <c r="G942" s="12" t="str">
        <f>IFERROR(VLOOKUP($A942,koronahun!$A:$AM,7,FALSE),"")</f>
        <v/>
      </c>
      <c r="H942" t="str">
        <f>IFERROR(VLOOKUP($A942,koronahun!$A:$AM,8,FALSE),"")</f>
        <v/>
      </c>
      <c r="I942" s="13" t="str">
        <f>IFERROR(VLOOKUP($A942,koronahun!$A:$AM,9,FALSE),"")</f>
        <v/>
      </c>
      <c r="J942" s="13" t="str">
        <f>IFERROR(VLOOKUP($A942,koronahun!$A:$AM,10,FALSE),"")</f>
        <v/>
      </c>
      <c r="K942" s="13" t="str">
        <f>IFERROR(VLOOKUP($A942,koronahun!$A:$AM,11,FALSE),"")</f>
        <v/>
      </c>
      <c r="L942" t="str">
        <f>IFERROR(VLOOKUP($A942,koronahun!$A:$AM,12,FALSE),"")</f>
        <v/>
      </c>
      <c r="M942" s="13" t="str">
        <f>IFERROR(VLOOKUP($A942,koronahun!$A:$AM,13,FALSE),"")</f>
        <v/>
      </c>
      <c r="N942" s="13" t="str">
        <f>IFERROR(VLOOKUP($A942,koronahun!$A:$AM,14,FALSE),"")</f>
        <v/>
      </c>
      <c r="O942" t="str">
        <f>IFERROR(VLOOKUP($A942,koronahun!$A:$AM,15,FALSE),"")</f>
        <v/>
      </c>
      <c r="P942" t="str">
        <f>IFERROR(VLOOKUP($A942,koronahun!$A:$AM,16,FALSE),"")</f>
        <v/>
      </c>
      <c r="Q942" s="13" t="str">
        <f>IFERROR(VLOOKUP($A942,koronahun!$A:$AM,17,FALSE),"")</f>
        <v/>
      </c>
      <c r="R942" t="str">
        <f>IFERROR(VLOOKUP($A942,koronahun!$A:$AM,18,FALSE),"")</f>
        <v/>
      </c>
      <c r="S942" t="str">
        <f>IFERROR(VLOOKUP($A942,koronahun!$A:$AM,19,FALSE),"")</f>
        <v/>
      </c>
      <c r="T942" t="str">
        <f>IFERROR(VLOOKUP($A942,koronahun!$A:$AM,20,FALSE),"")</f>
        <v/>
      </c>
      <c r="U942" t="str">
        <f>IFERROR(VLOOKUP($A942,koronahun!$A:$AM,21,FALSE),"")</f>
        <v/>
      </c>
      <c r="V942" s="13" t="str">
        <f>IFERROR(VLOOKUP($A942,koronahun!$A:$AM,22,FALSE),"")</f>
        <v/>
      </c>
      <c r="W942" t="str">
        <f>IFERROR(VLOOKUP($A942,koronahun!$A:$AM,23,FALSE),"")</f>
        <v/>
      </c>
      <c r="X942" t="str">
        <f>IFERROR(VLOOKUP($A942,koronahun!$A:$AM,24,FALSE),"")</f>
        <v/>
      </c>
      <c r="Y942" s="14" t="str">
        <f>IFERROR(VLOOKUP($A942,koronahun!$A:$AM,25,FALSE),"")</f>
        <v/>
      </c>
      <c r="Z942" s="14" t="str">
        <f>IFERROR(VLOOKUP($A942,koronahun!$A:$AM,26,FALSE),"")</f>
        <v/>
      </c>
      <c r="AA942" s="14" t="str">
        <f>IFERROR(VLOOKUP($A942,koronahun!$A:$AM,27,FALSE),"")</f>
        <v/>
      </c>
      <c r="AB942" s="14" t="str">
        <f>IFERROR(VLOOKUP($A942,koronahun!$A:$AM,28,FALSE),"")</f>
        <v/>
      </c>
      <c r="AC942" s="14" t="str">
        <f>IFERROR(VLOOKUP($A942,koronahun!$A:$AM,29,FALSE),"")</f>
        <v/>
      </c>
      <c r="AD942" s="14" t="str">
        <f>IFERROR(VLOOKUP($A942,koronahun!$A:$AM,30,FALSE),"")</f>
        <v/>
      </c>
      <c r="AE942" s="14" t="str">
        <f>IFERROR(VLOOKUP($A942,koronahun!$A:$AM,31,FALSE),"")</f>
        <v/>
      </c>
      <c r="AF942" s="13" t="str">
        <f>IFERROR(VLOOKUP($A942,koronahun!$A:$AM,32,FALSE),"")</f>
        <v/>
      </c>
      <c r="AG942" t="str">
        <f>IFERROR(VLOOKUP($A942,koronahun!$A:$AM,33,FALSE),"")</f>
        <v/>
      </c>
      <c r="AH942" t="str">
        <f>IFERROR(VLOOKUP($A942,koronahun!$A:$AM,34,FALSE),"")</f>
        <v/>
      </c>
      <c r="AI942" t="str">
        <f>IFERROR(VLOOKUP($A942,koronahun!$A:$AM,35,FALSE),"")</f>
        <v/>
      </c>
      <c r="AJ942" t="str">
        <f>IFERROR(VLOOKUP($A942,koronahun!$A:$AM,36,FALSE),"")</f>
        <v/>
      </c>
      <c r="AK942" t="str">
        <f>IFERROR(VLOOKUP($A942,koronahun!$A:$AM,37,FALSE),"")</f>
        <v/>
      </c>
      <c r="AL942" t="str">
        <f>IFERROR(VLOOKUP($A942,koronahun!$A:$AM,38,FALSE),"")</f>
        <v/>
      </c>
      <c r="AM942" s="14" t="str">
        <f>IFERROR(VLOOKUP($A942,koronahun!$A:$AM,39,FALSE),"")</f>
        <v/>
      </c>
      <c r="AN942" s="11">
        <f ca="1">IFERROR(__xludf.DUMMYFUNCTION("""COMPUTED_VALUE"""),44834)</f>
        <v>44834</v>
      </c>
      <c r="AO942" s="12">
        <f ca="1">IFERROR(VLOOKUP(AN942,koronahun!A:B,2,FALSE),"")</f>
        <v>0</v>
      </c>
      <c r="AP942" s="11">
        <f t="shared" ca="1" si="6"/>
        <v>44834</v>
      </c>
      <c r="AQ942" s="11"/>
      <c r="AR942" s="11"/>
      <c r="AS942" s="11"/>
      <c r="AT942" s="11"/>
    </row>
    <row r="943" spans="1:46" ht="13">
      <c r="A943" s="11"/>
      <c r="B943" t="str">
        <f>IFERROR(VLOOKUP($A943,koronahun!$A:$AM,2,FALSE),"")</f>
        <v/>
      </c>
      <c r="C943" t="str">
        <f>IFERROR(VLOOKUP($A943,koronahun!$A:$AM,3,FALSE),"")</f>
        <v/>
      </c>
      <c r="D943" t="str">
        <f>IFERROR(VLOOKUP($A943,koronahun!$A:$AM,4,FALSE),"")</f>
        <v/>
      </c>
      <c r="E943" t="str">
        <f>IFERROR(VLOOKUP($A943,koronahun!$A:$AM,5,FALSE),"")</f>
        <v/>
      </c>
      <c r="F943" t="str">
        <f>IFERROR(VLOOKUP($A943,koronahun!$A:$AM,6,FALSE),"")</f>
        <v/>
      </c>
      <c r="G943" s="12" t="str">
        <f>IFERROR(VLOOKUP($A943,koronahun!$A:$AM,7,FALSE),"")</f>
        <v/>
      </c>
      <c r="H943" t="str">
        <f>IFERROR(VLOOKUP($A943,koronahun!$A:$AM,8,FALSE),"")</f>
        <v/>
      </c>
      <c r="I943" s="13" t="str">
        <f>IFERROR(VLOOKUP($A943,koronahun!$A:$AM,9,FALSE),"")</f>
        <v/>
      </c>
      <c r="J943" s="13" t="str">
        <f>IFERROR(VLOOKUP($A943,koronahun!$A:$AM,10,FALSE),"")</f>
        <v/>
      </c>
      <c r="K943" s="13" t="str">
        <f>IFERROR(VLOOKUP($A943,koronahun!$A:$AM,11,FALSE),"")</f>
        <v/>
      </c>
      <c r="L943" t="str">
        <f>IFERROR(VLOOKUP($A943,koronahun!$A:$AM,12,FALSE),"")</f>
        <v/>
      </c>
      <c r="M943" s="13" t="str">
        <f>IFERROR(VLOOKUP($A943,koronahun!$A:$AM,13,FALSE),"")</f>
        <v/>
      </c>
      <c r="N943" s="13" t="str">
        <f>IFERROR(VLOOKUP($A943,koronahun!$A:$AM,14,FALSE),"")</f>
        <v/>
      </c>
      <c r="O943" t="str">
        <f>IFERROR(VLOOKUP($A943,koronahun!$A:$AM,15,FALSE),"")</f>
        <v/>
      </c>
      <c r="P943" t="str">
        <f>IFERROR(VLOOKUP($A943,koronahun!$A:$AM,16,FALSE),"")</f>
        <v/>
      </c>
      <c r="Q943" s="13" t="str">
        <f>IFERROR(VLOOKUP($A943,koronahun!$A:$AM,17,FALSE),"")</f>
        <v/>
      </c>
      <c r="R943" t="str">
        <f>IFERROR(VLOOKUP($A943,koronahun!$A:$AM,18,FALSE),"")</f>
        <v/>
      </c>
      <c r="S943" t="str">
        <f>IFERROR(VLOOKUP($A943,koronahun!$A:$AM,19,FALSE),"")</f>
        <v/>
      </c>
      <c r="T943" t="str">
        <f>IFERROR(VLOOKUP($A943,koronahun!$A:$AM,20,FALSE),"")</f>
        <v/>
      </c>
      <c r="U943" t="str">
        <f>IFERROR(VLOOKUP($A943,koronahun!$A:$AM,21,FALSE),"")</f>
        <v/>
      </c>
      <c r="V943" s="13" t="str">
        <f>IFERROR(VLOOKUP($A943,koronahun!$A:$AM,22,FALSE),"")</f>
        <v/>
      </c>
      <c r="W943" t="str">
        <f>IFERROR(VLOOKUP($A943,koronahun!$A:$AM,23,FALSE),"")</f>
        <v/>
      </c>
      <c r="X943" t="str">
        <f>IFERROR(VLOOKUP($A943,koronahun!$A:$AM,24,FALSE),"")</f>
        <v/>
      </c>
      <c r="Y943" s="14" t="str">
        <f>IFERROR(VLOOKUP($A943,koronahun!$A:$AM,25,FALSE),"")</f>
        <v/>
      </c>
      <c r="Z943" s="14" t="str">
        <f>IFERROR(VLOOKUP($A943,koronahun!$A:$AM,26,FALSE),"")</f>
        <v/>
      </c>
      <c r="AA943" s="14" t="str">
        <f>IFERROR(VLOOKUP($A943,koronahun!$A:$AM,27,FALSE),"")</f>
        <v/>
      </c>
      <c r="AB943" s="14" t="str">
        <f>IFERROR(VLOOKUP($A943,koronahun!$A:$AM,28,FALSE),"")</f>
        <v/>
      </c>
      <c r="AC943" s="14" t="str">
        <f>IFERROR(VLOOKUP($A943,koronahun!$A:$AM,29,FALSE),"")</f>
        <v/>
      </c>
      <c r="AD943" s="14" t="str">
        <f>IFERROR(VLOOKUP($A943,koronahun!$A:$AM,30,FALSE),"")</f>
        <v/>
      </c>
      <c r="AE943" s="14" t="str">
        <f>IFERROR(VLOOKUP($A943,koronahun!$A:$AM,31,FALSE),"")</f>
        <v/>
      </c>
      <c r="AF943" s="13" t="str">
        <f>IFERROR(VLOOKUP($A943,koronahun!$A:$AM,32,FALSE),"")</f>
        <v/>
      </c>
      <c r="AG943" t="str">
        <f>IFERROR(VLOOKUP($A943,koronahun!$A:$AM,33,FALSE),"")</f>
        <v/>
      </c>
      <c r="AH943" t="str">
        <f>IFERROR(VLOOKUP($A943,koronahun!$A:$AM,34,FALSE),"")</f>
        <v/>
      </c>
      <c r="AI943" t="str">
        <f>IFERROR(VLOOKUP($A943,koronahun!$A:$AM,35,FALSE),"")</f>
        <v/>
      </c>
      <c r="AJ943" t="str">
        <f>IFERROR(VLOOKUP($A943,koronahun!$A:$AM,36,FALSE),"")</f>
        <v/>
      </c>
      <c r="AK943" t="str">
        <f>IFERROR(VLOOKUP($A943,koronahun!$A:$AM,37,FALSE),"")</f>
        <v/>
      </c>
      <c r="AL943" t="str">
        <f>IFERROR(VLOOKUP($A943,koronahun!$A:$AM,38,FALSE),"")</f>
        <v/>
      </c>
      <c r="AM943" s="14" t="str">
        <f>IFERROR(VLOOKUP($A943,koronahun!$A:$AM,39,FALSE),"")</f>
        <v/>
      </c>
      <c r="AN943" s="11">
        <f ca="1">IFERROR(__xludf.DUMMYFUNCTION("""COMPUTED_VALUE"""),44835)</f>
        <v>44835</v>
      </c>
      <c r="AO943" s="12">
        <f ca="1">IFERROR(VLOOKUP(AN943,koronahun!A:B,2,FALSE),"")</f>
        <v>0</v>
      </c>
      <c r="AP943" s="11">
        <f t="shared" ca="1" si="6"/>
        <v>44835</v>
      </c>
      <c r="AQ943" s="11"/>
      <c r="AR943" s="11"/>
      <c r="AS943" s="11"/>
      <c r="AT943" s="11"/>
    </row>
    <row r="944" spans="1:46" ht="13">
      <c r="A944" s="11"/>
      <c r="B944" t="str">
        <f>IFERROR(VLOOKUP($A944,koronahun!$A:$AM,2,FALSE),"")</f>
        <v/>
      </c>
      <c r="C944" t="str">
        <f>IFERROR(VLOOKUP($A944,koronahun!$A:$AM,3,FALSE),"")</f>
        <v/>
      </c>
      <c r="D944" t="str">
        <f>IFERROR(VLOOKUP($A944,koronahun!$A:$AM,4,FALSE),"")</f>
        <v/>
      </c>
      <c r="E944" t="str">
        <f>IFERROR(VLOOKUP($A944,koronahun!$A:$AM,5,FALSE),"")</f>
        <v/>
      </c>
      <c r="F944" t="str">
        <f>IFERROR(VLOOKUP($A944,koronahun!$A:$AM,6,FALSE),"")</f>
        <v/>
      </c>
      <c r="G944" s="12" t="str">
        <f>IFERROR(VLOOKUP($A944,koronahun!$A:$AM,7,FALSE),"")</f>
        <v/>
      </c>
      <c r="H944" t="str">
        <f>IFERROR(VLOOKUP($A944,koronahun!$A:$AM,8,FALSE),"")</f>
        <v/>
      </c>
      <c r="I944" s="13" t="str">
        <f>IFERROR(VLOOKUP($A944,koronahun!$A:$AM,9,FALSE),"")</f>
        <v/>
      </c>
      <c r="J944" s="13" t="str">
        <f>IFERROR(VLOOKUP($A944,koronahun!$A:$AM,10,FALSE),"")</f>
        <v/>
      </c>
      <c r="K944" s="13" t="str">
        <f>IFERROR(VLOOKUP($A944,koronahun!$A:$AM,11,FALSE),"")</f>
        <v/>
      </c>
      <c r="L944" t="str">
        <f>IFERROR(VLOOKUP($A944,koronahun!$A:$AM,12,FALSE),"")</f>
        <v/>
      </c>
      <c r="M944" s="13" t="str">
        <f>IFERROR(VLOOKUP($A944,koronahun!$A:$AM,13,FALSE),"")</f>
        <v/>
      </c>
      <c r="N944" s="13" t="str">
        <f>IFERROR(VLOOKUP($A944,koronahun!$A:$AM,14,FALSE),"")</f>
        <v/>
      </c>
      <c r="O944" t="str">
        <f>IFERROR(VLOOKUP($A944,koronahun!$A:$AM,15,FALSE),"")</f>
        <v/>
      </c>
      <c r="P944" t="str">
        <f>IFERROR(VLOOKUP($A944,koronahun!$A:$AM,16,FALSE),"")</f>
        <v/>
      </c>
      <c r="Q944" s="13" t="str">
        <f>IFERROR(VLOOKUP($A944,koronahun!$A:$AM,17,FALSE),"")</f>
        <v/>
      </c>
      <c r="R944" t="str">
        <f>IFERROR(VLOOKUP($A944,koronahun!$A:$AM,18,FALSE),"")</f>
        <v/>
      </c>
      <c r="S944" t="str">
        <f>IFERROR(VLOOKUP($A944,koronahun!$A:$AM,19,FALSE),"")</f>
        <v/>
      </c>
      <c r="T944" t="str">
        <f>IFERROR(VLOOKUP($A944,koronahun!$A:$AM,20,FALSE),"")</f>
        <v/>
      </c>
      <c r="U944" t="str">
        <f>IFERROR(VLOOKUP($A944,koronahun!$A:$AM,21,FALSE),"")</f>
        <v/>
      </c>
      <c r="V944" s="13" t="str">
        <f>IFERROR(VLOOKUP($A944,koronahun!$A:$AM,22,FALSE),"")</f>
        <v/>
      </c>
      <c r="W944" t="str">
        <f>IFERROR(VLOOKUP($A944,koronahun!$A:$AM,23,FALSE),"")</f>
        <v/>
      </c>
      <c r="X944" t="str">
        <f>IFERROR(VLOOKUP($A944,koronahun!$A:$AM,24,FALSE),"")</f>
        <v/>
      </c>
      <c r="Y944" s="14" t="str">
        <f>IFERROR(VLOOKUP($A944,koronahun!$A:$AM,25,FALSE),"")</f>
        <v/>
      </c>
      <c r="Z944" s="14" t="str">
        <f>IFERROR(VLOOKUP($A944,koronahun!$A:$AM,26,FALSE),"")</f>
        <v/>
      </c>
      <c r="AA944" s="14" t="str">
        <f>IFERROR(VLOOKUP($A944,koronahun!$A:$AM,27,FALSE),"")</f>
        <v/>
      </c>
      <c r="AB944" s="14" t="str">
        <f>IFERROR(VLOOKUP($A944,koronahun!$A:$AM,28,FALSE),"")</f>
        <v/>
      </c>
      <c r="AC944" s="14" t="str">
        <f>IFERROR(VLOOKUP($A944,koronahun!$A:$AM,29,FALSE),"")</f>
        <v/>
      </c>
      <c r="AD944" s="14" t="str">
        <f>IFERROR(VLOOKUP($A944,koronahun!$A:$AM,30,FALSE),"")</f>
        <v/>
      </c>
      <c r="AE944" s="14" t="str">
        <f>IFERROR(VLOOKUP($A944,koronahun!$A:$AM,31,FALSE),"")</f>
        <v/>
      </c>
      <c r="AF944" s="13" t="str">
        <f>IFERROR(VLOOKUP($A944,koronahun!$A:$AM,32,FALSE),"")</f>
        <v/>
      </c>
      <c r="AG944" t="str">
        <f>IFERROR(VLOOKUP($A944,koronahun!$A:$AM,33,FALSE),"")</f>
        <v/>
      </c>
      <c r="AH944" t="str">
        <f>IFERROR(VLOOKUP($A944,koronahun!$A:$AM,34,FALSE),"")</f>
        <v/>
      </c>
      <c r="AI944" t="str">
        <f>IFERROR(VLOOKUP($A944,koronahun!$A:$AM,35,FALSE),"")</f>
        <v/>
      </c>
      <c r="AJ944" t="str">
        <f>IFERROR(VLOOKUP($A944,koronahun!$A:$AM,36,FALSE),"")</f>
        <v/>
      </c>
      <c r="AK944" t="str">
        <f>IFERROR(VLOOKUP($A944,koronahun!$A:$AM,37,FALSE),"")</f>
        <v/>
      </c>
      <c r="AL944" t="str">
        <f>IFERROR(VLOOKUP($A944,koronahun!$A:$AM,38,FALSE),"")</f>
        <v/>
      </c>
      <c r="AM944" s="14" t="str">
        <f>IFERROR(VLOOKUP($A944,koronahun!$A:$AM,39,FALSE),"")</f>
        <v/>
      </c>
      <c r="AN944" s="11">
        <f ca="1">IFERROR(__xludf.DUMMYFUNCTION("""COMPUTED_VALUE"""),44836)</f>
        <v>44836</v>
      </c>
      <c r="AO944" s="12">
        <f ca="1">IFERROR(VLOOKUP(AN944,koronahun!A:B,2,FALSE),"")</f>
        <v>0</v>
      </c>
      <c r="AP944" s="11">
        <f t="shared" ca="1" si="6"/>
        <v>44836</v>
      </c>
      <c r="AQ944" s="11"/>
      <c r="AR944" s="11"/>
      <c r="AS944" s="11"/>
      <c r="AT944" s="11"/>
    </row>
    <row r="945" spans="1:46" ht="13">
      <c r="A945" s="11"/>
      <c r="B945" t="str">
        <f>IFERROR(VLOOKUP($A945,koronahun!$A:$AM,2,FALSE),"")</f>
        <v/>
      </c>
      <c r="C945" t="str">
        <f>IFERROR(VLOOKUP($A945,koronahun!$A:$AM,3,FALSE),"")</f>
        <v/>
      </c>
      <c r="D945" t="str">
        <f>IFERROR(VLOOKUP($A945,koronahun!$A:$AM,4,FALSE),"")</f>
        <v/>
      </c>
      <c r="E945" t="str">
        <f>IFERROR(VLOOKUP($A945,koronahun!$A:$AM,5,FALSE),"")</f>
        <v/>
      </c>
      <c r="F945" t="str">
        <f>IFERROR(VLOOKUP($A945,koronahun!$A:$AM,6,FALSE),"")</f>
        <v/>
      </c>
      <c r="G945" s="12" t="str">
        <f>IFERROR(VLOOKUP($A945,koronahun!$A:$AM,7,FALSE),"")</f>
        <v/>
      </c>
      <c r="H945" t="str">
        <f>IFERROR(VLOOKUP($A945,koronahun!$A:$AM,8,FALSE),"")</f>
        <v/>
      </c>
      <c r="I945" s="13" t="str">
        <f>IFERROR(VLOOKUP($A945,koronahun!$A:$AM,9,FALSE),"")</f>
        <v/>
      </c>
      <c r="J945" s="13" t="str">
        <f>IFERROR(VLOOKUP($A945,koronahun!$A:$AM,10,FALSE),"")</f>
        <v/>
      </c>
      <c r="K945" s="13" t="str">
        <f>IFERROR(VLOOKUP($A945,koronahun!$A:$AM,11,FALSE),"")</f>
        <v/>
      </c>
      <c r="L945" t="str">
        <f>IFERROR(VLOOKUP($A945,koronahun!$A:$AM,12,FALSE),"")</f>
        <v/>
      </c>
      <c r="M945" s="13" t="str">
        <f>IFERROR(VLOOKUP($A945,koronahun!$A:$AM,13,FALSE),"")</f>
        <v/>
      </c>
      <c r="N945" s="13" t="str">
        <f>IFERROR(VLOOKUP($A945,koronahun!$A:$AM,14,FALSE),"")</f>
        <v/>
      </c>
      <c r="O945" t="str">
        <f>IFERROR(VLOOKUP($A945,koronahun!$A:$AM,15,FALSE),"")</f>
        <v/>
      </c>
      <c r="P945" t="str">
        <f>IFERROR(VLOOKUP($A945,koronahun!$A:$AM,16,FALSE),"")</f>
        <v/>
      </c>
      <c r="Q945" s="13" t="str">
        <f>IFERROR(VLOOKUP($A945,koronahun!$A:$AM,17,FALSE),"")</f>
        <v/>
      </c>
      <c r="R945" t="str">
        <f>IFERROR(VLOOKUP($A945,koronahun!$A:$AM,18,FALSE),"")</f>
        <v/>
      </c>
      <c r="S945" t="str">
        <f>IFERROR(VLOOKUP($A945,koronahun!$A:$AM,19,FALSE),"")</f>
        <v/>
      </c>
      <c r="T945" t="str">
        <f>IFERROR(VLOOKUP($A945,koronahun!$A:$AM,20,FALSE),"")</f>
        <v/>
      </c>
      <c r="U945" t="str">
        <f>IFERROR(VLOOKUP($A945,koronahun!$A:$AM,21,FALSE),"")</f>
        <v/>
      </c>
      <c r="V945" s="13" t="str">
        <f>IFERROR(VLOOKUP($A945,koronahun!$A:$AM,22,FALSE),"")</f>
        <v/>
      </c>
      <c r="W945" t="str">
        <f>IFERROR(VLOOKUP($A945,koronahun!$A:$AM,23,FALSE),"")</f>
        <v/>
      </c>
      <c r="X945" t="str">
        <f>IFERROR(VLOOKUP($A945,koronahun!$A:$AM,24,FALSE),"")</f>
        <v/>
      </c>
      <c r="Y945" s="14" t="str">
        <f>IFERROR(VLOOKUP($A945,koronahun!$A:$AM,25,FALSE),"")</f>
        <v/>
      </c>
      <c r="Z945" s="14" t="str">
        <f>IFERROR(VLOOKUP($A945,koronahun!$A:$AM,26,FALSE),"")</f>
        <v/>
      </c>
      <c r="AA945" s="14" t="str">
        <f>IFERROR(VLOOKUP($A945,koronahun!$A:$AM,27,FALSE),"")</f>
        <v/>
      </c>
      <c r="AB945" s="14" t="str">
        <f>IFERROR(VLOOKUP($A945,koronahun!$A:$AM,28,FALSE),"")</f>
        <v/>
      </c>
      <c r="AC945" s="14" t="str">
        <f>IFERROR(VLOOKUP($A945,koronahun!$A:$AM,29,FALSE),"")</f>
        <v/>
      </c>
      <c r="AD945" s="14" t="str">
        <f>IFERROR(VLOOKUP($A945,koronahun!$A:$AM,30,FALSE),"")</f>
        <v/>
      </c>
      <c r="AE945" s="14" t="str">
        <f>IFERROR(VLOOKUP($A945,koronahun!$A:$AM,31,FALSE),"")</f>
        <v/>
      </c>
      <c r="AF945" s="13" t="str">
        <f>IFERROR(VLOOKUP($A945,koronahun!$A:$AM,32,FALSE),"")</f>
        <v/>
      </c>
      <c r="AG945" t="str">
        <f>IFERROR(VLOOKUP($A945,koronahun!$A:$AM,33,FALSE),"")</f>
        <v/>
      </c>
      <c r="AH945" t="str">
        <f>IFERROR(VLOOKUP($A945,koronahun!$A:$AM,34,FALSE),"")</f>
        <v/>
      </c>
      <c r="AI945" t="str">
        <f>IFERROR(VLOOKUP($A945,koronahun!$A:$AM,35,FALSE),"")</f>
        <v/>
      </c>
      <c r="AJ945" t="str">
        <f>IFERROR(VLOOKUP($A945,koronahun!$A:$AM,36,FALSE),"")</f>
        <v/>
      </c>
      <c r="AK945" t="str">
        <f>IFERROR(VLOOKUP($A945,koronahun!$A:$AM,37,FALSE),"")</f>
        <v/>
      </c>
      <c r="AL945" t="str">
        <f>IFERROR(VLOOKUP($A945,koronahun!$A:$AM,38,FALSE),"")</f>
        <v/>
      </c>
      <c r="AM945" s="14" t="str">
        <f>IFERROR(VLOOKUP($A945,koronahun!$A:$AM,39,FALSE),"")</f>
        <v/>
      </c>
      <c r="AN945" s="11">
        <f ca="1">IFERROR(__xludf.DUMMYFUNCTION("""COMPUTED_VALUE"""),44837)</f>
        <v>44837</v>
      </c>
      <c r="AO945" s="12">
        <f ca="1">IFERROR(VLOOKUP(AN945,koronahun!A:B,2,FALSE),"")</f>
        <v>0</v>
      </c>
      <c r="AP945" s="11">
        <f t="shared" ca="1" si="6"/>
        <v>44837</v>
      </c>
      <c r="AQ945" s="11"/>
      <c r="AR945" s="11"/>
      <c r="AS945" s="11"/>
      <c r="AT945" s="11"/>
    </row>
    <row r="946" spans="1:46" ht="13">
      <c r="A946" s="11"/>
      <c r="B946" t="str">
        <f>IFERROR(VLOOKUP($A946,koronahun!$A:$AM,2,FALSE),"")</f>
        <v/>
      </c>
      <c r="C946" t="str">
        <f>IFERROR(VLOOKUP($A946,koronahun!$A:$AM,3,FALSE),"")</f>
        <v/>
      </c>
      <c r="D946" t="str">
        <f>IFERROR(VLOOKUP($A946,koronahun!$A:$AM,4,FALSE),"")</f>
        <v/>
      </c>
      <c r="E946" t="str">
        <f>IFERROR(VLOOKUP($A946,koronahun!$A:$AM,5,FALSE),"")</f>
        <v/>
      </c>
      <c r="F946" t="str">
        <f>IFERROR(VLOOKUP($A946,koronahun!$A:$AM,6,FALSE),"")</f>
        <v/>
      </c>
      <c r="G946" s="12" t="str">
        <f>IFERROR(VLOOKUP($A946,koronahun!$A:$AM,7,FALSE),"")</f>
        <v/>
      </c>
      <c r="H946" t="str">
        <f>IFERROR(VLOOKUP($A946,koronahun!$A:$AM,8,FALSE),"")</f>
        <v/>
      </c>
      <c r="I946" s="13" t="str">
        <f>IFERROR(VLOOKUP($A946,koronahun!$A:$AM,9,FALSE),"")</f>
        <v/>
      </c>
      <c r="J946" s="13" t="str">
        <f>IFERROR(VLOOKUP($A946,koronahun!$A:$AM,10,FALSE),"")</f>
        <v/>
      </c>
      <c r="K946" s="13" t="str">
        <f>IFERROR(VLOOKUP($A946,koronahun!$A:$AM,11,FALSE),"")</f>
        <v/>
      </c>
      <c r="L946" t="str">
        <f>IFERROR(VLOOKUP($A946,koronahun!$A:$AM,12,FALSE),"")</f>
        <v/>
      </c>
      <c r="M946" s="13" t="str">
        <f>IFERROR(VLOOKUP($A946,koronahun!$A:$AM,13,FALSE),"")</f>
        <v/>
      </c>
      <c r="N946" s="13" t="str">
        <f>IFERROR(VLOOKUP($A946,koronahun!$A:$AM,14,FALSE),"")</f>
        <v/>
      </c>
      <c r="O946" t="str">
        <f>IFERROR(VLOOKUP($A946,koronahun!$A:$AM,15,FALSE),"")</f>
        <v/>
      </c>
      <c r="P946" t="str">
        <f>IFERROR(VLOOKUP($A946,koronahun!$A:$AM,16,FALSE),"")</f>
        <v/>
      </c>
      <c r="Q946" s="13" t="str">
        <f>IFERROR(VLOOKUP($A946,koronahun!$A:$AM,17,FALSE),"")</f>
        <v/>
      </c>
      <c r="R946" t="str">
        <f>IFERROR(VLOOKUP($A946,koronahun!$A:$AM,18,FALSE),"")</f>
        <v/>
      </c>
      <c r="S946" t="str">
        <f>IFERROR(VLOOKUP($A946,koronahun!$A:$AM,19,FALSE),"")</f>
        <v/>
      </c>
      <c r="T946" t="str">
        <f>IFERROR(VLOOKUP($A946,koronahun!$A:$AM,20,FALSE),"")</f>
        <v/>
      </c>
      <c r="U946" t="str">
        <f>IFERROR(VLOOKUP($A946,koronahun!$A:$AM,21,FALSE),"")</f>
        <v/>
      </c>
      <c r="V946" s="13" t="str">
        <f>IFERROR(VLOOKUP($A946,koronahun!$A:$AM,22,FALSE),"")</f>
        <v/>
      </c>
      <c r="W946" t="str">
        <f>IFERROR(VLOOKUP($A946,koronahun!$A:$AM,23,FALSE),"")</f>
        <v/>
      </c>
      <c r="X946" t="str">
        <f>IFERROR(VLOOKUP($A946,koronahun!$A:$AM,24,FALSE),"")</f>
        <v/>
      </c>
      <c r="Y946" s="14" t="str">
        <f>IFERROR(VLOOKUP($A946,koronahun!$A:$AM,25,FALSE),"")</f>
        <v/>
      </c>
      <c r="Z946" s="14" t="str">
        <f>IFERROR(VLOOKUP($A946,koronahun!$A:$AM,26,FALSE),"")</f>
        <v/>
      </c>
      <c r="AA946" s="14" t="str">
        <f>IFERROR(VLOOKUP($A946,koronahun!$A:$AM,27,FALSE),"")</f>
        <v/>
      </c>
      <c r="AB946" s="14" t="str">
        <f>IFERROR(VLOOKUP($A946,koronahun!$A:$AM,28,FALSE),"")</f>
        <v/>
      </c>
      <c r="AC946" s="14" t="str">
        <f>IFERROR(VLOOKUP($A946,koronahun!$A:$AM,29,FALSE),"")</f>
        <v/>
      </c>
      <c r="AD946" s="14" t="str">
        <f>IFERROR(VLOOKUP($A946,koronahun!$A:$AM,30,FALSE),"")</f>
        <v/>
      </c>
      <c r="AE946" s="14" t="str">
        <f>IFERROR(VLOOKUP($A946,koronahun!$A:$AM,31,FALSE),"")</f>
        <v/>
      </c>
      <c r="AF946" s="13" t="str">
        <f>IFERROR(VLOOKUP($A946,koronahun!$A:$AM,32,FALSE),"")</f>
        <v/>
      </c>
      <c r="AG946" t="str">
        <f>IFERROR(VLOOKUP($A946,koronahun!$A:$AM,33,FALSE),"")</f>
        <v/>
      </c>
      <c r="AH946" t="str">
        <f>IFERROR(VLOOKUP($A946,koronahun!$A:$AM,34,FALSE),"")</f>
        <v/>
      </c>
      <c r="AI946" t="str">
        <f>IFERROR(VLOOKUP($A946,koronahun!$A:$AM,35,FALSE),"")</f>
        <v/>
      </c>
      <c r="AJ946" t="str">
        <f>IFERROR(VLOOKUP($A946,koronahun!$A:$AM,36,FALSE),"")</f>
        <v/>
      </c>
      <c r="AK946" t="str">
        <f>IFERROR(VLOOKUP($A946,koronahun!$A:$AM,37,FALSE),"")</f>
        <v/>
      </c>
      <c r="AL946" t="str">
        <f>IFERROR(VLOOKUP($A946,koronahun!$A:$AM,38,FALSE),"")</f>
        <v/>
      </c>
      <c r="AM946" s="14" t="str">
        <f>IFERROR(VLOOKUP($A946,koronahun!$A:$AM,39,FALSE),"")</f>
        <v/>
      </c>
      <c r="AN946" s="11">
        <f ca="1">IFERROR(__xludf.DUMMYFUNCTION("""COMPUTED_VALUE"""),44838)</f>
        <v>44838</v>
      </c>
      <c r="AO946" s="12">
        <f ca="1">IFERROR(VLOOKUP(AN946,koronahun!A:B,2,FALSE),"")</f>
        <v>0</v>
      </c>
      <c r="AP946" s="11">
        <f t="shared" ca="1" si="6"/>
        <v>44838</v>
      </c>
      <c r="AQ946" s="11"/>
      <c r="AR946" s="11"/>
      <c r="AS946" s="11"/>
      <c r="AT946" s="11"/>
    </row>
    <row r="947" spans="1:46" ht="13">
      <c r="A947" s="11"/>
      <c r="B947" t="str">
        <f>IFERROR(VLOOKUP($A947,koronahun!$A:$AM,2,FALSE),"")</f>
        <v/>
      </c>
      <c r="C947" t="str">
        <f>IFERROR(VLOOKUP($A947,koronahun!$A:$AM,3,FALSE),"")</f>
        <v/>
      </c>
      <c r="D947" t="str">
        <f>IFERROR(VLOOKUP($A947,koronahun!$A:$AM,4,FALSE),"")</f>
        <v/>
      </c>
      <c r="E947" t="str">
        <f>IFERROR(VLOOKUP($A947,koronahun!$A:$AM,5,FALSE),"")</f>
        <v/>
      </c>
      <c r="F947" t="str">
        <f>IFERROR(VLOOKUP($A947,koronahun!$A:$AM,6,FALSE),"")</f>
        <v/>
      </c>
      <c r="G947" s="12" t="str">
        <f>IFERROR(VLOOKUP($A947,koronahun!$A:$AM,7,FALSE),"")</f>
        <v/>
      </c>
      <c r="H947" t="str">
        <f>IFERROR(VLOOKUP($A947,koronahun!$A:$AM,8,FALSE),"")</f>
        <v/>
      </c>
      <c r="I947" s="13" t="str">
        <f>IFERROR(VLOOKUP($A947,koronahun!$A:$AM,9,FALSE),"")</f>
        <v/>
      </c>
      <c r="J947" s="13" t="str">
        <f>IFERROR(VLOOKUP($A947,koronahun!$A:$AM,10,FALSE),"")</f>
        <v/>
      </c>
      <c r="K947" s="13" t="str">
        <f>IFERROR(VLOOKUP($A947,koronahun!$A:$AM,11,FALSE),"")</f>
        <v/>
      </c>
      <c r="L947" t="str">
        <f>IFERROR(VLOOKUP($A947,koronahun!$A:$AM,12,FALSE),"")</f>
        <v/>
      </c>
      <c r="M947" s="13" t="str">
        <f>IFERROR(VLOOKUP($A947,koronahun!$A:$AM,13,FALSE),"")</f>
        <v/>
      </c>
      <c r="N947" s="13" t="str">
        <f>IFERROR(VLOOKUP($A947,koronahun!$A:$AM,14,FALSE),"")</f>
        <v/>
      </c>
      <c r="O947" t="str">
        <f>IFERROR(VLOOKUP($A947,koronahun!$A:$AM,15,FALSE),"")</f>
        <v/>
      </c>
      <c r="P947" t="str">
        <f>IFERROR(VLOOKUP($A947,koronahun!$A:$AM,16,FALSE),"")</f>
        <v/>
      </c>
      <c r="Q947" s="13" t="str">
        <f>IFERROR(VLOOKUP($A947,koronahun!$A:$AM,17,FALSE),"")</f>
        <v/>
      </c>
      <c r="R947" t="str">
        <f>IFERROR(VLOOKUP($A947,koronahun!$A:$AM,18,FALSE),"")</f>
        <v/>
      </c>
      <c r="S947" t="str">
        <f>IFERROR(VLOOKUP($A947,koronahun!$A:$AM,19,FALSE),"")</f>
        <v/>
      </c>
      <c r="T947" t="str">
        <f>IFERROR(VLOOKUP($A947,koronahun!$A:$AM,20,FALSE),"")</f>
        <v/>
      </c>
      <c r="U947" t="str">
        <f>IFERROR(VLOOKUP($A947,koronahun!$A:$AM,21,FALSE),"")</f>
        <v/>
      </c>
      <c r="V947" s="13" t="str">
        <f>IFERROR(VLOOKUP($A947,koronahun!$A:$AM,22,FALSE),"")</f>
        <v/>
      </c>
      <c r="W947" t="str">
        <f>IFERROR(VLOOKUP($A947,koronahun!$A:$AM,23,FALSE),"")</f>
        <v/>
      </c>
      <c r="X947" t="str">
        <f>IFERROR(VLOOKUP($A947,koronahun!$A:$AM,24,FALSE),"")</f>
        <v/>
      </c>
      <c r="Y947" s="14" t="str">
        <f>IFERROR(VLOOKUP($A947,koronahun!$A:$AM,25,FALSE),"")</f>
        <v/>
      </c>
      <c r="Z947" s="14" t="str">
        <f>IFERROR(VLOOKUP($A947,koronahun!$A:$AM,26,FALSE),"")</f>
        <v/>
      </c>
      <c r="AA947" s="14" t="str">
        <f>IFERROR(VLOOKUP($A947,koronahun!$A:$AM,27,FALSE),"")</f>
        <v/>
      </c>
      <c r="AB947" s="14" t="str">
        <f>IFERROR(VLOOKUP($A947,koronahun!$A:$AM,28,FALSE),"")</f>
        <v/>
      </c>
      <c r="AC947" s="14" t="str">
        <f>IFERROR(VLOOKUP($A947,koronahun!$A:$AM,29,FALSE),"")</f>
        <v/>
      </c>
      <c r="AD947" s="14" t="str">
        <f>IFERROR(VLOOKUP($A947,koronahun!$A:$AM,30,FALSE),"")</f>
        <v/>
      </c>
      <c r="AE947" s="14" t="str">
        <f>IFERROR(VLOOKUP($A947,koronahun!$A:$AM,31,FALSE),"")</f>
        <v/>
      </c>
      <c r="AF947" s="13" t="str">
        <f>IFERROR(VLOOKUP($A947,koronahun!$A:$AM,32,FALSE),"")</f>
        <v/>
      </c>
      <c r="AG947" t="str">
        <f>IFERROR(VLOOKUP($A947,koronahun!$A:$AM,33,FALSE),"")</f>
        <v/>
      </c>
      <c r="AH947" t="str">
        <f>IFERROR(VLOOKUP($A947,koronahun!$A:$AM,34,FALSE),"")</f>
        <v/>
      </c>
      <c r="AI947" t="str">
        <f>IFERROR(VLOOKUP($A947,koronahun!$A:$AM,35,FALSE),"")</f>
        <v/>
      </c>
      <c r="AJ947" t="str">
        <f>IFERROR(VLOOKUP($A947,koronahun!$A:$AM,36,FALSE),"")</f>
        <v/>
      </c>
      <c r="AK947" t="str">
        <f>IFERROR(VLOOKUP($A947,koronahun!$A:$AM,37,FALSE),"")</f>
        <v/>
      </c>
      <c r="AL947" t="str">
        <f>IFERROR(VLOOKUP($A947,koronahun!$A:$AM,38,FALSE),"")</f>
        <v/>
      </c>
      <c r="AM947" s="14" t="str">
        <f>IFERROR(VLOOKUP($A947,koronahun!$A:$AM,39,FALSE),"")</f>
        <v/>
      </c>
      <c r="AN947" s="11">
        <f ca="1">IFERROR(__xludf.DUMMYFUNCTION("""COMPUTED_VALUE"""),44839)</f>
        <v>44839</v>
      </c>
      <c r="AO947" s="12">
        <f ca="1">IFERROR(VLOOKUP(AN947,koronahun!A:B,2,FALSE),"")</f>
        <v>2107907</v>
      </c>
      <c r="AP947" s="11">
        <f t="shared" ca="1" si="6"/>
        <v>44839</v>
      </c>
      <c r="AQ947" s="11"/>
      <c r="AR947" s="11"/>
      <c r="AS947" s="11"/>
      <c r="AT947" s="11"/>
    </row>
    <row r="948" spans="1:46" ht="13">
      <c r="A948" s="11"/>
      <c r="B948" t="str">
        <f>IFERROR(VLOOKUP($A948,koronahun!$A:$AM,2,FALSE),"")</f>
        <v/>
      </c>
      <c r="C948" t="str">
        <f>IFERROR(VLOOKUP($A948,koronahun!$A:$AM,3,FALSE),"")</f>
        <v/>
      </c>
      <c r="D948" t="str">
        <f>IFERROR(VLOOKUP($A948,koronahun!$A:$AM,4,FALSE),"")</f>
        <v/>
      </c>
      <c r="E948" t="str">
        <f>IFERROR(VLOOKUP($A948,koronahun!$A:$AM,5,FALSE),"")</f>
        <v/>
      </c>
      <c r="F948" t="str">
        <f>IFERROR(VLOOKUP($A948,koronahun!$A:$AM,6,FALSE),"")</f>
        <v/>
      </c>
      <c r="G948" s="12" t="str">
        <f>IFERROR(VLOOKUP($A948,koronahun!$A:$AM,7,FALSE),"")</f>
        <v/>
      </c>
      <c r="H948" t="str">
        <f>IFERROR(VLOOKUP($A948,koronahun!$A:$AM,8,FALSE),"")</f>
        <v/>
      </c>
      <c r="I948" s="13" t="str">
        <f>IFERROR(VLOOKUP($A948,koronahun!$A:$AM,9,FALSE),"")</f>
        <v/>
      </c>
      <c r="J948" s="13" t="str">
        <f>IFERROR(VLOOKUP($A948,koronahun!$A:$AM,10,FALSE),"")</f>
        <v/>
      </c>
      <c r="K948" s="13" t="str">
        <f>IFERROR(VLOOKUP($A948,koronahun!$A:$AM,11,FALSE),"")</f>
        <v/>
      </c>
      <c r="L948" t="str">
        <f>IFERROR(VLOOKUP($A948,koronahun!$A:$AM,12,FALSE),"")</f>
        <v/>
      </c>
      <c r="M948" s="13" t="str">
        <f>IFERROR(VLOOKUP($A948,koronahun!$A:$AM,13,FALSE),"")</f>
        <v/>
      </c>
      <c r="N948" s="13" t="str">
        <f>IFERROR(VLOOKUP($A948,koronahun!$A:$AM,14,FALSE),"")</f>
        <v/>
      </c>
      <c r="O948" t="str">
        <f>IFERROR(VLOOKUP($A948,koronahun!$A:$AM,15,FALSE),"")</f>
        <v/>
      </c>
      <c r="P948" t="str">
        <f>IFERROR(VLOOKUP($A948,koronahun!$A:$AM,16,FALSE),"")</f>
        <v/>
      </c>
      <c r="Q948" s="13" t="str">
        <f>IFERROR(VLOOKUP($A948,koronahun!$A:$AM,17,FALSE),"")</f>
        <v/>
      </c>
      <c r="R948" t="str">
        <f>IFERROR(VLOOKUP($A948,koronahun!$A:$AM,18,FALSE),"")</f>
        <v/>
      </c>
      <c r="S948" t="str">
        <f>IFERROR(VLOOKUP($A948,koronahun!$A:$AM,19,FALSE),"")</f>
        <v/>
      </c>
      <c r="T948" t="str">
        <f>IFERROR(VLOOKUP($A948,koronahun!$A:$AM,20,FALSE),"")</f>
        <v/>
      </c>
      <c r="U948" t="str">
        <f>IFERROR(VLOOKUP($A948,koronahun!$A:$AM,21,FALSE),"")</f>
        <v/>
      </c>
      <c r="V948" s="13" t="str">
        <f>IFERROR(VLOOKUP($A948,koronahun!$A:$AM,22,FALSE),"")</f>
        <v/>
      </c>
      <c r="W948" t="str">
        <f>IFERROR(VLOOKUP($A948,koronahun!$A:$AM,23,FALSE),"")</f>
        <v/>
      </c>
      <c r="X948" t="str">
        <f>IFERROR(VLOOKUP($A948,koronahun!$A:$AM,24,FALSE),"")</f>
        <v/>
      </c>
      <c r="Y948" s="14" t="str">
        <f>IFERROR(VLOOKUP($A948,koronahun!$A:$AM,25,FALSE),"")</f>
        <v/>
      </c>
      <c r="Z948" s="14" t="str">
        <f>IFERROR(VLOOKUP($A948,koronahun!$A:$AM,26,FALSE),"")</f>
        <v/>
      </c>
      <c r="AA948" s="14" t="str">
        <f>IFERROR(VLOOKUP($A948,koronahun!$A:$AM,27,FALSE),"")</f>
        <v/>
      </c>
      <c r="AB948" s="14" t="str">
        <f>IFERROR(VLOOKUP($A948,koronahun!$A:$AM,28,FALSE),"")</f>
        <v/>
      </c>
      <c r="AC948" s="14" t="str">
        <f>IFERROR(VLOOKUP($A948,koronahun!$A:$AM,29,FALSE),"")</f>
        <v/>
      </c>
      <c r="AD948" s="14" t="str">
        <f>IFERROR(VLOOKUP($A948,koronahun!$A:$AM,30,FALSE),"")</f>
        <v/>
      </c>
      <c r="AE948" s="14" t="str">
        <f>IFERROR(VLOOKUP($A948,koronahun!$A:$AM,31,FALSE),"")</f>
        <v/>
      </c>
      <c r="AF948" s="13" t="str">
        <f>IFERROR(VLOOKUP($A948,koronahun!$A:$AM,32,FALSE),"")</f>
        <v/>
      </c>
      <c r="AG948" t="str">
        <f>IFERROR(VLOOKUP($A948,koronahun!$A:$AM,33,FALSE),"")</f>
        <v/>
      </c>
      <c r="AH948" t="str">
        <f>IFERROR(VLOOKUP($A948,koronahun!$A:$AM,34,FALSE),"")</f>
        <v/>
      </c>
      <c r="AI948" t="str">
        <f>IFERROR(VLOOKUP($A948,koronahun!$A:$AM,35,FALSE),"")</f>
        <v/>
      </c>
      <c r="AJ948" t="str">
        <f>IFERROR(VLOOKUP($A948,koronahun!$A:$AM,36,FALSE),"")</f>
        <v/>
      </c>
      <c r="AK948" t="str">
        <f>IFERROR(VLOOKUP($A948,koronahun!$A:$AM,37,FALSE),"")</f>
        <v/>
      </c>
      <c r="AL948" t="str">
        <f>IFERROR(VLOOKUP($A948,koronahun!$A:$AM,38,FALSE),"")</f>
        <v/>
      </c>
      <c r="AM948" s="14" t="str">
        <f>IFERROR(VLOOKUP($A948,koronahun!$A:$AM,39,FALSE),"")</f>
        <v/>
      </c>
      <c r="AN948" s="11">
        <f ca="1">IFERROR(__xludf.DUMMYFUNCTION("""COMPUTED_VALUE"""),44840)</f>
        <v>44840</v>
      </c>
      <c r="AO948" s="12">
        <f ca="1">IFERROR(VLOOKUP(AN948,koronahun!A:B,2,FALSE),"")</f>
        <v>0</v>
      </c>
      <c r="AP948" s="11">
        <f t="shared" ca="1" si="6"/>
        <v>44840</v>
      </c>
      <c r="AQ948" s="11"/>
      <c r="AR948" s="11"/>
      <c r="AS948" s="11"/>
      <c r="AT948" s="11"/>
    </row>
    <row r="949" spans="1:46" ht="13">
      <c r="A949" s="11"/>
      <c r="B949" t="str">
        <f>IFERROR(VLOOKUP($A949,koronahun!$A:$AM,2,FALSE),"")</f>
        <v/>
      </c>
      <c r="C949" t="str">
        <f>IFERROR(VLOOKUP($A949,koronahun!$A:$AM,3,FALSE),"")</f>
        <v/>
      </c>
      <c r="D949" t="str">
        <f>IFERROR(VLOOKUP($A949,koronahun!$A:$AM,4,FALSE),"")</f>
        <v/>
      </c>
      <c r="E949" t="str">
        <f>IFERROR(VLOOKUP($A949,koronahun!$A:$AM,5,FALSE),"")</f>
        <v/>
      </c>
      <c r="F949" t="str">
        <f>IFERROR(VLOOKUP($A949,koronahun!$A:$AM,6,FALSE),"")</f>
        <v/>
      </c>
      <c r="G949" s="12" t="str">
        <f>IFERROR(VLOOKUP($A949,koronahun!$A:$AM,7,FALSE),"")</f>
        <v/>
      </c>
      <c r="H949" t="str">
        <f>IFERROR(VLOOKUP($A949,koronahun!$A:$AM,8,FALSE),"")</f>
        <v/>
      </c>
      <c r="I949" s="13" t="str">
        <f>IFERROR(VLOOKUP($A949,koronahun!$A:$AM,9,FALSE),"")</f>
        <v/>
      </c>
      <c r="J949" s="13" t="str">
        <f>IFERROR(VLOOKUP($A949,koronahun!$A:$AM,10,FALSE),"")</f>
        <v/>
      </c>
      <c r="K949" s="13" t="str">
        <f>IFERROR(VLOOKUP($A949,koronahun!$A:$AM,11,FALSE),"")</f>
        <v/>
      </c>
      <c r="L949" t="str">
        <f>IFERROR(VLOOKUP($A949,koronahun!$A:$AM,12,FALSE),"")</f>
        <v/>
      </c>
      <c r="M949" s="13" t="str">
        <f>IFERROR(VLOOKUP($A949,koronahun!$A:$AM,13,FALSE),"")</f>
        <v/>
      </c>
      <c r="N949" s="13" t="str">
        <f>IFERROR(VLOOKUP($A949,koronahun!$A:$AM,14,FALSE),"")</f>
        <v/>
      </c>
      <c r="O949" t="str">
        <f>IFERROR(VLOOKUP($A949,koronahun!$A:$AM,15,FALSE),"")</f>
        <v/>
      </c>
      <c r="P949" t="str">
        <f>IFERROR(VLOOKUP($A949,koronahun!$A:$AM,16,FALSE),"")</f>
        <v/>
      </c>
      <c r="Q949" s="13" t="str">
        <f>IFERROR(VLOOKUP($A949,koronahun!$A:$AM,17,FALSE),"")</f>
        <v/>
      </c>
      <c r="R949" t="str">
        <f>IFERROR(VLOOKUP($A949,koronahun!$A:$AM,18,FALSE),"")</f>
        <v/>
      </c>
      <c r="S949" t="str">
        <f>IFERROR(VLOOKUP($A949,koronahun!$A:$AM,19,FALSE),"")</f>
        <v/>
      </c>
      <c r="T949" t="str">
        <f>IFERROR(VLOOKUP($A949,koronahun!$A:$AM,20,FALSE),"")</f>
        <v/>
      </c>
      <c r="U949" t="str">
        <f>IFERROR(VLOOKUP($A949,koronahun!$A:$AM,21,FALSE),"")</f>
        <v/>
      </c>
      <c r="V949" s="13" t="str">
        <f>IFERROR(VLOOKUP($A949,koronahun!$A:$AM,22,FALSE),"")</f>
        <v/>
      </c>
      <c r="W949" t="str">
        <f>IFERROR(VLOOKUP($A949,koronahun!$A:$AM,23,FALSE),"")</f>
        <v/>
      </c>
      <c r="X949" t="str">
        <f>IFERROR(VLOOKUP($A949,koronahun!$A:$AM,24,FALSE),"")</f>
        <v/>
      </c>
      <c r="Y949" s="14" t="str">
        <f>IFERROR(VLOOKUP($A949,koronahun!$A:$AM,25,FALSE),"")</f>
        <v/>
      </c>
      <c r="Z949" s="14" t="str">
        <f>IFERROR(VLOOKUP($A949,koronahun!$A:$AM,26,FALSE),"")</f>
        <v/>
      </c>
      <c r="AA949" s="14" t="str">
        <f>IFERROR(VLOOKUP($A949,koronahun!$A:$AM,27,FALSE),"")</f>
        <v/>
      </c>
      <c r="AB949" s="14" t="str">
        <f>IFERROR(VLOOKUP($A949,koronahun!$A:$AM,28,FALSE),"")</f>
        <v/>
      </c>
      <c r="AC949" s="14" t="str">
        <f>IFERROR(VLOOKUP($A949,koronahun!$A:$AM,29,FALSE),"")</f>
        <v/>
      </c>
      <c r="AD949" s="14" t="str">
        <f>IFERROR(VLOOKUP($A949,koronahun!$A:$AM,30,FALSE),"")</f>
        <v/>
      </c>
      <c r="AE949" s="14" t="str">
        <f>IFERROR(VLOOKUP($A949,koronahun!$A:$AM,31,FALSE),"")</f>
        <v/>
      </c>
      <c r="AF949" s="13" t="str">
        <f>IFERROR(VLOOKUP($A949,koronahun!$A:$AM,32,FALSE),"")</f>
        <v/>
      </c>
      <c r="AG949" t="str">
        <f>IFERROR(VLOOKUP($A949,koronahun!$A:$AM,33,FALSE),"")</f>
        <v/>
      </c>
      <c r="AH949" t="str">
        <f>IFERROR(VLOOKUP($A949,koronahun!$A:$AM,34,FALSE),"")</f>
        <v/>
      </c>
      <c r="AI949" t="str">
        <f>IFERROR(VLOOKUP($A949,koronahun!$A:$AM,35,FALSE),"")</f>
        <v/>
      </c>
      <c r="AJ949" t="str">
        <f>IFERROR(VLOOKUP($A949,koronahun!$A:$AM,36,FALSE),"")</f>
        <v/>
      </c>
      <c r="AK949" t="str">
        <f>IFERROR(VLOOKUP($A949,koronahun!$A:$AM,37,FALSE),"")</f>
        <v/>
      </c>
      <c r="AL949" t="str">
        <f>IFERROR(VLOOKUP($A949,koronahun!$A:$AM,38,FALSE),"")</f>
        <v/>
      </c>
      <c r="AM949" s="14" t="str">
        <f>IFERROR(VLOOKUP($A949,koronahun!$A:$AM,39,FALSE),"")</f>
        <v/>
      </c>
      <c r="AN949" s="11">
        <f ca="1">IFERROR(__xludf.DUMMYFUNCTION("""COMPUTED_VALUE"""),44841)</f>
        <v>44841</v>
      </c>
      <c r="AO949" s="12">
        <f ca="1">IFERROR(VLOOKUP(AN949,koronahun!A:B,2,FALSE),"")</f>
        <v>0</v>
      </c>
      <c r="AP949" s="11">
        <f t="shared" ca="1" si="6"/>
        <v>44841</v>
      </c>
      <c r="AQ949" s="11"/>
      <c r="AR949" s="11"/>
      <c r="AS949" s="11"/>
      <c r="AT949" s="11"/>
    </row>
    <row r="950" spans="1:46" ht="13">
      <c r="A950" s="11"/>
      <c r="B950" t="str">
        <f>IFERROR(VLOOKUP($A950,koronahun!$A:$AM,2,FALSE),"")</f>
        <v/>
      </c>
      <c r="C950" t="str">
        <f>IFERROR(VLOOKUP($A950,koronahun!$A:$AM,3,FALSE),"")</f>
        <v/>
      </c>
      <c r="D950" t="str">
        <f>IFERROR(VLOOKUP($A950,koronahun!$A:$AM,4,FALSE),"")</f>
        <v/>
      </c>
      <c r="E950" t="str">
        <f>IFERROR(VLOOKUP($A950,koronahun!$A:$AM,5,FALSE),"")</f>
        <v/>
      </c>
      <c r="F950" t="str">
        <f>IFERROR(VLOOKUP($A950,koronahun!$A:$AM,6,FALSE),"")</f>
        <v/>
      </c>
      <c r="G950" s="12" t="str">
        <f>IFERROR(VLOOKUP($A950,koronahun!$A:$AM,7,FALSE),"")</f>
        <v/>
      </c>
      <c r="H950" t="str">
        <f>IFERROR(VLOOKUP($A950,koronahun!$A:$AM,8,FALSE),"")</f>
        <v/>
      </c>
      <c r="I950" s="13" t="str">
        <f>IFERROR(VLOOKUP($A950,koronahun!$A:$AM,9,FALSE),"")</f>
        <v/>
      </c>
      <c r="J950" s="13" t="str">
        <f>IFERROR(VLOOKUP($A950,koronahun!$A:$AM,10,FALSE),"")</f>
        <v/>
      </c>
      <c r="K950" s="13" t="str">
        <f>IFERROR(VLOOKUP($A950,koronahun!$A:$AM,11,FALSE),"")</f>
        <v/>
      </c>
      <c r="L950" t="str">
        <f>IFERROR(VLOOKUP($A950,koronahun!$A:$AM,12,FALSE),"")</f>
        <v/>
      </c>
      <c r="M950" s="13" t="str">
        <f>IFERROR(VLOOKUP($A950,koronahun!$A:$AM,13,FALSE),"")</f>
        <v/>
      </c>
      <c r="N950" s="13" t="str">
        <f>IFERROR(VLOOKUP($A950,koronahun!$A:$AM,14,FALSE),"")</f>
        <v/>
      </c>
      <c r="O950" t="str">
        <f>IFERROR(VLOOKUP($A950,koronahun!$A:$AM,15,FALSE),"")</f>
        <v/>
      </c>
      <c r="P950" t="str">
        <f>IFERROR(VLOOKUP($A950,koronahun!$A:$AM,16,FALSE),"")</f>
        <v/>
      </c>
      <c r="Q950" s="13" t="str">
        <f>IFERROR(VLOOKUP($A950,koronahun!$A:$AM,17,FALSE),"")</f>
        <v/>
      </c>
      <c r="R950" t="str">
        <f>IFERROR(VLOOKUP($A950,koronahun!$A:$AM,18,FALSE),"")</f>
        <v/>
      </c>
      <c r="S950" t="str">
        <f>IFERROR(VLOOKUP($A950,koronahun!$A:$AM,19,FALSE),"")</f>
        <v/>
      </c>
      <c r="T950" t="str">
        <f>IFERROR(VLOOKUP($A950,koronahun!$A:$AM,20,FALSE),"")</f>
        <v/>
      </c>
      <c r="U950" t="str">
        <f>IFERROR(VLOOKUP($A950,koronahun!$A:$AM,21,FALSE),"")</f>
        <v/>
      </c>
      <c r="V950" s="13" t="str">
        <f>IFERROR(VLOOKUP($A950,koronahun!$A:$AM,22,FALSE),"")</f>
        <v/>
      </c>
      <c r="W950" t="str">
        <f>IFERROR(VLOOKUP($A950,koronahun!$A:$AM,23,FALSE),"")</f>
        <v/>
      </c>
      <c r="X950" t="str">
        <f>IFERROR(VLOOKUP($A950,koronahun!$A:$AM,24,FALSE),"")</f>
        <v/>
      </c>
      <c r="Y950" s="14" t="str">
        <f>IFERROR(VLOOKUP($A950,koronahun!$A:$AM,25,FALSE),"")</f>
        <v/>
      </c>
      <c r="Z950" s="14" t="str">
        <f>IFERROR(VLOOKUP($A950,koronahun!$A:$AM,26,FALSE),"")</f>
        <v/>
      </c>
      <c r="AA950" s="14" t="str">
        <f>IFERROR(VLOOKUP($A950,koronahun!$A:$AM,27,FALSE),"")</f>
        <v/>
      </c>
      <c r="AB950" s="14" t="str">
        <f>IFERROR(VLOOKUP($A950,koronahun!$A:$AM,28,FALSE),"")</f>
        <v/>
      </c>
      <c r="AC950" s="14" t="str">
        <f>IFERROR(VLOOKUP($A950,koronahun!$A:$AM,29,FALSE),"")</f>
        <v/>
      </c>
      <c r="AD950" s="14" t="str">
        <f>IFERROR(VLOOKUP($A950,koronahun!$A:$AM,30,FALSE),"")</f>
        <v/>
      </c>
      <c r="AE950" s="14" t="str">
        <f>IFERROR(VLOOKUP($A950,koronahun!$A:$AM,31,FALSE),"")</f>
        <v/>
      </c>
      <c r="AF950" s="13" t="str">
        <f>IFERROR(VLOOKUP($A950,koronahun!$A:$AM,32,FALSE),"")</f>
        <v/>
      </c>
      <c r="AG950" t="str">
        <f>IFERROR(VLOOKUP($A950,koronahun!$A:$AM,33,FALSE),"")</f>
        <v/>
      </c>
      <c r="AH950" t="str">
        <f>IFERROR(VLOOKUP($A950,koronahun!$A:$AM,34,FALSE),"")</f>
        <v/>
      </c>
      <c r="AI950" t="str">
        <f>IFERROR(VLOOKUP($A950,koronahun!$A:$AM,35,FALSE),"")</f>
        <v/>
      </c>
      <c r="AJ950" t="str">
        <f>IFERROR(VLOOKUP($A950,koronahun!$A:$AM,36,FALSE),"")</f>
        <v/>
      </c>
      <c r="AK950" t="str">
        <f>IFERROR(VLOOKUP($A950,koronahun!$A:$AM,37,FALSE),"")</f>
        <v/>
      </c>
      <c r="AL950" t="str">
        <f>IFERROR(VLOOKUP($A950,koronahun!$A:$AM,38,FALSE),"")</f>
        <v/>
      </c>
      <c r="AM950" s="14" t="str">
        <f>IFERROR(VLOOKUP($A950,koronahun!$A:$AM,39,FALSE),"")</f>
        <v/>
      </c>
      <c r="AN950" s="11">
        <f ca="1">IFERROR(__xludf.DUMMYFUNCTION("""COMPUTED_VALUE"""),44842)</f>
        <v>44842</v>
      </c>
      <c r="AO950" s="12">
        <f ca="1">IFERROR(VLOOKUP(AN950,koronahun!A:B,2,FALSE),"")</f>
        <v>0</v>
      </c>
      <c r="AP950" s="11">
        <f t="shared" ca="1" si="6"/>
        <v>44842</v>
      </c>
      <c r="AQ950" s="11"/>
      <c r="AR950" s="11"/>
      <c r="AS950" s="11"/>
      <c r="AT950" s="11"/>
    </row>
    <row r="951" spans="1:46" ht="13">
      <c r="A951" s="11"/>
      <c r="B951" t="str">
        <f>IFERROR(VLOOKUP($A951,koronahun!$A:$AM,2,FALSE),"")</f>
        <v/>
      </c>
      <c r="C951" t="str">
        <f>IFERROR(VLOOKUP($A951,koronahun!$A:$AM,3,FALSE),"")</f>
        <v/>
      </c>
      <c r="D951" t="str">
        <f>IFERROR(VLOOKUP($A951,koronahun!$A:$AM,4,FALSE),"")</f>
        <v/>
      </c>
      <c r="E951" t="str">
        <f>IFERROR(VLOOKUP($A951,koronahun!$A:$AM,5,FALSE),"")</f>
        <v/>
      </c>
      <c r="F951" t="str">
        <f>IFERROR(VLOOKUP($A951,koronahun!$A:$AM,6,FALSE),"")</f>
        <v/>
      </c>
      <c r="G951" s="12" t="str">
        <f>IFERROR(VLOOKUP($A951,koronahun!$A:$AM,7,FALSE),"")</f>
        <v/>
      </c>
      <c r="H951" t="str">
        <f>IFERROR(VLOOKUP($A951,koronahun!$A:$AM,8,FALSE),"")</f>
        <v/>
      </c>
      <c r="I951" s="13" t="str">
        <f>IFERROR(VLOOKUP($A951,koronahun!$A:$AM,9,FALSE),"")</f>
        <v/>
      </c>
      <c r="J951" s="13" t="str">
        <f>IFERROR(VLOOKUP($A951,koronahun!$A:$AM,10,FALSE),"")</f>
        <v/>
      </c>
      <c r="K951" s="13" t="str">
        <f>IFERROR(VLOOKUP($A951,koronahun!$A:$AM,11,FALSE),"")</f>
        <v/>
      </c>
      <c r="L951" t="str">
        <f>IFERROR(VLOOKUP($A951,koronahun!$A:$AM,12,FALSE),"")</f>
        <v/>
      </c>
      <c r="M951" s="13" t="str">
        <f>IFERROR(VLOOKUP($A951,koronahun!$A:$AM,13,FALSE),"")</f>
        <v/>
      </c>
      <c r="N951" s="13" t="str">
        <f>IFERROR(VLOOKUP($A951,koronahun!$A:$AM,14,FALSE),"")</f>
        <v/>
      </c>
      <c r="O951" t="str">
        <f>IFERROR(VLOOKUP($A951,koronahun!$A:$AM,15,FALSE),"")</f>
        <v/>
      </c>
      <c r="P951" t="str">
        <f>IFERROR(VLOOKUP($A951,koronahun!$A:$AM,16,FALSE),"")</f>
        <v/>
      </c>
      <c r="Q951" s="13" t="str">
        <f>IFERROR(VLOOKUP($A951,koronahun!$A:$AM,17,FALSE),"")</f>
        <v/>
      </c>
      <c r="R951" t="str">
        <f>IFERROR(VLOOKUP($A951,koronahun!$A:$AM,18,FALSE),"")</f>
        <v/>
      </c>
      <c r="S951" t="str">
        <f>IFERROR(VLOOKUP($A951,koronahun!$A:$AM,19,FALSE),"")</f>
        <v/>
      </c>
      <c r="T951" t="str">
        <f>IFERROR(VLOOKUP($A951,koronahun!$A:$AM,20,FALSE),"")</f>
        <v/>
      </c>
      <c r="U951" t="str">
        <f>IFERROR(VLOOKUP($A951,koronahun!$A:$AM,21,FALSE),"")</f>
        <v/>
      </c>
      <c r="V951" s="13" t="str">
        <f>IFERROR(VLOOKUP($A951,koronahun!$A:$AM,22,FALSE),"")</f>
        <v/>
      </c>
      <c r="W951" t="str">
        <f>IFERROR(VLOOKUP($A951,koronahun!$A:$AM,23,FALSE),"")</f>
        <v/>
      </c>
      <c r="X951" t="str">
        <f>IFERROR(VLOOKUP($A951,koronahun!$A:$AM,24,FALSE),"")</f>
        <v/>
      </c>
      <c r="Y951" s="14" t="str">
        <f>IFERROR(VLOOKUP($A951,koronahun!$A:$AM,25,FALSE),"")</f>
        <v/>
      </c>
      <c r="Z951" s="14" t="str">
        <f>IFERROR(VLOOKUP($A951,koronahun!$A:$AM,26,FALSE),"")</f>
        <v/>
      </c>
      <c r="AA951" s="14" t="str">
        <f>IFERROR(VLOOKUP($A951,koronahun!$A:$AM,27,FALSE),"")</f>
        <v/>
      </c>
      <c r="AB951" s="14" t="str">
        <f>IFERROR(VLOOKUP($A951,koronahun!$A:$AM,28,FALSE),"")</f>
        <v/>
      </c>
      <c r="AC951" s="14" t="str">
        <f>IFERROR(VLOOKUP($A951,koronahun!$A:$AM,29,FALSE),"")</f>
        <v/>
      </c>
      <c r="AD951" s="14" t="str">
        <f>IFERROR(VLOOKUP($A951,koronahun!$A:$AM,30,FALSE),"")</f>
        <v/>
      </c>
      <c r="AE951" s="14" t="str">
        <f>IFERROR(VLOOKUP($A951,koronahun!$A:$AM,31,FALSE),"")</f>
        <v/>
      </c>
      <c r="AF951" s="13" t="str">
        <f>IFERROR(VLOOKUP($A951,koronahun!$A:$AM,32,FALSE),"")</f>
        <v/>
      </c>
      <c r="AG951" t="str">
        <f>IFERROR(VLOOKUP($A951,koronahun!$A:$AM,33,FALSE),"")</f>
        <v/>
      </c>
      <c r="AH951" t="str">
        <f>IFERROR(VLOOKUP($A951,koronahun!$A:$AM,34,FALSE),"")</f>
        <v/>
      </c>
      <c r="AI951" t="str">
        <f>IFERROR(VLOOKUP($A951,koronahun!$A:$AM,35,FALSE),"")</f>
        <v/>
      </c>
      <c r="AJ951" t="str">
        <f>IFERROR(VLOOKUP($A951,koronahun!$A:$AM,36,FALSE),"")</f>
        <v/>
      </c>
      <c r="AK951" t="str">
        <f>IFERROR(VLOOKUP($A951,koronahun!$A:$AM,37,FALSE),"")</f>
        <v/>
      </c>
      <c r="AL951" t="str">
        <f>IFERROR(VLOOKUP($A951,koronahun!$A:$AM,38,FALSE),"")</f>
        <v/>
      </c>
      <c r="AM951" s="14" t="str">
        <f>IFERROR(VLOOKUP($A951,koronahun!$A:$AM,39,FALSE),"")</f>
        <v/>
      </c>
      <c r="AN951" s="11">
        <f ca="1">IFERROR(__xludf.DUMMYFUNCTION("""COMPUTED_VALUE"""),44843)</f>
        <v>44843</v>
      </c>
      <c r="AO951" s="12">
        <f ca="1">IFERROR(VLOOKUP(AN951,koronahun!A:B,2,FALSE),"")</f>
        <v>0</v>
      </c>
      <c r="AP951" s="11">
        <f t="shared" ca="1" si="6"/>
        <v>44843</v>
      </c>
      <c r="AQ951" s="11"/>
      <c r="AR951" s="11"/>
      <c r="AS951" s="11"/>
      <c r="AT951" s="11"/>
    </row>
    <row r="952" spans="1:46" ht="13">
      <c r="A952" s="11"/>
      <c r="B952" t="str">
        <f>IFERROR(VLOOKUP($A952,koronahun!$A:$AM,2,FALSE),"")</f>
        <v/>
      </c>
      <c r="C952" t="str">
        <f>IFERROR(VLOOKUP($A952,koronahun!$A:$AM,3,FALSE),"")</f>
        <v/>
      </c>
      <c r="D952" t="str">
        <f>IFERROR(VLOOKUP($A952,koronahun!$A:$AM,4,FALSE),"")</f>
        <v/>
      </c>
      <c r="E952" t="str">
        <f>IFERROR(VLOOKUP($A952,koronahun!$A:$AM,5,FALSE),"")</f>
        <v/>
      </c>
      <c r="F952" t="str">
        <f>IFERROR(VLOOKUP($A952,koronahun!$A:$AM,6,FALSE),"")</f>
        <v/>
      </c>
      <c r="G952" s="12" t="str">
        <f>IFERROR(VLOOKUP($A952,koronahun!$A:$AM,7,FALSE),"")</f>
        <v/>
      </c>
      <c r="H952" t="str">
        <f>IFERROR(VLOOKUP($A952,koronahun!$A:$AM,8,FALSE),"")</f>
        <v/>
      </c>
      <c r="I952" s="13" t="str">
        <f>IFERROR(VLOOKUP($A952,koronahun!$A:$AM,9,FALSE),"")</f>
        <v/>
      </c>
      <c r="J952" s="13" t="str">
        <f>IFERROR(VLOOKUP($A952,koronahun!$A:$AM,10,FALSE),"")</f>
        <v/>
      </c>
      <c r="K952" s="13" t="str">
        <f>IFERROR(VLOOKUP($A952,koronahun!$A:$AM,11,FALSE),"")</f>
        <v/>
      </c>
      <c r="L952" t="str">
        <f>IFERROR(VLOOKUP($A952,koronahun!$A:$AM,12,FALSE),"")</f>
        <v/>
      </c>
      <c r="M952" s="13" t="str">
        <f>IFERROR(VLOOKUP($A952,koronahun!$A:$AM,13,FALSE),"")</f>
        <v/>
      </c>
      <c r="N952" s="13" t="str">
        <f>IFERROR(VLOOKUP($A952,koronahun!$A:$AM,14,FALSE),"")</f>
        <v/>
      </c>
      <c r="O952" t="str">
        <f>IFERROR(VLOOKUP($A952,koronahun!$A:$AM,15,FALSE),"")</f>
        <v/>
      </c>
      <c r="P952" t="str">
        <f>IFERROR(VLOOKUP($A952,koronahun!$A:$AM,16,FALSE),"")</f>
        <v/>
      </c>
      <c r="Q952" s="13" t="str">
        <f>IFERROR(VLOOKUP($A952,koronahun!$A:$AM,17,FALSE),"")</f>
        <v/>
      </c>
      <c r="R952" t="str">
        <f>IFERROR(VLOOKUP($A952,koronahun!$A:$AM,18,FALSE),"")</f>
        <v/>
      </c>
      <c r="S952" t="str">
        <f>IFERROR(VLOOKUP($A952,koronahun!$A:$AM,19,FALSE),"")</f>
        <v/>
      </c>
      <c r="T952" t="str">
        <f>IFERROR(VLOOKUP($A952,koronahun!$A:$AM,20,FALSE),"")</f>
        <v/>
      </c>
      <c r="U952" t="str">
        <f>IFERROR(VLOOKUP($A952,koronahun!$A:$AM,21,FALSE),"")</f>
        <v/>
      </c>
      <c r="V952" s="13" t="str">
        <f>IFERROR(VLOOKUP($A952,koronahun!$A:$AM,22,FALSE),"")</f>
        <v/>
      </c>
      <c r="W952" t="str">
        <f>IFERROR(VLOOKUP($A952,koronahun!$A:$AM,23,FALSE),"")</f>
        <v/>
      </c>
      <c r="X952" t="str">
        <f>IFERROR(VLOOKUP($A952,koronahun!$A:$AM,24,FALSE),"")</f>
        <v/>
      </c>
      <c r="Y952" s="14" t="str">
        <f>IFERROR(VLOOKUP($A952,koronahun!$A:$AM,25,FALSE),"")</f>
        <v/>
      </c>
      <c r="Z952" s="14" t="str">
        <f>IFERROR(VLOOKUP($A952,koronahun!$A:$AM,26,FALSE),"")</f>
        <v/>
      </c>
      <c r="AA952" s="14" t="str">
        <f>IFERROR(VLOOKUP($A952,koronahun!$A:$AM,27,FALSE),"")</f>
        <v/>
      </c>
      <c r="AB952" s="14" t="str">
        <f>IFERROR(VLOOKUP($A952,koronahun!$A:$AM,28,FALSE),"")</f>
        <v/>
      </c>
      <c r="AC952" s="14" t="str">
        <f>IFERROR(VLOOKUP($A952,koronahun!$A:$AM,29,FALSE),"")</f>
        <v/>
      </c>
      <c r="AD952" s="14" t="str">
        <f>IFERROR(VLOOKUP($A952,koronahun!$A:$AM,30,FALSE),"")</f>
        <v/>
      </c>
      <c r="AE952" s="14" t="str">
        <f>IFERROR(VLOOKUP($A952,koronahun!$A:$AM,31,FALSE),"")</f>
        <v/>
      </c>
      <c r="AF952" s="13" t="str">
        <f>IFERROR(VLOOKUP($A952,koronahun!$A:$AM,32,FALSE),"")</f>
        <v/>
      </c>
      <c r="AG952" t="str">
        <f>IFERROR(VLOOKUP($A952,koronahun!$A:$AM,33,FALSE),"")</f>
        <v/>
      </c>
      <c r="AH952" t="str">
        <f>IFERROR(VLOOKUP($A952,koronahun!$A:$AM,34,FALSE),"")</f>
        <v/>
      </c>
      <c r="AI952" t="str">
        <f>IFERROR(VLOOKUP($A952,koronahun!$A:$AM,35,FALSE),"")</f>
        <v/>
      </c>
      <c r="AJ952" t="str">
        <f>IFERROR(VLOOKUP($A952,koronahun!$A:$AM,36,FALSE),"")</f>
        <v/>
      </c>
      <c r="AK952" t="str">
        <f>IFERROR(VLOOKUP($A952,koronahun!$A:$AM,37,FALSE),"")</f>
        <v/>
      </c>
      <c r="AL952" t="str">
        <f>IFERROR(VLOOKUP($A952,koronahun!$A:$AM,38,FALSE),"")</f>
        <v/>
      </c>
      <c r="AM952" s="14" t="str">
        <f>IFERROR(VLOOKUP($A952,koronahun!$A:$AM,39,FALSE),"")</f>
        <v/>
      </c>
      <c r="AN952" s="11">
        <f ca="1">IFERROR(__xludf.DUMMYFUNCTION("""COMPUTED_VALUE"""),44844)</f>
        <v>44844</v>
      </c>
      <c r="AO952" s="12">
        <f ca="1">IFERROR(VLOOKUP(AN952,koronahun!A:B,2,FALSE),"")</f>
        <v>0</v>
      </c>
      <c r="AP952" s="11">
        <f t="shared" ca="1" si="6"/>
        <v>44844</v>
      </c>
      <c r="AQ952" s="11"/>
      <c r="AR952" s="11"/>
      <c r="AS952" s="11"/>
      <c r="AT952" s="11"/>
    </row>
    <row r="953" spans="1:46" ht="13">
      <c r="A953" s="11"/>
      <c r="B953" t="str">
        <f>IFERROR(VLOOKUP($A953,koronahun!$A:$AM,2,FALSE),"")</f>
        <v/>
      </c>
      <c r="C953" t="str">
        <f>IFERROR(VLOOKUP($A953,koronahun!$A:$AM,3,FALSE),"")</f>
        <v/>
      </c>
      <c r="D953" t="str">
        <f>IFERROR(VLOOKUP($A953,koronahun!$A:$AM,4,FALSE),"")</f>
        <v/>
      </c>
      <c r="E953" t="str">
        <f>IFERROR(VLOOKUP($A953,koronahun!$A:$AM,5,FALSE),"")</f>
        <v/>
      </c>
      <c r="F953" t="str">
        <f>IFERROR(VLOOKUP($A953,koronahun!$A:$AM,6,FALSE),"")</f>
        <v/>
      </c>
      <c r="G953" s="12" t="str">
        <f>IFERROR(VLOOKUP($A953,koronahun!$A:$AM,7,FALSE),"")</f>
        <v/>
      </c>
      <c r="H953" t="str">
        <f>IFERROR(VLOOKUP($A953,koronahun!$A:$AM,8,FALSE),"")</f>
        <v/>
      </c>
      <c r="I953" s="13" t="str">
        <f>IFERROR(VLOOKUP($A953,koronahun!$A:$AM,9,FALSE),"")</f>
        <v/>
      </c>
      <c r="J953" s="13" t="str">
        <f>IFERROR(VLOOKUP($A953,koronahun!$A:$AM,10,FALSE),"")</f>
        <v/>
      </c>
      <c r="K953" s="13" t="str">
        <f>IFERROR(VLOOKUP($A953,koronahun!$A:$AM,11,FALSE),"")</f>
        <v/>
      </c>
      <c r="L953" t="str">
        <f>IFERROR(VLOOKUP($A953,koronahun!$A:$AM,12,FALSE),"")</f>
        <v/>
      </c>
      <c r="M953" s="13" t="str">
        <f>IFERROR(VLOOKUP($A953,koronahun!$A:$AM,13,FALSE),"")</f>
        <v/>
      </c>
      <c r="N953" s="13" t="str">
        <f>IFERROR(VLOOKUP($A953,koronahun!$A:$AM,14,FALSE),"")</f>
        <v/>
      </c>
      <c r="O953" t="str">
        <f>IFERROR(VLOOKUP($A953,koronahun!$A:$AM,15,FALSE),"")</f>
        <v/>
      </c>
      <c r="P953" t="str">
        <f>IFERROR(VLOOKUP($A953,koronahun!$A:$AM,16,FALSE),"")</f>
        <v/>
      </c>
      <c r="Q953" s="13" t="str">
        <f>IFERROR(VLOOKUP($A953,koronahun!$A:$AM,17,FALSE),"")</f>
        <v/>
      </c>
      <c r="R953" t="str">
        <f>IFERROR(VLOOKUP($A953,koronahun!$A:$AM,18,FALSE),"")</f>
        <v/>
      </c>
      <c r="S953" t="str">
        <f>IFERROR(VLOOKUP($A953,koronahun!$A:$AM,19,FALSE),"")</f>
        <v/>
      </c>
      <c r="T953" t="str">
        <f>IFERROR(VLOOKUP($A953,koronahun!$A:$AM,20,FALSE),"")</f>
        <v/>
      </c>
      <c r="U953" t="str">
        <f>IFERROR(VLOOKUP($A953,koronahun!$A:$AM,21,FALSE),"")</f>
        <v/>
      </c>
      <c r="V953" s="13" t="str">
        <f>IFERROR(VLOOKUP($A953,koronahun!$A:$AM,22,FALSE),"")</f>
        <v/>
      </c>
      <c r="W953" t="str">
        <f>IFERROR(VLOOKUP($A953,koronahun!$A:$AM,23,FALSE),"")</f>
        <v/>
      </c>
      <c r="X953" t="str">
        <f>IFERROR(VLOOKUP($A953,koronahun!$A:$AM,24,FALSE),"")</f>
        <v/>
      </c>
      <c r="Y953" s="14" t="str">
        <f>IFERROR(VLOOKUP($A953,koronahun!$A:$AM,25,FALSE),"")</f>
        <v/>
      </c>
      <c r="Z953" s="14" t="str">
        <f>IFERROR(VLOOKUP($A953,koronahun!$A:$AM,26,FALSE),"")</f>
        <v/>
      </c>
      <c r="AA953" s="14" t="str">
        <f>IFERROR(VLOOKUP($A953,koronahun!$A:$AM,27,FALSE),"")</f>
        <v/>
      </c>
      <c r="AB953" s="14" t="str">
        <f>IFERROR(VLOOKUP($A953,koronahun!$A:$AM,28,FALSE),"")</f>
        <v/>
      </c>
      <c r="AC953" s="14" t="str">
        <f>IFERROR(VLOOKUP($A953,koronahun!$A:$AM,29,FALSE),"")</f>
        <v/>
      </c>
      <c r="AD953" s="14" t="str">
        <f>IFERROR(VLOOKUP($A953,koronahun!$A:$AM,30,FALSE),"")</f>
        <v/>
      </c>
      <c r="AE953" s="14" t="str">
        <f>IFERROR(VLOOKUP($A953,koronahun!$A:$AM,31,FALSE),"")</f>
        <v/>
      </c>
      <c r="AF953" s="13" t="str">
        <f>IFERROR(VLOOKUP($A953,koronahun!$A:$AM,32,FALSE),"")</f>
        <v/>
      </c>
      <c r="AG953" t="str">
        <f>IFERROR(VLOOKUP($A953,koronahun!$A:$AM,33,FALSE),"")</f>
        <v/>
      </c>
      <c r="AH953" t="str">
        <f>IFERROR(VLOOKUP($A953,koronahun!$A:$AM,34,FALSE),"")</f>
        <v/>
      </c>
      <c r="AI953" t="str">
        <f>IFERROR(VLOOKUP($A953,koronahun!$A:$AM,35,FALSE),"")</f>
        <v/>
      </c>
      <c r="AJ953" t="str">
        <f>IFERROR(VLOOKUP($A953,koronahun!$A:$AM,36,FALSE),"")</f>
        <v/>
      </c>
      <c r="AK953" t="str">
        <f>IFERROR(VLOOKUP($A953,koronahun!$A:$AM,37,FALSE),"")</f>
        <v/>
      </c>
      <c r="AL953" t="str">
        <f>IFERROR(VLOOKUP($A953,koronahun!$A:$AM,38,FALSE),"")</f>
        <v/>
      </c>
      <c r="AM953" s="14" t="str">
        <f>IFERROR(VLOOKUP($A953,koronahun!$A:$AM,39,FALSE),"")</f>
        <v/>
      </c>
      <c r="AN953" s="11">
        <f ca="1">IFERROR(__xludf.DUMMYFUNCTION("""COMPUTED_VALUE"""),44845)</f>
        <v>44845</v>
      </c>
      <c r="AO953" s="12">
        <f ca="1">IFERROR(VLOOKUP(AN953,koronahun!A:B,2,FALSE),"")</f>
        <v>0</v>
      </c>
      <c r="AP953" s="11">
        <f t="shared" ca="1" si="6"/>
        <v>44845</v>
      </c>
      <c r="AQ953" s="11"/>
      <c r="AR953" s="11"/>
      <c r="AS953" s="11"/>
      <c r="AT953" s="11"/>
    </row>
    <row r="954" spans="1:46" ht="13">
      <c r="A954" s="11"/>
      <c r="B954" t="str">
        <f>IFERROR(VLOOKUP($A954,koronahun!$A:$AM,2,FALSE),"")</f>
        <v/>
      </c>
      <c r="C954" t="str">
        <f>IFERROR(VLOOKUP($A954,koronahun!$A:$AM,3,FALSE),"")</f>
        <v/>
      </c>
      <c r="D954" t="str">
        <f>IFERROR(VLOOKUP($A954,koronahun!$A:$AM,4,FALSE),"")</f>
        <v/>
      </c>
      <c r="E954" t="str">
        <f>IFERROR(VLOOKUP($A954,koronahun!$A:$AM,5,FALSE),"")</f>
        <v/>
      </c>
      <c r="F954" t="str">
        <f>IFERROR(VLOOKUP($A954,koronahun!$A:$AM,6,FALSE),"")</f>
        <v/>
      </c>
      <c r="G954" s="12" t="str">
        <f>IFERROR(VLOOKUP($A954,koronahun!$A:$AM,7,FALSE),"")</f>
        <v/>
      </c>
      <c r="H954" t="str">
        <f>IFERROR(VLOOKUP($A954,koronahun!$A:$AM,8,FALSE),"")</f>
        <v/>
      </c>
      <c r="I954" s="13" t="str">
        <f>IFERROR(VLOOKUP($A954,koronahun!$A:$AM,9,FALSE),"")</f>
        <v/>
      </c>
      <c r="J954" s="13" t="str">
        <f>IFERROR(VLOOKUP($A954,koronahun!$A:$AM,10,FALSE),"")</f>
        <v/>
      </c>
      <c r="K954" s="13" t="str">
        <f>IFERROR(VLOOKUP($A954,koronahun!$A:$AM,11,FALSE),"")</f>
        <v/>
      </c>
      <c r="L954" t="str">
        <f>IFERROR(VLOOKUP($A954,koronahun!$A:$AM,12,FALSE),"")</f>
        <v/>
      </c>
      <c r="M954" s="13" t="str">
        <f>IFERROR(VLOOKUP($A954,koronahun!$A:$AM,13,FALSE),"")</f>
        <v/>
      </c>
      <c r="N954" s="13" t="str">
        <f>IFERROR(VLOOKUP($A954,koronahun!$A:$AM,14,FALSE),"")</f>
        <v/>
      </c>
      <c r="O954" t="str">
        <f>IFERROR(VLOOKUP($A954,koronahun!$A:$AM,15,FALSE),"")</f>
        <v/>
      </c>
      <c r="P954" t="str">
        <f>IFERROR(VLOOKUP($A954,koronahun!$A:$AM,16,FALSE),"")</f>
        <v/>
      </c>
      <c r="Q954" s="13" t="str">
        <f>IFERROR(VLOOKUP($A954,koronahun!$A:$AM,17,FALSE),"")</f>
        <v/>
      </c>
      <c r="R954" t="str">
        <f>IFERROR(VLOOKUP($A954,koronahun!$A:$AM,18,FALSE),"")</f>
        <v/>
      </c>
      <c r="S954" t="str">
        <f>IFERROR(VLOOKUP($A954,koronahun!$A:$AM,19,FALSE),"")</f>
        <v/>
      </c>
      <c r="T954" t="str">
        <f>IFERROR(VLOOKUP($A954,koronahun!$A:$AM,20,FALSE),"")</f>
        <v/>
      </c>
      <c r="U954" t="str">
        <f>IFERROR(VLOOKUP($A954,koronahun!$A:$AM,21,FALSE),"")</f>
        <v/>
      </c>
      <c r="V954" s="13" t="str">
        <f>IFERROR(VLOOKUP($A954,koronahun!$A:$AM,22,FALSE),"")</f>
        <v/>
      </c>
      <c r="W954" t="str">
        <f>IFERROR(VLOOKUP($A954,koronahun!$A:$AM,23,FALSE),"")</f>
        <v/>
      </c>
      <c r="X954" t="str">
        <f>IFERROR(VLOOKUP($A954,koronahun!$A:$AM,24,FALSE),"")</f>
        <v/>
      </c>
      <c r="Y954" s="14" t="str">
        <f>IFERROR(VLOOKUP($A954,koronahun!$A:$AM,25,FALSE),"")</f>
        <v/>
      </c>
      <c r="Z954" s="14" t="str">
        <f>IFERROR(VLOOKUP($A954,koronahun!$A:$AM,26,FALSE),"")</f>
        <v/>
      </c>
      <c r="AA954" s="14" t="str">
        <f>IFERROR(VLOOKUP($A954,koronahun!$A:$AM,27,FALSE),"")</f>
        <v/>
      </c>
      <c r="AB954" s="14" t="str">
        <f>IFERROR(VLOOKUP($A954,koronahun!$A:$AM,28,FALSE),"")</f>
        <v/>
      </c>
      <c r="AC954" s="14" t="str">
        <f>IFERROR(VLOOKUP($A954,koronahun!$A:$AM,29,FALSE),"")</f>
        <v/>
      </c>
      <c r="AD954" s="14" t="str">
        <f>IFERROR(VLOOKUP($A954,koronahun!$A:$AM,30,FALSE),"")</f>
        <v/>
      </c>
      <c r="AE954" s="14" t="str">
        <f>IFERROR(VLOOKUP($A954,koronahun!$A:$AM,31,FALSE),"")</f>
        <v/>
      </c>
      <c r="AF954" s="13" t="str">
        <f>IFERROR(VLOOKUP($A954,koronahun!$A:$AM,32,FALSE),"")</f>
        <v/>
      </c>
      <c r="AG954" t="str">
        <f>IFERROR(VLOOKUP($A954,koronahun!$A:$AM,33,FALSE),"")</f>
        <v/>
      </c>
      <c r="AH954" t="str">
        <f>IFERROR(VLOOKUP($A954,koronahun!$A:$AM,34,FALSE),"")</f>
        <v/>
      </c>
      <c r="AI954" t="str">
        <f>IFERROR(VLOOKUP($A954,koronahun!$A:$AM,35,FALSE),"")</f>
        <v/>
      </c>
      <c r="AJ954" t="str">
        <f>IFERROR(VLOOKUP($A954,koronahun!$A:$AM,36,FALSE),"")</f>
        <v/>
      </c>
      <c r="AK954" t="str">
        <f>IFERROR(VLOOKUP($A954,koronahun!$A:$AM,37,FALSE),"")</f>
        <v/>
      </c>
      <c r="AL954" t="str">
        <f>IFERROR(VLOOKUP($A954,koronahun!$A:$AM,38,FALSE),"")</f>
        <v/>
      </c>
      <c r="AM954" s="14" t="str">
        <f>IFERROR(VLOOKUP($A954,koronahun!$A:$AM,39,FALSE),"")</f>
        <v/>
      </c>
      <c r="AN954" s="11">
        <f ca="1">IFERROR(__xludf.DUMMYFUNCTION("""COMPUTED_VALUE"""),44846)</f>
        <v>44846</v>
      </c>
      <c r="AO954" s="12">
        <f ca="1">IFERROR(VLOOKUP(AN954,koronahun!A:B,2,FALSE),"")</f>
        <v>2120543</v>
      </c>
      <c r="AP954" s="11">
        <f t="shared" ca="1" si="6"/>
        <v>44846</v>
      </c>
      <c r="AQ954" s="11"/>
      <c r="AR954" s="11"/>
      <c r="AS954" s="11"/>
      <c r="AT954" s="11"/>
    </row>
    <row r="955" spans="1:46" ht="13">
      <c r="A955" s="11"/>
      <c r="B955" t="str">
        <f>IFERROR(VLOOKUP($A955,koronahun!$A:$AM,2,FALSE),"")</f>
        <v/>
      </c>
      <c r="C955" t="str">
        <f>IFERROR(VLOOKUP($A955,koronahun!$A:$AM,3,FALSE),"")</f>
        <v/>
      </c>
      <c r="D955" t="str">
        <f>IFERROR(VLOOKUP($A955,koronahun!$A:$AM,4,FALSE),"")</f>
        <v/>
      </c>
      <c r="E955" t="str">
        <f>IFERROR(VLOOKUP($A955,koronahun!$A:$AM,5,FALSE),"")</f>
        <v/>
      </c>
      <c r="F955" t="str">
        <f>IFERROR(VLOOKUP($A955,koronahun!$A:$AM,6,FALSE),"")</f>
        <v/>
      </c>
      <c r="G955" s="12" t="str">
        <f>IFERROR(VLOOKUP($A955,koronahun!$A:$AM,7,FALSE),"")</f>
        <v/>
      </c>
      <c r="H955" t="str">
        <f>IFERROR(VLOOKUP($A955,koronahun!$A:$AM,8,FALSE),"")</f>
        <v/>
      </c>
      <c r="I955" s="13" t="str">
        <f>IFERROR(VLOOKUP($A955,koronahun!$A:$AM,9,FALSE),"")</f>
        <v/>
      </c>
      <c r="J955" s="13" t="str">
        <f>IFERROR(VLOOKUP($A955,koronahun!$A:$AM,10,FALSE),"")</f>
        <v/>
      </c>
      <c r="K955" s="13" t="str">
        <f>IFERROR(VLOOKUP($A955,koronahun!$A:$AM,11,FALSE),"")</f>
        <v/>
      </c>
      <c r="L955" t="str">
        <f>IFERROR(VLOOKUP($A955,koronahun!$A:$AM,12,FALSE),"")</f>
        <v/>
      </c>
      <c r="M955" s="13" t="str">
        <f>IFERROR(VLOOKUP($A955,koronahun!$A:$AM,13,FALSE),"")</f>
        <v/>
      </c>
      <c r="N955" s="13" t="str">
        <f>IFERROR(VLOOKUP($A955,koronahun!$A:$AM,14,FALSE),"")</f>
        <v/>
      </c>
      <c r="O955" t="str">
        <f>IFERROR(VLOOKUP($A955,koronahun!$A:$AM,15,FALSE),"")</f>
        <v/>
      </c>
      <c r="P955" t="str">
        <f>IFERROR(VLOOKUP($A955,koronahun!$A:$AM,16,FALSE),"")</f>
        <v/>
      </c>
      <c r="Q955" s="13" t="str">
        <f>IFERROR(VLOOKUP($A955,koronahun!$A:$AM,17,FALSE),"")</f>
        <v/>
      </c>
      <c r="R955" t="str">
        <f>IFERROR(VLOOKUP($A955,koronahun!$A:$AM,18,FALSE),"")</f>
        <v/>
      </c>
      <c r="S955" t="str">
        <f>IFERROR(VLOOKUP($A955,koronahun!$A:$AM,19,FALSE),"")</f>
        <v/>
      </c>
      <c r="T955" t="str">
        <f>IFERROR(VLOOKUP($A955,koronahun!$A:$AM,20,FALSE),"")</f>
        <v/>
      </c>
      <c r="U955" t="str">
        <f>IFERROR(VLOOKUP($A955,koronahun!$A:$AM,21,FALSE),"")</f>
        <v/>
      </c>
      <c r="V955" s="13" t="str">
        <f>IFERROR(VLOOKUP($A955,koronahun!$A:$AM,22,FALSE),"")</f>
        <v/>
      </c>
      <c r="W955" t="str">
        <f>IFERROR(VLOOKUP($A955,koronahun!$A:$AM,23,FALSE),"")</f>
        <v/>
      </c>
      <c r="X955" t="str">
        <f>IFERROR(VLOOKUP($A955,koronahun!$A:$AM,24,FALSE),"")</f>
        <v/>
      </c>
      <c r="Y955" s="14" t="str">
        <f>IFERROR(VLOOKUP($A955,koronahun!$A:$AM,25,FALSE),"")</f>
        <v/>
      </c>
      <c r="Z955" s="14" t="str">
        <f>IFERROR(VLOOKUP($A955,koronahun!$A:$AM,26,FALSE),"")</f>
        <v/>
      </c>
      <c r="AA955" s="14" t="str">
        <f>IFERROR(VLOOKUP($A955,koronahun!$A:$AM,27,FALSE),"")</f>
        <v/>
      </c>
      <c r="AB955" s="14" t="str">
        <f>IFERROR(VLOOKUP($A955,koronahun!$A:$AM,28,FALSE),"")</f>
        <v/>
      </c>
      <c r="AC955" s="14" t="str">
        <f>IFERROR(VLOOKUP($A955,koronahun!$A:$AM,29,FALSE),"")</f>
        <v/>
      </c>
      <c r="AD955" s="14" t="str">
        <f>IFERROR(VLOOKUP($A955,koronahun!$A:$AM,30,FALSE),"")</f>
        <v/>
      </c>
      <c r="AE955" s="14" t="str">
        <f>IFERROR(VLOOKUP($A955,koronahun!$A:$AM,31,FALSE),"")</f>
        <v/>
      </c>
      <c r="AF955" s="13" t="str">
        <f>IFERROR(VLOOKUP($A955,koronahun!$A:$AM,32,FALSE),"")</f>
        <v/>
      </c>
      <c r="AG955" t="str">
        <f>IFERROR(VLOOKUP($A955,koronahun!$A:$AM,33,FALSE),"")</f>
        <v/>
      </c>
      <c r="AH955" t="str">
        <f>IFERROR(VLOOKUP($A955,koronahun!$A:$AM,34,FALSE),"")</f>
        <v/>
      </c>
      <c r="AI955" t="str">
        <f>IFERROR(VLOOKUP($A955,koronahun!$A:$AM,35,FALSE),"")</f>
        <v/>
      </c>
      <c r="AJ955" t="str">
        <f>IFERROR(VLOOKUP($A955,koronahun!$A:$AM,36,FALSE),"")</f>
        <v/>
      </c>
      <c r="AK955" t="str">
        <f>IFERROR(VLOOKUP($A955,koronahun!$A:$AM,37,FALSE),"")</f>
        <v/>
      </c>
      <c r="AL955" t="str">
        <f>IFERROR(VLOOKUP($A955,koronahun!$A:$AM,38,FALSE),"")</f>
        <v/>
      </c>
      <c r="AM955" s="14" t="str">
        <f>IFERROR(VLOOKUP($A955,koronahun!$A:$AM,39,FALSE),"")</f>
        <v/>
      </c>
      <c r="AN955" s="11">
        <f ca="1">IFERROR(__xludf.DUMMYFUNCTION("""COMPUTED_VALUE"""),44847)</f>
        <v>44847</v>
      </c>
      <c r="AO955" s="12">
        <f ca="1">IFERROR(VLOOKUP(AN955,koronahun!A:B,2,FALSE),"")</f>
        <v>0</v>
      </c>
      <c r="AP955" s="11">
        <f t="shared" ca="1" si="6"/>
        <v>44847</v>
      </c>
      <c r="AQ955" s="11"/>
      <c r="AR955" s="11"/>
      <c r="AS955" s="11"/>
      <c r="AT955" s="11"/>
    </row>
    <row r="956" spans="1:46" ht="13">
      <c r="A956" s="11"/>
      <c r="B956" t="str">
        <f>IFERROR(VLOOKUP($A956,koronahun!$A:$AM,2,FALSE),"")</f>
        <v/>
      </c>
      <c r="C956" t="str">
        <f>IFERROR(VLOOKUP($A956,koronahun!$A:$AM,3,FALSE),"")</f>
        <v/>
      </c>
      <c r="D956" t="str">
        <f>IFERROR(VLOOKUP($A956,koronahun!$A:$AM,4,FALSE),"")</f>
        <v/>
      </c>
      <c r="E956" t="str">
        <f>IFERROR(VLOOKUP($A956,koronahun!$A:$AM,5,FALSE),"")</f>
        <v/>
      </c>
      <c r="F956" t="str">
        <f>IFERROR(VLOOKUP($A956,koronahun!$A:$AM,6,FALSE),"")</f>
        <v/>
      </c>
      <c r="G956" s="12" t="str">
        <f>IFERROR(VLOOKUP($A956,koronahun!$A:$AM,7,FALSE),"")</f>
        <v/>
      </c>
      <c r="H956" t="str">
        <f>IFERROR(VLOOKUP($A956,koronahun!$A:$AM,8,FALSE),"")</f>
        <v/>
      </c>
      <c r="I956" s="13" t="str">
        <f>IFERROR(VLOOKUP($A956,koronahun!$A:$AM,9,FALSE),"")</f>
        <v/>
      </c>
      <c r="J956" s="13" t="str">
        <f>IFERROR(VLOOKUP($A956,koronahun!$A:$AM,10,FALSE),"")</f>
        <v/>
      </c>
      <c r="K956" s="13" t="str">
        <f>IFERROR(VLOOKUP($A956,koronahun!$A:$AM,11,FALSE),"")</f>
        <v/>
      </c>
      <c r="L956" t="str">
        <f>IFERROR(VLOOKUP($A956,koronahun!$A:$AM,12,FALSE),"")</f>
        <v/>
      </c>
      <c r="M956" s="13" t="str">
        <f>IFERROR(VLOOKUP($A956,koronahun!$A:$AM,13,FALSE),"")</f>
        <v/>
      </c>
      <c r="N956" s="13" t="str">
        <f>IFERROR(VLOOKUP($A956,koronahun!$A:$AM,14,FALSE),"")</f>
        <v/>
      </c>
      <c r="O956" t="str">
        <f>IFERROR(VLOOKUP($A956,koronahun!$A:$AM,15,FALSE),"")</f>
        <v/>
      </c>
      <c r="P956" t="str">
        <f>IFERROR(VLOOKUP($A956,koronahun!$A:$AM,16,FALSE),"")</f>
        <v/>
      </c>
      <c r="Q956" s="13" t="str">
        <f>IFERROR(VLOOKUP($A956,koronahun!$A:$AM,17,FALSE),"")</f>
        <v/>
      </c>
      <c r="R956" t="str">
        <f>IFERROR(VLOOKUP($A956,koronahun!$A:$AM,18,FALSE),"")</f>
        <v/>
      </c>
      <c r="S956" t="str">
        <f>IFERROR(VLOOKUP($A956,koronahun!$A:$AM,19,FALSE),"")</f>
        <v/>
      </c>
      <c r="T956" t="str">
        <f>IFERROR(VLOOKUP($A956,koronahun!$A:$AM,20,FALSE),"")</f>
        <v/>
      </c>
      <c r="U956" t="str">
        <f>IFERROR(VLOOKUP($A956,koronahun!$A:$AM,21,FALSE),"")</f>
        <v/>
      </c>
      <c r="V956" s="13" t="str">
        <f>IFERROR(VLOOKUP($A956,koronahun!$A:$AM,22,FALSE),"")</f>
        <v/>
      </c>
      <c r="W956" t="str">
        <f>IFERROR(VLOOKUP($A956,koronahun!$A:$AM,23,FALSE),"")</f>
        <v/>
      </c>
      <c r="X956" t="str">
        <f>IFERROR(VLOOKUP($A956,koronahun!$A:$AM,24,FALSE),"")</f>
        <v/>
      </c>
      <c r="Y956" s="14" t="str">
        <f>IFERROR(VLOOKUP($A956,koronahun!$A:$AM,25,FALSE),"")</f>
        <v/>
      </c>
      <c r="Z956" s="14" t="str">
        <f>IFERROR(VLOOKUP($A956,koronahun!$A:$AM,26,FALSE),"")</f>
        <v/>
      </c>
      <c r="AA956" s="14" t="str">
        <f>IFERROR(VLOOKUP($A956,koronahun!$A:$AM,27,FALSE),"")</f>
        <v/>
      </c>
      <c r="AB956" s="14" t="str">
        <f>IFERROR(VLOOKUP($A956,koronahun!$A:$AM,28,FALSE),"")</f>
        <v/>
      </c>
      <c r="AC956" s="14" t="str">
        <f>IFERROR(VLOOKUP($A956,koronahun!$A:$AM,29,FALSE),"")</f>
        <v/>
      </c>
      <c r="AD956" s="14" t="str">
        <f>IFERROR(VLOOKUP($A956,koronahun!$A:$AM,30,FALSE),"")</f>
        <v/>
      </c>
      <c r="AE956" s="14" t="str">
        <f>IFERROR(VLOOKUP($A956,koronahun!$A:$AM,31,FALSE),"")</f>
        <v/>
      </c>
      <c r="AF956" s="13" t="str">
        <f>IFERROR(VLOOKUP($A956,koronahun!$A:$AM,32,FALSE),"")</f>
        <v/>
      </c>
      <c r="AG956" t="str">
        <f>IFERROR(VLOOKUP($A956,koronahun!$A:$AM,33,FALSE),"")</f>
        <v/>
      </c>
      <c r="AH956" t="str">
        <f>IFERROR(VLOOKUP($A956,koronahun!$A:$AM,34,FALSE),"")</f>
        <v/>
      </c>
      <c r="AI956" t="str">
        <f>IFERROR(VLOOKUP($A956,koronahun!$A:$AM,35,FALSE),"")</f>
        <v/>
      </c>
      <c r="AJ956" t="str">
        <f>IFERROR(VLOOKUP($A956,koronahun!$A:$AM,36,FALSE),"")</f>
        <v/>
      </c>
      <c r="AK956" t="str">
        <f>IFERROR(VLOOKUP($A956,koronahun!$A:$AM,37,FALSE),"")</f>
        <v/>
      </c>
      <c r="AL956" t="str">
        <f>IFERROR(VLOOKUP($A956,koronahun!$A:$AM,38,FALSE),"")</f>
        <v/>
      </c>
      <c r="AM956" s="14" t="str">
        <f>IFERROR(VLOOKUP($A956,koronahun!$A:$AM,39,FALSE),"")</f>
        <v/>
      </c>
      <c r="AN956" s="11">
        <f ca="1">IFERROR(__xludf.DUMMYFUNCTION("""COMPUTED_VALUE"""),44848)</f>
        <v>44848</v>
      </c>
      <c r="AO956" s="12">
        <f ca="1">IFERROR(VLOOKUP(AN956,koronahun!A:B,2,FALSE),"")</f>
        <v>0</v>
      </c>
      <c r="AP956" s="11">
        <f t="shared" ca="1" si="6"/>
        <v>44848</v>
      </c>
      <c r="AQ956" s="11"/>
      <c r="AR956" s="11"/>
      <c r="AS956" s="11"/>
      <c r="AT956" s="11"/>
    </row>
    <row r="957" spans="1:46" ht="13">
      <c r="A957" s="11"/>
      <c r="B957" t="str">
        <f>IFERROR(VLOOKUP($A957,koronahun!$A:$AM,2,FALSE),"")</f>
        <v/>
      </c>
      <c r="C957" t="str">
        <f>IFERROR(VLOOKUP($A957,koronahun!$A:$AM,3,FALSE),"")</f>
        <v/>
      </c>
      <c r="D957" t="str">
        <f>IFERROR(VLOOKUP($A957,koronahun!$A:$AM,4,FALSE),"")</f>
        <v/>
      </c>
      <c r="E957" t="str">
        <f>IFERROR(VLOOKUP($A957,koronahun!$A:$AM,5,FALSE),"")</f>
        <v/>
      </c>
      <c r="F957" t="str">
        <f>IFERROR(VLOOKUP($A957,koronahun!$A:$AM,6,FALSE),"")</f>
        <v/>
      </c>
      <c r="G957" s="12" t="str">
        <f>IFERROR(VLOOKUP($A957,koronahun!$A:$AM,7,FALSE),"")</f>
        <v/>
      </c>
      <c r="H957" t="str">
        <f>IFERROR(VLOOKUP($A957,koronahun!$A:$AM,8,FALSE),"")</f>
        <v/>
      </c>
      <c r="I957" s="13" t="str">
        <f>IFERROR(VLOOKUP($A957,koronahun!$A:$AM,9,FALSE),"")</f>
        <v/>
      </c>
      <c r="J957" s="13" t="str">
        <f>IFERROR(VLOOKUP($A957,koronahun!$A:$AM,10,FALSE),"")</f>
        <v/>
      </c>
      <c r="K957" s="13" t="str">
        <f>IFERROR(VLOOKUP($A957,koronahun!$A:$AM,11,FALSE),"")</f>
        <v/>
      </c>
      <c r="L957" t="str">
        <f>IFERROR(VLOOKUP($A957,koronahun!$A:$AM,12,FALSE),"")</f>
        <v/>
      </c>
      <c r="M957" s="13" t="str">
        <f>IFERROR(VLOOKUP($A957,koronahun!$A:$AM,13,FALSE),"")</f>
        <v/>
      </c>
      <c r="N957" s="13" t="str">
        <f>IFERROR(VLOOKUP($A957,koronahun!$A:$AM,14,FALSE),"")</f>
        <v/>
      </c>
      <c r="O957" t="str">
        <f>IFERROR(VLOOKUP($A957,koronahun!$A:$AM,15,FALSE),"")</f>
        <v/>
      </c>
      <c r="P957" t="str">
        <f>IFERROR(VLOOKUP($A957,koronahun!$A:$AM,16,FALSE),"")</f>
        <v/>
      </c>
      <c r="Q957" s="13" t="str">
        <f>IFERROR(VLOOKUP($A957,koronahun!$A:$AM,17,FALSE),"")</f>
        <v/>
      </c>
      <c r="R957" t="str">
        <f>IFERROR(VLOOKUP($A957,koronahun!$A:$AM,18,FALSE),"")</f>
        <v/>
      </c>
      <c r="S957" t="str">
        <f>IFERROR(VLOOKUP($A957,koronahun!$A:$AM,19,FALSE),"")</f>
        <v/>
      </c>
      <c r="T957" t="str">
        <f>IFERROR(VLOOKUP($A957,koronahun!$A:$AM,20,FALSE),"")</f>
        <v/>
      </c>
      <c r="U957" t="str">
        <f>IFERROR(VLOOKUP($A957,koronahun!$A:$AM,21,FALSE),"")</f>
        <v/>
      </c>
      <c r="V957" s="13" t="str">
        <f>IFERROR(VLOOKUP($A957,koronahun!$A:$AM,22,FALSE),"")</f>
        <v/>
      </c>
      <c r="W957" t="str">
        <f>IFERROR(VLOOKUP($A957,koronahun!$A:$AM,23,FALSE),"")</f>
        <v/>
      </c>
      <c r="X957" t="str">
        <f>IFERROR(VLOOKUP($A957,koronahun!$A:$AM,24,FALSE),"")</f>
        <v/>
      </c>
      <c r="Y957" s="14" t="str">
        <f>IFERROR(VLOOKUP($A957,koronahun!$A:$AM,25,FALSE),"")</f>
        <v/>
      </c>
      <c r="Z957" s="14" t="str">
        <f>IFERROR(VLOOKUP($A957,koronahun!$A:$AM,26,FALSE),"")</f>
        <v/>
      </c>
      <c r="AA957" s="14" t="str">
        <f>IFERROR(VLOOKUP($A957,koronahun!$A:$AM,27,FALSE),"")</f>
        <v/>
      </c>
      <c r="AB957" s="14" t="str">
        <f>IFERROR(VLOOKUP($A957,koronahun!$A:$AM,28,FALSE),"")</f>
        <v/>
      </c>
      <c r="AC957" s="14" t="str">
        <f>IFERROR(VLOOKUP($A957,koronahun!$A:$AM,29,FALSE),"")</f>
        <v/>
      </c>
      <c r="AD957" s="14" t="str">
        <f>IFERROR(VLOOKUP($A957,koronahun!$A:$AM,30,FALSE),"")</f>
        <v/>
      </c>
      <c r="AE957" s="14" t="str">
        <f>IFERROR(VLOOKUP($A957,koronahun!$A:$AM,31,FALSE),"")</f>
        <v/>
      </c>
      <c r="AF957" s="13" t="str">
        <f>IFERROR(VLOOKUP($A957,koronahun!$A:$AM,32,FALSE),"")</f>
        <v/>
      </c>
      <c r="AG957" t="str">
        <f>IFERROR(VLOOKUP($A957,koronahun!$A:$AM,33,FALSE),"")</f>
        <v/>
      </c>
      <c r="AH957" t="str">
        <f>IFERROR(VLOOKUP($A957,koronahun!$A:$AM,34,FALSE),"")</f>
        <v/>
      </c>
      <c r="AI957" t="str">
        <f>IFERROR(VLOOKUP($A957,koronahun!$A:$AM,35,FALSE),"")</f>
        <v/>
      </c>
      <c r="AJ957" t="str">
        <f>IFERROR(VLOOKUP($A957,koronahun!$A:$AM,36,FALSE),"")</f>
        <v/>
      </c>
      <c r="AK957" t="str">
        <f>IFERROR(VLOOKUP($A957,koronahun!$A:$AM,37,FALSE),"")</f>
        <v/>
      </c>
      <c r="AL957" t="str">
        <f>IFERROR(VLOOKUP($A957,koronahun!$A:$AM,38,FALSE),"")</f>
        <v/>
      </c>
      <c r="AM957" s="14" t="str">
        <f>IFERROR(VLOOKUP($A957,koronahun!$A:$AM,39,FALSE),"")</f>
        <v/>
      </c>
      <c r="AN957" s="11">
        <f ca="1">IFERROR(__xludf.DUMMYFUNCTION("""COMPUTED_VALUE"""),44849)</f>
        <v>44849</v>
      </c>
      <c r="AO957" s="12">
        <f ca="1">IFERROR(VLOOKUP(AN957,koronahun!A:B,2,FALSE),"")</f>
        <v>0</v>
      </c>
      <c r="AP957" s="11">
        <f t="shared" ca="1" si="6"/>
        <v>44849</v>
      </c>
      <c r="AQ957" s="11"/>
      <c r="AR957" s="11"/>
      <c r="AS957" s="11"/>
      <c r="AT957" s="11"/>
    </row>
    <row r="958" spans="1:46" ht="13">
      <c r="A958" s="11"/>
      <c r="B958" t="str">
        <f>IFERROR(VLOOKUP($A958,koronahun!$A:$AM,2,FALSE),"")</f>
        <v/>
      </c>
      <c r="C958" t="str">
        <f>IFERROR(VLOOKUP($A958,koronahun!$A:$AM,3,FALSE),"")</f>
        <v/>
      </c>
      <c r="D958" t="str">
        <f>IFERROR(VLOOKUP($A958,koronahun!$A:$AM,4,FALSE),"")</f>
        <v/>
      </c>
      <c r="E958" t="str">
        <f>IFERROR(VLOOKUP($A958,koronahun!$A:$AM,5,FALSE),"")</f>
        <v/>
      </c>
      <c r="F958" t="str">
        <f>IFERROR(VLOOKUP($A958,koronahun!$A:$AM,6,FALSE),"")</f>
        <v/>
      </c>
      <c r="G958" s="12" t="str">
        <f>IFERROR(VLOOKUP($A958,koronahun!$A:$AM,7,FALSE),"")</f>
        <v/>
      </c>
      <c r="H958" t="str">
        <f>IFERROR(VLOOKUP($A958,koronahun!$A:$AM,8,FALSE),"")</f>
        <v/>
      </c>
      <c r="I958" s="13" t="str">
        <f>IFERROR(VLOOKUP($A958,koronahun!$A:$AM,9,FALSE),"")</f>
        <v/>
      </c>
      <c r="J958" s="13" t="str">
        <f>IFERROR(VLOOKUP($A958,koronahun!$A:$AM,10,FALSE),"")</f>
        <v/>
      </c>
      <c r="K958" s="13" t="str">
        <f>IFERROR(VLOOKUP($A958,koronahun!$A:$AM,11,FALSE),"")</f>
        <v/>
      </c>
      <c r="L958" t="str">
        <f>IFERROR(VLOOKUP($A958,koronahun!$A:$AM,12,FALSE),"")</f>
        <v/>
      </c>
      <c r="M958" s="13" t="str">
        <f>IFERROR(VLOOKUP($A958,koronahun!$A:$AM,13,FALSE),"")</f>
        <v/>
      </c>
      <c r="N958" s="13" t="str">
        <f>IFERROR(VLOOKUP($A958,koronahun!$A:$AM,14,FALSE),"")</f>
        <v/>
      </c>
      <c r="O958" t="str">
        <f>IFERROR(VLOOKUP($A958,koronahun!$A:$AM,15,FALSE),"")</f>
        <v/>
      </c>
      <c r="P958" t="str">
        <f>IFERROR(VLOOKUP($A958,koronahun!$A:$AM,16,FALSE),"")</f>
        <v/>
      </c>
      <c r="Q958" s="13" t="str">
        <f>IFERROR(VLOOKUP($A958,koronahun!$A:$AM,17,FALSE),"")</f>
        <v/>
      </c>
      <c r="R958" t="str">
        <f>IFERROR(VLOOKUP($A958,koronahun!$A:$AM,18,FALSE),"")</f>
        <v/>
      </c>
      <c r="S958" t="str">
        <f>IFERROR(VLOOKUP($A958,koronahun!$A:$AM,19,FALSE),"")</f>
        <v/>
      </c>
      <c r="T958" t="str">
        <f>IFERROR(VLOOKUP($A958,koronahun!$A:$AM,20,FALSE),"")</f>
        <v/>
      </c>
      <c r="U958" t="str">
        <f>IFERROR(VLOOKUP($A958,koronahun!$A:$AM,21,FALSE),"")</f>
        <v/>
      </c>
      <c r="V958" s="13" t="str">
        <f>IFERROR(VLOOKUP($A958,koronahun!$A:$AM,22,FALSE),"")</f>
        <v/>
      </c>
      <c r="W958" t="str">
        <f>IFERROR(VLOOKUP($A958,koronahun!$A:$AM,23,FALSE),"")</f>
        <v/>
      </c>
      <c r="X958" t="str">
        <f>IFERROR(VLOOKUP($A958,koronahun!$A:$AM,24,FALSE),"")</f>
        <v/>
      </c>
      <c r="Y958" s="14" t="str">
        <f>IFERROR(VLOOKUP($A958,koronahun!$A:$AM,25,FALSE),"")</f>
        <v/>
      </c>
      <c r="Z958" s="14" t="str">
        <f>IFERROR(VLOOKUP($A958,koronahun!$A:$AM,26,FALSE),"")</f>
        <v/>
      </c>
      <c r="AA958" s="14" t="str">
        <f>IFERROR(VLOOKUP($A958,koronahun!$A:$AM,27,FALSE),"")</f>
        <v/>
      </c>
      <c r="AB958" s="14" t="str">
        <f>IFERROR(VLOOKUP($A958,koronahun!$A:$AM,28,FALSE),"")</f>
        <v/>
      </c>
      <c r="AC958" s="14" t="str">
        <f>IFERROR(VLOOKUP($A958,koronahun!$A:$AM,29,FALSE),"")</f>
        <v/>
      </c>
      <c r="AD958" s="14" t="str">
        <f>IFERROR(VLOOKUP($A958,koronahun!$A:$AM,30,FALSE),"")</f>
        <v/>
      </c>
      <c r="AE958" s="14" t="str">
        <f>IFERROR(VLOOKUP($A958,koronahun!$A:$AM,31,FALSE),"")</f>
        <v/>
      </c>
      <c r="AF958" s="13" t="str">
        <f>IFERROR(VLOOKUP($A958,koronahun!$A:$AM,32,FALSE),"")</f>
        <v/>
      </c>
      <c r="AG958" t="str">
        <f>IFERROR(VLOOKUP($A958,koronahun!$A:$AM,33,FALSE),"")</f>
        <v/>
      </c>
      <c r="AH958" t="str">
        <f>IFERROR(VLOOKUP($A958,koronahun!$A:$AM,34,FALSE),"")</f>
        <v/>
      </c>
      <c r="AI958" t="str">
        <f>IFERROR(VLOOKUP($A958,koronahun!$A:$AM,35,FALSE),"")</f>
        <v/>
      </c>
      <c r="AJ958" t="str">
        <f>IFERROR(VLOOKUP($A958,koronahun!$A:$AM,36,FALSE),"")</f>
        <v/>
      </c>
      <c r="AK958" t="str">
        <f>IFERROR(VLOOKUP($A958,koronahun!$A:$AM,37,FALSE),"")</f>
        <v/>
      </c>
      <c r="AL958" t="str">
        <f>IFERROR(VLOOKUP($A958,koronahun!$A:$AM,38,FALSE),"")</f>
        <v/>
      </c>
      <c r="AM958" s="14" t="str">
        <f>IFERROR(VLOOKUP($A958,koronahun!$A:$AM,39,FALSE),"")</f>
        <v/>
      </c>
      <c r="AN958" s="11">
        <f ca="1">IFERROR(__xludf.DUMMYFUNCTION("""COMPUTED_VALUE"""),44850)</f>
        <v>44850</v>
      </c>
      <c r="AO958" s="12">
        <f ca="1">IFERROR(VLOOKUP(AN958,koronahun!A:B,2,FALSE),"")</f>
        <v>0</v>
      </c>
      <c r="AP958" s="11">
        <f t="shared" ca="1" si="6"/>
        <v>44850</v>
      </c>
      <c r="AQ958" s="11"/>
      <c r="AR958" s="11"/>
      <c r="AS958" s="11"/>
      <c r="AT958" s="11"/>
    </row>
    <row r="959" spans="1:46" ht="13">
      <c r="A959" s="11"/>
      <c r="B959" t="str">
        <f>IFERROR(VLOOKUP($A959,koronahun!$A:$AM,2,FALSE),"")</f>
        <v/>
      </c>
      <c r="C959" t="str">
        <f>IFERROR(VLOOKUP($A959,koronahun!$A:$AM,3,FALSE),"")</f>
        <v/>
      </c>
      <c r="D959" t="str">
        <f>IFERROR(VLOOKUP($A959,koronahun!$A:$AM,4,FALSE),"")</f>
        <v/>
      </c>
      <c r="E959" t="str">
        <f>IFERROR(VLOOKUP($A959,koronahun!$A:$AM,5,FALSE),"")</f>
        <v/>
      </c>
      <c r="F959" t="str">
        <f>IFERROR(VLOOKUP($A959,koronahun!$A:$AM,6,FALSE),"")</f>
        <v/>
      </c>
      <c r="G959" s="12" t="str">
        <f>IFERROR(VLOOKUP($A959,koronahun!$A:$AM,7,FALSE),"")</f>
        <v/>
      </c>
      <c r="H959" t="str">
        <f>IFERROR(VLOOKUP($A959,koronahun!$A:$AM,8,FALSE),"")</f>
        <v/>
      </c>
      <c r="I959" s="13" t="str">
        <f>IFERROR(VLOOKUP($A959,koronahun!$A:$AM,9,FALSE),"")</f>
        <v/>
      </c>
      <c r="J959" s="13" t="str">
        <f>IFERROR(VLOOKUP($A959,koronahun!$A:$AM,10,FALSE),"")</f>
        <v/>
      </c>
      <c r="K959" s="13" t="str">
        <f>IFERROR(VLOOKUP($A959,koronahun!$A:$AM,11,FALSE),"")</f>
        <v/>
      </c>
      <c r="L959" t="str">
        <f>IFERROR(VLOOKUP($A959,koronahun!$A:$AM,12,FALSE),"")</f>
        <v/>
      </c>
      <c r="M959" s="13" t="str">
        <f>IFERROR(VLOOKUP($A959,koronahun!$A:$AM,13,FALSE),"")</f>
        <v/>
      </c>
      <c r="N959" s="13" t="str">
        <f>IFERROR(VLOOKUP($A959,koronahun!$A:$AM,14,FALSE),"")</f>
        <v/>
      </c>
      <c r="O959" t="str">
        <f>IFERROR(VLOOKUP($A959,koronahun!$A:$AM,15,FALSE),"")</f>
        <v/>
      </c>
      <c r="P959" t="str">
        <f>IFERROR(VLOOKUP($A959,koronahun!$A:$AM,16,FALSE),"")</f>
        <v/>
      </c>
      <c r="Q959" s="13" t="str">
        <f>IFERROR(VLOOKUP($A959,koronahun!$A:$AM,17,FALSE),"")</f>
        <v/>
      </c>
      <c r="R959" t="str">
        <f>IFERROR(VLOOKUP($A959,koronahun!$A:$AM,18,FALSE),"")</f>
        <v/>
      </c>
      <c r="S959" t="str">
        <f>IFERROR(VLOOKUP($A959,koronahun!$A:$AM,19,FALSE),"")</f>
        <v/>
      </c>
      <c r="T959" t="str">
        <f>IFERROR(VLOOKUP($A959,koronahun!$A:$AM,20,FALSE),"")</f>
        <v/>
      </c>
      <c r="U959" t="str">
        <f>IFERROR(VLOOKUP($A959,koronahun!$A:$AM,21,FALSE),"")</f>
        <v/>
      </c>
      <c r="V959" s="13" t="str">
        <f>IFERROR(VLOOKUP($A959,koronahun!$A:$AM,22,FALSE),"")</f>
        <v/>
      </c>
      <c r="W959" t="str">
        <f>IFERROR(VLOOKUP($A959,koronahun!$A:$AM,23,FALSE),"")</f>
        <v/>
      </c>
      <c r="X959" t="str">
        <f>IFERROR(VLOOKUP($A959,koronahun!$A:$AM,24,FALSE),"")</f>
        <v/>
      </c>
      <c r="Y959" s="14" t="str">
        <f>IFERROR(VLOOKUP($A959,koronahun!$A:$AM,25,FALSE),"")</f>
        <v/>
      </c>
      <c r="Z959" s="14" t="str">
        <f>IFERROR(VLOOKUP($A959,koronahun!$A:$AM,26,FALSE),"")</f>
        <v/>
      </c>
      <c r="AA959" s="14" t="str">
        <f>IFERROR(VLOOKUP($A959,koronahun!$A:$AM,27,FALSE),"")</f>
        <v/>
      </c>
      <c r="AB959" s="14" t="str">
        <f>IFERROR(VLOOKUP($A959,koronahun!$A:$AM,28,FALSE),"")</f>
        <v/>
      </c>
      <c r="AC959" s="14" t="str">
        <f>IFERROR(VLOOKUP($A959,koronahun!$A:$AM,29,FALSE),"")</f>
        <v/>
      </c>
      <c r="AD959" s="14" t="str">
        <f>IFERROR(VLOOKUP($A959,koronahun!$A:$AM,30,FALSE),"")</f>
        <v/>
      </c>
      <c r="AE959" s="14" t="str">
        <f>IFERROR(VLOOKUP($A959,koronahun!$A:$AM,31,FALSE),"")</f>
        <v/>
      </c>
      <c r="AF959" s="13" t="str">
        <f>IFERROR(VLOOKUP($A959,koronahun!$A:$AM,32,FALSE),"")</f>
        <v/>
      </c>
      <c r="AG959" t="str">
        <f>IFERROR(VLOOKUP($A959,koronahun!$A:$AM,33,FALSE),"")</f>
        <v/>
      </c>
      <c r="AH959" t="str">
        <f>IFERROR(VLOOKUP($A959,koronahun!$A:$AM,34,FALSE),"")</f>
        <v/>
      </c>
      <c r="AI959" t="str">
        <f>IFERROR(VLOOKUP($A959,koronahun!$A:$AM,35,FALSE),"")</f>
        <v/>
      </c>
      <c r="AJ959" t="str">
        <f>IFERROR(VLOOKUP($A959,koronahun!$A:$AM,36,FALSE),"")</f>
        <v/>
      </c>
      <c r="AK959" t="str">
        <f>IFERROR(VLOOKUP($A959,koronahun!$A:$AM,37,FALSE),"")</f>
        <v/>
      </c>
      <c r="AL959" t="str">
        <f>IFERROR(VLOOKUP($A959,koronahun!$A:$AM,38,FALSE),"")</f>
        <v/>
      </c>
      <c r="AM959" s="14" t="str">
        <f>IFERROR(VLOOKUP($A959,koronahun!$A:$AM,39,FALSE),"")</f>
        <v/>
      </c>
      <c r="AN959" s="11">
        <f ca="1">IFERROR(__xludf.DUMMYFUNCTION("""COMPUTED_VALUE"""),44851)</f>
        <v>44851</v>
      </c>
      <c r="AO959" s="12">
        <f ca="1">IFERROR(VLOOKUP(AN959,koronahun!A:B,2,FALSE),"")</f>
        <v>0</v>
      </c>
      <c r="AP959" s="11">
        <f t="shared" ca="1" si="6"/>
        <v>44851</v>
      </c>
      <c r="AQ959" s="11"/>
      <c r="AR959" s="11"/>
      <c r="AS959" s="11"/>
      <c r="AT959" s="11"/>
    </row>
    <row r="960" spans="1:46" ht="13">
      <c r="A960" s="11"/>
      <c r="B960" t="str">
        <f>IFERROR(VLOOKUP($A960,koronahun!$A:$AM,2,FALSE),"")</f>
        <v/>
      </c>
      <c r="C960" t="str">
        <f>IFERROR(VLOOKUP($A960,koronahun!$A:$AM,3,FALSE),"")</f>
        <v/>
      </c>
      <c r="D960" t="str">
        <f>IFERROR(VLOOKUP($A960,koronahun!$A:$AM,4,FALSE),"")</f>
        <v/>
      </c>
      <c r="E960" t="str">
        <f>IFERROR(VLOOKUP($A960,koronahun!$A:$AM,5,FALSE),"")</f>
        <v/>
      </c>
      <c r="F960" t="str">
        <f>IFERROR(VLOOKUP($A960,koronahun!$A:$AM,6,FALSE),"")</f>
        <v/>
      </c>
      <c r="G960" s="12" t="str">
        <f>IFERROR(VLOOKUP($A960,koronahun!$A:$AM,7,FALSE),"")</f>
        <v/>
      </c>
      <c r="H960" t="str">
        <f>IFERROR(VLOOKUP($A960,koronahun!$A:$AM,8,FALSE),"")</f>
        <v/>
      </c>
      <c r="I960" s="13" t="str">
        <f>IFERROR(VLOOKUP($A960,koronahun!$A:$AM,9,FALSE),"")</f>
        <v/>
      </c>
      <c r="J960" s="13" t="str">
        <f>IFERROR(VLOOKUP($A960,koronahun!$A:$AM,10,FALSE),"")</f>
        <v/>
      </c>
      <c r="K960" s="13" t="str">
        <f>IFERROR(VLOOKUP($A960,koronahun!$A:$AM,11,FALSE),"")</f>
        <v/>
      </c>
      <c r="L960" t="str">
        <f>IFERROR(VLOOKUP($A960,koronahun!$A:$AM,12,FALSE),"")</f>
        <v/>
      </c>
      <c r="M960" s="13" t="str">
        <f>IFERROR(VLOOKUP($A960,koronahun!$A:$AM,13,FALSE),"")</f>
        <v/>
      </c>
      <c r="N960" s="13" t="str">
        <f>IFERROR(VLOOKUP($A960,koronahun!$A:$AM,14,FALSE),"")</f>
        <v/>
      </c>
      <c r="O960" t="str">
        <f>IFERROR(VLOOKUP($A960,koronahun!$A:$AM,15,FALSE),"")</f>
        <v/>
      </c>
      <c r="P960" t="str">
        <f>IFERROR(VLOOKUP($A960,koronahun!$A:$AM,16,FALSE),"")</f>
        <v/>
      </c>
      <c r="Q960" s="13" t="str">
        <f>IFERROR(VLOOKUP($A960,koronahun!$A:$AM,17,FALSE),"")</f>
        <v/>
      </c>
      <c r="R960" t="str">
        <f>IFERROR(VLOOKUP($A960,koronahun!$A:$AM,18,FALSE),"")</f>
        <v/>
      </c>
      <c r="S960" t="str">
        <f>IFERROR(VLOOKUP($A960,koronahun!$A:$AM,19,FALSE),"")</f>
        <v/>
      </c>
      <c r="T960" t="str">
        <f>IFERROR(VLOOKUP($A960,koronahun!$A:$AM,20,FALSE),"")</f>
        <v/>
      </c>
      <c r="U960" t="str">
        <f>IFERROR(VLOOKUP($A960,koronahun!$A:$AM,21,FALSE),"")</f>
        <v/>
      </c>
      <c r="V960" s="13" t="str">
        <f>IFERROR(VLOOKUP($A960,koronahun!$A:$AM,22,FALSE),"")</f>
        <v/>
      </c>
      <c r="W960" t="str">
        <f>IFERROR(VLOOKUP($A960,koronahun!$A:$AM,23,FALSE),"")</f>
        <v/>
      </c>
      <c r="X960" t="str">
        <f>IFERROR(VLOOKUP($A960,koronahun!$A:$AM,24,FALSE),"")</f>
        <v/>
      </c>
      <c r="Y960" s="14" t="str">
        <f>IFERROR(VLOOKUP($A960,koronahun!$A:$AM,25,FALSE),"")</f>
        <v/>
      </c>
      <c r="Z960" s="14" t="str">
        <f>IFERROR(VLOOKUP($A960,koronahun!$A:$AM,26,FALSE),"")</f>
        <v/>
      </c>
      <c r="AA960" s="14" t="str">
        <f>IFERROR(VLOOKUP($A960,koronahun!$A:$AM,27,FALSE),"")</f>
        <v/>
      </c>
      <c r="AB960" s="14" t="str">
        <f>IFERROR(VLOOKUP($A960,koronahun!$A:$AM,28,FALSE),"")</f>
        <v/>
      </c>
      <c r="AC960" s="14" t="str">
        <f>IFERROR(VLOOKUP($A960,koronahun!$A:$AM,29,FALSE),"")</f>
        <v/>
      </c>
      <c r="AD960" s="14" t="str">
        <f>IFERROR(VLOOKUP($A960,koronahun!$A:$AM,30,FALSE),"")</f>
        <v/>
      </c>
      <c r="AE960" s="14" t="str">
        <f>IFERROR(VLOOKUP($A960,koronahun!$A:$AM,31,FALSE),"")</f>
        <v/>
      </c>
      <c r="AF960" s="13" t="str">
        <f>IFERROR(VLOOKUP($A960,koronahun!$A:$AM,32,FALSE),"")</f>
        <v/>
      </c>
      <c r="AG960" t="str">
        <f>IFERROR(VLOOKUP($A960,koronahun!$A:$AM,33,FALSE),"")</f>
        <v/>
      </c>
      <c r="AH960" t="str">
        <f>IFERROR(VLOOKUP($A960,koronahun!$A:$AM,34,FALSE),"")</f>
        <v/>
      </c>
      <c r="AI960" t="str">
        <f>IFERROR(VLOOKUP($A960,koronahun!$A:$AM,35,FALSE),"")</f>
        <v/>
      </c>
      <c r="AJ960" t="str">
        <f>IFERROR(VLOOKUP($A960,koronahun!$A:$AM,36,FALSE),"")</f>
        <v/>
      </c>
      <c r="AK960" t="str">
        <f>IFERROR(VLOOKUP($A960,koronahun!$A:$AM,37,FALSE),"")</f>
        <v/>
      </c>
      <c r="AL960" t="str">
        <f>IFERROR(VLOOKUP($A960,koronahun!$A:$AM,38,FALSE),"")</f>
        <v/>
      </c>
      <c r="AM960" s="14" t="str">
        <f>IFERROR(VLOOKUP($A960,koronahun!$A:$AM,39,FALSE),"")</f>
        <v/>
      </c>
      <c r="AN960" s="11">
        <f ca="1">IFERROR(__xludf.DUMMYFUNCTION("""COMPUTED_VALUE"""),44852)</f>
        <v>44852</v>
      </c>
      <c r="AO960" s="12">
        <f ca="1">IFERROR(VLOOKUP(AN960,koronahun!A:B,2,FALSE),"")</f>
        <v>0</v>
      </c>
      <c r="AP960" s="11">
        <f t="shared" ca="1" si="6"/>
        <v>44852</v>
      </c>
      <c r="AQ960" s="11"/>
      <c r="AR960" s="11"/>
      <c r="AS960" s="11"/>
      <c r="AT960" s="11"/>
    </row>
    <row r="961" spans="1:46" ht="13">
      <c r="A961" s="11"/>
      <c r="B961" t="str">
        <f>IFERROR(VLOOKUP($A961,koronahun!$A:$AM,2,FALSE),"")</f>
        <v/>
      </c>
      <c r="C961" t="str">
        <f>IFERROR(VLOOKUP($A961,koronahun!$A:$AM,3,FALSE),"")</f>
        <v/>
      </c>
      <c r="D961" t="str">
        <f>IFERROR(VLOOKUP($A961,koronahun!$A:$AM,4,FALSE),"")</f>
        <v/>
      </c>
      <c r="E961" t="str">
        <f>IFERROR(VLOOKUP($A961,koronahun!$A:$AM,5,FALSE),"")</f>
        <v/>
      </c>
      <c r="F961" t="str">
        <f>IFERROR(VLOOKUP($A961,koronahun!$A:$AM,6,FALSE),"")</f>
        <v/>
      </c>
      <c r="G961" s="12" t="str">
        <f>IFERROR(VLOOKUP($A961,koronahun!$A:$AM,7,FALSE),"")</f>
        <v/>
      </c>
      <c r="H961" t="str">
        <f>IFERROR(VLOOKUP($A961,koronahun!$A:$AM,8,FALSE),"")</f>
        <v/>
      </c>
      <c r="I961" s="13" t="str">
        <f>IFERROR(VLOOKUP($A961,koronahun!$A:$AM,9,FALSE),"")</f>
        <v/>
      </c>
      <c r="J961" s="13" t="str">
        <f>IFERROR(VLOOKUP($A961,koronahun!$A:$AM,10,FALSE),"")</f>
        <v/>
      </c>
      <c r="K961" s="13" t="str">
        <f>IFERROR(VLOOKUP($A961,koronahun!$A:$AM,11,FALSE),"")</f>
        <v/>
      </c>
      <c r="L961" t="str">
        <f>IFERROR(VLOOKUP($A961,koronahun!$A:$AM,12,FALSE),"")</f>
        <v/>
      </c>
      <c r="M961" s="13" t="str">
        <f>IFERROR(VLOOKUP($A961,koronahun!$A:$AM,13,FALSE),"")</f>
        <v/>
      </c>
      <c r="N961" s="13" t="str">
        <f>IFERROR(VLOOKUP($A961,koronahun!$A:$AM,14,FALSE),"")</f>
        <v/>
      </c>
      <c r="O961" t="str">
        <f>IFERROR(VLOOKUP($A961,koronahun!$A:$AM,15,FALSE),"")</f>
        <v/>
      </c>
      <c r="P961" t="str">
        <f>IFERROR(VLOOKUP($A961,koronahun!$A:$AM,16,FALSE),"")</f>
        <v/>
      </c>
      <c r="Q961" s="13" t="str">
        <f>IFERROR(VLOOKUP($A961,koronahun!$A:$AM,17,FALSE),"")</f>
        <v/>
      </c>
      <c r="R961" t="str">
        <f>IFERROR(VLOOKUP($A961,koronahun!$A:$AM,18,FALSE),"")</f>
        <v/>
      </c>
      <c r="S961" t="str">
        <f>IFERROR(VLOOKUP($A961,koronahun!$A:$AM,19,FALSE),"")</f>
        <v/>
      </c>
      <c r="T961" t="str">
        <f>IFERROR(VLOOKUP($A961,koronahun!$A:$AM,20,FALSE),"")</f>
        <v/>
      </c>
      <c r="U961" t="str">
        <f>IFERROR(VLOOKUP($A961,koronahun!$A:$AM,21,FALSE),"")</f>
        <v/>
      </c>
      <c r="V961" s="13" t="str">
        <f>IFERROR(VLOOKUP($A961,koronahun!$A:$AM,22,FALSE),"")</f>
        <v/>
      </c>
      <c r="W961" t="str">
        <f>IFERROR(VLOOKUP($A961,koronahun!$A:$AM,23,FALSE),"")</f>
        <v/>
      </c>
      <c r="X961" t="str">
        <f>IFERROR(VLOOKUP($A961,koronahun!$A:$AM,24,FALSE),"")</f>
        <v/>
      </c>
      <c r="Y961" s="14" t="str">
        <f>IFERROR(VLOOKUP($A961,koronahun!$A:$AM,25,FALSE),"")</f>
        <v/>
      </c>
      <c r="Z961" s="14" t="str">
        <f>IFERROR(VLOOKUP($A961,koronahun!$A:$AM,26,FALSE),"")</f>
        <v/>
      </c>
      <c r="AA961" s="14" t="str">
        <f>IFERROR(VLOOKUP($A961,koronahun!$A:$AM,27,FALSE),"")</f>
        <v/>
      </c>
      <c r="AB961" s="14" t="str">
        <f>IFERROR(VLOOKUP($A961,koronahun!$A:$AM,28,FALSE),"")</f>
        <v/>
      </c>
      <c r="AC961" s="14" t="str">
        <f>IFERROR(VLOOKUP($A961,koronahun!$A:$AM,29,FALSE),"")</f>
        <v/>
      </c>
      <c r="AD961" s="14" t="str">
        <f>IFERROR(VLOOKUP($A961,koronahun!$A:$AM,30,FALSE),"")</f>
        <v/>
      </c>
      <c r="AE961" s="14" t="str">
        <f>IFERROR(VLOOKUP($A961,koronahun!$A:$AM,31,FALSE),"")</f>
        <v/>
      </c>
      <c r="AF961" s="13" t="str">
        <f>IFERROR(VLOOKUP($A961,koronahun!$A:$AM,32,FALSE),"")</f>
        <v/>
      </c>
      <c r="AG961" t="str">
        <f>IFERROR(VLOOKUP($A961,koronahun!$A:$AM,33,FALSE),"")</f>
        <v/>
      </c>
      <c r="AH961" t="str">
        <f>IFERROR(VLOOKUP($A961,koronahun!$A:$AM,34,FALSE),"")</f>
        <v/>
      </c>
      <c r="AI961" t="str">
        <f>IFERROR(VLOOKUP($A961,koronahun!$A:$AM,35,FALSE),"")</f>
        <v/>
      </c>
      <c r="AJ961" t="str">
        <f>IFERROR(VLOOKUP($A961,koronahun!$A:$AM,36,FALSE),"")</f>
        <v/>
      </c>
      <c r="AK961" t="str">
        <f>IFERROR(VLOOKUP($A961,koronahun!$A:$AM,37,FALSE),"")</f>
        <v/>
      </c>
      <c r="AL961" t="str">
        <f>IFERROR(VLOOKUP($A961,koronahun!$A:$AM,38,FALSE),"")</f>
        <v/>
      </c>
      <c r="AM961" s="14" t="str">
        <f>IFERROR(VLOOKUP($A961,koronahun!$A:$AM,39,FALSE),"")</f>
        <v/>
      </c>
      <c r="AN961" s="11">
        <f ca="1">IFERROR(__xludf.DUMMYFUNCTION("""COMPUTED_VALUE"""),44853)</f>
        <v>44853</v>
      </c>
      <c r="AO961" s="12">
        <f ca="1">IFERROR(VLOOKUP(AN961,koronahun!A:B,2,FALSE),"")</f>
        <v>2132490</v>
      </c>
      <c r="AP961" s="11">
        <f t="shared" ca="1" si="6"/>
        <v>44853</v>
      </c>
      <c r="AQ961" s="11"/>
      <c r="AR961" s="11"/>
      <c r="AS961" s="11"/>
      <c r="AT961" s="11"/>
    </row>
    <row r="962" spans="1:46" ht="13">
      <c r="A962" s="11"/>
      <c r="B962" t="str">
        <f>IFERROR(VLOOKUP($A962,koronahun!$A:$AM,2,FALSE),"")</f>
        <v/>
      </c>
      <c r="C962" t="str">
        <f>IFERROR(VLOOKUP($A962,koronahun!$A:$AM,3,FALSE),"")</f>
        <v/>
      </c>
      <c r="D962" t="str">
        <f>IFERROR(VLOOKUP($A962,koronahun!$A:$AM,4,FALSE),"")</f>
        <v/>
      </c>
      <c r="E962" t="str">
        <f>IFERROR(VLOOKUP($A962,koronahun!$A:$AM,5,FALSE),"")</f>
        <v/>
      </c>
      <c r="F962" t="str">
        <f>IFERROR(VLOOKUP($A962,koronahun!$A:$AM,6,FALSE),"")</f>
        <v/>
      </c>
      <c r="G962" s="12" t="str">
        <f>IFERROR(VLOOKUP($A962,koronahun!$A:$AM,7,FALSE),"")</f>
        <v/>
      </c>
      <c r="H962" t="str">
        <f>IFERROR(VLOOKUP($A962,koronahun!$A:$AM,8,FALSE),"")</f>
        <v/>
      </c>
      <c r="I962" s="13" t="str">
        <f>IFERROR(VLOOKUP($A962,koronahun!$A:$AM,9,FALSE),"")</f>
        <v/>
      </c>
      <c r="J962" s="13" t="str">
        <f>IFERROR(VLOOKUP($A962,koronahun!$A:$AM,10,FALSE),"")</f>
        <v/>
      </c>
      <c r="K962" s="13" t="str">
        <f>IFERROR(VLOOKUP($A962,koronahun!$A:$AM,11,FALSE),"")</f>
        <v/>
      </c>
      <c r="L962" t="str">
        <f>IFERROR(VLOOKUP($A962,koronahun!$A:$AM,12,FALSE),"")</f>
        <v/>
      </c>
      <c r="M962" s="13" t="str">
        <f>IFERROR(VLOOKUP($A962,koronahun!$A:$AM,13,FALSE),"")</f>
        <v/>
      </c>
      <c r="N962" s="13" t="str">
        <f>IFERROR(VLOOKUP($A962,koronahun!$A:$AM,14,FALSE),"")</f>
        <v/>
      </c>
      <c r="O962" t="str">
        <f>IFERROR(VLOOKUP($A962,koronahun!$A:$AM,15,FALSE),"")</f>
        <v/>
      </c>
      <c r="P962" t="str">
        <f>IFERROR(VLOOKUP($A962,koronahun!$A:$AM,16,FALSE),"")</f>
        <v/>
      </c>
      <c r="Q962" s="13" t="str">
        <f>IFERROR(VLOOKUP($A962,koronahun!$A:$AM,17,FALSE),"")</f>
        <v/>
      </c>
      <c r="R962" t="str">
        <f>IFERROR(VLOOKUP($A962,koronahun!$A:$AM,18,FALSE),"")</f>
        <v/>
      </c>
      <c r="S962" t="str">
        <f>IFERROR(VLOOKUP($A962,koronahun!$A:$AM,19,FALSE),"")</f>
        <v/>
      </c>
      <c r="T962" t="str">
        <f>IFERROR(VLOOKUP($A962,koronahun!$A:$AM,20,FALSE),"")</f>
        <v/>
      </c>
      <c r="U962" t="str">
        <f>IFERROR(VLOOKUP($A962,koronahun!$A:$AM,21,FALSE),"")</f>
        <v/>
      </c>
      <c r="V962" s="13" t="str">
        <f>IFERROR(VLOOKUP($A962,koronahun!$A:$AM,22,FALSE),"")</f>
        <v/>
      </c>
      <c r="W962" t="str">
        <f>IFERROR(VLOOKUP($A962,koronahun!$A:$AM,23,FALSE),"")</f>
        <v/>
      </c>
      <c r="X962" t="str">
        <f>IFERROR(VLOOKUP($A962,koronahun!$A:$AM,24,FALSE),"")</f>
        <v/>
      </c>
      <c r="Y962" s="14" t="str">
        <f>IFERROR(VLOOKUP($A962,koronahun!$A:$AM,25,FALSE),"")</f>
        <v/>
      </c>
      <c r="Z962" s="14" t="str">
        <f>IFERROR(VLOOKUP($A962,koronahun!$A:$AM,26,FALSE),"")</f>
        <v/>
      </c>
      <c r="AA962" s="14" t="str">
        <f>IFERROR(VLOOKUP($A962,koronahun!$A:$AM,27,FALSE),"")</f>
        <v/>
      </c>
      <c r="AB962" s="14" t="str">
        <f>IFERROR(VLOOKUP($A962,koronahun!$A:$AM,28,FALSE),"")</f>
        <v/>
      </c>
      <c r="AC962" s="14" t="str">
        <f>IFERROR(VLOOKUP($A962,koronahun!$A:$AM,29,FALSE),"")</f>
        <v/>
      </c>
      <c r="AD962" s="14" t="str">
        <f>IFERROR(VLOOKUP($A962,koronahun!$A:$AM,30,FALSE),"")</f>
        <v/>
      </c>
      <c r="AE962" s="14" t="str">
        <f>IFERROR(VLOOKUP($A962,koronahun!$A:$AM,31,FALSE),"")</f>
        <v/>
      </c>
      <c r="AF962" s="13" t="str">
        <f>IFERROR(VLOOKUP($A962,koronahun!$A:$AM,32,FALSE),"")</f>
        <v/>
      </c>
      <c r="AG962" t="str">
        <f>IFERROR(VLOOKUP($A962,koronahun!$A:$AM,33,FALSE),"")</f>
        <v/>
      </c>
      <c r="AH962" t="str">
        <f>IFERROR(VLOOKUP($A962,koronahun!$A:$AM,34,FALSE),"")</f>
        <v/>
      </c>
      <c r="AI962" t="str">
        <f>IFERROR(VLOOKUP($A962,koronahun!$A:$AM,35,FALSE),"")</f>
        <v/>
      </c>
      <c r="AJ962" t="str">
        <f>IFERROR(VLOOKUP($A962,koronahun!$A:$AM,36,FALSE),"")</f>
        <v/>
      </c>
      <c r="AK962" t="str">
        <f>IFERROR(VLOOKUP($A962,koronahun!$A:$AM,37,FALSE),"")</f>
        <v/>
      </c>
      <c r="AL962" t="str">
        <f>IFERROR(VLOOKUP($A962,koronahun!$A:$AM,38,FALSE),"")</f>
        <v/>
      </c>
      <c r="AM962" s="14" t="str">
        <f>IFERROR(VLOOKUP($A962,koronahun!$A:$AM,39,FALSE),"")</f>
        <v/>
      </c>
      <c r="AN962" s="11">
        <f ca="1">IFERROR(__xludf.DUMMYFUNCTION("""COMPUTED_VALUE"""),44854)</f>
        <v>44854</v>
      </c>
      <c r="AO962" s="12">
        <f ca="1">IFERROR(VLOOKUP(AN962,koronahun!A:B,2,FALSE),"")</f>
        <v>0</v>
      </c>
      <c r="AP962" s="11">
        <f t="shared" ca="1" si="6"/>
        <v>44854</v>
      </c>
      <c r="AQ962" s="11"/>
      <c r="AR962" s="11"/>
      <c r="AS962" s="11"/>
      <c r="AT962" s="11"/>
    </row>
    <row r="963" spans="1:46" ht="13">
      <c r="A963" s="11"/>
      <c r="B963" t="str">
        <f>IFERROR(VLOOKUP($A963,koronahun!$A:$AM,2,FALSE),"")</f>
        <v/>
      </c>
      <c r="C963" t="str">
        <f>IFERROR(VLOOKUP($A963,koronahun!$A:$AM,3,FALSE),"")</f>
        <v/>
      </c>
      <c r="D963" t="str">
        <f>IFERROR(VLOOKUP($A963,koronahun!$A:$AM,4,FALSE),"")</f>
        <v/>
      </c>
      <c r="E963" t="str">
        <f>IFERROR(VLOOKUP($A963,koronahun!$A:$AM,5,FALSE),"")</f>
        <v/>
      </c>
      <c r="F963" t="str">
        <f>IFERROR(VLOOKUP($A963,koronahun!$A:$AM,6,FALSE),"")</f>
        <v/>
      </c>
      <c r="G963" s="12" t="str">
        <f>IFERROR(VLOOKUP($A963,koronahun!$A:$AM,7,FALSE),"")</f>
        <v/>
      </c>
      <c r="H963" t="str">
        <f>IFERROR(VLOOKUP($A963,koronahun!$A:$AM,8,FALSE),"")</f>
        <v/>
      </c>
      <c r="I963" s="13" t="str">
        <f>IFERROR(VLOOKUP($A963,koronahun!$A:$AM,9,FALSE),"")</f>
        <v/>
      </c>
      <c r="J963" s="13" t="str">
        <f>IFERROR(VLOOKUP($A963,koronahun!$A:$AM,10,FALSE),"")</f>
        <v/>
      </c>
      <c r="K963" s="13" t="str">
        <f>IFERROR(VLOOKUP($A963,koronahun!$A:$AM,11,FALSE),"")</f>
        <v/>
      </c>
      <c r="L963" t="str">
        <f>IFERROR(VLOOKUP($A963,koronahun!$A:$AM,12,FALSE),"")</f>
        <v/>
      </c>
      <c r="M963" s="13" t="str">
        <f>IFERROR(VLOOKUP($A963,koronahun!$A:$AM,13,FALSE),"")</f>
        <v/>
      </c>
      <c r="N963" s="13" t="str">
        <f>IFERROR(VLOOKUP($A963,koronahun!$A:$AM,14,FALSE),"")</f>
        <v/>
      </c>
      <c r="O963" t="str">
        <f>IFERROR(VLOOKUP($A963,koronahun!$A:$AM,15,FALSE),"")</f>
        <v/>
      </c>
      <c r="P963" t="str">
        <f>IFERROR(VLOOKUP($A963,koronahun!$A:$AM,16,FALSE),"")</f>
        <v/>
      </c>
      <c r="Q963" s="13" t="str">
        <f>IFERROR(VLOOKUP($A963,koronahun!$A:$AM,17,FALSE),"")</f>
        <v/>
      </c>
      <c r="R963" t="str">
        <f>IFERROR(VLOOKUP($A963,koronahun!$A:$AM,18,FALSE),"")</f>
        <v/>
      </c>
      <c r="S963" t="str">
        <f>IFERROR(VLOOKUP($A963,koronahun!$A:$AM,19,FALSE),"")</f>
        <v/>
      </c>
      <c r="T963" t="str">
        <f>IFERROR(VLOOKUP($A963,koronahun!$A:$AM,20,FALSE),"")</f>
        <v/>
      </c>
      <c r="U963" t="str">
        <f>IFERROR(VLOOKUP($A963,koronahun!$A:$AM,21,FALSE),"")</f>
        <v/>
      </c>
      <c r="V963" s="13" t="str">
        <f>IFERROR(VLOOKUP($A963,koronahun!$A:$AM,22,FALSE),"")</f>
        <v/>
      </c>
      <c r="W963" t="str">
        <f>IFERROR(VLOOKUP($A963,koronahun!$A:$AM,23,FALSE),"")</f>
        <v/>
      </c>
      <c r="X963" t="str">
        <f>IFERROR(VLOOKUP($A963,koronahun!$A:$AM,24,FALSE),"")</f>
        <v/>
      </c>
      <c r="Y963" s="14" t="str">
        <f>IFERROR(VLOOKUP($A963,koronahun!$A:$AM,25,FALSE),"")</f>
        <v/>
      </c>
      <c r="Z963" s="14" t="str">
        <f>IFERROR(VLOOKUP($A963,koronahun!$A:$AM,26,FALSE),"")</f>
        <v/>
      </c>
      <c r="AA963" s="14" t="str">
        <f>IFERROR(VLOOKUP($A963,koronahun!$A:$AM,27,FALSE),"")</f>
        <v/>
      </c>
      <c r="AB963" s="14" t="str">
        <f>IFERROR(VLOOKUP($A963,koronahun!$A:$AM,28,FALSE),"")</f>
        <v/>
      </c>
      <c r="AC963" s="14" t="str">
        <f>IFERROR(VLOOKUP($A963,koronahun!$A:$AM,29,FALSE),"")</f>
        <v/>
      </c>
      <c r="AD963" s="14" t="str">
        <f>IFERROR(VLOOKUP($A963,koronahun!$A:$AM,30,FALSE),"")</f>
        <v/>
      </c>
      <c r="AE963" s="14" t="str">
        <f>IFERROR(VLOOKUP($A963,koronahun!$A:$AM,31,FALSE),"")</f>
        <v/>
      </c>
      <c r="AF963" s="13" t="str">
        <f>IFERROR(VLOOKUP($A963,koronahun!$A:$AM,32,FALSE),"")</f>
        <v/>
      </c>
      <c r="AG963" t="str">
        <f>IFERROR(VLOOKUP($A963,koronahun!$A:$AM,33,FALSE),"")</f>
        <v/>
      </c>
      <c r="AH963" t="str">
        <f>IFERROR(VLOOKUP($A963,koronahun!$A:$AM,34,FALSE),"")</f>
        <v/>
      </c>
      <c r="AI963" t="str">
        <f>IFERROR(VLOOKUP($A963,koronahun!$A:$AM,35,FALSE),"")</f>
        <v/>
      </c>
      <c r="AJ963" t="str">
        <f>IFERROR(VLOOKUP($A963,koronahun!$A:$AM,36,FALSE),"")</f>
        <v/>
      </c>
      <c r="AK963" t="str">
        <f>IFERROR(VLOOKUP($A963,koronahun!$A:$AM,37,FALSE),"")</f>
        <v/>
      </c>
      <c r="AL963" t="str">
        <f>IFERROR(VLOOKUP($A963,koronahun!$A:$AM,38,FALSE),"")</f>
        <v/>
      </c>
      <c r="AM963" s="14" t="str">
        <f>IFERROR(VLOOKUP($A963,koronahun!$A:$AM,39,FALSE),"")</f>
        <v/>
      </c>
      <c r="AN963" s="11">
        <f ca="1">IFERROR(__xludf.DUMMYFUNCTION("""COMPUTED_VALUE"""),44855)</f>
        <v>44855</v>
      </c>
      <c r="AO963" s="12">
        <f ca="1">IFERROR(VLOOKUP(AN963,koronahun!A:B,2,FALSE),"")</f>
        <v>0</v>
      </c>
      <c r="AP963" s="11">
        <f t="shared" ca="1" si="6"/>
        <v>44855</v>
      </c>
      <c r="AQ963" s="11"/>
      <c r="AR963" s="11"/>
      <c r="AS963" s="11"/>
      <c r="AT963" s="11"/>
    </row>
    <row r="964" spans="1:46" ht="13">
      <c r="A964" s="11"/>
      <c r="B964" t="str">
        <f>IFERROR(VLOOKUP($A964,koronahun!$A:$AM,2,FALSE),"")</f>
        <v/>
      </c>
      <c r="C964" t="str">
        <f>IFERROR(VLOOKUP($A964,koronahun!$A:$AM,3,FALSE),"")</f>
        <v/>
      </c>
      <c r="D964" t="str">
        <f>IFERROR(VLOOKUP($A964,koronahun!$A:$AM,4,FALSE),"")</f>
        <v/>
      </c>
      <c r="E964" t="str">
        <f>IFERROR(VLOOKUP($A964,koronahun!$A:$AM,5,FALSE),"")</f>
        <v/>
      </c>
      <c r="F964" t="str">
        <f>IFERROR(VLOOKUP($A964,koronahun!$A:$AM,6,FALSE),"")</f>
        <v/>
      </c>
      <c r="G964" s="12" t="str">
        <f>IFERROR(VLOOKUP($A964,koronahun!$A:$AM,7,FALSE),"")</f>
        <v/>
      </c>
      <c r="H964" t="str">
        <f>IFERROR(VLOOKUP($A964,koronahun!$A:$AM,8,FALSE),"")</f>
        <v/>
      </c>
      <c r="I964" s="13" t="str">
        <f>IFERROR(VLOOKUP($A964,koronahun!$A:$AM,9,FALSE),"")</f>
        <v/>
      </c>
      <c r="J964" s="13" t="str">
        <f>IFERROR(VLOOKUP($A964,koronahun!$A:$AM,10,FALSE),"")</f>
        <v/>
      </c>
      <c r="K964" s="13" t="str">
        <f>IFERROR(VLOOKUP($A964,koronahun!$A:$AM,11,FALSE),"")</f>
        <v/>
      </c>
      <c r="L964" t="str">
        <f>IFERROR(VLOOKUP($A964,koronahun!$A:$AM,12,FALSE),"")</f>
        <v/>
      </c>
      <c r="M964" s="13" t="str">
        <f>IFERROR(VLOOKUP($A964,koronahun!$A:$AM,13,FALSE),"")</f>
        <v/>
      </c>
      <c r="N964" s="13" t="str">
        <f>IFERROR(VLOOKUP($A964,koronahun!$A:$AM,14,FALSE),"")</f>
        <v/>
      </c>
      <c r="O964" t="str">
        <f>IFERROR(VLOOKUP($A964,koronahun!$A:$AM,15,FALSE),"")</f>
        <v/>
      </c>
      <c r="P964" t="str">
        <f>IFERROR(VLOOKUP($A964,koronahun!$A:$AM,16,FALSE),"")</f>
        <v/>
      </c>
      <c r="Q964" s="13" t="str">
        <f>IFERROR(VLOOKUP($A964,koronahun!$A:$AM,17,FALSE),"")</f>
        <v/>
      </c>
      <c r="R964" t="str">
        <f>IFERROR(VLOOKUP($A964,koronahun!$A:$AM,18,FALSE),"")</f>
        <v/>
      </c>
      <c r="S964" t="str">
        <f>IFERROR(VLOOKUP($A964,koronahun!$A:$AM,19,FALSE),"")</f>
        <v/>
      </c>
      <c r="T964" t="str">
        <f>IFERROR(VLOOKUP($A964,koronahun!$A:$AM,20,FALSE),"")</f>
        <v/>
      </c>
      <c r="U964" t="str">
        <f>IFERROR(VLOOKUP($A964,koronahun!$A:$AM,21,FALSE),"")</f>
        <v/>
      </c>
      <c r="V964" s="13" t="str">
        <f>IFERROR(VLOOKUP($A964,koronahun!$A:$AM,22,FALSE),"")</f>
        <v/>
      </c>
      <c r="W964" t="str">
        <f>IFERROR(VLOOKUP($A964,koronahun!$A:$AM,23,FALSE),"")</f>
        <v/>
      </c>
      <c r="X964" t="str">
        <f>IFERROR(VLOOKUP($A964,koronahun!$A:$AM,24,FALSE),"")</f>
        <v/>
      </c>
      <c r="Y964" s="14" t="str">
        <f>IFERROR(VLOOKUP($A964,koronahun!$A:$AM,25,FALSE),"")</f>
        <v/>
      </c>
      <c r="Z964" s="14" t="str">
        <f>IFERROR(VLOOKUP($A964,koronahun!$A:$AM,26,FALSE),"")</f>
        <v/>
      </c>
      <c r="AA964" s="14" t="str">
        <f>IFERROR(VLOOKUP($A964,koronahun!$A:$AM,27,FALSE),"")</f>
        <v/>
      </c>
      <c r="AB964" s="14" t="str">
        <f>IFERROR(VLOOKUP($A964,koronahun!$A:$AM,28,FALSE),"")</f>
        <v/>
      </c>
      <c r="AC964" s="14" t="str">
        <f>IFERROR(VLOOKUP($A964,koronahun!$A:$AM,29,FALSE),"")</f>
        <v/>
      </c>
      <c r="AD964" s="14" t="str">
        <f>IFERROR(VLOOKUP($A964,koronahun!$A:$AM,30,FALSE),"")</f>
        <v/>
      </c>
      <c r="AE964" s="14" t="str">
        <f>IFERROR(VLOOKUP($A964,koronahun!$A:$AM,31,FALSE),"")</f>
        <v/>
      </c>
      <c r="AF964" s="13" t="str">
        <f>IFERROR(VLOOKUP($A964,koronahun!$A:$AM,32,FALSE),"")</f>
        <v/>
      </c>
      <c r="AG964" t="str">
        <f>IFERROR(VLOOKUP($A964,koronahun!$A:$AM,33,FALSE),"")</f>
        <v/>
      </c>
      <c r="AH964" t="str">
        <f>IFERROR(VLOOKUP($A964,koronahun!$A:$AM,34,FALSE),"")</f>
        <v/>
      </c>
      <c r="AI964" t="str">
        <f>IFERROR(VLOOKUP($A964,koronahun!$A:$AM,35,FALSE),"")</f>
        <v/>
      </c>
      <c r="AJ964" t="str">
        <f>IFERROR(VLOOKUP($A964,koronahun!$A:$AM,36,FALSE),"")</f>
        <v/>
      </c>
      <c r="AK964" t="str">
        <f>IFERROR(VLOOKUP($A964,koronahun!$A:$AM,37,FALSE),"")</f>
        <v/>
      </c>
      <c r="AL964" t="str">
        <f>IFERROR(VLOOKUP($A964,koronahun!$A:$AM,38,FALSE),"")</f>
        <v/>
      </c>
      <c r="AM964" s="14" t="str">
        <f>IFERROR(VLOOKUP($A964,koronahun!$A:$AM,39,FALSE),"")</f>
        <v/>
      </c>
      <c r="AN964" s="11">
        <f ca="1">IFERROR(__xludf.DUMMYFUNCTION("""COMPUTED_VALUE"""),44856)</f>
        <v>44856</v>
      </c>
      <c r="AO964" s="12">
        <f ca="1">IFERROR(VLOOKUP(AN964,koronahun!A:B,2,FALSE),"")</f>
        <v>0</v>
      </c>
      <c r="AP964" s="11">
        <f t="shared" ca="1" si="6"/>
        <v>44856</v>
      </c>
      <c r="AQ964" s="11"/>
      <c r="AR964" s="11"/>
      <c r="AS964" s="11"/>
      <c r="AT964" s="11"/>
    </row>
    <row r="965" spans="1:46" ht="13">
      <c r="A965" s="11"/>
      <c r="B965" t="str">
        <f>IFERROR(VLOOKUP($A965,koronahun!$A:$AM,2,FALSE),"")</f>
        <v/>
      </c>
      <c r="C965" t="str">
        <f>IFERROR(VLOOKUP($A965,koronahun!$A:$AM,3,FALSE),"")</f>
        <v/>
      </c>
      <c r="D965" t="str">
        <f>IFERROR(VLOOKUP($A965,koronahun!$A:$AM,4,FALSE),"")</f>
        <v/>
      </c>
      <c r="E965" t="str">
        <f>IFERROR(VLOOKUP($A965,koronahun!$A:$AM,5,FALSE),"")</f>
        <v/>
      </c>
      <c r="F965" t="str">
        <f>IFERROR(VLOOKUP($A965,koronahun!$A:$AM,6,FALSE),"")</f>
        <v/>
      </c>
      <c r="G965" s="12" t="str">
        <f>IFERROR(VLOOKUP($A965,koronahun!$A:$AM,7,FALSE),"")</f>
        <v/>
      </c>
      <c r="H965" t="str">
        <f>IFERROR(VLOOKUP($A965,koronahun!$A:$AM,8,FALSE),"")</f>
        <v/>
      </c>
      <c r="I965" s="13" t="str">
        <f>IFERROR(VLOOKUP($A965,koronahun!$A:$AM,9,FALSE),"")</f>
        <v/>
      </c>
      <c r="J965" s="13" t="str">
        <f>IFERROR(VLOOKUP($A965,koronahun!$A:$AM,10,FALSE),"")</f>
        <v/>
      </c>
      <c r="K965" s="13" t="str">
        <f>IFERROR(VLOOKUP($A965,koronahun!$A:$AM,11,FALSE),"")</f>
        <v/>
      </c>
      <c r="L965" t="str">
        <f>IFERROR(VLOOKUP($A965,koronahun!$A:$AM,12,FALSE),"")</f>
        <v/>
      </c>
      <c r="M965" s="13" t="str">
        <f>IFERROR(VLOOKUP($A965,koronahun!$A:$AM,13,FALSE),"")</f>
        <v/>
      </c>
      <c r="N965" s="13" t="str">
        <f>IFERROR(VLOOKUP($A965,koronahun!$A:$AM,14,FALSE),"")</f>
        <v/>
      </c>
      <c r="O965" t="str">
        <f>IFERROR(VLOOKUP($A965,koronahun!$A:$AM,15,FALSE),"")</f>
        <v/>
      </c>
      <c r="P965" t="str">
        <f>IFERROR(VLOOKUP($A965,koronahun!$A:$AM,16,FALSE),"")</f>
        <v/>
      </c>
      <c r="Q965" s="13" t="str">
        <f>IFERROR(VLOOKUP($A965,koronahun!$A:$AM,17,FALSE),"")</f>
        <v/>
      </c>
      <c r="R965" t="str">
        <f>IFERROR(VLOOKUP($A965,koronahun!$A:$AM,18,FALSE),"")</f>
        <v/>
      </c>
      <c r="S965" t="str">
        <f>IFERROR(VLOOKUP($A965,koronahun!$A:$AM,19,FALSE),"")</f>
        <v/>
      </c>
      <c r="T965" t="str">
        <f>IFERROR(VLOOKUP($A965,koronahun!$A:$AM,20,FALSE),"")</f>
        <v/>
      </c>
      <c r="U965" t="str">
        <f>IFERROR(VLOOKUP($A965,koronahun!$A:$AM,21,FALSE),"")</f>
        <v/>
      </c>
      <c r="V965" s="13" t="str">
        <f>IFERROR(VLOOKUP($A965,koronahun!$A:$AM,22,FALSE),"")</f>
        <v/>
      </c>
      <c r="W965" t="str">
        <f>IFERROR(VLOOKUP($A965,koronahun!$A:$AM,23,FALSE),"")</f>
        <v/>
      </c>
      <c r="X965" t="str">
        <f>IFERROR(VLOOKUP($A965,koronahun!$A:$AM,24,FALSE),"")</f>
        <v/>
      </c>
      <c r="Y965" s="14" t="str">
        <f>IFERROR(VLOOKUP($A965,koronahun!$A:$AM,25,FALSE),"")</f>
        <v/>
      </c>
      <c r="Z965" s="14" t="str">
        <f>IFERROR(VLOOKUP($A965,koronahun!$A:$AM,26,FALSE),"")</f>
        <v/>
      </c>
      <c r="AA965" s="14" t="str">
        <f>IFERROR(VLOOKUP($A965,koronahun!$A:$AM,27,FALSE),"")</f>
        <v/>
      </c>
      <c r="AB965" s="14" t="str">
        <f>IFERROR(VLOOKUP($A965,koronahun!$A:$AM,28,FALSE),"")</f>
        <v/>
      </c>
      <c r="AC965" s="14" t="str">
        <f>IFERROR(VLOOKUP($A965,koronahun!$A:$AM,29,FALSE),"")</f>
        <v/>
      </c>
      <c r="AD965" s="14" t="str">
        <f>IFERROR(VLOOKUP($A965,koronahun!$A:$AM,30,FALSE),"")</f>
        <v/>
      </c>
      <c r="AE965" s="14" t="str">
        <f>IFERROR(VLOOKUP($A965,koronahun!$A:$AM,31,FALSE),"")</f>
        <v/>
      </c>
      <c r="AF965" s="13" t="str">
        <f>IFERROR(VLOOKUP($A965,koronahun!$A:$AM,32,FALSE),"")</f>
        <v/>
      </c>
      <c r="AG965" t="str">
        <f>IFERROR(VLOOKUP($A965,koronahun!$A:$AM,33,FALSE),"")</f>
        <v/>
      </c>
      <c r="AH965" t="str">
        <f>IFERROR(VLOOKUP($A965,koronahun!$A:$AM,34,FALSE),"")</f>
        <v/>
      </c>
      <c r="AI965" t="str">
        <f>IFERROR(VLOOKUP($A965,koronahun!$A:$AM,35,FALSE),"")</f>
        <v/>
      </c>
      <c r="AJ965" t="str">
        <f>IFERROR(VLOOKUP($A965,koronahun!$A:$AM,36,FALSE),"")</f>
        <v/>
      </c>
      <c r="AK965" t="str">
        <f>IFERROR(VLOOKUP($A965,koronahun!$A:$AM,37,FALSE),"")</f>
        <v/>
      </c>
      <c r="AL965" t="str">
        <f>IFERROR(VLOOKUP($A965,koronahun!$A:$AM,38,FALSE),"")</f>
        <v/>
      </c>
      <c r="AM965" s="14" t="str">
        <f>IFERROR(VLOOKUP($A965,koronahun!$A:$AM,39,FALSE),"")</f>
        <v/>
      </c>
      <c r="AN965" s="11">
        <f ca="1">IFERROR(__xludf.DUMMYFUNCTION("""COMPUTED_VALUE"""),44857)</f>
        <v>44857</v>
      </c>
      <c r="AO965" s="12">
        <f ca="1">IFERROR(VLOOKUP(AN965,koronahun!A:B,2,FALSE),"")</f>
        <v>0</v>
      </c>
      <c r="AP965" s="11">
        <f t="shared" ca="1" si="6"/>
        <v>44857</v>
      </c>
      <c r="AQ965" s="11"/>
      <c r="AR965" s="11"/>
      <c r="AS965" s="11"/>
      <c r="AT965" s="11"/>
    </row>
    <row r="966" spans="1:46" ht="13">
      <c r="A966" s="11"/>
      <c r="B966" t="str">
        <f>IFERROR(VLOOKUP($A966,koronahun!$A:$AM,2,FALSE),"")</f>
        <v/>
      </c>
      <c r="C966" t="str">
        <f>IFERROR(VLOOKUP($A966,koronahun!$A:$AM,3,FALSE),"")</f>
        <v/>
      </c>
      <c r="D966" t="str">
        <f>IFERROR(VLOOKUP($A966,koronahun!$A:$AM,4,FALSE),"")</f>
        <v/>
      </c>
      <c r="E966" t="str">
        <f>IFERROR(VLOOKUP($A966,koronahun!$A:$AM,5,FALSE),"")</f>
        <v/>
      </c>
      <c r="F966" t="str">
        <f>IFERROR(VLOOKUP($A966,koronahun!$A:$AM,6,FALSE),"")</f>
        <v/>
      </c>
      <c r="G966" s="12" t="str">
        <f>IFERROR(VLOOKUP($A966,koronahun!$A:$AM,7,FALSE),"")</f>
        <v/>
      </c>
      <c r="H966" t="str">
        <f>IFERROR(VLOOKUP($A966,koronahun!$A:$AM,8,FALSE),"")</f>
        <v/>
      </c>
      <c r="I966" s="13" t="str">
        <f>IFERROR(VLOOKUP($A966,koronahun!$A:$AM,9,FALSE),"")</f>
        <v/>
      </c>
      <c r="J966" s="13" t="str">
        <f>IFERROR(VLOOKUP($A966,koronahun!$A:$AM,10,FALSE),"")</f>
        <v/>
      </c>
      <c r="K966" s="13" t="str">
        <f>IFERROR(VLOOKUP($A966,koronahun!$A:$AM,11,FALSE),"")</f>
        <v/>
      </c>
      <c r="L966" t="str">
        <f>IFERROR(VLOOKUP($A966,koronahun!$A:$AM,12,FALSE),"")</f>
        <v/>
      </c>
      <c r="M966" s="13" t="str">
        <f>IFERROR(VLOOKUP($A966,koronahun!$A:$AM,13,FALSE),"")</f>
        <v/>
      </c>
      <c r="N966" s="13" t="str">
        <f>IFERROR(VLOOKUP($A966,koronahun!$A:$AM,14,FALSE),"")</f>
        <v/>
      </c>
      <c r="O966" t="str">
        <f>IFERROR(VLOOKUP($A966,koronahun!$A:$AM,15,FALSE),"")</f>
        <v/>
      </c>
      <c r="P966" t="str">
        <f>IFERROR(VLOOKUP($A966,koronahun!$A:$AM,16,FALSE),"")</f>
        <v/>
      </c>
      <c r="Q966" s="13" t="str">
        <f>IFERROR(VLOOKUP($A966,koronahun!$A:$AM,17,FALSE),"")</f>
        <v/>
      </c>
      <c r="R966" t="str">
        <f>IFERROR(VLOOKUP($A966,koronahun!$A:$AM,18,FALSE),"")</f>
        <v/>
      </c>
      <c r="S966" t="str">
        <f>IFERROR(VLOOKUP($A966,koronahun!$A:$AM,19,FALSE),"")</f>
        <v/>
      </c>
      <c r="T966" t="str">
        <f>IFERROR(VLOOKUP($A966,koronahun!$A:$AM,20,FALSE),"")</f>
        <v/>
      </c>
      <c r="U966" t="str">
        <f>IFERROR(VLOOKUP($A966,koronahun!$A:$AM,21,FALSE),"")</f>
        <v/>
      </c>
      <c r="V966" s="13" t="str">
        <f>IFERROR(VLOOKUP($A966,koronahun!$A:$AM,22,FALSE),"")</f>
        <v/>
      </c>
      <c r="W966" t="str">
        <f>IFERROR(VLOOKUP($A966,koronahun!$A:$AM,23,FALSE),"")</f>
        <v/>
      </c>
      <c r="X966" t="str">
        <f>IFERROR(VLOOKUP($A966,koronahun!$A:$AM,24,FALSE),"")</f>
        <v/>
      </c>
      <c r="Y966" s="14" t="str">
        <f>IFERROR(VLOOKUP($A966,koronahun!$A:$AM,25,FALSE),"")</f>
        <v/>
      </c>
      <c r="Z966" s="14" t="str">
        <f>IFERROR(VLOOKUP($A966,koronahun!$A:$AM,26,FALSE),"")</f>
        <v/>
      </c>
      <c r="AA966" s="14" t="str">
        <f>IFERROR(VLOOKUP($A966,koronahun!$A:$AM,27,FALSE),"")</f>
        <v/>
      </c>
      <c r="AB966" s="14" t="str">
        <f>IFERROR(VLOOKUP($A966,koronahun!$A:$AM,28,FALSE),"")</f>
        <v/>
      </c>
      <c r="AC966" s="14" t="str">
        <f>IFERROR(VLOOKUP($A966,koronahun!$A:$AM,29,FALSE),"")</f>
        <v/>
      </c>
      <c r="AD966" s="14" t="str">
        <f>IFERROR(VLOOKUP($A966,koronahun!$A:$AM,30,FALSE),"")</f>
        <v/>
      </c>
      <c r="AE966" s="14" t="str">
        <f>IFERROR(VLOOKUP($A966,koronahun!$A:$AM,31,FALSE),"")</f>
        <v/>
      </c>
      <c r="AF966" s="13" t="str">
        <f>IFERROR(VLOOKUP($A966,koronahun!$A:$AM,32,FALSE),"")</f>
        <v/>
      </c>
      <c r="AG966" t="str">
        <f>IFERROR(VLOOKUP($A966,koronahun!$A:$AM,33,FALSE),"")</f>
        <v/>
      </c>
      <c r="AH966" t="str">
        <f>IFERROR(VLOOKUP($A966,koronahun!$A:$AM,34,FALSE),"")</f>
        <v/>
      </c>
      <c r="AI966" t="str">
        <f>IFERROR(VLOOKUP($A966,koronahun!$A:$AM,35,FALSE),"")</f>
        <v/>
      </c>
      <c r="AJ966" t="str">
        <f>IFERROR(VLOOKUP($A966,koronahun!$A:$AM,36,FALSE),"")</f>
        <v/>
      </c>
      <c r="AK966" t="str">
        <f>IFERROR(VLOOKUP($A966,koronahun!$A:$AM,37,FALSE),"")</f>
        <v/>
      </c>
      <c r="AL966" t="str">
        <f>IFERROR(VLOOKUP($A966,koronahun!$A:$AM,38,FALSE),"")</f>
        <v/>
      </c>
      <c r="AM966" s="14" t="str">
        <f>IFERROR(VLOOKUP($A966,koronahun!$A:$AM,39,FALSE),"")</f>
        <v/>
      </c>
      <c r="AN966" s="11">
        <f ca="1">IFERROR(__xludf.DUMMYFUNCTION("""COMPUTED_VALUE"""),44858)</f>
        <v>44858</v>
      </c>
      <c r="AO966" s="12">
        <f ca="1">IFERROR(VLOOKUP(AN966,koronahun!A:B,2,FALSE),"")</f>
        <v>0</v>
      </c>
      <c r="AP966" s="11">
        <f t="shared" ca="1" si="6"/>
        <v>44858</v>
      </c>
      <c r="AQ966" s="11"/>
      <c r="AR966" s="11"/>
      <c r="AS966" s="11"/>
      <c r="AT966" s="11"/>
    </row>
    <row r="967" spans="1:46" ht="13">
      <c r="A967" s="11"/>
      <c r="B967" t="str">
        <f>IFERROR(VLOOKUP($A967,koronahun!$A:$AM,2,FALSE),"")</f>
        <v/>
      </c>
      <c r="C967" t="str">
        <f>IFERROR(VLOOKUP($A967,koronahun!$A:$AM,3,FALSE),"")</f>
        <v/>
      </c>
      <c r="D967" t="str">
        <f>IFERROR(VLOOKUP($A967,koronahun!$A:$AM,4,FALSE),"")</f>
        <v/>
      </c>
      <c r="E967" t="str">
        <f>IFERROR(VLOOKUP($A967,koronahun!$A:$AM,5,FALSE),"")</f>
        <v/>
      </c>
      <c r="F967" t="str">
        <f>IFERROR(VLOOKUP($A967,koronahun!$A:$AM,6,FALSE),"")</f>
        <v/>
      </c>
      <c r="G967" s="12" t="str">
        <f>IFERROR(VLOOKUP($A967,koronahun!$A:$AM,7,FALSE),"")</f>
        <v/>
      </c>
      <c r="H967" t="str">
        <f>IFERROR(VLOOKUP($A967,koronahun!$A:$AM,8,FALSE),"")</f>
        <v/>
      </c>
      <c r="I967" s="13" t="str">
        <f>IFERROR(VLOOKUP($A967,koronahun!$A:$AM,9,FALSE),"")</f>
        <v/>
      </c>
      <c r="J967" s="13" t="str">
        <f>IFERROR(VLOOKUP($A967,koronahun!$A:$AM,10,FALSE),"")</f>
        <v/>
      </c>
      <c r="K967" s="13" t="str">
        <f>IFERROR(VLOOKUP($A967,koronahun!$A:$AM,11,FALSE),"")</f>
        <v/>
      </c>
      <c r="L967" t="str">
        <f>IFERROR(VLOOKUP($A967,koronahun!$A:$AM,12,FALSE),"")</f>
        <v/>
      </c>
      <c r="M967" s="13" t="str">
        <f>IFERROR(VLOOKUP($A967,koronahun!$A:$AM,13,FALSE),"")</f>
        <v/>
      </c>
      <c r="N967" s="13" t="str">
        <f>IFERROR(VLOOKUP($A967,koronahun!$A:$AM,14,FALSE),"")</f>
        <v/>
      </c>
      <c r="O967" t="str">
        <f>IFERROR(VLOOKUP($A967,koronahun!$A:$AM,15,FALSE),"")</f>
        <v/>
      </c>
      <c r="P967" t="str">
        <f>IFERROR(VLOOKUP($A967,koronahun!$A:$AM,16,FALSE),"")</f>
        <v/>
      </c>
      <c r="Q967" s="13" t="str">
        <f>IFERROR(VLOOKUP($A967,koronahun!$A:$AM,17,FALSE),"")</f>
        <v/>
      </c>
      <c r="R967" t="str">
        <f>IFERROR(VLOOKUP($A967,koronahun!$A:$AM,18,FALSE),"")</f>
        <v/>
      </c>
      <c r="S967" t="str">
        <f>IFERROR(VLOOKUP($A967,koronahun!$A:$AM,19,FALSE),"")</f>
        <v/>
      </c>
      <c r="T967" t="str">
        <f>IFERROR(VLOOKUP($A967,koronahun!$A:$AM,20,FALSE),"")</f>
        <v/>
      </c>
      <c r="U967" t="str">
        <f>IFERROR(VLOOKUP($A967,koronahun!$A:$AM,21,FALSE),"")</f>
        <v/>
      </c>
      <c r="V967" s="13" t="str">
        <f>IFERROR(VLOOKUP($A967,koronahun!$A:$AM,22,FALSE),"")</f>
        <v/>
      </c>
      <c r="W967" t="str">
        <f>IFERROR(VLOOKUP($A967,koronahun!$A:$AM,23,FALSE),"")</f>
        <v/>
      </c>
      <c r="X967" t="str">
        <f>IFERROR(VLOOKUP($A967,koronahun!$A:$AM,24,FALSE),"")</f>
        <v/>
      </c>
      <c r="Y967" s="14" t="str">
        <f>IFERROR(VLOOKUP($A967,koronahun!$A:$AM,25,FALSE),"")</f>
        <v/>
      </c>
      <c r="Z967" s="14" t="str">
        <f>IFERROR(VLOOKUP($A967,koronahun!$A:$AM,26,FALSE),"")</f>
        <v/>
      </c>
      <c r="AA967" s="14" t="str">
        <f>IFERROR(VLOOKUP($A967,koronahun!$A:$AM,27,FALSE),"")</f>
        <v/>
      </c>
      <c r="AB967" s="14" t="str">
        <f>IFERROR(VLOOKUP($A967,koronahun!$A:$AM,28,FALSE),"")</f>
        <v/>
      </c>
      <c r="AC967" s="14" t="str">
        <f>IFERROR(VLOOKUP($A967,koronahun!$A:$AM,29,FALSE),"")</f>
        <v/>
      </c>
      <c r="AD967" s="14" t="str">
        <f>IFERROR(VLOOKUP($A967,koronahun!$A:$AM,30,FALSE),"")</f>
        <v/>
      </c>
      <c r="AE967" s="14" t="str">
        <f>IFERROR(VLOOKUP($A967,koronahun!$A:$AM,31,FALSE),"")</f>
        <v/>
      </c>
      <c r="AF967" s="13" t="str">
        <f>IFERROR(VLOOKUP($A967,koronahun!$A:$AM,32,FALSE),"")</f>
        <v/>
      </c>
      <c r="AG967" t="str">
        <f>IFERROR(VLOOKUP($A967,koronahun!$A:$AM,33,FALSE),"")</f>
        <v/>
      </c>
      <c r="AH967" t="str">
        <f>IFERROR(VLOOKUP($A967,koronahun!$A:$AM,34,FALSE),"")</f>
        <v/>
      </c>
      <c r="AI967" t="str">
        <f>IFERROR(VLOOKUP($A967,koronahun!$A:$AM,35,FALSE),"")</f>
        <v/>
      </c>
      <c r="AJ967" t="str">
        <f>IFERROR(VLOOKUP($A967,koronahun!$A:$AM,36,FALSE),"")</f>
        <v/>
      </c>
      <c r="AK967" t="str">
        <f>IFERROR(VLOOKUP($A967,koronahun!$A:$AM,37,FALSE),"")</f>
        <v/>
      </c>
      <c r="AL967" t="str">
        <f>IFERROR(VLOOKUP($A967,koronahun!$A:$AM,38,FALSE),"")</f>
        <v/>
      </c>
      <c r="AM967" s="14" t="str">
        <f>IFERROR(VLOOKUP($A967,koronahun!$A:$AM,39,FALSE),"")</f>
        <v/>
      </c>
      <c r="AN967" s="11">
        <f ca="1">IFERROR(__xludf.DUMMYFUNCTION("""COMPUTED_VALUE"""),44859)</f>
        <v>44859</v>
      </c>
      <c r="AO967" s="12">
        <f ca="1">IFERROR(VLOOKUP(AN967,koronahun!A:B,2,FALSE),"")</f>
        <v>0</v>
      </c>
      <c r="AP967" s="11">
        <f t="shared" ca="1" si="6"/>
        <v>44859</v>
      </c>
      <c r="AQ967" s="11"/>
      <c r="AR967" s="11"/>
      <c r="AS967" s="11"/>
      <c r="AT967" s="11"/>
    </row>
    <row r="968" spans="1:46" ht="13">
      <c r="A968" s="11"/>
      <c r="B968" t="str">
        <f>IFERROR(VLOOKUP($A968,koronahun!$A:$AM,2,FALSE),"")</f>
        <v/>
      </c>
      <c r="C968" t="str">
        <f>IFERROR(VLOOKUP($A968,koronahun!$A:$AM,3,FALSE),"")</f>
        <v/>
      </c>
      <c r="D968" t="str">
        <f>IFERROR(VLOOKUP($A968,koronahun!$A:$AM,4,FALSE),"")</f>
        <v/>
      </c>
      <c r="E968" t="str">
        <f>IFERROR(VLOOKUP($A968,koronahun!$A:$AM,5,FALSE),"")</f>
        <v/>
      </c>
      <c r="F968" t="str">
        <f>IFERROR(VLOOKUP($A968,koronahun!$A:$AM,6,FALSE),"")</f>
        <v/>
      </c>
      <c r="G968" s="12" t="str">
        <f>IFERROR(VLOOKUP($A968,koronahun!$A:$AM,7,FALSE),"")</f>
        <v/>
      </c>
      <c r="H968" t="str">
        <f>IFERROR(VLOOKUP($A968,koronahun!$A:$AM,8,FALSE),"")</f>
        <v/>
      </c>
      <c r="I968" s="13" t="str">
        <f>IFERROR(VLOOKUP($A968,koronahun!$A:$AM,9,FALSE),"")</f>
        <v/>
      </c>
      <c r="J968" s="13" t="str">
        <f>IFERROR(VLOOKUP($A968,koronahun!$A:$AM,10,FALSE),"")</f>
        <v/>
      </c>
      <c r="K968" s="13" t="str">
        <f>IFERROR(VLOOKUP($A968,koronahun!$A:$AM,11,FALSE),"")</f>
        <v/>
      </c>
      <c r="L968" t="str">
        <f>IFERROR(VLOOKUP($A968,koronahun!$A:$AM,12,FALSE),"")</f>
        <v/>
      </c>
      <c r="M968" s="13" t="str">
        <f>IFERROR(VLOOKUP($A968,koronahun!$A:$AM,13,FALSE),"")</f>
        <v/>
      </c>
      <c r="N968" s="13" t="str">
        <f>IFERROR(VLOOKUP($A968,koronahun!$A:$AM,14,FALSE),"")</f>
        <v/>
      </c>
      <c r="O968" t="str">
        <f>IFERROR(VLOOKUP($A968,koronahun!$A:$AM,15,FALSE),"")</f>
        <v/>
      </c>
      <c r="P968" t="str">
        <f>IFERROR(VLOOKUP($A968,koronahun!$A:$AM,16,FALSE),"")</f>
        <v/>
      </c>
      <c r="Q968" s="13" t="str">
        <f>IFERROR(VLOOKUP($A968,koronahun!$A:$AM,17,FALSE),"")</f>
        <v/>
      </c>
      <c r="R968" t="str">
        <f>IFERROR(VLOOKUP($A968,koronahun!$A:$AM,18,FALSE),"")</f>
        <v/>
      </c>
      <c r="S968" t="str">
        <f>IFERROR(VLOOKUP($A968,koronahun!$A:$AM,19,FALSE),"")</f>
        <v/>
      </c>
      <c r="T968" t="str">
        <f>IFERROR(VLOOKUP($A968,koronahun!$A:$AM,20,FALSE),"")</f>
        <v/>
      </c>
      <c r="U968" t="str">
        <f>IFERROR(VLOOKUP($A968,koronahun!$A:$AM,21,FALSE),"")</f>
        <v/>
      </c>
      <c r="V968" s="13" t="str">
        <f>IFERROR(VLOOKUP($A968,koronahun!$A:$AM,22,FALSE),"")</f>
        <v/>
      </c>
      <c r="W968" t="str">
        <f>IFERROR(VLOOKUP($A968,koronahun!$A:$AM,23,FALSE),"")</f>
        <v/>
      </c>
      <c r="X968" t="str">
        <f>IFERROR(VLOOKUP($A968,koronahun!$A:$AM,24,FALSE),"")</f>
        <v/>
      </c>
      <c r="Y968" s="14" t="str">
        <f>IFERROR(VLOOKUP($A968,koronahun!$A:$AM,25,FALSE),"")</f>
        <v/>
      </c>
      <c r="Z968" s="14" t="str">
        <f>IFERROR(VLOOKUP($A968,koronahun!$A:$AM,26,FALSE),"")</f>
        <v/>
      </c>
      <c r="AA968" s="14" t="str">
        <f>IFERROR(VLOOKUP($A968,koronahun!$A:$AM,27,FALSE),"")</f>
        <v/>
      </c>
      <c r="AB968" s="14" t="str">
        <f>IFERROR(VLOOKUP($A968,koronahun!$A:$AM,28,FALSE),"")</f>
        <v/>
      </c>
      <c r="AC968" s="14" t="str">
        <f>IFERROR(VLOOKUP($A968,koronahun!$A:$AM,29,FALSE),"")</f>
        <v/>
      </c>
      <c r="AD968" s="14" t="str">
        <f>IFERROR(VLOOKUP($A968,koronahun!$A:$AM,30,FALSE),"")</f>
        <v/>
      </c>
      <c r="AE968" s="14" t="str">
        <f>IFERROR(VLOOKUP($A968,koronahun!$A:$AM,31,FALSE),"")</f>
        <v/>
      </c>
      <c r="AF968" s="13" t="str">
        <f>IFERROR(VLOOKUP($A968,koronahun!$A:$AM,32,FALSE),"")</f>
        <v/>
      </c>
      <c r="AG968" t="str">
        <f>IFERROR(VLOOKUP($A968,koronahun!$A:$AM,33,FALSE),"")</f>
        <v/>
      </c>
      <c r="AH968" t="str">
        <f>IFERROR(VLOOKUP($A968,koronahun!$A:$AM,34,FALSE),"")</f>
        <v/>
      </c>
      <c r="AI968" t="str">
        <f>IFERROR(VLOOKUP($A968,koronahun!$A:$AM,35,FALSE),"")</f>
        <v/>
      </c>
      <c r="AJ968" t="str">
        <f>IFERROR(VLOOKUP($A968,koronahun!$A:$AM,36,FALSE),"")</f>
        <v/>
      </c>
      <c r="AK968" t="str">
        <f>IFERROR(VLOOKUP($A968,koronahun!$A:$AM,37,FALSE),"")</f>
        <v/>
      </c>
      <c r="AL968" t="str">
        <f>IFERROR(VLOOKUP($A968,koronahun!$A:$AM,38,FALSE),"")</f>
        <v/>
      </c>
      <c r="AM968" s="14" t="str">
        <f>IFERROR(VLOOKUP($A968,koronahun!$A:$AM,39,FALSE),"")</f>
        <v/>
      </c>
      <c r="AN968" s="11">
        <f ca="1">IFERROR(__xludf.DUMMYFUNCTION("""COMPUTED_VALUE"""),44860)</f>
        <v>44860</v>
      </c>
      <c r="AO968" s="12">
        <f ca="1">IFERROR(VLOOKUP(AN968,koronahun!A:B,2,FALSE),"")</f>
        <v>2141513</v>
      </c>
      <c r="AP968" s="11">
        <f t="shared" ca="1" si="6"/>
        <v>44860</v>
      </c>
      <c r="AQ968" s="11"/>
      <c r="AR968" s="11"/>
      <c r="AS968" s="11"/>
      <c r="AT968" s="11"/>
    </row>
    <row r="969" spans="1:46" ht="13">
      <c r="A969" s="11"/>
      <c r="B969" t="str">
        <f>IFERROR(VLOOKUP($A969,koronahun!$A:$AM,2,FALSE),"")</f>
        <v/>
      </c>
      <c r="C969" t="str">
        <f>IFERROR(VLOOKUP($A969,koronahun!$A:$AM,3,FALSE),"")</f>
        <v/>
      </c>
      <c r="D969" t="str">
        <f>IFERROR(VLOOKUP($A969,koronahun!$A:$AM,4,FALSE),"")</f>
        <v/>
      </c>
      <c r="E969" t="str">
        <f>IFERROR(VLOOKUP($A969,koronahun!$A:$AM,5,FALSE),"")</f>
        <v/>
      </c>
      <c r="F969" t="str">
        <f>IFERROR(VLOOKUP($A969,koronahun!$A:$AM,6,FALSE),"")</f>
        <v/>
      </c>
      <c r="G969" s="12" t="str">
        <f>IFERROR(VLOOKUP($A969,koronahun!$A:$AM,7,FALSE),"")</f>
        <v/>
      </c>
      <c r="H969" t="str">
        <f>IFERROR(VLOOKUP($A969,koronahun!$A:$AM,8,FALSE),"")</f>
        <v/>
      </c>
      <c r="I969" s="13" t="str">
        <f>IFERROR(VLOOKUP($A969,koronahun!$A:$AM,9,FALSE),"")</f>
        <v/>
      </c>
      <c r="J969" s="13" t="str">
        <f>IFERROR(VLOOKUP($A969,koronahun!$A:$AM,10,FALSE),"")</f>
        <v/>
      </c>
      <c r="K969" s="13" t="str">
        <f>IFERROR(VLOOKUP($A969,koronahun!$A:$AM,11,FALSE),"")</f>
        <v/>
      </c>
      <c r="L969" t="str">
        <f>IFERROR(VLOOKUP($A969,koronahun!$A:$AM,12,FALSE),"")</f>
        <v/>
      </c>
      <c r="M969" s="13" t="str">
        <f>IFERROR(VLOOKUP($A969,koronahun!$A:$AM,13,FALSE),"")</f>
        <v/>
      </c>
      <c r="N969" s="13" t="str">
        <f>IFERROR(VLOOKUP($A969,koronahun!$A:$AM,14,FALSE),"")</f>
        <v/>
      </c>
      <c r="O969" t="str">
        <f>IFERROR(VLOOKUP($A969,koronahun!$A:$AM,15,FALSE),"")</f>
        <v/>
      </c>
      <c r="P969" t="str">
        <f>IFERROR(VLOOKUP($A969,koronahun!$A:$AM,16,FALSE),"")</f>
        <v/>
      </c>
      <c r="Q969" s="13" t="str">
        <f>IFERROR(VLOOKUP($A969,koronahun!$A:$AM,17,FALSE),"")</f>
        <v/>
      </c>
      <c r="R969" t="str">
        <f>IFERROR(VLOOKUP($A969,koronahun!$A:$AM,18,FALSE),"")</f>
        <v/>
      </c>
      <c r="S969" t="str">
        <f>IFERROR(VLOOKUP($A969,koronahun!$A:$AM,19,FALSE),"")</f>
        <v/>
      </c>
      <c r="T969" t="str">
        <f>IFERROR(VLOOKUP($A969,koronahun!$A:$AM,20,FALSE),"")</f>
        <v/>
      </c>
      <c r="U969" t="str">
        <f>IFERROR(VLOOKUP($A969,koronahun!$A:$AM,21,FALSE),"")</f>
        <v/>
      </c>
      <c r="V969" s="13" t="str">
        <f>IFERROR(VLOOKUP($A969,koronahun!$A:$AM,22,FALSE),"")</f>
        <v/>
      </c>
      <c r="W969" t="str">
        <f>IFERROR(VLOOKUP($A969,koronahun!$A:$AM,23,FALSE),"")</f>
        <v/>
      </c>
      <c r="X969" t="str">
        <f>IFERROR(VLOOKUP($A969,koronahun!$A:$AM,24,FALSE),"")</f>
        <v/>
      </c>
      <c r="Y969" s="14" t="str">
        <f>IFERROR(VLOOKUP($A969,koronahun!$A:$AM,25,FALSE),"")</f>
        <v/>
      </c>
      <c r="Z969" s="14" t="str">
        <f>IFERROR(VLOOKUP($A969,koronahun!$A:$AM,26,FALSE),"")</f>
        <v/>
      </c>
      <c r="AA969" s="14" t="str">
        <f>IFERROR(VLOOKUP($A969,koronahun!$A:$AM,27,FALSE),"")</f>
        <v/>
      </c>
      <c r="AB969" s="14" t="str">
        <f>IFERROR(VLOOKUP($A969,koronahun!$A:$AM,28,FALSE),"")</f>
        <v/>
      </c>
      <c r="AC969" s="14" t="str">
        <f>IFERROR(VLOOKUP($A969,koronahun!$A:$AM,29,FALSE),"")</f>
        <v/>
      </c>
      <c r="AD969" s="14" t="str">
        <f>IFERROR(VLOOKUP($A969,koronahun!$A:$AM,30,FALSE),"")</f>
        <v/>
      </c>
      <c r="AE969" s="14" t="str">
        <f>IFERROR(VLOOKUP($A969,koronahun!$A:$AM,31,FALSE),"")</f>
        <v/>
      </c>
      <c r="AF969" s="13" t="str">
        <f>IFERROR(VLOOKUP($A969,koronahun!$A:$AM,32,FALSE),"")</f>
        <v/>
      </c>
      <c r="AG969" t="str">
        <f>IFERROR(VLOOKUP($A969,koronahun!$A:$AM,33,FALSE),"")</f>
        <v/>
      </c>
      <c r="AH969" t="str">
        <f>IFERROR(VLOOKUP($A969,koronahun!$A:$AM,34,FALSE),"")</f>
        <v/>
      </c>
      <c r="AI969" t="str">
        <f>IFERROR(VLOOKUP($A969,koronahun!$A:$AM,35,FALSE),"")</f>
        <v/>
      </c>
      <c r="AJ969" t="str">
        <f>IFERROR(VLOOKUP($A969,koronahun!$A:$AM,36,FALSE),"")</f>
        <v/>
      </c>
      <c r="AK969" t="str">
        <f>IFERROR(VLOOKUP($A969,koronahun!$A:$AM,37,FALSE),"")</f>
        <v/>
      </c>
      <c r="AL969" t="str">
        <f>IFERROR(VLOOKUP($A969,koronahun!$A:$AM,38,FALSE),"")</f>
        <v/>
      </c>
      <c r="AM969" s="14" t="str">
        <f>IFERROR(VLOOKUP($A969,koronahun!$A:$AM,39,FALSE),"")</f>
        <v/>
      </c>
      <c r="AN969" s="11">
        <f ca="1">IFERROR(__xludf.DUMMYFUNCTION("""COMPUTED_VALUE"""),44861)</f>
        <v>44861</v>
      </c>
      <c r="AO969" s="12">
        <f ca="1">IFERROR(VLOOKUP(AN969,koronahun!A:B,2,FALSE),"")</f>
        <v>0</v>
      </c>
      <c r="AP969" s="11">
        <f t="shared" ca="1" si="6"/>
        <v>44861</v>
      </c>
      <c r="AQ969" s="11"/>
      <c r="AR969" s="11"/>
      <c r="AS969" s="11"/>
      <c r="AT969" s="11"/>
    </row>
    <row r="970" spans="1:46" ht="13">
      <c r="A970" s="11"/>
      <c r="B970" t="str">
        <f>IFERROR(VLOOKUP($A970,koronahun!$A:$AM,2,FALSE),"")</f>
        <v/>
      </c>
      <c r="C970" t="str">
        <f>IFERROR(VLOOKUP($A970,koronahun!$A:$AM,3,FALSE),"")</f>
        <v/>
      </c>
      <c r="D970" t="str">
        <f>IFERROR(VLOOKUP($A970,koronahun!$A:$AM,4,FALSE),"")</f>
        <v/>
      </c>
      <c r="E970" t="str">
        <f>IFERROR(VLOOKUP($A970,koronahun!$A:$AM,5,FALSE),"")</f>
        <v/>
      </c>
      <c r="F970" t="str">
        <f>IFERROR(VLOOKUP($A970,koronahun!$A:$AM,6,FALSE),"")</f>
        <v/>
      </c>
      <c r="G970" s="12" t="str">
        <f>IFERROR(VLOOKUP($A970,koronahun!$A:$AM,7,FALSE),"")</f>
        <v/>
      </c>
      <c r="H970" t="str">
        <f>IFERROR(VLOOKUP($A970,koronahun!$A:$AM,8,FALSE),"")</f>
        <v/>
      </c>
      <c r="I970" s="13" t="str">
        <f>IFERROR(VLOOKUP($A970,koronahun!$A:$AM,9,FALSE),"")</f>
        <v/>
      </c>
      <c r="J970" s="13" t="str">
        <f>IFERROR(VLOOKUP($A970,koronahun!$A:$AM,10,FALSE),"")</f>
        <v/>
      </c>
      <c r="K970" s="13" t="str">
        <f>IFERROR(VLOOKUP($A970,koronahun!$A:$AM,11,FALSE),"")</f>
        <v/>
      </c>
      <c r="L970" t="str">
        <f>IFERROR(VLOOKUP($A970,koronahun!$A:$AM,12,FALSE),"")</f>
        <v/>
      </c>
      <c r="M970" s="13" t="str">
        <f>IFERROR(VLOOKUP($A970,koronahun!$A:$AM,13,FALSE),"")</f>
        <v/>
      </c>
      <c r="N970" s="13" t="str">
        <f>IFERROR(VLOOKUP($A970,koronahun!$A:$AM,14,FALSE),"")</f>
        <v/>
      </c>
      <c r="O970" t="str">
        <f>IFERROR(VLOOKUP($A970,koronahun!$A:$AM,15,FALSE),"")</f>
        <v/>
      </c>
      <c r="P970" t="str">
        <f>IFERROR(VLOOKUP($A970,koronahun!$A:$AM,16,FALSE),"")</f>
        <v/>
      </c>
      <c r="Q970" s="13" t="str">
        <f>IFERROR(VLOOKUP($A970,koronahun!$A:$AM,17,FALSE),"")</f>
        <v/>
      </c>
      <c r="R970" t="str">
        <f>IFERROR(VLOOKUP($A970,koronahun!$A:$AM,18,FALSE),"")</f>
        <v/>
      </c>
      <c r="S970" t="str">
        <f>IFERROR(VLOOKUP($A970,koronahun!$A:$AM,19,FALSE),"")</f>
        <v/>
      </c>
      <c r="T970" t="str">
        <f>IFERROR(VLOOKUP($A970,koronahun!$A:$AM,20,FALSE),"")</f>
        <v/>
      </c>
      <c r="U970" t="str">
        <f>IFERROR(VLOOKUP($A970,koronahun!$A:$AM,21,FALSE),"")</f>
        <v/>
      </c>
      <c r="V970" s="13" t="str">
        <f>IFERROR(VLOOKUP($A970,koronahun!$A:$AM,22,FALSE),"")</f>
        <v/>
      </c>
      <c r="W970" t="str">
        <f>IFERROR(VLOOKUP($A970,koronahun!$A:$AM,23,FALSE),"")</f>
        <v/>
      </c>
      <c r="X970" t="str">
        <f>IFERROR(VLOOKUP($A970,koronahun!$A:$AM,24,FALSE),"")</f>
        <v/>
      </c>
      <c r="Y970" s="14" t="str">
        <f>IFERROR(VLOOKUP($A970,koronahun!$A:$AM,25,FALSE),"")</f>
        <v/>
      </c>
      <c r="Z970" s="14" t="str">
        <f>IFERROR(VLOOKUP($A970,koronahun!$A:$AM,26,FALSE),"")</f>
        <v/>
      </c>
      <c r="AA970" s="14" t="str">
        <f>IFERROR(VLOOKUP($A970,koronahun!$A:$AM,27,FALSE),"")</f>
        <v/>
      </c>
      <c r="AB970" s="14" t="str">
        <f>IFERROR(VLOOKUP($A970,koronahun!$A:$AM,28,FALSE),"")</f>
        <v/>
      </c>
      <c r="AC970" s="14" t="str">
        <f>IFERROR(VLOOKUP($A970,koronahun!$A:$AM,29,FALSE),"")</f>
        <v/>
      </c>
      <c r="AD970" s="14" t="str">
        <f>IFERROR(VLOOKUP($A970,koronahun!$A:$AM,30,FALSE),"")</f>
        <v/>
      </c>
      <c r="AE970" s="14" t="str">
        <f>IFERROR(VLOOKUP($A970,koronahun!$A:$AM,31,FALSE),"")</f>
        <v/>
      </c>
      <c r="AF970" s="13" t="str">
        <f>IFERROR(VLOOKUP($A970,koronahun!$A:$AM,32,FALSE),"")</f>
        <v/>
      </c>
      <c r="AG970" t="str">
        <f>IFERROR(VLOOKUP($A970,koronahun!$A:$AM,33,FALSE),"")</f>
        <v/>
      </c>
      <c r="AH970" t="str">
        <f>IFERROR(VLOOKUP($A970,koronahun!$A:$AM,34,FALSE),"")</f>
        <v/>
      </c>
      <c r="AI970" t="str">
        <f>IFERROR(VLOOKUP($A970,koronahun!$A:$AM,35,FALSE),"")</f>
        <v/>
      </c>
      <c r="AJ970" t="str">
        <f>IFERROR(VLOOKUP($A970,koronahun!$A:$AM,36,FALSE),"")</f>
        <v/>
      </c>
      <c r="AK970" t="str">
        <f>IFERROR(VLOOKUP($A970,koronahun!$A:$AM,37,FALSE),"")</f>
        <v/>
      </c>
      <c r="AL970" t="str">
        <f>IFERROR(VLOOKUP($A970,koronahun!$A:$AM,38,FALSE),"")</f>
        <v/>
      </c>
      <c r="AM970" s="14" t="str">
        <f>IFERROR(VLOOKUP($A970,koronahun!$A:$AM,39,FALSE),"")</f>
        <v/>
      </c>
      <c r="AN970" s="11">
        <f ca="1">IFERROR(__xludf.DUMMYFUNCTION("""COMPUTED_VALUE"""),44862)</f>
        <v>44862</v>
      </c>
      <c r="AO970" s="12">
        <f ca="1">IFERROR(VLOOKUP(AN970,koronahun!A:B,2,FALSE),"")</f>
        <v>0</v>
      </c>
      <c r="AP970" s="11">
        <f t="shared" ca="1" si="6"/>
        <v>44862</v>
      </c>
      <c r="AQ970" s="11"/>
      <c r="AR970" s="11"/>
      <c r="AS970" s="11"/>
      <c r="AT970" s="11"/>
    </row>
    <row r="971" spans="1:46" ht="13">
      <c r="A971" s="11"/>
      <c r="B971" t="str">
        <f>IFERROR(VLOOKUP($A971,koronahun!$A:$AM,2,FALSE),"")</f>
        <v/>
      </c>
      <c r="C971" t="str">
        <f>IFERROR(VLOOKUP($A971,koronahun!$A:$AM,3,FALSE),"")</f>
        <v/>
      </c>
      <c r="D971" t="str">
        <f>IFERROR(VLOOKUP($A971,koronahun!$A:$AM,4,FALSE),"")</f>
        <v/>
      </c>
      <c r="E971" t="str">
        <f>IFERROR(VLOOKUP($A971,koronahun!$A:$AM,5,FALSE),"")</f>
        <v/>
      </c>
      <c r="F971" t="str">
        <f>IFERROR(VLOOKUP($A971,koronahun!$A:$AM,6,FALSE),"")</f>
        <v/>
      </c>
      <c r="G971" s="12" t="str">
        <f>IFERROR(VLOOKUP($A971,koronahun!$A:$AM,7,FALSE),"")</f>
        <v/>
      </c>
      <c r="H971" t="str">
        <f>IFERROR(VLOOKUP($A971,koronahun!$A:$AM,8,FALSE),"")</f>
        <v/>
      </c>
      <c r="I971" s="13" t="str">
        <f>IFERROR(VLOOKUP($A971,koronahun!$A:$AM,9,FALSE),"")</f>
        <v/>
      </c>
      <c r="J971" s="13" t="str">
        <f>IFERROR(VLOOKUP($A971,koronahun!$A:$AM,10,FALSE),"")</f>
        <v/>
      </c>
      <c r="K971" s="13" t="str">
        <f>IFERROR(VLOOKUP($A971,koronahun!$A:$AM,11,FALSE),"")</f>
        <v/>
      </c>
      <c r="L971" t="str">
        <f>IFERROR(VLOOKUP($A971,koronahun!$A:$AM,12,FALSE),"")</f>
        <v/>
      </c>
      <c r="M971" s="13" t="str">
        <f>IFERROR(VLOOKUP($A971,koronahun!$A:$AM,13,FALSE),"")</f>
        <v/>
      </c>
      <c r="N971" s="13" t="str">
        <f>IFERROR(VLOOKUP($A971,koronahun!$A:$AM,14,FALSE),"")</f>
        <v/>
      </c>
      <c r="O971" t="str">
        <f>IFERROR(VLOOKUP($A971,koronahun!$A:$AM,15,FALSE),"")</f>
        <v/>
      </c>
      <c r="P971" t="str">
        <f>IFERROR(VLOOKUP($A971,koronahun!$A:$AM,16,FALSE),"")</f>
        <v/>
      </c>
      <c r="Q971" s="13" t="str">
        <f>IFERROR(VLOOKUP($A971,koronahun!$A:$AM,17,FALSE),"")</f>
        <v/>
      </c>
      <c r="R971" t="str">
        <f>IFERROR(VLOOKUP($A971,koronahun!$A:$AM,18,FALSE),"")</f>
        <v/>
      </c>
      <c r="S971" t="str">
        <f>IFERROR(VLOOKUP($A971,koronahun!$A:$AM,19,FALSE),"")</f>
        <v/>
      </c>
      <c r="T971" t="str">
        <f>IFERROR(VLOOKUP($A971,koronahun!$A:$AM,20,FALSE),"")</f>
        <v/>
      </c>
      <c r="U971" t="str">
        <f>IFERROR(VLOOKUP($A971,koronahun!$A:$AM,21,FALSE),"")</f>
        <v/>
      </c>
      <c r="V971" s="13" t="str">
        <f>IFERROR(VLOOKUP($A971,koronahun!$A:$AM,22,FALSE),"")</f>
        <v/>
      </c>
      <c r="W971" t="str">
        <f>IFERROR(VLOOKUP($A971,koronahun!$A:$AM,23,FALSE),"")</f>
        <v/>
      </c>
      <c r="X971" t="str">
        <f>IFERROR(VLOOKUP($A971,koronahun!$A:$AM,24,FALSE),"")</f>
        <v/>
      </c>
      <c r="Y971" s="14" t="str">
        <f>IFERROR(VLOOKUP($A971,koronahun!$A:$AM,25,FALSE),"")</f>
        <v/>
      </c>
      <c r="Z971" s="14" t="str">
        <f>IFERROR(VLOOKUP($A971,koronahun!$A:$AM,26,FALSE),"")</f>
        <v/>
      </c>
      <c r="AA971" s="14" t="str">
        <f>IFERROR(VLOOKUP($A971,koronahun!$A:$AM,27,FALSE),"")</f>
        <v/>
      </c>
      <c r="AB971" s="14" t="str">
        <f>IFERROR(VLOOKUP($A971,koronahun!$A:$AM,28,FALSE),"")</f>
        <v/>
      </c>
      <c r="AC971" s="14" t="str">
        <f>IFERROR(VLOOKUP($A971,koronahun!$A:$AM,29,FALSE),"")</f>
        <v/>
      </c>
      <c r="AD971" s="14" t="str">
        <f>IFERROR(VLOOKUP($A971,koronahun!$A:$AM,30,FALSE),"")</f>
        <v/>
      </c>
      <c r="AE971" s="14" t="str">
        <f>IFERROR(VLOOKUP($A971,koronahun!$A:$AM,31,FALSE),"")</f>
        <v/>
      </c>
      <c r="AF971" s="13" t="str">
        <f>IFERROR(VLOOKUP($A971,koronahun!$A:$AM,32,FALSE),"")</f>
        <v/>
      </c>
      <c r="AG971" t="str">
        <f>IFERROR(VLOOKUP($A971,koronahun!$A:$AM,33,FALSE),"")</f>
        <v/>
      </c>
      <c r="AH971" t="str">
        <f>IFERROR(VLOOKUP($A971,koronahun!$A:$AM,34,FALSE),"")</f>
        <v/>
      </c>
      <c r="AI971" t="str">
        <f>IFERROR(VLOOKUP($A971,koronahun!$A:$AM,35,FALSE),"")</f>
        <v/>
      </c>
      <c r="AJ971" t="str">
        <f>IFERROR(VLOOKUP($A971,koronahun!$A:$AM,36,FALSE),"")</f>
        <v/>
      </c>
      <c r="AK971" t="str">
        <f>IFERROR(VLOOKUP($A971,koronahun!$A:$AM,37,FALSE),"")</f>
        <v/>
      </c>
      <c r="AL971" t="str">
        <f>IFERROR(VLOOKUP($A971,koronahun!$A:$AM,38,FALSE),"")</f>
        <v/>
      </c>
      <c r="AM971" s="14" t="str">
        <f>IFERROR(VLOOKUP($A971,koronahun!$A:$AM,39,FALSE),"")</f>
        <v/>
      </c>
      <c r="AN971" s="11">
        <f ca="1">IFERROR(__xludf.DUMMYFUNCTION("""COMPUTED_VALUE"""),44863)</f>
        <v>44863</v>
      </c>
      <c r="AO971" s="12">
        <f ca="1">IFERROR(VLOOKUP(AN971,koronahun!A:B,2,FALSE),"")</f>
        <v>0</v>
      </c>
      <c r="AP971" s="11">
        <f t="shared" ca="1" si="6"/>
        <v>44863</v>
      </c>
      <c r="AQ971" s="11"/>
      <c r="AR971" s="11"/>
      <c r="AS971" s="11"/>
      <c r="AT971" s="11"/>
    </row>
    <row r="972" spans="1:46" ht="13">
      <c r="A972" s="11"/>
      <c r="B972" t="str">
        <f>IFERROR(VLOOKUP($A972,koronahun!$A:$AM,2,FALSE),"")</f>
        <v/>
      </c>
      <c r="C972" t="str">
        <f>IFERROR(VLOOKUP($A972,koronahun!$A:$AM,3,FALSE),"")</f>
        <v/>
      </c>
      <c r="D972" t="str">
        <f>IFERROR(VLOOKUP($A972,koronahun!$A:$AM,4,FALSE),"")</f>
        <v/>
      </c>
      <c r="E972" t="str">
        <f>IFERROR(VLOOKUP($A972,koronahun!$A:$AM,5,FALSE),"")</f>
        <v/>
      </c>
      <c r="F972" t="str">
        <f>IFERROR(VLOOKUP($A972,koronahun!$A:$AM,6,FALSE),"")</f>
        <v/>
      </c>
      <c r="G972" s="12" t="str">
        <f>IFERROR(VLOOKUP($A972,koronahun!$A:$AM,7,FALSE),"")</f>
        <v/>
      </c>
      <c r="H972" t="str">
        <f>IFERROR(VLOOKUP($A972,koronahun!$A:$AM,8,FALSE),"")</f>
        <v/>
      </c>
      <c r="I972" s="13" t="str">
        <f>IFERROR(VLOOKUP($A972,koronahun!$A:$AM,9,FALSE),"")</f>
        <v/>
      </c>
      <c r="J972" s="13" t="str">
        <f>IFERROR(VLOOKUP($A972,koronahun!$A:$AM,10,FALSE),"")</f>
        <v/>
      </c>
      <c r="K972" s="13" t="str">
        <f>IFERROR(VLOOKUP($A972,koronahun!$A:$AM,11,FALSE),"")</f>
        <v/>
      </c>
      <c r="L972" t="str">
        <f>IFERROR(VLOOKUP($A972,koronahun!$A:$AM,12,FALSE),"")</f>
        <v/>
      </c>
      <c r="M972" s="13" t="str">
        <f>IFERROR(VLOOKUP($A972,koronahun!$A:$AM,13,FALSE),"")</f>
        <v/>
      </c>
      <c r="N972" s="13" t="str">
        <f>IFERROR(VLOOKUP($A972,koronahun!$A:$AM,14,FALSE),"")</f>
        <v/>
      </c>
      <c r="O972" t="str">
        <f>IFERROR(VLOOKUP($A972,koronahun!$A:$AM,15,FALSE),"")</f>
        <v/>
      </c>
      <c r="P972" t="str">
        <f>IFERROR(VLOOKUP($A972,koronahun!$A:$AM,16,FALSE),"")</f>
        <v/>
      </c>
      <c r="Q972" s="13" t="str">
        <f>IFERROR(VLOOKUP($A972,koronahun!$A:$AM,17,FALSE),"")</f>
        <v/>
      </c>
      <c r="R972" t="str">
        <f>IFERROR(VLOOKUP($A972,koronahun!$A:$AM,18,FALSE),"")</f>
        <v/>
      </c>
      <c r="S972" t="str">
        <f>IFERROR(VLOOKUP($A972,koronahun!$A:$AM,19,FALSE),"")</f>
        <v/>
      </c>
      <c r="T972" t="str">
        <f>IFERROR(VLOOKUP($A972,koronahun!$A:$AM,20,FALSE),"")</f>
        <v/>
      </c>
      <c r="U972" t="str">
        <f>IFERROR(VLOOKUP($A972,koronahun!$A:$AM,21,FALSE),"")</f>
        <v/>
      </c>
      <c r="V972" s="13" t="str">
        <f>IFERROR(VLOOKUP($A972,koronahun!$A:$AM,22,FALSE),"")</f>
        <v/>
      </c>
      <c r="W972" t="str">
        <f>IFERROR(VLOOKUP($A972,koronahun!$A:$AM,23,FALSE),"")</f>
        <v/>
      </c>
      <c r="X972" t="str">
        <f>IFERROR(VLOOKUP($A972,koronahun!$A:$AM,24,FALSE),"")</f>
        <v/>
      </c>
      <c r="Y972" s="14" t="str">
        <f>IFERROR(VLOOKUP($A972,koronahun!$A:$AM,25,FALSE),"")</f>
        <v/>
      </c>
      <c r="Z972" s="14" t="str">
        <f>IFERROR(VLOOKUP($A972,koronahun!$A:$AM,26,FALSE),"")</f>
        <v/>
      </c>
      <c r="AA972" s="14" t="str">
        <f>IFERROR(VLOOKUP($A972,koronahun!$A:$AM,27,FALSE),"")</f>
        <v/>
      </c>
      <c r="AB972" s="14" t="str">
        <f>IFERROR(VLOOKUP($A972,koronahun!$A:$AM,28,FALSE),"")</f>
        <v/>
      </c>
      <c r="AC972" s="14" t="str">
        <f>IFERROR(VLOOKUP($A972,koronahun!$A:$AM,29,FALSE),"")</f>
        <v/>
      </c>
      <c r="AD972" s="14" t="str">
        <f>IFERROR(VLOOKUP($A972,koronahun!$A:$AM,30,FALSE),"")</f>
        <v/>
      </c>
      <c r="AE972" s="14" t="str">
        <f>IFERROR(VLOOKUP($A972,koronahun!$A:$AM,31,FALSE),"")</f>
        <v/>
      </c>
      <c r="AF972" s="13" t="str">
        <f>IFERROR(VLOOKUP($A972,koronahun!$A:$AM,32,FALSE),"")</f>
        <v/>
      </c>
      <c r="AG972" t="str">
        <f>IFERROR(VLOOKUP($A972,koronahun!$A:$AM,33,FALSE),"")</f>
        <v/>
      </c>
      <c r="AH972" t="str">
        <f>IFERROR(VLOOKUP($A972,koronahun!$A:$AM,34,FALSE),"")</f>
        <v/>
      </c>
      <c r="AI972" t="str">
        <f>IFERROR(VLOOKUP($A972,koronahun!$A:$AM,35,FALSE),"")</f>
        <v/>
      </c>
      <c r="AJ972" t="str">
        <f>IFERROR(VLOOKUP($A972,koronahun!$A:$AM,36,FALSE),"")</f>
        <v/>
      </c>
      <c r="AK972" t="str">
        <f>IFERROR(VLOOKUP($A972,koronahun!$A:$AM,37,FALSE),"")</f>
        <v/>
      </c>
      <c r="AL972" t="str">
        <f>IFERROR(VLOOKUP($A972,koronahun!$A:$AM,38,FALSE),"")</f>
        <v/>
      </c>
      <c r="AM972" s="14" t="str">
        <f>IFERROR(VLOOKUP($A972,koronahun!$A:$AM,39,FALSE),"")</f>
        <v/>
      </c>
      <c r="AN972" s="11">
        <f ca="1">IFERROR(__xludf.DUMMYFUNCTION("""COMPUTED_VALUE"""),44864)</f>
        <v>44864</v>
      </c>
      <c r="AO972" s="12">
        <f ca="1">IFERROR(VLOOKUP(AN972,koronahun!A:B,2,FALSE),"")</f>
        <v>0</v>
      </c>
      <c r="AP972" s="11">
        <f t="shared" ca="1" si="6"/>
        <v>44864</v>
      </c>
      <c r="AQ972" s="11"/>
      <c r="AR972" s="11"/>
      <c r="AS972" s="11"/>
      <c r="AT972" s="11"/>
    </row>
    <row r="973" spans="1:46" ht="13">
      <c r="A973" s="11"/>
      <c r="B973" t="str">
        <f>IFERROR(VLOOKUP($A973,koronahun!$A:$AM,2,FALSE),"")</f>
        <v/>
      </c>
      <c r="C973" t="str">
        <f>IFERROR(VLOOKUP($A973,koronahun!$A:$AM,3,FALSE),"")</f>
        <v/>
      </c>
      <c r="D973" t="str">
        <f>IFERROR(VLOOKUP($A973,koronahun!$A:$AM,4,FALSE),"")</f>
        <v/>
      </c>
      <c r="E973" t="str">
        <f>IFERROR(VLOOKUP($A973,koronahun!$A:$AM,5,FALSE),"")</f>
        <v/>
      </c>
      <c r="F973" t="str">
        <f>IFERROR(VLOOKUP($A973,koronahun!$A:$AM,6,FALSE),"")</f>
        <v/>
      </c>
      <c r="G973" s="12" t="str">
        <f>IFERROR(VLOOKUP($A973,koronahun!$A:$AM,7,FALSE),"")</f>
        <v/>
      </c>
      <c r="H973" t="str">
        <f>IFERROR(VLOOKUP($A973,koronahun!$A:$AM,8,FALSE),"")</f>
        <v/>
      </c>
      <c r="I973" s="13" t="str">
        <f>IFERROR(VLOOKUP($A973,koronahun!$A:$AM,9,FALSE),"")</f>
        <v/>
      </c>
      <c r="J973" s="13" t="str">
        <f>IFERROR(VLOOKUP($A973,koronahun!$A:$AM,10,FALSE),"")</f>
        <v/>
      </c>
      <c r="K973" s="13" t="str">
        <f>IFERROR(VLOOKUP($A973,koronahun!$A:$AM,11,FALSE),"")</f>
        <v/>
      </c>
      <c r="L973" t="str">
        <f>IFERROR(VLOOKUP($A973,koronahun!$A:$AM,12,FALSE),"")</f>
        <v/>
      </c>
      <c r="M973" s="13" t="str">
        <f>IFERROR(VLOOKUP($A973,koronahun!$A:$AM,13,FALSE),"")</f>
        <v/>
      </c>
      <c r="N973" s="13" t="str">
        <f>IFERROR(VLOOKUP($A973,koronahun!$A:$AM,14,FALSE),"")</f>
        <v/>
      </c>
      <c r="O973" t="str">
        <f>IFERROR(VLOOKUP($A973,koronahun!$A:$AM,15,FALSE),"")</f>
        <v/>
      </c>
      <c r="P973" t="str">
        <f>IFERROR(VLOOKUP($A973,koronahun!$A:$AM,16,FALSE),"")</f>
        <v/>
      </c>
      <c r="Q973" s="13" t="str">
        <f>IFERROR(VLOOKUP($A973,koronahun!$A:$AM,17,FALSE),"")</f>
        <v/>
      </c>
      <c r="R973" t="str">
        <f>IFERROR(VLOOKUP($A973,koronahun!$A:$AM,18,FALSE),"")</f>
        <v/>
      </c>
      <c r="S973" t="str">
        <f>IFERROR(VLOOKUP($A973,koronahun!$A:$AM,19,FALSE),"")</f>
        <v/>
      </c>
      <c r="T973" t="str">
        <f>IFERROR(VLOOKUP($A973,koronahun!$A:$AM,20,FALSE),"")</f>
        <v/>
      </c>
      <c r="U973" t="str">
        <f>IFERROR(VLOOKUP($A973,koronahun!$A:$AM,21,FALSE),"")</f>
        <v/>
      </c>
      <c r="V973" s="13" t="str">
        <f>IFERROR(VLOOKUP($A973,koronahun!$A:$AM,22,FALSE),"")</f>
        <v/>
      </c>
      <c r="W973" t="str">
        <f>IFERROR(VLOOKUP($A973,koronahun!$A:$AM,23,FALSE),"")</f>
        <v/>
      </c>
      <c r="X973" t="str">
        <f>IFERROR(VLOOKUP($A973,koronahun!$A:$AM,24,FALSE),"")</f>
        <v/>
      </c>
      <c r="Y973" s="14" t="str">
        <f>IFERROR(VLOOKUP($A973,koronahun!$A:$AM,25,FALSE),"")</f>
        <v/>
      </c>
      <c r="Z973" s="14" t="str">
        <f>IFERROR(VLOOKUP($A973,koronahun!$A:$AM,26,FALSE),"")</f>
        <v/>
      </c>
      <c r="AA973" s="14" t="str">
        <f>IFERROR(VLOOKUP($A973,koronahun!$A:$AM,27,FALSE),"")</f>
        <v/>
      </c>
      <c r="AB973" s="14" t="str">
        <f>IFERROR(VLOOKUP($A973,koronahun!$A:$AM,28,FALSE),"")</f>
        <v/>
      </c>
      <c r="AC973" s="14" t="str">
        <f>IFERROR(VLOOKUP($A973,koronahun!$A:$AM,29,FALSE),"")</f>
        <v/>
      </c>
      <c r="AD973" s="14" t="str">
        <f>IFERROR(VLOOKUP($A973,koronahun!$A:$AM,30,FALSE),"")</f>
        <v/>
      </c>
      <c r="AE973" s="14" t="str">
        <f>IFERROR(VLOOKUP($A973,koronahun!$A:$AM,31,FALSE),"")</f>
        <v/>
      </c>
      <c r="AF973" s="13" t="str">
        <f>IFERROR(VLOOKUP($A973,koronahun!$A:$AM,32,FALSE),"")</f>
        <v/>
      </c>
      <c r="AG973" t="str">
        <f>IFERROR(VLOOKUP($A973,koronahun!$A:$AM,33,FALSE),"")</f>
        <v/>
      </c>
      <c r="AH973" t="str">
        <f>IFERROR(VLOOKUP($A973,koronahun!$A:$AM,34,FALSE),"")</f>
        <v/>
      </c>
      <c r="AI973" t="str">
        <f>IFERROR(VLOOKUP($A973,koronahun!$A:$AM,35,FALSE),"")</f>
        <v/>
      </c>
      <c r="AJ973" t="str">
        <f>IFERROR(VLOOKUP($A973,koronahun!$A:$AM,36,FALSE),"")</f>
        <v/>
      </c>
      <c r="AK973" t="str">
        <f>IFERROR(VLOOKUP($A973,koronahun!$A:$AM,37,FALSE),"")</f>
        <v/>
      </c>
      <c r="AL973" t="str">
        <f>IFERROR(VLOOKUP($A973,koronahun!$A:$AM,38,FALSE),"")</f>
        <v/>
      </c>
      <c r="AM973" s="14" t="str">
        <f>IFERROR(VLOOKUP($A973,koronahun!$A:$AM,39,FALSE),"")</f>
        <v/>
      </c>
      <c r="AN973" s="11">
        <f ca="1">IFERROR(__xludf.DUMMYFUNCTION("""COMPUTED_VALUE"""),44865)</f>
        <v>44865</v>
      </c>
      <c r="AO973" s="12">
        <f ca="1">IFERROR(VLOOKUP(AN973,koronahun!A:B,2,FALSE),"")</f>
        <v>0</v>
      </c>
      <c r="AP973" s="11">
        <f t="shared" ca="1" si="6"/>
        <v>44865</v>
      </c>
      <c r="AQ973" s="11"/>
      <c r="AR973" s="11"/>
      <c r="AS973" s="11"/>
      <c r="AT973" s="11"/>
    </row>
    <row r="974" spans="1:46" ht="13">
      <c r="A974" s="11"/>
      <c r="B974" t="str">
        <f>IFERROR(VLOOKUP($A974,koronahun!$A:$AM,2,FALSE),"")</f>
        <v/>
      </c>
      <c r="C974" t="str">
        <f>IFERROR(VLOOKUP($A974,koronahun!$A:$AM,3,FALSE),"")</f>
        <v/>
      </c>
      <c r="D974" t="str">
        <f>IFERROR(VLOOKUP($A974,koronahun!$A:$AM,4,FALSE),"")</f>
        <v/>
      </c>
      <c r="E974" t="str">
        <f>IFERROR(VLOOKUP($A974,koronahun!$A:$AM,5,FALSE),"")</f>
        <v/>
      </c>
      <c r="F974" t="str">
        <f>IFERROR(VLOOKUP($A974,koronahun!$A:$AM,6,FALSE),"")</f>
        <v/>
      </c>
      <c r="G974" s="12" t="str">
        <f>IFERROR(VLOOKUP($A974,koronahun!$A:$AM,7,FALSE),"")</f>
        <v/>
      </c>
      <c r="H974" t="str">
        <f>IFERROR(VLOOKUP($A974,koronahun!$A:$AM,8,FALSE),"")</f>
        <v/>
      </c>
      <c r="I974" s="13" t="str">
        <f>IFERROR(VLOOKUP($A974,koronahun!$A:$AM,9,FALSE),"")</f>
        <v/>
      </c>
      <c r="J974" s="13" t="str">
        <f>IFERROR(VLOOKUP($A974,koronahun!$A:$AM,10,FALSE),"")</f>
        <v/>
      </c>
      <c r="K974" s="13" t="str">
        <f>IFERROR(VLOOKUP($A974,koronahun!$A:$AM,11,FALSE),"")</f>
        <v/>
      </c>
      <c r="L974" t="str">
        <f>IFERROR(VLOOKUP($A974,koronahun!$A:$AM,12,FALSE),"")</f>
        <v/>
      </c>
      <c r="M974" s="13" t="str">
        <f>IFERROR(VLOOKUP($A974,koronahun!$A:$AM,13,FALSE),"")</f>
        <v/>
      </c>
      <c r="N974" s="13" t="str">
        <f>IFERROR(VLOOKUP($A974,koronahun!$A:$AM,14,FALSE),"")</f>
        <v/>
      </c>
      <c r="O974" t="str">
        <f>IFERROR(VLOOKUP($A974,koronahun!$A:$AM,15,FALSE),"")</f>
        <v/>
      </c>
      <c r="P974" t="str">
        <f>IFERROR(VLOOKUP($A974,koronahun!$A:$AM,16,FALSE),"")</f>
        <v/>
      </c>
      <c r="Q974" s="13" t="str">
        <f>IFERROR(VLOOKUP($A974,koronahun!$A:$AM,17,FALSE),"")</f>
        <v/>
      </c>
      <c r="R974" t="str">
        <f>IFERROR(VLOOKUP($A974,koronahun!$A:$AM,18,FALSE),"")</f>
        <v/>
      </c>
      <c r="S974" t="str">
        <f>IFERROR(VLOOKUP($A974,koronahun!$A:$AM,19,FALSE),"")</f>
        <v/>
      </c>
      <c r="T974" t="str">
        <f>IFERROR(VLOOKUP($A974,koronahun!$A:$AM,20,FALSE),"")</f>
        <v/>
      </c>
      <c r="U974" t="str">
        <f>IFERROR(VLOOKUP($A974,koronahun!$A:$AM,21,FALSE),"")</f>
        <v/>
      </c>
      <c r="V974" s="13" t="str">
        <f>IFERROR(VLOOKUP($A974,koronahun!$A:$AM,22,FALSE),"")</f>
        <v/>
      </c>
      <c r="W974" t="str">
        <f>IFERROR(VLOOKUP($A974,koronahun!$A:$AM,23,FALSE),"")</f>
        <v/>
      </c>
      <c r="X974" t="str">
        <f>IFERROR(VLOOKUP($A974,koronahun!$A:$AM,24,FALSE),"")</f>
        <v/>
      </c>
      <c r="Y974" s="14" t="str">
        <f>IFERROR(VLOOKUP($A974,koronahun!$A:$AM,25,FALSE),"")</f>
        <v/>
      </c>
      <c r="Z974" s="14" t="str">
        <f>IFERROR(VLOOKUP($A974,koronahun!$A:$AM,26,FALSE),"")</f>
        <v/>
      </c>
      <c r="AA974" s="14" t="str">
        <f>IFERROR(VLOOKUP($A974,koronahun!$A:$AM,27,FALSE),"")</f>
        <v/>
      </c>
      <c r="AB974" s="14" t="str">
        <f>IFERROR(VLOOKUP($A974,koronahun!$A:$AM,28,FALSE),"")</f>
        <v/>
      </c>
      <c r="AC974" s="14" t="str">
        <f>IFERROR(VLOOKUP($A974,koronahun!$A:$AM,29,FALSE),"")</f>
        <v/>
      </c>
      <c r="AD974" s="14" t="str">
        <f>IFERROR(VLOOKUP($A974,koronahun!$A:$AM,30,FALSE),"")</f>
        <v/>
      </c>
      <c r="AE974" s="14" t="str">
        <f>IFERROR(VLOOKUP($A974,koronahun!$A:$AM,31,FALSE),"")</f>
        <v/>
      </c>
      <c r="AF974" s="13" t="str">
        <f>IFERROR(VLOOKUP($A974,koronahun!$A:$AM,32,FALSE),"")</f>
        <v/>
      </c>
      <c r="AG974" t="str">
        <f>IFERROR(VLOOKUP($A974,koronahun!$A:$AM,33,FALSE),"")</f>
        <v/>
      </c>
      <c r="AH974" t="str">
        <f>IFERROR(VLOOKUP($A974,koronahun!$A:$AM,34,FALSE),"")</f>
        <v/>
      </c>
      <c r="AI974" t="str">
        <f>IFERROR(VLOOKUP($A974,koronahun!$A:$AM,35,FALSE),"")</f>
        <v/>
      </c>
      <c r="AJ974" t="str">
        <f>IFERROR(VLOOKUP($A974,koronahun!$A:$AM,36,FALSE),"")</f>
        <v/>
      </c>
      <c r="AK974" t="str">
        <f>IFERROR(VLOOKUP($A974,koronahun!$A:$AM,37,FALSE),"")</f>
        <v/>
      </c>
      <c r="AL974" t="str">
        <f>IFERROR(VLOOKUP($A974,koronahun!$A:$AM,38,FALSE),"")</f>
        <v/>
      </c>
      <c r="AM974" s="14" t="str">
        <f>IFERROR(VLOOKUP($A974,koronahun!$A:$AM,39,FALSE),"")</f>
        <v/>
      </c>
      <c r="AN974" s="11">
        <f ca="1">IFERROR(__xludf.DUMMYFUNCTION("""COMPUTED_VALUE"""),44866)</f>
        <v>44866</v>
      </c>
      <c r="AO974" s="12">
        <f ca="1">IFERROR(VLOOKUP(AN974,koronahun!A:B,2,FALSE),"")</f>
        <v>0</v>
      </c>
      <c r="AP974" s="11">
        <f t="shared" ca="1" si="6"/>
        <v>44866</v>
      </c>
      <c r="AQ974" s="11"/>
      <c r="AR974" s="11"/>
      <c r="AS974" s="11"/>
      <c r="AT974" s="11"/>
    </row>
    <row r="975" spans="1:46" ht="13">
      <c r="A975" s="11"/>
      <c r="B975" t="str">
        <f>IFERROR(VLOOKUP($A975,koronahun!$A:$AM,2,FALSE),"")</f>
        <v/>
      </c>
      <c r="C975" t="str">
        <f>IFERROR(VLOOKUP($A975,koronahun!$A:$AM,3,FALSE),"")</f>
        <v/>
      </c>
      <c r="D975" t="str">
        <f>IFERROR(VLOOKUP($A975,koronahun!$A:$AM,4,FALSE),"")</f>
        <v/>
      </c>
      <c r="E975" t="str">
        <f>IFERROR(VLOOKUP($A975,koronahun!$A:$AM,5,FALSE),"")</f>
        <v/>
      </c>
      <c r="F975" t="str">
        <f>IFERROR(VLOOKUP($A975,koronahun!$A:$AM,6,FALSE),"")</f>
        <v/>
      </c>
      <c r="G975" s="12" t="str">
        <f>IFERROR(VLOOKUP($A975,koronahun!$A:$AM,7,FALSE),"")</f>
        <v/>
      </c>
      <c r="H975" t="str">
        <f>IFERROR(VLOOKUP($A975,koronahun!$A:$AM,8,FALSE),"")</f>
        <v/>
      </c>
      <c r="I975" s="13" t="str">
        <f>IFERROR(VLOOKUP($A975,koronahun!$A:$AM,9,FALSE),"")</f>
        <v/>
      </c>
      <c r="J975" s="13" t="str">
        <f>IFERROR(VLOOKUP($A975,koronahun!$A:$AM,10,FALSE),"")</f>
        <v/>
      </c>
      <c r="K975" s="13" t="str">
        <f>IFERROR(VLOOKUP($A975,koronahun!$A:$AM,11,FALSE),"")</f>
        <v/>
      </c>
      <c r="L975" t="str">
        <f>IFERROR(VLOOKUP($A975,koronahun!$A:$AM,12,FALSE),"")</f>
        <v/>
      </c>
      <c r="M975" s="13" t="str">
        <f>IFERROR(VLOOKUP($A975,koronahun!$A:$AM,13,FALSE),"")</f>
        <v/>
      </c>
      <c r="N975" s="13" t="str">
        <f>IFERROR(VLOOKUP($A975,koronahun!$A:$AM,14,FALSE),"")</f>
        <v/>
      </c>
      <c r="O975" t="str">
        <f>IFERROR(VLOOKUP($A975,koronahun!$A:$AM,15,FALSE),"")</f>
        <v/>
      </c>
      <c r="P975" t="str">
        <f>IFERROR(VLOOKUP($A975,koronahun!$A:$AM,16,FALSE),"")</f>
        <v/>
      </c>
      <c r="Q975" s="13" t="str">
        <f>IFERROR(VLOOKUP($A975,koronahun!$A:$AM,17,FALSE),"")</f>
        <v/>
      </c>
      <c r="R975" t="str">
        <f>IFERROR(VLOOKUP($A975,koronahun!$A:$AM,18,FALSE),"")</f>
        <v/>
      </c>
      <c r="S975" t="str">
        <f>IFERROR(VLOOKUP($A975,koronahun!$A:$AM,19,FALSE),"")</f>
        <v/>
      </c>
      <c r="T975" t="str">
        <f>IFERROR(VLOOKUP($A975,koronahun!$A:$AM,20,FALSE),"")</f>
        <v/>
      </c>
      <c r="U975" t="str">
        <f>IFERROR(VLOOKUP($A975,koronahun!$A:$AM,21,FALSE),"")</f>
        <v/>
      </c>
      <c r="V975" s="13" t="str">
        <f>IFERROR(VLOOKUP($A975,koronahun!$A:$AM,22,FALSE),"")</f>
        <v/>
      </c>
      <c r="W975" t="str">
        <f>IFERROR(VLOOKUP($A975,koronahun!$A:$AM,23,FALSE),"")</f>
        <v/>
      </c>
      <c r="X975" t="str">
        <f>IFERROR(VLOOKUP($A975,koronahun!$A:$AM,24,FALSE),"")</f>
        <v/>
      </c>
      <c r="Y975" s="14" t="str">
        <f>IFERROR(VLOOKUP($A975,koronahun!$A:$AM,25,FALSE),"")</f>
        <v/>
      </c>
      <c r="Z975" s="14" t="str">
        <f>IFERROR(VLOOKUP($A975,koronahun!$A:$AM,26,FALSE),"")</f>
        <v/>
      </c>
      <c r="AA975" s="14" t="str">
        <f>IFERROR(VLOOKUP($A975,koronahun!$A:$AM,27,FALSE),"")</f>
        <v/>
      </c>
      <c r="AB975" s="14" t="str">
        <f>IFERROR(VLOOKUP($A975,koronahun!$A:$AM,28,FALSE),"")</f>
        <v/>
      </c>
      <c r="AC975" s="14" t="str">
        <f>IFERROR(VLOOKUP($A975,koronahun!$A:$AM,29,FALSE),"")</f>
        <v/>
      </c>
      <c r="AD975" s="14" t="str">
        <f>IFERROR(VLOOKUP($A975,koronahun!$A:$AM,30,FALSE),"")</f>
        <v/>
      </c>
      <c r="AE975" s="14" t="str">
        <f>IFERROR(VLOOKUP($A975,koronahun!$A:$AM,31,FALSE),"")</f>
        <v/>
      </c>
      <c r="AF975" s="13" t="str">
        <f>IFERROR(VLOOKUP($A975,koronahun!$A:$AM,32,FALSE),"")</f>
        <v/>
      </c>
      <c r="AG975" t="str">
        <f>IFERROR(VLOOKUP($A975,koronahun!$A:$AM,33,FALSE),"")</f>
        <v/>
      </c>
      <c r="AH975" t="str">
        <f>IFERROR(VLOOKUP($A975,koronahun!$A:$AM,34,FALSE),"")</f>
        <v/>
      </c>
      <c r="AI975" t="str">
        <f>IFERROR(VLOOKUP($A975,koronahun!$A:$AM,35,FALSE),"")</f>
        <v/>
      </c>
      <c r="AJ975" t="str">
        <f>IFERROR(VLOOKUP($A975,koronahun!$A:$AM,36,FALSE),"")</f>
        <v/>
      </c>
      <c r="AK975" t="str">
        <f>IFERROR(VLOOKUP($A975,koronahun!$A:$AM,37,FALSE),"")</f>
        <v/>
      </c>
      <c r="AL975" t="str">
        <f>IFERROR(VLOOKUP($A975,koronahun!$A:$AM,38,FALSE),"")</f>
        <v/>
      </c>
      <c r="AM975" s="14" t="str">
        <f>IFERROR(VLOOKUP($A975,koronahun!$A:$AM,39,FALSE),"")</f>
        <v/>
      </c>
      <c r="AN975" s="11">
        <f ca="1">IFERROR(__xludf.DUMMYFUNCTION("""COMPUTED_VALUE"""),44867)</f>
        <v>44867</v>
      </c>
      <c r="AO975" s="12">
        <f ca="1">IFERROR(VLOOKUP(AN975,koronahun!A:B,2,FALSE),"")</f>
        <v>2149008</v>
      </c>
      <c r="AP975" s="11">
        <f t="shared" ca="1" si="6"/>
        <v>44867</v>
      </c>
      <c r="AQ975" s="11"/>
      <c r="AR975" s="11"/>
      <c r="AS975" s="11"/>
      <c r="AT975" s="11"/>
    </row>
    <row r="976" spans="1:46" ht="13">
      <c r="A976" s="11"/>
      <c r="B976" t="str">
        <f>IFERROR(VLOOKUP($A976,koronahun!$A:$AM,2,FALSE),"")</f>
        <v/>
      </c>
      <c r="C976" t="str">
        <f>IFERROR(VLOOKUP($A976,koronahun!$A:$AM,3,FALSE),"")</f>
        <v/>
      </c>
      <c r="D976" t="str">
        <f>IFERROR(VLOOKUP($A976,koronahun!$A:$AM,4,FALSE),"")</f>
        <v/>
      </c>
      <c r="E976" t="str">
        <f>IFERROR(VLOOKUP($A976,koronahun!$A:$AM,5,FALSE),"")</f>
        <v/>
      </c>
      <c r="F976" t="str">
        <f>IFERROR(VLOOKUP($A976,koronahun!$A:$AM,6,FALSE),"")</f>
        <v/>
      </c>
      <c r="G976" s="12" t="str">
        <f>IFERROR(VLOOKUP($A976,koronahun!$A:$AM,7,FALSE),"")</f>
        <v/>
      </c>
      <c r="H976" t="str">
        <f>IFERROR(VLOOKUP($A976,koronahun!$A:$AM,8,FALSE),"")</f>
        <v/>
      </c>
      <c r="I976" s="13" t="str">
        <f>IFERROR(VLOOKUP($A976,koronahun!$A:$AM,9,FALSE),"")</f>
        <v/>
      </c>
      <c r="J976" s="13" t="str">
        <f>IFERROR(VLOOKUP($A976,koronahun!$A:$AM,10,FALSE),"")</f>
        <v/>
      </c>
      <c r="K976" s="13" t="str">
        <f>IFERROR(VLOOKUP($A976,koronahun!$A:$AM,11,FALSE),"")</f>
        <v/>
      </c>
      <c r="L976" t="str">
        <f>IFERROR(VLOOKUP($A976,koronahun!$A:$AM,12,FALSE),"")</f>
        <v/>
      </c>
      <c r="M976" s="13" t="str">
        <f>IFERROR(VLOOKUP($A976,koronahun!$A:$AM,13,FALSE),"")</f>
        <v/>
      </c>
      <c r="N976" s="13" t="str">
        <f>IFERROR(VLOOKUP($A976,koronahun!$A:$AM,14,FALSE),"")</f>
        <v/>
      </c>
      <c r="O976" t="str">
        <f>IFERROR(VLOOKUP($A976,koronahun!$A:$AM,15,FALSE),"")</f>
        <v/>
      </c>
      <c r="P976" t="str">
        <f>IFERROR(VLOOKUP($A976,koronahun!$A:$AM,16,FALSE),"")</f>
        <v/>
      </c>
      <c r="Q976" s="13" t="str">
        <f>IFERROR(VLOOKUP($A976,koronahun!$A:$AM,17,FALSE),"")</f>
        <v/>
      </c>
      <c r="R976" t="str">
        <f>IFERROR(VLOOKUP($A976,koronahun!$A:$AM,18,FALSE),"")</f>
        <v/>
      </c>
      <c r="S976" t="str">
        <f>IFERROR(VLOOKUP($A976,koronahun!$A:$AM,19,FALSE),"")</f>
        <v/>
      </c>
      <c r="T976" t="str">
        <f>IFERROR(VLOOKUP($A976,koronahun!$A:$AM,20,FALSE),"")</f>
        <v/>
      </c>
      <c r="U976" t="str">
        <f>IFERROR(VLOOKUP($A976,koronahun!$A:$AM,21,FALSE),"")</f>
        <v/>
      </c>
      <c r="V976" s="13" t="str">
        <f>IFERROR(VLOOKUP($A976,koronahun!$A:$AM,22,FALSE),"")</f>
        <v/>
      </c>
      <c r="W976" t="str">
        <f>IFERROR(VLOOKUP($A976,koronahun!$A:$AM,23,FALSE),"")</f>
        <v/>
      </c>
      <c r="X976" t="str">
        <f>IFERROR(VLOOKUP($A976,koronahun!$A:$AM,24,FALSE),"")</f>
        <v/>
      </c>
      <c r="Y976" s="14" t="str">
        <f>IFERROR(VLOOKUP($A976,koronahun!$A:$AM,25,FALSE),"")</f>
        <v/>
      </c>
      <c r="Z976" s="14" t="str">
        <f>IFERROR(VLOOKUP($A976,koronahun!$A:$AM,26,FALSE),"")</f>
        <v/>
      </c>
      <c r="AA976" s="14" t="str">
        <f>IFERROR(VLOOKUP($A976,koronahun!$A:$AM,27,FALSE),"")</f>
        <v/>
      </c>
      <c r="AB976" s="14" t="str">
        <f>IFERROR(VLOOKUP($A976,koronahun!$A:$AM,28,FALSE),"")</f>
        <v/>
      </c>
      <c r="AC976" s="14" t="str">
        <f>IFERROR(VLOOKUP($A976,koronahun!$A:$AM,29,FALSE),"")</f>
        <v/>
      </c>
      <c r="AD976" s="14" t="str">
        <f>IFERROR(VLOOKUP($A976,koronahun!$A:$AM,30,FALSE),"")</f>
        <v/>
      </c>
      <c r="AE976" s="14" t="str">
        <f>IFERROR(VLOOKUP($A976,koronahun!$A:$AM,31,FALSE),"")</f>
        <v/>
      </c>
      <c r="AF976" s="13" t="str">
        <f>IFERROR(VLOOKUP($A976,koronahun!$A:$AM,32,FALSE),"")</f>
        <v/>
      </c>
      <c r="AG976" t="str">
        <f>IFERROR(VLOOKUP($A976,koronahun!$A:$AM,33,FALSE),"")</f>
        <v/>
      </c>
      <c r="AH976" t="str">
        <f>IFERROR(VLOOKUP($A976,koronahun!$A:$AM,34,FALSE),"")</f>
        <v/>
      </c>
      <c r="AI976" t="str">
        <f>IFERROR(VLOOKUP($A976,koronahun!$A:$AM,35,FALSE),"")</f>
        <v/>
      </c>
      <c r="AJ976" t="str">
        <f>IFERROR(VLOOKUP($A976,koronahun!$A:$AM,36,FALSE),"")</f>
        <v/>
      </c>
      <c r="AK976" t="str">
        <f>IFERROR(VLOOKUP($A976,koronahun!$A:$AM,37,FALSE),"")</f>
        <v/>
      </c>
      <c r="AL976" t="str">
        <f>IFERROR(VLOOKUP($A976,koronahun!$A:$AM,38,FALSE),"")</f>
        <v/>
      </c>
      <c r="AM976" s="14" t="str">
        <f>IFERROR(VLOOKUP($A976,koronahun!$A:$AM,39,FALSE),"")</f>
        <v/>
      </c>
      <c r="AN976" s="11">
        <f ca="1">IFERROR(__xludf.DUMMYFUNCTION("""COMPUTED_VALUE"""),44868)</f>
        <v>44868</v>
      </c>
      <c r="AO976" s="12">
        <f ca="1">IFERROR(VLOOKUP(AN976,koronahun!A:B,2,FALSE),"")</f>
        <v>0</v>
      </c>
      <c r="AP976" s="11">
        <f t="shared" ca="1" si="6"/>
        <v>44868</v>
      </c>
      <c r="AQ976" s="11"/>
      <c r="AR976" s="11"/>
      <c r="AS976" s="11"/>
      <c r="AT976" s="11"/>
    </row>
    <row r="977" spans="1:46" ht="13">
      <c r="A977" s="11"/>
      <c r="B977" t="str">
        <f>IFERROR(VLOOKUP($A977,koronahun!$A:$AM,2,FALSE),"")</f>
        <v/>
      </c>
      <c r="C977" t="str">
        <f>IFERROR(VLOOKUP($A977,koronahun!$A:$AM,3,FALSE),"")</f>
        <v/>
      </c>
      <c r="D977" t="str">
        <f>IFERROR(VLOOKUP($A977,koronahun!$A:$AM,4,FALSE),"")</f>
        <v/>
      </c>
      <c r="E977" t="str">
        <f>IFERROR(VLOOKUP($A977,koronahun!$A:$AM,5,FALSE),"")</f>
        <v/>
      </c>
      <c r="F977" t="str">
        <f>IFERROR(VLOOKUP($A977,koronahun!$A:$AM,6,FALSE),"")</f>
        <v/>
      </c>
      <c r="G977" s="12" t="str">
        <f>IFERROR(VLOOKUP($A977,koronahun!$A:$AM,7,FALSE),"")</f>
        <v/>
      </c>
      <c r="H977" t="str">
        <f>IFERROR(VLOOKUP($A977,koronahun!$A:$AM,8,FALSE),"")</f>
        <v/>
      </c>
      <c r="I977" s="13" t="str">
        <f>IFERROR(VLOOKUP($A977,koronahun!$A:$AM,9,FALSE),"")</f>
        <v/>
      </c>
      <c r="J977" s="13" t="str">
        <f>IFERROR(VLOOKUP($A977,koronahun!$A:$AM,10,FALSE),"")</f>
        <v/>
      </c>
      <c r="K977" s="13" t="str">
        <f>IFERROR(VLOOKUP($A977,koronahun!$A:$AM,11,FALSE),"")</f>
        <v/>
      </c>
      <c r="L977" t="str">
        <f>IFERROR(VLOOKUP($A977,koronahun!$A:$AM,12,FALSE),"")</f>
        <v/>
      </c>
      <c r="M977" s="13" t="str">
        <f>IFERROR(VLOOKUP($A977,koronahun!$A:$AM,13,FALSE),"")</f>
        <v/>
      </c>
      <c r="N977" s="13" t="str">
        <f>IFERROR(VLOOKUP($A977,koronahun!$A:$AM,14,FALSE),"")</f>
        <v/>
      </c>
      <c r="O977" t="str">
        <f>IFERROR(VLOOKUP($A977,koronahun!$A:$AM,15,FALSE),"")</f>
        <v/>
      </c>
      <c r="P977" t="str">
        <f>IFERROR(VLOOKUP($A977,koronahun!$A:$AM,16,FALSE),"")</f>
        <v/>
      </c>
      <c r="Q977" s="13" t="str">
        <f>IFERROR(VLOOKUP($A977,koronahun!$A:$AM,17,FALSE),"")</f>
        <v/>
      </c>
      <c r="R977" t="str">
        <f>IFERROR(VLOOKUP($A977,koronahun!$A:$AM,18,FALSE),"")</f>
        <v/>
      </c>
      <c r="S977" t="str">
        <f>IFERROR(VLOOKUP($A977,koronahun!$A:$AM,19,FALSE),"")</f>
        <v/>
      </c>
      <c r="T977" t="str">
        <f>IFERROR(VLOOKUP($A977,koronahun!$A:$AM,20,FALSE),"")</f>
        <v/>
      </c>
      <c r="U977" t="str">
        <f>IFERROR(VLOOKUP($A977,koronahun!$A:$AM,21,FALSE),"")</f>
        <v/>
      </c>
      <c r="V977" s="13" t="str">
        <f>IFERROR(VLOOKUP($A977,koronahun!$A:$AM,22,FALSE),"")</f>
        <v/>
      </c>
      <c r="W977" t="str">
        <f>IFERROR(VLOOKUP($A977,koronahun!$A:$AM,23,FALSE),"")</f>
        <v/>
      </c>
      <c r="X977" t="str">
        <f>IFERROR(VLOOKUP($A977,koronahun!$A:$AM,24,FALSE),"")</f>
        <v/>
      </c>
      <c r="Y977" s="14" t="str">
        <f>IFERROR(VLOOKUP($A977,koronahun!$A:$AM,25,FALSE),"")</f>
        <v/>
      </c>
      <c r="Z977" s="14" t="str">
        <f>IFERROR(VLOOKUP($A977,koronahun!$A:$AM,26,FALSE),"")</f>
        <v/>
      </c>
      <c r="AA977" s="14" t="str">
        <f>IFERROR(VLOOKUP($A977,koronahun!$A:$AM,27,FALSE),"")</f>
        <v/>
      </c>
      <c r="AB977" s="14" t="str">
        <f>IFERROR(VLOOKUP($A977,koronahun!$A:$AM,28,FALSE),"")</f>
        <v/>
      </c>
      <c r="AC977" s="14" t="str">
        <f>IFERROR(VLOOKUP($A977,koronahun!$A:$AM,29,FALSE),"")</f>
        <v/>
      </c>
      <c r="AD977" s="14" t="str">
        <f>IFERROR(VLOOKUP($A977,koronahun!$A:$AM,30,FALSE),"")</f>
        <v/>
      </c>
      <c r="AE977" s="14" t="str">
        <f>IFERROR(VLOOKUP($A977,koronahun!$A:$AM,31,FALSE),"")</f>
        <v/>
      </c>
      <c r="AF977" s="13" t="str">
        <f>IFERROR(VLOOKUP($A977,koronahun!$A:$AM,32,FALSE),"")</f>
        <v/>
      </c>
      <c r="AG977" t="str">
        <f>IFERROR(VLOOKUP($A977,koronahun!$A:$AM,33,FALSE),"")</f>
        <v/>
      </c>
      <c r="AH977" t="str">
        <f>IFERROR(VLOOKUP($A977,koronahun!$A:$AM,34,FALSE),"")</f>
        <v/>
      </c>
      <c r="AI977" t="str">
        <f>IFERROR(VLOOKUP($A977,koronahun!$A:$AM,35,FALSE),"")</f>
        <v/>
      </c>
      <c r="AJ977" t="str">
        <f>IFERROR(VLOOKUP($A977,koronahun!$A:$AM,36,FALSE),"")</f>
        <v/>
      </c>
      <c r="AK977" t="str">
        <f>IFERROR(VLOOKUP($A977,koronahun!$A:$AM,37,FALSE),"")</f>
        <v/>
      </c>
      <c r="AL977" t="str">
        <f>IFERROR(VLOOKUP($A977,koronahun!$A:$AM,38,FALSE),"")</f>
        <v/>
      </c>
      <c r="AM977" s="14" t="str">
        <f>IFERROR(VLOOKUP($A977,koronahun!$A:$AM,39,FALSE),"")</f>
        <v/>
      </c>
      <c r="AN977" s="11">
        <f ca="1">IFERROR(__xludf.DUMMYFUNCTION("""COMPUTED_VALUE"""),44869)</f>
        <v>44869</v>
      </c>
      <c r="AO977" s="12">
        <f ca="1">IFERROR(VLOOKUP(AN977,koronahun!A:B,2,FALSE),"")</f>
        <v>0</v>
      </c>
      <c r="AP977" s="11">
        <f t="shared" ca="1" si="6"/>
        <v>44869</v>
      </c>
      <c r="AQ977" s="11"/>
      <c r="AR977" s="11"/>
      <c r="AS977" s="11"/>
      <c r="AT977" s="11"/>
    </row>
    <row r="978" spans="1:46" ht="13">
      <c r="A978" s="11"/>
      <c r="B978" t="str">
        <f>IFERROR(VLOOKUP($A978,koronahun!$A:$AM,2,FALSE),"")</f>
        <v/>
      </c>
      <c r="C978" t="str">
        <f>IFERROR(VLOOKUP($A978,koronahun!$A:$AM,3,FALSE),"")</f>
        <v/>
      </c>
      <c r="D978" t="str">
        <f>IFERROR(VLOOKUP($A978,koronahun!$A:$AM,4,FALSE),"")</f>
        <v/>
      </c>
      <c r="E978" t="str">
        <f>IFERROR(VLOOKUP($A978,koronahun!$A:$AM,5,FALSE),"")</f>
        <v/>
      </c>
      <c r="F978" t="str">
        <f>IFERROR(VLOOKUP($A978,koronahun!$A:$AM,6,FALSE),"")</f>
        <v/>
      </c>
      <c r="G978" s="12" t="str">
        <f>IFERROR(VLOOKUP($A978,koronahun!$A:$AM,7,FALSE),"")</f>
        <v/>
      </c>
      <c r="H978" t="str">
        <f>IFERROR(VLOOKUP($A978,koronahun!$A:$AM,8,FALSE),"")</f>
        <v/>
      </c>
      <c r="I978" s="13" t="str">
        <f>IFERROR(VLOOKUP($A978,koronahun!$A:$AM,9,FALSE),"")</f>
        <v/>
      </c>
      <c r="J978" s="13" t="str">
        <f>IFERROR(VLOOKUP($A978,koronahun!$A:$AM,10,FALSE),"")</f>
        <v/>
      </c>
      <c r="K978" s="13" t="str">
        <f>IFERROR(VLOOKUP($A978,koronahun!$A:$AM,11,FALSE),"")</f>
        <v/>
      </c>
      <c r="L978" t="str">
        <f>IFERROR(VLOOKUP($A978,koronahun!$A:$AM,12,FALSE),"")</f>
        <v/>
      </c>
      <c r="M978" s="13" t="str">
        <f>IFERROR(VLOOKUP($A978,koronahun!$A:$AM,13,FALSE),"")</f>
        <v/>
      </c>
      <c r="N978" s="13" t="str">
        <f>IFERROR(VLOOKUP($A978,koronahun!$A:$AM,14,FALSE),"")</f>
        <v/>
      </c>
      <c r="O978" t="str">
        <f>IFERROR(VLOOKUP($A978,koronahun!$A:$AM,15,FALSE),"")</f>
        <v/>
      </c>
      <c r="P978" t="str">
        <f>IFERROR(VLOOKUP($A978,koronahun!$A:$AM,16,FALSE),"")</f>
        <v/>
      </c>
      <c r="Q978" s="13" t="str">
        <f>IFERROR(VLOOKUP($A978,koronahun!$A:$AM,17,FALSE),"")</f>
        <v/>
      </c>
      <c r="R978" t="str">
        <f>IFERROR(VLOOKUP($A978,koronahun!$A:$AM,18,FALSE),"")</f>
        <v/>
      </c>
      <c r="S978" t="str">
        <f>IFERROR(VLOOKUP($A978,koronahun!$A:$AM,19,FALSE),"")</f>
        <v/>
      </c>
      <c r="T978" t="str">
        <f>IFERROR(VLOOKUP($A978,koronahun!$A:$AM,20,FALSE),"")</f>
        <v/>
      </c>
      <c r="U978" t="str">
        <f>IFERROR(VLOOKUP($A978,koronahun!$A:$AM,21,FALSE),"")</f>
        <v/>
      </c>
      <c r="V978" s="13" t="str">
        <f>IFERROR(VLOOKUP($A978,koronahun!$A:$AM,22,FALSE),"")</f>
        <v/>
      </c>
      <c r="W978" t="str">
        <f>IFERROR(VLOOKUP($A978,koronahun!$A:$AM,23,FALSE),"")</f>
        <v/>
      </c>
      <c r="X978" t="str">
        <f>IFERROR(VLOOKUP($A978,koronahun!$A:$AM,24,FALSE),"")</f>
        <v/>
      </c>
      <c r="Y978" s="14" t="str">
        <f>IFERROR(VLOOKUP($A978,koronahun!$A:$AM,25,FALSE),"")</f>
        <v/>
      </c>
      <c r="Z978" s="14" t="str">
        <f>IFERROR(VLOOKUP($A978,koronahun!$A:$AM,26,FALSE),"")</f>
        <v/>
      </c>
      <c r="AA978" s="14" t="str">
        <f>IFERROR(VLOOKUP($A978,koronahun!$A:$AM,27,FALSE),"")</f>
        <v/>
      </c>
      <c r="AB978" s="14" t="str">
        <f>IFERROR(VLOOKUP($A978,koronahun!$A:$AM,28,FALSE),"")</f>
        <v/>
      </c>
      <c r="AC978" s="14" t="str">
        <f>IFERROR(VLOOKUP($A978,koronahun!$A:$AM,29,FALSE),"")</f>
        <v/>
      </c>
      <c r="AD978" s="14" t="str">
        <f>IFERROR(VLOOKUP($A978,koronahun!$A:$AM,30,FALSE),"")</f>
        <v/>
      </c>
      <c r="AE978" s="14" t="str">
        <f>IFERROR(VLOOKUP($A978,koronahun!$A:$AM,31,FALSE),"")</f>
        <v/>
      </c>
      <c r="AF978" s="13" t="str">
        <f>IFERROR(VLOOKUP($A978,koronahun!$A:$AM,32,FALSE),"")</f>
        <v/>
      </c>
      <c r="AG978" t="str">
        <f>IFERROR(VLOOKUP($A978,koronahun!$A:$AM,33,FALSE),"")</f>
        <v/>
      </c>
      <c r="AH978" t="str">
        <f>IFERROR(VLOOKUP($A978,koronahun!$A:$AM,34,FALSE),"")</f>
        <v/>
      </c>
      <c r="AI978" t="str">
        <f>IFERROR(VLOOKUP($A978,koronahun!$A:$AM,35,FALSE),"")</f>
        <v/>
      </c>
      <c r="AJ978" t="str">
        <f>IFERROR(VLOOKUP($A978,koronahun!$A:$AM,36,FALSE),"")</f>
        <v/>
      </c>
      <c r="AK978" t="str">
        <f>IFERROR(VLOOKUP($A978,koronahun!$A:$AM,37,FALSE),"")</f>
        <v/>
      </c>
      <c r="AL978" t="str">
        <f>IFERROR(VLOOKUP($A978,koronahun!$A:$AM,38,FALSE),"")</f>
        <v/>
      </c>
      <c r="AM978" s="14" t="str">
        <f>IFERROR(VLOOKUP($A978,koronahun!$A:$AM,39,FALSE),"")</f>
        <v/>
      </c>
      <c r="AN978" s="11">
        <f ca="1">IFERROR(__xludf.DUMMYFUNCTION("""COMPUTED_VALUE"""),44870)</f>
        <v>44870</v>
      </c>
      <c r="AO978" s="12">
        <f ca="1">IFERROR(VLOOKUP(AN978,koronahun!A:B,2,FALSE),"")</f>
        <v>0</v>
      </c>
      <c r="AP978" s="11">
        <f t="shared" ca="1" si="6"/>
        <v>44870</v>
      </c>
      <c r="AQ978" s="11"/>
      <c r="AR978" s="11"/>
      <c r="AS978" s="11"/>
      <c r="AT978" s="11"/>
    </row>
    <row r="979" spans="1:46" ht="13">
      <c r="A979" s="11"/>
      <c r="B979" t="str">
        <f>IFERROR(VLOOKUP($A979,koronahun!$A:$AM,2,FALSE),"")</f>
        <v/>
      </c>
      <c r="C979" t="str">
        <f>IFERROR(VLOOKUP($A979,koronahun!$A:$AM,3,FALSE),"")</f>
        <v/>
      </c>
      <c r="D979" t="str">
        <f>IFERROR(VLOOKUP($A979,koronahun!$A:$AM,4,FALSE),"")</f>
        <v/>
      </c>
      <c r="E979" t="str">
        <f>IFERROR(VLOOKUP($A979,koronahun!$A:$AM,5,FALSE),"")</f>
        <v/>
      </c>
      <c r="F979" t="str">
        <f>IFERROR(VLOOKUP($A979,koronahun!$A:$AM,6,FALSE),"")</f>
        <v/>
      </c>
      <c r="G979" s="12" t="str">
        <f>IFERROR(VLOOKUP($A979,koronahun!$A:$AM,7,FALSE),"")</f>
        <v/>
      </c>
      <c r="H979" t="str">
        <f>IFERROR(VLOOKUP($A979,koronahun!$A:$AM,8,FALSE),"")</f>
        <v/>
      </c>
      <c r="I979" s="13" t="str">
        <f>IFERROR(VLOOKUP($A979,koronahun!$A:$AM,9,FALSE),"")</f>
        <v/>
      </c>
      <c r="J979" s="13" t="str">
        <f>IFERROR(VLOOKUP($A979,koronahun!$A:$AM,10,FALSE),"")</f>
        <v/>
      </c>
      <c r="K979" s="13" t="str">
        <f>IFERROR(VLOOKUP($A979,koronahun!$A:$AM,11,FALSE),"")</f>
        <v/>
      </c>
      <c r="L979" t="str">
        <f>IFERROR(VLOOKUP($A979,koronahun!$A:$AM,12,FALSE),"")</f>
        <v/>
      </c>
      <c r="M979" s="13" t="str">
        <f>IFERROR(VLOOKUP($A979,koronahun!$A:$AM,13,FALSE),"")</f>
        <v/>
      </c>
      <c r="N979" s="13" t="str">
        <f>IFERROR(VLOOKUP($A979,koronahun!$A:$AM,14,FALSE),"")</f>
        <v/>
      </c>
      <c r="O979" t="str">
        <f>IFERROR(VLOOKUP($A979,koronahun!$A:$AM,15,FALSE),"")</f>
        <v/>
      </c>
      <c r="P979" t="str">
        <f>IFERROR(VLOOKUP($A979,koronahun!$A:$AM,16,FALSE),"")</f>
        <v/>
      </c>
      <c r="Q979" s="13" t="str">
        <f>IFERROR(VLOOKUP($A979,koronahun!$A:$AM,17,FALSE),"")</f>
        <v/>
      </c>
      <c r="R979" t="str">
        <f>IFERROR(VLOOKUP($A979,koronahun!$A:$AM,18,FALSE),"")</f>
        <v/>
      </c>
      <c r="S979" t="str">
        <f>IFERROR(VLOOKUP($A979,koronahun!$A:$AM,19,FALSE),"")</f>
        <v/>
      </c>
      <c r="T979" t="str">
        <f>IFERROR(VLOOKUP($A979,koronahun!$A:$AM,20,FALSE),"")</f>
        <v/>
      </c>
      <c r="U979" t="str">
        <f>IFERROR(VLOOKUP($A979,koronahun!$A:$AM,21,FALSE),"")</f>
        <v/>
      </c>
      <c r="V979" s="13" t="str">
        <f>IFERROR(VLOOKUP($A979,koronahun!$A:$AM,22,FALSE),"")</f>
        <v/>
      </c>
      <c r="W979" t="str">
        <f>IFERROR(VLOOKUP($A979,koronahun!$A:$AM,23,FALSE),"")</f>
        <v/>
      </c>
      <c r="X979" t="str">
        <f>IFERROR(VLOOKUP($A979,koronahun!$A:$AM,24,FALSE),"")</f>
        <v/>
      </c>
      <c r="Y979" s="14" t="str">
        <f>IFERROR(VLOOKUP($A979,koronahun!$A:$AM,25,FALSE),"")</f>
        <v/>
      </c>
      <c r="Z979" s="14" t="str">
        <f>IFERROR(VLOOKUP($A979,koronahun!$A:$AM,26,FALSE),"")</f>
        <v/>
      </c>
      <c r="AA979" s="14" t="str">
        <f>IFERROR(VLOOKUP($A979,koronahun!$A:$AM,27,FALSE),"")</f>
        <v/>
      </c>
      <c r="AB979" s="14" t="str">
        <f>IFERROR(VLOOKUP($A979,koronahun!$A:$AM,28,FALSE),"")</f>
        <v/>
      </c>
      <c r="AC979" s="14" t="str">
        <f>IFERROR(VLOOKUP($A979,koronahun!$A:$AM,29,FALSE),"")</f>
        <v/>
      </c>
      <c r="AD979" s="14" t="str">
        <f>IFERROR(VLOOKUP($A979,koronahun!$A:$AM,30,FALSE),"")</f>
        <v/>
      </c>
      <c r="AE979" s="14" t="str">
        <f>IFERROR(VLOOKUP($A979,koronahun!$A:$AM,31,FALSE),"")</f>
        <v/>
      </c>
      <c r="AF979" s="13" t="str">
        <f>IFERROR(VLOOKUP($A979,koronahun!$A:$AM,32,FALSE),"")</f>
        <v/>
      </c>
      <c r="AG979" t="str">
        <f>IFERROR(VLOOKUP($A979,koronahun!$A:$AM,33,FALSE),"")</f>
        <v/>
      </c>
      <c r="AH979" t="str">
        <f>IFERROR(VLOOKUP($A979,koronahun!$A:$AM,34,FALSE),"")</f>
        <v/>
      </c>
      <c r="AI979" t="str">
        <f>IFERROR(VLOOKUP($A979,koronahun!$A:$AM,35,FALSE),"")</f>
        <v/>
      </c>
      <c r="AJ979" t="str">
        <f>IFERROR(VLOOKUP($A979,koronahun!$A:$AM,36,FALSE),"")</f>
        <v/>
      </c>
      <c r="AK979" t="str">
        <f>IFERROR(VLOOKUP($A979,koronahun!$A:$AM,37,FALSE),"")</f>
        <v/>
      </c>
      <c r="AL979" t="str">
        <f>IFERROR(VLOOKUP($A979,koronahun!$A:$AM,38,FALSE),"")</f>
        <v/>
      </c>
      <c r="AM979" s="14" t="str">
        <f>IFERROR(VLOOKUP($A979,koronahun!$A:$AM,39,FALSE),"")</f>
        <v/>
      </c>
      <c r="AN979" s="11">
        <f ca="1">IFERROR(__xludf.DUMMYFUNCTION("""COMPUTED_VALUE"""),44871)</f>
        <v>44871</v>
      </c>
      <c r="AO979" s="12">
        <f ca="1">IFERROR(VLOOKUP(AN979,koronahun!A:B,2,FALSE),"")</f>
        <v>0</v>
      </c>
      <c r="AP979" s="11">
        <f t="shared" ca="1" si="6"/>
        <v>44871</v>
      </c>
      <c r="AQ979" s="11"/>
      <c r="AR979" s="11"/>
      <c r="AS979" s="11"/>
      <c r="AT979" s="11"/>
    </row>
    <row r="980" spans="1:46" ht="13">
      <c r="A980" s="11"/>
      <c r="B980" t="str">
        <f>IFERROR(VLOOKUP($A980,koronahun!$A:$AM,2,FALSE),"")</f>
        <v/>
      </c>
      <c r="C980" t="str">
        <f>IFERROR(VLOOKUP($A980,koronahun!$A:$AM,3,FALSE),"")</f>
        <v/>
      </c>
      <c r="D980" t="str">
        <f>IFERROR(VLOOKUP($A980,koronahun!$A:$AM,4,FALSE),"")</f>
        <v/>
      </c>
      <c r="E980" t="str">
        <f>IFERROR(VLOOKUP($A980,koronahun!$A:$AM,5,FALSE),"")</f>
        <v/>
      </c>
      <c r="F980" t="str">
        <f>IFERROR(VLOOKUP($A980,koronahun!$A:$AM,6,FALSE),"")</f>
        <v/>
      </c>
      <c r="G980" s="12" t="str">
        <f>IFERROR(VLOOKUP($A980,koronahun!$A:$AM,7,FALSE),"")</f>
        <v/>
      </c>
      <c r="H980" t="str">
        <f>IFERROR(VLOOKUP($A980,koronahun!$A:$AM,8,FALSE),"")</f>
        <v/>
      </c>
      <c r="I980" s="13" t="str">
        <f>IFERROR(VLOOKUP($A980,koronahun!$A:$AM,9,FALSE),"")</f>
        <v/>
      </c>
      <c r="J980" s="13" t="str">
        <f>IFERROR(VLOOKUP($A980,koronahun!$A:$AM,10,FALSE),"")</f>
        <v/>
      </c>
      <c r="K980" s="13" t="str">
        <f>IFERROR(VLOOKUP($A980,koronahun!$A:$AM,11,FALSE),"")</f>
        <v/>
      </c>
      <c r="L980" t="str">
        <f>IFERROR(VLOOKUP($A980,koronahun!$A:$AM,12,FALSE),"")</f>
        <v/>
      </c>
      <c r="M980" s="13" t="str">
        <f>IFERROR(VLOOKUP($A980,koronahun!$A:$AM,13,FALSE),"")</f>
        <v/>
      </c>
      <c r="N980" s="13" t="str">
        <f>IFERROR(VLOOKUP($A980,koronahun!$A:$AM,14,FALSE),"")</f>
        <v/>
      </c>
      <c r="O980" t="str">
        <f>IFERROR(VLOOKUP($A980,koronahun!$A:$AM,15,FALSE),"")</f>
        <v/>
      </c>
      <c r="P980" t="str">
        <f>IFERROR(VLOOKUP($A980,koronahun!$A:$AM,16,FALSE),"")</f>
        <v/>
      </c>
      <c r="Q980" s="13" t="str">
        <f>IFERROR(VLOOKUP($A980,koronahun!$A:$AM,17,FALSE),"")</f>
        <v/>
      </c>
      <c r="R980" t="str">
        <f>IFERROR(VLOOKUP($A980,koronahun!$A:$AM,18,FALSE),"")</f>
        <v/>
      </c>
      <c r="S980" t="str">
        <f>IFERROR(VLOOKUP($A980,koronahun!$A:$AM,19,FALSE),"")</f>
        <v/>
      </c>
      <c r="T980" t="str">
        <f>IFERROR(VLOOKUP($A980,koronahun!$A:$AM,20,FALSE),"")</f>
        <v/>
      </c>
      <c r="U980" t="str">
        <f>IFERROR(VLOOKUP($A980,koronahun!$A:$AM,21,FALSE),"")</f>
        <v/>
      </c>
      <c r="V980" s="13" t="str">
        <f>IFERROR(VLOOKUP($A980,koronahun!$A:$AM,22,FALSE),"")</f>
        <v/>
      </c>
      <c r="W980" t="str">
        <f>IFERROR(VLOOKUP($A980,koronahun!$A:$AM,23,FALSE),"")</f>
        <v/>
      </c>
      <c r="X980" t="str">
        <f>IFERROR(VLOOKUP($A980,koronahun!$A:$AM,24,FALSE),"")</f>
        <v/>
      </c>
      <c r="Y980" s="14" t="str">
        <f>IFERROR(VLOOKUP($A980,koronahun!$A:$AM,25,FALSE),"")</f>
        <v/>
      </c>
      <c r="Z980" s="14" t="str">
        <f>IFERROR(VLOOKUP($A980,koronahun!$A:$AM,26,FALSE),"")</f>
        <v/>
      </c>
      <c r="AA980" s="14" t="str">
        <f>IFERROR(VLOOKUP($A980,koronahun!$A:$AM,27,FALSE),"")</f>
        <v/>
      </c>
      <c r="AB980" s="14" t="str">
        <f>IFERROR(VLOOKUP($A980,koronahun!$A:$AM,28,FALSE),"")</f>
        <v/>
      </c>
      <c r="AC980" s="14" t="str">
        <f>IFERROR(VLOOKUP($A980,koronahun!$A:$AM,29,FALSE),"")</f>
        <v/>
      </c>
      <c r="AD980" s="14" t="str">
        <f>IFERROR(VLOOKUP($A980,koronahun!$A:$AM,30,FALSE),"")</f>
        <v/>
      </c>
      <c r="AE980" s="14" t="str">
        <f>IFERROR(VLOOKUP($A980,koronahun!$A:$AM,31,FALSE),"")</f>
        <v/>
      </c>
      <c r="AF980" s="13" t="str">
        <f>IFERROR(VLOOKUP($A980,koronahun!$A:$AM,32,FALSE),"")</f>
        <v/>
      </c>
      <c r="AG980" t="str">
        <f>IFERROR(VLOOKUP($A980,koronahun!$A:$AM,33,FALSE),"")</f>
        <v/>
      </c>
      <c r="AH980" t="str">
        <f>IFERROR(VLOOKUP($A980,koronahun!$A:$AM,34,FALSE),"")</f>
        <v/>
      </c>
      <c r="AI980" t="str">
        <f>IFERROR(VLOOKUP($A980,koronahun!$A:$AM,35,FALSE),"")</f>
        <v/>
      </c>
      <c r="AJ980" t="str">
        <f>IFERROR(VLOOKUP($A980,koronahun!$A:$AM,36,FALSE),"")</f>
        <v/>
      </c>
      <c r="AK980" t="str">
        <f>IFERROR(VLOOKUP($A980,koronahun!$A:$AM,37,FALSE),"")</f>
        <v/>
      </c>
      <c r="AL980" t="str">
        <f>IFERROR(VLOOKUP($A980,koronahun!$A:$AM,38,FALSE),"")</f>
        <v/>
      </c>
      <c r="AM980" s="14" t="str">
        <f>IFERROR(VLOOKUP($A980,koronahun!$A:$AM,39,FALSE),"")</f>
        <v/>
      </c>
      <c r="AN980" s="11">
        <f ca="1">IFERROR(__xludf.DUMMYFUNCTION("""COMPUTED_VALUE"""),44872)</f>
        <v>44872</v>
      </c>
      <c r="AO980" s="12">
        <f ca="1">IFERROR(VLOOKUP(AN980,koronahun!A:B,2,FALSE),"")</f>
        <v>0</v>
      </c>
      <c r="AP980" s="11">
        <f t="shared" ca="1" si="6"/>
        <v>44872</v>
      </c>
      <c r="AQ980" s="11"/>
      <c r="AR980" s="11"/>
      <c r="AS980" s="11"/>
      <c r="AT980" s="11"/>
    </row>
    <row r="981" spans="1:46" ht="13">
      <c r="A981" s="11"/>
      <c r="B981" t="str">
        <f>IFERROR(VLOOKUP($A981,koronahun!$A:$AM,2,FALSE),"")</f>
        <v/>
      </c>
      <c r="C981" t="str">
        <f>IFERROR(VLOOKUP($A981,koronahun!$A:$AM,3,FALSE),"")</f>
        <v/>
      </c>
      <c r="D981" t="str">
        <f>IFERROR(VLOOKUP($A981,koronahun!$A:$AM,4,FALSE),"")</f>
        <v/>
      </c>
      <c r="E981" t="str">
        <f>IFERROR(VLOOKUP($A981,koronahun!$A:$AM,5,FALSE),"")</f>
        <v/>
      </c>
      <c r="F981" t="str">
        <f>IFERROR(VLOOKUP($A981,koronahun!$A:$AM,6,FALSE),"")</f>
        <v/>
      </c>
      <c r="G981" s="12" t="str">
        <f>IFERROR(VLOOKUP($A981,koronahun!$A:$AM,7,FALSE),"")</f>
        <v/>
      </c>
      <c r="H981" t="str">
        <f>IFERROR(VLOOKUP($A981,koronahun!$A:$AM,8,FALSE),"")</f>
        <v/>
      </c>
      <c r="I981" s="13" t="str">
        <f>IFERROR(VLOOKUP($A981,koronahun!$A:$AM,9,FALSE),"")</f>
        <v/>
      </c>
      <c r="J981" s="13" t="str">
        <f>IFERROR(VLOOKUP($A981,koronahun!$A:$AM,10,FALSE),"")</f>
        <v/>
      </c>
      <c r="K981" s="13" t="str">
        <f>IFERROR(VLOOKUP($A981,koronahun!$A:$AM,11,FALSE),"")</f>
        <v/>
      </c>
      <c r="L981" t="str">
        <f>IFERROR(VLOOKUP($A981,koronahun!$A:$AM,12,FALSE),"")</f>
        <v/>
      </c>
      <c r="M981" s="13" t="str">
        <f>IFERROR(VLOOKUP($A981,koronahun!$A:$AM,13,FALSE),"")</f>
        <v/>
      </c>
      <c r="N981" s="13" t="str">
        <f>IFERROR(VLOOKUP($A981,koronahun!$A:$AM,14,FALSE),"")</f>
        <v/>
      </c>
      <c r="O981" t="str">
        <f>IFERROR(VLOOKUP($A981,koronahun!$A:$AM,15,FALSE),"")</f>
        <v/>
      </c>
      <c r="P981" t="str">
        <f>IFERROR(VLOOKUP($A981,koronahun!$A:$AM,16,FALSE),"")</f>
        <v/>
      </c>
      <c r="Q981" s="13" t="str">
        <f>IFERROR(VLOOKUP($A981,koronahun!$A:$AM,17,FALSE),"")</f>
        <v/>
      </c>
      <c r="R981" t="str">
        <f>IFERROR(VLOOKUP($A981,koronahun!$A:$AM,18,FALSE),"")</f>
        <v/>
      </c>
      <c r="S981" t="str">
        <f>IFERROR(VLOOKUP($A981,koronahun!$A:$AM,19,FALSE),"")</f>
        <v/>
      </c>
      <c r="T981" t="str">
        <f>IFERROR(VLOOKUP($A981,koronahun!$A:$AM,20,FALSE),"")</f>
        <v/>
      </c>
      <c r="U981" t="str">
        <f>IFERROR(VLOOKUP($A981,koronahun!$A:$AM,21,FALSE),"")</f>
        <v/>
      </c>
      <c r="V981" s="13" t="str">
        <f>IFERROR(VLOOKUP($A981,koronahun!$A:$AM,22,FALSE),"")</f>
        <v/>
      </c>
      <c r="W981" t="str">
        <f>IFERROR(VLOOKUP($A981,koronahun!$A:$AM,23,FALSE),"")</f>
        <v/>
      </c>
      <c r="X981" t="str">
        <f>IFERROR(VLOOKUP($A981,koronahun!$A:$AM,24,FALSE),"")</f>
        <v/>
      </c>
      <c r="Y981" s="14" t="str">
        <f>IFERROR(VLOOKUP($A981,koronahun!$A:$AM,25,FALSE),"")</f>
        <v/>
      </c>
      <c r="Z981" s="14" t="str">
        <f>IFERROR(VLOOKUP($A981,koronahun!$A:$AM,26,FALSE),"")</f>
        <v/>
      </c>
      <c r="AA981" s="14" t="str">
        <f>IFERROR(VLOOKUP($A981,koronahun!$A:$AM,27,FALSE),"")</f>
        <v/>
      </c>
      <c r="AB981" s="14" t="str">
        <f>IFERROR(VLOOKUP($A981,koronahun!$A:$AM,28,FALSE),"")</f>
        <v/>
      </c>
      <c r="AC981" s="14" t="str">
        <f>IFERROR(VLOOKUP($A981,koronahun!$A:$AM,29,FALSE),"")</f>
        <v/>
      </c>
      <c r="AD981" s="14" t="str">
        <f>IFERROR(VLOOKUP($A981,koronahun!$A:$AM,30,FALSE),"")</f>
        <v/>
      </c>
      <c r="AE981" s="14" t="str">
        <f>IFERROR(VLOOKUP($A981,koronahun!$A:$AM,31,FALSE),"")</f>
        <v/>
      </c>
      <c r="AF981" s="13" t="str">
        <f>IFERROR(VLOOKUP($A981,koronahun!$A:$AM,32,FALSE),"")</f>
        <v/>
      </c>
      <c r="AG981" t="str">
        <f>IFERROR(VLOOKUP($A981,koronahun!$A:$AM,33,FALSE),"")</f>
        <v/>
      </c>
      <c r="AH981" t="str">
        <f>IFERROR(VLOOKUP($A981,koronahun!$A:$AM,34,FALSE),"")</f>
        <v/>
      </c>
      <c r="AI981" t="str">
        <f>IFERROR(VLOOKUP($A981,koronahun!$A:$AM,35,FALSE),"")</f>
        <v/>
      </c>
      <c r="AJ981" t="str">
        <f>IFERROR(VLOOKUP($A981,koronahun!$A:$AM,36,FALSE),"")</f>
        <v/>
      </c>
      <c r="AK981" t="str">
        <f>IFERROR(VLOOKUP($A981,koronahun!$A:$AM,37,FALSE),"")</f>
        <v/>
      </c>
      <c r="AL981" t="str">
        <f>IFERROR(VLOOKUP($A981,koronahun!$A:$AM,38,FALSE),"")</f>
        <v/>
      </c>
      <c r="AM981" s="14" t="str">
        <f>IFERROR(VLOOKUP($A981,koronahun!$A:$AM,39,FALSE),"")</f>
        <v/>
      </c>
      <c r="AN981" s="11">
        <f ca="1">IFERROR(__xludf.DUMMYFUNCTION("""COMPUTED_VALUE"""),44873)</f>
        <v>44873</v>
      </c>
      <c r="AO981" s="12">
        <f ca="1">IFERROR(VLOOKUP(AN981,koronahun!A:B,2,FALSE),"")</f>
        <v>0</v>
      </c>
      <c r="AP981" s="11">
        <f t="shared" ca="1" si="6"/>
        <v>44873</v>
      </c>
      <c r="AQ981" s="11"/>
      <c r="AR981" s="11"/>
      <c r="AS981" s="11"/>
      <c r="AT981" s="11"/>
    </row>
    <row r="982" spans="1:46" ht="13">
      <c r="A982" s="11"/>
      <c r="B982" t="str">
        <f>IFERROR(VLOOKUP($A982,koronahun!$A:$AM,2,FALSE),"")</f>
        <v/>
      </c>
      <c r="C982" t="str">
        <f>IFERROR(VLOOKUP($A982,koronahun!$A:$AM,3,FALSE),"")</f>
        <v/>
      </c>
      <c r="D982" t="str">
        <f>IFERROR(VLOOKUP($A982,koronahun!$A:$AM,4,FALSE),"")</f>
        <v/>
      </c>
      <c r="E982" t="str">
        <f>IFERROR(VLOOKUP($A982,koronahun!$A:$AM,5,FALSE),"")</f>
        <v/>
      </c>
      <c r="F982" t="str">
        <f>IFERROR(VLOOKUP($A982,koronahun!$A:$AM,6,FALSE),"")</f>
        <v/>
      </c>
      <c r="G982" s="12" t="str">
        <f>IFERROR(VLOOKUP($A982,koronahun!$A:$AM,7,FALSE),"")</f>
        <v/>
      </c>
      <c r="H982" t="str">
        <f>IFERROR(VLOOKUP($A982,koronahun!$A:$AM,8,FALSE),"")</f>
        <v/>
      </c>
      <c r="I982" s="13" t="str">
        <f>IFERROR(VLOOKUP($A982,koronahun!$A:$AM,9,FALSE),"")</f>
        <v/>
      </c>
      <c r="J982" s="13" t="str">
        <f>IFERROR(VLOOKUP($A982,koronahun!$A:$AM,10,FALSE),"")</f>
        <v/>
      </c>
      <c r="K982" s="13" t="str">
        <f>IFERROR(VLOOKUP($A982,koronahun!$A:$AM,11,FALSE),"")</f>
        <v/>
      </c>
      <c r="L982" t="str">
        <f>IFERROR(VLOOKUP($A982,koronahun!$A:$AM,12,FALSE),"")</f>
        <v/>
      </c>
      <c r="M982" s="13" t="str">
        <f>IFERROR(VLOOKUP($A982,koronahun!$A:$AM,13,FALSE),"")</f>
        <v/>
      </c>
      <c r="N982" s="13" t="str">
        <f>IFERROR(VLOOKUP($A982,koronahun!$A:$AM,14,FALSE),"")</f>
        <v/>
      </c>
      <c r="O982" t="str">
        <f>IFERROR(VLOOKUP($A982,koronahun!$A:$AM,15,FALSE),"")</f>
        <v/>
      </c>
      <c r="P982" t="str">
        <f>IFERROR(VLOOKUP($A982,koronahun!$A:$AM,16,FALSE),"")</f>
        <v/>
      </c>
      <c r="Q982" s="13" t="str">
        <f>IFERROR(VLOOKUP($A982,koronahun!$A:$AM,17,FALSE),"")</f>
        <v/>
      </c>
      <c r="R982" t="str">
        <f>IFERROR(VLOOKUP($A982,koronahun!$A:$AM,18,FALSE),"")</f>
        <v/>
      </c>
      <c r="S982" t="str">
        <f>IFERROR(VLOOKUP($A982,koronahun!$A:$AM,19,FALSE),"")</f>
        <v/>
      </c>
      <c r="T982" t="str">
        <f>IFERROR(VLOOKUP($A982,koronahun!$A:$AM,20,FALSE),"")</f>
        <v/>
      </c>
      <c r="U982" t="str">
        <f>IFERROR(VLOOKUP($A982,koronahun!$A:$AM,21,FALSE),"")</f>
        <v/>
      </c>
      <c r="V982" s="13" t="str">
        <f>IFERROR(VLOOKUP($A982,koronahun!$A:$AM,22,FALSE),"")</f>
        <v/>
      </c>
      <c r="W982" t="str">
        <f>IFERROR(VLOOKUP($A982,koronahun!$A:$AM,23,FALSE),"")</f>
        <v/>
      </c>
      <c r="X982" t="str">
        <f>IFERROR(VLOOKUP($A982,koronahun!$A:$AM,24,FALSE),"")</f>
        <v/>
      </c>
      <c r="Y982" s="14" t="str">
        <f>IFERROR(VLOOKUP($A982,koronahun!$A:$AM,25,FALSE),"")</f>
        <v/>
      </c>
      <c r="Z982" s="14" t="str">
        <f>IFERROR(VLOOKUP($A982,koronahun!$A:$AM,26,FALSE),"")</f>
        <v/>
      </c>
      <c r="AA982" s="14" t="str">
        <f>IFERROR(VLOOKUP($A982,koronahun!$A:$AM,27,FALSE),"")</f>
        <v/>
      </c>
      <c r="AB982" s="14" t="str">
        <f>IFERROR(VLOOKUP($A982,koronahun!$A:$AM,28,FALSE),"")</f>
        <v/>
      </c>
      <c r="AC982" s="14" t="str">
        <f>IFERROR(VLOOKUP($A982,koronahun!$A:$AM,29,FALSE),"")</f>
        <v/>
      </c>
      <c r="AD982" s="14" t="str">
        <f>IFERROR(VLOOKUP($A982,koronahun!$A:$AM,30,FALSE),"")</f>
        <v/>
      </c>
      <c r="AE982" s="14" t="str">
        <f>IFERROR(VLOOKUP($A982,koronahun!$A:$AM,31,FALSE),"")</f>
        <v/>
      </c>
      <c r="AF982" s="13" t="str">
        <f>IFERROR(VLOOKUP($A982,koronahun!$A:$AM,32,FALSE),"")</f>
        <v/>
      </c>
      <c r="AG982" t="str">
        <f>IFERROR(VLOOKUP($A982,koronahun!$A:$AM,33,FALSE),"")</f>
        <v/>
      </c>
      <c r="AH982" t="str">
        <f>IFERROR(VLOOKUP($A982,koronahun!$A:$AM,34,FALSE),"")</f>
        <v/>
      </c>
      <c r="AI982" t="str">
        <f>IFERROR(VLOOKUP($A982,koronahun!$A:$AM,35,FALSE),"")</f>
        <v/>
      </c>
      <c r="AJ982" t="str">
        <f>IFERROR(VLOOKUP($A982,koronahun!$A:$AM,36,FALSE),"")</f>
        <v/>
      </c>
      <c r="AK982" t="str">
        <f>IFERROR(VLOOKUP($A982,koronahun!$A:$AM,37,FALSE),"")</f>
        <v/>
      </c>
      <c r="AL982" t="str">
        <f>IFERROR(VLOOKUP($A982,koronahun!$A:$AM,38,FALSE),"")</f>
        <v/>
      </c>
      <c r="AM982" s="14" t="str">
        <f>IFERROR(VLOOKUP($A982,koronahun!$A:$AM,39,FALSE),"")</f>
        <v/>
      </c>
      <c r="AN982" s="11">
        <f ca="1">IFERROR(__xludf.DUMMYFUNCTION("""COMPUTED_VALUE"""),44874)</f>
        <v>44874</v>
      </c>
      <c r="AO982" s="12">
        <f ca="1">IFERROR(VLOOKUP(AN982,koronahun!A:B,2,FALSE),"")</f>
        <v>2153564</v>
      </c>
      <c r="AP982" s="11">
        <f t="shared" ca="1" si="6"/>
        <v>44874</v>
      </c>
      <c r="AQ982" s="11"/>
      <c r="AR982" s="11"/>
      <c r="AS982" s="11"/>
      <c r="AT982" s="11"/>
    </row>
    <row r="983" spans="1:46" ht="13">
      <c r="A983" s="11"/>
      <c r="B983" t="str">
        <f>IFERROR(VLOOKUP($A983,koronahun!$A:$AM,2,FALSE),"")</f>
        <v/>
      </c>
      <c r="C983" t="str">
        <f>IFERROR(VLOOKUP($A983,koronahun!$A:$AM,3,FALSE),"")</f>
        <v/>
      </c>
      <c r="D983" t="str">
        <f>IFERROR(VLOOKUP($A983,koronahun!$A:$AM,4,FALSE),"")</f>
        <v/>
      </c>
      <c r="E983" t="str">
        <f>IFERROR(VLOOKUP($A983,koronahun!$A:$AM,5,FALSE),"")</f>
        <v/>
      </c>
      <c r="F983" t="str">
        <f>IFERROR(VLOOKUP($A983,koronahun!$A:$AM,6,FALSE),"")</f>
        <v/>
      </c>
      <c r="G983" s="12" t="str">
        <f>IFERROR(VLOOKUP($A983,koronahun!$A:$AM,7,FALSE),"")</f>
        <v/>
      </c>
      <c r="H983" t="str">
        <f>IFERROR(VLOOKUP($A983,koronahun!$A:$AM,8,FALSE),"")</f>
        <v/>
      </c>
      <c r="I983" s="13" t="str">
        <f>IFERROR(VLOOKUP($A983,koronahun!$A:$AM,9,FALSE),"")</f>
        <v/>
      </c>
      <c r="J983" s="13" t="str">
        <f>IFERROR(VLOOKUP($A983,koronahun!$A:$AM,10,FALSE),"")</f>
        <v/>
      </c>
      <c r="K983" s="13" t="str">
        <f>IFERROR(VLOOKUP($A983,koronahun!$A:$AM,11,FALSE),"")</f>
        <v/>
      </c>
      <c r="L983" t="str">
        <f>IFERROR(VLOOKUP($A983,koronahun!$A:$AM,12,FALSE),"")</f>
        <v/>
      </c>
      <c r="M983" s="13" t="str">
        <f>IFERROR(VLOOKUP($A983,koronahun!$A:$AM,13,FALSE),"")</f>
        <v/>
      </c>
      <c r="N983" s="13" t="str">
        <f>IFERROR(VLOOKUP($A983,koronahun!$A:$AM,14,FALSE),"")</f>
        <v/>
      </c>
      <c r="O983" t="str">
        <f>IFERROR(VLOOKUP($A983,koronahun!$A:$AM,15,FALSE),"")</f>
        <v/>
      </c>
      <c r="P983" t="str">
        <f>IFERROR(VLOOKUP($A983,koronahun!$A:$AM,16,FALSE),"")</f>
        <v/>
      </c>
      <c r="Q983" s="13" t="str">
        <f>IFERROR(VLOOKUP($A983,koronahun!$A:$AM,17,FALSE),"")</f>
        <v/>
      </c>
      <c r="R983" t="str">
        <f>IFERROR(VLOOKUP($A983,koronahun!$A:$AM,18,FALSE),"")</f>
        <v/>
      </c>
      <c r="S983" t="str">
        <f>IFERROR(VLOOKUP($A983,koronahun!$A:$AM,19,FALSE),"")</f>
        <v/>
      </c>
      <c r="T983" t="str">
        <f>IFERROR(VLOOKUP($A983,koronahun!$A:$AM,20,FALSE),"")</f>
        <v/>
      </c>
      <c r="U983" t="str">
        <f>IFERROR(VLOOKUP($A983,koronahun!$A:$AM,21,FALSE),"")</f>
        <v/>
      </c>
      <c r="V983" s="13" t="str">
        <f>IFERROR(VLOOKUP($A983,koronahun!$A:$AM,22,FALSE),"")</f>
        <v/>
      </c>
      <c r="W983" t="str">
        <f>IFERROR(VLOOKUP($A983,koronahun!$A:$AM,23,FALSE),"")</f>
        <v/>
      </c>
      <c r="X983" t="str">
        <f>IFERROR(VLOOKUP($A983,koronahun!$A:$AM,24,FALSE),"")</f>
        <v/>
      </c>
      <c r="Y983" s="14" t="str">
        <f>IFERROR(VLOOKUP($A983,koronahun!$A:$AM,25,FALSE),"")</f>
        <v/>
      </c>
      <c r="Z983" s="14" t="str">
        <f>IFERROR(VLOOKUP($A983,koronahun!$A:$AM,26,FALSE),"")</f>
        <v/>
      </c>
      <c r="AA983" s="14" t="str">
        <f>IFERROR(VLOOKUP($A983,koronahun!$A:$AM,27,FALSE),"")</f>
        <v/>
      </c>
      <c r="AB983" s="14" t="str">
        <f>IFERROR(VLOOKUP($A983,koronahun!$A:$AM,28,FALSE),"")</f>
        <v/>
      </c>
      <c r="AC983" s="14" t="str">
        <f>IFERROR(VLOOKUP($A983,koronahun!$A:$AM,29,FALSE),"")</f>
        <v/>
      </c>
      <c r="AD983" s="14" t="str">
        <f>IFERROR(VLOOKUP($A983,koronahun!$A:$AM,30,FALSE),"")</f>
        <v/>
      </c>
      <c r="AE983" s="14" t="str">
        <f>IFERROR(VLOOKUP($A983,koronahun!$A:$AM,31,FALSE),"")</f>
        <v/>
      </c>
      <c r="AF983" s="13" t="str">
        <f>IFERROR(VLOOKUP($A983,koronahun!$A:$AM,32,FALSE),"")</f>
        <v/>
      </c>
      <c r="AG983" t="str">
        <f>IFERROR(VLOOKUP($A983,koronahun!$A:$AM,33,FALSE),"")</f>
        <v/>
      </c>
      <c r="AH983" t="str">
        <f>IFERROR(VLOOKUP($A983,koronahun!$A:$AM,34,FALSE),"")</f>
        <v/>
      </c>
      <c r="AI983" t="str">
        <f>IFERROR(VLOOKUP($A983,koronahun!$A:$AM,35,FALSE),"")</f>
        <v/>
      </c>
      <c r="AJ983" t="str">
        <f>IFERROR(VLOOKUP($A983,koronahun!$A:$AM,36,FALSE),"")</f>
        <v/>
      </c>
      <c r="AK983" t="str">
        <f>IFERROR(VLOOKUP($A983,koronahun!$A:$AM,37,FALSE),"")</f>
        <v/>
      </c>
      <c r="AL983" t="str">
        <f>IFERROR(VLOOKUP($A983,koronahun!$A:$AM,38,FALSE),"")</f>
        <v/>
      </c>
      <c r="AM983" s="14" t="str">
        <f>IFERROR(VLOOKUP($A983,koronahun!$A:$AM,39,FALSE),"")</f>
        <v/>
      </c>
      <c r="AN983" s="11">
        <f ca="1">IFERROR(__xludf.DUMMYFUNCTION("""COMPUTED_VALUE"""),44875)</f>
        <v>44875</v>
      </c>
      <c r="AO983" s="12">
        <f ca="1">IFERROR(VLOOKUP(AN983,koronahun!A:B,2,FALSE),"")</f>
        <v>0</v>
      </c>
      <c r="AP983" s="11">
        <f t="shared" ca="1" si="6"/>
        <v>44875</v>
      </c>
      <c r="AQ983" s="11"/>
      <c r="AR983" s="11"/>
      <c r="AS983" s="11"/>
      <c r="AT983" s="11"/>
    </row>
    <row r="984" spans="1:46" ht="13">
      <c r="A984" s="11"/>
      <c r="B984" t="str">
        <f>IFERROR(VLOOKUP($A984,koronahun!$A:$AM,2,FALSE),"")</f>
        <v/>
      </c>
      <c r="C984" t="str">
        <f>IFERROR(VLOOKUP($A984,koronahun!$A:$AM,3,FALSE),"")</f>
        <v/>
      </c>
      <c r="D984" t="str">
        <f>IFERROR(VLOOKUP($A984,koronahun!$A:$AM,4,FALSE),"")</f>
        <v/>
      </c>
      <c r="E984" t="str">
        <f>IFERROR(VLOOKUP($A984,koronahun!$A:$AM,5,FALSE),"")</f>
        <v/>
      </c>
      <c r="F984" t="str">
        <f>IFERROR(VLOOKUP($A984,koronahun!$A:$AM,6,FALSE),"")</f>
        <v/>
      </c>
      <c r="G984" s="12" t="str">
        <f>IFERROR(VLOOKUP($A984,koronahun!$A:$AM,7,FALSE),"")</f>
        <v/>
      </c>
      <c r="H984" t="str">
        <f>IFERROR(VLOOKUP($A984,koronahun!$A:$AM,8,FALSE),"")</f>
        <v/>
      </c>
      <c r="I984" s="13" t="str">
        <f>IFERROR(VLOOKUP($A984,koronahun!$A:$AM,9,FALSE),"")</f>
        <v/>
      </c>
      <c r="J984" s="13" t="str">
        <f>IFERROR(VLOOKUP($A984,koronahun!$A:$AM,10,FALSE),"")</f>
        <v/>
      </c>
      <c r="K984" s="13" t="str">
        <f>IFERROR(VLOOKUP($A984,koronahun!$A:$AM,11,FALSE),"")</f>
        <v/>
      </c>
      <c r="L984" t="str">
        <f>IFERROR(VLOOKUP($A984,koronahun!$A:$AM,12,FALSE),"")</f>
        <v/>
      </c>
      <c r="M984" s="13" t="str">
        <f>IFERROR(VLOOKUP($A984,koronahun!$A:$AM,13,FALSE),"")</f>
        <v/>
      </c>
      <c r="N984" s="13" t="str">
        <f>IFERROR(VLOOKUP($A984,koronahun!$A:$AM,14,FALSE),"")</f>
        <v/>
      </c>
      <c r="O984" t="str">
        <f>IFERROR(VLOOKUP($A984,koronahun!$A:$AM,15,FALSE),"")</f>
        <v/>
      </c>
      <c r="P984" t="str">
        <f>IFERROR(VLOOKUP($A984,koronahun!$A:$AM,16,FALSE),"")</f>
        <v/>
      </c>
      <c r="Q984" s="13" t="str">
        <f>IFERROR(VLOOKUP($A984,koronahun!$A:$AM,17,FALSE),"")</f>
        <v/>
      </c>
      <c r="R984" t="str">
        <f>IFERROR(VLOOKUP($A984,koronahun!$A:$AM,18,FALSE),"")</f>
        <v/>
      </c>
      <c r="S984" t="str">
        <f>IFERROR(VLOOKUP($A984,koronahun!$A:$AM,19,FALSE),"")</f>
        <v/>
      </c>
      <c r="T984" t="str">
        <f>IFERROR(VLOOKUP($A984,koronahun!$A:$AM,20,FALSE),"")</f>
        <v/>
      </c>
      <c r="U984" t="str">
        <f>IFERROR(VLOOKUP($A984,koronahun!$A:$AM,21,FALSE),"")</f>
        <v/>
      </c>
      <c r="V984" s="13" t="str">
        <f>IFERROR(VLOOKUP($A984,koronahun!$A:$AM,22,FALSE),"")</f>
        <v/>
      </c>
      <c r="W984" t="str">
        <f>IFERROR(VLOOKUP($A984,koronahun!$A:$AM,23,FALSE),"")</f>
        <v/>
      </c>
      <c r="X984" t="str">
        <f>IFERROR(VLOOKUP($A984,koronahun!$A:$AM,24,FALSE),"")</f>
        <v/>
      </c>
      <c r="Y984" s="14" t="str">
        <f>IFERROR(VLOOKUP($A984,koronahun!$A:$AM,25,FALSE),"")</f>
        <v/>
      </c>
      <c r="Z984" s="14" t="str">
        <f>IFERROR(VLOOKUP($A984,koronahun!$A:$AM,26,FALSE),"")</f>
        <v/>
      </c>
      <c r="AA984" s="14" t="str">
        <f>IFERROR(VLOOKUP($A984,koronahun!$A:$AM,27,FALSE),"")</f>
        <v/>
      </c>
      <c r="AB984" s="14" t="str">
        <f>IFERROR(VLOOKUP($A984,koronahun!$A:$AM,28,FALSE),"")</f>
        <v/>
      </c>
      <c r="AC984" s="14" t="str">
        <f>IFERROR(VLOOKUP($A984,koronahun!$A:$AM,29,FALSE),"")</f>
        <v/>
      </c>
      <c r="AD984" s="14" t="str">
        <f>IFERROR(VLOOKUP($A984,koronahun!$A:$AM,30,FALSE),"")</f>
        <v/>
      </c>
      <c r="AE984" s="14" t="str">
        <f>IFERROR(VLOOKUP($A984,koronahun!$A:$AM,31,FALSE),"")</f>
        <v/>
      </c>
      <c r="AF984" s="13" t="str">
        <f>IFERROR(VLOOKUP($A984,koronahun!$A:$AM,32,FALSE),"")</f>
        <v/>
      </c>
      <c r="AG984" t="str">
        <f>IFERROR(VLOOKUP($A984,koronahun!$A:$AM,33,FALSE),"")</f>
        <v/>
      </c>
      <c r="AH984" t="str">
        <f>IFERROR(VLOOKUP($A984,koronahun!$A:$AM,34,FALSE),"")</f>
        <v/>
      </c>
      <c r="AI984" t="str">
        <f>IFERROR(VLOOKUP($A984,koronahun!$A:$AM,35,FALSE),"")</f>
        <v/>
      </c>
      <c r="AJ984" t="str">
        <f>IFERROR(VLOOKUP($A984,koronahun!$A:$AM,36,FALSE),"")</f>
        <v/>
      </c>
      <c r="AK984" t="str">
        <f>IFERROR(VLOOKUP($A984,koronahun!$A:$AM,37,FALSE),"")</f>
        <v/>
      </c>
      <c r="AL984" t="str">
        <f>IFERROR(VLOOKUP($A984,koronahun!$A:$AM,38,FALSE),"")</f>
        <v/>
      </c>
      <c r="AM984" s="14" t="str">
        <f>IFERROR(VLOOKUP($A984,koronahun!$A:$AM,39,FALSE),"")</f>
        <v/>
      </c>
      <c r="AN984" s="11">
        <f ca="1">IFERROR(__xludf.DUMMYFUNCTION("""COMPUTED_VALUE"""),44876)</f>
        <v>44876</v>
      </c>
      <c r="AO984" s="12">
        <f ca="1">IFERROR(VLOOKUP(AN984,koronahun!A:B,2,FALSE),"")</f>
        <v>0</v>
      </c>
      <c r="AP984" s="11">
        <f t="shared" ca="1" si="6"/>
        <v>44876</v>
      </c>
      <c r="AQ984" s="11"/>
      <c r="AR984" s="11"/>
      <c r="AS984" s="11"/>
      <c r="AT984" s="11"/>
    </row>
    <row r="985" spans="1:46" ht="13">
      <c r="A985" s="11"/>
      <c r="B985" t="str">
        <f>IFERROR(VLOOKUP($A985,koronahun!$A:$AM,2,FALSE),"")</f>
        <v/>
      </c>
      <c r="C985" t="str">
        <f>IFERROR(VLOOKUP($A985,koronahun!$A:$AM,3,FALSE),"")</f>
        <v/>
      </c>
      <c r="D985" t="str">
        <f>IFERROR(VLOOKUP($A985,koronahun!$A:$AM,4,FALSE),"")</f>
        <v/>
      </c>
      <c r="E985" t="str">
        <f>IFERROR(VLOOKUP($A985,koronahun!$A:$AM,5,FALSE),"")</f>
        <v/>
      </c>
      <c r="F985" t="str">
        <f>IFERROR(VLOOKUP($A985,koronahun!$A:$AM,6,FALSE),"")</f>
        <v/>
      </c>
      <c r="G985" s="12" t="str">
        <f>IFERROR(VLOOKUP($A985,koronahun!$A:$AM,7,FALSE),"")</f>
        <v/>
      </c>
      <c r="H985" t="str">
        <f>IFERROR(VLOOKUP($A985,koronahun!$A:$AM,8,FALSE),"")</f>
        <v/>
      </c>
      <c r="I985" s="13" t="str">
        <f>IFERROR(VLOOKUP($A985,koronahun!$A:$AM,9,FALSE),"")</f>
        <v/>
      </c>
      <c r="J985" s="13" t="str">
        <f>IFERROR(VLOOKUP($A985,koronahun!$A:$AM,10,FALSE),"")</f>
        <v/>
      </c>
      <c r="K985" s="13" t="str">
        <f>IFERROR(VLOOKUP($A985,koronahun!$A:$AM,11,FALSE),"")</f>
        <v/>
      </c>
      <c r="L985" t="str">
        <f>IFERROR(VLOOKUP($A985,koronahun!$A:$AM,12,FALSE),"")</f>
        <v/>
      </c>
      <c r="M985" s="13" t="str">
        <f>IFERROR(VLOOKUP($A985,koronahun!$A:$AM,13,FALSE),"")</f>
        <v/>
      </c>
      <c r="N985" s="13" t="str">
        <f>IFERROR(VLOOKUP($A985,koronahun!$A:$AM,14,FALSE),"")</f>
        <v/>
      </c>
      <c r="O985" t="str">
        <f>IFERROR(VLOOKUP($A985,koronahun!$A:$AM,15,FALSE),"")</f>
        <v/>
      </c>
      <c r="P985" t="str">
        <f>IFERROR(VLOOKUP($A985,koronahun!$A:$AM,16,FALSE),"")</f>
        <v/>
      </c>
      <c r="Q985" s="13" t="str">
        <f>IFERROR(VLOOKUP($A985,koronahun!$A:$AM,17,FALSE),"")</f>
        <v/>
      </c>
      <c r="R985" t="str">
        <f>IFERROR(VLOOKUP($A985,koronahun!$A:$AM,18,FALSE),"")</f>
        <v/>
      </c>
      <c r="S985" t="str">
        <f>IFERROR(VLOOKUP($A985,koronahun!$A:$AM,19,FALSE),"")</f>
        <v/>
      </c>
      <c r="T985" t="str">
        <f>IFERROR(VLOOKUP($A985,koronahun!$A:$AM,20,FALSE),"")</f>
        <v/>
      </c>
      <c r="U985" t="str">
        <f>IFERROR(VLOOKUP($A985,koronahun!$A:$AM,21,FALSE),"")</f>
        <v/>
      </c>
      <c r="V985" s="13" t="str">
        <f>IFERROR(VLOOKUP($A985,koronahun!$A:$AM,22,FALSE),"")</f>
        <v/>
      </c>
      <c r="W985" t="str">
        <f>IFERROR(VLOOKUP($A985,koronahun!$A:$AM,23,FALSE),"")</f>
        <v/>
      </c>
      <c r="X985" t="str">
        <f>IFERROR(VLOOKUP($A985,koronahun!$A:$AM,24,FALSE),"")</f>
        <v/>
      </c>
      <c r="Y985" s="14" t="str">
        <f>IFERROR(VLOOKUP($A985,koronahun!$A:$AM,25,FALSE),"")</f>
        <v/>
      </c>
      <c r="Z985" s="14" t="str">
        <f>IFERROR(VLOOKUP($A985,koronahun!$A:$AM,26,FALSE),"")</f>
        <v/>
      </c>
      <c r="AA985" s="14" t="str">
        <f>IFERROR(VLOOKUP($A985,koronahun!$A:$AM,27,FALSE),"")</f>
        <v/>
      </c>
      <c r="AB985" s="14" t="str">
        <f>IFERROR(VLOOKUP($A985,koronahun!$A:$AM,28,FALSE),"")</f>
        <v/>
      </c>
      <c r="AC985" s="14" t="str">
        <f>IFERROR(VLOOKUP($A985,koronahun!$A:$AM,29,FALSE),"")</f>
        <v/>
      </c>
      <c r="AD985" s="14" t="str">
        <f>IFERROR(VLOOKUP($A985,koronahun!$A:$AM,30,FALSE),"")</f>
        <v/>
      </c>
      <c r="AE985" s="14" t="str">
        <f>IFERROR(VLOOKUP($A985,koronahun!$A:$AM,31,FALSE),"")</f>
        <v/>
      </c>
      <c r="AF985" s="13" t="str">
        <f>IFERROR(VLOOKUP($A985,koronahun!$A:$AM,32,FALSE),"")</f>
        <v/>
      </c>
      <c r="AG985" t="str">
        <f>IFERROR(VLOOKUP($A985,koronahun!$A:$AM,33,FALSE),"")</f>
        <v/>
      </c>
      <c r="AH985" t="str">
        <f>IFERROR(VLOOKUP($A985,koronahun!$A:$AM,34,FALSE),"")</f>
        <v/>
      </c>
      <c r="AI985" t="str">
        <f>IFERROR(VLOOKUP($A985,koronahun!$A:$AM,35,FALSE),"")</f>
        <v/>
      </c>
      <c r="AJ985" t="str">
        <f>IFERROR(VLOOKUP($A985,koronahun!$A:$AM,36,FALSE),"")</f>
        <v/>
      </c>
      <c r="AK985" t="str">
        <f>IFERROR(VLOOKUP($A985,koronahun!$A:$AM,37,FALSE),"")</f>
        <v/>
      </c>
      <c r="AL985" t="str">
        <f>IFERROR(VLOOKUP($A985,koronahun!$A:$AM,38,FALSE),"")</f>
        <v/>
      </c>
      <c r="AM985" s="14" t="str">
        <f>IFERROR(VLOOKUP($A985,koronahun!$A:$AM,39,FALSE),"")</f>
        <v/>
      </c>
      <c r="AN985" s="11">
        <f ca="1">IFERROR(__xludf.DUMMYFUNCTION("""COMPUTED_VALUE"""),44877)</f>
        <v>44877</v>
      </c>
      <c r="AO985" s="12">
        <f ca="1">IFERROR(VLOOKUP(AN985,koronahun!A:B,2,FALSE),"")</f>
        <v>0</v>
      </c>
      <c r="AP985" s="11">
        <f t="shared" ca="1" si="6"/>
        <v>44877</v>
      </c>
      <c r="AQ985" s="11"/>
      <c r="AR985" s="11"/>
      <c r="AS985" s="11"/>
      <c r="AT985" s="11"/>
    </row>
    <row r="986" spans="1:46" ht="13">
      <c r="A986" s="11"/>
      <c r="B986" t="str">
        <f>IFERROR(VLOOKUP($A986,koronahun!$A:$AM,2,FALSE),"")</f>
        <v/>
      </c>
      <c r="C986" t="str">
        <f>IFERROR(VLOOKUP($A986,koronahun!$A:$AM,3,FALSE),"")</f>
        <v/>
      </c>
      <c r="D986" t="str">
        <f>IFERROR(VLOOKUP($A986,koronahun!$A:$AM,4,FALSE),"")</f>
        <v/>
      </c>
      <c r="E986" t="str">
        <f>IFERROR(VLOOKUP($A986,koronahun!$A:$AM,5,FALSE),"")</f>
        <v/>
      </c>
      <c r="F986" t="str">
        <f>IFERROR(VLOOKUP($A986,koronahun!$A:$AM,6,FALSE),"")</f>
        <v/>
      </c>
      <c r="G986" s="12" t="str">
        <f>IFERROR(VLOOKUP($A986,koronahun!$A:$AM,7,FALSE),"")</f>
        <v/>
      </c>
      <c r="H986" t="str">
        <f>IFERROR(VLOOKUP($A986,koronahun!$A:$AM,8,FALSE),"")</f>
        <v/>
      </c>
      <c r="I986" s="13" t="str">
        <f>IFERROR(VLOOKUP($A986,koronahun!$A:$AM,9,FALSE),"")</f>
        <v/>
      </c>
      <c r="J986" s="13" t="str">
        <f>IFERROR(VLOOKUP($A986,koronahun!$A:$AM,10,FALSE),"")</f>
        <v/>
      </c>
      <c r="K986" s="13" t="str">
        <f>IFERROR(VLOOKUP($A986,koronahun!$A:$AM,11,FALSE),"")</f>
        <v/>
      </c>
      <c r="L986" t="str">
        <f>IFERROR(VLOOKUP($A986,koronahun!$A:$AM,12,FALSE),"")</f>
        <v/>
      </c>
      <c r="M986" s="13" t="str">
        <f>IFERROR(VLOOKUP($A986,koronahun!$A:$AM,13,FALSE),"")</f>
        <v/>
      </c>
      <c r="N986" s="13" t="str">
        <f>IFERROR(VLOOKUP($A986,koronahun!$A:$AM,14,FALSE),"")</f>
        <v/>
      </c>
      <c r="O986" t="str">
        <f>IFERROR(VLOOKUP($A986,koronahun!$A:$AM,15,FALSE),"")</f>
        <v/>
      </c>
      <c r="P986" t="str">
        <f>IFERROR(VLOOKUP($A986,koronahun!$A:$AM,16,FALSE),"")</f>
        <v/>
      </c>
      <c r="Q986" s="13" t="str">
        <f>IFERROR(VLOOKUP($A986,koronahun!$A:$AM,17,FALSE),"")</f>
        <v/>
      </c>
      <c r="R986" t="str">
        <f>IFERROR(VLOOKUP($A986,koronahun!$A:$AM,18,FALSE),"")</f>
        <v/>
      </c>
      <c r="S986" t="str">
        <f>IFERROR(VLOOKUP($A986,koronahun!$A:$AM,19,FALSE),"")</f>
        <v/>
      </c>
      <c r="T986" t="str">
        <f>IFERROR(VLOOKUP($A986,koronahun!$A:$AM,20,FALSE),"")</f>
        <v/>
      </c>
      <c r="U986" t="str">
        <f>IFERROR(VLOOKUP($A986,koronahun!$A:$AM,21,FALSE),"")</f>
        <v/>
      </c>
      <c r="V986" s="13" t="str">
        <f>IFERROR(VLOOKUP($A986,koronahun!$A:$AM,22,FALSE),"")</f>
        <v/>
      </c>
      <c r="W986" t="str">
        <f>IFERROR(VLOOKUP($A986,koronahun!$A:$AM,23,FALSE),"")</f>
        <v/>
      </c>
      <c r="X986" t="str">
        <f>IFERROR(VLOOKUP($A986,koronahun!$A:$AM,24,FALSE),"")</f>
        <v/>
      </c>
      <c r="Y986" s="14" t="str">
        <f>IFERROR(VLOOKUP($A986,koronahun!$A:$AM,25,FALSE),"")</f>
        <v/>
      </c>
      <c r="Z986" s="14" t="str">
        <f>IFERROR(VLOOKUP($A986,koronahun!$A:$AM,26,FALSE),"")</f>
        <v/>
      </c>
      <c r="AA986" s="14" t="str">
        <f>IFERROR(VLOOKUP($A986,koronahun!$A:$AM,27,FALSE),"")</f>
        <v/>
      </c>
      <c r="AB986" s="14" t="str">
        <f>IFERROR(VLOOKUP($A986,koronahun!$A:$AM,28,FALSE),"")</f>
        <v/>
      </c>
      <c r="AC986" s="14" t="str">
        <f>IFERROR(VLOOKUP($A986,koronahun!$A:$AM,29,FALSE),"")</f>
        <v/>
      </c>
      <c r="AD986" s="14" t="str">
        <f>IFERROR(VLOOKUP($A986,koronahun!$A:$AM,30,FALSE),"")</f>
        <v/>
      </c>
      <c r="AE986" s="14" t="str">
        <f>IFERROR(VLOOKUP($A986,koronahun!$A:$AM,31,FALSE),"")</f>
        <v/>
      </c>
      <c r="AF986" s="13" t="str">
        <f>IFERROR(VLOOKUP($A986,koronahun!$A:$AM,32,FALSE),"")</f>
        <v/>
      </c>
      <c r="AG986" t="str">
        <f>IFERROR(VLOOKUP($A986,koronahun!$A:$AM,33,FALSE),"")</f>
        <v/>
      </c>
      <c r="AH986" t="str">
        <f>IFERROR(VLOOKUP($A986,koronahun!$A:$AM,34,FALSE),"")</f>
        <v/>
      </c>
      <c r="AI986" t="str">
        <f>IFERROR(VLOOKUP($A986,koronahun!$A:$AM,35,FALSE),"")</f>
        <v/>
      </c>
      <c r="AJ986" t="str">
        <f>IFERROR(VLOOKUP($A986,koronahun!$A:$AM,36,FALSE),"")</f>
        <v/>
      </c>
      <c r="AK986" t="str">
        <f>IFERROR(VLOOKUP($A986,koronahun!$A:$AM,37,FALSE),"")</f>
        <v/>
      </c>
      <c r="AL986" t="str">
        <f>IFERROR(VLOOKUP($A986,koronahun!$A:$AM,38,FALSE),"")</f>
        <v/>
      </c>
      <c r="AM986" s="14" t="str">
        <f>IFERROR(VLOOKUP($A986,koronahun!$A:$AM,39,FALSE),"")</f>
        <v/>
      </c>
      <c r="AN986" s="11">
        <f ca="1">IFERROR(__xludf.DUMMYFUNCTION("""COMPUTED_VALUE"""),44878)</f>
        <v>44878</v>
      </c>
      <c r="AO986" s="12">
        <f ca="1">IFERROR(VLOOKUP(AN986,koronahun!A:B,2,FALSE),"")</f>
        <v>0</v>
      </c>
      <c r="AP986" s="11">
        <f t="shared" ca="1" si="6"/>
        <v>44878</v>
      </c>
      <c r="AQ986" s="11"/>
      <c r="AR986" s="11"/>
      <c r="AS986" s="11"/>
      <c r="AT986" s="11"/>
    </row>
    <row r="987" spans="1:46" ht="13">
      <c r="A987" s="11"/>
      <c r="B987" t="str">
        <f>IFERROR(VLOOKUP($A987,koronahun!$A:$AM,2,FALSE),"")</f>
        <v/>
      </c>
      <c r="C987" t="str">
        <f>IFERROR(VLOOKUP($A987,koronahun!$A:$AM,3,FALSE),"")</f>
        <v/>
      </c>
      <c r="D987" t="str">
        <f>IFERROR(VLOOKUP($A987,koronahun!$A:$AM,4,FALSE),"")</f>
        <v/>
      </c>
      <c r="E987" t="str">
        <f>IFERROR(VLOOKUP($A987,koronahun!$A:$AM,5,FALSE),"")</f>
        <v/>
      </c>
      <c r="F987" t="str">
        <f>IFERROR(VLOOKUP($A987,koronahun!$A:$AM,6,FALSE),"")</f>
        <v/>
      </c>
      <c r="G987" s="12" t="str">
        <f>IFERROR(VLOOKUP($A987,koronahun!$A:$AM,7,FALSE),"")</f>
        <v/>
      </c>
      <c r="H987" t="str">
        <f>IFERROR(VLOOKUP($A987,koronahun!$A:$AM,8,FALSE),"")</f>
        <v/>
      </c>
      <c r="I987" s="13" t="str">
        <f>IFERROR(VLOOKUP($A987,koronahun!$A:$AM,9,FALSE),"")</f>
        <v/>
      </c>
      <c r="J987" s="13" t="str">
        <f>IFERROR(VLOOKUP($A987,koronahun!$A:$AM,10,FALSE),"")</f>
        <v/>
      </c>
      <c r="K987" s="13" t="str">
        <f>IFERROR(VLOOKUP($A987,koronahun!$A:$AM,11,FALSE),"")</f>
        <v/>
      </c>
      <c r="L987" t="str">
        <f>IFERROR(VLOOKUP($A987,koronahun!$A:$AM,12,FALSE),"")</f>
        <v/>
      </c>
      <c r="M987" s="13" t="str">
        <f>IFERROR(VLOOKUP($A987,koronahun!$A:$AM,13,FALSE),"")</f>
        <v/>
      </c>
      <c r="N987" s="13" t="str">
        <f>IFERROR(VLOOKUP($A987,koronahun!$A:$AM,14,FALSE),"")</f>
        <v/>
      </c>
      <c r="O987" t="str">
        <f>IFERROR(VLOOKUP($A987,koronahun!$A:$AM,15,FALSE),"")</f>
        <v/>
      </c>
      <c r="P987" t="str">
        <f>IFERROR(VLOOKUP($A987,koronahun!$A:$AM,16,FALSE),"")</f>
        <v/>
      </c>
      <c r="Q987" s="13" t="str">
        <f>IFERROR(VLOOKUP($A987,koronahun!$A:$AM,17,FALSE),"")</f>
        <v/>
      </c>
      <c r="R987" t="str">
        <f>IFERROR(VLOOKUP($A987,koronahun!$A:$AM,18,FALSE),"")</f>
        <v/>
      </c>
      <c r="S987" t="str">
        <f>IFERROR(VLOOKUP($A987,koronahun!$A:$AM,19,FALSE),"")</f>
        <v/>
      </c>
      <c r="T987" t="str">
        <f>IFERROR(VLOOKUP($A987,koronahun!$A:$AM,20,FALSE),"")</f>
        <v/>
      </c>
      <c r="U987" t="str">
        <f>IFERROR(VLOOKUP($A987,koronahun!$A:$AM,21,FALSE),"")</f>
        <v/>
      </c>
      <c r="V987" s="13" t="str">
        <f>IFERROR(VLOOKUP($A987,koronahun!$A:$AM,22,FALSE),"")</f>
        <v/>
      </c>
      <c r="W987" t="str">
        <f>IFERROR(VLOOKUP($A987,koronahun!$A:$AM,23,FALSE),"")</f>
        <v/>
      </c>
      <c r="X987" t="str">
        <f>IFERROR(VLOOKUP($A987,koronahun!$A:$AM,24,FALSE),"")</f>
        <v/>
      </c>
      <c r="Y987" s="14" t="str">
        <f>IFERROR(VLOOKUP($A987,koronahun!$A:$AM,25,FALSE),"")</f>
        <v/>
      </c>
      <c r="Z987" s="14" t="str">
        <f>IFERROR(VLOOKUP($A987,koronahun!$A:$AM,26,FALSE),"")</f>
        <v/>
      </c>
      <c r="AA987" s="14" t="str">
        <f>IFERROR(VLOOKUP($A987,koronahun!$A:$AM,27,FALSE),"")</f>
        <v/>
      </c>
      <c r="AB987" s="14" t="str">
        <f>IFERROR(VLOOKUP($A987,koronahun!$A:$AM,28,FALSE),"")</f>
        <v/>
      </c>
      <c r="AC987" s="14" t="str">
        <f>IFERROR(VLOOKUP($A987,koronahun!$A:$AM,29,FALSE),"")</f>
        <v/>
      </c>
      <c r="AD987" s="14" t="str">
        <f>IFERROR(VLOOKUP($A987,koronahun!$A:$AM,30,FALSE),"")</f>
        <v/>
      </c>
      <c r="AE987" s="14" t="str">
        <f>IFERROR(VLOOKUP($A987,koronahun!$A:$AM,31,FALSE),"")</f>
        <v/>
      </c>
      <c r="AF987" s="13" t="str">
        <f>IFERROR(VLOOKUP($A987,koronahun!$A:$AM,32,FALSE),"")</f>
        <v/>
      </c>
      <c r="AG987" t="str">
        <f>IFERROR(VLOOKUP($A987,koronahun!$A:$AM,33,FALSE),"")</f>
        <v/>
      </c>
      <c r="AH987" t="str">
        <f>IFERROR(VLOOKUP($A987,koronahun!$A:$AM,34,FALSE),"")</f>
        <v/>
      </c>
      <c r="AI987" t="str">
        <f>IFERROR(VLOOKUP($A987,koronahun!$A:$AM,35,FALSE),"")</f>
        <v/>
      </c>
      <c r="AJ987" t="str">
        <f>IFERROR(VLOOKUP($A987,koronahun!$A:$AM,36,FALSE),"")</f>
        <v/>
      </c>
      <c r="AK987" t="str">
        <f>IFERROR(VLOOKUP($A987,koronahun!$A:$AM,37,FALSE),"")</f>
        <v/>
      </c>
      <c r="AL987" t="str">
        <f>IFERROR(VLOOKUP($A987,koronahun!$A:$AM,38,FALSE),"")</f>
        <v/>
      </c>
      <c r="AM987" s="14" t="str">
        <f>IFERROR(VLOOKUP($A987,koronahun!$A:$AM,39,FALSE),"")</f>
        <v/>
      </c>
      <c r="AN987" s="11">
        <f ca="1">IFERROR(__xludf.DUMMYFUNCTION("""COMPUTED_VALUE"""),44879)</f>
        <v>44879</v>
      </c>
      <c r="AO987" s="12">
        <f ca="1">IFERROR(VLOOKUP(AN987,koronahun!A:B,2,FALSE),"")</f>
        <v>0</v>
      </c>
      <c r="AP987" s="11">
        <f t="shared" ca="1" si="6"/>
        <v>44879</v>
      </c>
      <c r="AQ987" s="11"/>
      <c r="AR987" s="11"/>
      <c r="AS987" s="11"/>
      <c r="AT987" s="11"/>
    </row>
    <row r="988" spans="1:46" ht="13">
      <c r="A988" s="11"/>
      <c r="B988" t="str">
        <f>IFERROR(VLOOKUP($A988,koronahun!$A:$AM,2,FALSE),"")</f>
        <v/>
      </c>
      <c r="C988" t="str">
        <f>IFERROR(VLOOKUP($A988,koronahun!$A:$AM,3,FALSE),"")</f>
        <v/>
      </c>
      <c r="D988" t="str">
        <f>IFERROR(VLOOKUP($A988,koronahun!$A:$AM,4,FALSE),"")</f>
        <v/>
      </c>
      <c r="E988" t="str">
        <f>IFERROR(VLOOKUP($A988,koronahun!$A:$AM,5,FALSE),"")</f>
        <v/>
      </c>
      <c r="F988" t="str">
        <f>IFERROR(VLOOKUP($A988,koronahun!$A:$AM,6,FALSE),"")</f>
        <v/>
      </c>
      <c r="G988" s="12" t="str">
        <f>IFERROR(VLOOKUP($A988,koronahun!$A:$AM,7,FALSE),"")</f>
        <v/>
      </c>
      <c r="H988" t="str">
        <f>IFERROR(VLOOKUP($A988,koronahun!$A:$AM,8,FALSE),"")</f>
        <v/>
      </c>
      <c r="I988" s="13" t="str">
        <f>IFERROR(VLOOKUP($A988,koronahun!$A:$AM,9,FALSE),"")</f>
        <v/>
      </c>
      <c r="J988" s="13" t="str">
        <f>IFERROR(VLOOKUP($A988,koronahun!$A:$AM,10,FALSE),"")</f>
        <v/>
      </c>
      <c r="K988" s="13" t="str">
        <f>IFERROR(VLOOKUP($A988,koronahun!$A:$AM,11,FALSE),"")</f>
        <v/>
      </c>
      <c r="L988" t="str">
        <f>IFERROR(VLOOKUP($A988,koronahun!$A:$AM,12,FALSE),"")</f>
        <v/>
      </c>
      <c r="M988" s="13" t="str">
        <f>IFERROR(VLOOKUP($A988,koronahun!$A:$AM,13,FALSE),"")</f>
        <v/>
      </c>
      <c r="N988" s="13" t="str">
        <f>IFERROR(VLOOKUP($A988,koronahun!$A:$AM,14,FALSE),"")</f>
        <v/>
      </c>
      <c r="O988" t="str">
        <f>IFERROR(VLOOKUP($A988,koronahun!$A:$AM,15,FALSE),"")</f>
        <v/>
      </c>
      <c r="P988" t="str">
        <f>IFERROR(VLOOKUP($A988,koronahun!$A:$AM,16,FALSE),"")</f>
        <v/>
      </c>
      <c r="Q988" s="13" t="str">
        <f>IFERROR(VLOOKUP($A988,koronahun!$A:$AM,17,FALSE),"")</f>
        <v/>
      </c>
      <c r="R988" t="str">
        <f>IFERROR(VLOOKUP($A988,koronahun!$A:$AM,18,FALSE),"")</f>
        <v/>
      </c>
      <c r="S988" t="str">
        <f>IFERROR(VLOOKUP($A988,koronahun!$A:$AM,19,FALSE),"")</f>
        <v/>
      </c>
      <c r="T988" t="str">
        <f>IFERROR(VLOOKUP($A988,koronahun!$A:$AM,20,FALSE),"")</f>
        <v/>
      </c>
      <c r="U988" t="str">
        <f>IFERROR(VLOOKUP($A988,koronahun!$A:$AM,21,FALSE),"")</f>
        <v/>
      </c>
      <c r="V988" s="13" t="str">
        <f>IFERROR(VLOOKUP($A988,koronahun!$A:$AM,22,FALSE),"")</f>
        <v/>
      </c>
      <c r="W988" t="str">
        <f>IFERROR(VLOOKUP($A988,koronahun!$A:$AM,23,FALSE),"")</f>
        <v/>
      </c>
      <c r="X988" t="str">
        <f>IFERROR(VLOOKUP($A988,koronahun!$A:$AM,24,FALSE),"")</f>
        <v/>
      </c>
      <c r="Y988" s="14" t="str">
        <f>IFERROR(VLOOKUP($A988,koronahun!$A:$AM,25,FALSE),"")</f>
        <v/>
      </c>
      <c r="Z988" s="14" t="str">
        <f>IFERROR(VLOOKUP($A988,koronahun!$A:$AM,26,FALSE),"")</f>
        <v/>
      </c>
      <c r="AA988" s="14" t="str">
        <f>IFERROR(VLOOKUP($A988,koronahun!$A:$AM,27,FALSE),"")</f>
        <v/>
      </c>
      <c r="AB988" s="14" t="str">
        <f>IFERROR(VLOOKUP($A988,koronahun!$A:$AM,28,FALSE),"")</f>
        <v/>
      </c>
      <c r="AC988" s="14" t="str">
        <f>IFERROR(VLOOKUP($A988,koronahun!$A:$AM,29,FALSE),"")</f>
        <v/>
      </c>
      <c r="AD988" s="14" t="str">
        <f>IFERROR(VLOOKUP($A988,koronahun!$A:$AM,30,FALSE),"")</f>
        <v/>
      </c>
      <c r="AE988" s="14" t="str">
        <f>IFERROR(VLOOKUP($A988,koronahun!$A:$AM,31,FALSE),"")</f>
        <v/>
      </c>
      <c r="AF988" s="13" t="str">
        <f>IFERROR(VLOOKUP($A988,koronahun!$A:$AM,32,FALSE),"")</f>
        <v/>
      </c>
      <c r="AG988" t="str">
        <f>IFERROR(VLOOKUP($A988,koronahun!$A:$AM,33,FALSE),"")</f>
        <v/>
      </c>
      <c r="AH988" t="str">
        <f>IFERROR(VLOOKUP($A988,koronahun!$A:$AM,34,FALSE),"")</f>
        <v/>
      </c>
      <c r="AI988" t="str">
        <f>IFERROR(VLOOKUP($A988,koronahun!$A:$AM,35,FALSE),"")</f>
        <v/>
      </c>
      <c r="AJ988" t="str">
        <f>IFERROR(VLOOKUP($A988,koronahun!$A:$AM,36,FALSE),"")</f>
        <v/>
      </c>
      <c r="AK988" t="str">
        <f>IFERROR(VLOOKUP($A988,koronahun!$A:$AM,37,FALSE),"")</f>
        <v/>
      </c>
      <c r="AL988" t="str">
        <f>IFERROR(VLOOKUP($A988,koronahun!$A:$AM,38,FALSE),"")</f>
        <v/>
      </c>
      <c r="AM988" s="14" t="str">
        <f>IFERROR(VLOOKUP($A988,koronahun!$A:$AM,39,FALSE),"")</f>
        <v/>
      </c>
      <c r="AN988" s="11">
        <f ca="1">IFERROR(__xludf.DUMMYFUNCTION("""COMPUTED_VALUE"""),44880)</f>
        <v>44880</v>
      </c>
      <c r="AO988" s="12">
        <f ca="1">IFERROR(VLOOKUP(AN988,koronahun!A:B,2,FALSE),"")</f>
        <v>0</v>
      </c>
      <c r="AP988" s="11">
        <f t="shared" ca="1" si="6"/>
        <v>44880</v>
      </c>
      <c r="AQ988" s="11"/>
      <c r="AR988" s="11"/>
      <c r="AS988" s="11"/>
      <c r="AT988" s="11"/>
    </row>
    <row r="989" spans="1:46" ht="13">
      <c r="A989" s="11"/>
      <c r="B989" t="str">
        <f>IFERROR(VLOOKUP($A989,koronahun!$A:$AM,2,FALSE),"")</f>
        <v/>
      </c>
      <c r="C989" t="str">
        <f>IFERROR(VLOOKUP($A989,koronahun!$A:$AM,3,FALSE),"")</f>
        <v/>
      </c>
      <c r="D989" t="str">
        <f>IFERROR(VLOOKUP($A989,koronahun!$A:$AM,4,FALSE),"")</f>
        <v/>
      </c>
      <c r="E989" t="str">
        <f>IFERROR(VLOOKUP($A989,koronahun!$A:$AM,5,FALSE),"")</f>
        <v/>
      </c>
      <c r="F989" t="str">
        <f>IFERROR(VLOOKUP($A989,koronahun!$A:$AM,6,FALSE),"")</f>
        <v/>
      </c>
      <c r="G989" s="12" t="str">
        <f>IFERROR(VLOOKUP($A989,koronahun!$A:$AM,7,FALSE),"")</f>
        <v/>
      </c>
      <c r="H989" t="str">
        <f>IFERROR(VLOOKUP($A989,koronahun!$A:$AM,8,FALSE),"")</f>
        <v/>
      </c>
      <c r="I989" s="13" t="str">
        <f>IFERROR(VLOOKUP($A989,koronahun!$A:$AM,9,FALSE),"")</f>
        <v/>
      </c>
      <c r="J989" s="13" t="str">
        <f>IFERROR(VLOOKUP($A989,koronahun!$A:$AM,10,FALSE),"")</f>
        <v/>
      </c>
      <c r="K989" s="13" t="str">
        <f>IFERROR(VLOOKUP($A989,koronahun!$A:$AM,11,FALSE),"")</f>
        <v/>
      </c>
      <c r="L989" t="str">
        <f>IFERROR(VLOOKUP($A989,koronahun!$A:$AM,12,FALSE),"")</f>
        <v/>
      </c>
      <c r="M989" s="13" t="str">
        <f>IFERROR(VLOOKUP($A989,koronahun!$A:$AM,13,FALSE),"")</f>
        <v/>
      </c>
      <c r="N989" s="13" t="str">
        <f>IFERROR(VLOOKUP($A989,koronahun!$A:$AM,14,FALSE),"")</f>
        <v/>
      </c>
      <c r="O989" t="str">
        <f>IFERROR(VLOOKUP($A989,koronahun!$A:$AM,15,FALSE),"")</f>
        <v/>
      </c>
      <c r="P989" t="str">
        <f>IFERROR(VLOOKUP($A989,koronahun!$A:$AM,16,FALSE),"")</f>
        <v/>
      </c>
      <c r="Q989" s="13" t="str">
        <f>IFERROR(VLOOKUP($A989,koronahun!$A:$AM,17,FALSE),"")</f>
        <v/>
      </c>
      <c r="R989" t="str">
        <f>IFERROR(VLOOKUP($A989,koronahun!$A:$AM,18,FALSE),"")</f>
        <v/>
      </c>
      <c r="S989" t="str">
        <f>IFERROR(VLOOKUP($A989,koronahun!$A:$AM,19,FALSE),"")</f>
        <v/>
      </c>
      <c r="T989" t="str">
        <f>IFERROR(VLOOKUP($A989,koronahun!$A:$AM,20,FALSE),"")</f>
        <v/>
      </c>
      <c r="U989" t="str">
        <f>IFERROR(VLOOKUP($A989,koronahun!$A:$AM,21,FALSE),"")</f>
        <v/>
      </c>
      <c r="V989" s="13" t="str">
        <f>IFERROR(VLOOKUP($A989,koronahun!$A:$AM,22,FALSE),"")</f>
        <v/>
      </c>
      <c r="W989" t="str">
        <f>IFERROR(VLOOKUP($A989,koronahun!$A:$AM,23,FALSE),"")</f>
        <v/>
      </c>
      <c r="X989" t="str">
        <f>IFERROR(VLOOKUP($A989,koronahun!$A:$AM,24,FALSE),"")</f>
        <v/>
      </c>
      <c r="Y989" s="14" t="str">
        <f>IFERROR(VLOOKUP($A989,koronahun!$A:$AM,25,FALSE),"")</f>
        <v/>
      </c>
      <c r="Z989" s="14" t="str">
        <f>IFERROR(VLOOKUP($A989,koronahun!$A:$AM,26,FALSE),"")</f>
        <v/>
      </c>
      <c r="AA989" s="14" t="str">
        <f>IFERROR(VLOOKUP($A989,koronahun!$A:$AM,27,FALSE),"")</f>
        <v/>
      </c>
      <c r="AB989" s="14" t="str">
        <f>IFERROR(VLOOKUP($A989,koronahun!$A:$AM,28,FALSE),"")</f>
        <v/>
      </c>
      <c r="AC989" s="14" t="str">
        <f>IFERROR(VLOOKUP($A989,koronahun!$A:$AM,29,FALSE),"")</f>
        <v/>
      </c>
      <c r="AD989" s="14" t="str">
        <f>IFERROR(VLOOKUP($A989,koronahun!$A:$AM,30,FALSE),"")</f>
        <v/>
      </c>
      <c r="AE989" s="14" t="str">
        <f>IFERROR(VLOOKUP($A989,koronahun!$A:$AM,31,FALSE),"")</f>
        <v/>
      </c>
      <c r="AF989" s="13" t="str">
        <f>IFERROR(VLOOKUP($A989,koronahun!$A:$AM,32,FALSE),"")</f>
        <v/>
      </c>
      <c r="AG989" t="str">
        <f>IFERROR(VLOOKUP($A989,koronahun!$A:$AM,33,FALSE),"")</f>
        <v/>
      </c>
      <c r="AH989" t="str">
        <f>IFERROR(VLOOKUP($A989,koronahun!$A:$AM,34,FALSE),"")</f>
        <v/>
      </c>
      <c r="AI989" t="str">
        <f>IFERROR(VLOOKUP($A989,koronahun!$A:$AM,35,FALSE),"")</f>
        <v/>
      </c>
      <c r="AJ989" t="str">
        <f>IFERROR(VLOOKUP($A989,koronahun!$A:$AM,36,FALSE),"")</f>
        <v/>
      </c>
      <c r="AK989" t="str">
        <f>IFERROR(VLOOKUP($A989,koronahun!$A:$AM,37,FALSE),"")</f>
        <v/>
      </c>
      <c r="AL989" t="str">
        <f>IFERROR(VLOOKUP($A989,koronahun!$A:$AM,38,FALSE),"")</f>
        <v/>
      </c>
      <c r="AM989" s="14" t="str">
        <f>IFERROR(VLOOKUP($A989,koronahun!$A:$AM,39,FALSE),"")</f>
        <v/>
      </c>
      <c r="AN989" s="11">
        <f ca="1">IFERROR(__xludf.DUMMYFUNCTION("""COMPUTED_VALUE"""),44881)</f>
        <v>44881</v>
      </c>
      <c r="AO989" s="12">
        <f ca="1">IFERROR(VLOOKUP(AN989,koronahun!A:B,2,FALSE),"")</f>
        <v>2157995</v>
      </c>
      <c r="AP989" s="11">
        <f t="shared" ca="1" si="6"/>
        <v>44881</v>
      </c>
      <c r="AQ989" s="11"/>
      <c r="AR989" s="11"/>
      <c r="AS989" s="11"/>
      <c r="AT989" s="11"/>
    </row>
    <row r="990" spans="1:46" ht="13">
      <c r="A990" s="11"/>
      <c r="B990" t="str">
        <f>IFERROR(VLOOKUP($A990,koronahun!$A:$AM,2,FALSE),"")</f>
        <v/>
      </c>
      <c r="C990" t="str">
        <f>IFERROR(VLOOKUP($A990,koronahun!$A:$AM,3,FALSE),"")</f>
        <v/>
      </c>
      <c r="D990" t="str">
        <f>IFERROR(VLOOKUP($A990,koronahun!$A:$AM,4,FALSE),"")</f>
        <v/>
      </c>
      <c r="E990" t="str">
        <f>IFERROR(VLOOKUP($A990,koronahun!$A:$AM,5,FALSE),"")</f>
        <v/>
      </c>
      <c r="F990" t="str">
        <f>IFERROR(VLOOKUP($A990,koronahun!$A:$AM,6,FALSE),"")</f>
        <v/>
      </c>
      <c r="G990" s="12" t="str">
        <f>IFERROR(VLOOKUP($A990,koronahun!$A:$AM,7,FALSE),"")</f>
        <v/>
      </c>
      <c r="H990" t="str">
        <f>IFERROR(VLOOKUP($A990,koronahun!$A:$AM,8,FALSE),"")</f>
        <v/>
      </c>
      <c r="I990" s="13" t="str">
        <f>IFERROR(VLOOKUP($A990,koronahun!$A:$AM,9,FALSE),"")</f>
        <v/>
      </c>
      <c r="J990" s="13" t="str">
        <f>IFERROR(VLOOKUP($A990,koronahun!$A:$AM,10,FALSE),"")</f>
        <v/>
      </c>
      <c r="K990" s="13" t="str">
        <f>IFERROR(VLOOKUP($A990,koronahun!$A:$AM,11,FALSE),"")</f>
        <v/>
      </c>
      <c r="L990" t="str">
        <f>IFERROR(VLOOKUP($A990,koronahun!$A:$AM,12,FALSE),"")</f>
        <v/>
      </c>
      <c r="M990" s="13" t="str">
        <f>IFERROR(VLOOKUP($A990,koronahun!$A:$AM,13,FALSE),"")</f>
        <v/>
      </c>
      <c r="N990" s="13" t="str">
        <f>IFERROR(VLOOKUP($A990,koronahun!$A:$AM,14,FALSE),"")</f>
        <v/>
      </c>
      <c r="O990" t="str">
        <f>IFERROR(VLOOKUP($A990,koronahun!$A:$AM,15,FALSE),"")</f>
        <v/>
      </c>
      <c r="P990" t="str">
        <f>IFERROR(VLOOKUP($A990,koronahun!$A:$AM,16,FALSE),"")</f>
        <v/>
      </c>
      <c r="Q990" s="13" t="str">
        <f>IFERROR(VLOOKUP($A990,koronahun!$A:$AM,17,FALSE),"")</f>
        <v/>
      </c>
      <c r="R990" t="str">
        <f>IFERROR(VLOOKUP($A990,koronahun!$A:$AM,18,FALSE),"")</f>
        <v/>
      </c>
      <c r="S990" t="str">
        <f>IFERROR(VLOOKUP($A990,koronahun!$A:$AM,19,FALSE),"")</f>
        <v/>
      </c>
      <c r="T990" t="str">
        <f>IFERROR(VLOOKUP($A990,koronahun!$A:$AM,20,FALSE),"")</f>
        <v/>
      </c>
      <c r="U990" t="str">
        <f>IFERROR(VLOOKUP($A990,koronahun!$A:$AM,21,FALSE),"")</f>
        <v/>
      </c>
      <c r="V990" s="13" t="str">
        <f>IFERROR(VLOOKUP($A990,koronahun!$A:$AM,22,FALSE),"")</f>
        <v/>
      </c>
      <c r="W990" t="str">
        <f>IFERROR(VLOOKUP($A990,koronahun!$A:$AM,23,FALSE),"")</f>
        <v/>
      </c>
      <c r="X990" t="str">
        <f>IFERROR(VLOOKUP($A990,koronahun!$A:$AM,24,FALSE),"")</f>
        <v/>
      </c>
      <c r="Y990" s="14" t="str">
        <f>IFERROR(VLOOKUP($A990,koronahun!$A:$AM,25,FALSE),"")</f>
        <v/>
      </c>
      <c r="Z990" s="14" t="str">
        <f>IFERROR(VLOOKUP($A990,koronahun!$A:$AM,26,FALSE),"")</f>
        <v/>
      </c>
      <c r="AA990" s="14" t="str">
        <f>IFERROR(VLOOKUP($A990,koronahun!$A:$AM,27,FALSE),"")</f>
        <v/>
      </c>
      <c r="AB990" s="14" t="str">
        <f>IFERROR(VLOOKUP($A990,koronahun!$A:$AM,28,FALSE),"")</f>
        <v/>
      </c>
      <c r="AC990" s="14" t="str">
        <f>IFERROR(VLOOKUP($A990,koronahun!$A:$AM,29,FALSE),"")</f>
        <v/>
      </c>
      <c r="AD990" s="14" t="str">
        <f>IFERROR(VLOOKUP($A990,koronahun!$A:$AM,30,FALSE),"")</f>
        <v/>
      </c>
      <c r="AE990" s="14" t="str">
        <f>IFERROR(VLOOKUP($A990,koronahun!$A:$AM,31,FALSE),"")</f>
        <v/>
      </c>
      <c r="AF990" s="13" t="str">
        <f>IFERROR(VLOOKUP($A990,koronahun!$A:$AM,32,FALSE),"")</f>
        <v/>
      </c>
      <c r="AG990" t="str">
        <f>IFERROR(VLOOKUP($A990,koronahun!$A:$AM,33,FALSE),"")</f>
        <v/>
      </c>
      <c r="AH990" t="str">
        <f>IFERROR(VLOOKUP($A990,koronahun!$A:$AM,34,FALSE),"")</f>
        <v/>
      </c>
      <c r="AI990" t="str">
        <f>IFERROR(VLOOKUP($A990,koronahun!$A:$AM,35,FALSE),"")</f>
        <v/>
      </c>
      <c r="AJ990" t="str">
        <f>IFERROR(VLOOKUP($A990,koronahun!$A:$AM,36,FALSE),"")</f>
        <v/>
      </c>
      <c r="AK990" t="str">
        <f>IFERROR(VLOOKUP($A990,koronahun!$A:$AM,37,FALSE),"")</f>
        <v/>
      </c>
      <c r="AL990" t="str">
        <f>IFERROR(VLOOKUP($A990,koronahun!$A:$AM,38,FALSE),"")</f>
        <v/>
      </c>
      <c r="AM990" s="14" t="str">
        <f>IFERROR(VLOOKUP($A990,koronahun!$A:$AM,39,FALSE),"")</f>
        <v/>
      </c>
      <c r="AN990" s="11">
        <f ca="1">IFERROR(__xludf.DUMMYFUNCTION("""COMPUTED_VALUE"""),44882)</f>
        <v>44882</v>
      </c>
      <c r="AO990" s="12">
        <f ca="1">IFERROR(VLOOKUP(AN990,koronahun!A:B,2,FALSE),"")</f>
        <v>0</v>
      </c>
      <c r="AP990" s="11">
        <f t="shared" ca="1" si="6"/>
        <v>44882</v>
      </c>
      <c r="AQ990" s="11"/>
      <c r="AR990" s="11"/>
      <c r="AS990" s="11"/>
      <c r="AT990" s="11"/>
    </row>
    <row r="991" spans="1:46" ht="13">
      <c r="A991" s="11"/>
      <c r="B991" t="str">
        <f>IFERROR(VLOOKUP($A991,koronahun!$A:$AM,2,FALSE),"")</f>
        <v/>
      </c>
      <c r="C991" t="str">
        <f>IFERROR(VLOOKUP($A991,koronahun!$A:$AM,3,FALSE),"")</f>
        <v/>
      </c>
      <c r="D991" t="str">
        <f>IFERROR(VLOOKUP($A991,koronahun!$A:$AM,4,FALSE),"")</f>
        <v/>
      </c>
      <c r="E991" t="str">
        <f>IFERROR(VLOOKUP($A991,koronahun!$A:$AM,5,FALSE),"")</f>
        <v/>
      </c>
      <c r="F991" t="str">
        <f>IFERROR(VLOOKUP($A991,koronahun!$A:$AM,6,FALSE),"")</f>
        <v/>
      </c>
      <c r="G991" s="12" t="str">
        <f>IFERROR(VLOOKUP($A991,koronahun!$A:$AM,7,FALSE),"")</f>
        <v/>
      </c>
      <c r="H991" t="str">
        <f>IFERROR(VLOOKUP($A991,koronahun!$A:$AM,8,FALSE),"")</f>
        <v/>
      </c>
      <c r="I991" s="13" t="str">
        <f>IFERROR(VLOOKUP($A991,koronahun!$A:$AM,9,FALSE),"")</f>
        <v/>
      </c>
      <c r="J991" s="13" t="str">
        <f>IFERROR(VLOOKUP($A991,koronahun!$A:$AM,10,FALSE),"")</f>
        <v/>
      </c>
      <c r="K991" s="13" t="str">
        <f>IFERROR(VLOOKUP($A991,koronahun!$A:$AM,11,FALSE),"")</f>
        <v/>
      </c>
      <c r="L991" t="str">
        <f>IFERROR(VLOOKUP($A991,koronahun!$A:$AM,12,FALSE),"")</f>
        <v/>
      </c>
      <c r="M991" s="13" t="str">
        <f>IFERROR(VLOOKUP($A991,koronahun!$A:$AM,13,FALSE),"")</f>
        <v/>
      </c>
      <c r="N991" s="13" t="str">
        <f>IFERROR(VLOOKUP($A991,koronahun!$A:$AM,14,FALSE),"")</f>
        <v/>
      </c>
      <c r="O991" t="str">
        <f>IFERROR(VLOOKUP($A991,koronahun!$A:$AM,15,FALSE),"")</f>
        <v/>
      </c>
      <c r="P991" t="str">
        <f>IFERROR(VLOOKUP($A991,koronahun!$A:$AM,16,FALSE),"")</f>
        <v/>
      </c>
      <c r="Q991" s="13" t="str">
        <f>IFERROR(VLOOKUP($A991,koronahun!$A:$AM,17,FALSE),"")</f>
        <v/>
      </c>
      <c r="R991" t="str">
        <f>IFERROR(VLOOKUP($A991,koronahun!$A:$AM,18,FALSE),"")</f>
        <v/>
      </c>
      <c r="S991" t="str">
        <f>IFERROR(VLOOKUP($A991,koronahun!$A:$AM,19,FALSE),"")</f>
        <v/>
      </c>
      <c r="T991" t="str">
        <f>IFERROR(VLOOKUP($A991,koronahun!$A:$AM,20,FALSE),"")</f>
        <v/>
      </c>
      <c r="U991" t="str">
        <f>IFERROR(VLOOKUP($A991,koronahun!$A:$AM,21,FALSE),"")</f>
        <v/>
      </c>
      <c r="V991" s="13" t="str">
        <f>IFERROR(VLOOKUP($A991,koronahun!$A:$AM,22,FALSE),"")</f>
        <v/>
      </c>
      <c r="W991" t="str">
        <f>IFERROR(VLOOKUP($A991,koronahun!$A:$AM,23,FALSE),"")</f>
        <v/>
      </c>
      <c r="X991" t="str">
        <f>IFERROR(VLOOKUP($A991,koronahun!$A:$AM,24,FALSE),"")</f>
        <v/>
      </c>
      <c r="Y991" s="14" t="str">
        <f>IFERROR(VLOOKUP($A991,koronahun!$A:$AM,25,FALSE),"")</f>
        <v/>
      </c>
      <c r="Z991" s="14" t="str">
        <f>IFERROR(VLOOKUP($A991,koronahun!$A:$AM,26,FALSE),"")</f>
        <v/>
      </c>
      <c r="AA991" s="14" t="str">
        <f>IFERROR(VLOOKUP($A991,koronahun!$A:$AM,27,FALSE),"")</f>
        <v/>
      </c>
      <c r="AB991" s="14" t="str">
        <f>IFERROR(VLOOKUP($A991,koronahun!$A:$AM,28,FALSE),"")</f>
        <v/>
      </c>
      <c r="AC991" s="14" t="str">
        <f>IFERROR(VLOOKUP($A991,koronahun!$A:$AM,29,FALSE),"")</f>
        <v/>
      </c>
      <c r="AD991" s="14" t="str">
        <f>IFERROR(VLOOKUP($A991,koronahun!$A:$AM,30,FALSE),"")</f>
        <v/>
      </c>
      <c r="AE991" s="14" t="str">
        <f>IFERROR(VLOOKUP($A991,koronahun!$A:$AM,31,FALSE),"")</f>
        <v/>
      </c>
      <c r="AF991" s="13" t="str">
        <f>IFERROR(VLOOKUP($A991,koronahun!$A:$AM,32,FALSE),"")</f>
        <v/>
      </c>
      <c r="AG991" t="str">
        <f>IFERROR(VLOOKUP($A991,koronahun!$A:$AM,33,FALSE),"")</f>
        <v/>
      </c>
      <c r="AH991" t="str">
        <f>IFERROR(VLOOKUP($A991,koronahun!$A:$AM,34,FALSE),"")</f>
        <v/>
      </c>
      <c r="AI991" t="str">
        <f>IFERROR(VLOOKUP($A991,koronahun!$A:$AM,35,FALSE),"")</f>
        <v/>
      </c>
      <c r="AJ991" t="str">
        <f>IFERROR(VLOOKUP($A991,koronahun!$A:$AM,36,FALSE),"")</f>
        <v/>
      </c>
      <c r="AK991" t="str">
        <f>IFERROR(VLOOKUP($A991,koronahun!$A:$AM,37,FALSE),"")</f>
        <v/>
      </c>
      <c r="AL991" t="str">
        <f>IFERROR(VLOOKUP($A991,koronahun!$A:$AM,38,FALSE),"")</f>
        <v/>
      </c>
      <c r="AM991" s="14" t="str">
        <f>IFERROR(VLOOKUP($A991,koronahun!$A:$AM,39,FALSE),"")</f>
        <v/>
      </c>
      <c r="AN991" s="11">
        <f ca="1">IFERROR(__xludf.DUMMYFUNCTION("""COMPUTED_VALUE"""),44883)</f>
        <v>44883</v>
      </c>
      <c r="AO991" s="12">
        <f ca="1">IFERROR(VLOOKUP(AN991,koronahun!A:B,2,FALSE),"")</f>
        <v>0</v>
      </c>
      <c r="AP991" s="11">
        <f t="shared" ca="1" si="6"/>
        <v>44883</v>
      </c>
      <c r="AQ991" s="11"/>
      <c r="AR991" s="11"/>
      <c r="AS991" s="11"/>
      <c r="AT991" s="11"/>
    </row>
    <row r="992" spans="1:46" ht="13">
      <c r="A992" s="11"/>
      <c r="B992" t="str">
        <f>IFERROR(VLOOKUP($A992,koronahun!$A:$AM,2,FALSE),"")</f>
        <v/>
      </c>
      <c r="C992" t="str">
        <f>IFERROR(VLOOKUP($A992,koronahun!$A:$AM,3,FALSE),"")</f>
        <v/>
      </c>
      <c r="D992" t="str">
        <f>IFERROR(VLOOKUP($A992,koronahun!$A:$AM,4,FALSE),"")</f>
        <v/>
      </c>
      <c r="E992" t="str">
        <f>IFERROR(VLOOKUP($A992,koronahun!$A:$AM,5,FALSE),"")</f>
        <v/>
      </c>
      <c r="F992" t="str">
        <f>IFERROR(VLOOKUP($A992,koronahun!$A:$AM,6,FALSE),"")</f>
        <v/>
      </c>
      <c r="G992" s="12" t="str">
        <f>IFERROR(VLOOKUP($A992,koronahun!$A:$AM,7,FALSE),"")</f>
        <v/>
      </c>
      <c r="H992" t="str">
        <f>IFERROR(VLOOKUP($A992,koronahun!$A:$AM,8,FALSE),"")</f>
        <v/>
      </c>
      <c r="I992" s="13" t="str">
        <f>IFERROR(VLOOKUP($A992,koronahun!$A:$AM,9,FALSE),"")</f>
        <v/>
      </c>
      <c r="J992" s="13" t="str">
        <f>IFERROR(VLOOKUP($A992,koronahun!$A:$AM,10,FALSE),"")</f>
        <v/>
      </c>
      <c r="K992" s="13" t="str">
        <f>IFERROR(VLOOKUP($A992,koronahun!$A:$AM,11,FALSE),"")</f>
        <v/>
      </c>
      <c r="L992" t="str">
        <f>IFERROR(VLOOKUP($A992,koronahun!$A:$AM,12,FALSE),"")</f>
        <v/>
      </c>
      <c r="M992" s="13" t="str">
        <f>IFERROR(VLOOKUP($A992,koronahun!$A:$AM,13,FALSE),"")</f>
        <v/>
      </c>
      <c r="N992" s="13" t="str">
        <f>IFERROR(VLOOKUP($A992,koronahun!$A:$AM,14,FALSE),"")</f>
        <v/>
      </c>
      <c r="O992" t="str">
        <f>IFERROR(VLOOKUP($A992,koronahun!$A:$AM,15,FALSE),"")</f>
        <v/>
      </c>
      <c r="P992" t="str">
        <f>IFERROR(VLOOKUP($A992,koronahun!$A:$AM,16,FALSE),"")</f>
        <v/>
      </c>
      <c r="Q992" s="13" t="str">
        <f>IFERROR(VLOOKUP($A992,koronahun!$A:$AM,17,FALSE),"")</f>
        <v/>
      </c>
      <c r="R992" t="str">
        <f>IFERROR(VLOOKUP($A992,koronahun!$A:$AM,18,FALSE),"")</f>
        <v/>
      </c>
      <c r="S992" t="str">
        <f>IFERROR(VLOOKUP($A992,koronahun!$A:$AM,19,FALSE),"")</f>
        <v/>
      </c>
      <c r="T992" t="str">
        <f>IFERROR(VLOOKUP($A992,koronahun!$A:$AM,20,FALSE),"")</f>
        <v/>
      </c>
      <c r="U992" t="str">
        <f>IFERROR(VLOOKUP($A992,koronahun!$A:$AM,21,FALSE),"")</f>
        <v/>
      </c>
      <c r="V992" s="13" t="str">
        <f>IFERROR(VLOOKUP($A992,koronahun!$A:$AM,22,FALSE),"")</f>
        <v/>
      </c>
      <c r="W992" t="str">
        <f>IFERROR(VLOOKUP($A992,koronahun!$A:$AM,23,FALSE),"")</f>
        <v/>
      </c>
      <c r="X992" t="str">
        <f>IFERROR(VLOOKUP($A992,koronahun!$A:$AM,24,FALSE),"")</f>
        <v/>
      </c>
      <c r="Y992" s="14" t="str">
        <f>IFERROR(VLOOKUP($A992,koronahun!$A:$AM,25,FALSE),"")</f>
        <v/>
      </c>
      <c r="Z992" s="14" t="str">
        <f>IFERROR(VLOOKUP($A992,koronahun!$A:$AM,26,FALSE),"")</f>
        <v/>
      </c>
      <c r="AA992" s="14" t="str">
        <f>IFERROR(VLOOKUP($A992,koronahun!$A:$AM,27,FALSE),"")</f>
        <v/>
      </c>
      <c r="AB992" s="14" t="str">
        <f>IFERROR(VLOOKUP($A992,koronahun!$A:$AM,28,FALSE),"")</f>
        <v/>
      </c>
      <c r="AC992" s="14" t="str">
        <f>IFERROR(VLOOKUP($A992,koronahun!$A:$AM,29,FALSE),"")</f>
        <v/>
      </c>
      <c r="AD992" s="14" t="str">
        <f>IFERROR(VLOOKUP($A992,koronahun!$A:$AM,30,FALSE),"")</f>
        <v/>
      </c>
      <c r="AE992" s="14" t="str">
        <f>IFERROR(VLOOKUP($A992,koronahun!$A:$AM,31,FALSE),"")</f>
        <v/>
      </c>
      <c r="AF992" s="13" t="str">
        <f>IFERROR(VLOOKUP($A992,koronahun!$A:$AM,32,FALSE),"")</f>
        <v/>
      </c>
      <c r="AG992" t="str">
        <f>IFERROR(VLOOKUP($A992,koronahun!$A:$AM,33,FALSE),"")</f>
        <v/>
      </c>
      <c r="AH992" t="str">
        <f>IFERROR(VLOOKUP($A992,koronahun!$A:$AM,34,FALSE),"")</f>
        <v/>
      </c>
      <c r="AI992" t="str">
        <f>IFERROR(VLOOKUP($A992,koronahun!$A:$AM,35,FALSE),"")</f>
        <v/>
      </c>
      <c r="AJ992" t="str">
        <f>IFERROR(VLOOKUP($A992,koronahun!$A:$AM,36,FALSE),"")</f>
        <v/>
      </c>
      <c r="AK992" t="str">
        <f>IFERROR(VLOOKUP($A992,koronahun!$A:$AM,37,FALSE),"")</f>
        <v/>
      </c>
      <c r="AL992" t="str">
        <f>IFERROR(VLOOKUP($A992,koronahun!$A:$AM,38,FALSE),"")</f>
        <v/>
      </c>
      <c r="AM992" s="14" t="str">
        <f>IFERROR(VLOOKUP($A992,koronahun!$A:$AM,39,FALSE),"")</f>
        <v/>
      </c>
      <c r="AN992" s="11">
        <f ca="1">IFERROR(__xludf.DUMMYFUNCTION("""COMPUTED_VALUE"""),44884)</f>
        <v>44884</v>
      </c>
      <c r="AO992" s="12">
        <f ca="1">IFERROR(VLOOKUP(AN992,koronahun!A:B,2,FALSE),"")</f>
        <v>0</v>
      </c>
      <c r="AP992" s="11">
        <f t="shared" ca="1" si="6"/>
        <v>44884</v>
      </c>
      <c r="AQ992" s="11"/>
      <c r="AR992" s="11"/>
      <c r="AS992" s="11"/>
      <c r="AT992" s="11"/>
    </row>
    <row r="993" spans="1:46" ht="13">
      <c r="A993" s="11"/>
      <c r="B993" t="str">
        <f>IFERROR(VLOOKUP($A993,koronahun!$A:$AM,2,FALSE),"")</f>
        <v/>
      </c>
      <c r="C993" t="str">
        <f>IFERROR(VLOOKUP($A993,koronahun!$A:$AM,3,FALSE),"")</f>
        <v/>
      </c>
      <c r="D993" t="str">
        <f>IFERROR(VLOOKUP($A993,koronahun!$A:$AM,4,FALSE),"")</f>
        <v/>
      </c>
      <c r="E993" t="str">
        <f>IFERROR(VLOOKUP($A993,koronahun!$A:$AM,5,FALSE),"")</f>
        <v/>
      </c>
      <c r="F993" t="str">
        <f>IFERROR(VLOOKUP($A993,koronahun!$A:$AM,6,FALSE),"")</f>
        <v/>
      </c>
      <c r="G993" s="12" t="str">
        <f>IFERROR(VLOOKUP($A993,koronahun!$A:$AM,7,FALSE),"")</f>
        <v/>
      </c>
      <c r="H993" t="str">
        <f>IFERROR(VLOOKUP($A993,koronahun!$A:$AM,8,FALSE),"")</f>
        <v/>
      </c>
      <c r="I993" s="13" t="str">
        <f>IFERROR(VLOOKUP($A993,koronahun!$A:$AM,9,FALSE),"")</f>
        <v/>
      </c>
      <c r="J993" s="13" t="str">
        <f>IFERROR(VLOOKUP($A993,koronahun!$A:$AM,10,FALSE),"")</f>
        <v/>
      </c>
      <c r="K993" s="13" t="str">
        <f>IFERROR(VLOOKUP($A993,koronahun!$A:$AM,11,FALSE),"")</f>
        <v/>
      </c>
      <c r="L993" t="str">
        <f>IFERROR(VLOOKUP($A993,koronahun!$A:$AM,12,FALSE),"")</f>
        <v/>
      </c>
      <c r="M993" s="13" t="str">
        <f>IFERROR(VLOOKUP($A993,koronahun!$A:$AM,13,FALSE),"")</f>
        <v/>
      </c>
      <c r="N993" s="13" t="str">
        <f>IFERROR(VLOOKUP($A993,koronahun!$A:$AM,14,FALSE),"")</f>
        <v/>
      </c>
      <c r="O993" t="str">
        <f>IFERROR(VLOOKUP($A993,koronahun!$A:$AM,15,FALSE),"")</f>
        <v/>
      </c>
      <c r="P993" t="str">
        <f>IFERROR(VLOOKUP($A993,koronahun!$A:$AM,16,FALSE),"")</f>
        <v/>
      </c>
      <c r="Q993" s="13" t="str">
        <f>IFERROR(VLOOKUP($A993,koronahun!$A:$AM,17,FALSE),"")</f>
        <v/>
      </c>
      <c r="R993" t="str">
        <f>IFERROR(VLOOKUP($A993,koronahun!$A:$AM,18,FALSE),"")</f>
        <v/>
      </c>
      <c r="S993" t="str">
        <f>IFERROR(VLOOKUP($A993,koronahun!$A:$AM,19,FALSE),"")</f>
        <v/>
      </c>
      <c r="T993" t="str">
        <f>IFERROR(VLOOKUP($A993,koronahun!$A:$AM,20,FALSE),"")</f>
        <v/>
      </c>
      <c r="U993" t="str">
        <f>IFERROR(VLOOKUP($A993,koronahun!$A:$AM,21,FALSE),"")</f>
        <v/>
      </c>
      <c r="V993" s="13" t="str">
        <f>IFERROR(VLOOKUP($A993,koronahun!$A:$AM,22,FALSE),"")</f>
        <v/>
      </c>
      <c r="W993" t="str">
        <f>IFERROR(VLOOKUP($A993,koronahun!$A:$AM,23,FALSE),"")</f>
        <v/>
      </c>
      <c r="X993" t="str">
        <f>IFERROR(VLOOKUP($A993,koronahun!$A:$AM,24,FALSE),"")</f>
        <v/>
      </c>
      <c r="Y993" s="14" t="str">
        <f>IFERROR(VLOOKUP($A993,koronahun!$A:$AM,25,FALSE),"")</f>
        <v/>
      </c>
      <c r="Z993" s="14" t="str">
        <f>IFERROR(VLOOKUP($A993,koronahun!$A:$AM,26,FALSE),"")</f>
        <v/>
      </c>
      <c r="AA993" s="14" t="str">
        <f>IFERROR(VLOOKUP($A993,koronahun!$A:$AM,27,FALSE),"")</f>
        <v/>
      </c>
      <c r="AB993" s="14" t="str">
        <f>IFERROR(VLOOKUP($A993,koronahun!$A:$AM,28,FALSE),"")</f>
        <v/>
      </c>
      <c r="AC993" s="14" t="str">
        <f>IFERROR(VLOOKUP($A993,koronahun!$A:$AM,29,FALSE),"")</f>
        <v/>
      </c>
      <c r="AD993" s="14" t="str">
        <f>IFERROR(VLOOKUP($A993,koronahun!$A:$AM,30,FALSE),"")</f>
        <v/>
      </c>
      <c r="AE993" s="14" t="str">
        <f>IFERROR(VLOOKUP($A993,koronahun!$A:$AM,31,FALSE),"")</f>
        <v/>
      </c>
      <c r="AF993" s="13" t="str">
        <f>IFERROR(VLOOKUP($A993,koronahun!$A:$AM,32,FALSE),"")</f>
        <v/>
      </c>
      <c r="AG993" t="str">
        <f>IFERROR(VLOOKUP($A993,koronahun!$A:$AM,33,FALSE),"")</f>
        <v/>
      </c>
      <c r="AH993" t="str">
        <f>IFERROR(VLOOKUP($A993,koronahun!$A:$AM,34,FALSE),"")</f>
        <v/>
      </c>
      <c r="AI993" t="str">
        <f>IFERROR(VLOOKUP($A993,koronahun!$A:$AM,35,FALSE),"")</f>
        <v/>
      </c>
      <c r="AJ993" t="str">
        <f>IFERROR(VLOOKUP($A993,koronahun!$A:$AM,36,FALSE),"")</f>
        <v/>
      </c>
      <c r="AK993" t="str">
        <f>IFERROR(VLOOKUP($A993,koronahun!$A:$AM,37,FALSE),"")</f>
        <v/>
      </c>
      <c r="AL993" t="str">
        <f>IFERROR(VLOOKUP($A993,koronahun!$A:$AM,38,FALSE),"")</f>
        <v/>
      </c>
      <c r="AM993" s="14" t="str">
        <f>IFERROR(VLOOKUP($A993,koronahun!$A:$AM,39,FALSE),"")</f>
        <v/>
      </c>
      <c r="AN993" s="11">
        <f ca="1">IFERROR(__xludf.DUMMYFUNCTION("""COMPUTED_VALUE"""),44885)</f>
        <v>44885</v>
      </c>
      <c r="AO993" s="12">
        <f ca="1">IFERROR(VLOOKUP(AN993,koronahun!A:B,2,FALSE),"")</f>
        <v>0</v>
      </c>
      <c r="AP993" s="11">
        <f t="shared" ca="1" si="6"/>
        <v>44885</v>
      </c>
      <c r="AQ993" s="11"/>
      <c r="AR993" s="11"/>
      <c r="AS993" s="11"/>
      <c r="AT993" s="11"/>
    </row>
    <row r="994" spans="1:46" ht="13">
      <c r="A994" s="11"/>
      <c r="B994" t="str">
        <f>IFERROR(VLOOKUP($A994,koronahun!$A:$AM,2,FALSE),"")</f>
        <v/>
      </c>
      <c r="C994" t="str">
        <f>IFERROR(VLOOKUP($A994,koronahun!$A:$AM,3,FALSE),"")</f>
        <v/>
      </c>
      <c r="D994" t="str">
        <f>IFERROR(VLOOKUP($A994,koronahun!$A:$AM,4,FALSE),"")</f>
        <v/>
      </c>
      <c r="E994" t="str">
        <f>IFERROR(VLOOKUP($A994,koronahun!$A:$AM,5,FALSE),"")</f>
        <v/>
      </c>
      <c r="F994" t="str">
        <f>IFERROR(VLOOKUP($A994,koronahun!$A:$AM,6,FALSE),"")</f>
        <v/>
      </c>
      <c r="G994" s="12" t="str">
        <f>IFERROR(VLOOKUP($A994,koronahun!$A:$AM,7,FALSE),"")</f>
        <v/>
      </c>
      <c r="H994" t="str">
        <f>IFERROR(VLOOKUP($A994,koronahun!$A:$AM,8,FALSE),"")</f>
        <v/>
      </c>
      <c r="I994" s="13" t="str">
        <f>IFERROR(VLOOKUP($A994,koronahun!$A:$AM,9,FALSE),"")</f>
        <v/>
      </c>
      <c r="J994" s="13" t="str">
        <f>IFERROR(VLOOKUP($A994,koronahun!$A:$AM,10,FALSE),"")</f>
        <v/>
      </c>
      <c r="K994" s="13" t="str">
        <f>IFERROR(VLOOKUP($A994,koronahun!$A:$AM,11,FALSE),"")</f>
        <v/>
      </c>
      <c r="L994" t="str">
        <f>IFERROR(VLOOKUP($A994,koronahun!$A:$AM,12,FALSE),"")</f>
        <v/>
      </c>
      <c r="M994" s="13" t="str">
        <f>IFERROR(VLOOKUP($A994,koronahun!$A:$AM,13,FALSE),"")</f>
        <v/>
      </c>
      <c r="N994" s="13" t="str">
        <f>IFERROR(VLOOKUP($A994,koronahun!$A:$AM,14,FALSE),"")</f>
        <v/>
      </c>
      <c r="O994" t="str">
        <f>IFERROR(VLOOKUP($A994,koronahun!$A:$AM,15,FALSE),"")</f>
        <v/>
      </c>
      <c r="P994" t="str">
        <f>IFERROR(VLOOKUP($A994,koronahun!$A:$AM,16,FALSE),"")</f>
        <v/>
      </c>
      <c r="Q994" s="13" t="str">
        <f>IFERROR(VLOOKUP($A994,koronahun!$A:$AM,17,FALSE),"")</f>
        <v/>
      </c>
      <c r="R994" t="str">
        <f>IFERROR(VLOOKUP($A994,koronahun!$A:$AM,18,FALSE),"")</f>
        <v/>
      </c>
      <c r="S994" t="str">
        <f>IFERROR(VLOOKUP($A994,koronahun!$A:$AM,19,FALSE),"")</f>
        <v/>
      </c>
      <c r="T994" t="str">
        <f>IFERROR(VLOOKUP($A994,koronahun!$A:$AM,20,FALSE),"")</f>
        <v/>
      </c>
      <c r="U994" t="str">
        <f>IFERROR(VLOOKUP($A994,koronahun!$A:$AM,21,FALSE),"")</f>
        <v/>
      </c>
      <c r="V994" s="13" t="str">
        <f>IFERROR(VLOOKUP($A994,koronahun!$A:$AM,22,FALSE),"")</f>
        <v/>
      </c>
      <c r="W994" t="str">
        <f>IFERROR(VLOOKUP($A994,koronahun!$A:$AM,23,FALSE),"")</f>
        <v/>
      </c>
      <c r="X994" t="str">
        <f>IFERROR(VLOOKUP($A994,koronahun!$A:$AM,24,FALSE),"")</f>
        <v/>
      </c>
      <c r="Y994" s="14" t="str">
        <f>IFERROR(VLOOKUP($A994,koronahun!$A:$AM,25,FALSE),"")</f>
        <v/>
      </c>
      <c r="Z994" s="14" t="str">
        <f>IFERROR(VLOOKUP($A994,koronahun!$A:$AM,26,FALSE),"")</f>
        <v/>
      </c>
      <c r="AA994" s="14" t="str">
        <f>IFERROR(VLOOKUP($A994,koronahun!$A:$AM,27,FALSE),"")</f>
        <v/>
      </c>
      <c r="AB994" s="14" t="str">
        <f>IFERROR(VLOOKUP($A994,koronahun!$A:$AM,28,FALSE),"")</f>
        <v/>
      </c>
      <c r="AC994" s="14" t="str">
        <f>IFERROR(VLOOKUP($A994,koronahun!$A:$AM,29,FALSE),"")</f>
        <v/>
      </c>
      <c r="AD994" s="14" t="str">
        <f>IFERROR(VLOOKUP($A994,koronahun!$A:$AM,30,FALSE),"")</f>
        <v/>
      </c>
      <c r="AE994" s="14" t="str">
        <f>IFERROR(VLOOKUP($A994,koronahun!$A:$AM,31,FALSE),"")</f>
        <v/>
      </c>
      <c r="AF994" s="13" t="str">
        <f>IFERROR(VLOOKUP($A994,koronahun!$A:$AM,32,FALSE),"")</f>
        <v/>
      </c>
      <c r="AG994" t="str">
        <f>IFERROR(VLOOKUP($A994,koronahun!$A:$AM,33,FALSE),"")</f>
        <v/>
      </c>
      <c r="AH994" t="str">
        <f>IFERROR(VLOOKUP($A994,koronahun!$A:$AM,34,FALSE),"")</f>
        <v/>
      </c>
      <c r="AI994" t="str">
        <f>IFERROR(VLOOKUP($A994,koronahun!$A:$AM,35,FALSE),"")</f>
        <v/>
      </c>
      <c r="AJ994" t="str">
        <f>IFERROR(VLOOKUP($A994,koronahun!$A:$AM,36,FALSE),"")</f>
        <v/>
      </c>
      <c r="AK994" t="str">
        <f>IFERROR(VLOOKUP($A994,koronahun!$A:$AM,37,FALSE),"")</f>
        <v/>
      </c>
      <c r="AL994" t="str">
        <f>IFERROR(VLOOKUP($A994,koronahun!$A:$AM,38,FALSE),"")</f>
        <v/>
      </c>
      <c r="AM994" s="14" t="str">
        <f>IFERROR(VLOOKUP($A994,koronahun!$A:$AM,39,FALSE),"")</f>
        <v/>
      </c>
      <c r="AN994" s="11">
        <f ca="1">IFERROR(__xludf.DUMMYFUNCTION("""COMPUTED_VALUE"""),44886)</f>
        <v>44886</v>
      </c>
      <c r="AO994" s="12">
        <f ca="1">IFERROR(VLOOKUP(AN994,koronahun!A:B,2,FALSE),"")</f>
        <v>0</v>
      </c>
      <c r="AP994" s="11">
        <f t="shared" ca="1" si="6"/>
        <v>44886</v>
      </c>
      <c r="AQ994" s="11"/>
      <c r="AR994" s="11"/>
      <c r="AS994" s="11"/>
      <c r="AT994" s="11"/>
    </row>
    <row r="995" spans="1:46" ht="13">
      <c r="A995" s="11"/>
      <c r="B995" t="str">
        <f>IFERROR(VLOOKUP($A995,koronahun!$A:$AM,2,FALSE),"")</f>
        <v/>
      </c>
      <c r="C995" t="str">
        <f>IFERROR(VLOOKUP($A995,koronahun!$A:$AM,3,FALSE),"")</f>
        <v/>
      </c>
      <c r="D995" t="str">
        <f>IFERROR(VLOOKUP($A995,koronahun!$A:$AM,4,FALSE),"")</f>
        <v/>
      </c>
      <c r="E995" t="str">
        <f>IFERROR(VLOOKUP($A995,koronahun!$A:$AM,5,FALSE),"")</f>
        <v/>
      </c>
      <c r="F995" t="str">
        <f>IFERROR(VLOOKUP($A995,koronahun!$A:$AM,6,FALSE),"")</f>
        <v/>
      </c>
      <c r="G995" s="12" t="str">
        <f>IFERROR(VLOOKUP($A995,koronahun!$A:$AM,7,FALSE),"")</f>
        <v/>
      </c>
      <c r="H995" t="str">
        <f>IFERROR(VLOOKUP($A995,koronahun!$A:$AM,8,FALSE),"")</f>
        <v/>
      </c>
      <c r="I995" s="13" t="str">
        <f>IFERROR(VLOOKUP($A995,koronahun!$A:$AM,9,FALSE),"")</f>
        <v/>
      </c>
      <c r="J995" s="13" t="str">
        <f>IFERROR(VLOOKUP($A995,koronahun!$A:$AM,10,FALSE),"")</f>
        <v/>
      </c>
      <c r="K995" s="13" t="str">
        <f>IFERROR(VLOOKUP($A995,koronahun!$A:$AM,11,FALSE),"")</f>
        <v/>
      </c>
      <c r="L995" t="str">
        <f>IFERROR(VLOOKUP($A995,koronahun!$A:$AM,12,FALSE),"")</f>
        <v/>
      </c>
      <c r="M995" s="13" t="str">
        <f>IFERROR(VLOOKUP($A995,koronahun!$A:$AM,13,FALSE),"")</f>
        <v/>
      </c>
      <c r="N995" s="13" t="str">
        <f>IFERROR(VLOOKUP($A995,koronahun!$A:$AM,14,FALSE),"")</f>
        <v/>
      </c>
      <c r="O995" t="str">
        <f>IFERROR(VLOOKUP($A995,koronahun!$A:$AM,15,FALSE),"")</f>
        <v/>
      </c>
      <c r="P995" t="str">
        <f>IFERROR(VLOOKUP($A995,koronahun!$A:$AM,16,FALSE),"")</f>
        <v/>
      </c>
      <c r="Q995" s="13" t="str">
        <f>IFERROR(VLOOKUP($A995,koronahun!$A:$AM,17,FALSE),"")</f>
        <v/>
      </c>
      <c r="R995" t="str">
        <f>IFERROR(VLOOKUP($A995,koronahun!$A:$AM,18,FALSE),"")</f>
        <v/>
      </c>
      <c r="S995" t="str">
        <f>IFERROR(VLOOKUP($A995,koronahun!$A:$AM,19,FALSE),"")</f>
        <v/>
      </c>
      <c r="T995" t="str">
        <f>IFERROR(VLOOKUP($A995,koronahun!$A:$AM,20,FALSE),"")</f>
        <v/>
      </c>
      <c r="U995" t="str">
        <f>IFERROR(VLOOKUP($A995,koronahun!$A:$AM,21,FALSE),"")</f>
        <v/>
      </c>
      <c r="V995" s="13" t="str">
        <f>IFERROR(VLOOKUP($A995,koronahun!$A:$AM,22,FALSE),"")</f>
        <v/>
      </c>
      <c r="W995" t="str">
        <f>IFERROR(VLOOKUP($A995,koronahun!$A:$AM,23,FALSE),"")</f>
        <v/>
      </c>
      <c r="X995" t="str">
        <f>IFERROR(VLOOKUP($A995,koronahun!$A:$AM,24,FALSE),"")</f>
        <v/>
      </c>
      <c r="Y995" s="14" t="str">
        <f>IFERROR(VLOOKUP($A995,koronahun!$A:$AM,25,FALSE),"")</f>
        <v/>
      </c>
      <c r="Z995" s="14" t="str">
        <f>IFERROR(VLOOKUP($A995,koronahun!$A:$AM,26,FALSE),"")</f>
        <v/>
      </c>
      <c r="AA995" s="14" t="str">
        <f>IFERROR(VLOOKUP($A995,koronahun!$A:$AM,27,FALSE),"")</f>
        <v/>
      </c>
      <c r="AB995" s="14" t="str">
        <f>IFERROR(VLOOKUP($A995,koronahun!$A:$AM,28,FALSE),"")</f>
        <v/>
      </c>
      <c r="AC995" s="14" t="str">
        <f>IFERROR(VLOOKUP($A995,koronahun!$A:$AM,29,FALSE),"")</f>
        <v/>
      </c>
      <c r="AD995" s="14" t="str">
        <f>IFERROR(VLOOKUP($A995,koronahun!$A:$AM,30,FALSE),"")</f>
        <v/>
      </c>
      <c r="AE995" s="14" t="str">
        <f>IFERROR(VLOOKUP($A995,koronahun!$A:$AM,31,FALSE),"")</f>
        <v/>
      </c>
      <c r="AF995" s="13" t="str">
        <f>IFERROR(VLOOKUP($A995,koronahun!$A:$AM,32,FALSE),"")</f>
        <v/>
      </c>
      <c r="AG995" t="str">
        <f>IFERROR(VLOOKUP($A995,koronahun!$A:$AM,33,FALSE),"")</f>
        <v/>
      </c>
      <c r="AH995" t="str">
        <f>IFERROR(VLOOKUP($A995,koronahun!$A:$AM,34,FALSE),"")</f>
        <v/>
      </c>
      <c r="AI995" t="str">
        <f>IFERROR(VLOOKUP($A995,koronahun!$A:$AM,35,FALSE),"")</f>
        <v/>
      </c>
      <c r="AJ995" t="str">
        <f>IFERROR(VLOOKUP($A995,koronahun!$A:$AM,36,FALSE),"")</f>
        <v/>
      </c>
      <c r="AK995" t="str">
        <f>IFERROR(VLOOKUP($A995,koronahun!$A:$AM,37,FALSE),"")</f>
        <v/>
      </c>
      <c r="AL995" t="str">
        <f>IFERROR(VLOOKUP($A995,koronahun!$A:$AM,38,FALSE),"")</f>
        <v/>
      </c>
      <c r="AM995" s="14" t="str">
        <f>IFERROR(VLOOKUP($A995,koronahun!$A:$AM,39,FALSE),"")</f>
        <v/>
      </c>
      <c r="AN995" s="11">
        <f ca="1">IFERROR(__xludf.DUMMYFUNCTION("""COMPUTED_VALUE"""),44887)</f>
        <v>44887</v>
      </c>
      <c r="AO995" s="12">
        <f ca="1">IFERROR(VLOOKUP(AN995,koronahun!A:B,2,FALSE),"")</f>
        <v>0</v>
      </c>
      <c r="AP995" s="11">
        <f t="shared" ca="1" si="6"/>
        <v>44887</v>
      </c>
      <c r="AQ995" s="11"/>
      <c r="AR995" s="11"/>
      <c r="AS995" s="11"/>
      <c r="AT995" s="11"/>
    </row>
    <row r="996" spans="1:46" ht="13">
      <c r="A996" s="11"/>
      <c r="B996" t="str">
        <f>IFERROR(VLOOKUP($A996,koronahun!$A:$AM,2,FALSE),"")</f>
        <v/>
      </c>
      <c r="C996" t="str">
        <f>IFERROR(VLOOKUP($A996,koronahun!$A:$AM,3,FALSE),"")</f>
        <v/>
      </c>
      <c r="D996" t="str">
        <f>IFERROR(VLOOKUP($A996,koronahun!$A:$AM,4,FALSE),"")</f>
        <v/>
      </c>
      <c r="E996" t="str">
        <f>IFERROR(VLOOKUP($A996,koronahun!$A:$AM,5,FALSE),"")</f>
        <v/>
      </c>
      <c r="F996" t="str">
        <f>IFERROR(VLOOKUP($A996,koronahun!$A:$AM,6,FALSE),"")</f>
        <v/>
      </c>
      <c r="G996" s="12" t="str">
        <f>IFERROR(VLOOKUP($A996,koronahun!$A:$AM,7,FALSE),"")</f>
        <v/>
      </c>
      <c r="H996" t="str">
        <f>IFERROR(VLOOKUP($A996,koronahun!$A:$AM,8,FALSE),"")</f>
        <v/>
      </c>
      <c r="I996" s="13" t="str">
        <f>IFERROR(VLOOKUP($A996,koronahun!$A:$AM,9,FALSE),"")</f>
        <v/>
      </c>
      <c r="J996" s="13" t="str">
        <f>IFERROR(VLOOKUP($A996,koronahun!$A:$AM,10,FALSE),"")</f>
        <v/>
      </c>
      <c r="K996" s="13" t="str">
        <f>IFERROR(VLOOKUP($A996,koronahun!$A:$AM,11,FALSE),"")</f>
        <v/>
      </c>
      <c r="L996" t="str">
        <f>IFERROR(VLOOKUP($A996,koronahun!$A:$AM,12,FALSE),"")</f>
        <v/>
      </c>
      <c r="M996" s="13" t="str">
        <f>IFERROR(VLOOKUP($A996,koronahun!$A:$AM,13,FALSE),"")</f>
        <v/>
      </c>
      <c r="N996" s="13" t="str">
        <f>IFERROR(VLOOKUP($A996,koronahun!$A:$AM,14,FALSE),"")</f>
        <v/>
      </c>
      <c r="O996" t="str">
        <f>IFERROR(VLOOKUP($A996,koronahun!$A:$AM,15,FALSE),"")</f>
        <v/>
      </c>
      <c r="P996" t="str">
        <f>IFERROR(VLOOKUP($A996,koronahun!$A:$AM,16,FALSE),"")</f>
        <v/>
      </c>
      <c r="Q996" s="13" t="str">
        <f>IFERROR(VLOOKUP($A996,koronahun!$A:$AM,17,FALSE),"")</f>
        <v/>
      </c>
      <c r="R996" t="str">
        <f>IFERROR(VLOOKUP($A996,koronahun!$A:$AM,18,FALSE),"")</f>
        <v/>
      </c>
      <c r="S996" t="str">
        <f>IFERROR(VLOOKUP($A996,koronahun!$A:$AM,19,FALSE),"")</f>
        <v/>
      </c>
      <c r="T996" t="str">
        <f>IFERROR(VLOOKUP($A996,koronahun!$A:$AM,20,FALSE),"")</f>
        <v/>
      </c>
      <c r="U996" t="str">
        <f>IFERROR(VLOOKUP($A996,koronahun!$A:$AM,21,FALSE),"")</f>
        <v/>
      </c>
      <c r="V996" s="13" t="str">
        <f>IFERROR(VLOOKUP($A996,koronahun!$A:$AM,22,FALSE),"")</f>
        <v/>
      </c>
      <c r="W996" t="str">
        <f>IFERROR(VLOOKUP($A996,koronahun!$A:$AM,23,FALSE),"")</f>
        <v/>
      </c>
      <c r="X996" t="str">
        <f>IFERROR(VLOOKUP($A996,koronahun!$A:$AM,24,FALSE),"")</f>
        <v/>
      </c>
      <c r="Y996" s="14" t="str">
        <f>IFERROR(VLOOKUP($A996,koronahun!$A:$AM,25,FALSE),"")</f>
        <v/>
      </c>
      <c r="Z996" s="14" t="str">
        <f>IFERROR(VLOOKUP($A996,koronahun!$A:$AM,26,FALSE),"")</f>
        <v/>
      </c>
      <c r="AA996" s="14" t="str">
        <f>IFERROR(VLOOKUP($A996,koronahun!$A:$AM,27,FALSE),"")</f>
        <v/>
      </c>
      <c r="AB996" s="14" t="str">
        <f>IFERROR(VLOOKUP($A996,koronahun!$A:$AM,28,FALSE),"")</f>
        <v/>
      </c>
      <c r="AC996" s="14" t="str">
        <f>IFERROR(VLOOKUP($A996,koronahun!$A:$AM,29,FALSE),"")</f>
        <v/>
      </c>
      <c r="AD996" s="14" t="str">
        <f>IFERROR(VLOOKUP($A996,koronahun!$A:$AM,30,FALSE),"")</f>
        <v/>
      </c>
      <c r="AE996" s="14" t="str">
        <f>IFERROR(VLOOKUP($A996,koronahun!$A:$AM,31,FALSE),"")</f>
        <v/>
      </c>
      <c r="AF996" s="13" t="str">
        <f>IFERROR(VLOOKUP($A996,koronahun!$A:$AM,32,FALSE),"")</f>
        <v/>
      </c>
      <c r="AG996" t="str">
        <f>IFERROR(VLOOKUP($A996,koronahun!$A:$AM,33,FALSE),"")</f>
        <v/>
      </c>
      <c r="AH996" t="str">
        <f>IFERROR(VLOOKUP($A996,koronahun!$A:$AM,34,FALSE),"")</f>
        <v/>
      </c>
      <c r="AI996" t="str">
        <f>IFERROR(VLOOKUP($A996,koronahun!$A:$AM,35,FALSE),"")</f>
        <v/>
      </c>
      <c r="AJ996" t="str">
        <f>IFERROR(VLOOKUP($A996,koronahun!$A:$AM,36,FALSE),"")</f>
        <v/>
      </c>
      <c r="AK996" t="str">
        <f>IFERROR(VLOOKUP($A996,koronahun!$A:$AM,37,FALSE),"")</f>
        <v/>
      </c>
      <c r="AL996" t="str">
        <f>IFERROR(VLOOKUP($A996,koronahun!$A:$AM,38,FALSE),"")</f>
        <v/>
      </c>
      <c r="AM996" s="14" t="str">
        <f>IFERROR(VLOOKUP($A996,koronahun!$A:$AM,39,FALSE),"")</f>
        <v/>
      </c>
      <c r="AN996" s="11">
        <f ca="1">IFERROR(__xludf.DUMMYFUNCTION("""COMPUTED_VALUE"""),44888)</f>
        <v>44888</v>
      </c>
      <c r="AO996" s="12">
        <f ca="1">IFERROR(VLOOKUP(AN996,koronahun!A:B,2,FALSE),"")</f>
        <v>2162093</v>
      </c>
      <c r="AP996" s="11">
        <f t="shared" ca="1" si="6"/>
        <v>44888</v>
      </c>
      <c r="AQ996" s="11"/>
      <c r="AR996" s="11"/>
      <c r="AS996" s="11"/>
      <c r="AT996" s="11"/>
    </row>
    <row r="997" spans="1:46" ht="13">
      <c r="A997" s="11"/>
      <c r="B997" t="str">
        <f>IFERROR(VLOOKUP($A997,koronahun!$A:$AM,2,FALSE),"")</f>
        <v/>
      </c>
      <c r="C997" t="str">
        <f>IFERROR(VLOOKUP($A997,koronahun!$A:$AM,3,FALSE),"")</f>
        <v/>
      </c>
      <c r="D997" t="str">
        <f>IFERROR(VLOOKUP($A997,koronahun!$A:$AM,4,FALSE),"")</f>
        <v/>
      </c>
      <c r="E997" t="str">
        <f>IFERROR(VLOOKUP($A997,koronahun!$A:$AM,5,FALSE),"")</f>
        <v/>
      </c>
      <c r="F997" t="str">
        <f>IFERROR(VLOOKUP($A997,koronahun!$A:$AM,6,FALSE),"")</f>
        <v/>
      </c>
      <c r="G997" s="12" t="str">
        <f>IFERROR(VLOOKUP($A997,koronahun!$A:$AM,7,FALSE),"")</f>
        <v/>
      </c>
      <c r="H997" t="str">
        <f>IFERROR(VLOOKUP($A997,koronahun!$A:$AM,8,FALSE),"")</f>
        <v/>
      </c>
      <c r="I997" s="13" t="str">
        <f>IFERROR(VLOOKUP($A997,koronahun!$A:$AM,9,FALSE),"")</f>
        <v/>
      </c>
      <c r="J997" s="13" t="str">
        <f>IFERROR(VLOOKUP($A997,koronahun!$A:$AM,10,FALSE),"")</f>
        <v/>
      </c>
      <c r="K997" s="13" t="str">
        <f>IFERROR(VLOOKUP($A997,koronahun!$A:$AM,11,FALSE),"")</f>
        <v/>
      </c>
      <c r="L997" t="str">
        <f>IFERROR(VLOOKUP($A997,koronahun!$A:$AM,12,FALSE),"")</f>
        <v/>
      </c>
      <c r="M997" s="13" t="str">
        <f>IFERROR(VLOOKUP($A997,koronahun!$A:$AM,13,FALSE),"")</f>
        <v/>
      </c>
      <c r="N997" s="13" t="str">
        <f>IFERROR(VLOOKUP($A997,koronahun!$A:$AM,14,FALSE),"")</f>
        <v/>
      </c>
      <c r="O997" t="str">
        <f>IFERROR(VLOOKUP($A997,koronahun!$A:$AM,15,FALSE),"")</f>
        <v/>
      </c>
      <c r="P997" t="str">
        <f>IFERROR(VLOOKUP($A997,koronahun!$A:$AM,16,FALSE),"")</f>
        <v/>
      </c>
      <c r="Q997" s="13" t="str">
        <f>IFERROR(VLOOKUP($A997,koronahun!$A:$AM,17,FALSE),"")</f>
        <v/>
      </c>
      <c r="R997" t="str">
        <f>IFERROR(VLOOKUP($A997,koronahun!$A:$AM,18,FALSE),"")</f>
        <v/>
      </c>
      <c r="S997" t="str">
        <f>IFERROR(VLOOKUP($A997,koronahun!$A:$AM,19,FALSE),"")</f>
        <v/>
      </c>
      <c r="T997" t="str">
        <f>IFERROR(VLOOKUP($A997,koronahun!$A:$AM,20,FALSE),"")</f>
        <v/>
      </c>
      <c r="U997" t="str">
        <f>IFERROR(VLOOKUP($A997,koronahun!$A:$AM,21,FALSE),"")</f>
        <v/>
      </c>
      <c r="V997" s="13" t="str">
        <f>IFERROR(VLOOKUP($A997,koronahun!$A:$AM,22,FALSE),"")</f>
        <v/>
      </c>
      <c r="W997" t="str">
        <f>IFERROR(VLOOKUP($A997,koronahun!$A:$AM,23,FALSE),"")</f>
        <v/>
      </c>
      <c r="X997" t="str">
        <f>IFERROR(VLOOKUP($A997,koronahun!$A:$AM,24,FALSE),"")</f>
        <v/>
      </c>
      <c r="Y997" s="14" t="str">
        <f>IFERROR(VLOOKUP($A997,koronahun!$A:$AM,25,FALSE),"")</f>
        <v/>
      </c>
      <c r="Z997" s="14" t="str">
        <f>IFERROR(VLOOKUP($A997,koronahun!$A:$AM,26,FALSE),"")</f>
        <v/>
      </c>
      <c r="AA997" s="14" t="str">
        <f>IFERROR(VLOOKUP($A997,koronahun!$A:$AM,27,FALSE),"")</f>
        <v/>
      </c>
      <c r="AB997" s="14" t="str">
        <f>IFERROR(VLOOKUP($A997,koronahun!$A:$AM,28,FALSE),"")</f>
        <v/>
      </c>
      <c r="AC997" s="14" t="str">
        <f>IFERROR(VLOOKUP($A997,koronahun!$A:$AM,29,FALSE),"")</f>
        <v/>
      </c>
      <c r="AD997" s="14" t="str">
        <f>IFERROR(VLOOKUP($A997,koronahun!$A:$AM,30,FALSE),"")</f>
        <v/>
      </c>
      <c r="AE997" s="14" t="str">
        <f>IFERROR(VLOOKUP($A997,koronahun!$A:$AM,31,FALSE),"")</f>
        <v/>
      </c>
      <c r="AF997" s="13" t="str">
        <f>IFERROR(VLOOKUP($A997,koronahun!$A:$AM,32,FALSE),"")</f>
        <v/>
      </c>
      <c r="AG997" t="str">
        <f>IFERROR(VLOOKUP($A997,koronahun!$A:$AM,33,FALSE),"")</f>
        <v/>
      </c>
      <c r="AH997" t="str">
        <f>IFERROR(VLOOKUP($A997,koronahun!$A:$AM,34,FALSE),"")</f>
        <v/>
      </c>
      <c r="AI997" t="str">
        <f>IFERROR(VLOOKUP($A997,koronahun!$A:$AM,35,FALSE),"")</f>
        <v/>
      </c>
      <c r="AJ997" t="str">
        <f>IFERROR(VLOOKUP($A997,koronahun!$A:$AM,36,FALSE),"")</f>
        <v/>
      </c>
      <c r="AK997" t="str">
        <f>IFERROR(VLOOKUP($A997,koronahun!$A:$AM,37,FALSE),"")</f>
        <v/>
      </c>
      <c r="AL997" t="str">
        <f>IFERROR(VLOOKUP($A997,koronahun!$A:$AM,38,FALSE),"")</f>
        <v/>
      </c>
      <c r="AM997" s="14" t="str">
        <f>IFERROR(VLOOKUP($A997,koronahun!$A:$AM,39,FALSE),"")</f>
        <v/>
      </c>
      <c r="AN997" s="11">
        <f ca="1">IFERROR(__xludf.DUMMYFUNCTION("""COMPUTED_VALUE"""),44889)</f>
        <v>44889</v>
      </c>
      <c r="AO997" s="12">
        <f ca="1">IFERROR(VLOOKUP(AN997,koronahun!A:B,2,FALSE),"")</f>
        <v>0</v>
      </c>
      <c r="AP997" s="11">
        <f t="shared" ca="1" si="6"/>
        <v>44889</v>
      </c>
      <c r="AQ997" s="11"/>
      <c r="AR997" s="11"/>
      <c r="AS997" s="11"/>
      <c r="AT997" s="11"/>
    </row>
    <row r="998" spans="1:46" ht="13">
      <c r="A998" s="11"/>
      <c r="B998" t="str">
        <f>IFERROR(VLOOKUP($A998,koronahun!$A:$AM,2,FALSE),"")</f>
        <v/>
      </c>
      <c r="C998" t="str">
        <f>IFERROR(VLOOKUP($A998,koronahun!$A:$AM,3,FALSE),"")</f>
        <v/>
      </c>
      <c r="D998" t="str">
        <f>IFERROR(VLOOKUP($A998,koronahun!$A:$AM,4,FALSE),"")</f>
        <v/>
      </c>
      <c r="E998" t="str">
        <f>IFERROR(VLOOKUP($A998,koronahun!$A:$AM,5,FALSE),"")</f>
        <v/>
      </c>
      <c r="F998" t="str">
        <f>IFERROR(VLOOKUP($A998,koronahun!$A:$AM,6,FALSE),"")</f>
        <v/>
      </c>
      <c r="G998" s="12" t="str">
        <f>IFERROR(VLOOKUP($A998,koronahun!$A:$AM,7,FALSE),"")</f>
        <v/>
      </c>
      <c r="H998" t="str">
        <f>IFERROR(VLOOKUP($A998,koronahun!$A:$AM,8,FALSE),"")</f>
        <v/>
      </c>
      <c r="I998" s="13" t="str">
        <f>IFERROR(VLOOKUP($A998,koronahun!$A:$AM,9,FALSE),"")</f>
        <v/>
      </c>
      <c r="J998" s="13" t="str">
        <f>IFERROR(VLOOKUP($A998,koronahun!$A:$AM,10,FALSE),"")</f>
        <v/>
      </c>
      <c r="K998" s="13" t="str">
        <f>IFERROR(VLOOKUP($A998,koronahun!$A:$AM,11,FALSE),"")</f>
        <v/>
      </c>
      <c r="L998" t="str">
        <f>IFERROR(VLOOKUP($A998,koronahun!$A:$AM,12,FALSE),"")</f>
        <v/>
      </c>
      <c r="M998" s="13" t="str">
        <f>IFERROR(VLOOKUP($A998,koronahun!$A:$AM,13,FALSE),"")</f>
        <v/>
      </c>
      <c r="N998" s="13" t="str">
        <f>IFERROR(VLOOKUP($A998,koronahun!$A:$AM,14,FALSE),"")</f>
        <v/>
      </c>
      <c r="O998" t="str">
        <f>IFERROR(VLOOKUP($A998,koronahun!$A:$AM,15,FALSE),"")</f>
        <v/>
      </c>
      <c r="P998" t="str">
        <f>IFERROR(VLOOKUP($A998,koronahun!$A:$AM,16,FALSE),"")</f>
        <v/>
      </c>
      <c r="Q998" s="13" t="str">
        <f>IFERROR(VLOOKUP($A998,koronahun!$A:$AM,17,FALSE),"")</f>
        <v/>
      </c>
      <c r="R998" t="str">
        <f>IFERROR(VLOOKUP($A998,koronahun!$A:$AM,18,FALSE),"")</f>
        <v/>
      </c>
      <c r="S998" t="str">
        <f>IFERROR(VLOOKUP($A998,koronahun!$A:$AM,19,FALSE),"")</f>
        <v/>
      </c>
      <c r="T998" t="str">
        <f>IFERROR(VLOOKUP($A998,koronahun!$A:$AM,20,FALSE),"")</f>
        <v/>
      </c>
      <c r="U998" t="str">
        <f>IFERROR(VLOOKUP($A998,koronahun!$A:$AM,21,FALSE),"")</f>
        <v/>
      </c>
      <c r="V998" s="13" t="str">
        <f>IFERROR(VLOOKUP($A998,koronahun!$A:$AM,22,FALSE),"")</f>
        <v/>
      </c>
      <c r="W998" t="str">
        <f>IFERROR(VLOOKUP($A998,koronahun!$A:$AM,23,FALSE),"")</f>
        <v/>
      </c>
      <c r="X998" t="str">
        <f>IFERROR(VLOOKUP($A998,koronahun!$A:$AM,24,FALSE),"")</f>
        <v/>
      </c>
      <c r="Y998" s="14" t="str">
        <f>IFERROR(VLOOKUP($A998,koronahun!$A:$AM,25,FALSE),"")</f>
        <v/>
      </c>
      <c r="Z998" s="14" t="str">
        <f>IFERROR(VLOOKUP($A998,koronahun!$A:$AM,26,FALSE),"")</f>
        <v/>
      </c>
      <c r="AA998" s="14" t="str">
        <f>IFERROR(VLOOKUP($A998,koronahun!$A:$AM,27,FALSE),"")</f>
        <v/>
      </c>
      <c r="AB998" s="14" t="str">
        <f>IFERROR(VLOOKUP($A998,koronahun!$A:$AM,28,FALSE),"")</f>
        <v/>
      </c>
      <c r="AC998" s="14" t="str">
        <f>IFERROR(VLOOKUP($A998,koronahun!$A:$AM,29,FALSE),"")</f>
        <v/>
      </c>
      <c r="AD998" s="14" t="str">
        <f>IFERROR(VLOOKUP($A998,koronahun!$A:$AM,30,FALSE),"")</f>
        <v/>
      </c>
      <c r="AE998" s="14" t="str">
        <f>IFERROR(VLOOKUP($A998,koronahun!$A:$AM,31,FALSE),"")</f>
        <v/>
      </c>
      <c r="AF998" s="13" t="str">
        <f>IFERROR(VLOOKUP($A998,koronahun!$A:$AM,32,FALSE),"")</f>
        <v/>
      </c>
      <c r="AG998" t="str">
        <f>IFERROR(VLOOKUP($A998,koronahun!$A:$AM,33,FALSE),"")</f>
        <v/>
      </c>
      <c r="AH998" t="str">
        <f>IFERROR(VLOOKUP($A998,koronahun!$A:$AM,34,FALSE),"")</f>
        <v/>
      </c>
      <c r="AI998" t="str">
        <f>IFERROR(VLOOKUP($A998,koronahun!$A:$AM,35,FALSE),"")</f>
        <v/>
      </c>
      <c r="AJ998" t="str">
        <f>IFERROR(VLOOKUP($A998,koronahun!$A:$AM,36,FALSE),"")</f>
        <v/>
      </c>
      <c r="AK998" t="str">
        <f>IFERROR(VLOOKUP($A998,koronahun!$A:$AM,37,FALSE),"")</f>
        <v/>
      </c>
      <c r="AL998" t="str">
        <f>IFERROR(VLOOKUP($A998,koronahun!$A:$AM,38,FALSE),"")</f>
        <v/>
      </c>
      <c r="AM998" s="14" t="str">
        <f>IFERROR(VLOOKUP($A998,koronahun!$A:$AM,39,FALSE),"")</f>
        <v/>
      </c>
      <c r="AN998" s="11">
        <f ca="1">IFERROR(__xludf.DUMMYFUNCTION("""COMPUTED_VALUE"""),44890)</f>
        <v>44890</v>
      </c>
      <c r="AO998" s="12">
        <f ca="1">IFERROR(VLOOKUP(AN998,koronahun!A:B,2,FALSE),"")</f>
        <v>0</v>
      </c>
      <c r="AP998" s="11">
        <f t="shared" ca="1" si="6"/>
        <v>44890</v>
      </c>
      <c r="AQ998" s="11"/>
      <c r="AR998" s="11"/>
      <c r="AS998" s="11"/>
      <c r="AT998" s="11"/>
    </row>
    <row r="999" spans="1:46" ht="13">
      <c r="A999" s="11"/>
      <c r="B999" t="str">
        <f>IFERROR(VLOOKUP($A999,koronahun!$A:$AM,2,FALSE),"")</f>
        <v/>
      </c>
      <c r="C999" t="str">
        <f>IFERROR(VLOOKUP($A999,koronahun!$A:$AM,3,FALSE),"")</f>
        <v/>
      </c>
      <c r="D999" t="str">
        <f>IFERROR(VLOOKUP($A999,koronahun!$A:$AM,4,FALSE),"")</f>
        <v/>
      </c>
      <c r="E999" t="str">
        <f>IFERROR(VLOOKUP($A999,koronahun!$A:$AM,5,FALSE),"")</f>
        <v/>
      </c>
      <c r="F999" t="str">
        <f>IFERROR(VLOOKUP($A999,koronahun!$A:$AM,6,FALSE),"")</f>
        <v/>
      </c>
      <c r="G999" s="12" t="str">
        <f>IFERROR(VLOOKUP($A999,koronahun!$A:$AM,7,FALSE),"")</f>
        <v/>
      </c>
      <c r="H999" t="str">
        <f>IFERROR(VLOOKUP($A999,koronahun!$A:$AM,8,FALSE),"")</f>
        <v/>
      </c>
      <c r="I999" s="13" t="str">
        <f>IFERROR(VLOOKUP($A999,koronahun!$A:$AM,9,FALSE),"")</f>
        <v/>
      </c>
      <c r="J999" s="13" t="str">
        <f>IFERROR(VLOOKUP($A999,koronahun!$A:$AM,10,FALSE),"")</f>
        <v/>
      </c>
      <c r="K999" s="13" t="str">
        <f>IFERROR(VLOOKUP($A999,koronahun!$A:$AM,11,FALSE),"")</f>
        <v/>
      </c>
      <c r="L999" t="str">
        <f>IFERROR(VLOOKUP($A999,koronahun!$A:$AM,12,FALSE),"")</f>
        <v/>
      </c>
      <c r="M999" s="13" t="str">
        <f>IFERROR(VLOOKUP($A999,koronahun!$A:$AM,13,FALSE),"")</f>
        <v/>
      </c>
      <c r="N999" s="13" t="str">
        <f>IFERROR(VLOOKUP($A999,koronahun!$A:$AM,14,FALSE),"")</f>
        <v/>
      </c>
      <c r="O999" t="str">
        <f>IFERROR(VLOOKUP($A999,koronahun!$A:$AM,15,FALSE),"")</f>
        <v/>
      </c>
      <c r="P999" t="str">
        <f>IFERROR(VLOOKUP($A999,koronahun!$A:$AM,16,FALSE),"")</f>
        <v/>
      </c>
      <c r="Q999" s="13" t="str">
        <f>IFERROR(VLOOKUP($A999,koronahun!$A:$AM,17,FALSE),"")</f>
        <v/>
      </c>
      <c r="R999" t="str">
        <f>IFERROR(VLOOKUP($A999,koronahun!$A:$AM,18,FALSE),"")</f>
        <v/>
      </c>
      <c r="S999" t="str">
        <f>IFERROR(VLOOKUP($A999,koronahun!$A:$AM,19,FALSE),"")</f>
        <v/>
      </c>
      <c r="T999" t="str">
        <f>IFERROR(VLOOKUP($A999,koronahun!$A:$AM,20,FALSE),"")</f>
        <v/>
      </c>
      <c r="U999" t="str">
        <f>IFERROR(VLOOKUP($A999,koronahun!$A:$AM,21,FALSE),"")</f>
        <v/>
      </c>
      <c r="V999" s="13" t="str">
        <f>IFERROR(VLOOKUP($A999,koronahun!$A:$AM,22,FALSE),"")</f>
        <v/>
      </c>
      <c r="W999" t="str">
        <f>IFERROR(VLOOKUP($A999,koronahun!$A:$AM,23,FALSE),"")</f>
        <v/>
      </c>
      <c r="X999" t="str">
        <f>IFERROR(VLOOKUP($A999,koronahun!$A:$AM,24,FALSE),"")</f>
        <v/>
      </c>
      <c r="Y999" s="14" t="str">
        <f>IFERROR(VLOOKUP($A999,koronahun!$A:$AM,25,FALSE),"")</f>
        <v/>
      </c>
      <c r="Z999" s="14" t="str">
        <f>IFERROR(VLOOKUP($A999,koronahun!$A:$AM,26,FALSE),"")</f>
        <v/>
      </c>
      <c r="AA999" s="14" t="str">
        <f>IFERROR(VLOOKUP($A999,koronahun!$A:$AM,27,FALSE),"")</f>
        <v/>
      </c>
      <c r="AB999" s="14" t="str">
        <f>IFERROR(VLOOKUP($A999,koronahun!$A:$AM,28,FALSE),"")</f>
        <v/>
      </c>
      <c r="AC999" s="14" t="str">
        <f>IFERROR(VLOOKUP($A999,koronahun!$A:$AM,29,FALSE),"")</f>
        <v/>
      </c>
      <c r="AD999" s="14" t="str">
        <f>IFERROR(VLOOKUP($A999,koronahun!$A:$AM,30,FALSE),"")</f>
        <v/>
      </c>
      <c r="AE999" s="14" t="str">
        <f>IFERROR(VLOOKUP($A999,koronahun!$A:$AM,31,FALSE),"")</f>
        <v/>
      </c>
      <c r="AF999" s="13" t="str">
        <f>IFERROR(VLOOKUP($A999,koronahun!$A:$AM,32,FALSE),"")</f>
        <v/>
      </c>
      <c r="AG999" t="str">
        <f>IFERROR(VLOOKUP($A999,koronahun!$A:$AM,33,FALSE),"")</f>
        <v/>
      </c>
      <c r="AH999" t="str">
        <f>IFERROR(VLOOKUP($A999,koronahun!$A:$AM,34,FALSE),"")</f>
        <v/>
      </c>
      <c r="AI999" t="str">
        <f>IFERROR(VLOOKUP($A999,koronahun!$A:$AM,35,FALSE),"")</f>
        <v/>
      </c>
      <c r="AJ999" t="str">
        <f>IFERROR(VLOOKUP($A999,koronahun!$A:$AM,36,FALSE),"")</f>
        <v/>
      </c>
      <c r="AK999" t="str">
        <f>IFERROR(VLOOKUP($A999,koronahun!$A:$AM,37,FALSE),"")</f>
        <v/>
      </c>
      <c r="AL999" t="str">
        <f>IFERROR(VLOOKUP($A999,koronahun!$A:$AM,38,FALSE),"")</f>
        <v/>
      </c>
      <c r="AM999" s="14" t="str">
        <f>IFERROR(VLOOKUP($A999,koronahun!$A:$AM,39,FALSE),"")</f>
        <v/>
      </c>
      <c r="AN999" s="11">
        <f ca="1">IFERROR(__xludf.DUMMYFUNCTION("""COMPUTED_VALUE"""),44891)</f>
        <v>44891</v>
      </c>
      <c r="AO999" s="12">
        <f ca="1">IFERROR(VLOOKUP(AN999,koronahun!A:B,2,FALSE),"")</f>
        <v>0</v>
      </c>
      <c r="AP999" s="11">
        <f t="shared" ca="1" si="6"/>
        <v>44891</v>
      </c>
      <c r="AQ999" s="11"/>
      <c r="AR999" s="11"/>
      <c r="AS999" s="11"/>
      <c r="AT999" s="11"/>
    </row>
    <row r="1000" spans="1:46" ht="13">
      <c r="A1000" s="11"/>
      <c r="B1000" t="str">
        <f>IFERROR(VLOOKUP($A1000,koronahun!$A:$AM,2,FALSE),"")</f>
        <v/>
      </c>
      <c r="C1000" t="str">
        <f>IFERROR(VLOOKUP($A1000,koronahun!$A:$AM,3,FALSE),"")</f>
        <v/>
      </c>
      <c r="D1000" t="str">
        <f>IFERROR(VLOOKUP($A1000,koronahun!$A:$AM,4,FALSE),"")</f>
        <v/>
      </c>
      <c r="E1000" t="str">
        <f>IFERROR(VLOOKUP($A1000,koronahun!$A:$AM,5,FALSE),"")</f>
        <v/>
      </c>
      <c r="F1000" t="str">
        <f>IFERROR(VLOOKUP($A1000,koronahun!$A:$AM,6,FALSE),"")</f>
        <v/>
      </c>
      <c r="G1000" s="12" t="str">
        <f>IFERROR(VLOOKUP($A1000,koronahun!$A:$AM,7,FALSE),"")</f>
        <v/>
      </c>
      <c r="H1000" t="str">
        <f>IFERROR(VLOOKUP($A1000,koronahun!$A:$AM,8,FALSE),"")</f>
        <v/>
      </c>
      <c r="I1000" s="13" t="str">
        <f>IFERROR(VLOOKUP($A1000,koronahun!$A:$AM,9,FALSE),"")</f>
        <v/>
      </c>
      <c r="J1000" s="13" t="str">
        <f>IFERROR(VLOOKUP($A1000,koronahun!$A:$AM,10,FALSE),"")</f>
        <v/>
      </c>
      <c r="K1000" s="13" t="str">
        <f>IFERROR(VLOOKUP($A1000,koronahun!$A:$AM,11,FALSE),"")</f>
        <v/>
      </c>
      <c r="L1000" t="str">
        <f>IFERROR(VLOOKUP($A1000,koronahun!$A:$AM,12,FALSE),"")</f>
        <v/>
      </c>
      <c r="M1000" s="13" t="str">
        <f>IFERROR(VLOOKUP($A1000,koronahun!$A:$AM,13,FALSE),"")</f>
        <v/>
      </c>
      <c r="N1000" s="13" t="str">
        <f>IFERROR(VLOOKUP($A1000,koronahun!$A:$AM,14,FALSE),"")</f>
        <v/>
      </c>
      <c r="O1000" t="str">
        <f>IFERROR(VLOOKUP($A1000,koronahun!$A:$AM,15,FALSE),"")</f>
        <v/>
      </c>
      <c r="P1000" t="str">
        <f>IFERROR(VLOOKUP($A1000,koronahun!$A:$AM,16,FALSE),"")</f>
        <v/>
      </c>
      <c r="Q1000" s="13" t="str">
        <f>IFERROR(VLOOKUP($A1000,koronahun!$A:$AM,17,FALSE),"")</f>
        <v/>
      </c>
      <c r="R1000" t="str">
        <f>IFERROR(VLOOKUP($A1000,koronahun!$A:$AM,18,FALSE),"")</f>
        <v/>
      </c>
      <c r="S1000" t="str">
        <f>IFERROR(VLOOKUP($A1000,koronahun!$A:$AM,19,FALSE),"")</f>
        <v/>
      </c>
      <c r="T1000" t="str">
        <f>IFERROR(VLOOKUP($A1000,koronahun!$A:$AM,20,FALSE),"")</f>
        <v/>
      </c>
      <c r="U1000" t="str">
        <f>IFERROR(VLOOKUP($A1000,koronahun!$A:$AM,21,FALSE),"")</f>
        <v/>
      </c>
      <c r="V1000" s="13" t="str">
        <f>IFERROR(VLOOKUP($A1000,koronahun!$A:$AM,22,FALSE),"")</f>
        <v/>
      </c>
      <c r="W1000" t="str">
        <f>IFERROR(VLOOKUP($A1000,koronahun!$A:$AM,23,FALSE),"")</f>
        <v/>
      </c>
      <c r="X1000" t="str">
        <f>IFERROR(VLOOKUP($A1000,koronahun!$A:$AM,24,FALSE),"")</f>
        <v/>
      </c>
      <c r="Y1000" s="14" t="str">
        <f>IFERROR(VLOOKUP($A1000,koronahun!$A:$AM,25,FALSE),"")</f>
        <v/>
      </c>
      <c r="Z1000" s="14" t="str">
        <f>IFERROR(VLOOKUP($A1000,koronahun!$A:$AM,26,FALSE),"")</f>
        <v/>
      </c>
      <c r="AA1000" s="14" t="str">
        <f>IFERROR(VLOOKUP($A1000,koronahun!$A:$AM,27,FALSE),"")</f>
        <v/>
      </c>
      <c r="AB1000" s="14" t="str">
        <f>IFERROR(VLOOKUP($A1000,koronahun!$A:$AM,28,FALSE),"")</f>
        <v/>
      </c>
      <c r="AC1000" s="14" t="str">
        <f>IFERROR(VLOOKUP($A1000,koronahun!$A:$AM,29,FALSE),"")</f>
        <v/>
      </c>
      <c r="AD1000" s="14" t="str">
        <f>IFERROR(VLOOKUP($A1000,koronahun!$A:$AM,30,FALSE),"")</f>
        <v/>
      </c>
      <c r="AE1000" s="14" t="str">
        <f>IFERROR(VLOOKUP($A1000,koronahun!$A:$AM,31,FALSE),"")</f>
        <v/>
      </c>
      <c r="AF1000" s="13" t="str">
        <f>IFERROR(VLOOKUP($A1000,koronahun!$A:$AM,32,FALSE),"")</f>
        <v/>
      </c>
      <c r="AG1000" t="str">
        <f>IFERROR(VLOOKUP($A1000,koronahun!$A:$AM,33,FALSE),"")</f>
        <v/>
      </c>
      <c r="AH1000" t="str">
        <f>IFERROR(VLOOKUP($A1000,koronahun!$A:$AM,34,FALSE),"")</f>
        <v/>
      </c>
      <c r="AI1000" t="str">
        <f>IFERROR(VLOOKUP($A1000,koronahun!$A:$AM,35,FALSE),"")</f>
        <v/>
      </c>
      <c r="AJ1000" t="str">
        <f>IFERROR(VLOOKUP($A1000,koronahun!$A:$AM,36,FALSE),"")</f>
        <v/>
      </c>
      <c r="AK1000" t="str">
        <f>IFERROR(VLOOKUP($A1000,koronahun!$A:$AM,37,FALSE),"")</f>
        <v/>
      </c>
      <c r="AL1000" t="str">
        <f>IFERROR(VLOOKUP($A1000,koronahun!$A:$AM,38,FALSE),"")</f>
        <v/>
      </c>
      <c r="AM1000" s="14" t="str">
        <f>IFERROR(VLOOKUP($A1000,koronahun!$A:$AM,39,FALSE),"")</f>
        <v/>
      </c>
      <c r="AN1000" s="11">
        <f ca="1">IFERROR(__xludf.DUMMYFUNCTION("""COMPUTED_VALUE"""),44892)</f>
        <v>44892</v>
      </c>
      <c r="AO1000" s="12">
        <f ca="1">IFERROR(VLOOKUP(AN1000,koronahun!A:B,2,FALSE),"")</f>
        <v>0</v>
      </c>
      <c r="AP1000" s="11">
        <f t="shared" ca="1" si="6"/>
        <v>44892</v>
      </c>
      <c r="AQ1000" s="11"/>
      <c r="AR1000" s="11"/>
      <c r="AS1000" s="11"/>
      <c r="AT1000" s="11"/>
    </row>
    <row r="1001" spans="1:46" ht="13">
      <c r="A1001" s="11"/>
      <c r="B1001" t="str">
        <f>IFERROR(VLOOKUP($A1001,koronahun!$A:$AM,2,FALSE),"")</f>
        <v/>
      </c>
      <c r="C1001" t="str">
        <f>IFERROR(VLOOKUP($A1001,koronahun!$A:$AM,3,FALSE),"")</f>
        <v/>
      </c>
      <c r="D1001" t="str">
        <f>IFERROR(VLOOKUP($A1001,koronahun!$A:$AM,4,FALSE),"")</f>
        <v/>
      </c>
      <c r="E1001" t="str">
        <f>IFERROR(VLOOKUP($A1001,koronahun!$A:$AM,5,FALSE),"")</f>
        <v/>
      </c>
      <c r="F1001" t="str">
        <f>IFERROR(VLOOKUP($A1001,koronahun!$A:$AM,6,FALSE),"")</f>
        <v/>
      </c>
      <c r="G1001" s="12" t="str">
        <f>IFERROR(VLOOKUP($A1001,koronahun!$A:$AM,7,FALSE),"")</f>
        <v/>
      </c>
      <c r="H1001" t="str">
        <f>IFERROR(VLOOKUP($A1001,koronahun!$A:$AM,8,FALSE),"")</f>
        <v/>
      </c>
      <c r="I1001" s="13" t="str">
        <f>IFERROR(VLOOKUP($A1001,koronahun!$A:$AM,9,FALSE),"")</f>
        <v/>
      </c>
      <c r="J1001" s="13" t="str">
        <f>IFERROR(VLOOKUP($A1001,koronahun!$A:$AM,10,FALSE),"")</f>
        <v/>
      </c>
      <c r="K1001" s="13" t="str">
        <f>IFERROR(VLOOKUP($A1001,koronahun!$A:$AM,11,FALSE),"")</f>
        <v/>
      </c>
      <c r="L1001" t="str">
        <f>IFERROR(VLOOKUP($A1001,koronahun!$A:$AM,12,FALSE),"")</f>
        <v/>
      </c>
      <c r="M1001" s="13" t="str">
        <f>IFERROR(VLOOKUP($A1001,koronahun!$A:$AM,13,FALSE),"")</f>
        <v/>
      </c>
      <c r="N1001" s="13" t="str">
        <f>IFERROR(VLOOKUP($A1001,koronahun!$A:$AM,14,FALSE),"")</f>
        <v/>
      </c>
      <c r="O1001" t="str">
        <f>IFERROR(VLOOKUP($A1001,koronahun!$A:$AM,15,FALSE),"")</f>
        <v/>
      </c>
      <c r="P1001" t="str">
        <f>IFERROR(VLOOKUP($A1001,koronahun!$A:$AM,16,FALSE),"")</f>
        <v/>
      </c>
      <c r="Q1001" s="13" t="str">
        <f>IFERROR(VLOOKUP($A1001,koronahun!$A:$AM,17,FALSE),"")</f>
        <v/>
      </c>
      <c r="R1001" t="str">
        <f>IFERROR(VLOOKUP($A1001,koronahun!$A:$AM,18,FALSE),"")</f>
        <v/>
      </c>
      <c r="S1001" t="str">
        <f>IFERROR(VLOOKUP($A1001,koronahun!$A:$AM,19,FALSE),"")</f>
        <v/>
      </c>
      <c r="T1001" t="str">
        <f>IFERROR(VLOOKUP($A1001,koronahun!$A:$AM,20,FALSE),"")</f>
        <v/>
      </c>
      <c r="U1001" t="str">
        <f>IFERROR(VLOOKUP($A1001,koronahun!$A:$AM,21,FALSE),"")</f>
        <v/>
      </c>
      <c r="V1001" s="13" t="str">
        <f>IFERROR(VLOOKUP($A1001,koronahun!$A:$AM,22,FALSE),"")</f>
        <v/>
      </c>
      <c r="W1001" t="str">
        <f>IFERROR(VLOOKUP($A1001,koronahun!$A:$AM,23,FALSE),"")</f>
        <v/>
      </c>
      <c r="X1001" t="str">
        <f>IFERROR(VLOOKUP($A1001,koronahun!$A:$AM,24,FALSE),"")</f>
        <v/>
      </c>
      <c r="Y1001" s="14" t="str">
        <f>IFERROR(VLOOKUP($A1001,koronahun!$A:$AM,25,FALSE),"")</f>
        <v/>
      </c>
      <c r="Z1001" s="14" t="str">
        <f>IFERROR(VLOOKUP($A1001,koronahun!$A:$AM,26,FALSE),"")</f>
        <v/>
      </c>
      <c r="AA1001" s="14" t="str">
        <f>IFERROR(VLOOKUP($A1001,koronahun!$A:$AM,27,FALSE),"")</f>
        <v/>
      </c>
      <c r="AB1001" s="14" t="str">
        <f>IFERROR(VLOOKUP($A1001,koronahun!$A:$AM,28,FALSE),"")</f>
        <v/>
      </c>
      <c r="AC1001" s="14" t="str">
        <f>IFERROR(VLOOKUP($A1001,koronahun!$A:$AM,29,FALSE),"")</f>
        <v/>
      </c>
      <c r="AD1001" s="14" t="str">
        <f>IFERROR(VLOOKUP($A1001,koronahun!$A:$AM,30,FALSE),"")</f>
        <v/>
      </c>
      <c r="AE1001" s="14" t="str">
        <f>IFERROR(VLOOKUP($A1001,koronahun!$A:$AM,31,FALSE),"")</f>
        <v/>
      </c>
      <c r="AF1001" s="13" t="str">
        <f>IFERROR(VLOOKUP($A1001,koronahun!$A:$AM,32,FALSE),"")</f>
        <v/>
      </c>
      <c r="AG1001" t="str">
        <f>IFERROR(VLOOKUP($A1001,koronahun!$A:$AM,33,FALSE),"")</f>
        <v/>
      </c>
      <c r="AH1001" t="str">
        <f>IFERROR(VLOOKUP($A1001,koronahun!$A:$AM,34,FALSE),"")</f>
        <v/>
      </c>
      <c r="AI1001" t="str">
        <f>IFERROR(VLOOKUP($A1001,koronahun!$A:$AM,35,FALSE),"")</f>
        <v/>
      </c>
      <c r="AJ1001" t="str">
        <f>IFERROR(VLOOKUP($A1001,koronahun!$A:$AM,36,FALSE),"")</f>
        <v/>
      </c>
      <c r="AK1001" t="str">
        <f>IFERROR(VLOOKUP($A1001,koronahun!$A:$AM,37,FALSE),"")</f>
        <v/>
      </c>
      <c r="AL1001" t="str">
        <f>IFERROR(VLOOKUP($A1001,koronahun!$A:$AM,38,FALSE),"")</f>
        <v/>
      </c>
      <c r="AM1001" s="14" t="str">
        <f>IFERROR(VLOOKUP($A1001,koronahun!$A:$AM,39,FALSE),"")</f>
        <v/>
      </c>
      <c r="AN1001" s="11">
        <f ca="1">IFERROR(__xludf.DUMMYFUNCTION("""COMPUTED_VALUE"""),44893)</f>
        <v>44893</v>
      </c>
      <c r="AO1001" s="12">
        <f ca="1">IFERROR(VLOOKUP(AN1001,koronahun!A:B,2,FALSE),"")</f>
        <v>0</v>
      </c>
      <c r="AP1001" s="11">
        <f t="shared" ca="1" si="6"/>
        <v>44893</v>
      </c>
      <c r="AQ1001" s="11"/>
      <c r="AR1001" s="11"/>
      <c r="AS1001" s="11"/>
      <c r="AT1001" s="11"/>
    </row>
    <row r="1002" spans="1:46" ht="13">
      <c r="A1002" s="11"/>
      <c r="B1002" t="str">
        <f>IFERROR(VLOOKUP($A1002,koronahun!$A:$AM,2,FALSE),"")</f>
        <v/>
      </c>
      <c r="C1002" t="str">
        <f>IFERROR(VLOOKUP($A1002,koronahun!$A:$AM,3,FALSE),"")</f>
        <v/>
      </c>
      <c r="D1002" t="str">
        <f>IFERROR(VLOOKUP($A1002,koronahun!$A:$AM,4,FALSE),"")</f>
        <v/>
      </c>
      <c r="E1002" t="str">
        <f>IFERROR(VLOOKUP($A1002,koronahun!$A:$AM,5,FALSE),"")</f>
        <v/>
      </c>
      <c r="F1002" t="str">
        <f>IFERROR(VLOOKUP($A1002,koronahun!$A:$AM,6,FALSE),"")</f>
        <v/>
      </c>
      <c r="G1002" s="12" t="str">
        <f>IFERROR(VLOOKUP($A1002,koronahun!$A:$AM,7,FALSE),"")</f>
        <v/>
      </c>
      <c r="H1002" t="str">
        <f>IFERROR(VLOOKUP($A1002,koronahun!$A:$AM,8,FALSE),"")</f>
        <v/>
      </c>
      <c r="I1002" s="13" t="str">
        <f>IFERROR(VLOOKUP($A1002,koronahun!$A:$AM,9,FALSE),"")</f>
        <v/>
      </c>
      <c r="J1002" s="13" t="str">
        <f>IFERROR(VLOOKUP($A1002,koronahun!$A:$AM,10,FALSE),"")</f>
        <v/>
      </c>
      <c r="K1002" s="13" t="str">
        <f>IFERROR(VLOOKUP($A1002,koronahun!$A:$AM,11,FALSE),"")</f>
        <v/>
      </c>
      <c r="L1002" t="str">
        <f>IFERROR(VLOOKUP($A1002,koronahun!$A:$AM,12,FALSE),"")</f>
        <v/>
      </c>
      <c r="M1002" s="13" t="str">
        <f>IFERROR(VLOOKUP($A1002,koronahun!$A:$AM,13,FALSE),"")</f>
        <v/>
      </c>
      <c r="N1002" s="13" t="str">
        <f>IFERROR(VLOOKUP($A1002,koronahun!$A:$AM,14,FALSE),"")</f>
        <v/>
      </c>
      <c r="O1002" t="str">
        <f>IFERROR(VLOOKUP($A1002,koronahun!$A:$AM,15,FALSE),"")</f>
        <v/>
      </c>
      <c r="P1002" t="str">
        <f>IFERROR(VLOOKUP($A1002,koronahun!$A:$AM,16,FALSE),"")</f>
        <v/>
      </c>
      <c r="Q1002" s="13" t="str">
        <f>IFERROR(VLOOKUP($A1002,koronahun!$A:$AM,17,FALSE),"")</f>
        <v/>
      </c>
      <c r="R1002" t="str">
        <f>IFERROR(VLOOKUP($A1002,koronahun!$A:$AM,18,FALSE),"")</f>
        <v/>
      </c>
      <c r="S1002" t="str">
        <f>IFERROR(VLOOKUP($A1002,koronahun!$A:$AM,19,FALSE),"")</f>
        <v/>
      </c>
      <c r="T1002" t="str">
        <f>IFERROR(VLOOKUP($A1002,koronahun!$A:$AM,20,FALSE),"")</f>
        <v/>
      </c>
      <c r="U1002" t="str">
        <f>IFERROR(VLOOKUP($A1002,koronahun!$A:$AM,21,FALSE),"")</f>
        <v/>
      </c>
      <c r="V1002" s="13" t="str">
        <f>IFERROR(VLOOKUP($A1002,koronahun!$A:$AM,22,FALSE),"")</f>
        <v/>
      </c>
      <c r="W1002" t="str">
        <f>IFERROR(VLOOKUP($A1002,koronahun!$A:$AM,23,FALSE),"")</f>
        <v/>
      </c>
      <c r="X1002" t="str">
        <f>IFERROR(VLOOKUP($A1002,koronahun!$A:$AM,24,FALSE),"")</f>
        <v/>
      </c>
      <c r="Y1002" s="14" t="str">
        <f>IFERROR(VLOOKUP($A1002,koronahun!$A:$AM,25,FALSE),"")</f>
        <v/>
      </c>
      <c r="Z1002" s="14" t="str">
        <f>IFERROR(VLOOKUP($A1002,koronahun!$A:$AM,26,FALSE),"")</f>
        <v/>
      </c>
      <c r="AA1002" s="14" t="str">
        <f>IFERROR(VLOOKUP($A1002,koronahun!$A:$AM,27,FALSE),"")</f>
        <v/>
      </c>
      <c r="AB1002" s="14" t="str">
        <f>IFERROR(VLOOKUP($A1002,koronahun!$A:$AM,28,FALSE),"")</f>
        <v/>
      </c>
      <c r="AC1002" s="14" t="str">
        <f>IFERROR(VLOOKUP($A1002,koronahun!$A:$AM,29,FALSE),"")</f>
        <v/>
      </c>
      <c r="AD1002" s="14" t="str">
        <f>IFERROR(VLOOKUP($A1002,koronahun!$A:$AM,30,FALSE),"")</f>
        <v/>
      </c>
      <c r="AE1002" s="14" t="str">
        <f>IFERROR(VLOOKUP($A1002,koronahun!$A:$AM,31,FALSE),"")</f>
        <v/>
      </c>
      <c r="AF1002" s="13" t="str">
        <f>IFERROR(VLOOKUP($A1002,koronahun!$A:$AM,32,FALSE),"")</f>
        <v/>
      </c>
      <c r="AG1002" t="str">
        <f>IFERROR(VLOOKUP($A1002,koronahun!$A:$AM,33,FALSE),"")</f>
        <v/>
      </c>
      <c r="AH1002" t="str">
        <f>IFERROR(VLOOKUP($A1002,koronahun!$A:$AM,34,FALSE),"")</f>
        <v/>
      </c>
      <c r="AI1002" t="str">
        <f>IFERROR(VLOOKUP($A1002,koronahun!$A:$AM,35,FALSE),"")</f>
        <v/>
      </c>
      <c r="AJ1002" t="str">
        <f>IFERROR(VLOOKUP($A1002,koronahun!$A:$AM,36,FALSE),"")</f>
        <v/>
      </c>
      <c r="AK1002" t="str">
        <f>IFERROR(VLOOKUP($A1002,koronahun!$A:$AM,37,FALSE),"")</f>
        <v/>
      </c>
      <c r="AL1002" t="str">
        <f>IFERROR(VLOOKUP($A1002,koronahun!$A:$AM,38,FALSE),"")</f>
        <v/>
      </c>
      <c r="AM1002" s="14" t="str">
        <f>IFERROR(VLOOKUP($A1002,koronahun!$A:$AM,39,FALSE),"")</f>
        <v/>
      </c>
      <c r="AN1002" s="11">
        <f ca="1">IFERROR(__xludf.DUMMYFUNCTION("""COMPUTED_VALUE"""),44894)</f>
        <v>44894</v>
      </c>
      <c r="AO1002" s="12">
        <f ca="1">IFERROR(VLOOKUP(AN1002,koronahun!A:B,2,FALSE),"")</f>
        <v>0</v>
      </c>
      <c r="AP1002" s="11">
        <f t="shared" ca="1" si="6"/>
        <v>44894</v>
      </c>
      <c r="AQ1002" s="11"/>
      <c r="AR1002" s="11"/>
      <c r="AS1002" s="11"/>
      <c r="AT1002" s="11"/>
    </row>
    <row r="1003" spans="1:46" ht="13">
      <c r="A1003" s="11"/>
      <c r="B1003" t="str">
        <f>IFERROR(VLOOKUP($A1003,koronahun!$A:$AM,2,FALSE),"")</f>
        <v/>
      </c>
      <c r="C1003" t="str">
        <f>IFERROR(VLOOKUP($A1003,koronahun!$A:$AM,3,FALSE),"")</f>
        <v/>
      </c>
      <c r="D1003" t="str">
        <f>IFERROR(VLOOKUP($A1003,koronahun!$A:$AM,4,FALSE),"")</f>
        <v/>
      </c>
      <c r="E1003" t="str">
        <f>IFERROR(VLOOKUP($A1003,koronahun!$A:$AM,5,FALSE),"")</f>
        <v/>
      </c>
      <c r="F1003" t="str">
        <f>IFERROR(VLOOKUP($A1003,koronahun!$A:$AM,6,FALSE),"")</f>
        <v/>
      </c>
      <c r="G1003" s="12" t="str">
        <f>IFERROR(VLOOKUP($A1003,koronahun!$A:$AM,7,FALSE),"")</f>
        <v/>
      </c>
      <c r="H1003" t="str">
        <f>IFERROR(VLOOKUP($A1003,koronahun!$A:$AM,8,FALSE),"")</f>
        <v/>
      </c>
      <c r="I1003" s="13" t="str">
        <f>IFERROR(VLOOKUP($A1003,koronahun!$A:$AM,9,FALSE),"")</f>
        <v/>
      </c>
      <c r="J1003" s="13" t="str">
        <f>IFERROR(VLOOKUP($A1003,koronahun!$A:$AM,10,FALSE),"")</f>
        <v/>
      </c>
      <c r="K1003" s="13" t="str">
        <f>IFERROR(VLOOKUP($A1003,koronahun!$A:$AM,11,FALSE),"")</f>
        <v/>
      </c>
      <c r="L1003" t="str">
        <f>IFERROR(VLOOKUP($A1003,koronahun!$A:$AM,12,FALSE),"")</f>
        <v/>
      </c>
      <c r="M1003" s="13" t="str">
        <f>IFERROR(VLOOKUP($A1003,koronahun!$A:$AM,13,FALSE),"")</f>
        <v/>
      </c>
      <c r="N1003" s="13" t="str">
        <f>IFERROR(VLOOKUP($A1003,koronahun!$A:$AM,14,FALSE),"")</f>
        <v/>
      </c>
      <c r="O1003" t="str">
        <f>IFERROR(VLOOKUP($A1003,koronahun!$A:$AM,15,FALSE),"")</f>
        <v/>
      </c>
      <c r="P1003" t="str">
        <f>IFERROR(VLOOKUP($A1003,koronahun!$A:$AM,16,FALSE),"")</f>
        <v/>
      </c>
      <c r="Q1003" s="13" t="str">
        <f>IFERROR(VLOOKUP($A1003,koronahun!$A:$AM,17,FALSE),"")</f>
        <v/>
      </c>
      <c r="R1003" t="str">
        <f>IFERROR(VLOOKUP($A1003,koronahun!$A:$AM,18,FALSE),"")</f>
        <v/>
      </c>
      <c r="S1003" t="str">
        <f>IFERROR(VLOOKUP($A1003,koronahun!$A:$AM,19,FALSE),"")</f>
        <v/>
      </c>
      <c r="T1003" t="str">
        <f>IFERROR(VLOOKUP($A1003,koronahun!$A:$AM,20,FALSE),"")</f>
        <v/>
      </c>
      <c r="U1003" t="str">
        <f>IFERROR(VLOOKUP($A1003,koronahun!$A:$AM,21,FALSE),"")</f>
        <v/>
      </c>
      <c r="V1003" s="13" t="str">
        <f>IFERROR(VLOOKUP($A1003,koronahun!$A:$AM,22,FALSE),"")</f>
        <v/>
      </c>
      <c r="W1003" t="str">
        <f>IFERROR(VLOOKUP($A1003,koronahun!$A:$AM,23,FALSE),"")</f>
        <v/>
      </c>
      <c r="X1003" t="str">
        <f>IFERROR(VLOOKUP($A1003,koronahun!$A:$AM,24,FALSE),"")</f>
        <v/>
      </c>
      <c r="Y1003" s="14" t="str">
        <f>IFERROR(VLOOKUP($A1003,koronahun!$A:$AM,25,FALSE),"")</f>
        <v/>
      </c>
      <c r="Z1003" s="14" t="str">
        <f>IFERROR(VLOOKUP($A1003,koronahun!$A:$AM,26,FALSE),"")</f>
        <v/>
      </c>
      <c r="AA1003" s="14" t="str">
        <f>IFERROR(VLOOKUP($A1003,koronahun!$A:$AM,27,FALSE),"")</f>
        <v/>
      </c>
      <c r="AB1003" s="14" t="str">
        <f>IFERROR(VLOOKUP($A1003,koronahun!$A:$AM,28,FALSE),"")</f>
        <v/>
      </c>
      <c r="AC1003" s="14" t="str">
        <f>IFERROR(VLOOKUP($A1003,koronahun!$A:$AM,29,FALSE),"")</f>
        <v/>
      </c>
      <c r="AD1003" s="14" t="str">
        <f>IFERROR(VLOOKUP($A1003,koronahun!$A:$AM,30,FALSE),"")</f>
        <v/>
      </c>
      <c r="AE1003" s="14" t="str">
        <f>IFERROR(VLOOKUP($A1003,koronahun!$A:$AM,31,FALSE),"")</f>
        <v/>
      </c>
      <c r="AF1003" s="13" t="str">
        <f>IFERROR(VLOOKUP($A1003,koronahun!$A:$AM,32,FALSE),"")</f>
        <v/>
      </c>
      <c r="AG1003" t="str">
        <f>IFERROR(VLOOKUP($A1003,koronahun!$A:$AM,33,FALSE),"")</f>
        <v/>
      </c>
      <c r="AH1003" t="str">
        <f>IFERROR(VLOOKUP($A1003,koronahun!$A:$AM,34,FALSE),"")</f>
        <v/>
      </c>
      <c r="AI1003" t="str">
        <f>IFERROR(VLOOKUP($A1003,koronahun!$A:$AM,35,FALSE),"")</f>
        <v/>
      </c>
      <c r="AJ1003" t="str">
        <f>IFERROR(VLOOKUP($A1003,koronahun!$A:$AM,36,FALSE),"")</f>
        <v/>
      </c>
      <c r="AK1003" t="str">
        <f>IFERROR(VLOOKUP($A1003,koronahun!$A:$AM,37,FALSE),"")</f>
        <v/>
      </c>
      <c r="AL1003" t="str">
        <f>IFERROR(VLOOKUP($A1003,koronahun!$A:$AM,38,FALSE),"")</f>
        <v/>
      </c>
      <c r="AM1003" s="14" t="str">
        <f>IFERROR(VLOOKUP($A1003,koronahun!$A:$AM,39,FALSE),"")</f>
        <v/>
      </c>
      <c r="AN1003" s="11">
        <f ca="1">IFERROR(__xludf.DUMMYFUNCTION("""COMPUTED_VALUE"""),44895)</f>
        <v>44895</v>
      </c>
      <c r="AO1003" s="12">
        <f ca="1">IFERROR(VLOOKUP(AN1003,koronahun!A:B,2,FALSE),"")</f>
        <v>2166352</v>
      </c>
      <c r="AP1003" s="11">
        <f t="shared" ca="1" si="6"/>
        <v>44895</v>
      </c>
      <c r="AQ1003" s="11"/>
      <c r="AR1003" s="11"/>
      <c r="AS1003" s="11"/>
      <c r="AT1003" s="11"/>
    </row>
    <row r="1004" spans="1:46" ht="13">
      <c r="A1004" s="11"/>
      <c r="B1004" t="str">
        <f>IFERROR(VLOOKUP($A1004,koronahun!$A:$AM,2,FALSE),"")</f>
        <v/>
      </c>
      <c r="C1004" t="str">
        <f>IFERROR(VLOOKUP($A1004,koronahun!$A:$AM,3,FALSE),"")</f>
        <v/>
      </c>
      <c r="D1004" t="str">
        <f>IFERROR(VLOOKUP($A1004,koronahun!$A:$AM,4,FALSE),"")</f>
        <v/>
      </c>
      <c r="E1004" t="str">
        <f>IFERROR(VLOOKUP($A1004,koronahun!$A:$AM,5,FALSE),"")</f>
        <v/>
      </c>
      <c r="F1004" t="str">
        <f>IFERROR(VLOOKUP($A1004,koronahun!$A:$AM,6,FALSE),"")</f>
        <v/>
      </c>
      <c r="G1004" s="12" t="str">
        <f>IFERROR(VLOOKUP($A1004,koronahun!$A:$AM,7,FALSE),"")</f>
        <v/>
      </c>
      <c r="H1004" t="str">
        <f>IFERROR(VLOOKUP($A1004,koronahun!$A:$AM,8,FALSE),"")</f>
        <v/>
      </c>
      <c r="I1004" s="13" t="str">
        <f>IFERROR(VLOOKUP($A1004,koronahun!$A:$AM,9,FALSE),"")</f>
        <v/>
      </c>
      <c r="J1004" s="13" t="str">
        <f>IFERROR(VLOOKUP($A1004,koronahun!$A:$AM,10,FALSE),"")</f>
        <v/>
      </c>
      <c r="K1004" s="13" t="str">
        <f>IFERROR(VLOOKUP($A1004,koronahun!$A:$AM,11,FALSE),"")</f>
        <v/>
      </c>
      <c r="L1004" t="str">
        <f>IFERROR(VLOOKUP($A1004,koronahun!$A:$AM,12,FALSE),"")</f>
        <v/>
      </c>
      <c r="M1004" s="13" t="str">
        <f>IFERROR(VLOOKUP($A1004,koronahun!$A:$AM,13,FALSE),"")</f>
        <v/>
      </c>
      <c r="N1004" s="13" t="str">
        <f>IFERROR(VLOOKUP($A1004,koronahun!$A:$AM,14,FALSE),"")</f>
        <v/>
      </c>
      <c r="O1004" t="str">
        <f>IFERROR(VLOOKUP($A1004,koronahun!$A:$AM,15,FALSE),"")</f>
        <v/>
      </c>
      <c r="P1004" t="str">
        <f>IFERROR(VLOOKUP($A1004,koronahun!$A:$AM,16,FALSE),"")</f>
        <v/>
      </c>
      <c r="Q1004" s="13" t="str">
        <f>IFERROR(VLOOKUP($A1004,koronahun!$A:$AM,17,FALSE),"")</f>
        <v/>
      </c>
      <c r="R1004" t="str">
        <f>IFERROR(VLOOKUP($A1004,koronahun!$A:$AM,18,FALSE),"")</f>
        <v/>
      </c>
      <c r="S1004" t="str">
        <f>IFERROR(VLOOKUP($A1004,koronahun!$A:$AM,19,FALSE),"")</f>
        <v/>
      </c>
      <c r="T1004" t="str">
        <f>IFERROR(VLOOKUP($A1004,koronahun!$A:$AM,20,FALSE),"")</f>
        <v/>
      </c>
      <c r="U1004" t="str">
        <f>IFERROR(VLOOKUP($A1004,koronahun!$A:$AM,21,FALSE),"")</f>
        <v/>
      </c>
      <c r="V1004" s="13" t="str">
        <f>IFERROR(VLOOKUP($A1004,koronahun!$A:$AM,22,FALSE),"")</f>
        <v/>
      </c>
      <c r="W1004" t="str">
        <f>IFERROR(VLOOKUP($A1004,koronahun!$A:$AM,23,FALSE),"")</f>
        <v/>
      </c>
      <c r="X1004" t="str">
        <f>IFERROR(VLOOKUP($A1004,koronahun!$A:$AM,24,FALSE),"")</f>
        <v/>
      </c>
      <c r="Y1004" s="14" t="str">
        <f>IFERROR(VLOOKUP($A1004,koronahun!$A:$AM,25,FALSE),"")</f>
        <v/>
      </c>
      <c r="Z1004" s="14" t="str">
        <f>IFERROR(VLOOKUP($A1004,koronahun!$A:$AM,26,FALSE),"")</f>
        <v/>
      </c>
      <c r="AA1004" s="14" t="str">
        <f>IFERROR(VLOOKUP($A1004,koronahun!$A:$AM,27,FALSE),"")</f>
        <v/>
      </c>
      <c r="AB1004" s="14" t="str">
        <f>IFERROR(VLOOKUP($A1004,koronahun!$A:$AM,28,FALSE),"")</f>
        <v/>
      </c>
      <c r="AC1004" s="14" t="str">
        <f>IFERROR(VLOOKUP($A1004,koronahun!$A:$AM,29,FALSE),"")</f>
        <v/>
      </c>
      <c r="AD1004" s="14" t="str">
        <f>IFERROR(VLOOKUP($A1004,koronahun!$A:$AM,30,FALSE),"")</f>
        <v/>
      </c>
      <c r="AE1004" s="14" t="str">
        <f>IFERROR(VLOOKUP($A1004,koronahun!$A:$AM,31,FALSE),"")</f>
        <v/>
      </c>
      <c r="AF1004" s="13" t="str">
        <f>IFERROR(VLOOKUP($A1004,koronahun!$A:$AM,32,FALSE),"")</f>
        <v/>
      </c>
      <c r="AG1004" t="str">
        <f>IFERROR(VLOOKUP($A1004,koronahun!$A:$AM,33,FALSE),"")</f>
        <v/>
      </c>
      <c r="AH1004" t="str">
        <f>IFERROR(VLOOKUP($A1004,koronahun!$A:$AM,34,FALSE),"")</f>
        <v/>
      </c>
      <c r="AI1004" t="str">
        <f>IFERROR(VLOOKUP($A1004,koronahun!$A:$AM,35,FALSE),"")</f>
        <v/>
      </c>
      <c r="AJ1004" t="str">
        <f>IFERROR(VLOOKUP($A1004,koronahun!$A:$AM,36,FALSE),"")</f>
        <v/>
      </c>
      <c r="AK1004" t="str">
        <f>IFERROR(VLOOKUP($A1004,koronahun!$A:$AM,37,FALSE),"")</f>
        <v/>
      </c>
      <c r="AL1004" t="str">
        <f>IFERROR(VLOOKUP($A1004,koronahun!$A:$AM,38,FALSE),"")</f>
        <v/>
      </c>
      <c r="AM1004" s="14" t="str">
        <f>IFERROR(VLOOKUP($A1004,koronahun!$A:$AM,39,FALSE),"")</f>
        <v/>
      </c>
      <c r="AN1004" s="11">
        <f ca="1">IFERROR(__xludf.DUMMYFUNCTION("""COMPUTED_VALUE"""),44896)</f>
        <v>44896</v>
      </c>
      <c r="AO1004" s="12">
        <f ca="1">IFERROR(VLOOKUP(AN1004,koronahun!A:B,2,FALSE),"")</f>
        <v>0</v>
      </c>
      <c r="AP1004" s="11">
        <f t="shared" ca="1" si="6"/>
        <v>44896</v>
      </c>
      <c r="AQ1004" s="11"/>
      <c r="AR1004" s="11"/>
      <c r="AS1004" s="11"/>
      <c r="AT1004" s="11"/>
    </row>
    <row r="1005" spans="1:46" ht="13">
      <c r="A1005" s="11"/>
      <c r="B1005" t="str">
        <f>IFERROR(VLOOKUP($A1005,koronahun!$A:$AM,2,FALSE),"")</f>
        <v/>
      </c>
      <c r="C1005" t="str">
        <f>IFERROR(VLOOKUP($A1005,koronahun!$A:$AM,3,FALSE),"")</f>
        <v/>
      </c>
      <c r="D1005" t="str">
        <f>IFERROR(VLOOKUP($A1005,koronahun!$A:$AM,4,FALSE),"")</f>
        <v/>
      </c>
      <c r="E1005" t="str">
        <f>IFERROR(VLOOKUP($A1005,koronahun!$A:$AM,5,FALSE),"")</f>
        <v/>
      </c>
      <c r="F1005" t="str">
        <f>IFERROR(VLOOKUP($A1005,koronahun!$A:$AM,6,FALSE),"")</f>
        <v/>
      </c>
      <c r="G1005" s="12" t="str">
        <f>IFERROR(VLOOKUP($A1005,koronahun!$A:$AM,7,FALSE),"")</f>
        <v/>
      </c>
      <c r="H1005" t="str">
        <f>IFERROR(VLOOKUP($A1005,koronahun!$A:$AM,8,FALSE),"")</f>
        <v/>
      </c>
      <c r="I1005" s="13" t="str">
        <f>IFERROR(VLOOKUP($A1005,koronahun!$A:$AM,9,FALSE),"")</f>
        <v/>
      </c>
      <c r="J1005" s="13" t="str">
        <f>IFERROR(VLOOKUP($A1005,koronahun!$A:$AM,10,FALSE),"")</f>
        <v/>
      </c>
      <c r="K1005" s="13" t="str">
        <f>IFERROR(VLOOKUP($A1005,koronahun!$A:$AM,11,FALSE),"")</f>
        <v/>
      </c>
      <c r="L1005" t="str">
        <f>IFERROR(VLOOKUP($A1005,koronahun!$A:$AM,12,FALSE),"")</f>
        <v/>
      </c>
      <c r="M1005" s="13" t="str">
        <f>IFERROR(VLOOKUP($A1005,koronahun!$A:$AM,13,FALSE),"")</f>
        <v/>
      </c>
      <c r="N1005" s="13" t="str">
        <f>IFERROR(VLOOKUP($A1005,koronahun!$A:$AM,14,FALSE),"")</f>
        <v/>
      </c>
      <c r="O1005" t="str">
        <f>IFERROR(VLOOKUP($A1005,koronahun!$A:$AM,15,FALSE),"")</f>
        <v/>
      </c>
      <c r="P1005" t="str">
        <f>IFERROR(VLOOKUP($A1005,koronahun!$A:$AM,16,FALSE),"")</f>
        <v/>
      </c>
      <c r="Q1005" s="13" t="str">
        <f>IFERROR(VLOOKUP($A1005,koronahun!$A:$AM,17,FALSE),"")</f>
        <v/>
      </c>
      <c r="R1005" t="str">
        <f>IFERROR(VLOOKUP($A1005,koronahun!$A:$AM,18,FALSE),"")</f>
        <v/>
      </c>
      <c r="S1005" t="str">
        <f>IFERROR(VLOOKUP($A1005,koronahun!$A:$AM,19,FALSE),"")</f>
        <v/>
      </c>
      <c r="T1005" t="str">
        <f>IFERROR(VLOOKUP($A1005,koronahun!$A:$AM,20,FALSE),"")</f>
        <v/>
      </c>
      <c r="U1005" t="str">
        <f>IFERROR(VLOOKUP($A1005,koronahun!$A:$AM,21,FALSE),"")</f>
        <v/>
      </c>
      <c r="V1005" s="13" t="str">
        <f>IFERROR(VLOOKUP($A1005,koronahun!$A:$AM,22,FALSE),"")</f>
        <v/>
      </c>
      <c r="W1005" t="str">
        <f>IFERROR(VLOOKUP($A1005,koronahun!$A:$AM,23,FALSE),"")</f>
        <v/>
      </c>
      <c r="X1005" t="str">
        <f>IFERROR(VLOOKUP($A1005,koronahun!$A:$AM,24,FALSE),"")</f>
        <v/>
      </c>
      <c r="Y1005" s="14" t="str">
        <f>IFERROR(VLOOKUP($A1005,koronahun!$A:$AM,25,FALSE),"")</f>
        <v/>
      </c>
      <c r="Z1005" s="14" t="str">
        <f>IFERROR(VLOOKUP($A1005,koronahun!$A:$AM,26,FALSE),"")</f>
        <v/>
      </c>
      <c r="AA1005" s="14" t="str">
        <f>IFERROR(VLOOKUP($A1005,koronahun!$A:$AM,27,FALSE),"")</f>
        <v/>
      </c>
      <c r="AB1005" s="14" t="str">
        <f>IFERROR(VLOOKUP($A1005,koronahun!$A:$AM,28,FALSE),"")</f>
        <v/>
      </c>
      <c r="AC1005" s="14" t="str">
        <f>IFERROR(VLOOKUP($A1005,koronahun!$A:$AM,29,FALSE),"")</f>
        <v/>
      </c>
      <c r="AD1005" s="14" t="str">
        <f>IFERROR(VLOOKUP($A1005,koronahun!$A:$AM,30,FALSE),"")</f>
        <v/>
      </c>
      <c r="AE1005" s="14" t="str">
        <f>IFERROR(VLOOKUP($A1005,koronahun!$A:$AM,31,FALSE),"")</f>
        <v/>
      </c>
      <c r="AF1005" s="13" t="str">
        <f>IFERROR(VLOOKUP($A1005,koronahun!$A:$AM,32,FALSE),"")</f>
        <v/>
      </c>
      <c r="AG1005" t="str">
        <f>IFERROR(VLOOKUP($A1005,koronahun!$A:$AM,33,FALSE),"")</f>
        <v/>
      </c>
      <c r="AH1005" t="str">
        <f>IFERROR(VLOOKUP($A1005,koronahun!$A:$AM,34,FALSE),"")</f>
        <v/>
      </c>
      <c r="AI1005" t="str">
        <f>IFERROR(VLOOKUP($A1005,koronahun!$A:$AM,35,FALSE),"")</f>
        <v/>
      </c>
      <c r="AJ1005" t="str">
        <f>IFERROR(VLOOKUP($A1005,koronahun!$A:$AM,36,FALSE),"")</f>
        <v/>
      </c>
      <c r="AK1005" t="str">
        <f>IFERROR(VLOOKUP($A1005,koronahun!$A:$AM,37,FALSE),"")</f>
        <v/>
      </c>
      <c r="AL1005" t="str">
        <f>IFERROR(VLOOKUP($A1005,koronahun!$A:$AM,38,FALSE),"")</f>
        <v/>
      </c>
      <c r="AM1005" s="14" t="str">
        <f>IFERROR(VLOOKUP($A1005,koronahun!$A:$AM,39,FALSE),"")</f>
        <v/>
      </c>
      <c r="AN1005" s="11">
        <f ca="1">IFERROR(__xludf.DUMMYFUNCTION("""COMPUTED_VALUE"""),44897)</f>
        <v>44897</v>
      </c>
      <c r="AO1005" s="12">
        <f ca="1">IFERROR(VLOOKUP(AN1005,koronahun!A:B,2,FALSE),"")</f>
        <v>0</v>
      </c>
      <c r="AP1005" s="11">
        <f t="shared" ca="1" si="6"/>
        <v>44897</v>
      </c>
      <c r="AQ1005" s="11"/>
      <c r="AR1005" s="11"/>
      <c r="AS1005" s="11"/>
      <c r="AT1005" s="11"/>
    </row>
    <row r="1006" spans="1:46" ht="13">
      <c r="A1006" s="11"/>
      <c r="B1006" t="str">
        <f>IFERROR(VLOOKUP($A1006,koronahun!$A:$AM,2,FALSE),"")</f>
        <v/>
      </c>
      <c r="C1006" t="str">
        <f>IFERROR(VLOOKUP($A1006,koronahun!$A:$AM,3,FALSE),"")</f>
        <v/>
      </c>
      <c r="D1006" t="str">
        <f>IFERROR(VLOOKUP($A1006,koronahun!$A:$AM,4,FALSE),"")</f>
        <v/>
      </c>
      <c r="E1006" t="str">
        <f>IFERROR(VLOOKUP($A1006,koronahun!$A:$AM,5,FALSE),"")</f>
        <v/>
      </c>
      <c r="F1006" t="str">
        <f>IFERROR(VLOOKUP($A1006,koronahun!$A:$AM,6,FALSE),"")</f>
        <v/>
      </c>
      <c r="G1006" s="12" t="str">
        <f>IFERROR(VLOOKUP($A1006,koronahun!$A:$AM,7,FALSE),"")</f>
        <v/>
      </c>
      <c r="H1006" t="str">
        <f>IFERROR(VLOOKUP($A1006,koronahun!$A:$AM,8,FALSE),"")</f>
        <v/>
      </c>
      <c r="I1006" s="13" t="str">
        <f>IFERROR(VLOOKUP($A1006,koronahun!$A:$AM,9,FALSE),"")</f>
        <v/>
      </c>
      <c r="J1006" s="13" t="str">
        <f>IFERROR(VLOOKUP($A1006,koronahun!$A:$AM,10,FALSE),"")</f>
        <v/>
      </c>
      <c r="K1006" s="13" t="str">
        <f>IFERROR(VLOOKUP($A1006,koronahun!$A:$AM,11,FALSE),"")</f>
        <v/>
      </c>
      <c r="L1006" t="str">
        <f>IFERROR(VLOOKUP($A1006,koronahun!$A:$AM,12,FALSE),"")</f>
        <v/>
      </c>
      <c r="M1006" s="13" t="str">
        <f>IFERROR(VLOOKUP($A1006,koronahun!$A:$AM,13,FALSE),"")</f>
        <v/>
      </c>
      <c r="N1006" s="13" t="str">
        <f>IFERROR(VLOOKUP($A1006,koronahun!$A:$AM,14,FALSE),"")</f>
        <v/>
      </c>
      <c r="O1006" t="str">
        <f>IFERROR(VLOOKUP($A1006,koronahun!$A:$AM,15,FALSE),"")</f>
        <v/>
      </c>
      <c r="P1006" t="str">
        <f>IFERROR(VLOOKUP($A1006,koronahun!$A:$AM,16,FALSE),"")</f>
        <v/>
      </c>
      <c r="Q1006" s="13" t="str">
        <f>IFERROR(VLOOKUP($A1006,koronahun!$A:$AM,17,FALSE),"")</f>
        <v/>
      </c>
      <c r="R1006" t="str">
        <f>IFERROR(VLOOKUP($A1006,koronahun!$A:$AM,18,FALSE),"")</f>
        <v/>
      </c>
      <c r="S1006" t="str">
        <f>IFERROR(VLOOKUP($A1006,koronahun!$A:$AM,19,FALSE),"")</f>
        <v/>
      </c>
      <c r="T1006" t="str">
        <f>IFERROR(VLOOKUP($A1006,koronahun!$A:$AM,20,FALSE),"")</f>
        <v/>
      </c>
      <c r="U1006" t="str">
        <f>IFERROR(VLOOKUP($A1006,koronahun!$A:$AM,21,FALSE),"")</f>
        <v/>
      </c>
      <c r="V1006" s="13" t="str">
        <f>IFERROR(VLOOKUP($A1006,koronahun!$A:$AM,22,FALSE),"")</f>
        <v/>
      </c>
      <c r="W1006" t="str">
        <f>IFERROR(VLOOKUP($A1006,koronahun!$A:$AM,23,FALSE),"")</f>
        <v/>
      </c>
      <c r="X1006" t="str">
        <f>IFERROR(VLOOKUP($A1006,koronahun!$A:$AM,24,FALSE),"")</f>
        <v/>
      </c>
      <c r="Y1006" s="14" t="str">
        <f>IFERROR(VLOOKUP($A1006,koronahun!$A:$AM,25,FALSE),"")</f>
        <v/>
      </c>
      <c r="Z1006" s="14" t="str">
        <f>IFERROR(VLOOKUP($A1006,koronahun!$A:$AM,26,FALSE),"")</f>
        <v/>
      </c>
      <c r="AA1006" s="14" t="str">
        <f>IFERROR(VLOOKUP($A1006,koronahun!$A:$AM,27,FALSE),"")</f>
        <v/>
      </c>
      <c r="AB1006" s="14" t="str">
        <f>IFERROR(VLOOKUP($A1006,koronahun!$A:$AM,28,FALSE),"")</f>
        <v/>
      </c>
      <c r="AC1006" s="14" t="str">
        <f>IFERROR(VLOOKUP($A1006,koronahun!$A:$AM,29,FALSE),"")</f>
        <v/>
      </c>
      <c r="AD1006" s="14" t="str">
        <f>IFERROR(VLOOKUP($A1006,koronahun!$A:$AM,30,FALSE),"")</f>
        <v/>
      </c>
      <c r="AE1006" s="14" t="str">
        <f>IFERROR(VLOOKUP($A1006,koronahun!$A:$AM,31,FALSE),"")</f>
        <v/>
      </c>
      <c r="AF1006" s="13" t="str">
        <f>IFERROR(VLOOKUP($A1006,koronahun!$A:$AM,32,FALSE),"")</f>
        <v/>
      </c>
      <c r="AG1006" t="str">
        <f>IFERROR(VLOOKUP($A1006,koronahun!$A:$AM,33,FALSE),"")</f>
        <v/>
      </c>
      <c r="AH1006" t="str">
        <f>IFERROR(VLOOKUP($A1006,koronahun!$A:$AM,34,FALSE),"")</f>
        <v/>
      </c>
      <c r="AI1006" t="str">
        <f>IFERROR(VLOOKUP($A1006,koronahun!$A:$AM,35,FALSE),"")</f>
        <v/>
      </c>
      <c r="AJ1006" t="str">
        <f>IFERROR(VLOOKUP($A1006,koronahun!$A:$AM,36,FALSE),"")</f>
        <v/>
      </c>
      <c r="AK1006" t="str">
        <f>IFERROR(VLOOKUP($A1006,koronahun!$A:$AM,37,FALSE),"")</f>
        <v/>
      </c>
      <c r="AL1006" t="str">
        <f>IFERROR(VLOOKUP($A1006,koronahun!$A:$AM,38,FALSE),"")</f>
        <v/>
      </c>
      <c r="AM1006" s="14" t="str">
        <f>IFERROR(VLOOKUP($A1006,koronahun!$A:$AM,39,FALSE),"")</f>
        <v/>
      </c>
      <c r="AN1006" s="11">
        <f ca="1">IFERROR(__xludf.DUMMYFUNCTION("""COMPUTED_VALUE"""),44898)</f>
        <v>44898</v>
      </c>
      <c r="AO1006" s="12">
        <f ca="1">IFERROR(VLOOKUP(AN1006,koronahun!A:B,2,FALSE),"")</f>
        <v>0</v>
      </c>
      <c r="AP1006" s="11">
        <f t="shared" ca="1" si="6"/>
        <v>44898</v>
      </c>
      <c r="AQ1006" s="11"/>
      <c r="AR1006" s="11"/>
      <c r="AS1006" s="11"/>
      <c r="AT1006" s="11"/>
    </row>
    <row r="1007" spans="1:46" ht="13">
      <c r="A1007" s="11"/>
      <c r="B1007" t="str">
        <f>IFERROR(VLOOKUP($A1007,koronahun!$A:$AM,2,FALSE),"")</f>
        <v/>
      </c>
      <c r="C1007" t="str">
        <f>IFERROR(VLOOKUP($A1007,koronahun!$A:$AM,3,FALSE),"")</f>
        <v/>
      </c>
      <c r="D1007" t="str">
        <f>IFERROR(VLOOKUP($A1007,koronahun!$A:$AM,4,FALSE),"")</f>
        <v/>
      </c>
      <c r="E1007" t="str">
        <f>IFERROR(VLOOKUP($A1007,koronahun!$A:$AM,5,FALSE),"")</f>
        <v/>
      </c>
      <c r="F1007" t="str">
        <f>IFERROR(VLOOKUP($A1007,koronahun!$A:$AM,6,FALSE),"")</f>
        <v/>
      </c>
      <c r="G1007" s="12" t="str">
        <f>IFERROR(VLOOKUP($A1007,koronahun!$A:$AM,7,FALSE),"")</f>
        <v/>
      </c>
      <c r="H1007" t="str">
        <f>IFERROR(VLOOKUP($A1007,koronahun!$A:$AM,8,FALSE),"")</f>
        <v/>
      </c>
      <c r="I1007" s="13" t="str">
        <f>IFERROR(VLOOKUP($A1007,koronahun!$A:$AM,9,FALSE),"")</f>
        <v/>
      </c>
      <c r="J1007" s="13" t="str">
        <f>IFERROR(VLOOKUP($A1007,koronahun!$A:$AM,10,FALSE),"")</f>
        <v/>
      </c>
      <c r="K1007" s="13" t="str">
        <f>IFERROR(VLOOKUP($A1007,koronahun!$A:$AM,11,FALSE),"")</f>
        <v/>
      </c>
      <c r="L1007" t="str">
        <f>IFERROR(VLOOKUP($A1007,koronahun!$A:$AM,12,FALSE),"")</f>
        <v/>
      </c>
      <c r="M1007" s="13" t="str">
        <f>IFERROR(VLOOKUP($A1007,koronahun!$A:$AM,13,FALSE),"")</f>
        <v/>
      </c>
      <c r="N1007" s="13" t="str">
        <f>IFERROR(VLOOKUP($A1007,koronahun!$A:$AM,14,FALSE),"")</f>
        <v/>
      </c>
      <c r="O1007" t="str">
        <f>IFERROR(VLOOKUP($A1007,koronahun!$A:$AM,15,FALSE),"")</f>
        <v/>
      </c>
      <c r="P1007" t="str">
        <f>IFERROR(VLOOKUP($A1007,koronahun!$A:$AM,16,FALSE),"")</f>
        <v/>
      </c>
      <c r="Q1007" s="13" t="str">
        <f>IFERROR(VLOOKUP($A1007,koronahun!$A:$AM,17,FALSE),"")</f>
        <v/>
      </c>
      <c r="R1007" t="str">
        <f>IFERROR(VLOOKUP($A1007,koronahun!$A:$AM,18,FALSE),"")</f>
        <v/>
      </c>
      <c r="S1007" t="str">
        <f>IFERROR(VLOOKUP($A1007,koronahun!$A:$AM,19,FALSE),"")</f>
        <v/>
      </c>
      <c r="T1007" t="str">
        <f>IFERROR(VLOOKUP($A1007,koronahun!$A:$AM,20,FALSE),"")</f>
        <v/>
      </c>
      <c r="U1007" t="str">
        <f>IFERROR(VLOOKUP($A1007,koronahun!$A:$AM,21,FALSE),"")</f>
        <v/>
      </c>
      <c r="V1007" s="13" t="str">
        <f>IFERROR(VLOOKUP($A1007,koronahun!$A:$AM,22,FALSE),"")</f>
        <v/>
      </c>
      <c r="W1007" t="str">
        <f>IFERROR(VLOOKUP($A1007,koronahun!$A:$AM,23,FALSE),"")</f>
        <v/>
      </c>
      <c r="X1007" t="str">
        <f>IFERROR(VLOOKUP($A1007,koronahun!$A:$AM,24,FALSE),"")</f>
        <v/>
      </c>
      <c r="Y1007" s="14" t="str">
        <f>IFERROR(VLOOKUP($A1007,koronahun!$A:$AM,25,FALSE),"")</f>
        <v/>
      </c>
      <c r="Z1007" s="14" t="str">
        <f>IFERROR(VLOOKUP($A1007,koronahun!$A:$AM,26,FALSE),"")</f>
        <v/>
      </c>
      <c r="AA1007" s="14" t="str">
        <f>IFERROR(VLOOKUP($A1007,koronahun!$A:$AM,27,FALSE),"")</f>
        <v/>
      </c>
      <c r="AB1007" s="14" t="str">
        <f>IFERROR(VLOOKUP($A1007,koronahun!$A:$AM,28,FALSE),"")</f>
        <v/>
      </c>
      <c r="AC1007" s="14" t="str">
        <f>IFERROR(VLOOKUP($A1007,koronahun!$A:$AM,29,FALSE),"")</f>
        <v/>
      </c>
      <c r="AD1007" s="14" t="str">
        <f>IFERROR(VLOOKUP($A1007,koronahun!$A:$AM,30,FALSE),"")</f>
        <v/>
      </c>
      <c r="AE1007" s="14" t="str">
        <f>IFERROR(VLOOKUP($A1007,koronahun!$A:$AM,31,FALSE),"")</f>
        <v/>
      </c>
      <c r="AF1007" s="13" t="str">
        <f>IFERROR(VLOOKUP($A1007,koronahun!$A:$AM,32,FALSE),"")</f>
        <v/>
      </c>
      <c r="AG1007" t="str">
        <f>IFERROR(VLOOKUP($A1007,koronahun!$A:$AM,33,FALSE),"")</f>
        <v/>
      </c>
      <c r="AH1007" t="str">
        <f>IFERROR(VLOOKUP($A1007,koronahun!$A:$AM,34,FALSE),"")</f>
        <v/>
      </c>
      <c r="AI1007" t="str">
        <f>IFERROR(VLOOKUP($A1007,koronahun!$A:$AM,35,FALSE),"")</f>
        <v/>
      </c>
      <c r="AJ1007" t="str">
        <f>IFERROR(VLOOKUP($A1007,koronahun!$A:$AM,36,FALSE),"")</f>
        <v/>
      </c>
      <c r="AK1007" t="str">
        <f>IFERROR(VLOOKUP($A1007,koronahun!$A:$AM,37,FALSE),"")</f>
        <v/>
      </c>
      <c r="AL1007" t="str">
        <f>IFERROR(VLOOKUP($A1007,koronahun!$A:$AM,38,FALSE),"")</f>
        <v/>
      </c>
      <c r="AM1007" s="14" t="str">
        <f>IFERROR(VLOOKUP($A1007,koronahun!$A:$AM,39,FALSE),"")</f>
        <v/>
      </c>
      <c r="AN1007" s="11">
        <f ca="1">IFERROR(__xludf.DUMMYFUNCTION("""COMPUTED_VALUE"""),44899)</f>
        <v>44899</v>
      </c>
      <c r="AO1007" s="12">
        <f ca="1">IFERROR(VLOOKUP(AN1007,koronahun!A:B,2,FALSE),"")</f>
        <v>0</v>
      </c>
      <c r="AP1007" s="11">
        <f t="shared" ca="1" si="6"/>
        <v>44899</v>
      </c>
      <c r="AQ1007" s="11"/>
      <c r="AR1007" s="11"/>
      <c r="AS1007" s="11"/>
      <c r="AT1007" s="11"/>
    </row>
    <row r="1008" spans="1:46" ht="13">
      <c r="A1008" s="11"/>
      <c r="B1008" t="str">
        <f>IFERROR(VLOOKUP($A1008,koronahun!$A:$AM,2,FALSE),"")</f>
        <v/>
      </c>
      <c r="C1008" t="str">
        <f>IFERROR(VLOOKUP($A1008,koronahun!$A:$AM,3,FALSE),"")</f>
        <v/>
      </c>
      <c r="D1008" t="str">
        <f>IFERROR(VLOOKUP($A1008,koronahun!$A:$AM,4,FALSE),"")</f>
        <v/>
      </c>
      <c r="E1008" t="str">
        <f>IFERROR(VLOOKUP($A1008,koronahun!$A:$AM,5,FALSE),"")</f>
        <v/>
      </c>
      <c r="F1008" t="str">
        <f>IFERROR(VLOOKUP($A1008,koronahun!$A:$AM,6,FALSE),"")</f>
        <v/>
      </c>
      <c r="G1008" s="12" t="str">
        <f>IFERROR(VLOOKUP($A1008,koronahun!$A:$AM,7,FALSE),"")</f>
        <v/>
      </c>
      <c r="H1008" t="str">
        <f>IFERROR(VLOOKUP($A1008,koronahun!$A:$AM,8,FALSE),"")</f>
        <v/>
      </c>
      <c r="I1008" s="13" t="str">
        <f>IFERROR(VLOOKUP($A1008,koronahun!$A:$AM,9,FALSE),"")</f>
        <v/>
      </c>
      <c r="J1008" s="13" t="str">
        <f>IFERROR(VLOOKUP($A1008,koronahun!$A:$AM,10,FALSE),"")</f>
        <v/>
      </c>
      <c r="K1008" s="13" t="str">
        <f>IFERROR(VLOOKUP($A1008,koronahun!$A:$AM,11,FALSE),"")</f>
        <v/>
      </c>
      <c r="L1008" t="str">
        <f>IFERROR(VLOOKUP($A1008,koronahun!$A:$AM,12,FALSE),"")</f>
        <v/>
      </c>
      <c r="M1008" s="13" t="str">
        <f>IFERROR(VLOOKUP($A1008,koronahun!$A:$AM,13,FALSE),"")</f>
        <v/>
      </c>
      <c r="N1008" s="13" t="str">
        <f>IFERROR(VLOOKUP($A1008,koronahun!$A:$AM,14,FALSE),"")</f>
        <v/>
      </c>
      <c r="O1008" t="str">
        <f>IFERROR(VLOOKUP($A1008,koronahun!$A:$AM,15,FALSE),"")</f>
        <v/>
      </c>
      <c r="P1008" t="str">
        <f>IFERROR(VLOOKUP($A1008,koronahun!$A:$AM,16,FALSE),"")</f>
        <v/>
      </c>
      <c r="Q1008" s="13" t="str">
        <f>IFERROR(VLOOKUP($A1008,koronahun!$A:$AM,17,FALSE),"")</f>
        <v/>
      </c>
      <c r="R1008" t="str">
        <f>IFERROR(VLOOKUP($A1008,koronahun!$A:$AM,18,FALSE),"")</f>
        <v/>
      </c>
      <c r="S1008" t="str">
        <f>IFERROR(VLOOKUP($A1008,koronahun!$A:$AM,19,FALSE),"")</f>
        <v/>
      </c>
      <c r="T1008" t="str">
        <f>IFERROR(VLOOKUP($A1008,koronahun!$A:$AM,20,FALSE),"")</f>
        <v/>
      </c>
      <c r="U1008" t="str">
        <f>IFERROR(VLOOKUP($A1008,koronahun!$A:$AM,21,FALSE),"")</f>
        <v/>
      </c>
      <c r="V1008" s="13" t="str">
        <f>IFERROR(VLOOKUP($A1008,koronahun!$A:$AM,22,FALSE),"")</f>
        <v/>
      </c>
      <c r="W1008" t="str">
        <f>IFERROR(VLOOKUP($A1008,koronahun!$A:$AM,23,FALSE),"")</f>
        <v/>
      </c>
      <c r="X1008" t="str">
        <f>IFERROR(VLOOKUP($A1008,koronahun!$A:$AM,24,FALSE),"")</f>
        <v/>
      </c>
      <c r="Y1008" s="14" t="str">
        <f>IFERROR(VLOOKUP($A1008,koronahun!$A:$AM,25,FALSE),"")</f>
        <v/>
      </c>
      <c r="Z1008" s="14" t="str">
        <f>IFERROR(VLOOKUP($A1008,koronahun!$A:$AM,26,FALSE),"")</f>
        <v/>
      </c>
      <c r="AA1008" s="14" t="str">
        <f>IFERROR(VLOOKUP($A1008,koronahun!$A:$AM,27,FALSE),"")</f>
        <v/>
      </c>
      <c r="AB1008" s="14" t="str">
        <f>IFERROR(VLOOKUP($A1008,koronahun!$A:$AM,28,FALSE),"")</f>
        <v/>
      </c>
      <c r="AC1008" s="14" t="str">
        <f>IFERROR(VLOOKUP($A1008,koronahun!$A:$AM,29,FALSE),"")</f>
        <v/>
      </c>
      <c r="AD1008" s="14" t="str">
        <f>IFERROR(VLOOKUP($A1008,koronahun!$A:$AM,30,FALSE),"")</f>
        <v/>
      </c>
      <c r="AE1008" s="14" t="str">
        <f>IFERROR(VLOOKUP($A1008,koronahun!$A:$AM,31,FALSE),"")</f>
        <v/>
      </c>
      <c r="AF1008" s="13" t="str">
        <f>IFERROR(VLOOKUP($A1008,koronahun!$A:$AM,32,FALSE),"")</f>
        <v/>
      </c>
      <c r="AG1008" t="str">
        <f>IFERROR(VLOOKUP($A1008,koronahun!$A:$AM,33,FALSE),"")</f>
        <v/>
      </c>
      <c r="AH1008" t="str">
        <f>IFERROR(VLOOKUP($A1008,koronahun!$A:$AM,34,FALSE),"")</f>
        <v/>
      </c>
      <c r="AI1008" t="str">
        <f>IFERROR(VLOOKUP($A1008,koronahun!$A:$AM,35,FALSE),"")</f>
        <v/>
      </c>
      <c r="AJ1008" t="str">
        <f>IFERROR(VLOOKUP($A1008,koronahun!$A:$AM,36,FALSE),"")</f>
        <v/>
      </c>
      <c r="AK1008" t="str">
        <f>IFERROR(VLOOKUP($A1008,koronahun!$A:$AM,37,FALSE),"")</f>
        <v/>
      </c>
      <c r="AL1008" t="str">
        <f>IFERROR(VLOOKUP($A1008,koronahun!$A:$AM,38,FALSE),"")</f>
        <v/>
      </c>
      <c r="AM1008" s="14" t="str">
        <f>IFERROR(VLOOKUP($A1008,koronahun!$A:$AM,39,FALSE),"")</f>
        <v/>
      </c>
      <c r="AN1008" s="11">
        <f ca="1">IFERROR(__xludf.DUMMYFUNCTION("""COMPUTED_VALUE"""),44900)</f>
        <v>44900</v>
      </c>
      <c r="AO1008" s="12">
        <f ca="1">IFERROR(VLOOKUP(AN1008,koronahun!A:B,2,FALSE),"")</f>
        <v>0</v>
      </c>
      <c r="AP1008" s="11">
        <f t="shared" ca="1" si="6"/>
        <v>44900</v>
      </c>
      <c r="AQ1008" s="11"/>
      <c r="AR1008" s="11"/>
      <c r="AS1008" s="11"/>
      <c r="AT1008" s="11"/>
    </row>
    <row r="1009" spans="1:46" ht="13">
      <c r="A1009" s="11"/>
      <c r="B1009" t="str">
        <f>IFERROR(VLOOKUP($A1009,koronahun!$A:$AM,2,FALSE),"")</f>
        <v/>
      </c>
      <c r="C1009" t="str">
        <f>IFERROR(VLOOKUP($A1009,koronahun!$A:$AM,3,FALSE),"")</f>
        <v/>
      </c>
      <c r="D1009" t="str">
        <f>IFERROR(VLOOKUP($A1009,koronahun!$A:$AM,4,FALSE),"")</f>
        <v/>
      </c>
      <c r="E1009" t="str">
        <f>IFERROR(VLOOKUP($A1009,koronahun!$A:$AM,5,FALSE),"")</f>
        <v/>
      </c>
      <c r="F1009" t="str">
        <f>IFERROR(VLOOKUP($A1009,koronahun!$A:$AM,6,FALSE),"")</f>
        <v/>
      </c>
      <c r="G1009" s="12" t="str">
        <f>IFERROR(VLOOKUP($A1009,koronahun!$A:$AM,7,FALSE),"")</f>
        <v/>
      </c>
      <c r="H1009" t="str">
        <f>IFERROR(VLOOKUP($A1009,koronahun!$A:$AM,8,FALSE),"")</f>
        <v/>
      </c>
      <c r="I1009" s="13" t="str">
        <f>IFERROR(VLOOKUP($A1009,koronahun!$A:$AM,9,FALSE),"")</f>
        <v/>
      </c>
      <c r="J1009" s="13" t="str">
        <f>IFERROR(VLOOKUP($A1009,koronahun!$A:$AM,10,FALSE),"")</f>
        <v/>
      </c>
      <c r="K1009" s="13" t="str">
        <f>IFERROR(VLOOKUP($A1009,koronahun!$A:$AM,11,FALSE),"")</f>
        <v/>
      </c>
      <c r="L1009" t="str">
        <f>IFERROR(VLOOKUP($A1009,koronahun!$A:$AM,12,FALSE),"")</f>
        <v/>
      </c>
      <c r="M1009" s="13" t="str">
        <f>IFERROR(VLOOKUP($A1009,koronahun!$A:$AM,13,FALSE),"")</f>
        <v/>
      </c>
      <c r="N1009" s="13" t="str">
        <f>IFERROR(VLOOKUP($A1009,koronahun!$A:$AM,14,FALSE),"")</f>
        <v/>
      </c>
      <c r="O1009" t="str">
        <f>IFERROR(VLOOKUP($A1009,koronahun!$A:$AM,15,FALSE),"")</f>
        <v/>
      </c>
      <c r="P1009" t="str">
        <f>IFERROR(VLOOKUP($A1009,koronahun!$A:$AM,16,FALSE),"")</f>
        <v/>
      </c>
      <c r="Q1009" s="13" t="str">
        <f>IFERROR(VLOOKUP($A1009,koronahun!$A:$AM,17,FALSE),"")</f>
        <v/>
      </c>
      <c r="R1009" t="str">
        <f>IFERROR(VLOOKUP($A1009,koronahun!$A:$AM,18,FALSE),"")</f>
        <v/>
      </c>
      <c r="S1009" t="str">
        <f>IFERROR(VLOOKUP($A1009,koronahun!$A:$AM,19,FALSE),"")</f>
        <v/>
      </c>
      <c r="T1009" t="str">
        <f>IFERROR(VLOOKUP($A1009,koronahun!$A:$AM,20,FALSE),"")</f>
        <v/>
      </c>
      <c r="U1009" t="str">
        <f>IFERROR(VLOOKUP($A1009,koronahun!$A:$AM,21,FALSE),"")</f>
        <v/>
      </c>
      <c r="V1009" s="13" t="str">
        <f>IFERROR(VLOOKUP($A1009,koronahun!$A:$AM,22,FALSE),"")</f>
        <v/>
      </c>
      <c r="W1009" t="str">
        <f>IFERROR(VLOOKUP($A1009,koronahun!$A:$AM,23,FALSE),"")</f>
        <v/>
      </c>
      <c r="X1009" t="str">
        <f>IFERROR(VLOOKUP($A1009,koronahun!$A:$AM,24,FALSE),"")</f>
        <v/>
      </c>
      <c r="Y1009" s="14" t="str">
        <f>IFERROR(VLOOKUP($A1009,koronahun!$A:$AM,25,FALSE),"")</f>
        <v/>
      </c>
      <c r="Z1009" s="14" t="str">
        <f>IFERROR(VLOOKUP($A1009,koronahun!$A:$AM,26,FALSE),"")</f>
        <v/>
      </c>
      <c r="AA1009" s="14" t="str">
        <f>IFERROR(VLOOKUP($A1009,koronahun!$A:$AM,27,FALSE),"")</f>
        <v/>
      </c>
      <c r="AB1009" s="14" t="str">
        <f>IFERROR(VLOOKUP($A1009,koronahun!$A:$AM,28,FALSE),"")</f>
        <v/>
      </c>
      <c r="AC1009" s="14" t="str">
        <f>IFERROR(VLOOKUP($A1009,koronahun!$A:$AM,29,FALSE),"")</f>
        <v/>
      </c>
      <c r="AD1009" s="14" t="str">
        <f>IFERROR(VLOOKUP($A1009,koronahun!$A:$AM,30,FALSE),"")</f>
        <v/>
      </c>
      <c r="AE1009" s="14" t="str">
        <f>IFERROR(VLOOKUP($A1009,koronahun!$A:$AM,31,FALSE),"")</f>
        <v/>
      </c>
      <c r="AF1009" s="13" t="str">
        <f>IFERROR(VLOOKUP($A1009,koronahun!$A:$AM,32,FALSE),"")</f>
        <v/>
      </c>
      <c r="AG1009" t="str">
        <f>IFERROR(VLOOKUP($A1009,koronahun!$A:$AM,33,FALSE),"")</f>
        <v/>
      </c>
      <c r="AH1009" t="str">
        <f>IFERROR(VLOOKUP($A1009,koronahun!$A:$AM,34,FALSE),"")</f>
        <v/>
      </c>
      <c r="AI1009" t="str">
        <f>IFERROR(VLOOKUP($A1009,koronahun!$A:$AM,35,FALSE),"")</f>
        <v/>
      </c>
      <c r="AJ1009" t="str">
        <f>IFERROR(VLOOKUP($A1009,koronahun!$A:$AM,36,FALSE),"")</f>
        <v/>
      </c>
      <c r="AK1009" t="str">
        <f>IFERROR(VLOOKUP($A1009,koronahun!$A:$AM,37,FALSE),"")</f>
        <v/>
      </c>
      <c r="AL1009" t="str">
        <f>IFERROR(VLOOKUP($A1009,koronahun!$A:$AM,38,FALSE),"")</f>
        <v/>
      </c>
      <c r="AM1009" s="14" t="str">
        <f>IFERROR(VLOOKUP($A1009,koronahun!$A:$AM,39,FALSE),"")</f>
        <v/>
      </c>
      <c r="AN1009" s="11">
        <f ca="1">IFERROR(__xludf.DUMMYFUNCTION("""COMPUTED_VALUE"""),44901)</f>
        <v>44901</v>
      </c>
      <c r="AO1009" s="12">
        <f ca="1">IFERROR(VLOOKUP(AN1009,koronahun!A:B,2,FALSE),"")</f>
        <v>0</v>
      </c>
      <c r="AP1009" s="11">
        <f t="shared" ca="1" si="6"/>
        <v>44901</v>
      </c>
      <c r="AQ1009" s="11"/>
      <c r="AR1009" s="11"/>
      <c r="AS1009" s="11"/>
      <c r="AT1009" s="11"/>
    </row>
    <row r="1010" spans="1:46" ht="13">
      <c r="A1010" s="11"/>
      <c r="B1010" t="str">
        <f>IFERROR(VLOOKUP($A1010,koronahun!$A:$AM,2,FALSE),"")</f>
        <v/>
      </c>
      <c r="C1010" t="str">
        <f>IFERROR(VLOOKUP($A1010,koronahun!$A:$AM,3,FALSE),"")</f>
        <v/>
      </c>
      <c r="D1010" t="str">
        <f>IFERROR(VLOOKUP($A1010,koronahun!$A:$AM,4,FALSE),"")</f>
        <v/>
      </c>
      <c r="E1010" t="str">
        <f>IFERROR(VLOOKUP($A1010,koronahun!$A:$AM,5,FALSE),"")</f>
        <v/>
      </c>
      <c r="F1010" t="str">
        <f>IFERROR(VLOOKUP($A1010,koronahun!$A:$AM,6,FALSE),"")</f>
        <v/>
      </c>
      <c r="G1010" s="12" t="str">
        <f>IFERROR(VLOOKUP($A1010,koronahun!$A:$AM,7,FALSE),"")</f>
        <v/>
      </c>
      <c r="H1010" t="str">
        <f>IFERROR(VLOOKUP($A1010,koronahun!$A:$AM,8,FALSE),"")</f>
        <v/>
      </c>
      <c r="I1010" s="13" t="str">
        <f>IFERROR(VLOOKUP($A1010,koronahun!$A:$AM,9,FALSE),"")</f>
        <v/>
      </c>
      <c r="J1010" s="13" t="str">
        <f>IFERROR(VLOOKUP($A1010,koronahun!$A:$AM,10,FALSE),"")</f>
        <v/>
      </c>
      <c r="K1010" s="13" t="str">
        <f>IFERROR(VLOOKUP($A1010,koronahun!$A:$AM,11,FALSE),"")</f>
        <v/>
      </c>
      <c r="L1010" t="str">
        <f>IFERROR(VLOOKUP($A1010,koronahun!$A:$AM,12,FALSE),"")</f>
        <v/>
      </c>
      <c r="M1010" s="13" t="str">
        <f>IFERROR(VLOOKUP($A1010,koronahun!$A:$AM,13,FALSE),"")</f>
        <v/>
      </c>
      <c r="N1010" s="13" t="str">
        <f>IFERROR(VLOOKUP($A1010,koronahun!$A:$AM,14,FALSE),"")</f>
        <v/>
      </c>
      <c r="O1010" t="str">
        <f>IFERROR(VLOOKUP($A1010,koronahun!$A:$AM,15,FALSE),"")</f>
        <v/>
      </c>
      <c r="P1010" t="str">
        <f>IFERROR(VLOOKUP($A1010,koronahun!$A:$AM,16,FALSE),"")</f>
        <v/>
      </c>
      <c r="Q1010" s="13" t="str">
        <f>IFERROR(VLOOKUP($A1010,koronahun!$A:$AM,17,FALSE),"")</f>
        <v/>
      </c>
      <c r="R1010" t="str">
        <f>IFERROR(VLOOKUP($A1010,koronahun!$A:$AM,18,FALSE),"")</f>
        <v/>
      </c>
      <c r="S1010" t="str">
        <f>IFERROR(VLOOKUP($A1010,koronahun!$A:$AM,19,FALSE),"")</f>
        <v/>
      </c>
      <c r="T1010" t="str">
        <f>IFERROR(VLOOKUP($A1010,koronahun!$A:$AM,20,FALSE),"")</f>
        <v/>
      </c>
      <c r="U1010" t="str">
        <f>IFERROR(VLOOKUP($A1010,koronahun!$A:$AM,21,FALSE),"")</f>
        <v/>
      </c>
      <c r="V1010" s="13" t="str">
        <f>IFERROR(VLOOKUP($A1010,koronahun!$A:$AM,22,FALSE),"")</f>
        <v/>
      </c>
      <c r="W1010" t="str">
        <f>IFERROR(VLOOKUP($A1010,koronahun!$A:$AM,23,FALSE),"")</f>
        <v/>
      </c>
      <c r="X1010" t="str">
        <f>IFERROR(VLOOKUP($A1010,koronahun!$A:$AM,24,FALSE),"")</f>
        <v/>
      </c>
      <c r="Y1010" s="14" t="str">
        <f>IFERROR(VLOOKUP($A1010,koronahun!$A:$AM,25,FALSE),"")</f>
        <v/>
      </c>
      <c r="Z1010" s="14" t="str">
        <f>IFERROR(VLOOKUP($A1010,koronahun!$A:$AM,26,FALSE),"")</f>
        <v/>
      </c>
      <c r="AA1010" s="14" t="str">
        <f>IFERROR(VLOOKUP($A1010,koronahun!$A:$AM,27,FALSE),"")</f>
        <v/>
      </c>
      <c r="AB1010" s="14" t="str">
        <f>IFERROR(VLOOKUP($A1010,koronahun!$A:$AM,28,FALSE),"")</f>
        <v/>
      </c>
      <c r="AC1010" s="14" t="str">
        <f>IFERROR(VLOOKUP($A1010,koronahun!$A:$AM,29,FALSE),"")</f>
        <v/>
      </c>
      <c r="AD1010" s="14" t="str">
        <f>IFERROR(VLOOKUP($A1010,koronahun!$A:$AM,30,FALSE),"")</f>
        <v/>
      </c>
      <c r="AE1010" s="14" t="str">
        <f>IFERROR(VLOOKUP($A1010,koronahun!$A:$AM,31,FALSE),"")</f>
        <v/>
      </c>
      <c r="AF1010" s="13" t="str">
        <f>IFERROR(VLOOKUP($A1010,koronahun!$A:$AM,32,FALSE),"")</f>
        <v/>
      </c>
      <c r="AG1010" t="str">
        <f>IFERROR(VLOOKUP($A1010,koronahun!$A:$AM,33,FALSE),"")</f>
        <v/>
      </c>
      <c r="AH1010" t="str">
        <f>IFERROR(VLOOKUP($A1010,koronahun!$A:$AM,34,FALSE),"")</f>
        <v/>
      </c>
      <c r="AI1010" t="str">
        <f>IFERROR(VLOOKUP($A1010,koronahun!$A:$AM,35,FALSE),"")</f>
        <v/>
      </c>
      <c r="AJ1010" t="str">
        <f>IFERROR(VLOOKUP($A1010,koronahun!$A:$AM,36,FALSE),"")</f>
        <v/>
      </c>
      <c r="AK1010" t="str">
        <f>IFERROR(VLOOKUP($A1010,koronahun!$A:$AM,37,FALSE),"")</f>
        <v/>
      </c>
      <c r="AL1010" t="str">
        <f>IFERROR(VLOOKUP($A1010,koronahun!$A:$AM,38,FALSE),"")</f>
        <v/>
      </c>
      <c r="AM1010" s="14" t="str">
        <f>IFERROR(VLOOKUP($A1010,koronahun!$A:$AM,39,FALSE),"")</f>
        <v/>
      </c>
      <c r="AN1010" s="11">
        <f ca="1">IFERROR(__xludf.DUMMYFUNCTION("""COMPUTED_VALUE"""),44902)</f>
        <v>44902</v>
      </c>
      <c r="AO1010" s="12">
        <f ca="1">IFERROR(VLOOKUP(AN1010,koronahun!A:B,2,FALSE),"")</f>
        <v>2171056</v>
      </c>
      <c r="AP1010" s="11">
        <f t="shared" ca="1" si="6"/>
        <v>44902</v>
      </c>
      <c r="AQ1010" s="11"/>
      <c r="AR1010" s="11"/>
      <c r="AS1010" s="11"/>
      <c r="AT1010" s="11"/>
    </row>
    <row r="1011" spans="1:46" ht="13">
      <c r="A1011" s="11"/>
      <c r="B1011" t="str">
        <f>IFERROR(VLOOKUP($A1011,koronahun!$A:$AM,2,FALSE),"")</f>
        <v/>
      </c>
      <c r="C1011" t="str">
        <f>IFERROR(VLOOKUP($A1011,koronahun!$A:$AM,3,FALSE),"")</f>
        <v/>
      </c>
      <c r="D1011" t="str">
        <f>IFERROR(VLOOKUP($A1011,koronahun!$A:$AM,4,FALSE),"")</f>
        <v/>
      </c>
      <c r="E1011" t="str">
        <f>IFERROR(VLOOKUP($A1011,koronahun!$A:$AM,5,FALSE),"")</f>
        <v/>
      </c>
      <c r="F1011" t="str">
        <f>IFERROR(VLOOKUP($A1011,koronahun!$A:$AM,6,FALSE),"")</f>
        <v/>
      </c>
      <c r="G1011" s="12" t="str">
        <f>IFERROR(VLOOKUP($A1011,koronahun!$A:$AM,7,FALSE),"")</f>
        <v/>
      </c>
      <c r="H1011" t="str">
        <f>IFERROR(VLOOKUP($A1011,koronahun!$A:$AM,8,FALSE),"")</f>
        <v/>
      </c>
      <c r="I1011" s="13" t="str">
        <f>IFERROR(VLOOKUP($A1011,koronahun!$A:$AM,9,FALSE),"")</f>
        <v/>
      </c>
      <c r="J1011" s="13" t="str">
        <f>IFERROR(VLOOKUP($A1011,koronahun!$A:$AM,10,FALSE),"")</f>
        <v/>
      </c>
      <c r="K1011" s="13" t="str">
        <f>IFERROR(VLOOKUP($A1011,koronahun!$A:$AM,11,FALSE),"")</f>
        <v/>
      </c>
      <c r="L1011" t="str">
        <f>IFERROR(VLOOKUP($A1011,koronahun!$A:$AM,12,FALSE),"")</f>
        <v/>
      </c>
      <c r="M1011" s="13" t="str">
        <f>IFERROR(VLOOKUP($A1011,koronahun!$A:$AM,13,FALSE),"")</f>
        <v/>
      </c>
      <c r="N1011" s="13" t="str">
        <f>IFERROR(VLOOKUP($A1011,koronahun!$A:$AM,14,FALSE),"")</f>
        <v/>
      </c>
      <c r="O1011" t="str">
        <f>IFERROR(VLOOKUP($A1011,koronahun!$A:$AM,15,FALSE),"")</f>
        <v/>
      </c>
      <c r="P1011" t="str">
        <f>IFERROR(VLOOKUP($A1011,koronahun!$A:$AM,16,FALSE),"")</f>
        <v/>
      </c>
      <c r="Q1011" s="13" t="str">
        <f>IFERROR(VLOOKUP($A1011,koronahun!$A:$AM,17,FALSE),"")</f>
        <v/>
      </c>
      <c r="R1011" t="str">
        <f>IFERROR(VLOOKUP($A1011,koronahun!$A:$AM,18,FALSE),"")</f>
        <v/>
      </c>
      <c r="S1011" t="str">
        <f>IFERROR(VLOOKUP($A1011,koronahun!$A:$AM,19,FALSE),"")</f>
        <v/>
      </c>
      <c r="T1011" t="str">
        <f>IFERROR(VLOOKUP($A1011,koronahun!$A:$AM,20,FALSE),"")</f>
        <v/>
      </c>
      <c r="U1011" t="str">
        <f>IFERROR(VLOOKUP($A1011,koronahun!$A:$AM,21,FALSE),"")</f>
        <v/>
      </c>
      <c r="V1011" s="13" t="str">
        <f>IFERROR(VLOOKUP($A1011,koronahun!$A:$AM,22,FALSE),"")</f>
        <v/>
      </c>
      <c r="W1011" t="str">
        <f>IFERROR(VLOOKUP($A1011,koronahun!$A:$AM,23,FALSE),"")</f>
        <v/>
      </c>
      <c r="X1011" t="str">
        <f>IFERROR(VLOOKUP($A1011,koronahun!$A:$AM,24,FALSE),"")</f>
        <v/>
      </c>
      <c r="Y1011" s="14" t="str">
        <f>IFERROR(VLOOKUP($A1011,koronahun!$A:$AM,25,FALSE),"")</f>
        <v/>
      </c>
      <c r="Z1011" s="14" t="str">
        <f>IFERROR(VLOOKUP($A1011,koronahun!$A:$AM,26,FALSE),"")</f>
        <v/>
      </c>
      <c r="AA1011" s="14" t="str">
        <f>IFERROR(VLOOKUP($A1011,koronahun!$A:$AM,27,FALSE),"")</f>
        <v/>
      </c>
      <c r="AB1011" s="14" t="str">
        <f>IFERROR(VLOOKUP($A1011,koronahun!$A:$AM,28,FALSE),"")</f>
        <v/>
      </c>
      <c r="AC1011" s="14" t="str">
        <f>IFERROR(VLOOKUP($A1011,koronahun!$A:$AM,29,FALSE),"")</f>
        <v/>
      </c>
      <c r="AD1011" s="14" t="str">
        <f>IFERROR(VLOOKUP($A1011,koronahun!$A:$AM,30,FALSE),"")</f>
        <v/>
      </c>
      <c r="AE1011" s="14" t="str">
        <f>IFERROR(VLOOKUP($A1011,koronahun!$A:$AM,31,FALSE),"")</f>
        <v/>
      </c>
      <c r="AF1011" s="13" t="str">
        <f>IFERROR(VLOOKUP($A1011,koronahun!$A:$AM,32,FALSE),"")</f>
        <v/>
      </c>
      <c r="AG1011" t="str">
        <f>IFERROR(VLOOKUP($A1011,koronahun!$A:$AM,33,FALSE),"")</f>
        <v/>
      </c>
      <c r="AH1011" t="str">
        <f>IFERROR(VLOOKUP($A1011,koronahun!$A:$AM,34,FALSE),"")</f>
        <v/>
      </c>
      <c r="AI1011" t="str">
        <f>IFERROR(VLOOKUP($A1011,koronahun!$A:$AM,35,FALSE),"")</f>
        <v/>
      </c>
      <c r="AJ1011" t="str">
        <f>IFERROR(VLOOKUP($A1011,koronahun!$A:$AM,36,FALSE),"")</f>
        <v/>
      </c>
      <c r="AK1011" t="str">
        <f>IFERROR(VLOOKUP($A1011,koronahun!$A:$AM,37,FALSE),"")</f>
        <v/>
      </c>
      <c r="AL1011" t="str">
        <f>IFERROR(VLOOKUP($A1011,koronahun!$A:$AM,38,FALSE),"")</f>
        <v/>
      </c>
      <c r="AM1011" s="14" t="str">
        <f>IFERROR(VLOOKUP($A1011,koronahun!$A:$AM,39,FALSE),"")</f>
        <v/>
      </c>
      <c r="AN1011" s="11">
        <f ca="1">IFERROR(__xludf.DUMMYFUNCTION("""COMPUTED_VALUE"""),44903)</f>
        <v>44903</v>
      </c>
      <c r="AO1011" s="12">
        <f ca="1">IFERROR(VLOOKUP(AN1011,koronahun!A:B,2,FALSE),"")</f>
        <v>0</v>
      </c>
      <c r="AP1011" s="11">
        <f t="shared" ca="1" si="6"/>
        <v>44903</v>
      </c>
      <c r="AQ1011" s="11"/>
      <c r="AR1011" s="11"/>
      <c r="AS1011" s="11"/>
      <c r="AT1011" s="11"/>
    </row>
    <row r="1012" spans="1:46" ht="13">
      <c r="A1012" s="11"/>
      <c r="B1012" t="str">
        <f>IFERROR(VLOOKUP($A1012,koronahun!$A:$AM,2,FALSE),"")</f>
        <v/>
      </c>
      <c r="C1012" t="str">
        <f>IFERROR(VLOOKUP($A1012,koronahun!$A:$AM,3,FALSE),"")</f>
        <v/>
      </c>
      <c r="D1012" t="str">
        <f>IFERROR(VLOOKUP($A1012,koronahun!$A:$AM,4,FALSE),"")</f>
        <v/>
      </c>
      <c r="E1012" t="str">
        <f>IFERROR(VLOOKUP($A1012,koronahun!$A:$AM,5,FALSE),"")</f>
        <v/>
      </c>
      <c r="F1012" t="str">
        <f>IFERROR(VLOOKUP($A1012,koronahun!$A:$AM,6,FALSE),"")</f>
        <v/>
      </c>
      <c r="G1012" s="12" t="str">
        <f>IFERROR(VLOOKUP($A1012,koronahun!$A:$AM,7,FALSE),"")</f>
        <v/>
      </c>
      <c r="H1012" t="str">
        <f>IFERROR(VLOOKUP($A1012,koronahun!$A:$AM,8,FALSE),"")</f>
        <v/>
      </c>
      <c r="I1012" s="13" t="str">
        <f>IFERROR(VLOOKUP($A1012,koronahun!$A:$AM,9,FALSE),"")</f>
        <v/>
      </c>
      <c r="J1012" s="13" t="str">
        <f>IFERROR(VLOOKUP($A1012,koronahun!$A:$AM,10,FALSE),"")</f>
        <v/>
      </c>
      <c r="K1012" s="13" t="str">
        <f>IFERROR(VLOOKUP($A1012,koronahun!$A:$AM,11,FALSE),"")</f>
        <v/>
      </c>
      <c r="L1012" t="str">
        <f>IFERROR(VLOOKUP($A1012,koronahun!$A:$AM,12,FALSE),"")</f>
        <v/>
      </c>
      <c r="M1012" s="13" t="str">
        <f>IFERROR(VLOOKUP($A1012,koronahun!$A:$AM,13,FALSE),"")</f>
        <v/>
      </c>
      <c r="N1012" s="13" t="str">
        <f>IFERROR(VLOOKUP($A1012,koronahun!$A:$AM,14,FALSE),"")</f>
        <v/>
      </c>
      <c r="O1012" t="str">
        <f>IFERROR(VLOOKUP($A1012,koronahun!$A:$AM,15,FALSE),"")</f>
        <v/>
      </c>
      <c r="P1012" t="str">
        <f>IFERROR(VLOOKUP($A1012,koronahun!$A:$AM,16,FALSE),"")</f>
        <v/>
      </c>
      <c r="Q1012" s="13" t="str">
        <f>IFERROR(VLOOKUP($A1012,koronahun!$A:$AM,17,FALSE),"")</f>
        <v/>
      </c>
      <c r="R1012" t="str">
        <f>IFERROR(VLOOKUP($A1012,koronahun!$A:$AM,18,FALSE),"")</f>
        <v/>
      </c>
      <c r="S1012" t="str">
        <f>IFERROR(VLOOKUP($A1012,koronahun!$A:$AM,19,FALSE),"")</f>
        <v/>
      </c>
      <c r="T1012" t="str">
        <f>IFERROR(VLOOKUP($A1012,koronahun!$A:$AM,20,FALSE),"")</f>
        <v/>
      </c>
      <c r="U1012" t="str">
        <f>IFERROR(VLOOKUP($A1012,koronahun!$A:$AM,21,FALSE),"")</f>
        <v/>
      </c>
      <c r="V1012" s="13" t="str">
        <f>IFERROR(VLOOKUP($A1012,koronahun!$A:$AM,22,FALSE),"")</f>
        <v/>
      </c>
      <c r="W1012" t="str">
        <f>IFERROR(VLOOKUP($A1012,koronahun!$A:$AM,23,FALSE),"")</f>
        <v/>
      </c>
      <c r="X1012" t="str">
        <f>IFERROR(VLOOKUP($A1012,koronahun!$A:$AM,24,FALSE),"")</f>
        <v/>
      </c>
      <c r="Y1012" s="14" t="str">
        <f>IFERROR(VLOOKUP($A1012,koronahun!$A:$AM,25,FALSE),"")</f>
        <v/>
      </c>
      <c r="Z1012" s="14" t="str">
        <f>IFERROR(VLOOKUP($A1012,koronahun!$A:$AM,26,FALSE),"")</f>
        <v/>
      </c>
      <c r="AA1012" s="14" t="str">
        <f>IFERROR(VLOOKUP($A1012,koronahun!$A:$AM,27,FALSE),"")</f>
        <v/>
      </c>
      <c r="AB1012" s="14" t="str">
        <f>IFERROR(VLOOKUP($A1012,koronahun!$A:$AM,28,FALSE),"")</f>
        <v/>
      </c>
      <c r="AC1012" s="14" t="str">
        <f>IFERROR(VLOOKUP($A1012,koronahun!$A:$AM,29,FALSE),"")</f>
        <v/>
      </c>
      <c r="AD1012" s="14" t="str">
        <f>IFERROR(VLOOKUP($A1012,koronahun!$A:$AM,30,FALSE),"")</f>
        <v/>
      </c>
      <c r="AE1012" s="14" t="str">
        <f>IFERROR(VLOOKUP($A1012,koronahun!$A:$AM,31,FALSE),"")</f>
        <v/>
      </c>
      <c r="AF1012" s="13" t="str">
        <f>IFERROR(VLOOKUP($A1012,koronahun!$A:$AM,32,FALSE),"")</f>
        <v/>
      </c>
      <c r="AG1012" t="str">
        <f>IFERROR(VLOOKUP($A1012,koronahun!$A:$AM,33,FALSE),"")</f>
        <v/>
      </c>
      <c r="AH1012" t="str">
        <f>IFERROR(VLOOKUP($A1012,koronahun!$A:$AM,34,FALSE),"")</f>
        <v/>
      </c>
      <c r="AI1012" t="str">
        <f>IFERROR(VLOOKUP($A1012,koronahun!$A:$AM,35,FALSE),"")</f>
        <v/>
      </c>
      <c r="AJ1012" t="str">
        <f>IFERROR(VLOOKUP($A1012,koronahun!$A:$AM,36,FALSE),"")</f>
        <v/>
      </c>
      <c r="AK1012" t="str">
        <f>IFERROR(VLOOKUP($A1012,koronahun!$A:$AM,37,FALSE),"")</f>
        <v/>
      </c>
      <c r="AL1012" t="str">
        <f>IFERROR(VLOOKUP($A1012,koronahun!$A:$AM,38,FALSE),"")</f>
        <v/>
      </c>
      <c r="AM1012" s="14" t="str">
        <f>IFERROR(VLOOKUP($A1012,koronahun!$A:$AM,39,FALSE),"")</f>
        <v/>
      </c>
      <c r="AN1012" s="11">
        <f ca="1">IFERROR(__xludf.DUMMYFUNCTION("""COMPUTED_VALUE"""),44904)</f>
        <v>44904</v>
      </c>
      <c r="AO1012" s="12">
        <f ca="1">IFERROR(VLOOKUP(AN1012,koronahun!A:B,2,FALSE),"")</f>
        <v>0</v>
      </c>
      <c r="AP1012" s="11">
        <f t="shared" ca="1" si="6"/>
        <v>44904</v>
      </c>
      <c r="AQ1012" s="11"/>
      <c r="AR1012" s="11"/>
      <c r="AS1012" s="11"/>
      <c r="AT1012" s="11"/>
    </row>
    <row r="1013" spans="1:46" ht="13">
      <c r="A1013" s="11"/>
      <c r="B1013" t="str">
        <f>IFERROR(VLOOKUP($A1013,koronahun!$A:$AM,2,FALSE),"")</f>
        <v/>
      </c>
      <c r="C1013" t="str">
        <f>IFERROR(VLOOKUP($A1013,koronahun!$A:$AM,3,FALSE),"")</f>
        <v/>
      </c>
      <c r="D1013" t="str">
        <f>IFERROR(VLOOKUP($A1013,koronahun!$A:$AM,4,FALSE),"")</f>
        <v/>
      </c>
      <c r="E1013" t="str">
        <f>IFERROR(VLOOKUP($A1013,koronahun!$A:$AM,5,FALSE),"")</f>
        <v/>
      </c>
      <c r="F1013" t="str">
        <f>IFERROR(VLOOKUP($A1013,koronahun!$A:$AM,6,FALSE),"")</f>
        <v/>
      </c>
      <c r="G1013" s="12" t="str">
        <f>IFERROR(VLOOKUP($A1013,koronahun!$A:$AM,7,FALSE),"")</f>
        <v/>
      </c>
      <c r="H1013" t="str">
        <f>IFERROR(VLOOKUP($A1013,koronahun!$A:$AM,8,FALSE),"")</f>
        <v/>
      </c>
      <c r="I1013" s="13" t="str">
        <f>IFERROR(VLOOKUP($A1013,koronahun!$A:$AM,9,FALSE),"")</f>
        <v/>
      </c>
      <c r="J1013" s="13" t="str">
        <f>IFERROR(VLOOKUP($A1013,koronahun!$A:$AM,10,FALSE),"")</f>
        <v/>
      </c>
      <c r="K1013" s="13" t="str">
        <f>IFERROR(VLOOKUP($A1013,koronahun!$A:$AM,11,FALSE),"")</f>
        <v/>
      </c>
      <c r="L1013" t="str">
        <f>IFERROR(VLOOKUP($A1013,koronahun!$A:$AM,12,FALSE),"")</f>
        <v/>
      </c>
      <c r="M1013" s="13" t="str">
        <f>IFERROR(VLOOKUP($A1013,koronahun!$A:$AM,13,FALSE),"")</f>
        <v/>
      </c>
      <c r="N1013" s="13" t="str">
        <f>IFERROR(VLOOKUP($A1013,koronahun!$A:$AM,14,FALSE),"")</f>
        <v/>
      </c>
      <c r="O1013" t="str">
        <f>IFERROR(VLOOKUP($A1013,koronahun!$A:$AM,15,FALSE),"")</f>
        <v/>
      </c>
      <c r="P1013" t="str">
        <f>IFERROR(VLOOKUP($A1013,koronahun!$A:$AM,16,FALSE),"")</f>
        <v/>
      </c>
      <c r="Q1013" s="13" t="str">
        <f>IFERROR(VLOOKUP($A1013,koronahun!$A:$AM,17,FALSE),"")</f>
        <v/>
      </c>
      <c r="R1013" t="str">
        <f>IFERROR(VLOOKUP($A1013,koronahun!$A:$AM,18,FALSE),"")</f>
        <v/>
      </c>
      <c r="S1013" t="str">
        <f>IFERROR(VLOOKUP($A1013,koronahun!$A:$AM,19,FALSE),"")</f>
        <v/>
      </c>
      <c r="T1013" t="str">
        <f>IFERROR(VLOOKUP($A1013,koronahun!$A:$AM,20,FALSE),"")</f>
        <v/>
      </c>
      <c r="U1013" t="str">
        <f>IFERROR(VLOOKUP($A1013,koronahun!$A:$AM,21,FALSE),"")</f>
        <v/>
      </c>
      <c r="V1013" s="13" t="str">
        <f>IFERROR(VLOOKUP($A1013,koronahun!$A:$AM,22,FALSE),"")</f>
        <v/>
      </c>
      <c r="W1013" t="str">
        <f>IFERROR(VLOOKUP($A1013,koronahun!$A:$AM,23,FALSE),"")</f>
        <v/>
      </c>
      <c r="X1013" t="str">
        <f>IFERROR(VLOOKUP($A1013,koronahun!$A:$AM,24,FALSE),"")</f>
        <v/>
      </c>
      <c r="Y1013" s="14" t="str">
        <f>IFERROR(VLOOKUP($A1013,koronahun!$A:$AM,25,FALSE),"")</f>
        <v/>
      </c>
      <c r="Z1013" s="14" t="str">
        <f>IFERROR(VLOOKUP($A1013,koronahun!$A:$AM,26,FALSE),"")</f>
        <v/>
      </c>
      <c r="AA1013" s="14" t="str">
        <f>IFERROR(VLOOKUP($A1013,koronahun!$A:$AM,27,FALSE),"")</f>
        <v/>
      </c>
      <c r="AB1013" s="14" t="str">
        <f>IFERROR(VLOOKUP($A1013,koronahun!$A:$AM,28,FALSE),"")</f>
        <v/>
      </c>
      <c r="AC1013" s="14" t="str">
        <f>IFERROR(VLOOKUP($A1013,koronahun!$A:$AM,29,FALSE),"")</f>
        <v/>
      </c>
      <c r="AD1013" s="14" t="str">
        <f>IFERROR(VLOOKUP($A1013,koronahun!$A:$AM,30,FALSE),"")</f>
        <v/>
      </c>
      <c r="AE1013" s="14" t="str">
        <f>IFERROR(VLOOKUP($A1013,koronahun!$A:$AM,31,FALSE),"")</f>
        <v/>
      </c>
      <c r="AF1013" s="13" t="str">
        <f>IFERROR(VLOOKUP($A1013,koronahun!$A:$AM,32,FALSE),"")</f>
        <v/>
      </c>
      <c r="AG1013" t="str">
        <f>IFERROR(VLOOKUP($A1013,koronahun!$A:$AM,33,FALSE),"")</f>
        <v/>
      </c>
      <c r="AH1013" t="str">
        <f>IFERROR(VLOOKUP($A1013,koronahun!$A:$AM,34,FALSE),"")</f>
        <v/>
      </c>
      <c r="AI1013" t="str">
        <f>IFERROR(VLOOKUP($A1013,koronahun!$A:$AM,35,FALSE),"")</f>
        <v/>
      </c>
      <c r="AJ1013" t="str">
        <f>IFERROR(VLOOKUP($A1013,koronahun!$A:$AM,36,FALSE),"")</f>
        <v/>
      </c>
      <c r="AK1013" t="str">
        <f>IFERROR(VLOOKUP($A1013,koronahun!$A:$AM,37,FALSE),"")</f>
        <v/>
      </c>
      <c r="AL1013" t="str">
        <f>IFERROR(VLOOKUP($A1013,koronahun!$A:$AM,38,FALSE),"")</f>
        <v/>
      </c>
      <c r="AM1013" s="14" t="str">
        <f>IFERROR(VLOOKUP($A1013,koronahun!$A:$AM,39,FALSE),"")</f>
        <v/>
      </c>
      <c r="AN1013" s="11">
        <f ca="1">IFERROR(__xludf.DUMMYFUNCTION("""COMPUTED_VALUE"""),44905)</f>
        <v>44905</v>
      </c>
      <c r="AO1013" s="12">
        <f ca="1">IFERROR(VLOOKUP(AN1013,koronahun!A:B,2,FALSE),"")</f>
        <v>0</v>
      </c>
      <c r="AP1013" s="11">
        <f t="shared" ca="1" si="6"/>
        <v>44905</v>
      </c>
      <c r="AQ1013" s="11"/>
      <c r="AR1013" s="11"/>
      <c r="AS1013" s="11"/>
      <c r="AT1013" s="11"/>
    </row>
    <row r="1014" spans="1:46" ht="13">
      <c r="A1014" s="11"/>
      <c r="B1014" t="str">
        <f>IFERROR(VLOOKUP($A1014,koronahun!$A:$AM,2,FALSE),"")</f>
        <v/>
      </c>
      <c r="C1014" t="str">
        <f>IFERROR(VLOOKUP($A1014,koronahun!$A:$AM,3,FALSE),"")</f>
        <v/>
      </c>
      <c r="D1014" t="str">
        <f>IFERROR(VLOOKUP($A1014,koronahun!$A:$AM,4,FALSE),"")</f>
        <v/>
      </c>
      <c r="E1014" t="str">
        <f>IFERROR(VLOOKUP($A1014,koronahun!$A:$AM,5,FALSE),"")</f>
        <v/>
      </c>
      <c r="F1014" t="str">
        <f>IFERROR(VLOOKUP($A1014,koronahun!$A:$AM,6,FALSE),"")</f>
        <v/>
      </c>
      <c r="G1014" s="12" t="str">
        <f>IFERROR(VLOOKUP($A1014,koronahun!$A:$AM,7,FALSE),"")</f>
        <v/>
      </c>
      <c r="H1014" t="str">
        <f>IFERROR(VLOOKUP($A1014,koronahun!$A:$AM,8,FALSE),"")</f>
        <v/>
      </c>
      <c r="I1014" s="13" t="str">
        <f>IFERROR(VLOOKUP($A1014,koronahun!$A:$AM,9,FALSE),"")</f>
        <v/>
      </c>
      <c r="J1014" s="13" t="str">
        <f>IFERROR(VLOOKUP($A1014,koronahun!$A:$AM,10,FALSE),"")</f>
        <v/>
      </c>
      <c r="K1014" s="13" t="str">
        <f>IFERROR(VLOOKUP($A1014,koronahun!$A:$AM,11,FALSE),"")</f>
        <v/>
      </c>
      <c r="L1014" t="str">
        <f>IFERROR(VLOOKUP($A1014,koronahun!$A:$AM,12,FALSE),"")</f>
        <v/>
      </c>
      <c r="M1014" s="13" t="str">
        <f>IFERROR(VLOOKUP($A1014,koronahun!$A:$AM,13,FALSE),"")</f>
        <v/>
      </c>
      <c r="N1014" s="13" t="str">
        <f>IFERROR(VLOOKUP($A1014,koronahun!$A:$AM,14,FALSE),"")</f>
        <v/>
      </c>
      <c r="O1014" t="str">
        <f>IFERROR(VLOOKUP($A1014,koronahun!$A:$AM,15,FALSE),"")</f>
        <v/>
      </c>
      <c r="P1014" t="str">
        <f>IFERROR(VLOOKUP($A1014,koronahun!$A:$AM,16,FALSE),"")</f>
        <v/>
      </c>
      <c r="Q1014" s="13" t="str">
        <f>IFERROR(VLOOKUP($A1014,koronahun!$A:$AM,17,FALSE),"")</f>
        <v/>
      </c>
      <c r="R1014" t="str">
        <f>IFERROR(VLOOKUP($A1014,koronahun!$A:$AM,18,FALSE),"")</f>
        <v/>
      </c>
      <c r="S1014" t="str">
        <f>IFERROR(VLOOKUP($A1014,koronahun!$A:$AM,19,FALSE),"")</f>
        <v/>
      </c>
      <c r="T1014" t="str">
        <f>IFERROR(VLOOKUP($A1014,koronahun!$A:$AM,20,FALSE),"")</f>
        <v/>
      </c>
      <c r="U1014" t="str">
        <f>IFERROR(VLOOKUP($A1014,koronahun!$A:$AM,21,FALSE),"")</f>
        <v/>
      </c>
      <c r="V1014" s="13" t="str">
        <f>IFERROR(VLOOKUP($A1014,koronahun!$A:$AM,22,FALSE),"")</f>
        <v/>
      </c>
      <c r="W1014" t="str">
        <f>IFERROR(VLOOKUP($A1014,koronahun!$A:$AM,23,FALSE),"")</f>
        <v/>
      </c>
      <c r="X1014" t="str">
        <f>IFERROR(VLOOKUP($A1014,koronahun!$A:$AM,24,FALSE),"")</f>
        <v/>
      </c>
      <c r="Y1014" s="14" t="str">
        <f>IFERROR(VLOOKUP($A1014,koronahun!$A:$AM,25,FALSE),"")</f>
        <v/>
      </c>
      <c r="Z1014" s="14" t="str">
        <f>IFERROR(VLOOKUP($A1014,koronahun!$A:$AM,26,FALSE),"")</f>
        <v/>
      </c>
      <c r="AA1014" s="14" t="str">
        <f>IFERROR(VLOOKUP($A1014,koronahun!$A:$AM,27,FALSE),"")</f>
        <v/>
      </c>
      <c r="AB1014" s="14" t="str">
        <f>IFERROR(VLOOKUP($A1014,koronahun!$A:$AM,28,FALSE),"")</f>
        <v/>
      </c>
      <c r="AC1014" s="14" t="str">
        <f>IFERROR(VLOOKUP($A1014,koronahun!$A:$AM,29,FALSE),"")</f>
        <v/>
      </c>
      <c r="AD1014" s="14" t="str">
        <f>IFERROR(VLOOKUP($A1014,koronahun!$A:$AM,30,FALSE),"")</f>
        <v/>
      </c>
      <c r="AE1014" s="14" t="str">
        <f>IFERROR(VLOOKUP($A1014,koronahun!$A:$AM,31,FALSE),"")</f>
        <v/>
      </c>
      <c r="AF1014" s="13" t="str">
        <f>IFERROR(VLOOKUP($A1014,koronahun!$A:$AM,32,FALSE),"")</f>
        <v/>
      </c>
      <c r="AG1014" t="str">
        <f>IFERROR(VLOOKUP($A1014,koronahun!$A:$AM,33,FALSE),"")</f>
        <v/>
      </c>
      <c r="AH1014" t="str">
        <f>IFERROR(VLOOKUP($A1014,koronahun!$A:$AM,34,FALSE),"")</f>
        <v/>
      </c>
      <c r="AI1014" t="str">
        <f>IFERROR(VLOOKUP($A1014,koronahun!$A:$AM,35,FALSE),"")</f>
        <v/>
      </c>
      <c r="AJ1014" t="str">
        <f>IFERROR(VLOOKUP($A1014,koronahun!$A:$AM,36,FALSE),"")</f>
        <v/>
      </c>
      <c r="AK1014" t="str">
        <f>IFERROR(VLOOKUP($A1014,koronahun!$A:$AM,37,FALSE),"")</f>
        <v/>
      </c>
      <c r="AL1014" t="str">
        <f>IFERROR(VLOOKUP($A1014,koronahun!$A:$AM,38,FALSE),"")</f>
        <v/>
      </c>
      <c r="AM1014" s="14" t="str">
        <f>IFERROR(VLOOKUP($A1014,koronahun!$A:$AM,39,FALSE),"")</f>
        <v/>
      </c>
      <c r="AN1014" s="11">
        <f ca="1">IFERROR(__xludf.DUMMYFUNCTION("""COMPUTED_VALUE"""),44906)</f>
        <v>44906</v>
      </c>
      <c r="AO1014" s="12">
        <f ca="1">IFERROR(VLOOKUP(AN1014,koronahun!A:B,2,FALSE),"")</f>
        <v>0</v>
      </c>
      <c r="AP1014" s="11">
        <f t="shared" ca="1" si="6"/>
        <v>44906</v>
      </c>
      <c r="AQ1014" s="11"/>
      <c r="AR1014" s="11"/>
      <c r="AS1014" s="11"/>
      <c r="AT1014" s="11"/>
    </row>
    <row r="1015" spans="1:46" ht="13">
      <c r="A1015" s="11"/>
      <c r="B1015" t="str">
        <f>IFERROR(VLOOKUP($A1015,koronahun!$A:$AM,2,FALSE),"")</f>
        <v/>
      </c>
      <c r="C1015" t="str">
        <f>IFERROR(VLOOKUP($A1015,koronahun!$A:$AM,3,FALSE),"")</f>
        <v/>
      </c>
      <c r="D1015" t="str">
        <f>IFERROR(VLOOKUP($A1015,koronahun!$A:$AM,4,FALSE),"")</f>
        <v/>
      </c>
      <c r="E1015" t="str">
        <f>IFERROR(VLOOKUP($A1015,koronahun!$A:$AM,5,FALSE),"")</f>
        <v/>
      </c>
      <c r="F1015" t="str">
        <f>IFERROR(VLOOKUP($A1015,koronahun!$A:$AM,6,FALSE),"")</f>
        <v/>
      </c>
      <c r="G1015" s="12" t="str">
        <f>IFERROR(VLOOKUP($A1015,koronahun!$A:$AM,7,FALSE),"")</f>
        <v/>
      </c>
      <c r="H1015" t="str">
        <f>IFERROR(VLOOKUP($A1015,koronahun!$A:$AM,8,FALSE),"")</f>
        <v/>
      </c>
      <c r="I1015" s="13" t="str">
        <f>IFERROR(VLOOKUP($A1015,koronahun!$A:$AM,9,FALSE),"")</f>
        <v/>
      </c>
      <c r="J1015" s="13" t="str">
        <f>IFERROR(VLOOKUP($A1015,koronahun!$A:$AM,10,FALSE),"")</f>
        <v/>
      </c>
      <c r="K1015" s="13" t="str">
        <f>IFERROR(VLOOKUP($A1015,koronahun!$A:$AM,11,FALSE),"")</f>
        <v/>
      </c>
      <c r="L1015" t="str">
        <f>IFERROR(VLOOKUP($A1015,koronahun!$A:$AM,12,FALSE),"")</f>
        <v/>
      </c>
      <c r="M1015" s="13" t="str">
        <f>IFERROR(VLOOKUP($A1015,koronahun!$A:$AM,13,FALSE),"")</f>
        <v/>
      </c>
      <c r="N1015" s="13" t="str">
        <f>IFERROR(VLOOKUP($A1015,koronahun!$A:$AM,14,FALSE),"")</f>
        <v/>
      </c>
      <c r="O1015" t="str">
        <f>IFERROR(VLOOKUP($A1015,koronahun!$A:$AM,15,FALSE),"")</f>
        <v/>
      </c>
      <c r="P1015" t="str">
        <f>IFERROR(VLOOKUP($A1015,koronahun!$A:$AM,16,FALSE),"")</f>
        <v/>
      </c>
      <c r="Q1015" s="13" t="str">
        <f>IFERROR(VLOOKUP($A1015,koronahun!$A:$AM,17,FALSE),"")</f>
        <v/>
      </c>
      <c r="R1015" t="str">
        <f>IFERROR(VLOOKUP($A1015,koronahun!$A:$AM,18,FALSE),"")</f>
        <v/>
      </c>
      <c r="S1015" t="str">
        <f>IFERROR(VLOOKUP($A1015,koronahun!$A:$AM,19,FALSE),"")</f>
        <v/>
      </c>
      <c r="T1015" t="str">
        <f>IFERROR(VLOOKUP($A1015,koronahun!$A:$AM,20,FALSE),"")</f>
        <v/>
      </c>
      <c r="U1015" t="str">
        <f>IFERROR(VLOOKUP($A1015,koronahun!$A:$AM,21,FALSE),"")</f>
        <v/>
      </c>
      <c r="V1015" s="13" t="str">
        <f>IFERROR(VLOOKUP($A1015,koronahun!$A:$AM,22,FALSE),"")</f>
        <v/>
      </c>
      <c r="W1015" t="str">
        <f>IFERROR(VLOOKUP($A1015,koronahun!$A:$AM,23,FALSE),"")</f>
        <v/>
      </c>
      <c r="X1015" t="str">
        <f>IFERROR(VLOOKUP($A1015,koronahun!$A:$AM,24,FALSE),"")</f>
        <v/>
      </c>
      <c r="Y1015" s="14" t="str">
        <f>IFERROR(VLOOKUP($A1015,koronahun!$A:$AM,25,FALSE),"")</f>
        <v/>
      </c>
      <c r="Z1015" s="14" t="str">
        <f>IFERROR(VLOOKUP($A1015,koronahun!$A:$AM,26,FALSE),"")</f>
        <v/>
      </c>
      <c r="AA1015" s="14" t="str">
        <f>IFERROR(VLOOKUP($A1015,koronahun!$A:$AM,27,FALSE),"")</f>
        <v/>
      </c>
      <c r="AB1015" s="14" t="str">
        <f>IFERROR(VLOOKUP($A1015,koronahun!$A:$AM,28,FALSE),"")</f>
        <v/>
      </c>
      <c r="AC1015" s="14" t="str">
        <f>IFERROR(VLOOKUP($A1015,koronahun!$A:$AM,29,FALSE),"")</f>
        <v/>
      </c>
      <c r="AD1015" s="14" t="str">
        <f>IFERROR(VLOOKUP($A1015,koronahun!$A:$AM,30,FALSE),"")</f>
        <v/>
      </c>
      <c r="AE1015" s="14" t="str">
        <f>IFERROR(VLOOKUP($A1015,koronahun!$A:$AM,31,FALSE),"")</f>
        <v/>
      </c>
      <c r="AF1015" s="13" t="str">
        <f>IFERROR(VLOOKUP($A1015,koronahun!$A:$AM,32,FALSE),"")</f>
        <v/>
      </c>
      <c r="AG1015" t="str">
        <f>IFERROR(VLOOKUP($A1015,koronahun!$A:$AM,33,FALSE),"")</f>
        <v/>
      </c>
      <c r="AH1015" t="str">
        <f>IFERROR(VLOOKUP($A1015,koronahun!$A:$AM,34,FALSE),"")</f>
        <v/>
      </c>
      <c r="AI1015" t="str">
        <f>IFERROR(VLOOKUP($A1015,koronahun!$A:$AM,35,FALSE),"")</f>
        <v/>
      </c>
      <c r="AJ1015" t="str">
        <f>IFERROR(VLOOKUP($A1015,koronahun!$A:$AM,36,FALSE),"")</f>
        <v/>
      </c>
      <c r="AK1015" t="str">
        <f>IFERROR(VLOOKUP($A1015,koronahun!$A:$AM,37,FALSE),"")</f>
        <v/>
      </c>
      <c r="AL1015" t="str">
        <f>IFERROR(VLOOKUP($A1015,koronahun!$A:$AM,38,FALSE),"")</f>
        <v/>
      </c>
      <c r="AM1015" s="14" t="str">
        <f>IFERROR(VLOOKUP($A1015,koronahun!$A:$AM,39,FALSE),"")</f>
        <v/>
      </c>
      <c r="AN1015" s="11">
        <f ca="1">IFERROR(__xludf.DUMMYFUNCTION("""COMPUTED_VALUE"""),44907)</f>
        <v>44907</v>
      </c>
      <c r="AO1015" s="12">
        <f ca="1">IFERROR(VLOOKUP(AN1015,koronahun!A:B,2,FALSE),"")</f>
        <v>0</v>
      </c>
      <c r="AP1015" s="11">
        <f t="shared" ca="1" si="6"/>
        <v>44907</v>
      </c>
      <c r="AQ1015" s="11"/>
      <c r="AR1015" s="11"/>
      <c r="AS1015" s="11"/>
      <c r="AT1015" s="11"/>
    </row>
    <row r="1016" spans="1:46" ht="13">
      <c r="A1016" s="11"/>
      <c r="B1016" t="str">
        <f>IFERROR(VLOOKUP($A1016,koronahun!$A:$AM,2,FALSE),"")</f>
        <v/>
      </c>
      <c r="C1016" t="str">
        <f>IFERROR(VLOOKUP($A1016,koronahun!$A:$AM,3,FALSE),"")</f>
        <v/>
      </c>
      <c r="D1016" t="str">
        <f>IFERROR(VLOOKUP($A1016,koronahun!$A:$AM,4,FALSE),"")</f>
        <v/>
      </c>
      <c r="E1016" t="str">
        <f>IFERROR(VLOOKUP($A1016,koronahun!$A:$AM,5,FALSE),"")</f>
        <v/>
      </c>
      <c r="F1016" t="str">
        <f>IFERROR(VLOOKUP($A1016,koronahun!$A:$AM,6,FALSE),"")</f>
        <v/>
      </c>
      <c r="G1016" s="12" t="str">
        <f>IFERROR(VLOOKUP($A1016,koronahun!$A:$AM,7,FALSE),"")</f>
        <v/>
      </c>
      <c r="H1016" t="str">
        <f>IFERROR(VLOOKUP($A1016,koronahun!$A:$AM,8,FALSE),"")</f>
        <v/>
      </c>
      <c r="I1016" s="13" t="str">
        <f>IFERROR(VLOOKUP($A1016,koronahun!$A:$AM,9,FALSE),"")</f>
        <v/>
      </c>
      <c r="J1016" s="13" t="str">
        <f>IFERROR(VLOOKUP($A1016,koronahun!$A:$AM,10,FALSE),"")</f>
        <v/>
      </c>
      <c r="K1016" s="13" t="str">
        <f>IFERROR(VLOOKUP($A1016,koronahun!$A:$AM,11,FALSE),"")</f>
        <v/>
      </c>
      <c r="L1016" t="str">
        <f>IFERROR(VLOOKUP($A1016,koronahun!$A:$AM,12,FALSE),"")</f>
        <v/>
      </c>
      <c r="M1016" s="13" t="str">
        <f>IFERROR(VLOOKUP($A1016,koronahun!$A:$AM,13,FALSE),"")</f>
        <v/>
      </c>
      <c r="N1016" s="13" t="str">
        <f>IFERROR(VLOOKUP($A1016,koronahun!$A:$AM,14,FALSE),"")</f>
        <v/>
      </c>
      <c r="O1016" t="str">
        <f>IFERROR(VLOOKUP($A1016,koronahun!$A:$AM,15,FALSE),"")</f>
        <v/>
      </c>
      <c r="P1016" t="str">
        <f>IFERROR(VLOOKUP($A1016,koronahun!$A:$AM,16,FALSE),"")</f>
        <v/>
      </c>
      <c r="Q1016" s="13" t="str">
        <f>IFERROR(VLOOKUP($A1016,koronahun!$A:$AM,17,FALSE),"")</f>
        <v/>
      </c>
      <c r="R1016" t="str">
        <f>IFERROR(VLOOKUP($A1016,koronahun!$A:$AM,18,FALSE),"")</f>
        <v/>
      </c>
      <c r="S1016" t="str">
        <f>IFERROR(VLOOKUP($A1016,koronahun!$A:$AM,19,FALSE),"")</f>
        <v/>
      </c>
      <c r="T1016" t="str">
        <f>IFERROR(VLOOKUP($A1016,koronahun!$A:$AM,20,FALSE),"")</f>
        <v/>
      </c>
      <c r="U1016" t="str">
        <f>IFERROR(VLOOKUP($A1016,koronahun!$A:$AM,21,FALSE),"")</f>
        <v/>
      </c>
      <c r="V1016" s="13" t="str">
        <f>IFERROR(VLOOKUP($A1016,koronahun!$A:$AM,22,FALSE),"")</f>
        <v/>
      </c>
      <c r="W1016" t="str">
        <f>IFERROR(VLOOKUP($A1016,koronahun!$A:$AM,23,FALSE),"")</f>
        <v/>
      </c>
      <c r="X1016" t="str">
        <f>IFERROR(VLOOKUP($A1016,koronahun!$A:$AM,24,FALSE),"")</f>
        <v/>
      </c>
      <c r="Y1016" s="14" t="str">
        <f>IFERROR(VLOOKUP($A1016,koronahun!$A:$AM,25,FALSE),"")</f>
        <v/>
      </c>
      <c r="Z1016" s="14" t="str">
        <f>IFERROR(VLOOKUP($A1016,koronahun!$A:$AM,26,FALSE),"")</f>
        <v/>
      </c>
      <c r="AA1016" s="14" t="str">
        <f>IFERROR(VLOOKUP($A1016,koronahun!$A:$AM,27,FALSE),"")</f>
        <v/>
      </c>
      <c r="AB1016" s="14" t="str">
        <f>IFERROR(VLOOKUP($A1016,koronahun!$A:$AM,28,FALSE),"")</f>
        <v/>
      </c>
      <c r="AC1016" s="14" t="str">
        <f>IFERROR(VLOOKUP($A1016,koronahun!$A:$AM,29,FALSE),"")</f>
        <v/>
      </c>
      <c r="AD1016" s="14" t="str">
        <f>IFERROR(VLOOKUP($A1016,koronahun!$A:$AM,30,FALSE),"")</f>
        <v/>
      </c>
      <c r="AE1016" s="14" t="str">
        <f>IFERROR(VLOOKUP($A1016,koronahun!$A:$AM,31,FALSE),"")</f>
        <v/>
      </c>
      <c r="AF1016" s="13" t="str">
        <f>IFERROR(VLOOKUP($A1016,koronahun!$A:$AM,32,FALSE),"")</f>
        <v/>
      </c>
      <c r="AG1016" t="str">
        <f>IFERROR(VLOOKUP($A1016,koronahun!$A:$AM,33,FALSE),"")</f>
        <v/>
      </c>
      <c r="AH1016" t="str">
        <f>IFERROR(VLOOKUP($A1016,koronahun!$A:$AM,34,FALSE),"")</f>
        <v/>
      </c>
      <c r="AI1016" t="str">
        <f>IFERROR(VLOOKUP($A1016,koronahun!$A:$AM,35,FALSE),"")</f>
        <v/>
      </c>
      <c r="AJ1016" t="str">
        <f>IFERROR(VLOOKUP($A1016,koronahun!$A:$AM,36,FALSE),"")</f>
        <v/>
      </c>
      <c r="AK1016" t="str">
        <f>IFERROR(VLOOKUP($A1016,koronahun!$A:$AM,37,FALSE),"")</f>
        <v/>
      </c>
      <c r="AL1016" t="str">
        <f>IFERROR(VLOOKUP($A1016,koronahun!$A:$AM,38,FALSE),"")</f>
        <v/>
      </c>
      <c r="AM1016" s="14" t="str">
        <f>IFERROR(VLOOKUP($A1016,koronahun!$A:$AM,39,FALSE),"")</f>
        <v/>
      </c>
      <c r="AN1016" s="11">
        <f ca="1">IFERROR(__xludf.DUMMYFUNCTION("""COMPUTED_VALUE"""),44908)</f>
        <v>44908</v>
      </c>
      <c r="AO1016" s="12">
        <f ca="1">IFERROR(VLOOKUP(AN1016,koronahun!A:B,2,FALSE),"")</f>
        <v>0</v>
      </c>
      <c r="AP1016" s="11">
        <f t="shared" ca="1" si="6"/>
        <v>44908</v>
      </c>
      <c r="AQ1016" s="11"/>
      <c r="AR1016" s="11"/>
      <c r="AS1016" s="11"/>
      <c r="AT1016" s="11"/>
    </row>
    <row r="1017" spans="1:46" ht="13">
      <c r="A1017" s="11"/>
      <c r="B1017" t="str">
        <f>IFERROR(VLOOKUP($A1017,koronahun!$A:$AM,2,FALSE),"")</f>
        <v/>
      </c>
      <c r="C1017" t="str">
        <f>IFERROR(VLOOKUP($A1017,koronahun!$A:$AM,3,FALSE),"")</f>
        <v/>
      </c>
      <c r="D1017" t="str">
        <f>IFERROR(VLOOKUP($A1017,koronahun!$A:$AM,4,FALSE),"")</f>
        <v/>
      </c>
      <c r="E1017" t="str">
        <f>IFERROR(VLOOKUP($A1017,koronahun!$A:$AM,5,FALSE),"")</f>
        <v/>
      </c>
      <c r="F1017" t="str">
        <f>IFERROR(VLOOKUP($A1017,koronahun!$A:$AM,6,FALSE),"")</f>
        <v/>
      </c>
      <c r="G1017" s="12" t="str">
        <f>IFERROR(VLOOKUP($A1017,koronahun!$A:$AM,7,FALSE),"")</f>
        <v/>
      </c>
      <c r="H1017" t="str">
        <f>IFERROR(VLOOKUP($A1017,koronahun!$A:$AM,8,FALSE),"")</f>
        <v/>
      </c>
      <c r="I1017" s="13" t="str">
        <f>IFERROR(VLOOKUP($A1017,koronahun!$A:$AM,9,FALSE),"")</f>
        <v/>
      </c>
      <c r="J1017" s="13" t="str">
        <f>IFERROR(VLOOKUP($A1017,koronahun!$A:$AM,10,FALSE),"")</f>
        <v/>
      </c>
      <c r="K1017" s="13" t="str">
        <f>IFERROR(VLOOKUP($A1017,koronahun!$A:$AM,11,FALSE),"")</f>
        <v/>
      </c>
      <c r="L1017" t="str">
        <f>IFERROR(VLOOKUP($A1017,koronahun!$A:$AM,12,FALSE),"")</f>
        <v/>
      </c>
      <c r="M1017" s="13" t="str">
        <f>IFERROR(VLOOKUP($A1017,koronahun!$A:$AM,13,FALSE),"")</f>
        <v/>
      </c>
      <c r="N1017" s="13" t="str">
        <f>IFERROR(VLOOKUP($A1017,koronahun!$A:$AM,14,FALSE),"")</f>
        <v/>
      </c>
      <c r="O1017" t="str">
        <f>IFERROR(VLOOKUP($A1017,koronahun!$A:$AM,15,FALSE),"")</f>
        <v/>
      </c>
      <c r="P1017" t="str">
        <f>IFERROR(VLOOKUP($A1017,koronahun!$A:$AM,16,FALSE),"")</f>
        <v/>
      </c>
      <c r="Q1017" s="13" t="str">
        <f>IFERROR(VLOOKUP($A1017,koronahun!$A:$AM,17,FALSE),"")</f>
        <v/>
      </c>
      <c r="R1017" t="str">
        <f>IFERROR(VLOOKUP($A1017,koronahun!$A:$AM,18,FALSE),"")</f>
        <v/>
      </c>
      <c r="S1017" t="str">
        <f>IFERROR(VLOOKUP($A1017,koronahun!$A:$AM,19,FALSE),"")</f>
        <v/>
      </c>
      <c r="T1017" t="str">
        <f>IFERROR(VLOOKUP($A1017,koronahun!$A:$AM,20,FALSE),"")</f>
        <v/>
      </c>
      <c r="U1017" t="str">
        <f>IFERROR(VLOOKUP($A1017,koronahun!$A:$AM,21,FALSE),"")</f>
        <v/>
      </c>
      <c r="V1017" s="13" t="str">
        <f>IFERROR(VLOOKUP($A1017,koronahun!$A:$AM,22,FALSE),"")</f>
        <v/>
      </c>
      <c r="W1017" t="str">
        <f>IFERROR(VLOOKUP($A1017,koronahun!$A:$AM,23,FALSE),"")</f>
        <v/>
      </c>
      <c r="X1017" t="str">
        <f>IFERROR(VLOOKUP($A1017,koronahun!$A:$AM,24,FALSE),"")</f>
        <v/>
      </c>
      <c r="Y1017" s="14" t="str">
        <f>IFERROR(VLOOKUP($A1017,koronahun!$A:$AM,25,FALSE),"")</f>
        <v/>
      </c>
      <c r="Z1017" s="14" t="str">
        <f>IFERROR(VLOOKUP($A1017,koronahun!$A:$AM,26,FALSE),"")</f>
        <v/>
      </c>
      <c r="AA1017" s="14" t="str">
        <f>IFERROR(VLOOKUP($A1017,koronahun!$A:$AM,27,FALSE),"")</f>
        <v/>
      </c>
      <c r="AB1017" s="14" t="str">
        <f>IFERROR(VLOOKUP($A1017,koronahun!$A:$AM,28,FALSE),"")</f>
        <v/>
      </c>
      <c r="AC1017" s="14" t="str">
        <f>IFERROR(VLOOKUP($A1017,koronahun!$A:$AM,29,FALSE),"")</f>
        <v/>
      </c>
      <c r="AD1017" s="14" t="str">
        <f>IFERROR(VLOOKUP($A1017,koronahun!$A:$AM,30,FALSE),"")</f>
        <v/>
      </c>
      <c r="AE1017" s="14" t="str">
        <f>IFERROR(VLOOKUP($A1017,koronahun!$A:$AM,31,FALSE),"")</f>
        <v/>
      </c>
      <c r="AF1017" s="13" t="str">
        <f>IFERROR(VLOOKUP($A1017,koronahun!$A:$AM,32,FALSE),"")</f>
        <v/>
      </c>
      <c r="AG1017" t="str">
        <f>IFERROR(VLOOKUP($A1017,koronahun!$A:$AM,33,FALSE),"")</f>
        <v/>
      </c>
      <c r="AH1017" t="str">
        <f>IFERROR(VLOOKUP($A1017,koronahun!$A:$AM,34,FALSE),"")</f>
        <v/>
      </c>
      <c r="AI1017" t="str">
        <f>IFERROR(VLOOKUP($A1017,koronahun!$A:$AM,35,FALSE),"")</f>
        <v/>
      </c>
      <c r="AJ1017" t="str">
        <f>IFERROR(VLOOKUP($A1017,koronahun!$A:$AM,36,FALSE),"")</f>
        <v/>
      </c>
      <c r="AK1017" t="str">
        <f>IFERROR(VLOOKUP($A1017,koronahun!$A:$AM,37,FALSE),"")</f>
        <v/>
      </c>
      <c r="AL1017" t="str">
        <f>IFERROR(VLOOKUP($A1017,koronahun!$A:$AM,38,FALSE),"")</f>
        <v/>
      </c>
      <c r="AM1017" s="14" t="str">
        <f>IFERROR(VLOOKUP($A1017,koronahun!$A:$AM,39,FALSE),"")</f>
        <v/>
      </c>
      <c r="AN1017" s="11">
        <f ca="1">IFERROR(__xludf.DUMMYFUNCTION("""COMPUTED_VALUE"""),44909)</f>
        <v>44909</v>
      </c>
      <c r="AO1017" s="12">
        <f ca="1">IFERROR(VLOOKUP(AN1017,koronahun!A:B,2,FALSE),"")</f>
        <v>2176249</v>
      </c>
      <c r="AP1017" s="11">
        <f t="shared" ca="1" si="6"/>
        <v>44909</v>
      </c>
      <c r="AQ1017" s="11"/>
      <c r="AR1017" s="11"/>
      <c r="AS1017" s="11"/>
      <c r="AT1017" s="11"/>
    </row>
    <row r="1018" spans="1:46" ht="13">
      <c r="A1018" s="11"/>
      <c r="B1018" t="str">
        <f>IFERROR(VLOOKUP($A1018,koronahun!$A:$AM,2,FALSE),"")</f>
        <v/>
      </c>
      <c r="C1018" t="str">
        <f>IFERROR(VLOOKUP($A1018,koronahun!$A:$AM,3,FALSE),"")</f>
        <v/>
      </c>
      <c r="D1018" t="str">
        <f>IFERROR(VLOOKUP($A1018,koronahun!$A:$AM,4,FALSE),"")</f>
        <v/>
      </c>
      <c r="E1018" t="str">
        <f>IFERROR(VLOOKUP($A1018,koronahun!$A:$AM,5,FALSE),"")</f>
        <v/>
      </c>
      <c r="F1018" t="str">
        <f>IFERROR(VLOOKUP($A1018,koronahun!$A:$AM,6,FALSE),"")</f>
        <v/>
      </c>
      <c r="G1018" s="12" t="str">
        <f>IFERROR(VLOOKUP($A1018,koronahun!$A:$AM,7,FALSE),"")</f>
        <v/>
      </c>
      <c r="H1018" t="str">
        <f>IFERROR(VLOOKUP($A1018,koronahun!$A:$AM,8,FALSE),"")</f>
        <v/>
      </c>
      <c r="I1018" s="13" t="str">
        <f>IFERROR(VLOOKUP($A1018,koronahun!$A:$AM,9,FALSE),"")</f>
        <v/>
      </c>
      <c r="J1018" s="13" t="str">
        <f>IFERROR(VLOOKUP($A1018,koronahun!$A:$AM,10,FALSE),"")</f>
        <v/>
      </c>
      <c r="K1018" s="13" t="str">
        <f>IFERROR(VLOOKUP($A1018,koronahun!$A:$AM,11,FALSE),"")</f>
        <v/>
      </c>
      <c r="L1018" t="str">
        <f>IFERROR(VLOOKUP($A1018,koronahun!$A:$AM,12,FALSE),"")</f>
        <v/>
      </c>
      <c r="M1018" s="13" t="str">
        <f>IFERROR(VLOOKUP($A1018,koronahun!$A:$AM,13,FALSE),"")</f>
        <v/>
      </c>
      <c r="N1018" s="13" t="str">
        <f>IFERROR(VLOOKUP($A1018,koronahun!$A:$AM,14,FALSE),"")</f>
        <v/>
      </c>
      <c r="O1018" t="str">
        <f>IFERROR(VLOOKUP($A1018,koronahun!$A:$AM,15,FALSE),"")</f>
        <v/>
      </c>
      <c r="P1018" t="str">
        <f>IFERROR(VLOOKUP($A1018,koronahun!$A:$AM,16,FALSE),"")</f>
        <v/>
      </c>
      <c r="Q1018" s="13" t="str">
        <f>IFERROR(VLOOKUP($A1018,koronahun!$A:$AM,17,FALSE),"")</f>
        <v/>
      </c>
      <c r="R1018" t="str">
        <f>IFERROR(VLOOKUP($A1018,koronahun!$A:$AM,18,FALSE),"")</f>
        <v/>
      </c>
      <c r="S1018" t="str">
        <f>IFERROR(VLOOKUP($A1018,koronahun!$A:$AM,19,FALSE),"")</f>
        <v/>
      </c>
      <c r="T1018" t="str">
        <f>IFERROR(VLOOKUP($A1018,koronahun!$A:$AM,20,FALSE),"")</f>
        <v/>
      </c>
      <c r="U1018" t="str">
        <f>IFERROR(VLOOKUP($A1018,koronahun!$A:$AM,21,FALSE),"")</f>
        <v/>
      </c>
      <c r="V1018" s="13" t="str">
        <f>IFERROR(VLOOKUP($A1018,koronahun!$A:$AM,22,FALSE),"")</f>
        <v/>
      </c>
      <c r="W1018" t="str">
        <f>IFERROR(VLOOKUP($A1018,koronahun!$A:$AM,23,FALSE),"")</f>
        <v/>
      </c>
      <c r="X1018" t="str">
        <f>IFERROR(VLOOKUP($A1018,koronahun!$A:$AM,24,FALSE),"")</f>
        <v/>
      </c>
      <c r="Y1018" s="14" t="str">
        <f>IFERROR(VLOOKUP($A1018,koronahun!$A:$AM,25,FALSE),"")</f>
        <v/>
      </c>
      <c r="Z1018" s="14" t="str">
        <f>IFERROR(VLOOKUP($A1018,koronahun!$A:$AM,26,FALSE),"")</f>
        <v/>
      </c>
      <c r="AA1018" s="14" t="str">
        <f>IFERROR(VLOOKUP($A1018,koronahun!$A:$AM,27,FALSE),"")</f>
        <v/>
      </c>
      <c r="AB1018" s="14" t="str">
        <f>IFERROR(VLOOKUP($A1018,koronahun!$A:$AM,28,FALSE),"")</f>
        <v/>
      </c>
      <c r="AC1018" s="14" t="str">
        <f>IFERROR(VLOOKUP($A1018,koronahun!$A:$AM,29,FALSE),"")</f>
        <v/>
      </c>
      <c r="AD1018" s="14" t="str">
        <f>IFERROR(VLOOKUP($A1018,koronahun!$A:$AM,30,FALSE),"")</f>
        <v/>
      </c>
      <c r="AE1018" s="14" t="str">
        <f>IFERROR(VLOOKUP($A1018,koronahun!$A:$AM,31,FALSE),"")</f>
        <v/>
      </c>
      <c r="AF1018" s="13" t="str">
        <f>IFERROR(VLOOKUP($A1018,koronahun!$A:$AM,32,FALSE),"")</f>
        <v/>
      </c>
      <c r="AG1018" t="str">
        <f>IFERROR(VLOOKUP($A1018,koronahun!$A:$AM,33,FALSE),"")</f>
        <v/>
      </c>
      <c r="AH1018" t="str">
        <f>IFERROR(VLOOKUP($A1018,koronahun!$A:$AM,34,FALSE),"")</f>
        <v/>
      </c>
      <c r="AI1018" t="str">
        <f>IFERROR(VLOOKUP($A1018,koronahun!$A:$AM,35,FALSE),"")</f>
        <v/>
      </c>
      <c r="AJ1018" t="str">
        <f>IFERROR(VLOOKUP($A1018,koronahun!$A:$AM,36,FALSE),"")</f>
        <v/>
      </c>
      <c r="AK1018" t="str">
        <f>IFERROR(VLOOKUP($A1018,koronahun!$A:$AM,37,FALSE),"")</f>
        <v/>
      </c>
      <c r="AL1018" t="str">
        <f>IFERROR(VLOOKUP($A1018,koronahun!$A:$AM,38,FALSE),"")</f>
        <v/>
      </c>
      <c r="AM1018" s="14" t="str">
        <f>IFERROR(VLOOKUP($A1018,koronahun!$A:$AM,39,FALSE),"")</f>
        <v/>
      </c>
      <c r="AN1018" s="11">
        <f ca="1">IFERROR(__xludf.DUMMYFUNCTION("""COMPUTED_VALUE"""),44910)</f>
        <v>44910</v>
      </c>
      <c r="AO1018" s="12">
        <f ca="1">IFERROR(VLOOKUP(AN1018,koronahun!A:B,2,FALSE),"")</f>
        <v>0</v>
      </c>
      <c r="AP1018" s="11">
        <f t="shared" ca="1" si="6"/>
        <v>44910</v>
      </c>
      <c r="AQ1018" s="11"/>
      <c r="AR1018" s="11"/>
      <c r="AS1018" s="11"/>
      <c r="AT1018" s="11"/>
    </row>
    <row r="1019" spans="1:46" ht="13">
      <c r="A1019" s="11"/>
      <c r="B1019" t="str">
        <f>IFERROR(VLOOKUP($A1019,koronahun!$A:$AM,2,FALSE),"")</f>
        <v/>
      </c>
      <c r="C1019" t="str">
        <f>IFERROR(VLOOKUP($A1019,koronahun!$A:$AM,3,FALSE),"")</f>
        <v/>
      </c>
      <c r="D1019" t="str">
        <f>IFERROR(VLOOKUP($A1019,koronahun!$A:$AM,4,FALSE),"")</f>
        <v/>
      </c>
      <c r="E1019" t="str">
        <f>IFERROR(VLOOKUP($A1019,koronahun!$A:$AM,5,FALSE),"")</f>
        <v/>
      </c>
      <c r="F1019" t="str">
        <f>IFERROR(VLOOKUP($A1019,koronahun!$A:$AM,6,FALSE),"")</f>
        <v/>
      </c>
      <c r="G1019" s="12" t="str">
        <f>IFERROR(VLOOKUP($A1019,koronahun!$A:$AM,7,FALSE),"")</f>
        <v/>
      </c>
      <c r="H1019" t="str">
        <f>IFERROR(VLOOKUP($A1019,koronahun!$A:$AM,8,FALSE),"")</f>
        <v/>
      </c>
      <c r="I1019" s="13" t="str">
        <f>IFERROR(VLOOKUP($A1019,koronahun!$A:$AM,9,FALSE),"")</f>
        <v/>
      </c>
      <c r="J1019" s="13" t="str">
        <f>IFERROR(VLOOKUP($A1019,koronahun!$A:$AM,10,FALSE),"")</f>
        <v/>
      </c>
      <c r="K1019" s="13" t="str">
        <f>IFERROR(VLOOKUP($A1019,koronahun!$A:$AM,11,FALSE),"")</f>
        <v/>
      </c>
      <c r="L1019" t="str">
        <f>IFERROR(VLOOKUP($A1019,koronahun!$A:$AM,12,FALSE),"")</f>
        <v/>
      </c>
      <c r="M1019" s="13" t="str">
        <f>IFERROR(VLOOKUP($A1019,koronahun!$A:$AM,13,FALSE),"")</f>
        <v/>
      </c>
      <c r="N1019" s="13" t="str">
        <f>IFERROR(VLOOKUP($A1019,koronahun!$A:$AM,14,FALSE),"")</f>
        <v/>
      </c>
      <c r="O1019" t="str">
        <f>IFERROR(VLOOKUP($A1019,koronahun!$A:$AM,15,FALSE),"")</f>
        <v/>
      </c>
      <c r="P1019" t="str">
        <f>IFERROR(VLOOKUP($A1019,koronahun!$A:$AM,16,FALSE),"")</f>
        <v/>
      </c>
      <c r="Q1019" s="13" t="str">
        <f>IFERROR(VLOOKUP($A1019,koronahun!$A:$AM,17,FALSE),"")</f>
        <v/>
      </c>
      <c r="R1019" t="str">
        <f>IFERROR(VLOOKUP($A1019,koronahun!$A:$AM,18,FALSE),"")</f>
        <v/>
      </c>
      <c r="S1019" t="str">
        <f>IFERROR(VLOOKUP($A1019,koronahun!$A:$AM,19,FALSE),"")</f>
        <v/>
      </c>
      <c r="T1019" t="str">
        <f>IFERROR(VLOOKUP($A1019,koronahun!$A:$AM,20,FALSE),"")</f>
        <v/>
      </c>
      <c r="U1019" t="str">
        <f>IFERROR(VLOOKUP($A1019,koronahun!$A:$AM,21,FALSE),"")</f>
        <v/>
      </c>
      <c r="V1019" s="13" t="str">
        <f>IFERROR(VLOOKUP($A1019,koronahun!$A:$AM,22,FALSE),"")</f>
        <v/>
      </c>
      <c r="W1019" t="str">
        <f>IFERROR(VLOOKUP($A1019,koronahun!$A:$AM,23,FALSE),"")</f>
        <v/>
      </c>
      <c r="X1019" t="str">
        <f>IFERROR(VLOOKUP($A1019,koronahun!$A:$AM,24,FALSE),"")</f>
        <v/>
      </c>
      <c r="Y1019" s="14" t="str">
        <f>IFERROR(VLOOKUP($A1019,koronahun!$A:$AM,25,FALSE),"")</f>
        <v/>
      </c>
      <c r="Z1019" s="14" t="str">
        <f>IFERROR(VLOOKUP($A1019,koronahun!$A:$AM,26,FALSE),"")</f>
        <v/>
      </c>
      <c r="AA1019" s="14" t="str">
        <f>IFERROR(VLOOKUP($A1019,koronahun!$A:$AM,27,FALSE),"")</f>
        <v/>
      </c>
      <c r="AB1019" s="14" t="str">
        <f>IFERROR(VLOOKUP($A1019,koronahun!$A:$AM,28,FALSE),"")</f>
        <v/>
      </c>
      <c r="AC1019" s="14" t="str">
        <f>IFERROR(VLOOKUP($A1019,koronahun!$A:$AM,29,FALSE),"")</f>
        <v/>
      </c>
      <c r="AD1019" s="14" t="str">
        <f>IFERROR(VLOOKUP($A1019,koronahun!$A:$AM,30,FALSE),"")</f>
        <v/>
      </c>
      <c r="AE1019" s="14" t="str">
        <f>IFERROR(VLOOKUP($A1019,koronahun!$A:$AM,31,FALSE),"")</f>
        <v/>
      </c>
      <c r="AF1019" s="13" t="str">
        <f>IFERROR(VLOOKUP($A1019,koronahun!$A:$AM,32,FALSE),"")</f>
        <v/>
      </c>
      <c r="AG1019" t="str">
        <f>IFERROR(VLOOKUP($A1019,koronahun!$A:$AM,33,FALSE),"")</f>
        <v/>
      </c>
      <c r="AH1019" t="str">
        <f>IFERROR(VLOOKUP($A1019,koronahun!$A:$AM,34,FALSE),"")</f>
        <v/>
      </c>
      <c r="AI1019" t="str">
        <f>IFERROR(VLOOKUP($A1019,koronahun!$A:$AM,35,FALSE),"")</f>
        <v/>
      </c>
      <c r="AJ1019" t="str">
        <f>IFERROR(VLOOKUP($A1019,koronahun!$A:$AM,36,FALSE),"")</f>
        <v/>
      </c>
      <c r="AK1019" t="str">
        <f>IFERROR(VLOOKUP($A1019,koronahun!$A:$AM,37,FALSE),"")</f>
        <v/>
      </c>
      <c r="AL1019" t="str">
        <f>IFERROR(VLOOKUP($A1019,koronahun!$A:$AM,38,FALSE),"")</f>
        <v/>
      </c>
      <c r="AM1019" s="14" t="str">
        <f>IFERROR(VLOOKUP($A1019,koronahun!$A:$AM,39,FALSE),"")</f>
        <v/>
      </c>
      <c r="AN1019" s="11">
        <f ca="1">IFERROR(__xludf.DUMMYFUNCTION("""COMPUTED_VALUE"""),44911)</f>
        <v>44911</v>
      </c>
      <c r="AO1019" s="12">
        <f ca="1">IFERROR(VLOOKUP(AN1019,koronahun!A:B,2,FALSE),"")</f>
        <v>0</v>
      </c>
      <c r="AP1019" s="11">
        <f t="shared" ca="1" si="6"/>
        <v>44911</v>
      </c>
      <c r="AQ1019" s="11"/>
      <c r="AR1019" s="11"/>
      <c r="AS1019" s="11"/>
      <c r="AT1019" s="11"/>
    </row>
    <row r="1020" spans="1:46" ht="13">
      <c r="A1020" s="11"/>
      <c r="B1020" t="str">
        <f>IFERROR(VLOOKUP($A1020,koronahun!$A:$AM,2,FALSE),"")</f>
        <v/>
      </c>
      <c r="C1020" t="str">
        <f>IFERROR(VLOOKUP($A1020,koronahun!$A:$AM,3,FALSE),"")</f>
        <v/>
      </c>
      <c r="D1020" t="str">
        <f>IFERROR(VLOOKUP($A1020,koronahun!$A:$AM,4,FALSE),"")</f>
        <v/>
      </c>
      <c r="E1020" t="str">
        <f>IFERROR(VLOOKUP($A1020,koronahun!$A:$AM,5,FALSE),"")</f>
        <v/>
      </c>
      <c r="F1020" t="str">
        <f>IFERROR(VLOOKUP($A1020,koronahun!$A:$AM,6,FALSE),"")</f>
        <v/>
      </c>
      <c r="G1020" s="12" t="str">
        <f>IFERROR(VLOOKUP($A1020,koronahun!$A:$AM,7,FALSE),"")</f>
        <v/>
      </c>
      <c r="H1020" t="str">
        <f>IFERROR(VLOOKUP($A1020,koronahun!$A:$AM,8,FALSE),"")</f>
        <v/>
      </c>
      <c r="I1020" s="13" t="str">
        <f>IFERROR(VLOOKUP($A1020,koronahun!$A:$AM,9,FALSE),"")</f>
        <v/>
      </c>
      <c r="J1020" s="13" t="str">
        <f>IFERROR(VLOOKUP($A1020,koronahun!$A:$AM,10,FALSE),"")</f>
        <v/>
      </c>
      <c r="K1020" s="13" t="str">
        <f>IFERROR(VLOOKUP($A1020,koronahun!$A:$AM,11,FALSE),"")</f>
        <v/>
      </c>
      <c r="L1020" t="str">
        <f>IFERROR(VLOOKUP($A1020,koronahun!$A:$AM,12,FALSE),"")</f>
        <v/>
      </c>
      <c r="M1020" s="13" t="str">
        <f>IFERROR(VLOOKUP($A1020,koronahun!$A:$AM,13,FALSE),"")</f>
        <v/>
      </c>
      <c r="N1020" s="13" t="str">
        <f>IFERROR(VLOOKUP($A1020,koronahun!$A:$AM,14,FALSE),"")</f>
        <v/>
      </c>
      <c r="O1020" t="str">
        <f>IFERROR(VLOOKUP($A1020,koronahun!$A:$AM,15,FALSE),"")</f>
        <v/>
      </c>
      <c r="P1020" t="str">
        <f>IFERROR(VLOOKUP($A1020,koronahun!$A:$AM,16,FALSE),"")</f>
        <v/>
      </c>
      <c r="Q1020" s="13" t="str">
        <f>IFERROR(VLOOKUP($A1020,koronahun!$A:$AM,17,FALSE),"")</f>
        <v/>
      </c>
      <c r="R1020" t="str">
        <f>IFERROR(VLOOKUP($A1020,koronahun!$A:$AM,18,FALSE),"")</f>
        <v/>
      </c>
      <c r="S1020" t="str">
        <f>IFERROR(VLOOKUP($A1020,koronahun!$A:$AM,19,FALSE),"")</f>
        <v/>
      </c>
      <c r="T1020" t="str">
        <f>IFERROR(VLOOKUP($A1020,koronahun!$A:$AM,20,FALSE),"")</f>
        <v/>
      </c>
      <c r="U1020" t="str">
        <f>IFERROR(VLOOKUP($A1020,koronahun!$A:$AM,21,FALSE),"")</f>
        <v/>
      </c>
      <c r="V1020" s="13" t="str">
        <f>IFERROR(VLOOKUP($A1020,koronahun!$A:$AM,22,FALSE),"")</f>
        <v/>
      </c>
      <c r="W1020" t="str">
        <f>IFERROR(VLOOKUP($A1020,koronahun!$A:$AM,23,FALSE),"")</f>
        <v/>
      </c>
      <c r="X1020" t="str">
        <f>IFERROR(VLOOKUP($A1020,koronahun!$A:$AM,24,FALSE),"")</f>
        <v/>
      </c>
      <c r="Y1020" s="14" t="str">
        <f>IFERROR(VLOOKUP($A1020,koronahun!$A:$AM,25,FALSE),"")</f>
        <v/>
      </c>
      <c r="Z1020" s="14" t="str">
        <f>IFERROR(VLOOKUP($A1020,koronahun!$A:$AM,26,FALSE),"")</f>
        <v/>
      </c>
      <c r="AA1020" s="14" t="str">
        <f>IFERROR(VLOOKUP($A1020,koronahun!$A:$AM,27,FALSE),"")</f>
        <v/>
      </c>
      <c r="AB1020" s="14" t="str">
        <f>IFERROR(VLOOKUP($A1020,koronahun!$A:$AM,28,FALSE),"")</f>
        <v/>
      </c>
      <c r="AC1020" s="14" t="str">
        <f>IFERROR(VLOOKUP($A1020,koronahun!$A:$AM,29,FALSE),"")</f>
        <v/>
      </c>
      <c r="AD1020" s="14" t="str">
        <f>IFERROR(VLOOKUP($A1020,koronahun!$A:$AM,30,FALSE),"")</f>
        <v/>
      </c>
      <c r="AE1020" s="14" t="str">
        <f>IFERROR(VLOOKUP($A1020,koronahun!$A:$AM,31,FALSE),"")</f>
        <v/>
      </c>
      <c r="AF1020" s="13" t="str">
        <f>IFERROR(VLOOKUP($A1020,koronahun!$A:$AM,32,FALSE),"")</f>
        <v/>
      </c>
      <c r="AG1020" t="str">
        <f>IFERROR(VLOOKUP($A1020,koronahun!$A:$AM,33,FALSE),"")</f>
        <v/>
      </c>
      <c r="AH1020" t="str">
        <f>IFERROR(VLOOKUP($A1020,koronahun!$A:$AM,34,FALSE),"")</f>
        <v/>
      </c>
      <c r="AI1020" t="str">
        <f>IFERROR(VLOOKUP($A1020,koronahun!$A:$AM,35,FALSE),"")</f>
        <v/>
      </c>
      <c r="AJ1020" t="str">
        <f>IFERROR(VLOOKUP($A1020,koronahun!$A:$AM,36,FALSE),"")</f>
        <v/>
      </c>
      <c r="AK1020" t="str">
        <f>IFERROR(VLOOKUP($A1020,koronahun!$A:$AM,37,FALSE),"")</f>
        <v/>
      </c>
      <c r="AL1020" t="str">
        <f>IFERROR(VLOOKUP($A1020,koronahun!$A:$AM,38,FALSE),"")</f>
        <v/>
      </c>
      <c r="AM1020" s="14" t="str">
        <f>IFERROR(VLOOKUP($A1020,koronahun!$A:$AM,39,FALSE),"")</f>
        <v/>
      </c>
      <c r="AN1020" s="11">
        <f ca="1">IFERROR(__xludf.DUMMYFUNCTION("""COMPUTED_VALUE"""),44912)</f>
        <v>44912</v>
      </c>
      <c r="AO1020" s="12">
        <f ca="1">IFERROR(VLOOKUP(AN1020,koronahun!A:B,2,FALSE),"")</f>
        <v>0</v>
      </c>
      <c r="AP1020" s="11">
        <f t="shared" ca="1" si="6"/>
        <v>44912</v>
      </c>
      <c r="AQ1020" s="11"/>
      <c r="AR1020" s="11"/>
      <c r="AS1020" s="11"/>
      <c r="AT1020" s="11"/>
    </row>
    <row r="1021" spans="1:46" ht="13">
      <c r="A1021" s="11"/>
      <c r="B1021" t="str">
        <f>IFERROR(VLOOKUP($A1021,koronahun!$A:$AM,2,FALSE),"")</f>
        <v/>
      </c>
      <c r="C1021" t="str">
        <f>IFERROR(VLOOKUP($A1021,koronahun!$A:$AM,3,FALSE),"")</f>
        <v/>
      </c>
      <c r="D1021" t="str">
        <f>IFERROR(VLOOKUP($A1021,koronahun!$A:$AM,4,FALSE),"")</f>
        <v/>
      </c>
      <c r="E1021" t="str">
        <f>IFERROR(VLOOKUP($A1021,koronahun!$A:$AM,5,FALSE),"")</f>
        <v/>
      </c>
      <c r="F1021" t="str">
        <f>IFERROR(VLOOKUP($A1021,koronahun!$A:$AM,6,FALSE),"")</f>
        <v/>
      </c>
      <c r="G1021" s="12" t="str">
        <f>IFERROR(VLOOKUP($A1021,koronahun!$A:$AM,7,FALSE),"")</f>
        <v/>
      </c>
      <c r="H1021" t="str">
        <f>IFERROR(VLOOKUP($A1021,koronahun!$A:$AM,8,FALSE),"")</f>
        <v/>
      </c>
      <c r="I1021" s="13" t="str">
        <f>IFERROR(VLOOKUP($A1021,koronahun!$A:$AM,9,FALSE),"")</f>
        <v/>
      </c>
      <c r="J1021" s="13" t="str">
        <f>IFERROR(VLOOKUP($A1021,koronahun!$A:$AM,10,FALSE),"")</f>
        <v/>
      </c>
      <c r="K1021" s="13" t="str">
        <f>IFERROR(VLOOKUP($A1021,koronahun!$A:$AM,11,FALSE),"")</f>
        <v/>
      </c>
      <c r="L1021" t="str">
        <f>IFERROR(VLOOKUP($A1021,koronahun!$A:$AM,12,FALSE),"")</f>
        <v/>
      </c>
      <c r="M1021" s="13" t="str">
        <f>IFERROR(VLOOKUP($A1021,koronahun!$A:$AM,13,FALSE),"")</f>
        <v/>
      </c>
      <c r="N1021" s="13" t="str">
        <f>IFERROR(VLOOKUP($A1021,koronahun!$A:$AM,14,FALSE),"")</f>
        <v/>
      </c>
      <c r="O1021" t="str">
        <f>IFERROR(VLOOKUP($A1021,koronahun!$A:$AM,15,FALSE),"")</f>
        <v/>
      </c>
      <c r="P1021" t="str">
        <f>IFERROR(VLOOKUP($A1021,koronahun!$A:$AM,16,FALSE),"")</f>
        <v/>
      </c>
      <c r="Q1021" s="13" t="str">
        <f>IFERROR(VLOOKUP($A1021,koronahun!$A:$AM,17,FALSE),"")</f>
        <v/>
      </c>
      <c r="R1021" t="str">
        <f>IFERROR(VLOOKUP($A1021,koronahun!$A:$AM,18,FALSE),"")</f>
        <v/>
      </c>
      <c r="S1021" t="str">
        <f>IFERROR(VLOOKUP($A1021,koronahun!$A:$AM,19,FALSE),"")</f>
        <v/>
      </c>
      <c r="T1021" t="str">
        <f>IFERROR(VLOOKUP($A1021,koronahun!$A:$AM,20,FALSE),"")</f>
        <v/>
      </c>
      <c r="U1021" t="str">
        <f>IFERROR(VLOOKUP($A1021,koronahun!$A:$AM,21,FALSE),"")</f>
        <v/>
      </c>
      <c r="V1021" s="13" t="str">
        <f>IFERROR(VLOOKUP($A1021,koronahun!$A:$AM,22,FALSE),"")</f>
        <v/>
      </c>
      <c r="W1021" t="str">
        <f>IFERROR(VLOOKUP($A1021,koronahun!$A:$AM,23,FALSE),"")</f>
        <v/>
      </c>
      <c r="X1021" t="str">
        <f>IFERROR(VLOOKUP($A1021,koronahun!$A:$AM,24,FALSE),"")</f>
        <v/>
      </c>
      <c r="Y1021" s="14" t="str">
        <f>IFERROR(VLOOKUP($A1021,koronahun!$A:$AM,25,FALSE),"")</f>
        <v/>
      </c>
      <c r="Z1021" s="14" t="str">
        <f>IFERROR(VLOOKUP($A1021,koronahun!$A:$AM,26,FALSE),"")</f>
        <v/>
      </c>
      <c r="AA1021" s="14" t="str">
        <f>IFERROR(VLOOKUP($A1021,koronahun!$A:$AM,27,FALSE),"")</f>
        <v/>
      </c>
      <c r="AB1021" s="14" t="str">
        <f>IFERROR(VLOOKUP($A1021,koronahun!$A:$AM,28,FALSE),"")</f>
        <v/>
      </c>
      <c r="AC1021" s="14" t="str">
        <f>IFERROR(VLOOKUP($A1021,koronahun!$A:$AM,29,FALSE),"")</f>
        <v/>
      </c>
      <c r="AD1021" s="14" t="str">
        <f>IFERROR(VLOOKUP($A1021,koronahun!$A:$AM,30,FALSE),"")</f>
        <v/>
      </c>
      <c r="AE1021" s="14" t="str">
        <f>IFERROR(VLOOKUP($A1021,koronahun!$A:$AM,31,FALSE),"")</f>
        <v/>
      </c>
      <c r="AF1021" s="13" t="str">
        <f>IFERROR(VLOOKUP($A1021,koronahun!$A:$AM,32,FALSE),"")</f>
        <v/>
      </c>
      <c r="AG1021" t="str">
        <f>IFERROR(VLOOKUP($A1021,koronahun!$A:$AM,33,FALSE),"")</f>
        <v/>
      </c>
      <c r="AH1021" t="str">
        <f>IFERROR(VLOOKUP($A1021,koronahun!$A:$AM,34,FALSE),"")</f>
        <v/>
      </c>
      <c r="AI1021" t="str">
        <f>IFERROR(VLOOKUP($A1021,koronahun!$A:$AM,35,FALSE),"")</f>
        <v/>
      </c>
      <c r="AJ1021" t="str">
        <f>IFERROR(VLOOKUP($A1021,koronahun!$A:$AM,36,FALSE),"")</f>
        <v/>
      </c>
      <c r="AK1021" t="str">
        <f>IFERROR(VLOOKUP($A1021,koronahun!$A:$AM,37,FALSE),"")</f>
        <v/>
      </c>
      <c r="AL1021" t="str">
        <f>IFERROR(VLOOKUP($A1021,koronahun!$A:$AM,38,FALSE),"")</f>
        <v/>
      </c>
      <c r="AM1021" s="14" t="str">
        <f>IFERROR(VLOOKUP($A1021,koronahun!$A:$AM,39,FALSE),"")</f>
        <v/>
      </c>
      <c r="AN1021" s="11">
        <f ca="1">IFERROR(__xludf.DUMMYFUNCTION("""COMPUTED_VALUE"""),44913)</f>
        <v>44913</v>
      </c>
      <c r="AO1021" s="12">
        <f ca="1">IFERROR(VLOOKUP(AN1021,koronahun!A:B,2,FALSE),"")</f>
        <v>0</v>
      </c>
      <c r="AP1021" s="11">
        <f t="shared" ca="1" si="6"/>
        <v>44913</v>
      </c>
      <c r="AQ1021" s="11"/>
      <c r="AR1021" s="11"/>
      <c r="AS1021" s="11"/>
      <c r="AT1021" s="11"/>
    </row>
    <row r="1022" spans="1:46" ht="13">
      <c r="A1022" s="11"/>
      <c r="B1022" t="str">
        <f>IFERROR(VLOOKUP($A1022,koronahun!$A:$AM,2,FALSE),"")</f>
        <v/>
      </c>
      <c r="C1022" t="str">
        <f>IFERROR(VLOOKUP($A1022,koronahun!$A:$AM,3,FALSE),"")</f>
        <v/>
      </c>
      <c r="D1022" t="str">
        <f>IFERROR(VLOOKUP($A1022,koronahun!$A:$AM,4,FALSE),"")</f>
        <v/>
      </c>
      <c r="E1022" t="str">
        <f>IFERROR(VLOOKUP($A1022,koronahun!$A:$AM,5,FALSE),"")</f>
        <v/>
      </c>
      <c r="F1022" t="str">
        <f>IFERROR(VLOOKUP($A1022,koronahun!$A:$AM,6,FALSE),"")</f>
        <v/>
      </c>
      <c r="G1022" s="12" t="str">
        <f>IFERROR(VLOOKUP($A1022,koronahun!$A:$AM,7,FALSE),"")</f>
        <v/>
      </c>
      <c r="H1022" t="str">
        <f>IFERROR(VLOOKUP($A1022,koronahun!$A:$AM,8,FALSE),"")</f>
        <v/>
      </c>
      <c r="I1022" s="13" t="str">
        <f>IFERROR(VLOOKUP($A1022,koronahun!$A:$AM,9,FALSE),"")</f>
        <v/>
      </c>
      <c r="J1022" s="13" t="str">
        <f>IFERROR(VLOOKUP($A1022,koronahun!$A:$AM,10,FALSE),"")</f>
        <v/>
      </c>
      <c r="K1022" s="13" t="str">
        <f>IFERROR(VLOOKUP($A1022,koronahun!$A:$AM,11,FALSE),"")</f>
        <v/>
      </c>
      <c r="L1022" t="str">
        <f>IFERROR(VLOOKUP($A1022,koronahun!$A:$AM,12,FALSE),"")</f>
        <v/>
      </c>
      <c r="M1022" s="13" t="str">
        <f>IFERROR(VLOOKUP($A1022,koronahun!$A:$AM,13,FALSE),"")</f>
        <v/>
      </c>
      <c r="N1022" s="13" t="str">
        <f>IFERROR(VLOOKUP($A1022,koronahun!$A:$AM,14,FALSE),"")</f>
        <v/>
      </c>
      <c r="O1022" t="str">
        <f>IFERROR(VLOOKUP($A1022,koronahun!$A:$AM,15,FALSE),"")</f>
        <v/>
      </c>
      <c r="P1022" t="str">
        <f>IFERROR(VLOOKUP($A1022,koronahun!$A:$AM,16,FALSE),"")</f>
        <v/>
      </c>
      <c r="Q1022" s="13" t="str">
        <f>IFERROR(VLOOKUP($A1022,koronahun!$A:$AM,17,FALSE),"")</f>
        <v/>
      </c>
      <c r="R1022" t="str">
        <f>IFERROR(VLOOKUP($A1022,koronahun!$A:$AM,18,FALSE),"")</f>
        <v/>
      </c>
      <c r="S1022" t="str">
        <f>IFERROR(VLOOKUP($A1022,koronahun!$A:$AM,19,FALSE),"")</f>
        <v/>
      </c>
      <c r="T1022" t="str">
        <f>IFERROR(VLOOKUP($A1022,koronahun!$A:$AM,20,FALSE),"")</f>
        <v/>
      </c>
      <c r="U1022" t="str">
        <f>IFERROR(VLOOKUP($A1022,koronahun!$A:$AM,21,FALSE),"")</f>
        <v/>
      </c>
      <c r="V1022" s="13" t="str">
        <f>IFERROR(VLOOKUP($A1022,koronahun!$A:$AM,22,FALSE),"")</f>
        <v/>
      </c>
      <c r="W1022" t="str">
        <f>IFERROR(VLOOKUP($A1022,koronahun!$A:$AM,23,FALSE),"")</f>
        <v/>
      </c>
      <c r="X1022" t="str">
        <f>IFERROR(VLOOKUP($A1022,koronahun!$A:$AM,24,FALSE),"")</f>
        <v/>
      </c>
      <c r="Y1022" s="14" t="str">
        <f>IFERROR(VLOOKUP($A1022,koronahun!$A:$AM,25,FALSE),"")</f>
        <v/>
      </c>
      <c r="Z1022" s="14" t="str">
        <f>IFERROR(VLOOKUP($A1022,koronahun!$A:$AM,26,FALSE),"")</f>
        <v/>
      </c>
      <c r="AA1022" s="14" t="str">
        <f>IFERROR(VLOOKUP($A1022,koronahun!$A:$AM,27,FALSE),"")</f>
        <v/>
      </c>
      <c r="AB1022" s="14" t="str">
        <f>IFERROR(VLOOKUP($A1022,koronahun!$A:$AM,28,FALSE),"")</f>
        <v/>
      </c>
      <c r="AC1022" s="14" t="str">
        <f>IFERROR(VLOOKUP($A1022,koronahun!$A:$AM,29,FALSE),"")</f>
        <v/>
      </c>
      <c r="AD1022" s="14" t="str">
        <f>IFERROR(VLOOKUP($A1022,koronahun!$A:$AM,30,FALSE),"")</f>
        <v/>
      </c>
      <c r="AE1022" s="14" t="str">
        <f>IFERROR(VLOOKUP($A1022,koronahun!$A:$AM,31,FALSE),"")</f>
        <v/>
      </c>
      <c r="AF1022" s="13" t="str">
        <f>IFERROR(VLOOKUP($A1022,koronahun!$A:$AM,32,FALSE),"")</f>
        <v/>
      </c>
      <c r="AG1022" t="str">
        <f>IFERROR(VLOOKUP($A1022,koronahun!$A:$AM,33,FALSE),"")</f>
        <v/>
      </c>
      <c r="AH1022" t="str">
        <f>IFERROR(VLOOKUP($A1022,koronahun!$A:$AM,34,FALSE),"")</f>
        <v/>
      </c>
      <c r="AI1022" t="str">
        <f>IFERROR(VLOOKUP($A1022,koronahun!$A:$AM,35,FALSE),"")</f>
        <v/>
      </c>
      <c r="AJ1022" t="str">
        <f>IFERROR(VLOOKUP($A1022,koronahun!$A:$AM,36,FALSE),"")</f>
        <v/>
      </c>
      <c r="AK1022" t="str">
        <f>IFERROR(VLOOKUP($A1022,koronahun!$A:$AM,37,FALSE),"")</f>
        <v/>
      </c>
      <c r="AL1022" t="str">
        <f>IFERROR(VLOOKUP($A1022,koronahun!$A:$AM,38,FALSE),"")</f>
        <v/>
      </c>
      <c r="AM1022" s="14" t="str">
        <f>IFERROR(VLOOKUP($A1022,koronahun!$A:$AM,39,FALSE),"")</f>
        <v/>
      </c>
      <c r="AN1022" s="11">
        <f ca="1">IFERROR(__xludf.DUMMYFUNCTION("""COMPUTED_VALUE"""),44914)</f>
        <v>44914</v>
      </c>
      <c r="AO1022" s="12">
        <f ca="1">IFERROR(VLOOKUP(AN1022,koronahun!A:B,2,FALSE),"")</f>
        <v>0</v>
      </c>
      <c r="AP1022" s="11">
        <f t="shared" ref="AP1022:AP1031" ca="1" si="7">IF(AO1022="","",AN1022)</f>
        <v>44914</v>
      </c>
      <c r="AQ1022" s="11"/>
      <c r="AR1022" s="11"/>
      <c r="AS1022" s="11"/>
      <c r="AT1022" s="11"/>
    </row>
    <row r="1023" spans="1:46" ht="13">
      <c r="A1023" s="11"/>
      <c r="B1023" t="str">
        <f>IFERROR(VLOOKUP($A1023,koronahun!$A:$AM,2,FALSE),"")</f>
        <v/>
      </c>
      <c r="C1023" t="str">
        <f>IFERROR(VLOOKUP($A1023,koronahun!$A:$AM,3,FALSE),"")</f>
        <v/>
      </c>
      <c r="D1023" t="str">
        <f>IFERROR(VLOOKUP($A1023,koronahun!$A:$AM,4,FALSE),"")</f>
        <v/>
      </c>
      <c r="E1023" t="str">
        <f>IFERROR(VLOOKUP($A1023,koronahun!$A:$AM,5,FALSE),"")</f>
        <v/>
      </c>
      <c r="F1023" t="str">
        <f>IFERROR(VLOOKUP($A1023,koronahun!$A:$AM,6,FALSE),"")</f>
        <v/>
      </c>
      <c r="G1023" s="12" t="str">
        <f>IFERROR(VLOOKUP($A1023,koronahun!$A:$AM,7,FALSE),"")</f>
        <v/>
      </c>
      <c r="H1023" t="str">
        <f>IFERROR(VLOOKUP($A1023,koronahun!$A:$AM,8,FALSE),"")</f>
        <v/>
      </c>
      <c r="I1023" s="13" t="str">
        <f>IFERROR(VLOOKUP($A1023,koronahun!$A:$AM,9,FALSE),"")</f>
        <v/>
      </c>
      <c r="J1023" s="13" t="str">
        <f>IFERROR(VLOOKUP($A1023,koronahun!$A:$AM,10,FALSE),"")</f>
        <v/>
      </c>
      <c r="K1023" s="13" t="str">
        <f>IFERROR(VLOOKUP($A1023,koronahun!$A:$AM,11,FALSE),"")</f>
        <v/>
      </c>
      <c r="L1023" t="str">
        <f>IFERROR(VLOOKUP($A1023,koronahun!$A:$AM,12,FALSE),"")</f>
        <v/>
      </c>
      <c r="M1023" s="13" t="str">
        <f>IFERROR(VLOOKUP($A1023,koronahun!$A:$AM,13,FALSE),"")</f>
        <v/>
      </c>
      <c r="N1023" s="13" t="str">
        <f>IFERROR(VLOOKUP($A1023,koronahun!$A:$AM,14,FALSE),"")</f>
        <v/>
      </c>
      <c r="O1023" t="str">
        <f>IFERROR(VLOOKUP($A1023,koronahun!$A:$AM,15,FALSE),"")</f>
        <v/>
      </c>
      <c r="P1023" t="str">
        <f>IFERROR(VLOOKUP($A1023,koronahun!$A:$AM,16,FALSE),"")</f>
        <v/>
      </c>
      <c r="Q1023" s="13" t="str">
        <f>IFERROR(VLOOKUP($A1023,koronahun!$A:$AM,17,FALSE),"")</f>
        <v/>
      </c>
      <c r="R1023" t="str">
        <f>IFERROR(VLOOKUP($A1023,koronahun!$A:$AM,18,FALSE),"")</f>
        <v/>
      </c>
      <c r="S1023" t="str">
        <f>IFERROR(VLOOKUP($A1023,koronahun!$A:$AM,19,FALSE),"")</f>
        <v/>
      </c>
      <c r="T1023" t="str">
        <f>IFERROR(VLOOKUP($A1023,koronahun!$A:$AM,20,FALSE),"")</f>
        <v/>
      </c>
      <c r="U1023" t="str">
        <f>IFERROR(VLOOKUP($A1023,koronahun!$A:$AM,21,FALSE),"")</f>
        <v/>
      </c>
      <c r="V1023" s="13" t="str">
        <f>IFERROR(VLOOKUP($A1023,koronahun!$A:$AM,22,FALSE),"")</f>
        <v/>
      </c>
      <c r="W1023" t="str">
        <f>IFERROR(VLOOKUP($A1023,koronahun!$A:$AM,23,FALSE),"")</f>
        <v/>
      </c>
      <c r="X1023" t="str">
        <f>IFERROR(VLOOKUP($A1023,koronahun!$A:$AM,24,FALSE),"")</f>
        <v/>
      </c>
      <c r="Y1023" s="14" t="str">
        <f>IFERROR(VLOOKUP($A1023,koronahun!$A:$AM,25,FALSE),"")</f>
        <v/>
      </c>
      <c r="Z1023" s="14" t="str">
        <f>IFERROR(VLOOKUP($A1023,koronahun!$A:$AM,26,FALSE),"")</f>
        <v/>
      </c>
      <c r="AA1023" s="14" t="str">
        <f>IFERROR(VLOOKUP($A1023,koronahun!$A:$AM,27,FALSE),"")</f>
        <v/>
      </c>
      <c r="AB1023" s="14" t="str">
        <f>IFERROR(VLOOKUP($A1023,koronahun!$A:$AM,28,FALSE),"")</f>
        <v/>
      </c>
      <c r="AC1023" s="14" t="str">
        <f>IFERROR(VLOOKUP($A1023,koronahun!$A:$AM,29,FALSE),"")</f>
        <v/>
      </c>
      <c r="AD1023" s="14" t="str">
        <f>IFERROR(VLOOKUP($A1023,koronahun!$A:$AM,30,FALSE),"")</f>
        <v/>
      </c>
      <c r="AE1023" s="14" t="str">
        <f>IFERROR(VLOOKUP($A1023,koronahun!$A:$AM,31,FALSE),"")</f>
        <v/>
      </c>
      <c r="AF1023" s="13" t="str">
        <f>IFERROR(VLOOKUP($A1023,koronahun!$A:$AM,32,FALSE),"")</f>
        <v/>
      </c>
      <c r="AG1023" t="str">
        <f>IFERROR(VLOOKUP($A1023,koronahun!$A:$AM,33,FALSE),"")</f>
        <v/>
      </c>
      <c r="AH1023" t="str">
        <f>IFERROR(VLOOKUP($A1023,koronahun!$A:$AM,34,FALSE),"")</f>
        <v/>
      </c>
      <c r="AI1023" t="str">
        <f>IFERROR(VLOOKUP($A1023,koronahun!$A:$AM,35,FALSE),"")</f>
        <v/>
      </c>
      <c r="AJ1023" t="str">
        <f>IFERROR(VLOOKUP($A1023,koronahun!$A:$AM,36,FALSE),"")</f>
        <v/>
      </c>
      <c r="AK1023" t="str">
        <f>IFERROR(VLOOKUP($A1023,koronahun!$A:$AM,37,FALSE),"")</f>
        <v/>
      </c>
      <c r="AL1023" t="str">
        <f>IFERROR(VLOOKUP($A1023,koronahun!$A:$AM,38,FALSE),"")</f>
        <v/>
      </c>
      <c r="AM1023" s="14" t="str">
        <f>IFERROR(VLOOKUP($A1023,koronahun!$A:$AM,39,FALSE),"")</f>
        <v/>
      </c>
      <c r="AN1023" s="11">
        <f ca="1">IFERROR(__xludf.DUMMYFUNCTION("""COMPUTED_VALUE"""),44915)</f>
        <v>44915</v>
      </c>
      <c r="AO1023" s="12">
        <f ca="1">IFERROR(VLOOKUP(AN1023,koronahun!A:B,2,FALSE),"")</f>
        <v>0</v>
      </c>
      <c r="AP1023" s="11">
        <f t="shared" ca="1" si="7"/>
        <v>44915</v>
      </c>
      <c r="AQ1023" s="11"/>
      <c r="AR1023" s="11"/>
      <c r="AS1023" s="11"/>
      <c r="AT1023" s="11"/>
    </row>
    <row r="1024" spans="1:46" ht="13">
      <c r="A1024" s="11"/>
      <c r="B1024" t="str">
        <f>IFERROR(VLOOKUP($A1024,koronahun!$A:$AM,2,FALSE),"")</f>
        <v/>
      </c>
      <c r="C1024" t="str">
        <f>IFERROR(VLOOKUP($A1024,koronahun!$A:$AM,3,FALSE),"")</f>
        <v/>
      </c>
      <c r="D1024" t="str">
        <f>IFERROR(VLOOKUP($A1024,koronahun!$A:$AM,4,FALSE),"")</f>
        <v/>
      </c>
      <c r="E1024" t="str">
        <f>IFERROR(VLOOKUP($A1024,koronahun!$A:$AM,5,FALSE),"")</f>
        <v/>
      </c>
      <c r="F1024" t="str">
        <f>IFERROR(VLOOKUP($A1024,koronahun!$A:$AM,6,FALSE),"")</f>
        <v/>
      </c>
      <c r="G1024" s="12" t="str">
        <f>IFERROR(VLOOKUP($A1024,koronahun!$A:$AM,7,FALSE),"")</f>
        <v/>
      </c>
      <c r="H1024" t="str">
        <f>IFERROR(VLOOKUP($A1024,koronahun!$A:$AM,8,FALSE),"")</f>
        <v/>
      </c>
      <c r="I1024" s="13" t="str">
        <f>IFERROR(VLOOKUP($A1024,koronahun!$A:$AM,9,FALSE),"")</f>
        <v/>
      </c>
      <c r="J1024" s="13" t="str">
        <f>IFERROR(VLOOKUP($A1024,koronahun!$A:$AM,10,FALSE),"")</f>
        <v/>
      </c>
      <c r="K1024" s="13" t="str">
        <f>IFERROR(VLOOKUP($A1024,koronahun!$A:$AM,11,FALSE),"")</f>
        <v/>
      </c>
      <c r="L1024" t="str">
        <f>IFERROR(VLOOKUP($A1024,koronahun!$A:$AM,12,FALSE),"")</f>
        <v/>
      </c>
      <c r="M1024" s="13" t="str">
        <f>IFERROR(VLOOKUP($A1024,koronahun!$A:$AM,13,FALSE),"")</f>
        <v/>
      </c>
      <c r="N1024" s="13" t="str">
        <f>IFERROR(VLOOKUP($A1024,koronahun!$A:$AM,14,FALSE),"")</f>
        <v/>
      </c>
      <c r="O1024" t="str">
        <f>IFERROR(VLOOKUP($A1024,koronahun!$A:$AM,15,FALSE),"")</f>
        <v/>
      </c>
      <c r="P1024" t="str">
        <f>IFERROR(VLOOKUP($A1024,koronahun!$A:$AM,16,FALSE),"")</f>
        <v/>
      </c>
      <c r="Q1024" s="13" t="str">
        <f>IFERROR(VLOOKUP($A1024,koronahun!$A:$AM,17,FALSE),"")</f>
        <v/>
      </c>
      <c r="R1024" t="str">
        <f>IFERROR(VLOOKUP($A1024,koronahun!$A:$AM,18,FALSE),"")</f>
        <v/>
      </c>
      <c r="S1024" t="str">
        <f>IFERROR(VLOOKUP($A1024,koronahun!$A:$AM,19,FALSE),"")</f>
        <v/>
      </c>
      <c r="T1024" t="str">
        <f>IFERROR(VLOOKUP($A1024,koronahun!$A:$AM,20,FALSE),"")</f>
        <v/>
      </c>
      <c r="U1024" t="str">
        <f>IFERROR(VLOOKUP($A1024,koronahun!$A:$AM,21,FALSE),"")</f>
        <v/>
      </c>
      <c r="V1024" s="13" t="str">
        <f>IFERROR(VLOOKUP($A1024,koronahun!$A:$AM,22,FALSE),"")</f>
        <v/>
      </c>
      <c r="W1024" t="str">
        <f>IFERROR(VLOOKUP($A1024,koronahun!$A:$AM,23,FALSE),"")</f>
        <v/>
      </c>
      <c r="X1024" t="str">
        <f>IFERROR(VLOOKUP($A1024,koronahun!$A:$AM,24,FALSE),"")</f>
        <v/>
      </c>
      <c r="Y1024" s="14" t="str">
        <f>IFERROR(VLOOKUP($A1024,koronahun!$A:$AM,25,FALSE),"")</f>
        <v/>
      </c>
      <c r="Z1024" s="14" t="str">
        <f>IFERROR(VLOOKUP($A1024,koronahun!$A:$AM,26,FALSE),"")</f>
        <v/>
      </c>
      <c r="AA1024" s="14" t="str">
        <f>IFERROR(VLOOKUP($A1024,koronahun!$A:$AM,27,FALSE),"")</f>
        <v/>
      </c>
      <c r="AB1024" s="14" t="str">
        <f>IFERROR(VLOOKUP($A1024,koronahun!$A:$AM,28,FALSE),"")</f>
        <v/>
      </c>
      <c r="AC1024" s="14" t="str">
        <f>IFERROR(VLOOKUP($A1024,koronahun!$A:$AM,29,FALSE),"")</f>
        <v/>
      </c>
      <c r="AD1024" s="14" t="str">
        <f>IFERROR(VLOOKUP($A1024,koronahun!$A:$AM,30,FALSE),"")</f>
        <v/>
      </c>
      <c r="AE1024" s="14" t="str">
        <f>IFERROR(VLOOKUP($A1024,koronahun!$A:$AM,31,FALSE),"")</f>
        <v/>
      </c>
      <c r="AF1024" s="13" t="str">
        <f>IFERROR(VLOOKUP($A1024,koronahun!$A:$AM,32,FALSE),"")</f>
        <v/>
      </c>
      <c r="AG1024" t="str">
        <f>IFERROR(VLOOKUP($A1024,koronahun!$A:$AM,33,FALSE),"")</f>
        <v/>
      </c>
      <c r="AH1024" t="str">
        <f>IFERROR(VLOOKUP($A1024,koronahun!$A:$AM,34,FALSE),"")</f>
        <v/>
      </c>
      <c r="AI1024" t="str">
        <f>IFERROR(VLOOKUP($A1024,koronahun!$A:$AM,35,FALSE),"")</f>
        <v/>
      </c>
      <c r="AJ1024" t="str">
        <f>IFERROR(VLOOKUP($A1024,koronahun!$A:$AM,36,FALSE),"")</f>
        <v/>
      </c>
      <c r="AK1024" t="str">
        <f>IFERROR(VLOOKUP($A1024,koronahun!$A:$AM,37,FALSE),"")</f>
        <v/>
      </c>
      <c r="AL1024" t="str">
        <f>IFERROR(VLOOKUP($A1024,koronahun!$A:$AM,38,FALSE),"")</f>
        <v/>
      </c>
      <c r="AM1024" s="14" t="str">
        <f>IFERROR(VLOOKUP($A1024,koronahun!$A:$AM,39,FALSE),"")</f>
        <v/>
      </c>
      <c r="AN1024" s="11">
        <f ca="1">IFERROR(__xludf.DUMMYFUNCTION("""COMPUTED_VALUE"""),44916)</f>
        <v>44916</v>
      </c>
      <c r="AO1024" s="12">
        <f ca="1">IFERROR(VLOOKUP(AN1024,koronahun!A:B,2,FALSE),"")</f>
        <v>2181419</v>
      </c>
      <c r="AP1024" s="11">
        <f t="shared" ca="1" si="7"/>
        <v>44916</v>
      </c>
      <c r="AQ1024" s="11"/>
      <c r="AR1024" s="11"/>
      <c r="AS1024" s="11"/>
      <c r="AT1024" s="11"/>
    </row>
    <row r="1025" spans="1:46" ht="13">
      <c r="A1025" s="11"/>
      <c r="B1025" t="str">
        <f>IFERROR(VLOOKUP($A1025,koronahun!$A:$AM,2,FALSE),"")</f>
        <v/>
      </c>
      <c r="C1025" t="str">
        <f>IFERROR(VLOOKUP($A1025,koronahun!$A:$AM,3,FALSE),"")</f>
        <v/>
      </c>
      <c r="D1025" t="str">
        <f>IFERROR(VLOOKUP($A1025,koronahun!$A:$AM,4,FALSE),"")</f>
        <v/>
      </c>
      <c r="E1025" t="str">
        <f>IFERROR(VLOOKUP($A1025,koronahun!$A:$AM,5,FALSE),"")</f>
        <v/>
      </c>
      <c r="F1025" t="str">
        <f>IFERROR(VLOOKUP($A1025,koronahun!$A:$AM,6,FALSE),"")</f>
        <v/>
      </c>
      <c r="G1025" s="12" t="str">
        <f>IFERROR(VLOOKUP($A1025,koronahun!$A:$AM,7,FALSE),"")</f>
        <v/>
      </c>
      <c r="H1025" t="str">
        <f>IFERROR(VLOOKUP($A1025,koronahun!$A:$AM,8,FALSE),"")</f>
        <v/>
      </c>
      <c r="I1025" s="13" t="str">
        <f>IFERROR(VLOOKUP($A1025,koronahun!$A:$AM,9,FALSE),"")</f>
        <v/>
      </c>
      <c r="J1025" s="13" t="str">
        <f>IFERROR(VLOOKUP($A1025,koronahun!$A:$AM,10,FALSE),"")</f>
        <v/>
      </c>
      <c r="K1025" s="13" t="str">
        <f>IFERROR(VLOOKUP($A1025,koronahun!$A:$AM,11,FALSE),"")</f>
        <v/>
      </c>
      <c r="L1025" t="str">
        <f>IFERROR(VLOOKUP($A1025,koronahun!$A:$AM,12,FALSE),"")</f>
        <v/>
      </c>
      <c r="M1025" s="13" t="str">
        <f>IFERROR(VLOOKUP($A1025,koronahun!$A:$AM,13,FALSE),"")</f>
        <v/>
      </c>
      <c r="N1025" s="13" t="str">
        <f>IFERROR(VLOOKUP($A1025,koronahun!$A:$AM,14,FALSE),"")</f>
        <v/>
      </c>
      <c r="O1025" t="str">
        <f>IFERROR(VLOOKUP($A1025,koronahun!$A:$AM,15,FALSE),"")</f>
        <v/>
      </c>
      <c r="P1025" t="str">
        <f>IFERROR(VLOOKUP($A1025,koronahun!$A:$AM,16,FALSE),"")</f>
        <v/>
      </c>
      <c r="Q1025" s="13" t="str">
        <f>IFERROR(VLOOKUP($A1025,koronahun!$A:$AM,17,FALSE),"")</f>
        <v/>
      </c>
      <c r="R1025" t="str">
        <f>IFERROR(VLOOKUP($A1025,koronahun!$A:$AM,18,FALSE),"")</f>
        <v/>
      </c>
      <c r="S1025" t="str">
        <f>IFERROR(VLOOKUP($A1025,koronahun!$A:$AM,19,FALSE),"")</f>
        <v/>
      </c>
      <c r="T1025" t="str">
        <f>IFERROR(VLOOKUP($A1025,koronahun!$A:$AM,20,FALSE),"")</f>
        <v/>
      </c>
      <c r="U1025" t="str">
        <f>IFERROR(VLOOKUP($A1025,koronahun!$A:$AM,21,FALSE),"")</f>
        <v/>
      </c>
      <c r="V1025" s="13" t="str">
        <f>IFERROR(VLOOKUP($A1025,koronahun!$A:$AM,22,FALSE),"")</f>
        <v/>
      </c>
      <c r="W1025" t="str">
        <f>IFERROR(VLOOKUP($A1025,koronahun!$A:$AM,23,FALSE),"")</f>
        <v/>
      </c>
      <c r="X1025" t="str">
        <f>IFERROR(VLOOKUP($A1025,koronahun!$A:$AM,24,FALSE),"")</f>
        <v/>
      </c>
      <c r="Y1025" s="14" t="str">
        <f>IFERROR(VLOOKUP($A1025,koronahun!$A:$AM,25,FALSE),"")</f>
        <v/>
      </c>
      <c r="Z1025" s="14" t="str">
        <f>IFERROR(VLOOKUP($A1025,koronahun!$A:$AM,26,FALSE),"")</f>
        <v/>
      </c>
      <c r="AA1025" s="14" t="str">
        <f>IFERROR(VLOOKUP($A1025,koronahun!$A:$AM,27,FALSE),"")</f>
        <v/>
      </c>
      <c r="AB1025" s="14" t="str">
        <f>IFERROR(VLOOKUP($A1025,koronahun!$A:$AM,28,FALSE),"")</f>
        <v/>
      </c>
      <c r="AC1025" s="14" t="str">
        <f>IFERROR(VLOOKUP($A1025,koronahun!$A:$AM,29,FALSE),"")</f>
        <v/>
      </c>
      <c r="AD1025" s="14" t="str">
        <f>IFERROR(VLOOKUP($A1025,koronahun!$A:$AM,30,FALSE),"")</f>
        <v/>
      </c>
      <c r="AE1025" s="14" t="str">
        <f>IFERROR(VLOOKUP($A1025,koronahun!$A:$AM,31,FALSE),"")</f>
        <v/>
      </c>
      <c r="AF1025" s="13" t="str">
        <f>IFERROR(VLOOKUP($A1025,koronahun!$A:$AM,32,FALSE),"")</f>
        <v/>
      </c>
      <c r="AG1025" t="str">
        <f>IFERROR(VLOOKUP($A1025,koronahun!$A:$AM,33,FALSE),"")</f>
        <v/>
      </c>
      <c r="AH1025" t="str">
        <f>IFERROR(VLOOKUP($A1025,koronahun!$A:$AM,34,FALSE),"")</f>
        <v/>
      </c>
      <c r="AI1025" t="str">
        <f>IFERROR(VLOOKUP($A1025,koronahun!$A:$AM,35,FALSE),"")</f>
        <v/>
      </c>
      <c r="AJ1025" t="str">
        <f>IFERROR(VLOOKUP($A1025,koronahun!$A:$AM,36,FALSE),"")</f>
        <v/>
      </c>
      <c r="AK1025" t="str">
        <f>IFERROR(VLOOKUP($A1025,koronahun!$A:$AM,37,FALSE),"")</f>
        <v/>
      </c>
      <c r="AL1025" t="str">
        <f>IFERROR(VLOOKUP($A1025,koronahun!$A:$AM,38,FALSE),"")</f>
        <v/>
      </c>
      <c r="AM1025" s="14" t="str">
        <f>IFERROR(VLOOKUP($A1025,koronahun!$A:$AM,39,FALSE),"")</f>
        <v/>
      </c>
      <c r="AN1025" s="11">
        <f ca="1">IFERROR(__xludf.DUMMYFUNCTION("""COMPUTED_VALUE"""),44917)</f>
        <v>44917</v>
      </c>
      <c r="AO1025" s="12">
        <f ca="1">IFERROR(VLOOKUP(AN1025,koronahun!A:B,2,FALSE),"")</f>
        <v>0</v>
      </c>
      <c r="AP1025" s="11">
        <f t="shared" ca="1" si="7"/>
        <v>44917</v>
      </c>
      <c r="AQ1025" s="11"/>
      <c r="AR1025" s="11"/>
      <c r="AS1025" s="11"/>
      <c r="AT1025" s="11"/>
    </row>
    <row r="1026" spans="1:46" ht="13">
      <c r="A1026" s="11"/>
      <c r="B1026" t="str">
        <f>IFERROR(VLOOKUP($A1026,koronahun!$A:$AM,2,FALSE),"")</f>
        <v/>
      </c>
      <c r="C1026" t="str">
        <f>IFERROR(VLOOKUP($A1026,koronahun!$A:$AM,3,FALSE),"")</f>
        <v/>
      </c>
      <c r="D1026" t="str">
        <f>IFERROR(VLOOKUP($A1026,koronahun!$A:$AM,4,FALSE),"")</f>
        <v/>
      </c>
      <c r="E1026" t="str">
        <f>IFERROR(VLOOKUP($A1026,koronahun!$A:$AM,5,FALSE),"")</f>
        <v/>
      </c>
      <c r="F1026" t="str">
        <f>IFERROR(VLOOKUP($A1026,koronahun!$A:$AM,6,FALSE),"")</f>
        <v/>
      </c>
      <c r="G1026" s="12" t="str">
        <f>IFERROR(VLOOKUP($A1026,koronahun!$A:$AM,7,FALSE),"")</f>
        <v/>
      </c>
      <c r="H1026" t="str">
        <f>IFERROR(VLOOKUP($A1026,koronahun!$A:$AM,8,FALSE),"")</f>
        <v/>
      </c>
      <c r="I1026" s="13" t="str">
        <f>IFERROR(VLOOKUP($A1026,koronahun!$A:$AM,9,FALSE),"")</f>
        <v/>
      </c>
      <c r="J1026" s="13" t="str">
        <f>IFERROR(VLOOKUP($A1026,koronahun!$A:$AM,10,FALSE),"")</f>
        <v/>
      </c>
      <c r="K1026" s="13" t="str">
        <f>IFERROR(VLOOKUP($A1026,koronahun!$A:$AM,11,FALSE),"")</f>
        <v/>
      </c>
      <c r="L1026" t="str">
        <f>IFERROR(VLOOKUP($A1026,koronahun!$A:$AM,12,FALSE),"")</f>
        <v/>
      </c>
      <c r="M1026" s="13" t="str">
        <f>IFERROR(VLOOKUP($A1026,koronahun!$A:$AM,13,FALSE),"")</f>
        <v/>
      </c>
      <c r="N1026" s="13" t="str">
        <f>IFERROR(VLOOKUP($A1026,koronahun!$A:$AM,14,FALSE),"")</f>
        <v/>
      </c>
      <c r="O1026" t="str">
        <f>IFERROR(VLOOKUP($A1026,koronahun!$A:$AM,15,FALSE),"")</f>
        <v/>
      </c>
      <c r="P1026" t="str">
        <f>IFERROR(VLOOKUP($A1026,koronahun!$A:$AM,16,FALSE),"")</f>
        <v/>
      </c>
      <c r="Q1026" s="13" t="str">
        <f>IFERROR(VLOOKUP($A1026,koronahun!$A:$AM,17,FALSE),"")</f>
        <v/>
      </c>
      <c r="R1026" t="str">
        <f>IFERROR(VLOOKUP($A1026,koronahun!$A:$AM,18,FALSE),"")</f>
        <v/>
      </c>
      <c r="S1026" t="str">
        <f>IFERROR(VLOOKUP($A1026,koronahun!$A:$AM,19,FALSE),"")</f>
        <v/>
      </c>
      <c r="T1026" t="str">
        <f>IFERROR(VLOOKUP($A1026,koronahun!$A:$AM,20,FALSE),"")</f>
        <v/>
      </c>
      <c r="U1026" t="str">
        <f>IFERROR(VLOOKUP($A1026,koronahun!$A:$AM,21,FALSE),"")</f>
        <v/>
      </c>
      <c r="V1026" s="13" t="str">
        <f>IFERROR(VLOOKUP($A1026,koronahun!$A:$AM,22,FALSE),"")</f>
        <v/>
      </c>
      <c r="W1026" t="str">
        <f>IFERROR(VLOOKUP($A1026,koronahun!$A:$AM,23,FALSE),"")</f>
        <v/>
      </c>
      <c r="X1026" t="str">
        <f>IFERROR(VLOOKUP($A1026,koronahun!$A:$AM,24,FALSE),"")</f>
        <v/>
      </c>
      <c r="Y1026" s="14" t="str">
        <f>IFERROR(VLOOKUP($A1026,koronahun!$A:$AM,25,FALSE),"")</f>
        <v/>
      </c>
      <c r="Z1026" s="14" t="str">
        <f>IFERROR(VLOOKUP($A1026,koronahun!$A:$AM,26,FALSE),"")</f>
        <v/>
      </c>
      <c r="AA1026" s="14" t="str">
        <f>IFERROR(VLOOKUP($A1026,koronahun!$A:$AM,27,FALSE),"")</f>
        <v/>
      </c>
      <c r="AB1026" s="14" t="str">
        <f>IFERROR(VLOOKUP($A1026,koronahun!$A:$AM,28,FALSE),"")</f>
        <v/>
      </c>
      <c r="AC1026" s="14" t="str">
        <f>IFERROR(VLOOKUP($A1026,koronahun!$A:$AM,29,FALSE),"")</f>
        <v/>
      </c>
      <c r="AD1026" s="14" t="str">
        <f>IFERROR(VLOOKUP($A1026,koronahun!$A:$AM,30,FALSE),"")</f>
        <v/>
      </c>
      <c r="AE1026" s="14" t="str">
        <f>IFERROR(VLOOKUP($A1026,koronahun!$A:$AM,31,FALSE),"")</f>
        <v/>
      </c>
      <c r="AF1026" s="13" t="str">
        <f>IFERROR(VLOOKUP($A1026,koronahun!$A:$AM,32,FALSE),"")</f>
        <v/>
      </c>
      <c r="AG1026" t="str">
        <f>IFERROR(VLOOKUP($A1026,koronahun!$A:$AM,33,FALSE),"")</f>
        <v/>
      </c>
      <c r="AH1026" t="str">
        <f>IFERROR(VLOOKUP($A1026,koronahun!$A:$AM,34,FALSE),"")</f>
        <v/>
      </c>
      <c r="AI1026" t="str">
        <f>IFERROR(VLOOKUP($A1026,koronahun!$A:$AM,35,FALSE),"")</f>
        <v/>
      </c>
      <c r="AJ1026" t="str">
        <f>IFERROR(VLOOKUP($A1026,koronahun!$A:$AM,36,FALSE),"")</f>
        <v/>
      </c>
      <c r="AK1026" t="str">
        <f>IFERROR(VLOOKUP($A1026,koronahun!$A:$AM,37,FALSE),"")</f>
        <v/>
      </c>
      <c r="AL1026" t="str">
        <f>IFERROR(VLOOKUP($A1026,koronahun!$A:$AM,38,FALSE),"")</f>
        <v/>
      </c>
      <c r="AM1026" s="14" t="str">
        <f>IFERROR(VLOOKUP($A1026,koronahun!$A:$AM,39,FALSE),"")</f>
        <v/>
      </c>
      <c r="AN1026" s="11">
        <f ca="1">IFERROR(__xludf.DUMMYFUNCTION("""COMPUTED_VALUE"""),44918)</f>
        <v>44918</v>
      </c>
      <c r="AO1026" s="12">
        <f ca="1">IFERROR(VLOOKUP(AN1026,koronahun!A:B,2,FALSE),"")</f>
        <v>0</v>
      </c>
      <c r="AP1026" s="11">
        <f t="shared" ca="1" si="7"/>
        <v>44918</v>
      </c>
      <c r="AQ1026" s="11"/>
      <c r="AR1026" s="11"/>
      <c r="AS1026" s="11"/>
      <c r="AT1026" s="11"/>
    </row>
    <row r="1027" spans="1:46" ht="13">
      <c r="A1027" s="11"/>
      <c r="B1027" t="str">
        <f>IFERROR(VLOOKUP($A1027,koronahun!$A:$AM,2,FALSE),"")</f>
        <v/>
      </c>
      <c r="C1027" t="str">
        <f>IFERROR(VLOOKUP($A1027,koronahun!$A:$AM,3,FALSE),"")</f>
        <v/>
      </c>
      <c r="D1027" t="str">
        <f>IFERROR(VLOOKUP($A1027,koronahun!$A:$AM,4,FALSE),"")</f>
        <v/>
      </c>
      <c r="E1027" t="str">
        <f>IFERROR(VLOOKUP($A1027,koronahun!$A:$AM,5,FALSE),"")</f>
        <v/>
      </c>
      <c r="F1027" t="str">
        <f>IFERROR(VLOOKUP($A1027,koronahun!$A:$AM,6,FALSE),"")</f>
        <v/>
      </c>
      <c r="G1027" s="12" t="str">
        <f>IFERROR(VLOOKUP($A1027,koronahun!$A:$AM,7,FALSE),"")</f>
        <v/>
      </c>
      <c r="H1027" t="str">
        <f>IFERROR(VLOOKUP($A1027,koronahun!$A:$AM,8,FALSE),"")</f>
        <v/>
      </c>
      <c r="I1027" s="13" t="str">
        <f>IFERROR(VLOOKUP($A1027,koronahun!$A:$AM,9,FALSE),"")</f>
        <v/>
      </c>
      <c r="J1027" s="13" t="str">
        <f>IFERROR(VLOOKUP($A1027,koronahun!$A:$AM,10,FALSE),"")</f>
        <v/>
      </c>
      <c r="K1027" s="13" t="str">
        <f>IFERROR(VLOOKUP($A1027,koronahun!$A:$AM,11,FALSE),"")</f>
        <v/>
      </c>
      <c r="L1027" t="str">
        <f>IFERROR(VLOOKUP($A1027,koronahun!$A:$AM,12,FALSE),"")</f>
        <v/>
      </c>
      <c r="M1027" s="13" t="str">
        <f>IFERROR(VLOOKUP($A1027,koronahun!$A:$AM,13,FALSE),"")</f>
        <v/>
      </c>
      <c r="N1027" s="13" t="str">
        <f>IFERROR(VLOOKUP($A1027,koronahun!$A:$AM,14,FALSE),"")</f>
        <v/>
      </c>
      <c r="O1027" t="str">
        <f>IFERROR(VLOOKUP($A1027,koronahun!$A:$AM,15,FALSE),"")</f>
        <v/>
      </c>
      <c r="P1027" t="str">
        <f>IFERROR(VLOOKUP($A1027,koronahun!$A:$AM,16,FALSE),"")</f>
        <v/>
      </c>
      <c r="Q1027" s="13" t="str">
        <f>IFERROR(VLOOKUP($A1027,koronahun!$A:$AM,17,FALSE),"")</f>
        <v/>
      </c>
      <c r="R1027" t="str">
        <f>IFERROR(VLOOKUP($A1027,koronahun!$A:$AM,18,FALSE),"")</f>
        <v/>
      </c>
      <c r="S1027" t="str">
        <f>IFERROR(VLOOKUP($A1027,koronahun!$A:$AM,19,FALSE),"")</f>
        <v/>
      </c>
      <c r="T1027" t="str">
        <f>IFERROR(VLOOKUP($A1027,koronahun!$A:$AM,20,FALSE),"")</f>
        <v/>
      </c>
      <c r="U1027" t="str">
        <f>IFERROR(VLOOKUP($A1027,koronahun!$A:$AM,21,FALSE),"")</f>
        <v/>
      </c>
      <c r="V1027" s="13" t="str">
        <f>IFERROR(VLOOKUP($A1027,koronahun!$A:$AM,22,FALSE),"")</f>
        <v/>
      </c>
      <c r="W1027" t="str">
        <f>IFERROR(VLOOKUP($A1027,koronahun!$A:$AM,23,FALSE),"")</f>
        <v/>
      </c>
      <c r="X1027" t="str">
        <f>IFERROR(VLOOKUP($A1027,koronahun!$A:$AM,24,FALSE),"")</f>
        <v/>
      </c>
      <c r="Y1027" s="14" t="str">
        <f>IFERROR(VLOOKUP($A1027,koronahun!$A:$AM,25,FALSE),"")</f>
        <v/>
      </c>
      <c r="Z1027" s="14" t="str">
        <f>IFERROR(VLOOKUP($A1027,koronahun!$A:$AM,26,FALSE),"")</f>
        <v/>
      </c>
      <c r="AA1027" s="14" t="str">
        <f>IFERROR(VLOOKUP($A1027,koronahun!$A:$AM,27,FALSE),"")</f>
        <v/>
      </c>
      <c r="AB1027" s="14" t="str">
        <f>IFERROR(VLOOKUP($A1027,koronahun!$A:$AM,28,FALSE),"")</f>
        <v/>
      </c>
      <c r="AC1027" s="14" t="str">
        <f>IFERROR(VLOOKUP($A1027,koronahun!$A:$AM,29,FALSE),"")</f>
        <v/>
      </c>
      <c r="AD1027" s="14" t="str">
        <f>IFERROR(VLOOKUP($A1027,koronahun!$A:$AM,30,FALSE),"")</f>
        <v/>
      </c>
      <c r="AE1027" s="14" t="str">
        <f>IFERROR(VLOOKUP($A1027,koronahun!$A:$AM,31,FALSE),"")</f>
        <v/>
      </c>
      <c r="AF1027" s="13" t="str">
        <f>IFERROR(VLOOKUP($A1027,koronahun!$A:$AM,32,FALSE),"")</f>
        <v/>
      </c>
      <c r="AG1027" t="str">
        <f>IFERROR(VLOOKUP($A1027,koronahun!$A:$AM,33,FALSE),"")</f>
        <v/>
      </c>
      <c r="AH1027" t="str">
        <f>IFERROR(VLOOKUP($A1027,koronahun!$A:$AM,34,FALSE),"")</f>
        <v/>
      </c>
      <c r="AI1027" t="str">
        <f>IFERROR(VLOOKUP($A1027,koronahun!$A:$AM,35,FALSE),"")</f>
        <v/>
      </c>
      <c r="AJ1027" t="str">
        <f>IFERROR(VLOOKUP($A1027,koronahun!$A:$AM,36,FALSE),"")</f>
        <v/>
      </c>
      <c r="AK1027" t="str">
        <f>IFERROR(VLOOKUP($A1027,koronahun!$A:$AM,37,FALSE),"")</f>
        <v/>
      </c>
      <c r="AL1027" t="str">
        <f>IFERROR(VLOOKUP($A1027,koronahun!$A:$AM,38,FALSE),"")</f>
        <v/>
      </c>
      <c r="AM1027" s="14" t="str">
        <f>IFERROR(VLOOKUP($A1027,koronahun!$A:$AM,39,FALSE),"")</f>
        <v/>
      </c>
      <c r="AN1027" s="11">
        <f ca="1">IFERROR(__xludf.DUMMYFUNCTION("""COMPUTED_VALUE"""),44919)</f>
        <v>44919</v>
      </c>
      <c r="AO1027" s="12">
        <f ca="1">IFERROR(VLOOKUP(AN1027,koronahun!A:B,2,FALSE),"")</f>
        <v>0</v>
      </c>
      <c r="AP1027" s="11">
        <f t="shared" ca="1" si="7"/>
        <v>44919</v>
      </c>
      <c r="AQ1027" s="11"/>
      <c r="AR1027" s="11"/>
      <c r="AS1027" s="11"/>
      <c r="AT1027" s="11"/>
    </row>
    <row r="1028" spans="1:46" ht="13">
      <c r="A1028" s="11"/>
      <c r="B1028" t="str">
        <f>IFERROR(VLOOKUP($A1028,koronahun!$A:$AM,2,FALSE),"")</f>
        <v/>
      </c>
      <c r="C1028" t="str">
        <f>IFERROR(VLOOKUP($A1028,koronahun!$A:$AM,3,FALSE),"")</f>
        <v/>
      </c>
      <c r="D1028" t="str">
        <f>IFERROR(VLOOKUP($A1028,koronahun!$A:$AM,4,FALSE),"")</f>
        <v/>
      </c>
      <c r="E1028" t="str">
        <f>IFERROR(VLOOKUP($A1028,koronahun!$A:$AM,5,FALSE),"")</f>
        <v/>
      </c>
      <c r="F1028" t="str">
        <f>IFERROR(VLOOKUP($A1028,koronahun!$A:$AM,6,FALSE),"")</f>
        <v/>
      </c>
      <c r="G1028" s="12" t="str">
        <f>IFERROR(VLOOKUP($A1028,koronahun!$A:$AM,7,FALSE),"")</f>
        <v/>
      </c>
      <c r="H1028" t="str">
        <f>IFERROR(VLOOKUP($A1028,koronahun!$A:$AM,8,FALSE),"")</f>
        <v/>
      </c>
      <c r="I1028" s="13" t="str">
        <f>IFERROR(VLOOKUP($A1028,koronahun!$A:$AM,9,FALSE),"")</f>
        <v/>
      </c>
      <c r="J1028" s="13" t="str">
        <f>IFERROR(VLOOKUP($A1028,koronahun!$A:$AM,10,FALSE),"")</f>
        <v/>
      </c>
      <c r="K1028" s="13" t="str">
        <f>IFERROR(VLOOKUP($A1028,koronahun!$A:$AM,11,FALSE),"")</f>
        <v/>
      </c>
      <c r="L1028" t="str">
        <f>IFERROR(VLOOKUP($A1028,koronahun!$A:$AM,12,FALSE),"")</f>
        <v/>
      </c>
      <c r="M1028" s="13" t="str">
        <f>IFERROR(VLOOKUP($A1028,koronahun!$A:$AM,13,FALSE),"")</f>
        <v/>
      </c>
      <c r="N1028" s="13" t="str">
        <f>IFERROR(VLOOKUP($A1028,koronahun!$A:$AM,14,FALSE),"")</f>
        <v/>
      </c>
      <c r="O1028" t="str">
        <f>IFERROR(VLOOKUP($A1028,koronahun!$A:$AM,15,FALSE),"")</f>
        <v/>
      </c>
      <c r="P1028" t="str">
        <f>IFERROR(VLOOKUP($A1028,koronahun!$A:$AM,16,FALSE),"")</f>
        <v/>
      </c>
      <c r="Q1028" s="13" t="str">
        <f>IFERROR(VLOOKUP($A1028,koronahun!$A:$AM,17,FALSE),"")</f>
        <v/>
      </c>
      <c r="R1028" t="str">
        <f>IFERROR(VLOOKUP($A1028,koronahun!$A:$AM,18,FALSE),"")</f>
        <v/>
      </c>
      <c r="S1028" t="str">
        <f>IFERROR(VLOOKUP($A1028,koronahun!$A:$AM,19,FALSE),"")</f>
        <v/>
      </c>
      <c r="T1028" t="str">
        <f>IFERROR(VLOOKUP($A1028,koronahun!$A:$AM,20,FALSE),"")</f>
        <v/>
      </c>
      <c r="U1028" t="str">
        <f>IFERROR(VLOOKUP($A1028,koronahun!$A:$AM,21,FALSE),"")</f>
        <v/>
      </c>
      <c r="V1028" s="13" t="str">
        <f>IFERROR(VLOOKUP($A1028,koronahun!$A:$AM,22,FALSE),"")</f>
        <v/>
      </c>
      <c r="W1028" t="str">
        <f>IFERROR(VLOOKUP($A1028,koronahun!$A:$AM,23,FALSE),"")</f>
        <v/>
      </c>
      <c r="X1028" t="str">
        <f>IFERROR(VLOOKUP($A1028,koronahun!$A:$AM,24,FALSE),"")</f>
        <v/>
      </c>
      <c r="Y1028" s="14" t="str">
        <f>IFERROR(VLOOKUP($A1028,koronahun!$A:$AM,25,FALSE),"")</f>
        <v/>
      </c>
      <c r="Z1028" s="14" t="str">
        <f>IFERROR(VLOOKUP($A1028,koronahun!$A:$AM,26,FALSE),"")</f>
        <v/>
      </c>
      <c r="AA1028" s="14" t="str">
        <f>IFERROR(VLOOKUP($A1028,koronahun!$A:$AM,27,FALSE),"")</f>
        <v/>
      </c>
      <c r="AB1028" s="14" t="str">
        <f>IFERROR(VLOOKUP($A1028,koronahun!$A:$AM,28,FALSE),"")</f>
        <v/>
      </c>
      <c r="AC1028" s="14" t="str">
        <f>IFERROR(VLOOKUP($A1028,koronahun!$A:$AM,29,FALSE),"")</f>
        <v/>
      </c>
      <c r="AD1028" s="14" t="str">
        <f>IFERROR(VLOOKUP($A1028,koronahun!$A:$AM,30,FALSE),"")</f>
        <v/>
      </c>
      <c r="AE1028" s="14" t="str">
        <f>IFERROR(VLOOKUP($A1028,koronahun!$A:$AM,31,FALSE),"")</f>
        <v/>
      </c>
      <c r="AF1028" s="13" t="str">
        <f>IFERROR(VLOOKUP($A1028,koronahun!$A:$AM,32,FALSE),"")</f>
        <v/>
      </c>
      <c r="AG1028" t="str">
        <f>IFERROR(VLOOKUP($A1028,koronahun!$A:$AM,33,FALSE),"")</f>
        <v/>
      </c>
      <c r="AH1028" t="str">
        <f>IFERROR(VLOOKUP($A1028,koronahun!$A:$AM,34,FALSE),"")</f>
        <v/>
      </c>
      <c r="AI1028" t="str">
        <f>IFERROR(VLOOKUP($A1028,koronahun!$A:$AM,35,FALSE),"")</f>
        <v/>
      </c>
      <c r="AJ1028" t="str">
        <f>IFERROR(VLOOKUP($A1028,koronahun!$A:$AM,36,FALSE),"")</f>
        <v/>
      </c>
      <c r="AK1028" t="str">
        <f>IFERROR(VLOOKUP($A1028,koronahun!$A:$AM,37,FALSE),"")</f>
        <v/>
      </c>
      <c r="AL1028" t="str">
        <f>IFERROR(VLOOKUP($A1028,koronahun!$A:$AM,38,FALSE),"")</f>
        <v/>
      </c>
      <c r="AM1028" s="14" t="str">
        <f>IFERROR(VLOOKUP($A1028,koronahun!$A:$AM,39,FALSE),"")</f>
        <v/>
      </c>
      <c r="AN1028" s="11">
        <f ca="1">IFERROR(__xludf.DUMMYFUNCTION("""COMPUTED_VALUE"""),44920)</f>
        <v>44920</v>
      </c>
      <c r="AO1028" s="12">
        <f ca="1">IFERROR(VLOOKUP(AN1028,koronahun!A:B,2,FALSE),"")</f>
        <v>0</v>
      </c>
      <c r="AP1028" s="11">
        <f t="shared" ca="1" si="7"/>
        <v>44920</v>
      </c>
      <c r="AQ1028" s="11"/>
      <c r="AR1028" s="11"/>
      <c r="AS1028" s="11"/>
      <c r="AT1028" s="11"/>
    </row>
    <row r="1029" spans="1:46" ht="13">
      <c r="A1029" s="11"/>
      <c r="B1029" t="str">
        <f>IFERROR(VLOOKUP($A1029,koronahun!$A:$AM,2,FALSE),"")</f>
        <v/>
      </c>
      <c r="C1029" t="str">
        <f>IFERROR(VLOOKUP($A1029,koronahun!$A:$AM,3,FALSE),"")</f>
        <v/>
      </c>
      <c r="D1029" t="str">
        <f>IFERROR(VLOOKUP($A1029,koronahun!$A:$AM,4,FALSE),"")</f>
        <v/>
      </c>
      <c r="E1029" t="str">
        <f>IFERROR(VLOOKUP($A1029,koronahun!$A:$AM,5,FALSE),"")</f>
        <v/>
      </c>
      <c r="F1029" t="str">
        <f>IFERROR(VLOOKUP($A1029,koronahun!$A:$AM,6,FALSE),"")</f>
        <v/>
      </c>
      <c r="G1029" s="12" t="str">
        <f>IFERROR(VLOOKUP($A1029,koronahun!$A:$AM,7,FALSE),"")</f>
        <v/>
      </c>
      <c r="H1029" t="str">
        <f>IFERROR(VLOOKUP($A1029,koronahun!$A:$AM,8,FALSE),"")</f>
        <v/>
      </c>
      <c r="I1029" s="13" t="str">
        <f>IFERROR(VLOOKUP($A1029,koronahun!$A:$AM,9,FALSE),"")</f>
        <v/>
      </c>
      <c r="J1029" s="13" t="str">
        <f>IFERROR(VLOOKUP($A1029,koronahun!$A:$AM,10,FALSE),"")</f>
        <v/>
      </c>
      <c r="K1029" s="13" t="str">
        <f>IFERROR(VLOOKUP($A1029,koronahun!$A:$AM,11,FALSE),"")</f>
        <v/>
      </c>
      <c r="L1029" t="str">
        <f>IFERROR(VLOOKUP($A1029,koronahun!$A:$AM,12,FALSE),"")</f>
        <v/>
      </c>
      <c r="M1029" s="13" t="str">
        <f>IFERROR(VLOOKUP($A1029,koronahun!$A:$AM,13,FALSE),"")</f>
        <v/>
      </c>
      <c r="N1029" s="13" t="str">
        <f>IFERROR(VLOOKUP($A1029,koronahun!$A:$AM,14,FALSE),"")</f>
        <v/>
      </c>
      <c r="O1029" t="str">
        <f>IFERROR(VLOOKUP($A1029,koronahun!$A:$AM,15,FALSE),"")</f>
        <v/>
      </c>
      <c r="P1029" t="str">
        <f>IFERROR(VLOOKUP($A1029,koronahun!$A:$AM,16,FALSE),"")</f>
        <v/>
      </c>
      <c r="Q1029" s="13" t="str">
        <f>IFERROR(VLOOKUP($A1029,koronahun!$A:$AM,17,FALSE),"")</f>
        <v/>
      </c>
      <c r="R1029" t="str">
        <f>IFERROR(VLOOKUP($A1029,koronahun!$A:$AM,18,FALSE),"")</f>
        <v/>
      </c>
      <c r="S1029" t="str">
        <f>IFERROR(VLOOKUP($A1029,koronahun!$A:$AM,19,FALSE),"")</f>
        <v/>
      </c>
      <c r="T1029" t="str">
        <f>IFERROR(VLOOKUP($A1029,koronahun!$A:$AM,20,FALSE),"")</f>
        <v/>
      </c>
      <c r="U1029" t="str">
        <f>IFERROR(VLOOKUP($A1029,koronahun!$A:$AM,21,FALSE),"")</f>
        <v/>
      </c>
      <c r="V1029" s="13" t="str">
        <f>IFERROR(VLOOKUP($A1029,koronahun!$A:$AM,22,FALSE),"")</f>
        <v/>
      </c>
      <c r="W1029" t="str">
        <f>IFERROR(VLOOKUP($A1029,koronahun!$A:$AM,23,FALSE),"")</f>
        <v/>
      </c>
      <c r="X1029" t="str">
        <f>IFERROR(VLOOKUP($A1029,koronahun!$A:$AM,24,FALSE),"")</f>
        <v/>
      </c>
      <c r="Y1029" s="14" t="str">
        <f>IFERROR(VLOOKUP($A1029,koronahun!$A:$AM,25,FALSE),"")</f>
        <v/>
      </c>
      <c r="Z1029" s="14" t="str">
        <f>IFERROR(VLOOKUP($A1029,koronahun!$A:$AM,26,FALSE),"")</f>
        <v/>
      </c>
      <c r="AA1029" s="14" t="str">
        <f>IFERROR(VLOOKUP($A1029,koronahun!$A:$AM,27,FALSE),"")</f>
        <v/>
      </c>
      <c r="AB1029" s="14" t="str">
        <f>IFERROR(VLOOKUP($A1029,koronahun!$A:$AM,28,FALSE),"")</f>
        <v/>
      </c>
      <c r="AC1029" s="14" t="str">
        <f>IFERROR(VLOOKUP($A1029,koronahun!$A:$AM,29,FALSE),"")</f>
        <v/>
      </c>
      <c r="AD1029" s="14" t="str">
        <f>IFERROR(VLOOKUP($A1029,koronahun!$A:$AM,30,FALSE),"")</f>
        <v/>
      </c>
      <c r="AE1029" s="14" t="str">
        <f>IFERROR(VLOOKUP($A1029,koronahun!$A:$AM,31,FALSE),"")</f>
        <v/>
      </c>
      <c r="AF1029" s="13" t="str">
        <f>IFERROR(VLOOKUP($A1029,koronahun!$A:$AM,32,FALSE),"")</f>
        <v/>
      </c>
      <c r="AG1029" t="str">
        <f>IFERROR(VLOOKUP($A1029,koronahun!$A:$AM,33,FALSE),"")</f>
        <v/>
      </c>
      <c r="AH1029" t="str">
        <f>IFERROR(VLOOKUP($A1029,koronahun!$A:$AM,34,FALSE),"")</f>
        <v/>
      </c>
      <c r="AI1029" t="str">
        <f>IFERROR(VLOOKUP($A1029,koronahun!$A:$AM,35,FALSE),"")</f>
        <v/>
      </c>
      <c r="AJ1029" t="str">
        <f>IFERROR(VLOOKUP($A1029,koronahun!$A:$AM,36,FALSE),"")</f>
        <v/>
      </c>
      <c r="AK1029" t="str">
        <f>IFERROR(VLOOKUP($A1029,koronahun!$A:$AM,37,FALSE),"")</f>
        <v/>
      </c>
      <c r="AL1029" t="str">
        <f>IFERROR(VLOOKUP($A1029,koronahun!$A:$AM,38,FALSE),"")</f>
        <v/>
      </c>
      <c r="AM1029" s="14" t="str">
        <f>IFERROR(VLOOKUP($A1029,koronahun!$A:$AM,39,FALSE),"")</f>
        <v/>
      </c>
      <c r="AN1029" s="11">
        <f ca="1">IFERROR(__xludf.DUMMYFUNCTION("""COMPUTED_VALUE"""),44921)</f>
        <v>44921</v>
      </c>
      <c r="AO1029" s="12">
        <f ca="1">IFERROR(VLOOKUP(AN1029,koronahun!A:B,2,FALSE),"")</f>
        <v>0</v>
      </c>
      <c r="AP1029" s="11">
        <f t="shared" ca="1" si="7"/>
        <v>44921</v>
      </c>
      <c r="AQ1029" s="11"/>
      <c r="AR1029" s="11"/>
      <c r="AS1029" s="11"/>
      <c r="AT1029" s="11"/>
    </row>
    <row r="1030" spans="1:46" ht="13">
      <c r="A1030" s="11"/>
      <c r="B1030" t="str">
        <f>IFERROR(VLOOKUP($A1030,koronahun!$A:$AM,2,FALSE),"")</f>
        <v/>
      </c>
      <c r="C1030" t="str">
        <f>IFERROR(VLOOKUP($A1030,koronahun!$A:$AM,3,FALSE),"")</f>
        <v/>
      </c>
      <c r="D1030" t="str">
        <f>IFERROR(VLOOKUP($A1030,koronahun!$A:$AM,4,FALSE),"")</f>
        <v/>
      </c>
      <c r="E1030" t="str">
        <f>IFERROR(VLOOKUP($A1030,koronahun!$A:$AM,5,FALSE),"")</f>
        <v/>
      </c>
      <c r="F1030" t="str">
        <f>IFERROR(VLOOKUP($A1030,koronahun!$A:$AM,6,FALSE),"")</f>
        <v/>
      </c>
      <c r="G1030" s="12" t="str">
        <f>IFERROR(VLOOKUP($A1030,koronahun!$A:$AM,7,FALSE),"")</f>
        <v/>
      </c>
      <c r="H1030" t="str">
        <f>IFERROR(VLOOKUP($A1030,koronahun!$A:$AM,8,FALSE),"")</f>
        <v/>
      </c>
      <c r="I1030" s="13" t="str">
        <f>IFERROR(VLOOKUP($A1030,koronahun!$A:$AM,9,FALSE),"")</f>
        <v/>
      </c>
      <c r="J1030" s="13" t="str">
        <f>IFERROR(VLOOKUP($A1030,koronahun!$A:$AM,10,FALSE),"")</f>
        <v/>
      </c>
      <c r="K1030" s="13" t="str">
        <f>IFERROR(VLOOKUP($A1030,koronahun!$A:$AM,11,FALSE),"")</f>
        <v/>
      </c>
      <c r="L1030" t="str">
        <f>IFERROR(VLOOKUP($A1030,koronahun!$A:$AM,12,FALSE),"")</f>
        <v/>
      </c>
      <c r="M1030" s="13" t="str">
        <f>IFERROR(VLOOKUP($A1030,koronahun!$A:$AM,13,FALSE),"")</f>
        <v/>
      </c>
      <c r="N1030" s="13" t="str">
        <f>IFERROR(VLOOKUP($A1030,koronahun!$A:$AM,14,FALSE),"")</f>
        <v/>
      </c>
      <c r="O1030" t="str">
        <f>IFERROR(VLOOKUP($A1030,koronahun!$A:$AM,15,FALSE),"")</f>
        <v/>
      </c>
      <c r="P1030" t="str">
        <f>IFERROR(VLOOKUP($A1030,koronahun!$A:$AM,16,FALSE),"")</f>
        <v/>
      </c>
      <c r="Q1030" s="13" t="str">
        <f>IFERROR(VLOOKUP($A1030,koronahun!$A:$AM,17,FALSE),"")</f>
        <v/>
      </c>
      <c r="R1030" t="str">
        <f>IFERROR(VLOOKUP($A1030,koronahun!$A:$AM,18,FALSE),"")</f>
        <v/>
      </c>
      <c r="S1030" t="str">
        <f>IFERROR(VLOOKUP($A1030,koronahun!$A:$AM,19,FALSE),"")</f>
        <v/>
      </c>
      <c r="T1030" t="str">
        <f>IFERROR(VLOOKUP($A1030,koronahun!$A:$AM,20,FALSE),"")</f>
        <v/>
      </c>
      <c r="U1030" t="str">
        <f>IFERROR(VLOOKUP($A1030,koronahun!$A:$AM,21,FALSE),"")</f>
        <v/>
      </c>
      <c r="V1030" s="13" t="str">
        <f>IFERROR(VLOOKUP($A1030,koronahun!$A:$AM,22,FALSE),"")</f>
        <v/>
      </c>
      <c r="W1030" t="str">
        <f>IFERROR(VLOOKUP($A1030,koronahun!$A:$AM,23,FALSE),"")</f>
        <v/>
      </c>
      <c r="X1030" t="str">
        <f>IFERROR(VLOOKUP($A1030,koronahun!$A:$AM,24,FALSE),"")</f>
        <v/>
      </c>
      <c r="Y1030" s="14" t="str">
        <f>IFERROR(VLOOKUP($A1030,koronahun!$A:$AM,25,FALSE),"")</f>
        <v/>
      </c>
      <c r="Z1030" s="14" t="str">
        <f>IFERROR(VLOOKUP($A1030,koronahun!$A:$AM,26,FALSE),"")</f>
        <v/>
      </c>
      <c r="AA1030" s="14" t="str">
        <f>IFERROR(VLOOKUP($A1030,koronahun!$A:$AM,27,FALSE),"")</f>
        <v/>
      </c>
      <c r="AB1030" s="14" t="str">
        <f>IFERROR(VLOOKUP($A1030,koronahun!$A:$AM,28,FALSE),"")</f>
        <v/>
      </c>
      <c r="AC1030" s="14" t="str">
        <f>IFERROR(VLOOKUP($A1030,koronahun!$A:$AM,29,FALSE),"")</f>
        <v/>
      </c>
      <c r="AD1030" s="14" t="str">
        <f>IFERROR(VLOOKUP($A1030,koronahun!$A:$AM,30,FALSE),"")</f>
        <v/>
      </c>
      <c r="AE1030" s="14" t="str">
        <f>IFERROR(VLOOKUP($A1030,koronahun!$A:$AM,31,FALSE),"")</f>
        <v/>
      </c>
      <c r="AF1030" s="13" t="str">
        <f>IFERROR(VLOOKUP($A1030,koronahun!$A:$AM,32,FALSE),"")</f>
        <v/>
      </c>
      <c r="AG1030" t="str">
        <f>IFERROR(VLOOKUP($A1030,koronahun!$A:$AM,33,FALSE),"")</f>
        <v/>
      </c>
      <c r="AH1030" t="str">
        <f>IFERROR(VLOOKUP($A1030,koronahun!$A:$AM,34,FALSE),"")</f>
        <v/>
      </c>
      <c r="AI1030" t="str">
        <f>IFERROR(VLOOKUP($A1030,koronahun!$A:$AM,35,FALSE),"")</f>
        <v/>
      </c>
      <c r="AJ1030" t="str">
        <f>IFERROR(VLOOKUP($A1030,koronahun!$A:$AM,36,FALSE),"")</f>
        <v/>
      </c>
      <c r="AK1030" t="str">
        <f>IFERROR(VLOOKUP($A1030,koronahun!$A:$AM,37,FALSE),"")</f>
        <v/>
      </c>
      <c r="AL1030" t="str">
        <f>IFERROR(VLOOKUP($A1030,koronahun!$A:$AM,38,FALSE),"")</f>
        <v/>
      </c>
      <c r="AM1030" s="14" t="str">
        <f>IFERROR(VLOOKUP($A1030,koronahun!$A:$AM,39,FALSE),"")</f>
        <v/>
      </c>
      <c r="AN1030" s="11">
        <f ca="1">IFERROR(__xludf.DUMMYFUNCTION("""COMPUTED_VALUE"""),44922)</f>
        <v>44922</v>
      </c>
      <c r="AO1030" s="12">
        <f ca="1">IFERROR(VLOOKUP(AN1030,koronahun!A:B,2,FALSE),"")</f>
        <v>0</v>
      </c>
      <c r="AP1030" s="11">
        <f t="shared" ca="1" si="7"/>
        <v>44922</v>
      </c>
      <c r="AQ1030" s="11"/>
      <c r="AR1030" s="11"/>
      <c r="AS1030" s="11"/>
      <c r="AT1030" s="11"/>
    </row>
    <row r="1031" spans="1:46" ht="13">
      <c r="A1031" s="11"/>
      <c r="B1031" t="str">
        <f>IFERROR(VLOOKUP($A1031,koronahun!$A:$AM,2,FALSE),"")</f>
        <v/>
      </c>
      <c r="C1031" t="str">
        <f>IFERROR(VLOOKUP($A1031,koronahun!$A:$AM,3,FALSE),"")</f>
        <v/>
      </c>
      <c r="D1031" t="str">
        <f>IFERROR(VLOOKUP($A1031,koronahun!$A:$AM,4,FALSE),"")</f>
        <v/>
      </c>
      <c r="E1031" t="str">
        <f>IFERROR(VLOOKUP($A1031,koronahun!$A:$AM,5,FALSE),"")</f>
        <v/>
      </c>
      <c r="F1031" t="str">
        <f>IFERROR(VLOOKUP($A1031,koronahun!$A:$AM,6,FALSE),"")</f>
        <v/>
      </c>
      <c r="G1031" s="12" t="str">
        <f>IFERROR(VLOOKUP($A1031,koronahun!$A:$AM,7,FALSE),"")</f>
        <v/>
      </c>
      <c r="H1031" t="str">
        <f>IFERROR(VLOOKUP($A1031,koronahun!$A:$AM,8,FALSE),"")</f>
        <v/>
      </c>
      <c r="I1031" s="13" t="str">
        <f>IFERROR(VLOOKUP($A1031,koronahun!$A:$AM,9,FALSE),"")</f>
        <v/>
      </c>
      <c r="J1031" s="13" t="str">
        <f>IFERROR(VLOOKUP($A1031,koronahun!$A:$AM,10,FALSE),"")</f>
        <v/>
      </c>
      <c r="K1031" s="13" t="str">
        <f>IFERROR(VLOOKUP($A1031,koronahun!$A:$AM,11,FALSE),"")</f>
        <v/>
      </c>
      <c r="L1031" t="str">
        <f>IFERROR(VLOOKUP($A1031,koronahun!$A:$AM,12,FALSE),"")</f>
        <v/>
      </c>
      <c r="M1031" s="13" t="str">
        <f>IFERROR(VLOOKUP($A1031,koronahun!$A:$AM,13,FALSE),"")</f>
        <v/>
      </c>
      <c r="N1031" s="13" t="str">
        <f>IFERROR(VLOOKUP($A1031,koronahun!$A:$AM,14,FALSE),"")</f>
        <v/>
      </c>
      <c r="O1031" t="str">
        <f>IFERROR(VLOOKUP($A1031,koronahun!$A:$AM,15,FALSE),"")</f>
        <v/>
      </c>
      <c r="P1031" t="str">
        <f>IFERROR(VLOOKUP($A1031,koronahun!$A:$AM,16,FALSE),"")</f>
        <v/>
      </c>
      <c r="Q1031" s="13" t="str">
        <f>IFERROR(VLOOKUP($A1031,koronahun!$A:$AM,17,FALSE),"")</f>
        <v/>
      </c>
      <c r="R1031" t="str">
        <f>IFERROR(VLOOKUP($A1031,koronahun!$A:$AM,18,FALSE),"")</f>
        <v/>
      </c>
      <c r="S1031" t="str">
        <f>IFERROR(VLOOKUP($A1031,koronahun!$A:$AM,19,FALSE),"")</f>
        <v/>
      </c>
      <c r="T1031" t="str">
        <f>IFERROR(VLOOKUP($A1031,koronahun!$A:$AM,20,FALSE),"")</f>
        <v/>
      </c>
      <c r="U1031" t="str">
        <f>IFERROR(VLOOKUP($A1031,koronahun!$A:$AM,21,FALSE),"")</f>
        <v/>
      </c>
      <c r="V1031" s="13" t="str">
        <f>IFERROR(VLOOKUP($A1031,koronahun!$A:$AM,22,FALSE),"")</f>
        <v/>
      </c>
      <c r="W1031" t="str">
        <f>IFERROR(VLOOKUP($A1031,koronahun!$A:$AM,23,FALSE),"")</f>
        <v/>
      </c>
      <c r="X1031" t="str">
        <f>IFERROR(VLOOKUP($A1031,koronahun!$A:$AM,24,FALSE),"")</f>
        <v/>
      </c>
      <c r="Y1031" s="14" t="str">
        <f>IFERROR(VLOOKUP($A1031,koronahun!$A:$AM,25,FALSE),"")</f>
        <v/>
      </c>
      <c r="Z1031" s="14" t="str">
        <f>IFERROR(VLOOKUP($A1031,koronahun!$A:$AM,26,FALSE),"")</f>
        <v/>
      </c>
      <c r="AA1031" s="14" t="str">
        <f>IFERROR(VLOOKUP($A1031,koronahun!$A:$AM,27,FALSE),"")</f>
        <v/>
      </c>
      <c r="AB1031" s="14" t="str">
        <f>IFERROR(VLOOKUP($A1031,koronahun!$A:$AM,28,FALSE),"")</f>
        <v/>
      </c>
      <c r="AC1031" s="14" t="str">
        <f>IFERROR(VLOOKUP($A1031,koronahun!$A:$AM,29,FALSE),"")</f>
        <v/>
      </c>
      <c r="AD1031" s="14" t="str">
        <f>IFERROR(VLOOKUP($A1031,koronahun!$A:$AM,30,FALSE),"")</f>
        <v/>
      </c>
      <c r="AE1031" s="14" t="str">
        <f>IFERROR(VLOOKUP($A1031,koronahun!$A:$AM,31,FALSE),"")</f>
        <v/>
      </c>
      <c r="AF1031" s="13" t="str">
        <f>IFERROR(VLOOKUP($A1031,koronahun!$A:$AM,32,FALSE),"")</f>
        <v/>
      </c>
      <c r="AG1031" t="str">
        <f>IFERROR(VLOOKUP($A1031,koronahun!$A:$AM,33,FALSE),"")</f>
        <v/>
      </c>
      <c r="AH1031" t="str">
        <f>IFERROR(VLOOKUP($A1031,koronahun!$A:$AM,34,FALSE),"")</f>
        <v/>
      </c>
      <c r="AI1031" t="str">
        <f>IFERROR(VLOOKUP($A1031,koronahun!$A:$AM,35,FALSE),"")</f>
        <v/>
      </c>
      <c r="AJ1031" t="str">
        <f>IFERROR(VLOOKUP($A1031,koronahun!$A:$AM,36,FALSE),"")</f>
        <v/>
      </c>
      <c r="AK1031" t="str">
        <f>IFERROR(VLOOKUP($A1031,koronahun!$A:$AM,37,FALSE),"")</f>
        <v/>
      </c>
      <c r="AL1031" t="str">
        <f>IFERROR(VLOOKUP($A1031,koronahun!$A:$AM,38,FALSE),"")</f>
        <v/>
      </c>
      <c r="AM1031" s="14" t="str">
        <f>IFERROR(VLOOKUP($A1031,koronahun!$A:$AM,39,FALSE),"")</f>
        <v/>
      </c>
      <c r="AN1031" s="11">
        <f ca="1">IFERROR(__xludf.DUMMYFUNCTION("""COMPUTED_VALUE"""),44923)</f>
        <v>44923</v>
      </c>
      <c r="AO1031" s="12">
        <f ca="1">IFERROR(VLOOKUP(AN1031,koronahun!A:B,2,FALSE),"")</f>
        <v>2185816</v>
      </c>
      <c r="AP1031" s="11">
        <f t="shared" ca="1" si="7"/>
        <v>44923</v>
      </c>
      <c r="AQ1031" s="11"/>
      <c r="AR1031" s="11"/>
      <c r="AS1031" s="11"/>
      <c r="AT1031" s="11"/>
    </row>
    <row r="1032" spans="1:46" ht="13">
      <c r="A1032" s="11"/>
      <c r="G1032" s="12"/>
      <c r="I1032" s="13"/>
      <c r="J1032" s="13"/>
      <c r="K1032" s="13"/>
      <c r="M1032" s="13"/>
      <c r="N1032" s="13"/>
      <c r="Q1032" s="13"/>
      <c r="V1032" s="13"/>
      <c r="Y1032" s="14"/>
      <c r="Z1032" s="14"/>
      <c r="AA1032" s="14"/>
      <c r="AB1032" s="14"/>
      <c r="AC1032" s="14"/>
      <c r="AD1032" s="14"/>
      <c r="AE1032" s="14"/>
      <c r="AF1032" s="13"/>
      <c r="AM1032" s="14"/>
      <c r="AN1032" s="11"/>
      <c r="AO1032" s="12"/>
      <c r="AP1032" s="11"/>
      <c r="AQ1032" s="11"/>
      <c r="AR1032" s="11"/>
      <c r="AS1032" s="11"/>
      <c r="AT1032" s="11"/>
    </row>
    <row r="1033" spans="1:46" ht="13">
      <c r="A1033" s="11"/>
      <c r="G1033" s="12"/>
      <c r="I1033" s="13"/>
      <c r="J1033" s="13"/>
      <c r="K1033" s="13"/>
      <c r="M1033" s="13"/>
      <c r="N1033" s="13"/>
      <c r="Q1033" s="13"/>
      <c r="V1033" s="13"/>
      <c r="Y1033" s="14"/>
      <c r="Z1033" s="14"/>
      <c r="AA1033" s="14"/>
      <c r="AB1033" s="14"/>
      <c r="AC1033" s="14"/>
      <c r="AD1033" s="14"/>
      <c r="AE1033" s="14"/>
      <c r="AF1033" s="13"/>
      <c r="AM1033" s="14"/>
      <c r="AN1033" s="11"/>
      <c r="AO1033" s="12"/>
      <c r="AP1033" s="11"/>
      <c r="AQ1033" s="11"/>
      <c r="AR1033" s="11"/>
      <c r="AS1033" s="11"/>
      <c r="AT1033" s="11"/>
    </row>
    <row r="1034" spans="1:46" ht="13">
      <c r="A1034" s="11"/>
      <c r="G1034" s="12"/>
      <c r="I1034" s="13"/>
      <c r="J1034" s="13"/>
      <c r="K1034" s="13"/>
      <c r="M1034" s="13"/>
      <c r="N1034" s="13"/>
      <c r="Q1034" s="13"/>
      <c r="V1034" s="13"/>
      <c r="Y1034" s="14"/>
      <c r="Z1034" s="14"/>
      <c r="AA1034" s="14"/>
      <c r="AB1034" s="14"/>
      <c r="AC1034" s="14"/>
      <c r="AD1034" s="14"/>
      <c r="AE1034" s="14"/>
      <c r="AF1034" s="13"/>
      <c r="AM1034" s="14"/>
      <c r="AN1034" s="11"/>
      <c r="AO1034" s="12"/>
      <c r="AP1034" s="11"/>
      <c r="AQ1034" s="11"/>
      <c r="AR1034" s="11"/>
      <c r="AS1034" s="11"/>
      <c r="AT1034" s="11"/>
    </row>
    <row r="1035" spans="1:46" ht="13">
      <c r="A1035" s="11"/>
      <c r="G1035" s="12"/>
      <c r="I1035" s="13"/>
      <c r="J1035" s="13"/>
      <c r="K1035" s="13"/>
      <c r="M1035" s="13"/>
      <c r="N1035" s="13"/>
      <c r="Q1035" s="13"/>
      <c r="V1035" s="13"/>
      <c r="Y1035" s="14"/>
      <c r="Z1035" s="14"/>
      <c r="AA1035" s="14"/>
      <c r="AB1035" s="14"/>
      <c r="AC1035" s="14"/>
      <c r="AD1035" s="14"/>
      <c r="AE1035" s="14"/>
      <c r="AF1035" s="13"/>
      <c r="AM1035" s="14"/>
      <c r="AN1035" s="11"/>
      <c r="AO1035" s="12"/>
      <c r="AP1035" s="11"/>
      <c r="AQ1035" s="11"/>
      <c r="AR1035" s="11"/>
      <c r="AS1035" s="11"/>
      <c r="AT1035" s="11"/>
    </row>
    <row r="1036" spans="1:46" ht="13">
      <c r="A1036" s="11"/>
      <c r="G1036" s="12"/>
      <c r="I1036" s="13"/>
      <c r="J1036" s="13"/>
      <c r="K1036" s="13"/>
      <c r="M1036" s="13"/>
      <c r="N1036" s="13"/>
      <c r="Q1036" s="13"/>
      <c r="V1036" s="13"/>
      <c r="Y1036" s="14"/>
      <c r="Z1036" s="14"/>
      <c r="AA1036" s="14"/>
      <c r="AB1036" s="14"/>
      <c r="AC1036" s="14"/>
      <c r="AD1036" s="14"/>
      <c r="AE1036" s="14"/>
      <c r="AF1036" s="13"/>
      <c r="AM1036" s="14"/>
      <c r="AN1036" s="11"/>
      <c r="AO1036" s="12"/>
      <c r="AP1036" s="11"/>
      <c r="AQ1036" s="11"/>
      <c r="AR1036" s="11"/>
      <c r="AS1036" s="11"/>
      <c r="AT1036" s="11"/>
    </row>
    <row r="1037" spans="1:46" ht="13">
      <c r="A1037" s="11"/>
      <c r="G1037" s="12"/>
      <c r="I1037" s="13"/>
      <c r="J1037" s="13"/>
      <c r="K1037" s="13"/>
      <c r="M1037" s="13"/>
      <c r="N1037" s="13"/>
      <c r="Q1037" s="13"/>
      <c r="V1037" s="13"/>
      <c r="Y1037" s="14"/>
      <c r="Z1037" s="14"/>
      <c r="AA1037" s="14"/>
      <c r="AB1037" s="14"/>
      <c r="AC1037" s="14"/>
      <c r="AD1037" s="14"/>
      <c r="AE1037" s="14"/>
      <c r="AF1037" s="13"/>
      <c r="AM1037" s="14"/>
      <c r="AN1037" s="11"/>
      <c r="AO1037" s="12"/>
      <c r="AP1037" s="11"/>
      <c r="AQ1037" s="11"/>
      <c r="AR1037" s="11"/>
      <c r="AS1037" s="11"/>
      <c r="AT1037" s="11"/>
    </row>
    <row r="1038" spans="1:46" ht="13">
      <c r="A1038" s="11"/>
      <c r="G1038" s="12"/>
      <c r="I1038" s="13"/>
      <c r="J1038" s="13"/>
      <c r="K1038" s="13"/>
      <c r="M1038" s="13"/>
      <c r="N1038" s="13"/>
      <c r="Q1038" s="13"/>
      <c r="V1038" s="13"/>
      <c r="Y1038" s="14"/>
      <c r="Z1038" s="14"/>
      <c r="AA1038" s="14"/>
      <c r="AB1038" s="14"/>
      <c r="AC1038" s="14"/>
      <c r="AD1038" s="14"/>
      <c r="AE1038" s="14"/>
      <c r="AF1038" s="13"/>
      <c r="AM1038" s="14"/>
      <c r="AN1038" s="11"/>
      <c r="AO1038" s="12"/>
      <c r="AP1038" s="11"/>
      <c r="AQ1038" s="11"/>
      <c r="AR1038" s="11"/>
      <c r="AS1038" s="11"/>
      <c r="AT1038" s="11"/>
    </row>
    <row r="1039" spans="1:46" ht="13">
      <c r="A1039" s="11"/>
      <c r="G1039" s="12"/>
      <c r="I1039" s="13"/>
      <c r="J1039" s="13"/>
      <c r="K1039" s="13"/>
      <c r="M1039" s="13"/>
      <c r="N1039" s="13"/>
      <c r="Q1039" s="13"/>
      <c r="V1039" s="13"/>
      <c r="Y1039" s="14"/>
      <c r="Z1039" s="14"/>
      <c r="AA1039" s="14"/>
      <c r="AB1039" s="14"/>
      <c r="AC1039" s="14"/>
      <c r="AD1039" s="14"/>
      <c r="AE1039" s="14"/>
      <c r="AF1039" s="13"/>
      <c r="AM1039" s="14"/>
      <c r="AN1039" s="11"/>
      <c r="AO1039" s="12"/>
      <c r="AP1039" s="11"/>
      <c r="AQ1039" s="11"/>
      <c r="AR1039" s="11"/>
      <c r="AS1039" s="11"/>
      <c r="AT1039" s="11"/>
    </row>
    <row r="1040" spans="1:46" ht="13">
      <c r="A1040" s="11"/>
      <c r="G1040" s="12"/>
      <c r="I1040" s="13"/>
      <c r="J1040" s="13"/>
      <c r="K1040" s="13"/>
      <c r="M1040" s="13"/>
      <c r="N1040" s="13"/>
      <c r="Q1040" s="13"/>
      <c r="V1040" s="13"/>
      <c r="Y1040" s="14"/>
      <c r="Z1040" s="14"/>
      <c r="AA1040" s="14"/>
      <c r="AB1040" s="14"/>
      <c r="AC1040" s="14"/>
      <c r="AD1040" s="14"/>
      <c r="AE1040" s="14"/>
      <c r="AF1040" s="13"/>
      <c r="AM1040" s="14"/>
      <c r="AN1040" s="11"/>
      <c r="AO1040" s="12"/>
      <c r="AP1040" s="11"/>
      <c r="AQ1040" s="11"/>
      <c r="AR1040" s="11"/>
      <c r="AS1040" s="11"/>
      <c r="AT1040" s="11"/>
    </row>
    <row r="1041" spans="1:46" ht="13">
      <c r="A1041" s="11"/>
      <c r="G1041" s="12"/>
      <c r="I1041" s="13"/>
      <c r="J1041" s="13"/>
      <c r="K1041" s="13"/>
      <c r="M1041" s="13"/>
      <c r="N1041" s="13"/>
      <c r="Q1041" s="13"/>
      <c r="V1041" s="13"/>
      <c r="Y1041" s="14"/>
      <c r="Z1041" s="14"/>
      <c r="AA1041" s="14"/>
      <c r="AB1041" s="14"/>
      <c r="AC1041" s="14"/>
      <c r="AD1041" s="14"/>
      <c r="AE1041" s="14"/>
      <c r="AF1041" s="13"/>
      <c r="AM1041" s="14"/>
      <c r="AN1041" s="11"/>
      <c r="AO1041" s="12"/>
      <c r="AP1041" s="11"/>
      <c r="AQ1041" s="11"/>
      <c r="AR1041" s="11"/>
      <c r="AS1041" s="11"/>
      <c r="AT1041" s="11"/>
    </row>
    <row r="1042" spans="1:46" ht="13">
      <c r="A1042" s="11"/>
      <c r="G1042" s="12"/>
      <c r="I1042" s="13"/>
      <c r="J1042" s="13"/>
      <c r="K1042" s="13"/>
      <c r="M1042" s="13"/>
      <c r="N1042" s="13"/>
      <c r="Q1042" s="13"/>
      <c r="V1042" s="13"/>
      <c r="Y1042" s="14"/>
      <c r="Z1042" s="14"/>
      <c r="AA1042" s="14"/>
      <c r="AB1042" s="14"/>
      <c r="AC1042" s="14"/>
      <c r="AD1042" s="14"/>
      <c r="AE1042" s="14"/>
      <c r="AF1042" s="13"/>
      <c r="AM1042" s="14"/>
      <c r="AN1042" s="11"/>
      <c r="AO1042" s="12"/>
      <c r="AP1042" s="11"/>
      <c r="AQ1042" s="11"/>
      <c r="AR1042" s="11"/>
      <c r="AS1042" s="11"/>
      <c r="AT1042" s="11"/>
    </row>
    <row r="1043" spans="1:46" ht="13">
      <c r="A1043" s="11"/>
      <c r="G1043" s="12"/>
      <c r="I1043" s="13"/>
      <c r="J1043" s="13"/>
      <c r="K1043" s="13"/>
      <c r="M1043" s="13"/>
      <c r="N1043" s="13"/>
      <c r="Q1043" s="13"/>
      <c r="V1043" s="13"/>
      <c r="Y1043" s="14"/>
      <c r="Z1043" s="14"/>
      <c r="AA1043" s="14"/>
      <c r="AB1043" s="14"/>
      <c r="AC1043" s="14"/>
      <c r="AD1043" s="14"/>
      <c r="AE1043" s="14"/>
      <c r="AF1043" s="13"/>
      <c r="AM1043" s="14"/>
      <c r="AN1043" s="11"/>
      <c r="AO1043" s="12"/>
      <c r="AP1043" s="11"/>
      <c r="AQ1043" s="11"/>
      <c r="AR1043" s="11"/>
      <c r="AS1043" s="11"/>
      <c r="AT1043" s="11"/>
    </row>
    <row r="1044" spans="1:46" ht="13">
      <c r="A1044" s="11"/>
      <c r="G1044" s="12"/>
      <c r="I1044" s="13"/>
      <c r="J1044" s="13"/>
      <c r="K1044" s="13"/>
      <c r="M1044" s="13"/>
      <c r="N1044" s="13"/>
      <c r="Q1044" s="13"/>
      <c r="V1044" s="13"/>
      <c r="Y1044" s="14"/>
      <c r="Z1044" s="14"/>
      <c r="AA1044" s="14"/>
      <c r="AB1044" s="14"/>
      <c r="AC1044" s="14"/>
      <c r="AD1044" s="14"/>
      <c r="AE1044" s="14"/>
      <c r="AF1044" s="13"/>
      <c r="AM1044" s="14"/>
      <c r="AN1044" s="11"/>
      <c r="AO1044" s="12"/>
      <c r="AP1044" s="11"/>
      <c r="AQ1044" s="11"/>
      <c r="AR1044" s="11"/>
      <c r="AS1044" s="11"/>
      <c r="AT1044" s="11"/>
    </row>
    <row r="1045" spans="1:46" ht="13">
      <c r="A1045" s="11"/>
      <c r="G1045" s="12"/>
      <c r="I1045" s="13"/>
      <c r="J1045" s="13"/>
      <c r="K1045" s="13"/>
      <c r="M1045" s="13"/>
      <c r="N1045" s="13"/>
      <c r="Q1045" s="13"/>
      <c r="V1045" s="13"/>
      <c r="Y1045" s="14"/>
      <c r="Z1045" s="14"/>
      <c r="AA1045" s="14"/>
      <c r="AB1045" s="14"/>
      <c r="AC1045" s="14"/>
      <c r="AD1045" s="14"/>
      <c r="AE1045" s="14"/>
      <c r="AF1045" s="13"/>
      <c r="AM1045" s="14"/>
      <c r="AN1045" s="11"/>
      <c r="AO1045" s="12"/>
      <c r="AP1045" s="11"/>
      <c r="AQ1045" s="11"/>
      <c r="AR1045" s="11"/>
      <c r="AS1045" s="11"/>
      <c r="AT1045" s="11"/>
    </row>
    <row r="1046" spans="1:46" ht="13">
      <c r="A1046" s="11"/>
      <c r="G1046" s="12"/>
      <c r="I1046" s="13"/>
      <c r="J1046" s="13"/>
      <c r="K1046" s="13"/>
      <c r="M1046" s="13"/>
      <c r="N1046" s="13"/>
      <c r="Q1046" s="13"/>
      <c r="V1046" s="13"/>
      <c r="Y1046" s="14"/>
      <c r="Z1046" s="14"/>
      <c r="AA1046" s="14"/>
      <c r="AB1046" s="14"/>
      <c r="AC1046" s="14"/>
      <c r="AD1046" s="14"/>
      <c r="AE1046" s="14"/>
      <c r="AF1046" s="13"/>
      <c r="AM1046" s="14"/>
      <c r="AN1046" s="11"/>
      <c r="AO1046" s="12"/>
      <c r="AP1046" s="11"/>
      <c r="AQ1046" s="11"/>
      <c r="AR1046" s="11"/>
      <c r="AS1046" s="11"/>
      <c r="AT1046" s="11"/>
    </row>
    <row r="1047" spans="1:46" ht="13">
      <c r="A1047" s="11"/>
      <c r="G1047" s="12"/>
      <c r="I1047" s="13"/>
      <c r="J1047" s="13"/>
      <c r="K1047" s="13"/>
      <c r="M1047" s="13"/>
      <c r="N1047" s="13"/>
      <c r="Q1047" s="13"/>
      <c r="V1047" s="13"/>
      <c r="Y1047" s="14"/>
      <c r="Z1047" s="14"/>
      <c r="AA1047" s="14"/>
      <c r="AB1047" s="14"/>
      <c r="AC1047" s="14"/>
      <c r="AD1047" s="14"/>
      <c r="AE1047" s="14"/>
      <c r="AF1047" s="13"/>
      <c r="AM1047" s="14"/>
      <c r="AN1047" s="11"/>
      <c r="AO1047" s="12"/>
      <c r="AP1047" s="11"/>
      <c r="AQ1047" s="11"/>
      <c r="AR1047" s="11"/>
      <c r="AS1047" s="11"/>
      <c r="AT1047" s="11"/>
    </row>
    <row r="1048" spans="1:46" ht="13">
      <c r="A1048" s="11"/>
      <c r="G1048" s="12"/>
      <c r="I1048" s="13"/>
      <c r="J1048" s="13"/>
      <c r="K1048" s="13"/>
      <c r="M1048" s="13"/>
      <c r="N1048" s="13"/>
      <c r="Q1048" s="13"/>
      <c r="V1048" s="13"/>
      <c r="Y1048" s="14"/>
      <c r="Z1048" s="14"/>
      <c r="AA1048" s="14"/>
      <c r="AB1048" s="14"/>
      <c r="AC1048" s="14"/>
      <c r="AD1048" s="14"/>
      <c r="AE1048" s="14"/>
      <c r="AF1048" s="13"/>
      <c r="AM1048" s="14"/>
      <c r="AN1048" s="11"/>
      <c r="AO1048" s="12"/>
      <c r="AP1048" s="11"/>
      <c r="AQ1048" s="11"/>
      <c r="AR1048" s="11"/>
      <c r="AS1048" s="11"/>
      <c r="AT1048" s="11"/>
    </row>
    <row r="1049" spans="1:46" ht="13">
      <c r="A1049" s="11"/>
      <c r="G1049" s="12"/>
      <c r="I1049" s="13"/>
      <c r="J1049" s="13"/>
      <c r="K1049" s="13"/>
      <c r="M1049" s="13"/>
      <c r="N1049" s="13"/>
      <c r="Q1049" s="13"/>
      <c r="V1049" s="13"/>
      <c r="Y1049" s="14"/>
      <c r="Z1049" s="14"/>
      <c r="AA1049" s="14"/>
      <c r="AB1049" s="14"/>
      <c r="AC1049" s="14"/>
      <c r="AD1049" s="14"/>
      <c r="AE1049" s="14"/>
      <c r="AF1049" s="13"/>
      <c r="AM1049" s="14"/>
      <c r="AN1049" s="11"/>
      <c r="AO1049" s="12"/>
      <c r="AP1049" s="11"/>
      <c r="AQ1049" s="11"/>
      <c r="AR1049" s="11"/>
      <c r="AS1049" s="11"/>
      <c r="AT1049" s="11"/>
    </row>
    <row r="1050" spans="1:46" ht="13">
      <c r="A1050" s="11"/>
      <c r="G1050" s="12"/>
      <c r="I1050" s="13"/>
      <c r="J1050" s="13"/>
      <c r="K1050" s="13"/>
      <c r="M1050" s="13"/>
      <c r="N1050" s="13"/>
      <c r="Q1050" s="13"/>
      <c r="V1050" s="13"/>
      <c r="Y1050" s="14"/>
      <c r="Z1050" s="14"/>
      <c r="AA1050" s="14"/>
      <c r="AB1050" s="14"/>
      <c r="AC1050" s="14"/>
      <c r="AD1050" s="14"/>
      <c r="AE1050" s="14"/>
      <c r="AF1050" s="13"/>
      <c r="AM1050" s="14"/>
      <c r="AN1050" s="11"/>
      <c r="AO1050" s="12"/>
      <c r="AP1050" s="11"/>
      <c r="AQ1050" s="11"/>
      <c r="AR1050" s="11"/>
      <c r="AS1050" s="11"/>
      <c r="AT1050" s="11"/>
    </row>
    <row r="1051" spans="1:46" ht="13">
      <c r="A1051" s="11"/>
      <c r="G1051" s="12"/>
      <c r="I1051" s="13"/>
      <c r="J1051" s="13"/>
      <c r="K1051" s="13"/>
      <c r="M1051" s="13"/>
      <c r="N1051" s="13"/>
      <c r="Q1051" s="13"/>
      <c r="V1051" s="13"/>
      <c r="Y1051" s="14"/>
      <c r="Z1051" s="14"/>
      <c r="AA1051" s="14"/>
      <c r="AB1051" s="14"/>
      <c r="AC1051" s="14"/>
      <c r="AD1051" s="14"/>
      <c r="AE1051" s="14"/>
      <c r="AF1051" s="13"/>
      <c r="AM1051" s="14"/>
      <c r="AN1051" s="11"/>
      <c r="AO1051" s="12"/>
      <c r="AP1051" s="11"/>
      <c r="AQ1051" s="11"/>
      <c r="AR1051" s="11"/>
      <c r="AS1051" s="11"/>
      <c r="AT1051" s="11"/>
    </row>
    <row r="1052" spans="1:46" ht="13">
      <c r="A1052" s="11"/>
      <c r="G1052" s="12"/>
      <c r="I1052" s="13"/>
      <c r="J1052" s="13"/>
      <c r="K1052" s="13"/>
      <c r="M1052" s="13"/>
      <c r="N1052" s="13"/>
      <c r="Q1052" s="13"/>
      <c r="V1052" s="13"/>
      <c r="Y1052" s="14"/>
      <c r="Z1052" s="14"/>
      <c r="AA1052" s="14"/>
      <c r="AB1052" s="14"/>
      <c r="AC1052" s="14"/>
      <c r="AD1052" s="14"/>
      <c r="AE1052" s="14"/>
      <c r="AF1052" s="13"/>
      <c r="AM1052" s="14"/>
      <c r="AN1052" s="11"/>
      <c r="AO1052" s="12"/>
      <c r="AP1052" s="11"/>
      <c r="AQ1052" s="11"/>
      <c r="AR1052" s="11"/>
      <c r="AS1052" s="11"/>
      <c r="AT1052" s="11"/>
    </row>
    <row r="1053" spans="1:46" ht="13">
      <c r="A1053" s="11"/>
      <c r="G1053" s="12"/>
      <c r="I1053" s="13"/>
      <c r="J1053" s="13"/>
      <c r="K1053" s="13"/>
      <c r="M1053" s="13"/>
      <c r="N1053" s="13"/>
      <c r="Q1053" s="13"/>
      <c r="V1053" s="13"/>
      <c r="Y1053" s="14"/>
      <c r="Z1053" s="14"/>
      <c r="AA1053" s="14"/>
      <c r="AB1053" s="14"/>
      <c r="AC1053" s="14"/>
      <c r="AD1053" s="14"/>
      <c r="AE1053" s="14"/>
      <c r="AF1053" s="13"/>
      <c r="AM1053" s="14"/>
      <c r="AN1053" s="11"/>
      <c r="AO1053" s="12"/>
      <c r="AP1053" s="11"/>
      <c r="AQ1053" s="11"/>
      <c r="AR1053" s="11"/>
      <c r="AS1053" s="11"/>
      <c r="AT1053" s="11"/>
    </row>
    <row r="1054" spans="1:46" ht="13">
      <c r="A1054" s="11"/>
      <c r="G1054" s="12"/>
      <c r="I1054" s="13"/>
      <c r="J1054" s="13"/>
      <c r="K1054" s="13"/>
      <c r="M1054" s="13"/>
      <c r="N1054" s="13"/>
      <c r="Q1054" s="13"/>
      <c r="V1054" s="13"/>
      <c r="Y1054" s="14"/>
      <c r="Z1054" s="14"/>
      <c r="AA1054" s="14"/>
      <c r="AB1054" s="14"/>
      <c r="AC1054" s="14"/>
      <c r="AD1054" s="14"/>
      <c r="AE1054" s="14"/>
      <c r="AF1054" s="13"/>
      <c r="AM1054" s="14"/>
      <c r="AN1054" s="11"/>
      <c r="AO1054" s="12"/>
      <c r="AP1054" s="11"/>
      <c r="AQ1054" s="11"/>
      <c r="AR1054" s="11"/>
      <c r="AS1054" s="11"/>
      <c r="AT1054" s="11"/>
    </row>
    <row r="1055" spans="1:46" ht="13">
      <c r="A1055" s="11"/>
      <c r="G1055" s="12"/>
      <c r="I1055" s="13"/>
      <c r="J1055" s="13"/>
      <c r="K1055" s="13"/>
      <c r="M1055" s="13"/>
      <c r="N1055" s="13"/>
      <c r="Q1055" s="13"/>
      <c r="V1055" s="13"/>
      <c r="Y1055" s="14"/>
      <c r="Z1055" s="14"/>
      <c r="AA1055" s="14"/>
      <c r="AB1055" s="14"/>
      <c r="AC1055" s="14"/>
      <c r="AD1055" s="14"/>
      <c r="AE1055" s="14"/>
      <c r="AF1055" s="13"/>
      <c r="AM1055" s="14"/>
      <c r="AN1055" s="11"/>
      <c r="AO1055" s="12"/>
      <c r="AP1055" s="11"/>
      <c r="AQ1055" s="11"/>
      <c r="AR1055" s="11"/>
      <c r="AS1055" s="11"/>
      <c r="AT1055" s="11"/>
    </row>
    <row r="1056" spans="1:46" ht="13">
      <c r="A1056" s="11"/>
      <c r="G1056" s="12"/>
      <c r="I1056" s="13"/>
      <c r="J1056" s="13"/>
      <c r="K1056" s="13"/>
      <c r="M1056" s="13"/>
      <c r="N1056" s="13"/>
      <c r="Q1056" s="13"/>
      <c r="V1056" s="13"/>
      <c r="Y1056" s="14"/>
      <c r="Z1056" s="14"/>
      <c r="AA1056" s="14"/>
      <c r="AB1056" s="14"/>
      <c r="AC1056" s="14"/>
      <c r="AD1056" s="14"/>
      <c r="AE1056" s="14"/>
      <c r="AF1056" s="13"/>
      <c r="AM1056" s="14"/>
      <c r="AN1056" s="11"/>
      <c r="AO1056" s="12"/>
      <c r="AP1056" s="11"/>
      <c r="AQ1056" s="11"/>
      <c r="AR1056" s="11"/>
      <c r="AS1056" s="11"/>
      <c r="AT1056" s="11"/>
    </row>
    <row r="1057" spans="1:46" ht="13">
      <c r="A1057" s="11"/>
      <c r="G1057" s="12"/>
      <c r="I1057" s="13"/>
      <c r="J1057" s="13"/>
      <c r="K1057" s="13"/>
      <c r="M1057" s="13"/>
      <c r="N1057" s="13"/>
      <c r="Q1057" s="13"/>
      <c r="V1057" s="13"/>
      <c r="Y1057" s="14"/>
      <c r="Z1057" s="14"/>
      <c r="AA1057" s="14"/>
      <c r="AB1057" s="14"/>
      <c r="AC1057" s="14"/>
      <c r="AD1057" s="14"/>
      <c r="AE1057" s="14"/>
      <c r="AF1057" s="13"/>
      <c r="AM1057" s="14"/>
      <c r="AN1057" s="11"/>
      <c r="AO1057" s="12"/>
      <c r="AP1057" s="11"/>
      <c r="AQ1057" s="11"/>
      <c r="AR1057" s="11"/>
      <c r="AS1057" s="11"/>
      <c r="AT1057" s="11"/>
    </row>
    <row r="1058" spans="1:46" ht="13">
      <c r="A1058" s="11"/>
      <c r="G1058" s="12"/>
      <c r="I1058" s="13"/>
      <c r="J1058" s="13"/>
      <c r="K1058" s="13"/>
      <c r="M1058" s="13"/>
      <c r="N1058" s="13"/>
      <c r="Q1058" s="13"/>
      <c r="V1058" s="13"/>
      <c r="Y1058" s="14"/>
      <c r="Z1058" s="14"/>
      <c r="AA1058" s="14"/>
      <c r="AB1058" s="14"/>
      <c r="AC1058" s="14"/>
      <c r="AD1058" s="14"/>
      <c r="AE1058" s="14"/>
      <c r="AF1058" s="13"/>
      <c r="AM1058" s="14"/>
      <c r="AN1058" s="11"/>
      <c r="AO1058" s="12"/>
      <c r="AP1058" s="11"/>
      <c r="AQ1058" s="11"/>
      <c r="AR1058" s="11"/>
      <c r="AS1058" s="11"/>
      <c r="AT1058" s="11"/>
    </row>
    <row r="1059" spans="1:46" ht="13">
      <c r="A1059" s="11"/>
      <c r="G1059" s="12"/>
      <c r="I1059" s="13"/>
      <c r="J1059" s="13"/>
      <c r="K1059" s="13"/>
      <c r="M1059" s="13"/>
      <c r="N1059" s="13"/>
      <c r="Q1059" s="13"/>
      <c r="V1059" s="13"/>
      <c r="Y1059" s="14"/>
      <c r="Z1059" s="14"/>
      <c r="AA1059" s="14"/>
      <c r="AB1059" s="14"/>
      <c r="AC1059" s="14"/>
      <c r="AD1059" s="14"/>
      <c r="AE1059" s="14"/>
      <c r="AF1059" s="13"/>
      <c r="AM1059" s="14"/>
      <c r="AN1059" s="11"/>
      <c r="AO1059" s="12"/>
      <c r="AP1059" s="11"/>
      <c r="AQ1059" s="11"/>
      <c r="AR1059" s="11"/>
      <c r="AS1059" s="11"/>
      <c r="AT1059" s="11"/>
    </row>
    <row r="1060" spans="1:46" ht="13">
      <c r="A1060" s="11"/>
      <c r="G1060" s="12"/>
      <c r="I1060" s="13"/>
      <c r="J1060" s="13"/>
      <c r="K1060" s="13"/>
      <c r="M1060" s="13"/>
      <c r="N1060" s="13"/>
      <c r="Q1060" s="13"/>
      <c r="V1060" s="13"/>
      <c r="Y1060" s="14"/>
      <c r="Z1060" s="14"/>
      <c r="AA1060" s="14"/>
      <c r="AB1060" s="14"/>
      <c r="AC1060" s="14"/>
      <c r="AD1060" s="14"/>
      <c r="AE1060" s="14"/>
      <c r="AF1060" s="13"/>
      <c r="AM1060" s="14"/>
      <c r="AN1060" s="11"/>
      <c r="AO1060" s="12"/>
      <c r="AP1060" s="11"/>
      <c r="AQ1060" s="11"/>
      <c r="AR1060" s="11"/>
      <c r="AS1060" s="11"/>
      <c r="AT1060" s="11"/>
    </row>
    <row r="1061" spans="1:46" ht="13">
      <c r="A1061" s="11"/>
      <c r="G1061" s="12"/>
      <c r="I1061" s="13"/>
      <c r="J1061" s="13"/>
      <c r="K1061" s="13"/>
      <c r="M1061" s="13"/>
      <c r="N1061" s="13"/>
      <c r="Q1061" s="13"/>
      <c r="V1061" s="13"/>
      <c r="Y1061" s="14"/>
      <c r="Z1061" s="14"/>
      <c r="AA1061" s="14"/>
      <c r="AB1061" s="14"/>
      <c r="AC1061" s="14"/>
      <c r="AD1061" s="14"/>
      <c r="AE1061" s="14"/>
      <c r="AF1061" s="13"/>
      <c r="AM1061" s="14"/>
      <c r="AN1061" s="11"/>
      <c r="AO1061" s="12"/>
      <c r="AP1061" s="11"/>
      <c r="AQ1061" s="11"/>
      <c r="AR1061" s="11"/>
      <c r="AS1061" s="11"/>
      <c r="AT1061" s="11"/>
    </row>
    <row r="1062" spans="1:46" ht="13">
      <c r="A1062" s="11"/>
      <c r="G1062" s="12"/>
      <c r="I1062" s="13"/>
      <c r="J1062" s="13"/>
      <c r="K1062" s="13"/>
      <c r="M1062" s="13"/>
      <c r="N1062" s="13"/>
      <c r="Q1062" s="13"/>
      <c r="V1062" s="13"/>
      <c r="Y1062" s="14"/>
      <c r="Z1062" s="14"/>
      <c r="AA1062" s="14"/>
      <c r="AB1062" s="14"/>
      <c r="AC1062" s="14"/>
      <c r="AD1062" s="14"/>
      <c r="AE1062" s="14"/>
      <c r="AF1062" s="13"/>
      <c r="AM1062" s="14"/>
      <c r="AN1062" s="11"/>
      <c r="AO1062" s="12"/>
      <c r="AP1062" s="11"/>
      <c r="AQ1062" s="11"/>
      <c r="AR1062" s="11"/>
      <c r="AS1062" s="11"/>
      <c r="AT1062" s="11"/>
    </row>
    <row r="1063" spans="1:46" ht="13">
      <c r="A1063" s="11"/>
      <c r="G1063" s="12"/>
      <c r="I1063" s="13"/>
      <c r="J1063" s="13"/>
      <c r="K1063" s="13"/>
      <c r="M1063" s="13"/>
      <c r="N1063" s="13"/>
      <c r="Q1063" s="13"/>
      <c r="V1063" s="13"/>
      <c r="Y1063" s="14"/>
      <c r="Z1063" s="14"/>
      <c r="AA1063" s="14"/>
      <c r="AB1063" s="14"/>
      <c r="AC1063" s="14"/>
      <c r="AD1063" s="14"/>
      <c r="AE1063" s="14"/>
      <c r="AF1063" s="13"/>
      <c r="AM1063" s="14"/>
      <c r="AN1063" s="11"/>
      <c r="AO1063" s="12"/>
      <c r="AP1063" s="11"/>
      <c r="AQ1063" s="11"/>
      <c r="AR1063" s="11"/>
      <c r="AS1063" s="11"/>
      <c r="AT1063" s="11"/>
    </row>
    <row r="1064" spans="1:46" ht="13">
      <c r="A1064" s="11"/>
      <c r="G1064" s="12"/>
      <c r="I1064" s="13"/>
      <c r="J1064" s="13"/>
      <c r="K1064" s="13"/>
      <c r="M1064" s="13"/>
      <c r="N1064" s="13"/>
      <c r="Q1064" s="13"/>
      <c r="V1064" s="13"/>
      <c r="Y1064" s="14"/>
      <c r="Z1064" s="14"/>
      <c r="AA1064" s="14"/>
      <c r="AB1064" s="14"/>
      <c r="AC1064" s="14"/>
      <c r="AD1064" s="14"/>
      <c r="AE1064" s="14"/>
      <c r="AF1064" s="13"/>
      <c r="AM1064" s="14"/>
      <c r="AN1064" s="11"/>
      <c r="AO1064" s="12"/>
      <c r="AP1064" s="11"/>
      <c r="AQ1064" s="11"/>
      <c r="AR1064" s="11"/>
      <c r="AS1064" s="11"/>
      <c r="AT1064" s="11"/>
    </row>
    <row r="1065" spans="1:46" ht="13">
      <c r="A1065" s="11"/>
      <c r="G1065" s="12"/>
      <c r="I1065" s="13"/>
      <c r="J1065" s="13"/>
      <c r="K1065" s="13"/>
      <c r="M1065" s="13"/>
      <c r="N1065" s="13"/>
      <c r="Q1065" s="13"/>
      <c r="V1065" s="13"/>
      <c r="Y1065" s="14"/>
      <c r="Z1065" s="14"/>
      <c r="AA1065" s="14"/>
      <c r="AB1065" s="14"/>
      <c r="AC1065" s="14"/>
      <c r="AD1065" s="14"/>
      <c r="AE1065" s="14"/>
      <c r="AF1065" s="13"/>
      <c r="AM1065" s="14"/>
      <c r="AN1065" s="11"/>
      <c r="AO1065" s="12"/>
      <c r="AP1065" s="11"/>
      <c r="AQ1065" s="11"/>
      <c r="AR1065" s="11"/>
      <c r="AS1065" s="11"/>
      <c r="AT1065" s="11"/>
    </row>
    <row r="1066" spans="1:46" ht="13">
      <c r="A1066" s="11"/>
      <c r="G1066" s="12"/>
      <c r="I1066" s="13"/>
      <c r="J1066" s="13"/>
      <c r="K1066" s="13"/>
      <c r="M1066" s="13"/>
      <c r="N1066" s="13"/>
      <c r="Q1066" s="13"/>
      <c r="V1066" s="13"/>
      <c r="Y1066" s="14"/>
      <c r="Z1066" s="14"/>
      <c r="AA1066" s="14"/>
      <c r="AB1066" s="14"/>
      <c r="AC1066" s="14"/>
      <c r="AD1066" s="14"/>
      <c r="AE1066" s="14"/>
      <c r="AF1066" s="13"/>
      <c r="AM1066" s="14"/>
      <c r="AN1066" s="11"/>
      <c r="AO1066" s="12"/>
      <c r="AP1066" s="11"/>
      <c r="AQ1066" s="11"/>
      <c r="AR1066" s="11"/>
      <c r="AS1066" s="11"/>
      <c r="AT1066" s="11"/>
    </row>
    <row r="1067" spans="1:46" ht="13">
      <c r="A1067" s="11"/>
      <c r="G1067" s="12"/>
      <c r="I1067" s="13"/>
      <c r="J1067" s="13"/>
      <c r="K1067" s="13"/>
      <c r="M1067" s="13"/>
      <c r="N1067" s="13"/>
      <c r="Q1067" s="13"/>
      <c r="V1067" s="13"/>
      <c r="Y1067" s="14"/>
      <c r="Z1067" s="14"/>
      <c r="AA1067" s="14"/>
      <c r="AB1067" s="14"/>
      <c r="AC1067" s="14"/>
      <c r="AD1067" s="14"/>
      <c r="AE1067" s="14"/>
      <c r="AF1067" s="13"/>
      <c r="AM1067" s="14"/>
      <c r="AN1067" s="11"/>
      <c r="AO1067" s="12"/>
      <c r="AP1067" s="11"/>
      <c r="AQ1067" s="11"/>
      <c r="AR1067" s="11"/>
      <c r="AS1067" s="11"/>
      <c r="AT1067" s="11"/>
    </row>
    <row r="1068" spans="1:46" ht="13">
      <c r="A1068" s="11"/>
      <c r="G1068" s="12"/>
      <c r="I1068" s="13"/>
      <c r="J1068" s="13"/>
      <c r="K1068" s="13"/>
      <c r="M1068" s="13"/>
      <c r="N1068" s="13"/>
      <c r="Q1068" s="13"/>
      <c r="V1068" s="13"/>
      <c r="Y1068" s="14"/>
      <c r="Z1068" s="14"/>
      <c r="AA1068" s="14"/>
      <c r="AB1068" s="14"/>
      <c r="AC1068" s="14"/>
      <c r="AD1068" s="14"/>
      <c r="AE1068" s="14"/>
      <c r="AF1068" s="13"/>
      <c r="AM1068" s="14"/>
      <c r="AN1068" s="11"/>
      <c r="AO1068" s="12"/>
      <c r="AP1068" s="11"/>
      <c r="AQ1068" s="11"/>
      <c r="AR1068" s="11"/>
      <c r="AS1068" s="11"/>
      <c r="AT1068" s="11"/>
    </row>
    <row r="1069" spans="1:46" ht="13">
      <c r="A1069" s="11"/>
      <c r="G1069" s="12"/>
      <c r="I1069" s="13"/>
      <c r="J1069" s="13"/>
      <c r="K1069" s="13"/>
      <c r="M1069" s="13"/>
      <c r="N1069" s="13"/>
      <c r="Q1069" s="13"/>
      <c r="V1069" s="13"/>
      <c r="Y1069" s="14"/>
      <c r="Z1069" s="14"/>
      <c r="AA1069" s="14"/>
      <c r="AB1069" s="14"/>
      <c r="AC1069" s="14"/>
      <c r="AD1069" s="14"/>
      <c r="AE1069" s="14"/>
      <c r="AF1069" s="13"/>
      <c r="AM1069" s="14"/>
      <c r="AN1069" s="11"/>
      <c r="AO1069" s="12"/>
      <c r="AP1069" s="11"/>
      <c r="AQ1069" s="11"/>
      <c r="AR1069" s="11"/>
      <c r="AS1069" s="11"/>
      <c r="AT1069" s="11"/>
    </row>
    <row r="1070" spans="1:46" ht="13">
      <c r="A1070" s="11"/>
      <c r="G1070" s="12"/>
      <c r="I1070" s="13"/>
      <c r="J1070" s="13"/>
      <c r="K1070" s="13"/>
      <c r="M1070" s="13"/>
      <c r="N1070" s="13"/>
      <c r="Q1070" s="13"/>
      <c r="V1070" s="13"/>
      <c r="Y1070" s="14"/>
      <c r="Z1070" s="14"/>
      <c r="AA1070" s="14"/>
      <c r="AB1070" s="14"/>
      <c r="AC1070" s="14"/>
      <c r="AD1070" s="14"/>
      <c r="AE1070" s="14"/>
      <c r="AF1070" s="13"/>
      <c r="AM1070" s="14"/>
      <c r="AN1070" s="11"/>
      <c r="AO1070" s="12"/>
      <c r="AP1070" s="11"/>
      <c r="AQ1070" s="11"/>
      <c r="AR1070" s="11"/>
      <c r="AS1070" s="11"/>
      <c r="AT1070" s="11"/>
    </row>
    <row r="1071" spans="1:46" ht="13">
      <c r="A1071" s="11"/>
      <c r="G1071" s="12"/>
      <c r="I1071" s="13"/>
      <c r="J1071" s="13"/>
      <c r="K1071" s="13"/>
      <c r="M1071" s="13"/>
      <c r="N1071" s="13"/>
      <c r="Q1071" s="13"/>
      <c r="V1071" s="13"/>
      <c r="Y1071" s="14"/>
      <c r="Z1071" s="14"/>
      <c r="AA1071" s="14"/>
      <c r="AB1071" s="14"/>
      <c r="AC1071" s="14"/>
      <c r="AD1071" s="14"/>
      <c r="AE1071" s="14"/>
      <c r="AF1071" s="13"/>
      <c r="AM1071" s="14"/>
      <c r="AN1071" s="11"/>
      <c r="AO1071" s="12"/>
      <c r="AP1071" s="11"/>
      <c r="AQ1071" s="11"/>
      <c r="AR1071" s="11"/>
      <c r="AS1071" s="11"/>
      <c r="AT1071" s="11"/>
    </row>
    <row r="1072" spans="1:46" ht="13">
      <c r="A1072" s="11"/>
      <c r="G1072" s="12"/>
      <c r="I1072" s="13"/>
      <c r="J1072" s="13"/>
      <c r="K1072" s="13"/>
      <c r="M1072" s="13"/>
      <c r="N1072" s="13"/>
      <c r="Q1072" s="13"/>
      <c r="V1072" s="13"/>
      <c r="Y1072" s="14"/>
      <c r="Z1072" s="14"/>
      <c r="AA1072" s="14"/>
      <c r="AB1072" s="14"/>
      <c r="AC1072" s="14"/>
      <c r="AD1072" s="14"/>
      <c r="AE1072" s="14"/>
      <c r="AF1072" s="13"/>
      <c r="AM1072" s="14"/>
      <c r="AN1072" s="11"/>
      <c r="AO1072" s="12"/>
      <c r="AP1072" s="11"/>
      <c r="AQ1072" s="11"/>
      <c r="AR1072" s="11"/>
      <c r="AS1072" s="11"/>
      <c r="AT1072" s="11"/>
    </row>
    <row r="1073" spans="1:46" ht="13">
      <c r="A1073" s="11"/>
      <c r="G1073" s="12"/>
      <c r="I1073" s="13"/>
      <c r="J1073" s="13"/>
      <c r="K1073" s="13"/>
      <c r="M1073" s="13"/>
      <c r="N1073" s="13"/>
      <c r="Q1073" s="13"/>
      <c r="V1073" s="13"/>
      <c r="Y1073" s="14"/>
      <c r="Z1073" s="14"/>
      <c r="AA1073" s="14"/>
      <c r="AB1073" s="14"/>
      <c r="AC1073" s="14"/>
      <c r="AD1073" s="14"/>
      <c r="AE1073" s="14"/>
      <c r="AF1073" s="13"/>
      <c r="AM1073" s="14"/>
      <c r="AN1073" s="11"/>
      <c r="AO1073" s="12"/>
      <c r="AP1073" s="11"/>
      <c r="AQ1073" s="11"/>
      <c r="AR1073" s="11"/>
      <c r="AS1073" s="11"/>
      <c r="AT1073" s="11"/>
    </row>
    <row r="1074" spans="1:46" ht="13">
      <c r="A1074" s="11"/>
      <c r="G1074" s="12"/>
      <c r="I1074" s="13"/>
      <c r="J1074" s="13"/>
      <c r="K1074" s="13"/>
      <c r="M1074" s="13"/>
      <c r="N1074" s="13"/>
      <c r="Q1074" s="13"/>
      <c r="V1074" s="13"/>
      <c r="Y1074" s="14"/>
      <c r="Z1074" s="14"/>
      <c r="AA1074" s="14"/>
      <c r="AB1074" s="14"/>
      <c r="AC1074" s="14"/>
      <c r="AD1074" s="14"/>
      <c r="AE1074" s="14"/>
      <c r="AF1074" s="13"/>
      <c r="AM1074" s="14"/>
      <c r="AN1074" s="11"/>
      <c r="AO1074" s="12"/>
      <c r="AP1074" s="11"/>
      <c r="AQ1074" s="11"/>
      <c r="AR1074" s="11"/>
      <c r="AS1074" s="11"/>
      <c r="AT1074" s="11"/>
    </row>
    <row r="1075" spans="1:46" ht="13">
      <c r="A1075" s="11"/>
      <c r="G1075" s="12"/>
      <c r="I1075" s="13"/>
      <c r="J1075" s="13"/>
      <c r="K1075" s="13"/>
      <c r="M1075" s="13"/>
      <c r="N1075" s="13"/>
      <c r="Q1075" s="13"/>
      <c r="V1075" s="13"/>
      <c r="Y1075" s="14"/>
      <c r="Z1075" s="14"/>
      <c r="AA1075" s="14"/>
      <c r="AB1075" s="14"/>
      <c r="AC1075" s="14"/>
      <c r="AD1075" s="14"/>
      <c r="AE1075" s="14"/>
      <c r="AF1075" s="13"/>
      <c r="AM1075" s="14"/>
      <c r="AN1075" s="11"/>
      <c r="AO1075" s="12"/>
      <c r="AP1075" s="11"/>
      <c r="AQ1075" s="11"/>
      <c r="AR1075" s="11"/>
      <c r="AS1075" s="11"/>
      <c r="AT1075" s="11"/>
    </row>
    <row r="1076" spans="1:46" ht="13">
      <c r="A1076" s="11"/>
      <c r="G1076" s="12"/>
      <c r="I1076" s="13"/>
      <c r="J1076" s="13"/>
      <c r="K1076" s="13"/>
      <c r="M1076" s="13"/>
      <c r="N1076" s="13"/>
      <c r="Q1076" s="13"/>
      <c r="V1076" s="13"/>
      <c r="Y1076" s="14"/>
      <c r="Z1076" s="14"/>
      <c r="AA1076" s="14"/>
      <c r="AB1076" s="14"/>
      <c r="AC1076" s="14"/>
      <c r="AD1076" s="14"/>
      <c r="AE1076" s="14"/>
      <c r="AF1076" s="13"/>
      <c r="AM1076" s="14"/>
      <c r="AN1076" s="11"/>
      <c r="AO1076" s="12"/>
      <c r="AP1076" s="11"/>
      <c r="AQ1076" s="11"/>
      <c r="AR1076" s="11"/>
      <c r="AS1076" s="11"/>
      <c r="AT1076" s="11"/>
    </row>
    <row r="1077" spans="1:46" ht="13">
      <c r="A1077" s="11"/>
      <c r="G1077" s="12"/>
      <c r="I1077" s="13"/>
      <c r="J1077" s="13"/>
      <c r="K1077" s="13"/>
      <c r="M1077" s="13"/>
      <c r="N1077" s="13"/>
      <c r="Q1077" s="13"/>
      <c r="V1077" s="13"/>
      <c r="Y1077" s="14"/>
      <c r="Z1077" s="14"/>
      <c r="AA1077" s="14"/>
      <c r="AB1077" s="14"/>
      <c r="AC1077" s="14"/>
      <c r="AD1077" s="14"/>
      <c r="AE1077" s="14"/>
      <c r="AF1077" s="13"/>
      <c r="AM1077" s="14"/>
      <c r="AN1077" s="11"/>
      <c r="AO1077" s="12"/>
      <c r="AP1077" s="11"/>
      <c r="AQ1077" s="11"/>
      <c r="AR1077" s="11"/>
      <c r="AS1077" s="11"/>
      <c r="AT1077" s="11"/>
    </row>
    <row r="1078" spans="1:46" ht="13">
      <c r="A1078" s="11"/>
      <c r="G1078" s="12"/>
      <c r="I1078" s="13"/>
      <c r="J1078" s="13"/>
      <c r="K1078" s="13"/>
      <c r="M1078" s="13"/>
      <c r="N1078" s="13"/>
      <c r="Q1078" s="13"/>
      <c r="V1078" s="13"/>
      <c r="Y1078" s="14"/>
      <c r="Z1078" s="14"/>
      <c r="AA1078" s="14"/>
      <c r="AB1078" s="14"/>
      <c r="AC1078" s="14"/>
      <c r="AD1078" s="14"/>
      <c r="AE1078" s="14"/>
      <c r="AF1078" s="13"/>
      <c r="AM1078" s="14"/>
      <c r="AN1078" s="11"/>
      <c r="AO1078" s="12"/>
      <c r="AP1078" s="11"/>
      <c r="AQ1078" s="11"/>
      <c r="AR1078" s="11"/>
      <c r="AS1078" s="11"/>
      <c r="AT1078" s="11"/>
    </row>
    <row r="1079" spans="1:46" ht="13">
      <c r="A1079" s="11"/>
      <c r="G1079" s="12"/>
      <c r="I1079" s="13"/>
      <c r="J1079" s="13"/>
      <c r="K1079" s="13"/>
      <c r="M1079" s="13"/>
      <c r="N1079" s="13"/>
      <c r="Q1079" s="13"/>
      <c r="V1079" s="13"/>
      <c r="Y1079" s="14"/>
      <c r="Z1079" s="14"/>
      <c r="AA1079" s="14"/>
      <c r="AB1079" s="14"/>
      <c r="AC1079" s="14"/>
      <c r="AD1079" s="14"/>
      <c r="AE1079" s="14"/>
      <c r="AF1079" s="13"/>
      <c r="AM1079" s="14"/>
      <c r="AN1079" s="11"/>
      <c r="AO1079" s="12"/>
      <c r="AP1079" s="11"/>
      <c r="AQ1079" s="11"/>
      <c r="AR1079" s="11"/>
      <c r="AS1079" s="11"/>
      <c r="AT1079" s="11"/>
    </row>
    <row r="1080" spans="1:46" ht="13">
      <c r="A1080" s="11"/>
      <c r="G1080" s="12"/>
      <c r="I1080" s="13"/>
      <c r="J1080" s="13"/>
      <c r="K1080" s="13"/>
      <c r="M1080" s="13"/>
      <c r="N1080" s="13"/>
      <c r="Q1080" s="13"/>
      <c r="V1080" s="13"/>
      <c r="Y1080" s="14"/>
      <c r="Z1080" s="14"/>
      <c r="AA1080" s="14"/>
      <c r="AB1080" s="14"/>
      <c r="AC1080" s="14"/>
      <c r="AD1080" s="14"/>
      <c r="AE1080" s="14"/>
      <c r="AF1080" s="13"/>
      <c r="AM1080" s="14"/>
      <c r="AN1080" s="11"/>
      <c r="AO1080" s="12"/>
      <c r="AP1080" s="11"/>
      <c r="AQ1080" s="11"/>
      <c r="AR1080" s="11"/>
      <c r="AS1080" s="11"/>
      <c r="AT1080" s="11"/>
    </row>
    <row r="1081" spans="1:46" ht="13">
      <c r="A1081" s="11"/>
      <c r="G1081" s="12"/>
      <c r="I1081" s="13"/>
      <c r="J1081" s="13"/>
      <c r="K1081" s="13"/>
      <c r="M1081" s="13"/>
      <c r="N1081" s="13"/>
      <c r="Q1081" s="13"/>
      <c r="V1081" s="13"/>
      <c r="Y1081" s="14"/>
      <c r="Z1081" s="14"/>
      <c r="AA1081" s="14"/>
      <c r="AB1081" s="14"/>
      <c r="AC1081" s="14"/>
      <c r="AD1081" s="14"/>
      <c r="AE1081" s="14"/>
      <c r="AF1081" s="13"/>
      <c r="AM1081" s="14"/>
      <c r="AN1081" s="11"/>
      <c r="AO1081" s="12"/>
      <c r="AP1081" s="11"/>
      <c r="AQ1081" s="11"/>
      <c r="AR1081" s="11"/>
      <c r="AS1081" s="11"/>
      <c r="AT1081" s="11"/>
    </row>
    <row r="1082" spans="1:46" ht="13">
      <c r="A1082" s="11"/>
      <c r="G1082" s="12"/>
      <c r="I1082" s="13"/>
      <c r="J1082" s="13"/>
      <c r="K1082" s="13"/>
      <c r="M1082" s="13"/>
      <c r="N1082" s="13"/>
      <c r="Q1082" s="13"/>
      <c r="V1082" s="13"/>
      <c r="Y1082" s="14"/>
      <c r="Z1082" s="14"/>
      <c r="AA1082" s="14"/>
      <c r="AB1082" s="14"/>
      <c r="AC1082" s="14"/>
      <c r="AD1082" s="14"/>
      <c r="AE1082" s="14"/>
      <c r="AF1082" s="13"/>
      <c r="AM1082" s="14"/>
      <c r="AN1082" s="11"/>
      <c r="AO1082" s="12"/>
      <c r="AP1082" s="11"/>
      <c r="AQ1082" s="11"/>
      <c r="AR1082" s="11"/>
      <c r="AS1082" s="11"/>
      <c r="AT1082" s="11"/>
    </row>
    <row r="1083" spans="1:46" ht="13">
      <c r="A1083" s="11"/>
      <c r="G1083" s="12"/>
      <c r="I1083" s="13"/>
      <c r="J1083" s="13"/>
      <c r="K1083" s="13"/>
      <c r="M1083" s="13"/>
      <c r="N1083" s="13"/>
      <c r="Q1083" s="13"/>
      <c r="V1083" s="13"/>
      <c r="Y1083" s="14"/>
      <c r="Z1083" s="14"/>
      <c r="AA1083" s="14"/>
      <c r="AB1083" s="14"/>
      <c r="AC1083" s="14"/>
      <c r="AD1083" s="14"/>
      <c r="AE1083" s="14"/>
      <c r="AF1083" s="13"/>
      <c r="AM1083" s="14"/>
      <c r="AN1083" s="11"/>
      <c r="AO1083" s="12"/>
      <c r="AP1083" s="11"/>
      <c r="AQ1083" s="11"/>
      <c r="AR1083" s="11"/>
      <c r="AS1083" s="11"/>
      <c r="AT1083" s="11"/>
    </row>
    <row r="1084" spans="1:46" ht="13">
      <c r="A1084" s="11"/>
      <c r="G1084" s="12"/>
      <c r="I1084" s="13"/>
      <c r="J1084" s="13"/>
      <c r="K1084" s="13"/>
      <c r="M1084" s="13"/>
      <c r="N1084" s="13"/>
      <c r="Q1084" s="13"/>
      <c r="V1084" s="13"/>
      <c r="Y1084" s="14"/>
      <c r="Z1084" s="14"/>
      <c r="AA1084" s="14"/>
      <c r="AB1084" s="14"/>
      <c r="AC1084" s="14"/>
      <c r="AD1084" s="14"/>
      <c r="AE1084" s="14"/>
      <c r="AF1084" s="13"/>
      <c r="AM1084" s="14"/>
      <c r="AN1084" s="11"/>
      <c r="AO1084" s="12"/>
      <c r="AP1084" s="11"/>
      <c r="AQ1084" s="11"/>
      <c r="AR1084" s="11"/>
      <c r="AS1084" s="11"/>
      <c r="AT1084" s="11"/>
    </row>
    <row r="1085" spans="1:46" ht="13">
      <c r="A1085" s="11"/>
      <c r="G1085" s="12"/>
      <c r="I1085" s="13"/>
      <c r="J1085" s="13"/>
      <c r="K1085" s="13"/>
      <c r="M1085" s="13"/>
      <c r="N1085" s="13"/>
      <c r="Q1085" s="13"/>
      <c r="V1085" s="13"/>
      <c r="Y1085" s="14"/>
      <c r="Z1085" s="14"/>
      <c r="AA1085" s="14"/>
      <c r="AB1085" s="14"/>
      <c r="AC1085" s="14"/>
      <c r="AD1085" s="14"/>
      <c r="AE1085" s="14"/>
      <c r="AF1085" s="13"/>
      <c r="AM1085" s="14"/>
      <c r="AN1085" s="11"/>
      <c r="AO1085" s="12"/>
      <c r="AP1085" s="11"/>
      <c r="AQ1085" s="11"/>
      <c r="AR1085" s="11"/>
      <c r="AS1085" s="11"/>
      <c r="AT1085" s="11"/>
    </row>
    <row r="1086" spans="1:46" ht="13">
      <c r="A1086" s="11"/>
      <c r="G1086" s="12"/>
      <c r="I1086" s="13"/>
      <c r="J1086" s="13"/>
      <c r="K1086" s="13"/>
      <c r="M1086" s="13"/>
      <c r="N1086" s="13"/>
      <c r="Q1086" s="13"/>
      <c r="V1086" s="13"/>
      <c r="Y1086" s="14"/>
      <c r="Z1086" s="14"/>
      <c r="AA1086" s="14"/>
      <c r="AB1086" s="14"/>
      <c r="AC1086" s="14"/>
      <c r="AD1086" s="14"/>
      <c r="AE1086" s="14"/>
      <c r="AF1086" s="13"/>
      <c r="AM1086" s="14"/>
      <c r="AN1086" s="11"/>
      <c r="AO1086" s="12"/>
      <c r="AP1086" s="11"/>
      <c r="AQ1086" s="11"/>
      <c r="AR1086" s="11"/>
      <c r="AS1086" s="11"/>
      <c r="AT1086" s="11"/>
    </row>
    <row r="1087" spans="1:46" ht="13">
      <c r="A1087" s="11"/>
      <c r="G1087" s="12"/>
      <c r="I1087" s="13"/>
      <c r="J1087" s="13"/>
      <c r="K1087" s="13"/>
      <c r="M1087" s="13"/>
      <c r="N1087" s="13"/>
      <c r="Q1087" s="13"/>
      <c r="V1087" s="13"/>
      <c r="Y1087" s="14"/>
      <c r="Z1087" s="14"/>
      <c r="AA1087" s="14"/>
      <c r="AB1087" s="14"/>
      <c r="AC1087" s="14"/>
      <c r="AD1087" s="14"/>
      <c r="AE1087" s="14"/>
      <c r="AF1087" s="13"/>
      <c r="AM1087" s="14"/>
      <c r="AN1087" s="11"/>
      <c r="AO1087" s="12"/>
      <c r="AP1087" s="11"/>
      <c r="AQ1087" s="11"/>
      <c r="AR1087" s="11"/>
      <c r="AS1087" s="11"/>
      <c r="AT1087" s="11"/>
    </row>
    <row r="1088" spans="1:46" ht="13">
      <c r="A1088" s="11"/>
      <c r="G1088" s="12"/>
      <c r="I1088" s="13"/>
      <c r="J1088" s="13"/>
      <c r="K1088" s="13"/>
      <c r="M1088" s="13"/>
      <c r="N1088" s="13"/>
      <c r="Q1088" s="13"/>
      <c r="V1088" s="13"/>
      <c r="Y1088" s="14"/>
      <c r="Z1088" s="14"/>
      <c r="AA1088" s="14"/>
      <c r="AB1088" s="14"/>
      <c r="AC1088" s="14"/>
      <c r="AD1088" s="14"/>
      <c r="AE1088" s="14"/>
      <c r="AF1088" s="13"/>
      <c r="AM1088" s="14"/>
      <c r="AN1088" s="11"/>
      <c r="AO1088" s="12"/>
      <c r="AP1088" s="11"/>
      <c r="AQ1088" s="11"/>
      <c r="AR1088" s="11"/>
      <c r="AS1088" s="11"/>
      <c r="AT1088" s="11"/>
    </row>
    <row r="1089" spans="1:46" ht="13">
      <c r="A1089" s="11"/>
      <c r="G1089" s="12"/>
      <c r="I1089" s="13"/>
      <c r="J1089" s="13"/>
      <c r="K1089" s="13"/>
      <c r="M1089" s="13"/>
      <c r="N1089" s="13"/>
      <c r="Q1089" s="13"/>
      <c r="V1089" s="13"/>
      <c r="Y1089" s="14"/>
      <c r="Z1089" s="14"/>
      <c r="AA1089" s="14"/>
      <c r="AB1089" s="14"/>
      <c r="AC1089" s="14"/>
      <c r="AD1089" s="14"/>
      <c r="AE1089" s="14"/>
      <c r="AF1089" s="13"/>
      <c r="AM1089" s="14"/>
      <c r="AN1089" s="11"/>
      <c r="AO1089" s="12"/>
      <c r="AP1089" s="11"/>
      <c r="AQ1089" s="11"/>
      <c r="AR1089" s="11"/>
      <c r="AS1089" s="11"/>
      <c r="AT1089" s="11"/>
    </row>
    <row r="1090" spans="1:46" ht="13">
      <c r="A1090" s="11"/>
      <c r="G1090" s="12"/>
      <c r="I1090" s="13"/>
      <c r="J1090" s="13"/>
      <c r="K1090" s="13"/>
      <c r="M1090" s="13"/>
      <c r="N1090" s="13"/>
      <c r="Q1090" s="13"/>
      <c r="V1090" s="13"/>
      <c r="Y1090" s="14"/>
      <c r="Z1090" s="14"/>
      <c r="AA1090" s="14"/>
      <c r="AB1090" s="14"/>
      <c r="AC1090" s="14"/>
      <c r="AD1090" s="14"/>
      <c r="AE1090" s="14"/>
      <c r="AF1090" s="13"/>
      <c r="AM1090" s="14"/>
      <c r="AN1090" s="11"/>
      <c r="AO1090" s="12"/>
      <c r="AP1090" s="11"/>
      <c r="AQ1090" s="11"/>
      <c r="AR1090" s="11"/>
      <c r="AS1090" s="11"/>
      <c r="AT1090" s="11"/>
    </row>
    <row r="1091" spans="1:46" ht="13">
      <c r="A1091" s="11"/>
      <c r="G1091" s="12"/>
      <c r="I1091" s="13"/>
      <c r="J1091" s="13"/>
      <c r="K1091" s="13"/>
      <c r="M1091" s="13"/>
      <c r="N1091" s="13"/>
      <c r="Q1091" s="13"/>
      <c r="V1091" s="13"/>
      <c r="Y1091" s="14"/>
      <c r="Z1091" s="14"/>
      <c r="AA1091" s="14"/>
      <c r="AB1091" s="14"/>
      <c r="AC1091" s="14"/>
      <c r="AD1091" s="14"/>
      <c r="AE1091" s="14"/>
      <c r="AF1091" s="13"/>
      <c r="AM1091" s="14"/>
      <c r="AN1091" s="11"/>
      <c r="AO1091" s="12"/>
      <c r="AP1091" s="11"/>
      <c r="AQ1091" s="11"/>
      <c r="AR1091" s="11"/>
      <c r="AS1091" s="11"/>
      <c r="AT1091" s="11"/>
    </row>
    <row r="1092" spans="1:46" ht="13">
      <c r="A1092" s="11"/>
      <c r="G1092" s="12"/>
      <c r="I1092" s="13"/>
      <c r="J1092" s="13"/>
      <c r="K1092" s="13"/>
      <c r="M1092" s="13"/>
      <c r="N1092" s="13"/>
      <c r="Q1092" s="13"/>
      <c r="V1092" s="13"/>
      <c r="Y1092" s="14"/>
      <c r="Z1092" s="14"/>
      <c r="AA1092" s="14"/>
      <c r="AB1092" s="14"/>
      <c r="AC1092" s="14"/>
      <c r="AD1092" s="14"/>
      <c r="AE1092" s="14"/>
      <c r="AF1092" s="13"/>
      <c r="AM1092" s="14"/>
      <c r="AN1092" s="11"/>
      <c r="AO1092" s="12"/>
      <c r="AP1092" s="11"/>
      <c r="AQ1092" s="11"/>
      <c r="AR1092" s="11"/>
      <c r="AS1092" s="11"/>
      <c r="AT1092" s="11"/>
    </row>
    <row r="1093" spans="1:46" ht="13">
      <c r="A1093" s="11"/>
      <c r="G1093" s="12"/>
      <c r="I1093" s="13"/>
      <c r="J1093" s="13"/>
      <c r="K1093" s="13"/>
      <c r="M1093" s="13"/>
      <c r="N1093" s="13"/>
      <c r="Q1093" s="13"/>
      <c r="V1093" s="13"/>
      <c r="Y1093" s="14"/>
      <c r="Z1093" s="14"/>
      <c r="AA1093" s="14"/>
      <c r="AB1093" s="14"/>
      <c r="AC1093" s="14"/>
      <c r="AD1093" s="14"/>
      <c r="AE1093" s="14"/>
      <c r="AF1093" s="13"/>
      <c r="AM1093" s="14"/>
      <c r="AN1093" s="11"/>
      <c r="AO1093" s="12"/>
      <c r="AP1093" s="11"/>
      <c r="AQ1093" s="11"/>
      <c r="AR1093" s="11"/>
      <c r="AS1093" s="11"/>
      <c r="AT1093" s="11"/>
    </row>
    <row r="1094" spans="1:46" ht="13">
      <c r="A1094" s="11"/>
      <c r="G1094" s="12"/>
      <c r="I1094" s="13"/>
      <c r="J1094" s="13"/>
      <c r="K1094" s="13"/>
      <c r="M1094" s="13"/>
      <c r="N1094" s="13"/>
      <c r="Q1094" s="13"/>
      <c r="V1094" s="13"/>
      <c r="Y1094" s="14"/>
      <c r="Z1094" s="14"/>
      <c r="AA1094" s="14"/>
      <c r="AB1094" s="14"/>
      <c r="AC1094" s="14"/>
      <c r="AD1094" s="14"/>
      <c r="AE1094" s="14"/>
      <c r="AF1094" s="13"/>
      <c r="AM1094" s="14"/>
      <c r="AN1094" s="11"/>
      <c r="AO1094" s="12"/>
      <c r="AP1094" s="11"/>
      <c r="AQ1094" s="11"/>
      <c r="AR1094" s="11"/>
      <c r="AS1094" s="11"/>
      <c r="AT1094" s="11"/>
    </row>
    <row r="1095" spans="1:46" ht="13">
      <c r="A1095" s="11"/>
      <c r="G1095" s="12"/>
      <c r="I1095" s="13"/>
      <c r="J1095" s="13"/>
      <c r="K1095" s="13"/>
      <c r="M1095" s="13"/>
      <c r="N1095" s="13"/>
      <c r="Q1095" s="13"/>
      <c r="V1095" s="13"/>
      <c r="Y1095" s="14"/>
      <c r="Z1095" s="14"/>
      <c r="AA1095" s="14"/>
      <c r="AB1095" s="14"/>
      <c r="AC1095" s="14"/>
      <c r="AD1095" s="14"/>
      <c r="AE1095" s="14"/>
      <c r="AF1095" s="13"/>
      <c r="AM1095" s="14"/>
      <c r="AN1095" s="11"/>
      <c r="AO1095" s="12"/>
      <c r="AP1095" s="11"/>
      <c r="AQ1095" s="11"/>
      <c r="AR1095" s="11"/>
      <c r="AS1095" s="11"/>
      <c r="AT1095" s="11"/>
    </row>
    <row r="1096" spans="1:46" ht="13">
      <c r="A1096" s="11"/>
      <c r="G1096" s="12"/>
      <c r="I1096" s="13"/>
      <c r="J1096" s="13"/>
      <c r="K1096" s="13"/>
      <c r="M1096" s="13"/>
      <c r="N1096" s="13"/>
      <c r="Q1096" s="13"/>
      <c r="V1096" s="13"/>
      <c r="Y1096" s="14"/>
      <c r="Z1096" s="14"/>
      <c r="AA1096" s="14"/>
      <c r="AB1096" s="14"/>
      <c r="AC1096" s="14"/>
      <c r="AD1096" s="14"/>
      <c r="AE1096" s="14"/>
      <c r="AF1096" s="13"/>
      <c r="AM1096" s="14"/>
      <c r="AN1096" s="11"/>
      <c r="AO1096" s="12"/>
      <c r="AP1096" s="11"/>
      <c r="AQ1096" s="11"/>
      <c r="AR1096" s="11"/>
      <c r="AS1096" s="11"/>
      <c r="AT1096" s="11"/>
    </row>
    <row r="1097" spans="1:46" ht="13">
      <c r="A1097" s="11"/>
      <c r="G1097" s="12"/>
      <c r="I1097" s="13"/>
      <c r="J1097" s="13"/>
      <c r="K1097" s="13"/>
      <c r="M1097" s="13"/>
      <c r="N1097" s="13"/>
      <c r="Q1097" s="13"/>
      <c r="V1097" s="13"/>
      <c r="Y1097" s="14"/>
      <c r="Z1097" s="14"/>
      <c r="AA1097" s="14"/>
      <c r="AB1097" s="14"/>
      <c r="AC1097" s="14"/>
      <c r="AD1097" s="14"/>
      <c r="AE1097" s="14"/>
      <c r="AF1097" s="13"/>
      <c r="AM1097" s="14"/>
      <c r="AN1097" s="11"/>
      <c r="AO1097" s="12"/>
      <c r="AP1097" s="11"/>
      <c r="AQ1097" s="11"/>
      <c r="AR1097" s="11"/>
      <c r="AS1097" s="11"/>
      <c r="AT1097" s="11"/>
    </row>
    <row r="1098" spans="1:46" ht="13">
      <c r="A1098" s="11"/>
      <c r="G1098" s="12"/>
      <c r="I1098" s="13"/>
      <c r="J1098" s="13"/>
      <c r="K1098" s="13"/>
      <c r="M1098" s="13"/>
      <c r="N1098" s="13"/>
      <c r="Q1098" s="13"/>
      <c r="V1098" s="13"/>
      <c r="Y1098" s="14"/>
      <c r="Z1098" s="14"/>
      <c r="AA1098" s="14"/>
      <c r="AB1098" s="14"/>
      <c r="AC1098" s="14"/>
      <c r="AD1098" s="14"/>
      <c r="AE1098" s="14"/>
      <c r="AF1098" s="13"/>
      <c r="AM1098" s="14"/>
      <c r="AN1098" s="11"/>
      <c r="AO1098" s="12"/>
      <c r="AP1098" s="11"/>
      <c r="AQ1098" s="11"/>
      <c r="AR1098" s="11"/>
      <c r="AS1098" s="11"/>
      <c r="AT1098" s="11"/>
    </row>
    <row r="1099" spans="1:46" ht="13">
      <c r="A1099" s="11"/>
      <c r="G1099" s="12"/>
      <c r="I1099" s="13"/>
      <c r="J1099" s="13"/>
      <c r="K1099" s="13"/>
      <c r="M1099" s="13"/>
      <c r="N1099" s="13"/>
      <c r="Q1099" s="13"/>
      <c r="V1099" s="13"/>
      <c r="Y1099" s="14"/>
      <c r="Z1099" s="14"/>
      <c r="AA1099" s="14"/>
      <c r="AB1099" s="14"/>
      <c r="AC1099" s="14"/>
      <c r="AD1099" s="14"/>
      <c r="AE1099" s="14"/>
      <c r="AF1099" s="13"/>
      <c r="AM1099" s="14"/>
      <c r="AN1099" s="11"/>
      <c r="AO1099" s="12"/>
      <c r="AP1099" s="11"/>
      <c r="AQ1099" s="11"/>
      <c r="AR1099" s="11"/>
      <c r="AS1099" s="11"/>
      <c r="AT1099" s="11"/>
    </row>
    <row r="1100" spans="1:46" ht="13">
      <c r="A1100" s="11"/>
      <c r="G1100" s="12"/>
      <c r="I1100" s="13"/>
      <c r="J1100" s="13"/>
      <c r="K1100" s="13"/>
      <c r="M1100" s="13"/>
      <c r="N1100" s="13"/>
      <c r="Q1100" s="13"/>
      <c r="V1100" s="13"/>
      <c r="Y1100" s="14"/>
      <c r="Z1100" s="14"/>
      <c r="AA1100" s="14"/>
      <c r="AB1100" s="14"/>
      <c r="AC1100" s="14"/>
      <c r="AD1100" s="14"/>
      <c r="AE1100" s="14"/>
      <c r="AF1100" s="13"/>
      <c r="AM1100" s="14"/>
      <c r="AN1100" s="11"/>
      <c r="AO1100" s="12"/>
      <c r="AP1100" s="11"/>
      <c r="AQ1100" s="11"/>
      <c r="AR1100" s="11"/>
      <c r="AS1100" s="11"/>
      <c r="AT1100" s="11"/>
    </row>
    <row r="1101" spans="1:46" ht="13">
      <c r="A1101" s="11"/>
      <c r="G1101" s="12"/>
      <c r="I1101" s="13"/>
      <c r="J1101" s="13"/>
      <c r="K1101" s="13"/>
      <c r="M1101" s="13"/>
      <c r="N1101" s="13"/>
      <c r="Q1101" s="13"/>
      <c r="V1101" s="13"/>
      <c r="Y1101" s="14"/>
      <c r="Z1101" s="14"/>
      <c r="AA1101" s="14"/>
      <c r="AB1101" s="14"/>
      <c r="AC1101" s="14"/>
      <c r="AD1101" s="14"/>
      <c r="AE1101" s="14"/>
      <c r="AF1101" s="13"/>
      <c r="AM1101" s="14"/>
      <c r="AN1101" s="11"/>
      <c r="AO1101" s="12"/>
      <c r="AP1101" s="11"/>
      <c r="AQ1101" s="11"/>
      <c r="AR1101" s="11"/>
      <c r="AS1101" s="11"/>
      <c r="AT1101" s="11"/>
    </row>
    <row r="1102" spans="1:46" ht="13">
      <c r="A1102" s="11"/>
      <c r="G1102" s="12"/>
      <c r="I1102" s="13"/>
      <c r="J1102" s="13"/>
      <c r="K1102" s="13"/>
      <c r="M1102" s="13"/>
      <c r="N1102" s="13"/>
      <c r="Q1102" s="13"/>
      <c r="V1102" s="13"/>
      <c r="Y1102" s="14"/>
      <c r="Z1102" s="14"/>
      <c r="AA1102" s="14"/>
      <c r="AB1102" s="14"/>
      <c r="AC1102" s="14"/>
      <c r="AD1102" s="14"/>
      <c r="AE1102" s="14"/>
      <c r="AF1102" s="13"/>
      <c r="AM1102" s="14"/>
      <c r="AN1102" s="11"/>
      <c r="AO1102" s="12"/>
      <c r="AP1102" s="11"/>
      <c r="AQ1102" s="11"/>
      <c r="AR1102" s="11"/>
      <c r="AS1102" s="11"/>
      <c r="AT1102" s="11"/>
    </row>
    <row r="1103" spans="1:46" ht="13">
      <c r="A1103" s="11"/>
      <c r="G1103" s="12"/>
      <c r="I1103" s="13"/>
      <c r="J1103" s="13"/>
      <c r="K1103" s="13"/>
      <c r="M1103" s="13"/>
      <c r="N1103" s="13"/>
      <c r="Q1103" s="13"/>
      <c r="V1103" s="13"/>
      <c r="Y1103" s="14"/>
      <c r="Z1103" s="14"/>
      <c r="AA1103" s="14"/>
      <c r="AB1103" s="14"/>
      <c r="AC1103" s="14"/>
      <c r="AD1103" s="14"/>
      <c r="AE1103" s="14"/>
      <c r="AF1103" s="13"/>
      <c r="AM1103" s="14"/>
      <c r="AN1103" s="11"/>
      <c r="AO1103" s="12"/>
      <c r="AP1103" s="11"/>
      <c r="AQ1103" s="11"/>
      <c r="AR1103" s="11"/>
      <c r="AS1103" s="11"/>
      <c r="AT1103" s="11"/>
    </row>
    <row r="1104" spans="1:46" ht="13">
      <c r="A1104" s="11"/>
      <c r="G1104" s="12"/>
      <c r="I1104" s="13"/>
      <c r="J1104" s="13"/>
      <c r="K1104" s="13"/>
      <c r="M1104" s="13"/>
      <c r="N1104" s="13"/>
      <c r="Q1104" s="13"/>
      <c r="V1104" s="13"/>
      <c r="Y1104" s="14"/>
      <c r="Z1104" s="14"/>
      <c r="AA1104" s="14"/>
      <c r="AB1104" s="14"/>
      <c r="AC1104" s="14"/>
      <c r="AD1104" s="14"/>
      <c r="AE1104" s="14"/>
      <c r="AF1104" s="13"/>
      <c r="AM1104" s="14"/>
      <c r="AN1104" s="11"/>
      <c r="AO1104" s="12"/>
      <c r="AP1104" s="11"/>
      <c r="AQ1104" s="11"/>
      <c r="AR1104" s="11"/>
      <c r="AS1104" s="11"/>
      <c r="AT1104" s="11"/>
    </row>
    <row r="1105" spans="1:46" ht="13">
      <c r="A1105" s="11"/>
      <c r="G1105" s="12"/>
      <c r="I1105" s="13"/>
      <c r="J1105" s="13"/>
      <c r="K1105" s="13"/>
      <c r="M1105" s="13"/>
      <c r="N1105" s="13"/>
      <c r="Q1105" s="13"/>
      <c r="V1105" s="13"/>
      <c r="Y1105" s="14"/>
      <c r="Z1105" s="14"/>
      <c r="AA1105" s="14"/>
      <c r="AB1105" s="14"/>
      <c r="AC1105" s="14"/>
      <c r="AD1105" s="14"/>
      <c r="AE1105" s="14"/>
      <c r="AF1105" s="13"/>
      <c r="AM1105" s="14"/>
      <c r="AN1105" s="11"/>
      <c r="AO1105" s="12"/>
      <c r="AP1105" s="11"/>
      <c r="AQ1105" s="11"/>
      <c r="AR1105" s="11"/>
      <c r="AS1105" s="11"/>
      <c r="AT1105" s="11"/>
    </row>
    <row r="1106" spans="1:46" ht="13">
      <c r="A1106" s="11"/>
      <c r="G1106" s="12"/>
      <c r="I1106" s="13"/>
      <c r="J1106" s="13"/>
      <c r="K1106" s="13"/>
      <c r="M1106" s="13"/>
      <c r="N1106" s="13"/>
      <c r="Q1106" s="13"/>
      <c r="V1106" s="13"/>
      <c r="Y1106" s="14"/>
      <c r="Z1106" s="14"/>
      <c r="AA1106" s="14"/>
      <c r="AB1106" s="14"/>
      <c r="AC1106" s="14"/>
      <c r="AD1106" s="14"/>
      <c r="AE1106" s="14"/>
      <c r="AF1106" s="13"/>
      <c r="AM1106" s="14"/>
      <c r="AN1106" s="11"/>
      <c r="AO1106" s="12"/>
      <c r="AP1106" s="11"/>
      <c r="AQ1106" s="11"/>
      <c r="AR1106" s="11"/>
      <c r="AS1106" s="11"/>
      <c r="AT1106" s="11"/>
    </row>
    <row r="1107" spans="1:46" ht="13">
      <c r="A1107" s="11"/>
      <c r="G1107" s="12"/>
      <c r="I1107" s="13"/>
      <c r="J1107" s="13"/>
      <c r="K1107" s="13"/>
      <c r="M1107" s="13"/>
      <c r="N1107" s="13"/>
      <c r="Q1107" s="13"/>
      <c r="V1107" s="13"/>
      <c r="Y1107" s="14"/>
      <c r="Z1107" s="14"/>
      <c r="AA1107" s="14"/>
      <c r="AB1107" s="14"/>
      <c r="AC1107" s="14"/>
      <c r="AD1107" s="14"/>
      <c r="AE1107" s="14"/>
      <c r="AF1107" s="13"/>
      <c r="AM1107" s="14"/>
      <c r="AN1107" s="11"/>
      <c r="AO1107" s="12"/>
      <c r="AP1107" s="11"/>
      <c r="AQ1107" s="11"/>
      <c r="AR1107" s="11"/>
      <c r="AS1107" s="11"/>
      <c r="AT1107" s="11"/>
    </row>
    <row r="1108" spans="1:46" ht="13">
      <c r="A1108" s="11"/>
      <c r="G1108" s="12"/>
      <c r="I1108" s="13"/>
      <c r="J1108" s="13"/>
      <c r="K1108" s="13"/>
      <c r="M1108" s="13"/>
      <c r="N1108" s="13"/>
      <c r="Q1108" s="13"/>
      <c r="V1108" s="13"/>
      <c r="Y1108" s="14"/>
      <c r="Z1108" s="14"/>
      <c r="AA1108" s="14"/>
      <c r="AB1108" s="14"/>
      <c r="AC1108" s="14"/>
      <c r="AD1108" s="14"/>
      <c r="AE1108" s="14"/>
      <c r="AF1108" s="13"/>
      <c r="AM1108" s="14"/>
      <c r="AN1108" s="11"/>
      <c r="AO1108" s="12"/>
      <c r="AP1108" s="11"/>
      <c r="AQ1108" s="11"/>
      <c r="AR1108" s="11"/>
      <c r="AS1108" s="11"/>
      <c r="AT1108" s="11"/>
    </row>
    <row r="1109" spans="1:46" ht="13">
      <c r="A1109" s="11"/>
      <c r="G1109" s="12"/>
      <c r="I1109" s="13"/>
      <c r="J1109" s="13"/>
      <c r="K1109" s="13"/>
      <c r="M1109" s="13"/>
      <c r="N1109" s="13"/>
      <c r="Q1109" s="13"/>
      <c r="V1109" s="13"/>
      <c r="Y1109" s="14"/>
      <c r="Z1109" s="14"/>
      <c r="AA1109" s="14"/>
      <c r="AB1109" s="14"/>
      <c r="AC1109" s="14"/>
      <c r="AD1109" s="14"/>
      <c r="AE1109" s="14"/>
      <c r="AF1109" s="13"/>
      <c r="AM1109" s="14"/>
      <c r="AN1109" s="11"/>
      <c r="AO1109" s="12"/>
      <c r="AP1109" s="11"/>
      <c r="AQ1109" s="11"/>
      <c r="AR1109" s="11"/>
      <c r="AS1109" s="11"/>
      <c r="AT1109" s="11"/>
    </row>
    <row r="1110" spans="1:46" ht="13">
      <c r="A1110" s="11"/>
      <c r="G1110" s="12"/>
      <c r="I1110" s="13"/>
      <c r="J1110" s="13"/>
      <c r="K1110" s="13"/>
      <c r="M1110" s="13"/>
      <c r="N1110" s="13"/>
      <c r="Q1110" s="13"/>
      <c r="V1110" s="13"/>
      <c r="Y1110" s="14"/>
      <c r="Z1110" s="14"/>
      <c r="AA1110" s="14"/>
      <c r="AB1110" s="14"/>
      <c r="AC1110" s="14"/>
      <c r="AD1110" s="14"/>
      <c r="AE1110" s="14"/>
      <c r="AF1110" s="13"/>
      <c r="AM1110" s="14"/>
      <c r="AN1110" s="11"/>
      <c r="AO1110" s="12"/>
      <c r="AP1110" s="11"/>
      <c r="AQ1110" s="11"/>
      <c r="AR1110" s="11"/>
      <c r="AS1110" s="11"/>
      <c r="AT1110" s="11"/>
    </row>
    <row r="1111" spans="1:46" ht="13">
      <c r="A1111" s="11"/>
      <c r="G1111" s="12"/>
      <c r="I1111" s="13"/>
      <c r="J1111" s="13"/>
      <c r="K1111" s="13"/>
      <c r="M1111" s="13"/>
      <c r="N1111" s="13"/>
      <c r="Q1111" s="13"/>
      <c r="V1111" s="13"/>
      <c r="Y1111" s="14"/>
      <c r="Z1111" s="14"/>
      <c r="AA1111" s="14"/>
      <c r="AB1111" s="14"/>
      <c r="AC1111" s="14"/>
      <c r="AD1111" s="14"/>
      <c r="AE1111" s="14"/>
      <c r="AF1111" s="13"/>
      <c r="AM1111" s="14"/>
      <c r="AN1111" s="11"/>
      <c r="AO1111" s="12"/>
      <c r="AP1111" s="11"/>
      <c r="AQ1111" s="11"/>
      <c r="AR1111" s="11"/>
      <c r="AS1111" s="11"/>
      <c r="AT1111" s="11"/>
    </row>
    <row r="1112" spans="1:46" ht="13">
      <c r="A1112" s="11"/>
      <c r="G1112" s="12"/>
      <c r="I1112" s="13"/>
      <c r="J1112" s="13"/>
      <c r="K1112" s="13"/>
      <c r="M1112" s="13"/>
      <c r="N1112" s="13"/>
      <c r="Q1112" s="13"/>
      <c r="V1112" s="13"/>
      <c r="Y1112" s="14"/>
      <c r="Z1112" s="14"/>
      <c r="AA1112" s="14"/>
      <c r="AB1112" s="14"/>
      <c r="AC1112" s="14"/>
      <c r="AD1112" s="14"/>
      <c r="AE1112" s="14"/>
      <c r="AF1112" s="13"/>
      <c r="AM1112" s="14"/>
      <c r="AN1112" s="11"/>
      <c r="AO1112" s="12"/>
      <c r="AP1112" s="11"/>
      <c r="AQ1112" s="11"/>
      <c r="AR1112" s="11"/>
      <c r="AS1112" s="11"/>
      <c r="AT1112" s="11"/>
    </row>
    <row r="1113" spans="1:46" ht="13">
      <c r="A1113" s="11"/>
      <c r="G1113" s="12"/>
      <c r="I1113" s="13"/>
      <c r="J1113" s="13"/>
      <c r="K1113" s="13"/>
      <c r="M1113" s="13"/>
      <c r="N1113" s="13"/>
      <c r="Q1113" s="13"/>
      <c r="V1113" s="13"/>
      <c r="Y1113" s="14"/>
      <c r="Z1113" s="14"/>
      <c r="AA1113" s="14"/>
      <c r="AB1113" s="14"/>
      <c r="AC1113" s="14"/>
      <c r="AD1113" s="14"/>
      <c r="AE1113" s="14"/>
      <c r="AF1113" s="13"/>
      <c r="AM1113" s="14"/>
      <c r="AN1113" s="11"/>
      <c r="AO1113" s="12"/>
      <c r="AP1113" s="11"/>
      <c r="AQ1113" s="11"/>
      <c r="AR1113" s="11"/>
      <c r="AS1113" s="11"/>
      <c r="AT1113" s="11"/>
    </row>
    <row r="1114" spans="1:46" ht="13">
      <c r="A1114" s="11"/>
      <c r="G1114" s="12"/>
      <c r="I1114" s="13"/>
      <c r="J1114" s="13"/>
      <c r="K1114" s="13"/>
      <c r="M1114" s="13"/>
      <c r="N1114" s="13"/>
      <c r="Q1114" s="13"/>
      <c r="V1114" s="13"/>
      <c r="Y1114" s="14"/>
      <c r="Z1114" s="14"/>
      <c r="AA1114" s="14"/>
      <c r="AB1114" s="14"/>
      <c r="AC1114" s="14"/>
      <c r="AD1114" s="14"/>
      <c r="AE1114" s="14"/>
      <c r="AF1114" s="13"/>
      <c r="AM1114" s="14"/>
      <c r="AN1114" s="11"/>
      <c r="AO1114" s="12"/>
      <c r="AP1114" s="11"/>
      <c r="AQ1114" s="11"/>
      <c r="AR1114" s="11"/>
      <c r="AS1114" s="11"/>
      <c r="AT1114" s="11"/>
    </row>
    <row r="1115" spans="1:46" ht="13">
      <c r="A1115" s="11"/>
      <c r="G1115" s="12"/>
      <c r="I1115" s="13"/>
      <c r="J1115" s="13"/>
      <c r="K1115" s="13"/>
      <c r="M1115" s="13"/>
      <c r="N1115" s="13"/>
      <c r="Q1115" s="13"/>
      <c r="V1115" s="13"/>
      <c r="Y1115" s="14"/>
      <c r="Z1115" s="14"/>
      <c r="AA1115" s="14"/>
      <c r="AB1115" s="14"/>
      <c r="AC1115" s="14"/>
      <c r="AD1115" s="14"/>
      <c r="AE1115" s="14"/>
      <c r="AF1115" s="13"/>
      <c r="AM1115" s="14"/>
      <c r="AN1115" s="11"/>
      <c r="AO1115" s="12"/>
      <c r="AP1115" s="11"/>
      <c r="AQ1115" s="11"/>
      <c r="AR1115" s="11"/>
      <c r="AS1115" s="11"/>
      <c r="AT1115" s="11"/>
    </row>
    <row r="1116" spans="1:46" ht="13">
      <c r="A1116" s="11"/>
      <c r="G1116" s="12"/>
      <c r="I1116" s="13"/>
      <c r="J1116" s="13"/>
      <c r="K1116" s="13"/>
      <c r="M1116" s="13"/>
      <c r="N1116" s="13"/>
      <c r="Q1116" s="13"/>
      <c r="V1116" s="13"/>
      <c r="Y1116" s="14"/>
      <c r="Z1116" s="14"/>
      <c r="AA1116" s="14"/>
      <c r="AB1116" s="14"/>
      <c r="AC1116" s="14"/>
      <c r="AD1116" s="14"/>
      <c r="AE1116" s="14"/>
      <c r="AF1116" s="13"/>
      <c r="AM1116" s="14"/>
      <c r="AN1116" s="11"/>
      <c r="AO1116" s="12"/>
      <c r="AP1116" s="11"/>
      <c r="AQ1116" s="11"/>
      <c r="AR1116" s="11"/>
      <c r="AS1116" s="11"/>
      <c r="AT1116" s="11"/>
    </row>
    <row r="1117" spans="1:46" ht="13">
      <c r="A1117" s="11"/>
      <c r="G1117" s="12"/>
      <c r="I1117" s="13"/>
      <c r="J1117" s="13"/>
      <c r="K1117" s="13"/>
      <c r="M1117" s="13"/>
      <c r="N1117" s="13"/>
      <c r="Q1117" s="13"/>
      <c r="V1117" s="13"/>
      <c r="Y1117" s="14"/>
      <c r="Z1117" s="14"/>
      <c r="AA1117" s="14"/>
      <c r="AB1117" s="14"/>
      <c r="AC1117" s="14"/>
      <c r="AD1117" s="14"/>
      <c r="AE1117" s="14"/>
      <c r="AF1117" s="13"/>
      <c r="AM1117" s="14"/>
      <c r="AN1117" s="11"/>
      <c r="AO1117" s="12"/>
      <c r="AP1117" s="11"/>
      <c r="AQ1117" s="11"/>
      <c r="AR1117" s="11"/>
      <c r="AS1117" s="11"/>
      <c r="AT1117" s="11"/>
    </row>
    <row r="1118" spans="1:46" ht="13">
      <c r="A1118" s="11"/>
      <c r="G1118" s="12"/>
      <c r="I1118" s="13"/>
      <c r="J1118" s="13"/>
      <c r="K1118" s="13"/>
      <c r="M1118" s="13"/>
      <c r="N1118" s="13"/>
      <c r="Q1118" s="13"/>
      <c r="V1118" s="13"/>
      <c r="Y1118" s="14"/>
      <c r="Z1118" s="14"/>
      <c r="AA1118" s="14"/>
      <c r="AB1118" s="14"/>
      <c r="AC1118" s="14"/>
      <c r="AD1118" s="14"/>
      <c r="AE1118" s="14"/>
      <c r="AF1118" s="13"/>
      <c r="AM1118" s="14"/>
      <c r="AN1118" s="11"/>
      <c r="AO1118" s="12"/>
      <c r="AP1118" s="11"/>
      <c r="AQ1118" s="11"/>
      <c r="AR1118" s="11"/>
      <c r="AS1118" s="11"/>
      <c r="AT1118" s="11"/>
    </row>
    <row r="1119" spans="1:46" ht="13">
      <c r="A1119" s="11"/>
      <c r="G1119" s="12"/>
      <c r="I1119" s="13"/>
      <c r="J1119" s="13"/>
      <c r="K1119" s="13"/>
      <c r="M1119" s="13"/>
      <c r="N1119" s="13"/>
      <c r="Q1119" s="13"/>
      <c r="V1119" s="13"/>
      <c r="Y1119" s="14"/>
      <c r="Z1119" s="14"/>
      <c r="AA1119" s="14"/>
      <c r="AB1119" s="14"/>
      <c r="AC1119" s="14"/>
      <c r="AD1119" s="14"/>
      <c r="AE1119" s="14"/>
      <c r="AF1119" s="13"/>
      <c r="AM1119" s="14"/>
      <c r="AN1119" s="11"/>
      <c r="AO1119" s="12"/>
      <c r="AP1119" s="11"/>
      <c r="AQ1119" s="11"/>
      <c r="AR1119" s="11"/>
      <c r="AS1119" s="11"/>
      <c r="AT1119" s="11"/>
    </row>
    <row r="1120" spans="1:46" ht="13">
      <c r="A1120" s="11"/>
      <c r="G1120" s="12"/>
      <c r="I1120" s="13"/>
      <c r="J1120" s="13"/>
      <c r="K1120" s="13"/>
      <c r="M1120" s="13"/>
      <c r="N1120" s="13"/>
      <c r="Q1120" s="13"/>
      <c r="V1120" s="13"/>
      <c r="Y1120" s="14"/>
      <c r="Z1120" s="14"/>
      <c r="AA1120" s="14"/>
      <c r="AB1120" s="14"/>
      <c r="AC1120" s="14"/>
      <c r="AD1120" s="14"/>
      <c r="AE1120" s="14"/>
      <c r="AF1120" s="13"/>
      <c r="AM1120" s="14"/>
      <c r="AN1120" s="11"/>
      <c r="AO1120" s="12"/>
      <c r="AP1120" s="11"/>
      <c r="AQ1120" s="11"/>
      <c r="AR1120" s="11"/>
      <c r="AS1120" s="11"/>
      <c r="AT1120" s="11"/>
    </row>
    <row r="1121" spans="1:46" ht="13">
      <c r="A1121" s="11"/>
      <c r="G1121" s="12"/>
      <c r="I1121" s="13"/>
      <c r="J1121" s="13"/>
      <c r="K1121" s="13"/>
      <c r="M1121" s="13"/>
      <c r="N1121" s="13"/>
      <c r="Q1121" s="13"/>
      <c r="V1121" s="13"/>
      <c r="Y1121" s="14"/>
      <c r="Z1121" s="14"/>
      <c r="AA1121" s="14"/>
      <c r="AB1121" s="14"/>
      <c r="AC1121" s="14"/>
      <c r="AD1121" s="14"/>
      <c r="AE1121" s="14"/>
      <c r="AF1121" s="13"/>
      <c r="AM1121" s="14"/>
      <c r="AN1121" s="11"/>
      <c r="AO1121" s="12"/>
      <c r="AP1121" s="11"/>
      <c r="AQ1121" s="11"/>
      <c r="AR1121" s="11"/>
      <c r="AS1121" s="11"/>
      <c r="AT1121" s="11"/>
    </row>
    <row r="1122" spans="1:46" ht="13">
      <c r="A1122" s="11"/>
      <c r="G1122" s="12"/>
      <c r="I1122" s="13"/>
      <c r="J1122" s="13"/>
      <c r="K1122" s="13"/>
      <c r="M1122" s="13"/>
      <c r="N1122" s="13"/>
      <c r="Q1122" s="13"/>
      <c r="V1122" s="13"/>
      <c r="Y1122" s="14"/>
      <c r="Z1122" s="14"/>
      <c r="AA1122" s="14"/>
      <c r="AB1122" s="14"/>
      <c r="AC1122" s="14"/>
      <c r="AD1122" s="14"/>
      <c r="AE1122" s="14"/>
      <c r="AF1122" s="13"/>
      <c r="AM1122" s="14"/>
      <c r="AN1122" s="11"/>
      <c r="AO1122" s="12"/>
      <c r="AP1122" s="11"/>
      <c r="AQ1122" s="11"/>
      <c r="AR1122" s="11"/>
      <c r="AS1122" s="11"/>
      <c r="AT1122" s="11"/>
    </row>
    <row r="1123" spans="1:46" ht="13">
      <c r="A1123" s="11"/>
      <c r="G1123" s="12"/>
      <c r="I1123" s="13"/>
      <c r="J1123" s="13"/>
      <c r="K1123" s="13"/>
      <c r="M1123" s="13"/>
      <c r="N1123" s="13"/>
      <c r="Q1123" s="13"/>
      <c r="V1123" s="13"/>
      <c r="Y1123" s="14"/>
      <c r="Z1123" s="14"/>
      <c r="AA1123" s="14"/>
      <c r="AB1123" s="14"/>
      <c r="AC1123" s="14"/>
      <c r="AD1123" s="14"/>
      <c r="AE1123" s="14"/>
      <c r="AF1123" s="13"/>
      <c r="AM1123" s="14"/>
      <c r="AN1123" s="11"/>
      <c r="AO1123" s="12"/>
      <c r="AP1123" s="11"/>
      <c r="AQ1123" s="11"/>
      <c r="AR1123" s="11"/>
      <c r="AS1123" s="11"/>
      <c r="AT1123" s="11"/>
    </row>
    <row r="1124" spans="1:46" ht="13">
      <c r="A1124" s="11"/>
      <c r="G1124" s="12"/>
      <c r="I1124" s="13"/>
      <c r="J1124" s="13"/>
      <c r="K1124" s="13"/>
      <c r="M1124" s="13"/>
      <c r="N1124" s="13"/>
      <c r="Q1124" s="13"/>
      <c r="V1124" s="13"/>
      <c r="Y1124" s="14"/>
      <c r="Z1124" s="14"/>
      <c r="AA1124" s="14"/>
      <c r="AB1124" s="14"/>
      <c r="AC1124" s="14"/>
      <c r="AD1124" s="14"/>
      <c r="AE1124" s="14"/>
      <c r="AF1124" s="13"/>
      <c r="AM1124" s="14"/>
      <c r="AN1124" s="11"/>
      <c r="AO1124" s="12"/>
      <c r="AP1124" s="11"/>
      <c r="AQ1124" s="11"/>
      <c r="AR1124" s="11"/>
      <c r="AS1124" s="11"/>
      <c r="AT1124" s="11"/>
    </row>
    <row r="1125" spans="1:46" ht="13">
      <c r="A1125" s="11"/>
      <c r="G1125" s="12"/>
      <c r="I1125" s="13"/>
      <c r="J1125" s="13"/>
      <c r="K1125" s="13"/>
      <c r="M1125" s="13"/>
      <c r="N1125" s="13"/>
      <c r="Q1125" s="13"/>
      <c r="V1125" s="13"/>
      <c r="Y1125" s="14"/>
      <c r="Z1125" s="14"/>
      <c r="AA1125" s="14"/>
      <c r="AB1125" s="14"/>
      <c r="AC1125" s="14"/>
      <c r="AD1125" s="14"/>
      <c r="AE1125" s="14"/>
      <c r="AF1125" s="13"/>
      <c r="AM1125" s="14"/>
      <c r="AN1125" s="11"/>
      <c r="AO1125" s="12"/>
      <c r="AP1125" s="11"/>
      <c r="AQ1125" s="11"/>
      <c r="AR1125" s="11"/>
      <c r="AS1125" s="11"/>
      <c r="AT1125" s="11"/>
    </row>
    <row r="1126" spans="1:46" ht="13">
      <c r="A1126" s="11"/>
      <c r="G1126" s="12"/>
      <c r="I1126" s="13"/>
      <c r="J1126" s="13"/>
      <c r="K1126" s="13"/>
      <c r="M1126" s="13"/>
      <c r="N1126" s="13"/>
      <c r="Q1126" s="13"/>
      <c r="V1126" s="13"/>
      <c r="Y1126" s="14"/>
      <c r="Z1126" s="14"/>
      <c r="AA1126" s="14"/>
      <c r="AB1126" s="14"/>
      <c r="AC1126" s="14"/>
      <c r="AD1126" s="14"/>
      <c r="AE1126" s="14"/>
      <c r="AF1126" s="13"/>
      <c r="AM1126" s="14"/>
      <c r="AN1126" s="11"/>
      <c r="AO1126" s="12"/>
      <c r="AP1126" s="11"/>
      <c r="AQ1126" s="11"/>
      <c r="AR1126" s="11"/>
      <c r="AS1126" s="11"/>
      <c r="AT1126" s="11"/>
    </row>
    <row r="1127" spans="1:46" ht="13">
      <c r="A1127" s="11"/>
      <c r="G1127" s="12"/>
      <c r="I1127" s="13"/>
      <c r="J1127" s="13"/>
      <c r="K1127" s="13"/>
      <c r="M1127" s="13"/>
      <c r="N1127" s="13"/>
      <c r="Q1127" s="13"/>
      <c r="V1127" s="13"/>
      <c r="Y1127" s="14"/>
      <c r="Z1127" s="14"/>
      <c r="AA1127" s="14"/>
      <c r="AB1127" s="14"/>
      <c r="AC1127" s="14"/>
      <c r="AD1127" s="14"/>
      <c r="AE1127" s="14"/>
      <c r="AF1127" s="13"/>
      <c r="AM1127" s="14"/>
      <c r="AN1127" s="11"/>
      <c r="AO1127" s="12"/>
      <c r="AP1127" s="11"/>
      <c r="AQ1127" s="11"/>
      <c r="AR1127" s="11"/>
      <c r="AS1127" s="11"/>
      <c r="AT1127" s="11"/>
    </row>
    <row r="1128" spans="1:46" ht="13">
      <c r="A1128" s="11"/>
      <c r="G1128" s="12"/>
      <c r="I1128" s="13"/>
      <c r="J1128" s="13"/>
      <c r="K1128" s="13"/>
      <c r="M1128" s="13"/>
      <c r="N1128" s="13"/>
      <c r="Q1128" s="13"/>
      <c r="V1128" s="13"/>
      <c r="Y1128" s="14"/>
      <c r="Z1128" s="14"/>
      <c r="AA1128" s="14"/>
      <c r="AB1128" s="14"/>
      <c r="AC1128" s="14"/>
      <c r="AD1128" s="14"/>
      <c r="AE1128" s="14"/>
      <c r="AF1128" s="13"/>
      <c r="AM1128" s="14"/>
      <c r="AN1128" s="11"/>
      <c r="AO1128" s="12"/>
      <c r="AP1128" s="11"/>
      <c r="AQ1128" s="11"/>
      <c r="AR1128" s="11"/>
      <c r="AS1128" s="11"/>
      <c r="AT1128" s="11"/>
    </row>
    <row r="1129" spans="1:46" ht="13">
      <c r="A1129" s="11"/>
      <c r="G1129" s="12"/>
      <c r="I1129" s="13"/>
      <c r="J1129" s="13"/>
      <c r="K1129" s="13"/>
      <c r="M1129" s="13"/>
      <c r="N1129" s="13"/>
      <c r="Q1129" s="13"/>
      <c r="V1129" s="13"/>
      <c r="Y1129" s="14"/>
      <c r="Z1129" s="14"/>
      <c r="AA1129" s="14"/>
      <c r="AB1129" s="14"/>
      <c r="AC1129" s="14"/>
      <c r="AD1129" s="14"/>
      <c r="AE1129" s="14"/>
      <c r="AF1129" s="13"/>
      <c r="AM1129" s="14"/>
      <c r="AN1129" s="11"/>
      <c r="AO1129" s="12"/>
      <c r="AP1129" s="11"/>
      <c r="AQ1129" s="11"/>
      <c r="AR1129" s="11"/>
      <c r="AS1129" s="11"/>
      <c r="AT1129" s="11"/>
    </row>
    <row r="1130" spans="1:46" ht="13">
      <c r="A1130" s="11"/>
      <c r="G1130" s="12"/>
      <c r="I1130" s="13"/>
      <c r="J1130" s="13"/>
      <c r="K1130" s="13"/>
      <c r="M1130" s="13"/>
      <c r="N1130" s="13"/>
      <c r="Q1130" s="13"/>
      <c r="V1130" s="13"/>
      <c r="Y1130" s="14"/>
      <c r="Z1130" s="14"/>
      <c r="AA1130" s="14"/>
      <c r="AB1130" s="14"/>
      <c r="AC1130" s="14"/>
      <c r="AD1130" s="14"/>
      <c r="AE1130" s="14"/>
      <c r="AF1130" s="13"/>
      <c r="AM1130" s="14"/>
      <c r="AN1130" s="11"/>
      <c r="AO1130" s="12"/>
      <c r="AP1130" s="11"/>
      <c r="AQ1130" s="11"/>
      <c r="AR1130" s="11"/>
      <c r="AS1130" s="11"/>
      <c r="AT1130" s="11"/>
    </row>
    <row r="1131" spans="1:46" ht="13">
      <c r="A1131" s="11"/>
      <c r="G1131" s="12"/>
      <c r="I1131" s="13"/>
      <c r="J1131" s="13"/>
      <c r="K1131" s="13"/>
      <c r="M1131" s="13"/>
      <c r="N1131" s="13"/>
      <c r="Q1131" s="13"/>
      <c r="V1131" s="13"/>
      <c r="Y1131" s="14"/>
      <c r="Z1131" s="14"/>
      <c r="AA1131" s="14"/>
      <c r="AB1131" s="14"/>
      <c r="AC1131" s="14"/>
      <c r="AD1131" s="14"/>
      <c r="AE1131" s="14"/>
      <c r="AF1131" s="13"/>
      <c r="AM1131" s="14"/>
      <c r="AN1131" s="11"/>
      <c r="AO1131" s="12"/>
      <c r="AP1131" s="11"/>
      <c r="AQ1131" s="11"/>
      <c r="AR1131" s="11"/>
      <c r="AS1131" s="11"/>
      <c r="AT1131" s="11"/>
    </row>
    <row r="1132" spans="1:46" ht="13">
      <c r="A1132" s="11"/>
      <c r="G1132" s="12"/>
      <c r="I1132" s="13"/>
      <c r="J1132" s="13"/>
      <c r="K1132" s="13"/>
      <c r="M1132" s="13"/>
      <c r="N1132" s="13"/>
      <c r="Q1132" s="13"/>
      <c r="V1132" s="13"/>
      <c r="Y1132" s="14"/>
      <c r="Z1132" s="14"/>
      <c r="AA1132" s="14"/>
      <c r="AB1132" s="14"/>
      <c r="AC1132" s="14"/>
      <c r="AD1132" s="14"/>
      <c r="AE1132" s="14"/>
      <c r="AF1132" s="13"/>
      <c r="AM1132" s="14"/>
      <c r="AN1132" s="11"/>
      <c r="AO1132" s="12"/>
      <c r="AP1132" s="11"/>
      <c r="AQ1132" s="11"/>
      <c r="AR1132" s="11"/>
      <c r="AS1132" s="11"/>
      <c r="AT1132" s="11"/>
    </row>
    <row r="1133" spans="1:46" ht="13">
      <c r="A1133" s="11"/>
      <c r="G1133" s="12"/>
      <c r="I1133" s="13"/>
      <c r="J1133" s="13"/>
      <c r="K1133" s="13"/>
      <c r="M1133" s="13"/>
      <c r="N1133" s="13"/>
      <c r="Q1133" s="13"/>
      <c r="V1133" s="13"/>
      <c r="Y1133" s="14"/>
      <c r="Z1133" s="14"/>
      <c r="AA1133" s="14"/>
      <c r="AB1133" s="14"/>
      <c r="AC1133" s="14"/>
      <c r="AD1133" s="14"/>
      <c r="AE1133" s="14"/>
      <c r="AF1133" s="13"/>
      <c r="AM1133" s="14"/>
      <c r="AN1133" s="11"/>
      <c r="AO1133" s="12"/>
      <c r="AP1133" s="11"/>
      <c r="AQ1133" s="11"/>
      <c r="AR1133" s="11"/>
      <c r="AS1133" s="11"/>
      <c r="AT1133" s="11"/>
    </row>
    <row r="1134" spans="1:46" ht="13">
      <c r="A1134" s="11"/>
      <c r="G1134" s="12"/>
      <c r="I1134" s="13"/>
      <c r="J1134" s="13"/>
      <c r="K1134" s="13"/>
      <c r="M1134" s="13"/>
      <c r="N1134" s="13"/>
      <c r="Q1134" s="13"/>
      <c r="V1134" s="13"/>
      <c r="Y1134" s="14"/>
      <c r="Z1134" s="14"/>
      <c r="AA1134" s="14"/>
      <c r="AB1134" s="14"/>
      <c r="AC1134" s="14"/>
      <c r="AD1134" s="14"/>
      <c r="AE1134" s="14"/>
      <c r="AF1134" s="13"/>
      <c r="AM1134" s="14"/>
      <c r="AN1134" s="11"/>
      <c r="AO1134" s="12"/>
      <c r="AP1134" s="11"/>
      <c r="AQ1134" s="11"/>
      <c r="AR1134" s="11"/>
      <c r="AS1134" s="11"/>
      <c r="AT1134" s="11"/>
    </row>
    <row r="1135" spans="1:46" ht="13">
      <c r="A1135" s="11"/>
      <c r="G1135" s="12"/>
      <c r="I1135" s="13"/>
      <c r="J1135" s="13"/>
      <c r="K1135" s="13"/>
      <c r="M1135" s="13"/>
      <c r="N1135" s="13"/>
      <c r="Q1135" s="13"/>
      <c r="V1135" s="13"/>
      <c r="Y1135" s="14"/>
      <c r="Z1135" s="14"/>
      <c r="AA1135" s="14"/>
      <c r="AB1135" s="14"/>
      <c r="AC1135" s="14"/>
      <c r="AD1135" s="14"/>
      <c r="AE1135" s="14"/>
      <c r="AF1135" s="13"/>
      <c r="AM1135" s="14"/>
      <c r="AN1135" s="11"/>
      <c r="AO1135" s="12"/>
      <c r="AP1135" s="11"/>
      <c r="AQ1135" s="11"/>
      <c r="AR1135" s="11"/>
      <c r="AS1135" s="11"/>
      <c r="AT1135" s="11"/>
    </row>
    <row r="1136" spans="1:46" ht="13">
      <c r="A1136" s="11"/>
      <c r="G1136" s="12"/>
      <c r="I1136" s="13"/>
      <c r="J1136" s="13"/>
      <c r="K1136" s="13"/>
      <c r="M1136" s="13"/>
      <c r="N1136" s="13"/>
      <c r="Q1136" s="13"/>
      <c r="V1136" s="13"/>
      <c r="Y1136" s="14"/>
      <c r="Z1136" s="14"/>
      <c r="AA1136" s="14"/>
      <c r="AB1136" s="14"/>
      <c r="AC1136" s="14"/>
      <c r="AD1136" s="14"/>
      <c r="AE1136" s="14"/>
      <c r="AF1136" s="13"/>
      <c r="AM1136" s="14"/>
      <c r="AN1136" s="11"/>
      <c r="AO1136" s="12"/>
      <c r="AP1136" s="11"/>
      <c r="AQ1136" s="11"/>
      <c r="AR1136" s="11"/>
      <c r="AS1136" s="11"/>
      <c r="AT1136" s="11"/>
    </row>
    <row r="1137" spans="1:46" ht="13">
      <c r="A1137" s="11"/>
      <c r="G1137" s="12"/>
      <c r="I1137" s="13"/>
      <c r="J1137" s="13"/>
      <c r="K1137" s="13"/>
      <c r="M1137" s="13"/>
      <c r="N1137" s="13"/>
      <c r="Q1137" s="13"/>
      <c r="V1137" s="13"/>
      <c r="Y1137" s="14"/>
      <c r="Z1137" s="14"/>
      <c r="AA1137" s="14"/>
      <c r="AB1137" s="14"/>
      <c r="AC1137" s="14"/>
      <c r="AD1137" s="14"/>
      <c r="AE1137" s="14"/>
      <c r="AF1137" s="13"/>
      <c r="AM1137" s="14"/>
      <c r="AN1137" s="11"/>
      <c r="AO1137" s="12"/>
      <c r="AP1137" s="11"/>
      <c r="AQ1137" s="11"/>
      <c r="AR1137" s="11"/>
      <c r="AS1137" s="11"/>
      <c r="AT1137" s="11"/>
    </row>
    <row r="1138" spans="1:46" ht="13">
      <c r="A1138" s="11"/>
      <c r="G1138" s="12"/>
      <c r="I1138" s="13"/>
      <c r="J1138" s="13"/>
      <c r="K1138" s="13"/>
      <c r="M1138" s="13"/>
      <c r="N1138" s="13"/>
      <c r="Q1138" s="13"/>
      <c r="V1138" s="13"/>
      <c r="Y1138" s="14"/>
      <c r="Z1138" s="14"/>
      <c r="AA1138" s="14"/>
      <c r="AB1138" s="14"/>
      <c r="AC1138" s="14"/>
      <c r="AD1138" s="14"/>
      <c r="AE1138" s="14"/>
      <c r="AF1138" s="13"/>
      <c r="AM1138" s="14"/>
      <c r="AN1138" s="11"/>
      <c r="AO1138" s="12"/>
      <c r="AP1138" s="11"/>
      <c r="AQ1138" s="11"/>
      <c r="AR1138" s="11"/>
      <c r="AS1138" s="11"/>
      <c r="AT1138" s="11"/>
    </row>
    <row r="1139" spans="1:46" ht="13">
      <c r="A1139" s="11"/>
      <c r="G1139" s="12"/>
      <c r="I1139" s="13"/>
      <c r="J1139" s="13"/>
      <c r="K1139" s="13"/>
      <c r="M1139" s="13"/>
      <c r="N1139" s="13"/>
      <c r="Q1139" s="13"/>
      <c r="V1139" s="13"/>
      <c r="Y1139" s="14"/>
      <c r="Z1139" s="14"/>
      <c r="AA1139" s="14"/>
      <c r="AB1139" s="14"/>
      <c r="AC1139" s="14"/>
      <c r="AD1139" s="14"/>
      <c r="AE1139" s="14"/>
      <c r="AF1139" s="13"/>
      <c r="AM1139" s="14"/>
      <c r="AN1139" s="11"/>
      <c r="AO1139" s="12"/>
      <c r="AP1139" s="11"/>
      <c r="AQ1139" s="11"/>
      <c r="AR1139" s="11"/>
      <c r="AS1139" s="11"/>
      <c r="AT1139" s="11"/>
    </row>
    <row r="1140" spans="1:46" ht="13">
      <c r="A1140" s="11"/>
      <c r="G1140" s="12"/>
      <c r="I1140" s="13"/>
      <c r="J1140" s="13"/>
      <c r="K1140" s="13"/>
      <c r="M1140" s="13"/>
      <c r="N1140" s="13"/>
      <c r="Q1140" s="13"/>
      <c r="V1140" s="13"/>
      <c r="Y1140" s="14"/>
      <c r="Z1140" s="14"/>
      <c r="AA1140" s="14"/>
      <c r="AB1140" s="14"/>
      <c r="AC1140" s="14"/>
      <c r="AD1140" s="14"/>
      <c r="AE1140" s="14"/>
      <c r="AF1140" s="13"/>
      <c r="AM1140" s="14"/>
      <c r="AN1140" s="11"/>
      <c r="AO1140" s="12"/>
      <c r="AP1140" s="11"/>
      <c r="AQ1140" s="11"/>
      <c r="AR1140" s="11"/>
      <c r="AS1140" s="11"/>
      <c r="AT1140" s="11"/>
    </row>
    <row r="1141" spans="1:46" ht="13">
      <c r="A1141" s="11"/>
      <c r="G1141" s="12"/>
      <c r="I1141" s="13"/>
      <c r="J1141" s="13"/>
      <c r="K1141" s="13"/>
      <c r="M1141" s="13"/>
      <c r="N1141" s="13"/>
      <c r="Q1141" s="13"/>
      <c r="V1141" s="13"/>
      <c r="Y1141" s="14"/>
      <c r="Z1141" s="14"/>
      <c r="AA1141" s="14"/>
      <c r="AB1141" s="14"/>
      <c r="AC1141" s="14"/>
      <c r="AD1141" s="14"/>
      <c r="AE1141" s="14"/>
      <c r="AF1141" s="13"/>
      <c r="AM1141" s="14"/>
      <c r="AN1141" s="11"/>
      <c r="AO1141" s="12"/>
      <c r="AP1141" s="11"/>
      <c r="AQ1141" s="11"/>
      <c r="AR1141" s="11"/>
      <c r="AS1141" s="11"/>
      <c r="AT1141" s="11"/>
    </row>
    <row r="1142" spans="1:46" ht="13">
      <c r="A1142" s="11"/>
      <c r="G1142" s="12"/>
      <c r="I1142" s="13"/>
      <c r="J1142" s="13"/>
      <c r="K1142" s="13"/>
      <c r="M1142" s="13"/>
      <c r="N1142" s="13"/>
      <c r="Q1142" s="13"/>
      <c r="V1142" s="13"/>
      <c r="Y1142" s="14"/>
      <c r="Z1142" s="14"/>
      <c r="AA1142" s="14"/>
      <c r="AB1142" s="14"/>
      <c r="AC1142" s="14"/>
      <c r="AD1142" s="14"/>
      <c r="AE1142" s="14"/>
      <c r="AF1142" s="13"/>
      <c r="AM1142" s="14"/>
      <c r="AN1142" s="11"/>
      <c r="AO1142" s="12"/>
      <c r="AP1142" s="11"/>
      <c r="AQ1142" s="11"/>
      <c r="AR1142" s="11"/>
      <c r="AS1142" s="11"/>
      <c r="AT1142" s="11"/>
    </row>
    <row r="1143" spans="1:46" ht="13">
      <c r="A1143" s="11"/>
      <c r="G1143" s="12"/>
      <c r="I1143" s="13"/>
      <c r="J1143" s="13"/>
      <c r="K1143" s="13"/>
      <c r="M1143" s="13"/>
      <c r="N1143" s="13"/>
      <c r="Q1143" s="13"/>
      <c r="V1143" s="13"/>
      <c r="Y1143" s="14"/>
      <c r="Z1143" s="14"/>
      <c r="AA1143" s="14"/>
      <c r="AB1143" s="14"/>
      <c r="AC1143" s="14"/>
      <c r="AD1143" s="14"/>
      <c r="AE1143" s="14"/>
      <c r="AF1143" s="13"/>
      <c r="AM1143" s="14"/>
      <c r="AN1143" s="11"/>
      <c r="AO1143" s="12"/>
      <c r="AP1143" s="11"/>
      <c r="AQ1143" s="11"/>
      <c r="AR1143" s="11"/>
      <c r="AS1143" s="11"/>
      <c r="AT1143" s="11"/>
    </row>
    <row r="1144" spans="1:46" ht="13">
      <c r="A1144" s="11"/>
      <c r="G1144" s="12"/>
      <c r="I1144" s="13"/>
      <c r="J1144" s="13"/>
      <c r="K1144" s="13"/>
      <c r="M1144" s="13"/>
      <c r="N1144" s="13"/>
      <c r="Q1144" s="13"/>
      <c r="V1144" s="13"/>
      <c r="Y1144" s="14"/>
      <c r="Z1144" s="14"/>
      <c r="AA1144" s="14"/>
      <c r="AB1144" s="14"/>
      <c r="AC1144" s="14"/>
      <c r="AD1144" s="14"/>
      <c r="AE1144" s="14"/>
      <c r="AF1144" s="13"/>
      <c r="AM1144" s="14"/>
      <c r="AN1144" s="11"/>
      <c r="AO1144" s="12"/>
      <c r="AP1144" s="11"/>
      <c r="AQ1144" s="11"/>
      <c r="AR1144" s="11"/>
      <c r="AS1144" s="11"/>
      <c r="AT1144" s="11"/>
    </row>
    <row r="1145" spans="1:46" ht="13">
      <c r="A1145" s="11"/>
      <c r="G1145" s="12"/>
      <c r="I1145" s="13"/>
      <c r="J1145" s="13"/>
      <c r="K1145" s="13"/>
      <c r="M1145" s="13"/>
      <c r="N1145" s="13"/>
      <c r="Q1145" s="13"/>
      <c r="V1145" s="13"/>
      <c r="Y1145" s="14"/>
      <c r="Z1145" s="14"/>
      <c r="AA1145" s="14"/>
      <c r="AB1145" s="14"/>
      <c r="AC1145" s="14"/>
      <c r="AD1145" s="14"/>
      <c r="AE1145" s="14"/>
      <c r="AF1145" s="13"/>
      <c r="AM1145" s="14"/>
      <c r="AN1145" s="11"/>
      <c r="AO1145" s="12"/>
      <c r="AP1145" s="11"/>
      <c r="AQ1145" s="11"/>
      <c r="AR1145" s="11"/>
      <c r="AS1145" s="11"/>
      <c r="AT1145" s="11"/>
    </row>
    <row r="1146" spans="1:46" ht="13">
      <c r="A1146" s="11"/>
      <c r="G1146" s="12"/>
      <c r="I1146" s="13"/>
      <c r="J1146" s="13"/>
      <c r="K1146" s="13"/>
      <c r="M1146" s="13"/>
      <c r="N1146" s="13"/>
      <c r="Q1146" s="13"/>
      <c r="V1146" s="13"/>
      <c r="Y1146" s="14"/>
      <c r="Z1146" s="14"/>
      <c r="AA1146" s="14"/>
      <c r="AB1146" s="14"/>
      <c r="AC1146" s="14"/>
      <c r="AD1146" s="14"/>
      <c r="AE1146" s="14"/>
      <c r="AF1146" s="13"/>
      <c r="AM1146" s="14"/>
      <c r="AN1146" s="11"/>
      <c r="AO1146" s="12"/>
      <c r="AP1146" s="11"/>
      <c r="AQ1146" s="11"/>
      <c r="AR1146" s="11"/>
      <c r="AS1146" s="11"/>
      <c r="AT1146" s="11"/>
    </row>
    <row r="1147" spans="1:46" ht="13">
      <c r="A1147" s="11"/>
      <c r="G1147" s="12"/>
      <c r="I1147" s="13"/>
      <c r="J1147" s="13"/>
      <c r="K1147" s="13"/>
      <c r="M1147" s="13"/>
      <c r="N1147" s="13"/>
      <c r="Q1147" s="13"/>
      <c r="V1147" s="13"/>
      <c r="Y1147" s="14"/>
      <c r="Z1147" s="14"/>
      <c r="AA1147" s="14"/>
      <c r="AB1147" s="14"/>
      <c r="AC1147" s="14"/>
      <c r="AD1147" s="14"/>
      <c r="AE1147" s="14"/>
      <c r="AF1147" s="13"/>
      <c r="AM1147" s="14"/>
      <c r="AN1147" s="11"/>
      <c r="AO1147" s="12"/>
      <c r="AP1147" s="11"/>
      <c r="AQ1147" s="11"/>
      <c r="AR1147" s="11"/>
      <c r="AS1147" s="11"/>
      <c r="AT1147" s="11"/>
    </row>
    <row r="1148" spans="1:46" ht="13">
      <c r="A1148" s="11"/>
      <c r="G1148" s="12"/>
      <c r="I1148" s="13"/>
      <c r="J1148" s="13"/>
      <c r="K1148" s="13"/>
      <c r="M1148" s="13"/>
      <c r="N1148" s="13"/>
      <c r="Q1148" s="13"/>
      <c r="V1148" s="13"/>
      <c r="Y1148" s="14"/>
      <c r="Z1148" s="14"/>
      <c r="AA1148" s="14"/>
      <c r="AB1148" s="14"/>
      <c r="AC1148" s="14"/>
      <c r="AD1148" s="14"/>
      <c r="AE1148" s="14"/>
      <c r="AF1148" s="13"/>
      <c r="AM1148" s="14"/>
      <c r="AN1148" s="11"/>
      <c r="AO1148" s="12"/>
      <c r="AP1148" s="11"/>
      <c r="AQ1148" s="11"/>
      <c r="AR1148" s="11"/>
      <c r="AS1148" s="11"/>
      <c r="AT1148" s="11"/>
    </row>
    <row r="1149" spans="1:46" ht="13">
      <c r="A1149" s="11"/>
      <c r="G1149" s="12"/>
      <c r="I1149" s="13"/>
      <c r="J1149" s="13"/>
      <c r="K1149" s="13"/>
      <c r="M1149" s="13"/>
      <c r="N1149" s="13"/>
      <c r="Q1149" s="13"/>
      <c r="V1149" s="13"/>
      <c r="Y1149" s="14"/>
      <c r="Z1149" s="14"/>
      <c r="AA1149" s="14"/>
      <c r="AB1149" s="14"/>
      <c r="AC1149" s="14"/>
      <c r="AD1149" s="14"/>
      <c r="AE1149" s="14"/>
      <c r="AF1149" s="13"/>
      <c r="AM1149" s="14"/>
      <c r="AN1149" s="11"/>
      <c r="AO1149" s="12"/>
      <c r="AP1149" s="11"/>
      <c r="AQ1149" s="11"/>
      <c r="AR1149" s="11"/>
      <c r="AS1149" s="11"/>
      <c r="AT1149" s="11"/>
    </row>
    <row r="1150" spans="1:46" ht="13">
      <c r="A1150" s="11"/>
      <c r="G1150" s="12"/>
      <c r="I1150" s="13"/>
      <c r="J1150" s="13"/>
      <c r="K1150" s="13"/>
      <c r="M1150" s="13"/>
      <c r="N1150" s="13"/>
      <c r="Q1150" s="13"/>
      <c r="V1150" s="13"/>
      <c r="Y1150" s="14"/>
      <c r="Z1150" s="14"/>
      <c r="AA1150" s="14"/>
      <c r="AB1150" s="14"/>
      <c r="AC1150" s="14"/>
      <c r="AD1150" s="14"/>
      <c r="AE1150" s="14"/>
      <c r="AF1150" s="13"/>
      <c r="AM1150" s="14"/>
      <c r="AN1150" s="11"/>
      <c r="AO1150" s="12"/>
      <c r="AP1150" s="11"/>
      <c r="AQ1150" s="11"/>
      <c r="AR1150" s="11"/>
      <c r="AS1150" s="11"/>
      <c r="AT1150" s="11"/>
    </row>
    <row r="1151" spans="1:46" ht="13">
      <c r="A1151" s="11"/>
      <c r="G1151" s="12"/>
      <c r="I1151" s="13"/>
      <c r="J1151" s="13"/>
      <c r="K1151" s="13"/>
      <c r="M1151" s="13"/>
      <c r="N1151" s="13"/>
      <c r="Q1151" s="13"/>
      <c r="V1151" s="13"/>
      <c r="Y1151" s="14"/>
      <c r="Z1151" s="14"/>
      <c r="AA1151" s="14"/>
      <c r="AB1151" s="14"/>
      <c r="AC1151" s="14"/>
      <c r="AD1151" s="14"/>
      <c r="AE1151" s="14"/>
      <c r="AF1151" s="13"/>
      <c r="AM1151" s="14"/>
      <c r="AN1151" s="11"/>
      <c r="AO1151" s="12"/>
      <c r="AP1151" s="11"/>
      <c r="AQ1151" s="11"/>
      <c r="AR1151" s="11"/>
      <c r="AS1151" s="11"/>
      <c r="AT1151" s="11"/>
    </row>
    <row r="1152" spans="1:46" ht="13">
      <c r="A1152" s="11"/>
      <c r="G1152" s="12"/>
      <c r="I1152" s="13"/>
      <c r="J1152" s="13"/>
      <c r="K1152" s="13"/>
      <c r="M1152" s="13"/>
      <c r="N1152" s="13"/>
      <c r="Q1152" s="13"/>
      <c r="V1152" s="13"/>
      <c r="Y1152" s="14"/>
      <c r="Z1152" s="14"/>
      <c r="AA1152" s="14"/>
      <c r="AB1152" s="14"/>
      <c r="AC1152" s="14"/>
      <c r="AD1152" s="14"/>
      <c r="AE1152" s="14"/>
      <c r="AF1152" s="13"/>
      <c r="AM1152" s="14"/>
      <c r="AN1152" s="11"/>
      <c r="AO1152" s="12"/>
      <c r="AP1152" s="11"/>
      <c r="AQ1152" s="11"/>
      <c r="AR1152" s="11"/>
      <c r="AS1152" s="11"/>
      <c r="AT1152" s="11"/>
    </row>
    <row r="1153" spans="1:46" ht="13">
      <c r="A1153" s="11"/>
      <c r="G1153" s="12"/>
      <c r="I1153" s="13"/>
      <c r="J1153" s="13"/>
      <c r="K1153" s="13"/>
      <c r="M1153" s="13"/>
      <c r="N1153" s="13"/>
      <c r="Q1153" s="13"/>
      <c r="V1153" s="13"/>
      <c r="Y1153" s="14"/>
      <c r="Z1153" s="14"/>
      <c r="AA1153" s="14"/>
      <c r="AB1153" s="14"/>
      <c r="AC1153" s="14"/>
      <c r="AD1153" s="14"/>
      <c r="AE1153" s="14"/>
      <c r="AF1153" s="13"/>
      <c r="AM1153" s="14"/>
      <c r="AN1153" s="11"/>
      <c r="AO1153" s="12"/>
      <c r="AP1153" s="11"/>
      <c r="AQ1153" s="11"/>
      <c r="AR1153" s="11"/>
      <c r="AS1153" s="11"/>
      <c r="AT1153" s="11"/>
    </row>
    <row r="1154" spans="1:46" ht="13">
      <c r="A1154" s="11"/>
      <c r="G1154" s="12"/>
      <c r="I1154" s="13"/>
      <c r="J1154" s="13"/>
      <c r="K1154" s="13"/>
      <c r="M1154" s="13"/>
      <c r="N1154" s="13"/>
      <c r="Q1154" s="13"/>
      <c r="V1154" s="13"/>
      <c r="Y1154" s="14"/>
      <c r="Z1154" s="14"/>
      <c r="AA1154" s="14"/>
      <c r="AB1154" s="14"/>
      <c r="AC1154" s="14"/>
      <c r="AD1154" s="14"/>
      <c r="AE1154" s="14"/>
      <c r="AF1154" s="13"/>
      <c r="AM1154" s="14"/>
      <c r="AN1154" s="11"/>
      <c r="AO1154" s="12"/>
      <c r="AP1154" s="11"/>
      <c r="AQ1154" s="11"/>
      <c r="AR1154" s="11"/>
      <c r="AS1154" s="11"/>
      <c r="AT1154" s="11"/>
    </row>
    <row r="1155" spans="1:46" ht="13">
      <c r="A1155" s="11"/>
      <c r="G1155" s="12"/>
      <c r="I1155" s="13"/>
      <c r="J1155" s="13"/>
      <c r="K1155" s="13"/>
      <c r="M1155" s="13"/>
      <c r="N1155" s="13"/>
      <c r="Q1155" s="13"/>
      <c r="V1155" s="13"/>
      <c r="Y1155" s="14"/>
      <c r="Z1155" s="14"/>
      <c r="AA1155" s="14"/>
      <c r="AB1155" s="14"/>
      <c r="AC1155" s="14"/>
      <c r="AD1155" s="14"/>
      <c r="AE1155" s="14"/>
      <c r="AF1155" s="13"/>
      <c r="AM1155" s="14"/>
      <c r="AN1155" s="11"/>
      <c r="AO1155" s="12"/>
      <c r="AP1155" s="11"/>
      <c r="AQ1155" s="11"/>
      <c r="AR1155" s="11"/>
      <c r="AS1155" s="11"/>
      <c r="AT1155" s="11"/>
    </row>
    <row r="1156" spans="1:46" ht="13">
      <c r="A1156" s="11"/>
      <c r="G1156" s="12"/>
      <c r="I1156" s="13"/>
      <c r="J1156" s="13"/>
      <c r="K1156" s="13"/>
      <c r="M1156" s="13"/>
      <c r="N1156" s="13"/>
      <c r="Q1156" s="13"/>
      <c r="V1156" s="13"/>
      <c r="Y1156" s="14"/>
      <c r="Z1156" s="14"/>
      <c r="AA1156" s="14"/>
      <c r="AB1156" s="14"/>
      <c r="AC1156" s="14"/>
      <c r="AD1156" s="14"/>
      <c r="AE1156" s="14"/>
      <c r="AF1156" s="13"/>
      <c r="AM1156" s="14"/>
      <c r="AN1156" s="11"/>
      <c r="AO1156" s="12"/>
      <c r="AP1156" s="11"/>
      <c r="AQ1156" s="11"/>
      <c r="AR1156" s="11"/>
      <c r="AS1156" s="11"/>
      <c r="AT1156" s="11"/>
    </row>
    <row r="1157" spans="1:46" ht="13">
      <c r="A1157" s="11"/>
      <c r="G1157" s="12"/>
      <c r="I1157" s="13"/>
      <c r="J1157" s="13"/>
      <c r="K1157" s="13"/>
      <c r="M1157" s="13"/>
      <c r="N1157" s="13"/>
      <c r="Q1157" s="13"/>
      <c r="V1157" s="13"/>
      <c r="Y1157" s="14"/>
      <c r="Z1157" s="14"/>
      <c r="AA1157" s="14"/>
      <c r="AB1157" s="14"/>
      <c r="AC1157" s="14"/>
      <c r="AD1157" s="14"/>
      <c r="AE1157" s="14"/>
      <c r="AF1157" s="13"/>
      <c r="AM1157" s="14"/>
      <c r="AN1157" s="11"/>
      <c r="AO1157" s="12"/>
      <c r="AP1157" s="11"/>
      <c r="AQ1157" s="11"/>
      <c r="AR1157" s="11"/>
      <c r="AS1157" s="11"/>
      <c r="AT1157" s="11"/>
    </row>
    <row r="1158" spans="1:46" ht="13">
      <c r="A1158" s="11"/>
      <c r="G1158" s="12"/>
      <c r="I1158" s="13"/>
      <c r="J1158" s="13"/>
      <c r="K1158" s="13"/>
      <c r="M1158" s="13"/>
      <c r="N1158" s="13"/>
      <c r="Q1158" s="13"/>
      <c r="V1158" s="13"/>
      <c r="Y1158" s="14"/>
      <c r="Z1158" s="14"/>
      <c r="AA1158" s="14"/>
      <c r="AB1158" s="14"/>
      <c r="AC1158" s="14"/>
      <c r="AD1158" s="14"/>
      <c r="AE1158" s="14"/>
      <c r="AF1158" s="13"/>
      <c r="AM1158" s="14"/>
      <c r="AN1158" s="11"/>
      <c r="AO1158" s="12"/>
      <c r="AP1158" s="11"/>
      <c r="AQ1158" s="11"/>
      <c r="AR1158" s="11"/>
      <c r="AS1158" s="11"/>
      <c r="AT1158" s="11"/>
    </row>
    <row r="1159" spans="1:46" ht="13">
      <c r="A1159" s="11"/>
      <c r="G1159" s="12"/>
      <c r="I1159" s="13"/>
      <c r="J1159" s="13"/>
      <c r="K1159" s="13"/>
      <c r="M1159" s="13"/>
      <c r="N1159" s="13"/>
      <c r="Q1159" s="13"/>
      <c r="V1159" s="13"/>
      <c r="Y1159" s="14"/>
      <c r="Z1159" s="14"/>
      <c r="AA1159" s="14"/>
      <c r="AB1159" s="14"/>
      <c r="AC1159" s="14"/>
      <c r="AD1159" s="14"/>
      <c r="AE1159" s="14"/>
      <c r="AF1159" s="13"/>
      <c r="AM1159" s="14"/>
      <c r="AN1159" s="11"/>
      <c r="AO1159" s="12"/>
      <c r="AP1159" s="11"/>
      <c r="AQ1159" s="11"/>
      <c r="AR1159" s="11"/>
      <c r="AS1159" s="11"/>
      <c r="AT1159" s="11"/>
    </row>
    <row r="1160" spans="1:46" ht="13">
      <c r="A1160" s="11"/>
      <c r="G1160" s="12"/>
      <c r="I1160" s="13"/>
      <c r="J1160" s="13"/>
      <c r="K1160" s="13"/>
      <c r="M1160" s="13"/>
      <c r="N1160" s="13"/>
      <c r="Q1160" s="13"/>
      <c r="V1160" s="13"/>
      <c r="Y1160" s="14"/>
      <c r="Z1160" s="14"/>
      <c r="AA1160" s="14"/>
      <c r="AB1160" s="14"/>
      <c r="AC1160" s="14"/>
      <c r="AD1160" s="14"/>
      <c r="AE1160" s="14"/>
      <c r="AF1160" s="13"/>
      <c r="AM1160" s="14"/>
      <c r="AN1160" s="11"/>
      <c r="AO1160" s="12"/>
      <c r="AP1160" s="11"/>
      <c r="AQ1160" s="11"/>
      <c r="AR1160" s="11"/>
      <c r="AS1160" s="11"/>
      <c r="AT1160" s="11"/>
    </row>
    <row r="1161" spans="1:46" ht="13">
      <c r="A1161" s="11"/>
      <c r="G1161" s="12"/>
      <c r="I1161" s="13"/>
      <c r="J1161" s="13"/>
      <c r="K1161" s="13"/>
      <c r="M1161" s="13"/>
      <c r="N1161" s="13"/>
      <c r="Q1161" s="13"/>
      <c r="V1161" s="13"/>
      <c r="Y1161" s="14"/>
      <c r="Z1161" s="14"/>
      <c r="AA1161" s="14"/>
      <c r="AB1161" s="14"/>
      <c r="AC1161" s="14"/>
      <c r="AD1161" s="14"/>
      <c r="AE1161" s="14"/>
      <c r="AF1161" s="13"/>
      <c r="AM1161" s="14"/>
      <c r="AN1161" s="11"/>
      <c r="AO1161" s="12"/>
      <c r="AP1161" s="11"/>
      <c r="AQ1161" s="11"/>
      <c r="AR1161" s="11"/>
      <c r="AS1161" s="11"/>
      <c r="AT1161" s="11"/>
    </row>
    <row r="1162" spans="1:46" ht="13">
      <c r="A1162" s="11"/>
      <c r="G1162" s="12"/>
      <c r="I1162" s="13"/>
      <c r="J1162" s="13"/>
      <c r="K1162" s="13"/>
      <c r="M1162" s="13"/>
      <c r="N1162" s="13"/>
      <c r="Q1162" s="13"/>
      <c r="V1162" s="13"/>
      <c r="Y1162" s="14"/>
      <c r="Z1162" s="14"/>
      <c r="AA1162" s="14"/>
      <c r="AB1162" s="14"/>
      <c r="AC1162" s="14"/>
      <c r="AD1162" s="14"/>
      <c r="AE1162" s="14"/>
      <c r="AF1162" s="13"/>
      <c r="AM1162" s="14"/>
      <c r="AN1162" s="11"/>
      <c r="AO1162" s="12"/>
      <c r="AP1162" s="11"/>
      <c r="AQ1162" s="11"/>
      <c r="AR1162" s="11"/>
      <c r="AS1162" s="11"/>
      <c r="AT1162" s="11"/>
    </row>
    <row r="1163" spans="1:46" ht="13">
      <c r="A1163" s="11"/>
      <c r="G1163" s="12"/>
      <c r="I1163" s="13"/>
      <c r="J1163" s="13"/>
      <c r="K1163" s="13"/>
      <c r="M1163" s="13"/>
      <c r="N1163" s="13"/>
      <c r="Q1163" s="13"/>
      <c r="V1163" s="13"/>
      <c r="Y1163" s="14"/>
      <c r="Z1163" s="14"/>
      <c r="AA1163" s="14"/>
      <c r="AB1163" s="14"/>
      <c r="AC1163" s="14"/>
      <c r="AD1163" s="14"/>
      <c r="AE1163" s="14"/>
      <c r="AF1163" s="13"/>
      <c r="AM1163" s="14"/>
      <c r="AN1163" s="11"/>
      <c r="AO1163" s="12"/>
      <c r="AP1163" s="11"/>
      <c r="AQ1163" s="11"/>
      <c r="AR1163" s="11"/>
      <c r="AS1163" s="11"/>
      <c r="AT1163" s="11"/>
    </row>
    <row r="1164" spans="1:46" ht="13">
      <c r="A1164" s="11"/>
      <c r="G1164" s="12"/>
      <c r="I1164" s="13"/>
      <c r="J1164" s="13"/>
      <c r="K1164" s="13"/>
      <c r="M1164" s="13"/>
      <c r="N1164" s="13"/>
      <c r="Q1164" s="13"/>
      <c r="V1164" s="13"/>
      <c r="Y1164" s="14"/>
      <c r="Z1164" s="14"/>
      <c r="AA1164" s="14"/>
      <c r="AB1164" s="14"/>
      <c r="AC1164" s="14"/>
      <c r="AD1164" s="14"/>
      <c r="AE1164" s="14"/>
      <c r="AF1164" s="13"/>
      <c r="AM1164" s="14"/>
      <c r="AN1164" s="11"/>
      <c r="AO1164" s="12"/>
      <c r="AP1164" s="11"/>
      <c r="AQ1164" s="11"/>
      <c r="AR1164" s="11"/>
      <c r="AS1164" s="11"/>
      <c r="AT1164" s="11"/>
    </row>
    <row r="1165" spans="1:46" ht="13">
      <c r="A1165" s="11"/>
      <c r="G1165" s="12"/>
      <c r="I1165" s="13"/>
      <c r="J1165" s="13"/>
      <c r="K1165" s="13"/>
      <c r="M1165" s="13"/>
      <c r="N1165" s="13"/>
      <c r="Q1165" s="13"/>
      <c r="V1165" s="13"/>
      <c r="Y1165" s="14"/>
      <c r="Z1165" s="14"/>
      <c r="AA1165" s="14"/>
      <c r="AB1165" s="14"/>
      <c r="AC1165" s="14"/>
      <c r="AD1165" s="14"/>
      <c r="AE1165" s="14"/>
      <c r="AF1165" s="13"/>
      <c r="AM1165" s="14"/>
      <c r="AN1165" s="11"/>
      <c r="AO1165" s="12"/>
      <c r="AP1165" s="11"/>
      <c r="AQ1165" s="11"/>
      <c r="AR1165" s="11"/>
      <c r="AS1165" s="11"/>
      <c r="AT1165" s="11"/>
    </row>
    <row r="1166" spans="1:46" ht="13">
      <c r="A1166" s="11"/>
      <c r="G1166" s="12"/>
      <c r="I1166" s="13"/>
      <c r="J1166" s="13"/>
      <c r="K1166" s="13"/>
      <c r="M1166" s="13"/>
      <c r="N1166" s="13"/>
      <c r="Q1166" s="13"/>
      <c r="V1166" s="13"/>
      <c r="Y1166" s="14"/>
      <c r="Z1166" s="14"/>
      <c r="AA1166" s="14"/>
      <c r="AB1166" s="14"/>
      <c r="AC1166" s="14"/>
      <c r="AD1166" s="14"/>
      <c r="AE1166" s="14"/>
      <c r="AF1166" s="13"/>
      <c r="AM1166" s="14"/>
      <c r="AN1166" s="11"/>
      <c r="AO1166" s="12"/>
      <c r="AP1166" s="11"/>
      <c r="AQ1166" s="11"/>
      <c r="AR1166" s="11"/>
      <c r="AS1166" s="11"/>
      <c r="AT1166" s="11"/>
    </row>
    <row r="1167" spans="1:46" ht="13">
      <c r="A1167" s="11"/>
      <c r="G1167" s="12"/>
      <c r="I1167" s="13"/>
      <c r="J1167" s="13"/>
      <c r="K1167" s="13"/>
      <c r="M1167" s="13"/>
      <c r="N1167" s="13"/>
      <c r="Q1167" s="13"/>
      <c r="V1167" s="13"/>
      <c r="Y1167" s="14"/>
      <c r="Z1167" s="14"/>
      <c r="AA1167" s="14"/>
      <c r="AB1167" s="14"/>
      <c r="AC1167" s="14"/>
      <c r="AD1167" s="14"/>
      <c r="AE1167" s="14"/>
      <c r="AF1167" s="13"/>
      <c r="AM1167" s="14"/>
      <c r="AN1167" s="11"/>
      <c r="AO1167" s="12"/>
      <c r="AP1167" s="11"/>
      <c r="AQ1167" s="11"/>
      <c r="AR1167" s="11"/>
      <c r="AS1167" s="11"/>
      <c r="AT1167" s="11"/>
    </row>
    <row r="1168" spans="1:46" ht="13">
      <c r="A1168" s="11"/>
      <c r="G1168" s="12"/>
      <c r="I1168" s="13"/>
      <c r="J1168" s="13"/>
      <c r="K1168" s="13"/>
      <c r="M1168" s="13"/>
      <c r="N1168" s="13"/>
      <c r="Q1168" s="13"/>
      <c r="V1168" s="13"/>
      <c r="Y1168" s="14"/>
      <c r="Z1168" s="14"/>
      <c r="AA1168" s="14"/>
      <c r="AB1168" s="14"/>
      <c r="AC1168" s="14"/>
      <c r="AD1168" s="14"/>
      <c r="AE1168" s="14"/>
      <c r="AF1168" s="13"/>
      <c r="AM1168" s="14"/>
      <c r="AN1168" s="11"/>
      <c r="AO1168" s="12"/>
      <c r="AP1168" s="11"/>
      <c r="AQ1168" s="11"/>
      <c r="AR1168" s="11"/>
      <c r="AS1168" s="11"/>
      <c r="AT1168" s="11"/>
    </row>
    <row r="1169" spans="1:46" ht="13">
      <c r="A1169" s="11"/>
      <c r="G1169" s="12"/>
      <c r="I1169" s="13"/>
      <c r="J1169" s="13"/>
      <c r="K1169" s="13"/>
      <c r="M1169" s="13"/>
      <c r="N1169" s="13"/>
      <c r="Q1169" s="13"/>
      <c r="V1169" s="13"/>
      <c r="Y1169" s="14"/>
      <c r="Z1169" s="14"/>
      <c r="AA1169" s="14"/>
      <c r="AB1169" s="14"/>
      <c r="AC1169" s="14"/>
      <c r="AD1169" s="14"/>
      <c r="AE1169" s="14"/>
      <c r="AF1169" s="13"/>
      <c r="AM1169" s="14"/>
      <c r="AN1169" s="11"/>
      <c r="AO1169" s="12"/>
      <c r="AP1169" s="11"/>
      <c r="AQ1169" s="11"/>
      <c r="AR1169" s="11"/>
      <c r="AS1169" s="11"/>
      <c r="AT1169" s="11"/>
    </row>
    <row r="1170" spans="1:46" ht="13">
      <c r="A1170" s="11"/>
      <c r="G1170" s="12"/>
      <c r="I1170" s="13"/>
      <c r="J1170" s="13"/>
      <c r="K1170" s="13"/>
      <c r="M1170" s="13"/>
      <c r="N1170" s="13"/>
      <c r="Q1170" s="13"/>
      <c r="V1170" s="13"/>
      <c r="Y1170" s="14"/>
      <c r="Z1170" s="14"/>
      <c r="AA1170" s="14"/>
      <c r="AB1170" s="14"/>
      <c r="AC1170" s="14"/>
      <c r="AD1170" s="14"/>
      <c r="AE1170" s="14"/>
      <c r="AF1170" s="13"/>
      <c r="AM1170" s="14"/>
      <c r="AN1170" s="11"/>
      <c r="AO1170" s="12"/>
      <c r="AP1170" s="11"/>
      <c r="AQ1170" s="11"/>
      <c r="AR1170" s="11"/>
      <c r="AS1170" s="11"/>
      <c r="AT1170" s="11"/>
    </row>
    <row r="1171" spans="1:46" ht="13">
      <c r="A1171" s="11"/>
      <c r="G1171" s="12"/>
      <c r="I1171" s="13"/>
      <c r="J1171" s="13"/>
      <c r="K1171" s="13"/>
      <c r="M1171" s="13"/>
      <c r="N1171" s="13"/>
      <c r="Q1171" s="13"/>
      <c r="V1171" s="13"/>
      <c r="Y1171" s="14"/>
      <c r="Z1171" s="14"/>
      <c r="AA1171" s="14"/>
      <c r="AB1171" s="14"/>
      <c r="AC1171" s="14"/>
      <c r="AD1171" s="14"/>
      <c r="AE1171" s="14"/>
      <c r="AF1171" s="13"/>
      <c r="AM1171" s="14"/>
      <c r="AN1171" s="11"/>
      <c r="AO1171" s="12"/>
      <c r="AP1171" s="11"/>
      <c r="AQ1171" s="11"/>
      <c r="AR1171" s="11"/>
      <c r="AS1171" s="11"/>
      <c r="AT1171" s="11"/>
    </row>
    <row r="1172" spans="1:46" ht="13">
      <c r="A1172" s="11"/>
      <c r="G1172" s="12"/>
      <c r="I1172" s="13"/>
      <c r="J1172" s="13"/>
      <c r="K1172" s="13"/>
      <c r="M1172" s="13"/>
      <c r="N1172" s="13"/>
      <c r="Q1172" s="13"/>
      <c r="V1172" s="13"/>
      <c r="Y1172" s="14"/>
      <c r="Z1172" s="14"/>
      <c r="AA1172" s="14"/>
      <c r="AB1172" s="14"/>
      <c r="AC1172" s="14"/>
      <c r="AD1172" s="14"/>
      <c r="AE1172" s="14"/>
      <c r="AF1172" s="13"/>
      <c r="AM1172" s="14"/>
      <c r="AN1172" s="11"/>
      <c r="AO1172" s="12"/>
      <c r="AP1172" s="11"/>
      <c r="AQ1172" s="11"/>
      <c r="AR1172" s="11"/>
      <c r="AS1172" s="11"/>
      <c r="AT1172" s="11"/>
    </row>
    <row r="1173" spans="1:46" ht="13">
      <c r="A1173" s="11"/>
      <c r="G1173" s="12"/>
      <c r="I1173" s="13"/>
      <c r="J1173" s="13"/>
      <c r="K1173" s="13"/>
      <c r="M1173" s="13"/>
      <c r="N1173" s="13"/>
      <c r="Q1173" s="13"/>
      <c r="V1173" s="13"/>
      <c r="Y1173" s="14"/>
      <c r="Z1173" s="14"/>
      <c r="AA1173" s="14"/>
      <c r="AB1173" s="14"/>
      <c r="AC1173" s="14"/>
      <c r="AD1173" s="14"/>
      <c r="AE1173" s="14"/>
      <c r="AF1173" s="13"/>
      <c r="AM1173" s="14"/>
      <c r="AN1173" s="11"/>
      <c r="AO1173" s="12"/>
      <c r="AP1173" s="11"/>
      <c r="AQ1173" s="11"/>
      <c r="AR1173" s="11"/>
      <c r="AS1173" s="11"/>
      <c r="AT1173" s="11"/>
    </row>
    <row r="1174" spans="1:46" ht="13">
      <c r="A1174" s="11"/>
      <c r="G1174" s="12"/>
      <c r="I1174" s="13"/>
      <c r="J1174" s="13"/>
      <c r="K1174" s="13"/>
      <c r="M1174" s="13"/>
      <c r="N1174" s="13"/>
      <c r="Q1174" s="13"/>
      <c r="V1174" s="13"/>
      <c r="Y1174" s="14"/>
      <c r="Z1174" s="14"/>
      <c r="AA1174" s="14"/>
      <c r="AB1174" s="14"/>
      <c r="AC1174" s="14"/>
      <c r="AD1174" s="14"/>
      <c r="AE1174" s="14"/>
      <c r="AF1174" s="13"/>
      <c r="AM1174" s="14"/>
      <c r="AN1174" s="11"/>
      <c r="AO1174" s="12"/>
      <c r="AP1174" s="11"/>
      <c r="AQ1174" s="11"/>
      <c r="AR1174" s="11"/>
      <c r="AS1174" s="11"/>
      <c r="AT1174" s="11"/>
    </row>
    <row r="1175" spans="1:46" ht="13">
      <c r="A1175" s="11"/>
      <c r="G1175" s="12"/>
      <c r="I1175" s="13"/>
      <c r="J1175" s="13"/>
      <c r="K1175" s="13"/>
      <c r="M1175" s="13"/>
      <c r="N1175" s="13"/>
      <c r="Q1175" s="13"/>
      <c r="V1175" s="13"/>
      <c r="Y1175" s="14"/>
      <c r="Z1175" s="14"/>
      <c r="AA1175" s="14"/>
      <c r="AB1175" s="14"/>
      <c r="AC1175" s="14"/>
      <c r="AD1175" s="14"/>
      <c r="AE1175" s="14"/>
      <c r="AF1175" s="13"/>
      <c r="AM1175" s="14"/>
      <c r="AN1175" s="11"/>
      <c r="AO1175" s="12"/>
      <c r="AP1175" s="11"/>
      <c r="AQ1175" s="11"/>
      <c r="AR1175" s="11"/>
      <c r="AS1175" s="11"/>
      <c r="AT1175" s="11"/>
    </row>
    <row r="1176" spans="1:46" ht="13">
      <c r="A1176" s="11"/>
      <c r="G1176" s="12"/>
      <c r="I1176" s="13"/>
      <c r="J1176" s="13"/>
      <c r="K1176" s="13"/>
      <c r="M1176" s="13"/>
      <c r="N1176" s="13"/>
      <c r="Q1176" s="13"/>
      <c r="V1176" s="13"/>
      <c r="Y1176" s="14"/>
      <c r="Z1176" s="14"/>
      <c r="AA1176" s="14"/>
      <c r="AB1176" s="14"/>
      <c r="AC1176" s="14"/>
      <c r="AD1176" s="14"/>
      <c r="AE1176" s="14"/>
      <c r="AF1176" s="13"/>
      <c r="AM1176" s="14"/>
      <c r="AN1176" s="11"/>
      <c r="AO1176" s="12"/>
      <c r="AP1176" s="11"/>
      <c r="AQ1176" s="11"/>
      <c r="AR1176" s="11"/>
      <c r="AS1176" s="11"/>
      <c r="AT1176" s="11"/>
    </row>
    <row r="1177" spans="1:46" ht="13">
      <c r="A1177" s="11"/>
      <c r="G1177" s="12"/>
      <c r="I1177" s="13"/>
      <c r="J1177" s="13"/>
      <c r="K1177" s="13"/>
      <c r="M1177" s="13"/>
      <c r="N1177" s="13"/>
      <c r="Q1177" s="13"/>
      <c r="V1177" s="13"/>
      <c r="Y1177" s="14"/>
      <c r="Z1177" s="14"/>
      <c r="AA1177" s="14"/>
      <c r="AB1177" s="14"/>
      <c r="AC1177" s="14"/>
      <c r="AD1177" s="14"/>
      <c r="AE1177" s="14"/>
      <c r="AF1177" s="13"/>
      <c r="AM1177" s="14"/>
      <c r="AN1177" s="11"/>
      <c r="AO1177" s="12"/>
      <c r="AP1177" s="11"/>
      <c r="AQ1177" s="11"/>
      <c r="AR1177" s="11"/>
      <c r="AS1177" s="11"/>
      <c r="AT1177" s="11"/>
    </row>
    <row r="1178" spans="1:46" ht="13">
      <c r="A1178" s="11"/>
      <c r="G1178" s="12"/>
      <c r="I1178" s="13"/>
      <c r="J1178" s="13"/>
      <c r="K1178" s="13"/>
      <c r="M1178" s="13"/>
      <c r="N1178" s="13"/>
      <c r="Q1178" s="13"/>
      <c r="V1178" s="13"/>
      <c r="Y1178" s="14"/>
      <c r="Z1178" s="14"/>
      <c r="AA1178" s="14"/>
      <c r="AB1178" s="14"/>
      <c r="AC1178" s="14"/>
      <c r="AD1178" s="14"/>
      <c r="AE1178" s="14"/>
      <c r="AF1178" s="13"/>
      <c r="AM1178" s="14"/>
      <c r="AN1178" s="11"/>
      <c r="AO1178" s="12"/>
      <c r="AP1178" s="11"/>
      <c r="AQ1178" s="11"/>
      <c r="AR1178" s="11"/>
      <c r="AS1178" s="11"/>
      <c r="AT1178" s="11"/>
    </row>
    <row r="1179" spans="1:46" ht="13">
      <c r="A1179" s="11"/>
      <c r="G1179" s="12"/>
      <c r="I1179" s="13"/>
      <c r="J1179" s="13"/>
      <c r="K1179" s="13"/>
      <c r="M1179" s="13"/>
      <c r="N1179" s="13"/>
      <c r="Q1179" s="13"/>
      <c r="V1179" s="13"/>
      <c r="Y1179" s="14"/>
      <c r="Z1179" s="14"/>
      <c r="AA1179" s="14"/>
      <c r="AB1179" s="14"/>
      <c r="AC1179" s="14"/>
      <c r="AD1179" s="14"/>
      <c r="AE1179" s="14"/>
      <c r="AF1179" s="13"/>
      <c r="AM1179" s="14"/>
      <c r="AN1179" s="11"/>
      <c r="AO1179" s="12"/>
      <c r="AP1179" s="11"/>
      <c r="AQ1179" s="11"/>
      <c r="AR1179" s="11"/>
      <c r="AS1179" s="11"/>
      <c r="AT1179" s="11"/>
    </row>
    <row r="1180" spans="1:46" ht="13">
      <c r="A1180" s="11"/>
      <c r="G1180" s="12"/>
      <c r="I1180" s="13"/>
      <c r="J1180" s="13"/>
      <c r="K1180" s="13"/>
      <c r="M1180" s="13"/>
      <c r="N1180" s="13"/>
      <c r="Q1180" s="13"/>
      <c r="V1180" s="13"/>
      <c r="Y1180" s="14"/>
      <c r="Z1180" s="14"/>
      <c r="AA1180" s="14"/>
      <c r="AB1180" s="14"/>
      <c r="AC1180" s="14"/>
      <c r="AD1180" s="14"/>
      <c r="AE1180" s="14"/>
      <c r="AF1180" s="13"/>
      <c r="AM1180" s="14"/>
      <c r="AN1180" s="11"/>
      <c r="AO1180" s="12"/>
      <c r="AP1180" s="11"/>
      <c r="AQ1180" s="11"/>
      <c r="AR1180" s="11"/>
      <c r="AS1180" s="11"/>
      <c r="AT1180" s="11"/>
    </row>
    <row r="1181" spans="1:46" ht="13">
      <c r="A1181" s="11"/>
      <c r="G1181" s="12"/>
      <c r="I1181" s="13"/>
      <c r="J1181" s="13"/>
      <c r="K1181" s="13"/>
      <c r="M1181" s="13"/>
      <c r="N1181" s="13"/>
      <c r="Q1181" s="13"/>
      <c r="V1181" s="13"/>
      <c r="Y1181" s="14"/>
      <c r="Z1181" s="14"/>
      <c r="AA1181" s="14"/>
      <c r="AB1181" s="14"/>
      <c r="AC1181" s="14"/>
      <c r="AD1181" s="14"/>
      <c r="AE1181" s="14"/>
      <c r="AF1181" s="13"/>
      <c r="AM1181" s="14"/>
      <c r="AN1181" s="11"/>
      <c r="AO1181" s="12"/>
      <c r="AP1181" s="11"/>
      <c r="AQ1181" s="11"/>
      <c r="AR1181" s="11"/>
      <c r="AS1181" s="11"/>
      <c r="AT1181" s="11"/>
    </row>
    <row r="1182" spans="1:46" ht="13">
      <c r="A1182" s="11"/>
      <c r="G1182" s="12"/>
      <c r="I1182" s="13"/>
      <c r="J1182" s="13"/>
      <c r="K1182" s="13"/>
      <c r="M1182" s="13"/>
      <c r="N1182" s="13"/>
      <c r="Q1182" s="13"/>
      <c r="V1182" s="13"/>
      <c r="Y1182" s="14"/>
      <c r="Z1182" s="14"/>
      <c r="AA1182" s="14"/>
      <c r="AB1182" s="14"/>
      <c r="AC1182" s="14"/>
      <c r="AD1182" s="14"/>
      <c r="AE1182" s="14"/>
      <c r="AF1182" s="13"/>
      <c r="AM1182" s="14"/>
      <c r="AN1182" s="11"/>
      <c r="AO1182" s="12"/>
      <c r="AP1182" s="11"/>
      <c r="AQ1182" s="11"/>
      <c r="AR1182" s="11"/>
      <c r="AS1182" s="11"/>
      <c r="AT1182" s="11"/>
    </row>
    <row r="1183" spans="1:46" ht="13">
      <c r="A1183" s="11"/>
      <c r="G1183" s="12"/>
      <c r="I1183" s="13"/>
      <c r="J1183" s="13"/>
      <c r="K1183" s="13"/>
      <c r="M1183" s="13"/>
      <c r="N1183" s="13"/>
      <c r="Q1183" s="13"/>
      <c r="V1183" s="13"/>
      <c r="Y1183" s="14"/>
      <c r="Z1183" s="14"/>
      <c r="AA1183" s="14"/>
      <c r="AB1183" s="14"/>
      <c r="AC1183" s="14"/>
      <c r="AD1183" s="14"/>
      <c r="AE1183" s="14"/>
      <c r="AF1183" s="13"/>
      <c r="AM1183" s="14"/>
      <c r="AN1183" s="11"/>
      <c r="AO1183" s="12"/>
      <c r="AP1183" s="11"/>
      <c r="AQ1183" s="11"/>
      <c r="AR1183" s="11"/>
      <c r="AS1183" s="11"/>
      <c r="AT1183" s="11"/>
    </row>
    <row r="1184" spans="1:46" ht="13">
      <c r="A1184" s="11"/>
      <c r="G1184" s="12"/>
      <c r="I1184" s="13"/>
      <c r="J1184" s="13"/>
      <c r="K1184" s="13"/>
      <c r="M1184" s="13"/>
      <c r="N1184" s="13"/>
      <c r="Q1184" s="13"/>
      <c r="V1184" s="13"/>
      <c r="Y1184" s="14"/>
      <c r="Z1184" s="14"/>
      <c r="AA1184" s="14"/>
      <c r="AB1184" s="14"/>
      <c r="AC1184" s="14"/>
      <c r="AD1184" s="14"/>
      <c r="AE1184" s="14"/>
      <c r="AF1184" s="13"/>
      <c r="AM1184" s="14"/>
      <c r="AN1184" s="11"/>
      <c r="AO1184" s="12"/>
      <c r="AP1184" s="11"/>
      <c r="AQ1184" s="11"/>
      <c r="AR1184" s="11"/>
      <c r="AS1184" s="11"/>
      <c r="AT1184" s="11"/>
    </row>
    <row r="1185" spans="1:46" ht="13">
      <c r="A1185" s="11"/>
      <c r="G1185" s="12"/>
      <c r="I1185" s="13"/>
      <c r="J1185" s="13"/>
      <c r="K1185" s="13"/>
      <c r="M1185" s="13"/>
      <c r="N1185" s="13"/>
      <c r="Q1185" s="13"/>
      <c r="V1185" s="13"/>
      <c r="Y1185" s="14"/>
      <c r="Z1185" s="14"/>
      <c r="AA1185" s="14"/>
      <c r="AB1185" s="14"/>
      <c r="AC1185" s="14"/>
      <c r="AD1185" s="14"/>
      <c r="AE1185" s="14"/>
      <c r="AF1185" s="13"/>
      <c r="AM1185" s="14"/>
      <c r="AN1185" s="11"/>
      <c r="AO1185" s="12"/>
      <c r="AP1185" s="11"/>
      <c r="AQ1185" s="11"/>
      <c r="AR1185" s="11"/>
      <c r="AS1185" s="11"/>
      <c r="AT1185" s="11"/>
    </row>
    <row r="1186" spans="1:46" ht="13">
      <c r="A1186" s="11"/>
      <c r="G1186" s="12"/>
      <c r="I1186" s="13"/>
      <c r="J1186" s="13"/>
      <c r="K1186" s="13"/>
      <c r="M1186" s="13"/>
      <c r="N1186" s="13"/>
      <c r="Q1186" s="13"/>
      <c r="V1186" s="13"/>
      <c r="Y1186" s="14"/>
      <c r="Z1186" s="14"/>
      <c r="AA1186" s="14"/>
      <c r="AB1186" s="14"/>
      <c r="AC1186" s="14"/>
      <c r="AD1186" s="14"/>
      <c r="AE1186" s="14"/>
      <c r="AF1186" s="13"/>
      <c r="AM1186" s="14"/>
      <c r="AN1186" s="11"/>
      <c r="AO1186" s="12"/>
      <c r="AP1186" s="11"/>
      <c r="AQ1186" s="11"/>
      <c r="AR1186" s="11"/>
      <c r="AS1186" s="11"/>
      <c r="AT1186" s="11"/>
    </row>
    <row r="1187" spans="1:46" ht="13">
      <c r="A1187" s="11"/>
      <c r="G1187" s="12"/>
      <c r="I1187" s="13"/>
      <c r="J1187" s="13"/>
      <c r="K1187" s="13"/>
      <c r="M1187" s="13"/>
      <c r="N1187" s="13"/>
      <c r="Q1187" s="13"/>
      <c r="V1187" s="13"/>
      <c r="Y1187" s="14"/>
      <c r="Z1187" s="14"/>
      <c r="AA1187" s="14"/>
      <c r="AB1187" s="14"/>
      <c r="AC1187" s="14"/>
      <c r="AD1187" s="14"/>
      <c r="AE1187" s="14"/>
      <c r="AF1187" s="13"/>
      <c r="AM1187" s="14"/>
      <c r="AN1187" s="11"/>
      <c r="AO1187" s="12"/>
      <c r="AP1187" s="11"/>
      <c r="AQ1187" s="11"/>
      <c r="AR1187" s="11"/>
      <c r="AS1187" s="11"/>
      <c r="AT1187" s="11"/>
    </row>
    <row r="1188" spans="1:46" ht="13">
      <c r="A1188" s="11"/>
      <c r="G1188" s="12"/>
      <c r="I1188" s="13"/>
      <c r="J1188" s="13"/>
      <c r="K1188" s="13"/>
      <c r="M1188" s="13"/>
      <c r="N1188" s="13"/>
      <c r="Q1188" s="13"/>
      <c r="V1188" s="13"/>
      <c r="Y1188" s="14"/>
      <c r="Z1188" s="14"/>
      <c r="AA1188" s="14"/>
      <c r="AB1188" s="14"/>
      <c r="AC1188" s="14"/>
      <c r="AD1188" s="14"/>
      <c r="AE1188" s="14"/>
      <c r="AF1188" s="13"/>
      <c r="AM1188" s="14"/>
      <c r="AN1188" s="11"/>
      <c r="AO1188" s="12"/>
      <c r="AP1188" s="11"/>
      <c r="AQ1188" s="11"/>
      <c r="AR1188" s="11"/>
      <c r="AS1188" s="11"/>
      <c r="AT1188" s="11"/>
    </row>
    <row r="1189" spans="1:46" ht="13">
      <c r="A1189" s="11"/>
      <c r="G1189" s="12"/>
      <c r="I1189" s="13"/>
      <c r="J1189" s="13"/>
      <c r="K1189" s="13"/>
      <c r="M1189" s="13"/>
      <c r="N1189" s="13"/>
      <c r="Q1189" s="13"/>
      <c r="V1189" s="13"/>
      <c r="Y1189" s="14"/>
      <c r="Z1189" s="14"/>
      <c r="AA1189" s="14"/>
      <c r="AB1189" s="14"/>
      <c r="AC1189" s="14"/>
      <c r="AD1189" s="14"/>
      <c r="AE1189" s="14"/>
      <c r="AF1189" s="13"/>
      <c r="AM1189" s="14"/>
      <c r="AN1189" s="11"/>
      <c r="AO1189" s="12"/>
      <c r="AP1189" s="11"/>
      <c r="AQ1189" s="11"/>
      <c r="AR1189" s="11"/>
      <c r="AS1189" s="11"/>
      <c r="AT1189" s="11"/>
    </row>
    <row r="1190" spans="1:46" ht="13">
      <c r="A1190" s="11"/>
      <c r="G1190" s="12"/>
      <c r="I1190" s="13"/>
      <c r="J1190" s="13"/>
      <c r="K1190" s="13"/>
      <c r="M1190" s="13"/>
      <c r="N1190" s="13"/>
      <c r="Q1190" s="13"/>
      <c r="V1190" s="13"/>
      <c r="Y1190" s="14"/>
      <c r="Z1190" s="14"/>
      <c r="AA1190" s="14"/>
      <c r="AB1190" s="14"/>
      <c r="AC1190" s="14"/>
      <c r="AD1190" s="14"/>
      <c r="AE1190" s="14"/>
      <c r="AF1190" s="13"/>
      <c r="AM1190" s="14"/>
      <c r="AN1190" s="11"/>
      <c r="AO1190" s="12"/>
      <c r="AP1190" s="11"/>
      <c r="AQ1190" s="11"/>
      <c r="AR1190" s="11"/>
      <c r="AS1190" s="11"/>
      <c r="AT1190" s="11"/>
    </row>
    <row r="1191" spans="1:46" ht="13">
      <c r="A1191" s="11"/>
      <c r="G1191" s="12"/>
      <c r="I1191" s="13"/>
      <c r="J1191" s="13"/>
      <c r="K1191" s="13"/>
      <c r="M1191" s="13"/>
      <c r="N1191" s="13"/>
      <c r="Q1191" s="13"/>
      <c r="V1191" s="13"/>
      <c r="Y1191" s="14"/>
      <c r="Z1191" s="14"/>
      <c r="AA1191" s="14"/>
      <c r="AB1191" s="14"/>
      <c r="AC1191" s="14"/>
      <c r="AD1191" s="14"/>
      <c r="AE1191" s="14"/>
      <c r="AF1191" s="13"/>
      <c r="AM1191" s="14"/>
      <c r="AN1191" s="11"/>
      <c r="AO1191" s="12"/>
      <c r="AP1191" s="11"/>
      <c r="AQ1191" s="11"/>
      <c r="AR1191" s="11"/>
      <c r="AS1191" s="11"/>
      <c r="AT1191" s="11"/>
    </row>
    <row r="1192" spans="1:46" ht="13">
      <c r="A1192" s="11"/>
      <c r="G1192" s="12"/>
      <c r="I1192" s="13"/>
      <c r="J1192" s="13"/>
      <c r="K1192" s="13"/>
      <c r="M1192" s="13"/>
      <c r="N1192" s="13"/>
      <c r="Q1192" s="13"/>
      <c r="V1192" s="13"/>
      <c r="Y1192" s="14"/>
      <c r="Z1192" s="14"/>
      <c r="AA1192" s="14"/>
      <c r="AB1192" s="14"/>
      <c r="AC1192" s="14"/>
      <c r="AD1192" s="14"/>
      <c r="AE1192" s="14"/>
      <c r="AF1192" s="13"/>
      <c r="AM1192" s="14"/>
      <c r="AN1192" s="11"/>
      <c r="AO1192" s="12"/>
      <c r="AP1192" s="11"/>
      <c r="AQ1192" s="11"/>
      <c r="AR1192" s="11"/>
      <c r="AS1192" s="11"/>
      <c r="AT1192" s="11"/>
    </row>
    <row r="1193" spans="1:46" ht="13">
      <c r="A1193" s="11"/>
      <c r="G1193" s="12"/>
      <c r="I1193" s="13"/>
      <c r="J1193" s="13"/>
      <c r="K1193" s="13"/>
      <c r="M1193" s="13"/>
      <c r="N1193" s="13"/>
      <c r="Q1193" s="13"/>
      <c r="V1193" s="13"/>
      <c r="Y1193" s="14"/>
      <c r="Z1193" s="14"/>
      <c r="AA1193" s="14"/>
      <c r="AB1193" s="14"/>
      <c r="AC1193" s="14"/>
      <c r="AD1193" s="14"/>
      <c r="AE1193" s="14"/>
      <c r="AF1193" s="13"/>
      <c r="AM1193" s="14"/>
      <c r="AN1193" s="11"/>
      <c r="AO1193" s="12"/>
      <c r="AP1193" s="11"/>
      <c r="AQ1193" s="11"/>
      <c r="AR1193" s="11"/>
      <c r="AS1193" s="11"/>
      <c r="AT1193" s="11"/>
    </row>
    <row r="1194" spans="1:46" ht="13">
      <c r="A1194" s="11"/>
      <c r="G1194" s="12"/>
      <c r="I1194" s="13"/>
      <c r="J1194" s="13"/>
      <c r="K1194" s="13"/>
      <c r="M1194" s="13"/>
      <c r="N1194" s="13"/>
      <c r="Q1194" s="13"/>
      <c r="V1194" s="13"/>
      <c r="Y1194" s="14"/>
      <c r="Z1194" s="14"/>
      <c r="AA1194" s="14"/>
      <c r="AB1194" s="14"/>
      <c r="AC1194" s="14"/>
      <c r="AD1194" s="14"/>
      <c r="AE1194" s="14"/>
      <c r="AF1194" s="13"/>
      <c r="AM1194" s="14"/>
      <c r="AN1194" s="11"/>
      <c r="AO1194" s="12"/>
      <c r="AP1194" s="11"/>
      <c r="AQ1194" s="11"/>
      <c r="AR1194" s="11"/>
      <c r="AS1194" s="11"/>
      <c r="AT1194" s="11"/>
    </row>
    <row r="1195" spans="1:46" ht="13">
      <c r="A1195" s="11"/>
      <c r="G1195" s="12"/>
      <c r="I1195" s="13"/>
      <c r="J1195" s="13"/>
      <c r="K1195" s="13"/>
      <c r="M1195" s="13"/>
      <c r="N1195" s="13"/>
      <c r="Q1195" s="13"/>
      <c r="V1195" s="13"/>
      <c r="Y1195" s="14"/>
      <c r="Z1195" s="14"/>
      <c r="AA1195" s="14"/>
      <c r="AB1195" s="14"/>
      <c r="AC1195" s="14"/>
      <c r="AD1195" s="14"/>
      <c r="AE1195" s="14"/>
      <c r="AF1195" s="13"/>
      <c r="AM1195" s="14"/>
      <c r="AN1195" s="11"/>
      <c r="AO1195" s="12"/>
      <c r="AP1195" s="11"/>
      <c r="AQ1195" s="11"/>
      <c r="AR1195" s="11"/>
      <c r="AS1195" s="11"/>
      <c r="AT1195" s="11"/>
    </row>
    <row r="1196" spans="1:46" ht="13">
      <c r="A1196" s="11"/>
      <c r="G1196" s="12"/>
      <c r="I1196" s="13"/>
      <c r="J1196" s="13"/>
      <c r="K1196" s="13"/>
      <c r="M1196" s="13"/>
      <c r="N1196" s="13"/>
      <c r="Q1196" s="13"/>
      <c r="V1196" s="13"/>
      <c r="Y1196" s="14"/>
      <c r="Z1196" s="14"/>
      <c r="AA1196" s="14"/>
      <c r="AB1196" s="14"/>
      <c r="AC1196" s="14"/>
      <c r="AD1196" s="14"/>
      <c r="AE1196" s="14"/>
      <c r="AF1196" s="13"/>
      <c r="AM1196" s="14"/>
      <c r="AN1196" s="11"/>
      <c r="AO1196" s="12"/>
      <c r="AP1196" s="11"/>
      <c r="AQ1196" s="11"/>
      <c r="AR1196" s="11"/>
      <c r="AS1196" s="11"/>
      <c r="AT1196" s="11"/>
    </row>
    <row r="1197" spans="1:46" ht="13">
      <c r="A1197" s="11"/>
      <c r="G1197" s="12"/>
      <c r="I1197" s="13"/>
      <c r="J1197" s="13"/>
      <c r="K1197" s="13"/>
      <c r="M1197" s="13"/>
      <c r="N1197" s="13"/>
      <c r="Q1197" s="13"/>
      <c r="V1197" s="13"/>
      <c r="Y1197" s="14"/>
      <c r="Z1197" s="14"/>
      <c r="AA1197" s="14"/>
      <c r="AB1197" s="14"/>
      <c r="AC1197" s="14"/>
      <c r="AD1197" s="14"/>
      <c r="AE1197" s="14"/>
      <c r="AF1197" s="13"/>
      <c r="AM1197" s="14"/>
      <c r="AN1197" s="11"/>
      <c r="AO1197" s="12"/>
      <c r="AP1197" s="11"/>
      <c r="AQ1197" s="11"/>
      <c r="AR1197" s="11"/>
      <c r="AS1197" s="11"/>
      <c r="AT1197" s="11"/>
    </row>
    <row r="1198" spans="1:46" ht="13">
      <c r="A1198" s="11"/>
      <c r="G1198" s="12"/>
      <c r="I1198" s="13"/>
      <c r="J1198" s="13"/>
      <c r="K1198" s="13"/>
      <c r="M1198" s="13"/>
      <c r="N1198" s="13"/>
      <c r="Q1198" s="13"/>
      <c r="V1198" s="13"/>
      <c r="Y1198" s="14"/>
      <c r="Z1198" s="14"/>
      <c r="AA1198" s="14"/>
      <c r="AB1198" s="14"/>
      <c r="AC1198" s="14"/>
      <c r="AD1198" s="14"/>
      <c r="AE1198" s="14"/>
      <c r="AF1198" s="13"/>
      <c r="AM1198" s="14"/>
      <c r="AN1198" s="11"/>
      <c r="AO1198" s="12"/>
      <c r="AP1198" s="11"/>
      <c r="AQ1198" s="11"/>
      <c r="AR1198" s="11"/>
      <c r="AS1198" s="11"/>
      <c r="AT1198" s="11"/>
    </row>
    <row r="1199" spans="1:46" ht="13">
      <c r="A1199" s="11"/>
      <c r="G1199" s="12"/>
      <c r="I1199" s="13"/>
      <c r="J1199" s="13"/>
      <c r="K1199" s="13"/>
      <c r="M1199" s="13"/>
      <c r="N1199" s="13"/>
      <c r="Q1199" s="13"/>
      <c r="V1199" s="13"/>
      <c r="Y1199" s="14"/>
      <c r="Z1199" s="14"/>
      <c r="AA1199" s="14"/>
      <c r="AB1199" s="14"/>
      <c r="AC1199" s="14"/>
      <c r="AD1199" s="14"/>
      <c r="AE1199" s="14"/>
      <c r="AF1199" s="13"/>
      <c r="AM1199" s="14"/>
      <c r="AN1199" s="11"/>
      <c r="AO1199" s="12"/>
      <c r="AP1199" s="11"/>
      <c r="AQ1199" s="11"/>
      <c r="AR1199" s="11"/>
      <c r="AS1199" s="11"/>
      <c r="AT1199" s="11"/>
    </row>
    <row r="1200" spans="1:46" ht="13">
      <c r="A1200" s="11"/>
      <c r="G1200" s="12"/>
      <c r="I1200" s="13"/>
      <c r="J1200" s="13"/>
      <c r="K1200" s="13"/>
      <c r="M1200" s="13"/>
      <c r="N1200" s="13"/>
      <c r="Q1200" s="13"/>
      <c r="V1200" s="13"/>
      <c r="Y1200" s="14"/>
      <c r="Z1200" s="14"/>
      <c r="AA1200" s="14"/>
      <c r="AB1200" s="14"/>
      <c r="AC1200" s="14"/>
      <c r="AD1200" s="14"/>
      <c r="AE1200" s="14"/>
      <c r="AF1200" s="13"/>
      <c r="AM1200" s="14"/>
      <c r="AN1200" s="11"/>
      <c r="AO1200" s="12"/>
      <c r="AP1200" s="11"/>
      <c r="AQ1200" s="11"/>
      <c r="AR1200" s="11"/>
      <c r="AS1200" s="11"/>
      <c r="AT1200" s="11"/>
    </row>
    <row r="1201" spans="1:46" ht="13">
      <c r="A1201" s="11"/>
      <c r="G1201" s="12"/>
      <c r="I1201" s="13"/>
      <c r="J1201" s="13"/>
      <c r="K1201" s="13"/>
      <c r="M1201" s="13"/>
      <c r="N1201" s="13"/>
      <c r="Q1201" s="13"/>
      <c r="V1201" s="13"/>
      <c r="Y1201" s="14"/>
      <c r="Z1201" s="14"/>
      <c r="AA1201" s="14"/>
      <c r="AB1201" s="14"/>
      <c r="AC1201" s="14"/>
      <c r="AD1201" s="14"/>
      <c r="AE1201" s="14"/>
      <c r="AF1201" s="13"/>
      <c r="AM1201" s="14"/>
      <c r="AN1201" s="11"/>
      <c r="AO1201" s="12"/>
      <c r="AP1201" s="11"/>
      <c r="AQ1201" s="11"/>
      <c r="AR1201" s="11"/>
      <c r="AS1201" s="11"/>
      <c r="AT1201" s="11"/>
    </row>
    <row r="1202" spans="1:46" ht="13">
      <c r="A1202" s="11"/>
      <c r="G1202" s="12"/>
      <c r="I1202" s="13"/>
      <c r="J1202" s="13"/>
      <c r="K1202" s="13"/>
      <c r="M1202" s="13"/>
      <c r="N1202" s="13"/>
      <c r="Q1202" s="13"/>
      <c r="V1202" s="13"/>
      <c r="Y1202" s="14"/>
      <c r="Z1202" s="14"/>
      <c r="AA1202" s="14"/>
      <c r="AB1202" s="14"/>
      <c r="AC1202" s="14"/>
      <c r="AD1202" s="14"/>
      <c r="AE1202" s="14"/>
      <c r="AF1202" s="13"/>
      <c r="AM1202" s="14"/>
      <c r="AN1202" s="11"/>
      <c r="AO1202" s="12"/>
      <c r="AP1202" s="11"/>
      <c r="AQ1202" s="11"/>
      <c r="AR1202" s="11"/>
      <c r="AS1202" s="11"/>
      <c r="AT1202" s="11"/>
    </row>
    <row r="1203" spans="1:46" ht="13">
      <c r="A1203" s="11"/>
      <c r="G1203" s="12"/>
      <c r="I1203" s="13"/>
      <c r="J1203" s="13"/>
      <c r="K1203" s="13"/>
      <c r="M1203" s="13"/>
      <c r="N1203" s="13"/>
      <c r="Q1203" s="13"/>
      <c r="V1203" s="13"/>
      <c r="Y1203" s="14"/>
      <c r="Z1203" s="14"/>
      <c r="AA1203" s="14"/>
      <c r="AB1203" s="14"/>
      <c r="AC1203" s="14"/>
      <c r="AD1203" s="14"/>
      <c r="AE1203" s="14"/>
      <c r="AF1203" s="13"/>
      <c r="AM1203" s="14"/>
      <c r="AN1203" s="11"/>
      <c r="AO1203" s="12"/>
      <c r="AP1203" s="11"/>
      <c r="AQ1203" s="11"/>
      <c r="AR1203" s="11"/>
      <c r="AS1203" s="11"/>
      <c r="AT1203" s="11"/>
    </row>
    <row r="1204" spans="1:46" ht="13">
      <c r="A1204" s="11"/>
      <c r="G1204" s="12"/>
      <c r="I1204" s="13"/>
      <c r="J1204" s="13"/>
      <c r="K1204" s="13"/>
      <c r="M1204" s="13"/>
      <c r="N1204" s="13"/>
      <c r="Q1204" s="13"/>
      <c r="V1204" s="13"/>
      <c r="Y1204" s="14"/>
      <c r="Z1204" s="14"/>
      <c r="AA1204" s="14"/>
      <c r="AB1204" s="14"/>
      <c r="AC1204" s="14"/>
      <c r="AD1204" s="14"/>
      <c r="AE1204" s="14"/>
      <c r="AF1204" s="13"/>
      <c r="AM1204" s="14"/>
      <c r="AN1204" s="11"/>
      <c r="AO1204" s="12"/>
      <c r="AP1204" s="11"/>
      <c r="AQ1204" s="11"/>
      <c r="AR1204" s="11"/>
      <c r="AS1204" s="11"/>
      <c r="AT1204" s="11"/>
    </row>
    <row r="1205" spans="1:46" ht="13">
      <c r="A1205" s="11"/>
      <c r="G1205" s="12"/>
      <c r="I1205" s="13"/>
      <c r="J1205" s="13"/>
      <c r="K1205" s="13"/>
      <c r="M1205" s="13"/>
      <c r="N1205" s="13"/>
      <c r="Q1205" s="13"/>
      <c r="V1205" s="13"/>
      <c r="Y1205" s="14"/>
      <c r="Z1205" s="14"/>
      <c r="AA1205" s="14"/>
      <c r="AB1205" s="14"/>
      <c r="AC1205" s="14"/>
      <c r="AD1205" s="14"/>
      <c r="AE1205" s="14"/>
      <c r="AF1205" s="13"/>
      <c r="AM1205" s="14"/>
      <c r="AN1205" s="11"/>
      <c r="AO1205" s="12"/>
      <c r="AP1205" s="11"/>
      <c r="AQ1205" s="11"/>
      <c r="AR1205" s="11"/>
      <c r="AS1205" s="11"/>
      <c r="AT1205" s="11"/>
    </row>
    <row r="1206" spans="1:46" ht="13">
      <c r="A1206" s="11"/>
      <c r="G1206" s="12"/>
      <c r="I1206" s="13"/>
      <c r="J1206" s="13"/>
      <c r="K1206" s="13"/>
      <c r="M1206" s="13"/>
      <c r="N1206" s="13"/>
      <c r="Q1206" s="13"/>
      <c r="V1206" s="13"/>
      <c r="Y1206" s="14"/>
      <c r="Z1206" s="14"/>
      <c r="AA1206" s="14"/>
      <c r="AB1206" s="14"/>
      <c r="AC1206" s="14"/>
      <c r="AD1206" s="14"/>
      <c r="AE1206" s="14"/>
      <c r="AF1206" s="13"/>
      <c r="AM1206" s="14"/>
      <c r="AN1206" s="11"/>
      <c r="AO1206" s="12"/>
      <c r="AP1206" s="11"/>
      <c r="AQ1206" s="11"/>
      <c r="AR1206" s="11"/>
      <c r="AS1206" s="11"/>
      <c r="AT1206" s="11"/>
    </row>
    <row r="1207" spans="1:46" ht="13">
      <c r="A1207" s="11"/>
      <c r="G1207" s="12"/>
      <c r="I1207" s="13"/>
      <c r="J1207" s="13"/>
      <c r="K1207" s="13"/>
      <c r="M1207" s="13"/>
      <c r="N1207" s="13"/>
      <c r="Q1207" s="13"/>
      <c r="V1207" s="13"/>
      <c r="Y1207" s="14"/>
      <c r="Z1207" s="14"/>
      <c r="AA1207" s="14"/>
      <c r="AB1207" s="14"/>
      <c r="AC1207" s="14"/>
      <c r="AD1207" s="14"/>
      <c r="AE1207" s="14"/>
      <c r="AF1207" s="13"/>
      <c r="AM1207" s="14"/>
      <c r="AN1207" s="11"/>
      <c r="AO1207" s="12"/>
      <c r="AP1207" s="11"/>
      <c r="AQ1207" s="11"/>
      <c r="AR1207" s="11"/>
      <c r="AS1207" s="11"/>
      <c r="AT1207" s="11"/>
    </row>
    <row r="1208" spans="1:46" ht="13">
      <c r="A1208" s="11"/>
      <c r="G1208" s="12"/>
      <c r="I1208" s="13"/>
      <c r="J1208" s="13"/>
      <c r="K1208" s="13"/>
      <c r="M1208" s="13"/>
      <c r="N1208" s="13"/>
      <c r="Q1208" s="13"/>
      <c r="V1208" s="13"/>
      <c r="Y1208" s="14"/>
      <c r="Z1208" s="14"/>
      <c r="AA1208" s="14"/>
      <c r="AB1208" s="14"/>
      <c r="AC1208" s="14"/>
      <c r="AD1208" s="14"/>
      <c r="AE1208" s="14"/>
      <c r="AF1208" s="13"/>
      <c r="AM1208" s="14"/>
      <c r="AN1208" s="11"/>
      <c r="AO1208" s="12"/>
      <c r="AP1208" s="11"/>
      <c r="AQ1208" s="11"/>
      <c r="AR1208" s="11"/>
      <c r="AS1208" s="11"/>
      <c r="AT1208" s="11"/>
    </row>
    <row r="1209" spans="1:46" ht="13">
      <c r="A1209" s="11"/>
      <c r="G1209" s="12"/>
      <c r="I1209" s="13"/>
      <c r="J1209" s="13"/>
      <c r="K1209" s="13"/>
      <c r="M1209" s="13"/>
      <c r="N1209" s="13"/>
      <c r="Q1209" s="13"/>
      <c r="V1209" s="13"/>
      <c r="Y1209" s="14"/>
      <c r="Z1209" s="14"/>
      <c r="AA1209" s="14"/>
      <c r="AB1209" s="14"/>
      <c r="AC1209" s="14"/>
      <c r="AD1209" s="14"/>
      <c r="AE1209" s="14"/>
      <c r="AF1209" s="13"/>
      <c r="AM1209" s="14"/>
      <c r="AN1209" s="11"/>
      <c r="AO1209" s="12"/>
      <c r="AP1209" s="11"/>
      <c r="AQ1209" s="11"/>
      <c r="AR1209" s="11"/>
      <c r="AS1209" s="11"/>
      <c r="AT1209" s="11"/>
    </row>
    <row r="1210" spans="1:46" ht="13">
      <c r="A1210" s="11"/>
      <c r="G1210" s="12"/>
      <c r="I1210" s="13"/>
      <c r="J1210" s="13"/>
      <c r="K1210" s="13"/>
      <c r="M1210" s="13"/>
      <c r="N1210" s="13"/>
      <c r="Q1210" s="13"/>
      <c r="V1210" s="13"/>
      <c r="Y1210" s="14"/>
      <c r="Z1210" s="14"/>
      <c r="AA1210" s="14"/>
      <c r="AB1210" s="14"/>
      <c r="AC1210" s="14"/>
      <c r="AD1210" s="14"/>
      <c r="AE1210" s="14"/>
      <c r="AF1210" s="13"/>
      <c r="AM1210" s="14"/>
      <c r="AN1210" s="11"/>
      <c r="AO1210" s="12"/>
      <c r="AP1210" s="11"/>
      <c r="AQ1210" s="11"/>
      <c r="AR1210" s="11"/>
      <c r="AS1210" s="11"/>
      <c r="AT1210" s="11"/>
    </row>
    <row r="1211" spans="1:46" ht="13">
      <c r="A1211" s="11"/>
      <c r="G1211" s="12"/>
      <c r="I1211" s="13"/>
      <c r="J1211" s="13"/>
      <c r="K1211" s="13"/>
      <c r="M1211" s="13"/>
      <c r="N1211" s="13"/>
      <c r="Q1211" s="13"/>
      <c r="V1211" s="13"/>
      <c r="Y1211" s="14"/>
      <c r="Z1211" s="14"/>
      <c r="AA1211" s="14"/>
      <c r="AB1211" s="14"/>
      <c r="AC1211" s="14"/>
      <c r="AD1211" s="14"/>
      <c r="AE1211" s="14"/>
      <c r="AF1211" s="13"/>
      <c r="AM1211" s="14"/>
      <c r="AN1211" s="11"/>
      <c r="AO1211" s="12"/>
      <c r="AP1211" s="11"/>
      <c r="AQ1211" s="11"/>
      <c r="AR1211" s="11"/>
      <c r="AS1211" s="11"/>
      <c r="AT1211" s="11"/>
    </row>
    <row r="1212" spans="1:46" ht="13">
      <c r="A1212" s="11"/>
      <c r="G1212" s="12"/>
      <c r="I1212" s="13"/>
      <c r="J1212" s="13"/>
      <c r="K1212" s="13"/>
      <c r="M1212" s="13"/>
      <c r="N1212" s="13"/>
      <c r="Q1212" s="13"/>
      <c r="V1212" s="13"/>
      <c r="Y1212" s="14"/>
      <c r="Z1212" s="14"/>
      <c r="AA1212" s="14"/>
      <c r="AB1212" s="14"/>
      <c r="AC1212" s="14"/>
      <c r="AD1212" s="14"/>
      <c r="AE1212" s="14"/>
      <c r="AF1212" s="13"/>
      <c r="AM1212" s="14"/>
      <c r="AN1212" s="11"/>
      <c r="AO1212" s="12"/>
      <c r="AP1212" s="11"/>
      <c r="AQ1212" s="11"/>
      <c r="AR1212" s="11"/>
      <c r="AS1212" s="11"/>
      <c r="AT1212" s="11"/>
    </row>
    <row r="1213" spans="1:46" ht="13">
      <c r="A1213" s="11"/>
      <c r="G1213" s="12"/>
      <c r="I1213" s="13"/>
      <c r="J1213" s="13"/>
      <c r="K1213" s="13"/>
      <c r="M1213" s="13"/>
      <c r="N1213" s="13"/>
      <c r="Q1213" s="13"/>
      <c r="V1213" s="13"/>
      <c r="Y1213" s="14"/>
      <c r="Z1213" s="14"/>
      <c r="AA1213" s="14"/>
      <c r="AB1213" s="14"/>
      <c r="AC1213" s="14"/>
      <c r="AD1213" s="14"/>
      <c r="AE1213" s="14"/>
      <c r="AF1213" s="13"/>
      <c r="AM1213" s="14"/>
      <c r="AN1213" s="11"/>
      <c r="AO1213" s="12"/>
      <c r="AP1213" s="11"/>
      <c r="AQ1213" s="11"/>
      <c r="AR1213" s="11"/>
      <c r="AS1213" s="11"/>
      <c r="AT1213" s="11"/>
    </row>
    <row r="1214" spans="1:46" ht="13">
      <c r="A1214" s="11"/>
      <c r="G1214" s="12"/>
      <c r="I1214" s="13"/>
      <c r="J1214" s="13"/>
      <c r="K1214" s="13"/>
      <c r="M1214" s="13"/>
      <c r="N1214" s="13"/>
      <c r="Q1214" s="13"/>
      <c r="V1214" s="13"/>
      <c r="Y1214" s="14"/>
      <c r="Z1214" s="14"/>
      <c r="AA1214" s="14"/>
      <c r="AB1214" s="14"/>
      <c r="AC1214" s="14"/>
      <c r="AD1214" s="14"/>
      <c r="AE1214" s="14"/>
      <c r="AF1214" s="13"/>
      <c r="AM1214" s="14"/>
      <c r="AN1214" s="11"/>
      <c r="AO1214" s="12"/>
      <c r="AP1214" s="11"/>
      <c r="AQ1214" s="11"/>
      <c r="AR1214" s="11"/>
      <c r="AS1214" s="11"/>
      <c r="AT1214" s="11"/>
    </row>
    <row r="1215" spans="1:46" ht="13">
      <c r="A1215" s="11"/>
      <c r="G1215" s="12"/>
      <c r="I1215" s="13"/>
      <c r="J1215" s="13"/>
      <c r="K1215" s="13"/>
      <c r="M1215" s="13"/>
      <c r="N1215" s="13"/>
      <c r="Q1215" s="13"/>
      <c r="V1215" s="13"/>
      <c r="Y1215" s="14"/>
      <c r="Z1215" s="14"/>
      <c r="AA1215" s="14"/>
      <c r="AB1215" s="14"/>
      <c r="AC1215" s="14"/>
      <c r="AD1215" s="14"/>
      <c r="AE1215" s="14"/>
      <c r="AF1215" s="13"/>
      <c r="AM1215" s="14"/>
      <c r="AN1215" s="11"/>
      <c r="AO1215" s="12"/>
      <c r="AP1215" s="11"/>
      <c r="AQ1215" s="11"/>
      <c r="AR1215" s="11"/>
      <c r="AS1215" s="11"/>
      <c r="AT1215" s="11"/>
    </row>
    <row r="1216" spans="1:46" ht="13">
      <c r="A1216" s="11"/>
      <c r="G1216" s="12"/>
      <c r="I1216" s="13"/>
      <c r="J1216" s="13"/>
      <c r="K1216" s="13"/>
      <c r="M1216" s="13"/>
      <c r="N1216" s="13"/>
      <c r="Q1216" s="13"/>
      <c r="V1216" s="13"/>
      <c r="Y1216" s="14"/>
      <c r="Z1216" s="14"/>
      <c r="AA1216" s="14"/>
      <c r="AB1216" s="14"/>
      <c r="AC1216" s="14"/>
      <c r="AD1216" s="14"/>
      <c r="AE1216" s="14"/>
      <c r="AF1216" s="13"/>
      <c r="AM1216" s="14"/>
      <c r="AN1216" s="11"/>
      <c r="AO1216" s="12"/>
      <c r="AP1216" s="11"/>
      <c r="AQ1216" s="11"/>
      <c r="AR1216" s="11"/>
      <c r="AS1216" s="11"/>
      <c r="AT1216" s="11"/>
    </row>
    <row r="1217" spans="1:46" ht="13">
      <c r="A1217" s="11"/>
      <c r="G1217" s="12"/>
      <c r="I1217" s="13"/>
      <c r="J1217" s="13"/>
      <c r="K1217" s="13"/>
      <c r="M1217" s="13"/>
      <c r="N1217" s="13"/>
      <c r="Q1217" s="13"/>
      <c r="V1217" s="13"/>
      <c r="Y1217" s="14"/>
      <c r="Z1217" s="14"/>
      <c r="AA1217" s="14"/>
      <c r="AB1217" s="14"/>
      <c r="AC1217" s="14"/>
      <c r="AD1217" s="14"/>
      <c r="AE1217" s="14"/>
      <c r="AF1217" s="13"/>
      <c r="AM1217" s="14"/>
      <c r="AN1217" s="11"/>
      <c r="AO1217" s="12"/>
      <c r="AP1217" s="11"/>
      <c r="AQ1217" s="11"/>
      <c r="AR1217" s="11"/>
      <c r="AS1217" s="11"/>
      <c r="AT1217" s="11"/>
    </row>
    <row r="1218" spans="1:46" ht="13">
      <c r="A1218" s="11"/>
      <c r="G1218" s="12"/>
      <c r="I1218" s="13"/>
      <c r="J1218" s="13"/>
      <c r="K1218" s="13"/>
      <c r="M1218" s="13"/>
      <c r="N1218" s="13"/>
      <c r="Q1218" s="13"/>
      <c r="V1218" s="13"/>
      <c r="Y1218" s="14"/>
      <c r="Z1218" s="14"/>
      <c r="AA1218" s="14"/>
      <c r="AB1218" s="14"/>
      <c r="AC1218" s="14"/>
      <c r="AD1218" s="14"/>
      <c r="AE1218" s="14"/>
      <c r="AF1218" s="13"/>
      <c r="AM1218" s="14"/>
      <c r="AN1218" s="11"/>
      <c r="AO1218" s="12"/>
      <c r="AP1218" s="11"/>
      <c r="AQ1218" s="11"/>
      <c r="AR1218" s="11"/>
      <c r="AS1218" s="11"/>
      <c r="AT1218" s="11"/>
    </row>
    <row r="1219" spans="1:46" ht="13">
      <c r="A1219" s="11"/>
      <c r="G1219" s="12"/>
      <c r="I1219" s="13"/>
      <c r="J1219" s="13"/>
      <c r="K1219" s="13"/>
      <c r="M1219" s="13"/>
      <c r="N1219" s="13"/>
      <c r="Q1219" s="13"/>
      <c r="V1219" s="13"/>
      <c r="Y1219" s="14"/>
      <c r="Z1219" s="14"/>
      <c r="AA1219" s="14"/>
      <c r="AB1219" s="14"/>
      <c r="AC1219" s="14"/>
      <c r="AD1219" s="14"/>
      <c r="AE1219" s="14"/>
      <c r="AF1219" s="13"/>
      <c r="AM1219" s="14"/>
      <c r="AN1219" s="11"/>
      <c r="AO1219" s="12"/>
      <c r="AP1219" s="11"/>
      <c r="AQ1219" s="11"/>
      <c r="AR1219" s="11"/>
      <c r="AS1219" s="11"/>
      <c r="AT1219" s="11"/>
    </row>
    <row r="1220" spans="1:46" ht="13">
      <c r="A1220" s="11"/>
      <c r="G1220" s="12"/>
      <c r="I1220" s="13"/>
      <c r="J1220" s="13"/>
      <c r="K1220" s="13"/>
      <c r="M1220" s="13"/>
      <c r="N1220" s="13"/>
      <c r="Q1220" s="13"/>
      <c r="V1220" s="13"/>
      <c r="Y1220" s="14"/>
      <c r="Z1220" s="14"/>
      <c r="AA1220" s="14"/>
      <c r="AB1220" s="14"/>
      <c r="AC1220" s="14"/>
      <c r="AD1220" s="14"/>
      <c r="AE1220" s="14"/>
      <c r="AF1220" s="13"/>
      <c r="AM1220" s="14"/>
      <c r="AN1220" s="11"/>
      <c r="AO1220" s="12"/>
      <c r="AP1220" s="11"/>
      <c r="AQ1220" s="11"/>
      <c r="AR1220" s="11"/>
      <c r="AS1220" s="11"/>
      <c r="AT1220" s="11"/>
    </row>
    <row r="1221" spans="1:46" ht="13">
      <c r="A1221" s="11"/>
      <c r="G1221" s="12"/>
      <c r="I1221" s="13"/>
      <c r="J1221" s="13"/>
      <c r="K1221" s="13"/>
      <c r="M1221" s="13"/>
      <c r="N1221" s="13"/>
      <c r="Q1221" s="13"/>
      <c r="V1221" s="13"/>
      <c r="Y1221" s="14"/>
      <c r="Z1221" s="14"/>
      <c r="AA1221" s="14"/>
      <c r="AB1221" s="14"/>
      <c r="AC1221" s="14"/>
      <c r="AD1221" s="14"/>
      <c r="AE1221" s="14"/>
      <c r="AF1221" s="13"/>
      <c r="AM1221" s="14"/>
      <c r="AN1221" s="11"/>
      <c r="AO1221" s="12"/>
      <c r="AP1221" s="11"/>
      <c r="AQ1221" s="11"/>
      <c r="AR1221" s="11"/>
      <c r="AS1221" s="11"/>
      <c r="AT1221" s="11"/>
    </row>
    <row r="1222" spans="1:46" ht="13">
      <c r="A1222" s="11"/>
      <c r="G1222" s="12"/>
      <c r="I1222" s="13"/>
      <c r="J1222" s="13"/>
      <c r="K1222" s="13"/>
      <c r="M1222" s="13"/>
      <c r="N1222" s="13"/>
      <c r="Q1222" s="13"/>
      <c r="V1222" s="13"/>
      <c r="Y1222" s="14"/>
      <c r="Z1222" s="14"/>
      <c r="AA1222" s="14"/>
      <c r="AB1222" s="14"/>
      <c r="AC1222" s="14"/>
      <c r="AD1222" s="14"/>
      <c r="AE1222" s="14"/>
      <c r="AF1222" s="13"/>
      <c r="AM1222" s="14"/>
      <c r="AN1222" s="11"/>
      <c r="AO1222" s="12"/>
      <c r="AP1222" s="11"/>
      <c r="AQ1222" s="11"/>
      <c r="AR1222" s="11"/>
      <c r="AS1222" s="11"/>
      <c r="AT1222" s="11"/>
    </row>
    <row r="1223" spans="1:46" ht="13">
      <c r="A1223" s="11"/>
      <c r="G1223" s="12"/>
      <c r="I1223" s="13"/>
      <c r="J1223" s="13"/>
      <c r="K1223" s="13"/>
      <c r="M1223" s="13"/>
      <c r="N1223" s="13"/>
      <c r="Q1223" s="13"/>
      <c r="V1223" s="13"/>
      <c r="Y1223" s="14"/>
      <c r="Z1223" s="14"/>
      <c r="AA1223" s="14"/>
      <c r="AB1223" s="14"/>
      <c r="AC1223" s="14"/>
      <c r="AD1223" s="14"/>
      <c r="AE1223" s="14"/>
      <c r="AF1223" s="13"/>
      <c r="AM1223" s="14"/>
      <c r="AN1223" s="11"/>
      <c r="AO1223" s="12"/>
      <c r="AP1223" s="11"/>
      <c r="AQ1223" s="11"/>
      <c r="AR1223" s="11"/>
      <c r="AS1223" s="11"/>
      <c r="AT1223" s="11"/>
    </row>
    <row r="1224" spans="1:46" ht="13">
      <c r="A1224" s="11"/>
      <c r="G1224" s="12"/>
      <c r="I1224" s="13"/>
      <c r="J1224" s="13"/>
      <c r="K1224" s="13"/>
      <c r="M1224" s="13"/>
      <c r="N1224" s="13"/>
      <c r="Q1224" s="13"/>
      <c r="V1224" s="13"/>
      <c r="Y1224" s="14"/>
      <c r="Z1224" s="14"/>
      <c r="AA1224" s="14"/>
      <c r="AB1224" s="14"/>
      <c r="AC1224" s="14"/>
      <c r="AD1224" s="14"/>
      <c r="AE1224" s="14"/>
      <c r="AF1224" s="13"/>
      <c r="AM1224" s="14"/>
      <c r="AN1224" s="11"/>
      <c r="AO1224" s="12"/>
      <c r="AP1224" s="11"/>
      <c r="AQ1224" s="11"/>
      <c r="AR1224" s="11"/>
      <c r="AS1224" s="11"/>
      <c r="AT1224" s="11"/>
    </row>
    <row r="1225" spans="1:46" ht="13">
      <c r="A1225" s="11"/>
      <c r="G1225" s="12"/>
      <c r="I1225" s="13"/>
      <c r="J1225" s="13"/>
      <c r="K1225" s="13"/>
      <c r="M1225" s="13"/>
      <c r="N1225" s="13"/>
      <c r="Q1225" s="13"/>
      <c r="V1225" s="13"/>
      <c r="Y1225" s="14"/>
      <c r="Z1225" s="14"/>
      <c r="AA1225" s="14"/>
      <c r="AB1225" s="14"/>
      <c r="AC1225" s="14"/>
      <c r="AD1225" s="14"/>
      <c r="AE1225" s="14"/>
      <c r="AF1225" s="13"/>
      <c r="AM1225" s="14"/>
      <c r="AN1225" s="11"/>
      <c r="AO1225" s="12"/>
      <c r="AP1225" s="11"/>
      <c r="AQ1225" s="11"/>
      <c r="AR1225" s="11"/>
      <c r="AS1225" s="11"/>
      <c r="AT1225" s="11"/>
    </row>
    <row r="1226" spans="1:46" ht="13">
      <c r="A1226" s="11"/>
      <c r="G1226" s="12"/>
      <c r="I1226" s="13"/>
      <c r="J1226" s="13"/>
      <c r="K1226" s="13"/>
      <c r="M1226" s="13"/>
      <c r="N1226" s="13"/>
      <c r="Q1226" s="13"/>
      <c r="V1226" s="13"/>
      <c r="Y1226" s="14"/>
      <c r="Z1226" s="14"/>
      <c r="AA1226" s="14"/>
      <c r="AB1226" s="14"/>
      <c r="AC1226" s="14"/>
      <c r="AD1226" s="14"/>
      <c r="AE1226" s="14"/>
      <c r="AF1226" s="13"/>
      <c r="AM1226" s="14"/>
      <c r="AN1226" s="11"/>
      <c r="AO1226" s="12"/>
      <c r="AP1226" s="11"/>
      <c r="AQ1226" s="11"/>
      <c r="AR1226" s="11"/>
      <c r="AS1226" s="11"/>
      <c r="AT1226" s="11"/>
    </row>
    <row r="1227" spans="1:46" ht="13">
      <c r="A1227" s="11"/>
      <c r="G1227" s="12"/>
      <c r="I1227" s="13"/>
      <c r="J1227" s="13"/>
      <c r="K1227" s="13"/>
      <c r="M1227" s="13"/>
      <c r="N1227" s="13"/>
      <c r="Q1227" s="13"/>
      <c r="V1227" s="13"/>
      <c r="Y1227" s="14"/>
      <c r="Z1227" s="14"/>
      <c r="AA1227" s="14"/>
      <c r="AB1227" s="14"/>
      <c r="AC1227" s="14"/>
      <c r="AD1227" s="14"/>
      <c r="AE1227" s="14"/>
      <c r="AF1227" s="13"/>
      <c r="AM1227" s="14"/>
      <c r="AN1227" s="11"/>
      <c r="AO1227" s="12"/>
      <c r="AP1227" s="11"/>
      <c r="AQ1227" s="11"/>
      <c r="AR1227" s="11"/>
      <c r="AS1227" s="11"/>
      <c r="AT1227" s="11"/>
    </row>
    <row r="1228" spans="1:46" ht="13">
      <c r="A1228" s="11"/>
      <c r="G1228" s="12"/>
      <c r="I1228" s="13"/>
      <c r="J1228" s="13"/>
      <c r="K1228" s="13"/>
      <c r="M1228" s="13"/>
      <c r="N1228" s="13"/>
      <c r="Q1228" s="13"/>
      <c r="V1228" s="13"/>
      <c r="Y1228" s="14"/>
      <c r="Z1228" s="14"/>
      <c r="AA1228" s="14"/>
      <c r="AB1228" s="14"/>
      <c r="AC1228" s="14"/>
      <c r="AD1228" s="14"/>
      <c r="AE1228" s="14"/>
      <c r="AF1228" s="13"/>
      <c r="AM1228" s="14"/>
      <c r="AN1228" s="11"/>
      <c r="AO1228" s="12"/>
      <c r="AP1228" s="11"/>
      <c r="AQ1228" s="11"/>
      <c r="AR1228" s="11"/>
      <c r="AS1228" s="11"/>
      <c r="AT1228" s="11"/>
    </row>
    <row r="1229" spans="1:46" ht="13">
      <c r="A1229" s="11"/>
      <c r="G1229" s="12"/>
      <c r="I1229" s="13"/>
      <c r="J1229" s="13"/>
      <c r="K1229" s="13"/>
      <c r="M1229" s="13"/>
      <c r="N1229" s="13"/>
      <c r="Q1229" s="13"/>
      <c r="V1229" s="13"/>
      <c r="Y1229" s="14"/>
      <c r="Z1229" s="14"/>
      <c r="AA1229" s="14"/>
      <c r="AB1229" s="14"/>
      <c r="AC1229" s="14"/>
      <c r="AD1229" s="14"/>
      <c r="AE1229" s="14"/>
      <c r="AF1229" s="13"/>
      <c r="AM1229" s="14"/>
      <c r="AN1229" s="11"/>
      <c r="AO1229" s="12"/>
      <c r="AP1229" s="11"/>
      <c r="AQ1229" s="11"/>
      <c r="AR1229" s="11"/>
      <c r="AS1229" s="11"/>
      <c r="AT1229" s="11"/>
    </row>
    <row r="1230" spans="1:46" ht="13">
      <c r="A1230" s="11"/>
      <c r="G1230" s="12"/>
      <c r="I1230" s="13"/>
      <c r="J1230" s="13"/>
      <c r="K1230" s="13"/>
      <c r="M1230" s="13"/>
      <c r="N1230" s="13"/>
      <c r="Q1230" s="13"/>
      <c r="V1230" s="13"/>
      <c r="Y1230" s="14"/>
      <c r="Z1230" s="14"/>
      <c r="AA1230" s="14"/>
      <c r="AB1230" s="14"/>
      <c r="AC1230" s="14"/>
      <c r="AD1230" s="14"/>
      <c r="AE1230" s="14"/>
      <c r="AF1230" s="13"/>
      <c r="AM1230" s="14"/>
      <c r="AN1230" s="11"/>
      <c r="AO1230" s="12"/>
      <c r="AP1230" s="11"/>
      <c r="AQ1230" s="11"/>
      <c r="AR1230" s="11"/>
      <c r="AS1230" s="11"/>
      <c r="AT1230" s="11"/>
    </row>
    <row r="1231" spans="1:46" ht="13">
      <c r="A1231" s="11"/>
      <c r="G1231" s="12"/>
      <c r="I1231" s="13"/>
      <c r="J1231" s="13"/>
      <c r="K1231" s="13"/>
      <c r="M1231" s="13"/>
      <c r="N1231" s="13"/>
      <c r="Q1231" s="13"/>
      <c r="V1231" s="13"/>
      <c r="Y1231" s="14"/>
      <c r="Z1231" s="14"/>
      <c r="AA1231" s="14"/>
      <c r="AB1231" s="14"/>
      <c r="AC1231" s="14"/>
      <c r="AD1231" s="14"/>
      <c r="AE1231" s="14"/>
      <c r="AF1231" s="13"/>
      <c r="AM1231" s="14"/>
      <c r="AN1231" s="11"/>
      <c r="AO1231" s="12"/>
      <c r="AP1231" s="11"/>
      <c r="AQ1231" s="11"/>
      <c r="AR1231" s="11"/>
      <c r="AS1231" s="11"/>
      <c r="AT1231" s="11"/>
    </row>
    <row r="1232" spans="1:46" ht="13">
      <c r="A1232" s="11"/>
      <c r="G1232" s="12"/>
      <c r="I1232" s="13"/>
      <c r="J1232" s="13"/>
      <c r="K1232" s="13"/>
      <c r="M1232" s="13"/>
      <c r="N1232" s="13"/>
      <c r="Q1232" s="13"/>
      <c r="V1232" s="13"/>
      <c r="Y1232" s="14"/>
      <c r="Z1232" s="14"/>
      <c r="AA1232" s="14"/>
      <c r="AB1232" s="14"/>
      <c r="AC1232" s="14"/>
      <c r="AD1232" s="14"/>
      <c r="AE1232" s="14"/>
      <c r="AF1232" s="13"/>
      <c r="AM1232" s="14"/>
      <c r="AN1232" s="11"/>
      <c r="AO1232" s="12"/>
      <c r="AP1232" s="11"/>
      <c r="AQ1232" s="11"/>
      <c r="AR1232" s="11"/>
      <c r="AS1232" s="11"/>
      <c r="AT1232" s="11"/>
    </row>
    <row r="1233" spans="1:46" ht="13">
      <c r="A1233" s="11"/>
      <c r="G1233" s="12"/>
      <c r="I1233" s="13"/>
      <c r="J1233" s="13"/>
      <c r="K1233" s="13"/>
      <c r="M1233" s="13"/>
      <c r="N1233" s="13"/>
      <c r="Q1233" s="13"/>
      <c r="V1233" s="13"/>
      <c r="Y1233" s="14"/>
      <c r="Z1233" s="14"/>
      <c r="AA1233" s="14"/>
      <c r="AB1233" s="14"/>
      <c r="AC1233" s="14"/>
      <c r="AD1233" s="14"/>
      <c r="AE1233" s="14"/>
      <c r="AF1233" s="13"/>
      <c r="AM1233" s="14"/>
      <c r="AN1233" s="11"/>
      <c r="AO1233" s="12"/>
      <c r="AP1233" s="11"/>
      <c r="AQ1233" s="11"/>
      <c r="AR1233" s="11"/>
      <c r="AS1233" s="11"/>
      <c r="AT1233" s="11"/>
    </row>
    <row r="1234" spans="1:46" ht="13">
      <c r="A1234" s="11"/>
      <c r="G1234" s="12"/>
      <c r="I1234" s="13"/>
      <c r="J1234" s="13"/>
      <c r="K1234" s="13"/>
      <c r="M1234" s="13"/>
      <c r="N1234" s="13"/>
      <c r="Q1234" s="13"/>
      <c r="V1234" s="13"/>
      <c r="Y1234" s="14"/>
      <c r="Z1234" s="14"/>
      <c r="AA1234" s="14"/>
      <c r="AB1234" s="14"/>
      <c r="AC1234" s="14"/>
      <c r="AD1234" s="14"/>
      <c r="AE1234" s="14"/>
      <c r="AF1234" s="13"/>
      <c r="AM1234" s="14"/>
      <c r="AN1234" s="11"/>
      <c r="AO1234" s="12"/>
      <c r="AP1234" s="11"/>
      <c r="AQ1234" s="11"/>
      <c r="AR1234" s="11"/>
      <c r="AS1234" s="11"/>
      <c r="AT1234" s="11"/>
    </row>
    <row r="1235" spans="1:46" ht="13">
      <c r="A1235" s="11"/>
      <c r="G1235" s="12"/>
      <c r="I1235" s="13"/>
      <c r="J1235" s="13"/>
      <c r="K1235" s="13"/>
      <c r="M1235" s="13"/>
      <c r="N1235" s="13"/>
      <c r="Q1235" s="13"/>
      <c r="V1235" s="13"/>
      <c r="Y1235" s="14"/>
      <c r="Z1235" s="14"/>
      <c r="AA1235" s="14"/>
      <c r="AB1235" s="14"/>
      <c r="AC1235" s="14"/>
      <c r="AD1235" s="14"/>
      <c r="AE1235" s="14"/>
      <c r="AF1235" s="13"/>
      <c r="AM1235" s="14"/>
      <c r="AN1235" s="11"/>
      <c r="AO1235" s="12"/>
      <c r="AP1235" s="11"/>
      <c r="AQ1235" s="11"/>
      <c r="AR1235" s="11"/>
      <c r="AS1235" s="11"/>
      <c r="AT1235" s="11"/>
    </row>
    <row r="1236" spans="1:46" ht="13">
      <c r="A1236" s="11"/>
      <c r="G1236" s="12"/>
      <c r="I1236" s="13"/>
      <c r="J1236" s="13"/>
      <c r="K1236" s="13"/>
      <c r="M1236" s="13"/>
      <c r="N1236" s="13"/>
      <c r="Q1236" s="13"/>
      <c r="V1236" s="13"/>
      <c r="Y1236" s="14"/>
      <c r="Z1236" s="14"/>
      <c r="AA1236" s="14"/>
      <c r="AB1236" s="14"/>
      <c r="AC1236" s="14"/>
      <c r="AD1236" s="14"/>
      <c r="AE1236" s="14"/>
      <c r="AF1236" s="13"/>
      <c r="AM1236" s="14"/>
      <c r="AN1236" s="11"/>
      <c r="AO1236" s="12"/>
      <c r="AP1236" s="11"/>
      <c r="AQ1236" s="11"/>
      <c r="AR1236" s="11"/>
      <c r="AS1236" s="11"/>
      <c r="AT1236" s="11"/>
    </row>
    <row r="1237" spans="1:46" ht="13">
      <c r="A1237" s="11"/>
      <c r="G1237" s="12"/>
      <c r="I1237" s="13"/>
      <c r="J1237" s="13"/>
      <c r="K1237" s="13"/>
      <c r="M1237" s="13"/>
      <c r="N1237" s="13"/>
      <c r="Q1237" s="13"/>
      <c r="V1237" s="13"/>
      <c r="Y1237" s="14"/>
      <c r="Z1237" s="14"/>
      <c r="AA1237" s="14"/>
      <c r="AB1237" s="14"/>
      <c r="AC1237" s="14"/>
      <c r="AD1237" s="14"/>
      <c r="AE1237" s="14"/>
      <c r="AF1237" s="13"/>
      <c r="AM1237" s="14"/>
      <c r="AN1237" s="11"/>
      <c r="AO1237" s="12"/>
      <c r="AP1237" s="11"/>
      <c r="AQ1237" s="11"/>
      <c r="AR1237" s="11"/>
      <c r="AS1237" s="11"/>
      <c r="AT1237" s="11"/>
    </row>
    <row r="1238" spans="1:46" ht="13">
      <c r="A1238" s="11"/>
      <c r="G1238" s="12"/>
      <c r="I1238" s="13"/>
      <c r="J1238" s="13"/>
      <c r="K1238" s="13"/>
      <c r="M1238" s="13"/>
      <c r="N1238" s="13"/>
      <c r="Q1238" s="13"/>
      <c r="V1238" s="13"/>
      <c r="Y1238" s="14"/>
      <c r="Z1238" s="14"/>
      <c r="AA1238" s="14"/>
      <c r="AB1238" s="14"/>
      <c r="AC1238" s="14"/>
      <c r="AD1238" s="14"/>
      <c r="AE1238" s="14"/>
      <c r="AF1238" s="13"/>
      <c r="AM1238" s="14"/>
      <c r="AN1238" s="11"/>
      <c r="AO1238" s="12"/>
      <c r="AP1238" s="11"/>
      <c r="AQ1238" s="11"/>
      <c r="AR1238" s="11"/>
      <c r="AS1238" s="11"/>
      <c r="AT1238" s="11"/>
    </row>
    <row r="1239" spans="1:46" ht="13">
      <c r="A1239" s="11"/>
      <c r="G1239" s="12"/>
      <c r="I1239" s="13"/>
      <c r="J1239" s="13"/>
      <c r="K1239" s="13"/>
      <c r="M1239" s="13"/>
      <c r="N1239" s="13"/>
      <c r="Q1239" s="13"/>
      <c r="V1239" s="13"/>
      <c r="Y1239" s="14"/>
      <c r="Z1239" s="14"/>
      <c r="AA1239" s="14"/>
      <c r="AB1239" s="14"/>
      <c r="AC1239" s="14"/>
      <c r="AD1239" s="14"/>
      <c r="AE1239" s="14"/>
      <c r="AF1239" s="13"/>
      <c r="AM1239" s="14"/>
      <c r="AN1239" s="11"/>
      <c r="AO1239" s="12"/>
      <c r="AP1239" s="11"/>
      <c r="AQ1239" s="11"/>
      <c r="AR1239" s="11"/>
      <c r="AS1239" s="11"/>
      <c r="AT1239" s="11"/>
    </row>
    <row r="1240" spans="1:46" ht="13">
      <c r="A1240" s="11"/>
      <c r="G1240" s="12"/>
      <c r="I1240" s="13"/>
      <c r="J1240" s="13"/>
      <c r="K1240" s="13"/>
      <c r="M1240" s="13"/>
      <c r="N1240" s="13"/>
      <c r="Q1240" s="13"/>
      <c r="V1240" s="13"/>
      <c r="Y1240" s="14"/>
      <c r="Z1240" s="14"/>
      <c r="AA1240" s="14"/>
      <c r="AB1240" s="14"/>
      <c r="AC1240" s="14"/>
      <c r="AD1240" s="14"/>
      <c r="AE1240" s="14"/>
      <c r="AF1240" s="13"/>
      <c r="AM1240" s="14"/>
      <c r="AN1240" s="11"/>
      <c r="AO1240" s="12"/>
      <c r="AP1240" s="11"/>
      <c r="AQ1240" s="11"/>
      <c r="AR1240" s="11"/>
      <c r="AS1240" s="11"/>
      <c r="AT1240" s="11"/>
    </row>
    <row r="1241" spans="1:46" ht="13">
      <c r="A1241" s="11"/>
      <c r="G1241" s="12"/>
      <c r="I1241" s="13"/>
      <c r="J1241" s="13"/>
      <c r="K1241" s="13"/>
      <c r="M1241" s="13"/>
      <c r="N1241" s="13"/>
      <c r="Q1241" s="13"/>
      <c r="V1241" s="13"/>
      <c r="Y1241" s="14"/>
      <c r="Z1241" s="14"/>
      <c r="AA1241" s="14"/>
      <c r="AB1241" s="14"/>
      <c r="AC1241" s="14"/>
      <c r="AD1241" s="14"/>
      <c r="AE1241" s="14"/>
      <c r="AF1241" s="13"/>
      <c r="AM1241" s="14"/>
      <c r="AN1241" s="11"/>
      <c r="AO1241" s="12"/>
      <c r="AP1241" s="11"/>
      <c r="AQ1241" s="11"/>
      <c r="AR1241" s="11"/>
      <c r="AS1241" s="11"/>
      <c r="AT1241" s="11"/>
    </row>
    <row r="1242" spans="1:46" ht="13">
      <c r="A1242" s="11"/>
      <c r="G1242" s="12"/>
      <c r="I1242" s="13"/>
      <c r="J1242" s="13"/>
      <c r="K1242" s="13"/>
      <c r="M1242" s="13"/>
      <c r="N1242" s="13"/>
      <c r="Q1242" s="13"/>
      <c r="V1242" s="13"/>
      <c r="Y1242" s="14"/>
      <c r="Z1242" s="14"/>
      <c r="AA1242" s="14"/>
      <c r="AB1242" s="14"/>
      <c r="AC1242" s="14"/>
      <c r="AD1242" s="14"/>
      <c r="AE1242" s="14"/>
      <c r="AF1242" s="13"/>
      <c r="AM1242" s="14"/>
      <c r="AN1242" s="11"/>
      <c r="AO1242" s="12"/>
      <c r="AP1242" s="11"/>
      <c r="AQ1242" s="11"/>
      <c r="AR1242" s="11"/>
      <c r="AS1242" s="11"/>
      <c r="AT1242" s="11"/>
    </row>
    <row r="1243" spans="1:46" ht="13">
      <c r="A1243" s="11"/>
      <c r="G1243" s="12"/>
      <c r="I1243" s="13"/>
      <c r="J1243" s="13"/>
      <c r="K1243" s="13"/>
      <c r="M1243" s="13"/>
      <c r="N1243" s="13"/>
      <c r="Q1243" s="13"/>
      <c r="V1243" s="13"/>
      <c r="Y1243" s="14"/>
      <c r="Z1243" s="14"/>
      <c r="AA1243" s="14"/>
      <c r="AB1243" s="14"/>
      <c r="AC1243" s="14"/>
      <c r="AD1243" s="14"/>
      <c r="AE1243" s="14"/>
      <c r="AF1243" s="13"/>
      <c r="AM1243" s="14"/>
      <c r="AN1243" s="11"/>
      <c r="AO1243" s="12"/>
      <c r="AP1243" s="11"/>
      <c r="AQ1243" s="11"/>
      <c r="AR1243" s="11"/>
      <c r="AS1243" s="11"/>
      <c r="AT1243" s="11"/>
    </row>
    <row r="1244" spans="1:46" ht="13">
      <c r="A1244" s="11"/>
      <c r="G1244" s="12"/>
      <c r="I1244" s="13"/>
      <c r="J1244" s="13"/>
      <c r="K1244" s="13"/>
      <c r="M1244" s="13"/>
      <c r="N1244" s="13"/>
      <c r="Q1244" s="13"/>
      <c r="V1244" s="13"/>
      <c r="Y1244" s="14"/>
      <c r="Z1244" s="14"/>
      <c r="AA1244" s="14"/>
      <c r="AB1244" s="14"/>
      <c r="AC1244" s="14"/>
      <c r="AD1244" s="14"/>
      <c r="AE1244" s="14"/>
      <c r="AF1244" s="13"/>
      <c r="AM1244" s="14"/>
      <c r="AN1244" s="11"/>
      <c r="AO1244" s="12"/>
      <c r="AP1244" s="11"/>
      <c r="AQ1244" s="11"/>
      <c r="AR1244" s="11"/>
      <c r="AS1244" s="11"/>
      <c r="AT1244" s="11"/>
    </row>
    <row r="1245" spans="1:46" ht="13">
      <c r="A1245" s="11"/>
      <c r="G1245" s="12"/>
      <c r="I1245" s="13"/>
      <c r="J1245" s="13"/>
      <c r="K1245" s="13"/>
      <c r="M1245" s="13"/>
      <c r="N1245" s="13"/>
      <c r="Q1245" s="13"/>
      <c r="V1245" s="13"/>
      <c r="Y1245" s="14"/>
      <c r="Z1245" s="14"/>
      <c r="AA1245" s="14"/>
      <c r="AB1245" s="14"/>
      <c r="AC1245" s="14"/>
      <c r="AD1245" s="14"/>
      <c r="AE1245" s="14"/>
      <c r="AF1245" s="13"/>
      <c r="AM1245" s="14"/>
      <c r="AN1245" s="11"/>
      <c r="AO1245" s="12"/>
      <c r="AP1245" s="11"/>
      <c r="AQ1245" s="11"/>
      <c r="AR1245" s="11"/>
      <c r="AS1245" s="11"/>
      <c r="AT1245" s="11"/>
    </row>
    <row r="1246" spans="1:46" ht="13">
      <c r="A1246" s="11"/>
      <c r="G1246" s="12"/>
      <c r="I1246" s="13"/>
      <c r="J1246" s="13"/>
      <c r="K1246" s="13"/>
      <c r="M1246" s="13"/>
      <c r="N1246" s="13"/>
      <c r="Q1246" s="13"/>
      <c r="V1246" s="13"/>
      <c r="Y1246" s="14"/>
      <c r="Z1246" s="14"/>
      <c r="AA1246" s="14"/>
      <c r="AB1246" s="14"/>
      <c r="AC1246" s="14"/>
      <c r="AD1246" s="14"/>
      <c r="AE1246" s="14"/>
      <c r="AF1246" s="13"/>
      <c r="AM1246" s="14"/>
      <c r="AN1246" s="11"/>
      <c r="AO1246" s="12"/>
      <c r="AP1246" s="11"/>
      <c r="AQ1246" s="11"/>
      <c r="AR1246" s="11"/>
      <c r="AS1246" s="11"/>
      <c r="AT1246" s="11"/>
    </row>
    <row r="1247" spans="1:46" ht="13">
      <c r="A1247" s="11"/>
      <c r="G1247" s="12"/>
      <c r="I1247" s="13"/>
      <c r="J1247" s="13"/>
      <c r="K1247" s="13"/>
      <c r="M1247" s="13"/>
      <c r="N1247" s="13"/>
      <c r="Q1247" s="13"/>
      <c r="V1247" s="13"/>
      <c r="Y1247" s="14"/>
      <c r="Z1247" s="14"/>
      <c r="AA1247" s="14"/>
      <c r="AB1247" s="14"/>
      <c r="AC1247" s="14"/>
      <c r="AD1247" s="14"/>
      <c r="AE1247" s="14"/>
      <c r="AF1247" s="13"/>
      <c r="AM1247" s="14"/>
      <c r="AN1247" s="11"/>
      <c r="AO1247" s="12"/>
      <c r="AP1247" s="11"/>
      <c r="AQ1247" s="11"/>
      <c r="AR1247" s="11"/>
      <c r="AS1247" s="11"/>
      <c r="AT1247" s="11"/>
    </row>
    <row r="1248" spans="1:46" ht="13">
      <c r="A1248" s="11"/>
      <c r="G1248" s="12"/>
      <c r="I1248" s="13"/>
      <c r="J1248" s="13"/>
      <c r="K1248" s="13"/>
      <c r="M1248" s="13"/>
      <c r="N1248" s="13"/>
      <c r="Q1248" s="13"/>
      <c r="V1248" s="13"/>
      <c r="Y1248" s="14"/>
      <c r="Z1248" s="14"/>
      <c r="AA1248" s="14"/>
      <c r="AB1248" s="14"/>
      <c r="AC1248" s="14"/>
      <c r="AD1248" s="14"/>
      <c r="AE1248" s="14"/>
      <c r="AF1248" s="13"/>
      <c r="AM1248" s="14"/>
      <c r="AN1248" s="11"/>
      <c r="AO1248" s="12"/>
      <c r="AP1248" s="11"/>
      <c r="AQ1248" s="11"/>
      <c r="AR1248" s="11"/>
      <c r="AS1248" s="11"/>
      <c r="AT1248" s="11"/>
    </row>
    <row r="1249" spans="1:46" ht="13">
      <c r="A1249" s="11"/>
      <c r="G1249" s="12"/>
      <c r="I1249" s="13"/>
      <c r="J1249" s="13"/>
      <c r="K1249" s="13"/>
      <c r="M1249" s="13"/>
      <c r="N1249" s="13"/>
      <c r="Q1249" s="13"/>
      <c r="V1249" s="13"/>
      <c r="Y1249" s="14"/>
      <c r="Z1249" s="14"/>
      <c r="AA1249" s="14"/>
      <c r="AB1249" s="14"/>
      <c r="AC1249" s="14"/>
      <c r="AD1249" s="14"/>
      <c r="AE1249" s="14"/>
      <c r="AF1249" s="13"/>
      <c r="AM1249" s="14"/>
      <c r="AN1249" s="11"/>
      <c r="AO1249" s="12"/>
      <c r="AP1249" s="11"/>
      <c r="AQ1249" s="11"/>
      <c r="AR1249" s="11"/>
      <c r="AS1249" s="11"/>
      <c r="AT1249" s="11"/>
    </row>
    <row r="1250" spans="1:46" ht="13">
      <c r="A1250" s="11"/>
      <c r="G1250" s="12"/>
      <c r="I1250" s="13"/>
      <c r="J1250" s="13"/>
      <c r="K1250" s="13"/>
      <c r="M1250" s="13"/>
      <c r="N1250" s="13"/>
      <c r="Q1250" s="13"/>
      <c r="V1250" s="13"/>
      <c r="Y1250" s="14"/>
      <c r="Z1250" s="14"/>
      <c r="AA1250" s="14"/>
      <c r="AB1250" s="14"/>
      <c r="AC1250" s="14"/>
      <c r="AD1250" s="14"/>
      <c r="AE1250" s="14"/>
      <c r="AF1250" s="13"/>
      <c r="AM1250" s="14"/>
      <c r="AN1250" s="11"/>
      <c r="AO1250" s="12"/>
      <c r="AP1250" s="11"/>
      <c r="AQ1250" s="11"/>
      <c r="AR1250" s="11"/>
      <c r="AS1250" s="11"/>
      <c r="AT1250" s="11"/>
    </row>
    <row r="1251" spans="1:46" ht="13">
      <c r="A1251" s="11"/>
      <c r="G1251" s="12"/>
      <c r="I1251" s="13"/>
      <c r="J1251" s="13"/>
      <c r="K1251" s="13"/>
      <c r="M1251" s="13"/>
      <c r="N1251" s="13"/>
      <c r="Q1251" s="13"/>
      <c r="V1251" s="13"/>
      <c r="Y1251" s="14"/>
      <c r="Z1251" s="14"/>
      <c r="AA1251" s="14"/>
      <c r="AB1251" s="14"/>
      <c r="AC1251" s="14"/>
      <c r="AD1251" s="14"/>
      <c r="AE1251" s="14"/>
      <c r="AF1251" s="13"/>
      <c r="AM1251" s="14"/>
      <c r="AN1251" s="11"/>
      <c r="AO1251" s="12"/>
      <c r="AP1251" s="11"/>
      <c r="AQ1251" s="11"/>
      <c r="AR1251" s="11"/>
      <c r="AS1251" s="11"/>
      <c r="AT1251" s="11"/>
    </row>
    <row r="1252" spans="1:46" ht="13">
      <c r="A1252" s="11"/>
      <c r="G1252" s="12"/>
      <c r="I1252" s="13"/>
      <c r="J1252" s="13"/>
      <c r="K1252" s="13"/>
      <c r="M1252" s="13"/>
      <c r="N1252" s="13"/>
      <c r="Q1252" s="13"/>
      <c r="V1252" s="13"/>
      <c r="Y1252" s="14"/>
      <c r="Z1252" s="14"/>
      <c r="AA1252" s="14"/>
      <c r="AB1252" s="14"/>
      <c r="AC1252" s="14"/>
      <c r="AD1252" s="14"/>
      <c r="AE1252" s="14"/>
      <c r="AF1252" s="13"/>
      <c r="AM1252" s="14"/>
      <c r="AN1252" s="11"/>
      <c r="AO1252" s="12"/>
      <c r="AP1252" s="11"/>
      <c r="AQ1252" s="11"/>
      <c r="AR1252" s="11"/>
      <c r="AS1252" s="11"/>
      <c r="AT1252" s="11"/>
    </row>
    <row r="1253" spans="1:46" ht="13">
      <c r="A1253" s="11"/>
      <c r="G1253" s="12"/>
      <c r="I1253" s="13"/>
      <c r="J1253" s="13"/>
      <c r="K1253" s="13"/>
      <c r="M1253" s="13"/>
      <c r="N1253" s="13"/>
      <c r="Q1253" s="13"/>
      <c r="V1253" s="13"/>
      <c r="Y1253" s="14"/>
      <c r="Z1253" s="14"/>
      <c r="AA1253" s="14"/>
      <c r="AB1253" s="14"/>
      <c r="AC1253" s="14"/>
      <c r="AD1253" s="14"/>
      <c r="AE1253" s="14"/>
      <c r="AF1253" s="13"/>
      <c r="AM1253" s="14"/>
      <c r="AN1253" s="11"/>
      <c r="AO1253" s="12"/>
      <c r="AP1253" s="11"/>
      <c r="AQ1253" s="11"/>
      <c r="AR1253" s="11"/>
      <c r="AS1253" s="11"/>
      <c r="AT1253" s="11"/>
    </row>
    <row r="1254" spans="1:46" ht="13">
      <c r="A1254" s="11"/>
      <c r="G1254" s="12"/>
      <c r="I1254" s="13"/>
      <c r="J1254" s="13"/>
      <c r="K1254" s="13"/>
      <c r="M1254" s="13"/>
      <c r="N1254" s="13"/>
      <c r="Q1254" s="13"/>
      <c r="V1254" s="13"/>
      <c r="Y1254" s="14"/>
      <c r="Z1254" s="14"/>
      <c r="AA1254" s="14"/>
      <c r="AB1254" s="14"/>
      <c r="AC1254" s="14"/>
      <c r="AD1254" s="14"/>
      <c r="AE1254" s="14"/>
      <c r="AF1254" s="13"/>
      <c r="AM1254" s="14"/>
      <c r="AN1254" s="11"/>
      <c r="AO1254" s="12"/>
      <c r="AP1254" s="11"/>
      <c r="AQ1254" s="11"/>
      <c r="AR1254" s="11"/>
      <c r="AS1254" s="11"/>
      <c r="AT1254" s="11"/>
    </row>
    <row r="1255" spans="1:46" ht="13">
      <c r="A1255" s="11"/>
      <c r="G1255" s="12"/>
      <c r="I1255" s="13"/>
      <c r="J1255" s="13"/>
      <c r="K1255" s="13"/>
      <c r="M1255" s="13"/>
      <c r="N1255" s="13"/>
      <c r="Q1255" s="13"/>
      <c r="V1255" s="13"/>
      <c r="Y1255" s="14"/>
      <c r="Z1255" s="14"/>
      <c r="AA1255" s="14"/>
      <c r="AB1255" s="14"/>
      <c r="AC1255" s="14"/>
      <c r="AD1255" s="14"/>
      <c r="AE1255" s="14"/>
      <c r="AF1255" s="13"/>
      <c r="AM1255" s="14"/>
      <c r="AN1255" s="11"/>
      <c r="AO1255" s="12"/>
      <c r="AP1255" s="11"/>
      <c r="AQ1255" s="11"/>
      <c r="AR1255" s="11"/>
      <c r="AS1255" s="11"/>
      <c r="AT1255" s="11"/>
    </row>
    <row r="1256" spans="1:46" ht="13">
      <c r="A1256" s="11"/>
      <c r="G1256" s="12"/>
      <c r="I1256" s="13"/>
      <c r="J1256" s="13"/>
      <c r="K1256" s="13"/>
      <c r="M1256" s="13"/>
      <c r="N1256" s="13"/>
      <c r="Q1256" s="13"/>
      <c r="V1256" s="13"/>
      <c r="Y1256" s="14"/>
      <c r="Z1256" s="14"/>
      <c r="AA1256" s="14"/>
      <c r="AB1256" s="14"/>
      <c r="AC1256" s="14"/>
      <c r="AD1256" s="14"/>
      <c r="AE1256" s="14"/>
      <c r="AF1256" s="13"/>
      <c r="AM1256" s="14"/>
      <c r="AN1256" s="11"/>
      <c r="AO1256" s="12"/>
      <c r="AP1256" s="11"/>
      <c r="AQ1256" s="11"/>
      <c r="AR1256" s="11"/>
      <c r="AS1256" s="11"/>
      <c r="AT1256" s="11"/>
    </row>
    <row r="1257" spans="1:46" ht="13">
      <c r="A1257" s="11"/>
      <c r="G1257" s="12"/>
      <c r="I1257" s="13"/>
      <c r="J1257" s="13"/>
      <c r="K1257" s="13"/>
      <c r="M1257" s="13"/>
      <c r="N1257" s="13"/>
      <c r="Q1257" s="13"/>
      <c r="V1257" s="13"/>
      <c r="Y1257" s="14"/>
      <c r="Z1257" s="14"/>
      <c r="AA1257" s="14"/>
      <c r="AB1257" s="14"/>
      <c r="AC1257" s="14"/>
      <c r="AD1257" s="14"/>
      <c r="AE1257" s="14"/>
      <c r="AF1257" s="13"/>
      <c r="AM1257" s="14"/>
      <c r="AN1257" s="11"/>
      <c r="AO1257" s="12"/>
      <c r="AP1257" s="11"/>
      <c r="AQ1257" s="11"/>
      <c r="AR1257" s="11"/>
      <c r="AS1257" s="11"/>
      <c r="AT1257" s="11"/>
    </row>
    <row r="1258" spans="1:46" ht="13">
      <c r="A1258" s="11"/>
      <c r="G1258" s="12"/>
      <c r="I1258" s="13"/>
      <c r="J1258" s="13"/>
      <c r="K1258" s="13"/>
      <c r="M1258" s="13"/>
      <c r="N1258" s="13"/>
      <c r="Q1258" s="13"/>
      <c r="V1258" s="13"/>
      <c r="Y1258" s="14"/>
      <c r="Z1258" s="14"/>
      <c r="AA1258" s="14"/>
      <c r="AB1258" s="14"/>
      <c r="AC1258" s="14"/>
      <c r="AD1258" s="14"/>
      <c r="AE1258" s="14"/>
      <c r="AF1258" s="13"/>
      <c r="AM1258" s="14"/>
      <c r="AN1258" s="11"/>
      <c r="AO1258" s="12"/>
      <c r="AP1258" s="11"/>
      <c r="AQ1258" s="11"/>
      <c r="AR1258" s="11"/>
      <c r="AS1258" s="11"/>
      <c r="AT1258" s="11"/>
    </row>
    <row r="1259" spans="1:46" ht="13">
      <c r="A1259" s="11"/>
      <c r="G1259" s="12"/>
      <c r="I1259" s="13"/>
      <c r="J1259" s="13"/>
      <c r="K1259" s="13"/>
      <c r="M1259" s="13"/>
      <c r="N1259" s="13"/>
      <c r="Q1259" s="13"/>
      <c r="V1259" s="13"/>
      <c r="Y1259" s="14"/>
      <c r="Z1259" s="14"/>
      <c r="AA1259" s="14"/>
      <c r="AB1259" s="14"/>
      <c r="AC1259" s="14"/>
      <c r="AD1259" s="14"/>
      <c r="AE1259" s="14"/>
      <c r="AF1259" s="13"/>
      <c r="AM1259" s="14"/>
      <c r="AN1259" s="11"/>
      <c r="AO1259" s="12"/>
      <c r="AP1259" s="11"/>
      <c r="AQ1259" s="11"/>
      <c r="AR1259" s="11"/>
      <c r="AS1259" s="11"/>
      <c r="AT1259" s="11"/>
    </row>
    <row r="1260" spans="1:46" ht="13">
      <c r="A1260" s="11"/>
      <c r="G1260" s="12"/>
      <c r="I1260" s="13"/>
      <c r="J1260" s="13"/>
      <c r="K1260" s="13"/>
      <c r="M1260" s="13"/>
      <c r="N1260" s="13"/>
      <c r="Q1260" s="13"/>
      <c r="V1260" s="13"/>
      <c r="Y1260" s="14"/>
      <c r="Z1260" s="14"/>
      <c r="AA1260" s="14"/>
      <c r="AB1260" s="14"/>
      <c r="AC1260" s="14"/>
      <c r="AD1260" s="14"/>
      <c r="AE1260" s="14"/>
      <c r="AF1260" s="13"/>
      <c r="AM1260" s="14"/>
      <c r="AN1260" s="11"/>
      <c r="AO1260" s="12"/>
      <c r="AP1260" s="11"/>
      <c r="AQ1260" s="11"/>
      <c r="AR1260" s="11"/>
      <c r="AS1260" s="11"/>
      <c r="AT1260" s="11"/>
    </row>
    <row r="1261" spans="1:46" ht="13">
      <c r="A1261" s="11"/>
      <c r="G1261" s="12"/>
      <c r="I1261" s="13"/>
      <c r="J1261" s="13"/>
      <c r="K1261" s="13"/>
      <c r="M1261" s="13"/>
      <c r="N1261" s="13"/>
      <c r="Q1261" s="13"/>
      <c r="V1261" s="13"/>
      <c r="Y1261" s="14"/>
      <c r="Z1261" s="14"/>
      <c r="AA1261" s="14"/>
      <c r="AB1261" s="14"/>
      <c r="AC1261" s="14"/>
      <c r="AD1261" s="14"/>
      <c r="AE1261" s="14"/>
      <c r="AF1261" s="13"/>
      <c r="AM1261" s="14"/>
      <c r="AN1261" s="11"/>
      <c r="AO1261" s="12"/>
      <c r="AP1261" s="11"/>
      <c r="AQ1261" s="11"/>
      <c r="AR1261" s="11"/>
      <c r="AS1261" s="11"/>
      <c r="AT1261" s="11"/>
    </row>
    <row r="1262" spans="1:46" ht="13">
      <c r="A1262" s="11"/>
      <c r="G1262" s="12"/>
      <c r="I1262" s="13"/>
      <c r="J1262" s="13"/>
      <c r="K1262" s="13"/>
      <c r="M1262" s="13"/>
      <c r="N1262" s="13"/>
      <c r="Q1262" s="13"/>
      <c r="V1262" s="13"/>
      <c r="Y1262" s="14"/>
      <c r="Z1262" s="14"/>
      <c r="AA1262" s="14"/>
      <c r="AB1262" s="14"/>
      <c r="AC1262" s="14"/>
      <c r="AD1262" s="14"/>
      <c r="AE1262" s="14"/>
      <c r="AF1262" s="13"/>
      <c r="AM1262" s="14"/>
      <c r="AN1262" s="11"/>
      <c r="AO1262" s="12"/>
      <c r="AP1262" s="11"/>
      <c r="AQ1262" s="11"/>
      <c r="AR1262" s="11"/>
      <c r="AS1262" s="11"/>
      <c r="AT1262" s="11"/>
    </row>
    <row r="1263" spans="1:46" ht="13">
      <c r="A1263" s="11"/>
      <c r="G1263" s="12"/>
      <c r="I1263" s="13"/>
      <c r="J1263" s="13"/>
      <c r="K1263" s="13"/>
      <c r="M1263" s="13"/>
      <c r="N1263" s="13"/>
      <c r="Q1263" s="13"/>
      <c r="V1263" s="13"/>
      <c r="Y1263" s="14"/>
      <c r="Z1263" s="14"/>
      <c r="AA1263" s="14"/>
      <c r="AB1263" s="14"/>
      <c r="AC1263" s="14"/>
      <c r="AD1263" s="14"/>
      <c r="AE1263" s="14"/>
      <c r="AF1263" s="13"/>
      <c r="AM1263" s="14"/>
      <c r="AN1263" s="11"/>
      <c r="AO1263" s="12"/>
      <c r="AP1263" s="11"/>
      <c r="AQ1263" s="11"/>
      <c r="AR1263" s="11"/>
      <c r="AS1263" s="11"/>
      <c r="AT1263" s="11"/>
    </row>
    <row r="1264" spans="1:46" ht="13">
      <c r="A1264" s="11"/>
      <c r="G1264" s="12"/>
      <c r="I1264" s="13"/>
      <c r="J1264" s="13"/>
      <c r="K1264" s="13"/>
      <c r="M1264" s="13"/>
      <c r="N1264" s="13"/>
      <c r="Q1264" s="13"/>
      <c r="V1264" s="13"/>
      <c r="Y1264" s="14"/>
      <c r="Z1264" s="14"/>
      <c r="AA1264" s="14"/>
      <c r="AB1264" s="14"/>
      <c r="AC1264" s="14"/>
      <c r="AD1264" s="14"/>
      <c r="AE1264" s="14"/>
      <c r="AF1264" s="13"/>
      <c r="AM1264" s="14"/>
      <c r="AN1264" s="11"/>
      <c r="AO1264" s="12"/>
      <c r="AP1264" s="11"/>
      <c r="AQ1264" s="11"/>
      <c r="AR1264" s="11"/>
      <c r="AS1264" s="11"/>
      <c r="AT1264" s="11"/>
    </row>
    <row r="1265" spans="1:46" ht="13">
      <c r="A1265" s="11"/>
      <c r="G1265" s="12"/>
      <c r="I1265" s="13"/>
      <c r="J1265" s="13"/>
      <c r="K1265" s="13"/>
      <c r="M1265" s="13"/>
      <c r="N1265" s="13"/>
      <c r="Q1265" s="13"/>
      <c r="V1265" s="13"/>
      <c r="Y1265" s="14"/>
      <c r="Z1265" s="14"/>
      <c r="AA1265" s="14"/>
      <c r="AB1265" s="14"/>
      <c r="AC1265" s="14"/>
      <c r="AD1265" s="14"/>
      <c r="AE1265" s="14"/>
      <c r="AF1265" s="13"/>
      <c r="AM1265" s="14"/>
      <c r="AN1265" s="11"/>
      <c r="AO1265" s="12"/>
      <c r="AP1265" s="11"/>
      <c r="AQ1265" s="11"/>
      <c r="AR1265" s="11"/>
      <c r="AS1265" s="11"/>
      <c r="AT1265" s="11"/>
    </row>
    <row r="1266" spans="1:46" ht="13">
      <c r="A1266" s="11"/>
      <c r="G1266" s="12"/>
      <c r="I1266" s="13"/>
      <c r="J1266" s="13"/>
      <c r="K1266" s="13"/>
      <c r="M1266" s="13"/>
      <c r="N1266" s="13"/>
      <c r="Q1266" s="13"/>
      <c r="V1266" s="13"/>
      <c r="Y1266" s="14"/>
      <c r="Z1266" s="14"/>
      <c r="AA1266" s="14"/>
      <c r="AB1266" s="14"/>
      <c r="AC1266" s="14"/>
      <c r="AD1266" s="14"/>
      <c r="AE1266" s="14"/>
      <c r="AF1266" s="13"/>
      <c r="AM1266" s="14"/>
      <c r="AN1266" s="11"/>
      <c r="AO1266" s="12"/>
      <c r="AP1266" s="11"/>
      <c r="AQ1266" s="11"/>
      <c r="AR1266" s="11"/>
      <c r="AS1266" s="11"/>
      <c r="AT1266" s="11"/>
    </row>
    <row r="1267" spans="1:46" ht="13">
      <c r="A1267" s="11"/>
      <c r="G1267" s="12"/>
      <c r="I1267" s="13"/>
      <c r="J1267" s="13"/>
      <c r="K1267" s="13"/>
      <c r="M1267" s="13"/>
      <c r="N1267" s="13"/>
      <c r="Q1267" s="13"/>
      <c r="V1267" s="13"/>
      <c r="Y1267" s="14"/>
      <c r="Z1267" s="14"/>
      <c r="AA1267" s="14"/>
      <c r="AB1267" s="14"/>
      <c r="AC1267" s="14"/>
      <c r="AD1267" s="14"/>
      <c r="AE1267" s="14"/>
      <c r="AF1267" s="13"/>
      <c r="AM1267" s="14"/>
      <c r="AN1267" s="11"/>
      <c r="AO1267" s="12"/>
      <c r="AP1267" s="11"/>
      <c r="AQ1267" s="11"/>
      <c r="AR1267" s="11"/>
      <c r="AS1267" s="11"/>
      <c r="AT1267" s="11"/>
    </row>
    <row r="1268" spans="1:46" ht="13">
      <c r="A1268" s="11"/>
      <c r="G1268" s="12"/>
      <c r="I1268" s="13"/>
      <c r="J1268" s="13"/>
      <c r="K1268" s="13"/>
      <c r="M1268" s="13"/>
      <c r="N1268" s="13"/>
      <c r="Q1268" s="13"/>
      <c r="V1268" s="13"/>
      <c r="Y1268" s="14"/>
      <c r="Z1268" s="14"/>
      <c r="AA1268" s="14"/>
      <c r="AB1268" s="14"/>
      <c r="AC1268" s="14"/>
      <c r="AD1268" s="14"/>
      <c r="AE1268" s="14"/>
      <c r="AF1268" s="13"/>
      <c r="AM1268" s="14"/>
      <c r="AN1268" s="11"/>
      <c r="AO1268" s="12"/>
      <c r="AP1268" s="11"/>
      <c r="AQ1268" s="11"/>
      <c r="AR1268" s="11"/>
      <c r="AS1268" s="11"/>
      <c r="AT1268" s="11"/>
    </row>
    <row r="1269" spans="1:46" ht="13">
      <c r="A1269" s="11"/>
      <c r="G1269" s="12"/>
      <c r="I1269" s="13"/>
      <c r="J1269" s="13"/>
      <c r="K1269" s="13"/>
      <c r="M1269" s="13"/>
      <c r="N1269" s="13"/>
      <c r="Q1269" s="13"/>
      <c r="V1269" s="13"/>
      <c r="Y1269" s="14"/>
      <c r="Z1269" s="14"/>
      <c r="AA1269" s="14"/>
      <c r="AB1269" s="14"/>
      <c r="AC1269" s="14"/>
      <c r="AD1269" s="14"/>
      <c r="AE1269" s="14"/>
      <c r="AF1269" s="13"/>
      <c r="AM1269" s="14"/>
      <c r="AN1269" s="11"/>
      <c r="AO1269" s="12"/>
      <c r="AP1269" s="11"/>
      <c r="AQ1269" s="11"/>
      <c r="AR1269" s="11"/>
      <c r="AS1269" s="11"/>
      <c r="AT1269" s="11"/>
    </row>
    <row r="1270" spans="1:46" ht="13">
      <c r="A1270" s="11"/>
      <c r="G1270" s="12"/>
      <c r="I1270" s="13"/>
      <c r="J1270" s="13"/>
      <c r="K1270" s="13"/>
      <c r="M1270" s="13"/>
      <c r="N1270" s="13"/>
      <c r="Q1270" s="13"/>
      <c r="V1270" s="13"/>
      <c r="Y1270" s="14"/>
      <c r="Z1270" s="14"/>
      <c r="AA1270" s="14"/>
      <c r="AB1270" s="14"/>
      <c r="AC1270" s="14"/>
      <c r="AD1270" s="14"/>
      <c r="AE1270" s="14"/>
      <c r="AF1270" s="13"/>
      <c r="AM1270" s="14"/>
      <c r="AN1270" s="11"/>
      <c r="AO1270" s="12"/>
      <c r="AP1270" s="11"/>
      <c r="AQ1270" s="11"/>
      <c r="AR1270" s="11"/>
      <c r="AS1270" s="11"/>
      <c r="AT1270" s="11"/>
    </row>
    <row r="1271" spans="1:46" ht="13">
      <c r="A1271" s="11"/>
      <c r="G1271" s="12"/>
      <c r="I1271" s="13"/>
      <c r="J1271" s="13"/>
      <c r="K1271" s="13"/>
      <c r="M1271" s="13"/>
      <c r="N1271" s="13"/>
      <c r="Q1271" s="13"/>
      <c r="V1271" s="13"/>
      <c r="Y1271" s="14"/>
      <c r="Z1271" s="14"/>
      <c r="AA1271" s="14"/>
      <c r="AB1271" s="14"/>
      <c r="AC1271" s="14"/>
      <c r="AD1271" s="14"/>
      <c r="AE1271" s="14"/>
      <c r="AF1271" s="13"/>
      <c r="AM1271" s="14"/>
      <c r="AN1271" s="11"/>
      <c r="AO1271" s="12"/>
      <c r="AP1271" s="11"/>
      <c r="AQ1271" s="11"/>
      <c r="AR1271" s="11"/>
      <c r="AS1271" s="11"/>
      <c r="AT1271" s="11"/>
    </row>
    <row r="1272" spans="1:46" ht="13">
      <c r="A1272" s="11"/>
      <c r="G1272" s="12"/>
      <c r="I1272" s="13"/>
      <c r="J1272" s="13"/>
      <c r="K1272" s="13"/>
      <c r="M1272" s="13"/>
      <c r="N1272" s="13"/>
      <c r="Q1272" s="13"/>
      <c r="V1272" s="13"/>
      <c r="Y1272" s="14"/>
      <c r="Z1272" s="14"/>
      <c r="AA1272" s="14"/>
      <c r="AB1272" s="14"/>
      <c r="AC1272" s="14"/>
      <c r="AD1272" s="14"/>
      <c r="AE1272" s="14"/>
      <c r="AF1272" s="13"/>
      <c r="AM1272" s="14"/>
      <c r="AN1272" s="11"/>
      <c r="AO1272" s="12"/>
      <c r="AP1272" s="11"/>
      <c r="AQ1272" s="11"/>
      <c r="AR1272" s="11"/>
      <c r="AS1272" s="11"/>
      <c r="AT1272" s="11"/>
    </row>
    <row r="1273" spans="1:46" ht="13">
      <c r="A1273" s="11"/>
      <c r="G1273" s="12"/>
      <c r="I1273" s="13"/>
      <c r="J1273" s="13"/>
      <c r="K1273" s="13"/>
      <c r="M1273" s="13"/>
      <c r="N1273" s="13"/>
      <c r="Q1273" s="13"/>
      <c r="V1273" s="13"/>
      <c r="Y1273" s="14"/>
      <c r="Z1273" s="14"/>
      <c r="AA1273" s="14"/>
      <c r="AB1273" s="14"/>
      <c r="AC1273" s="14"/>
      <c r="AD1273" s="14"/>
      <c r="AE1273" s="14"/>
      <c r="AF1273" s="13"/>
      <c r="AM1273" s="14"/>
      <c r="AN1273" s="11"/>
      <c r="AO1273" s="12"/>
      <c r="AP1273" s="11"/>
      <c r="AQ1273" s="11"/>
      <c r="AR1273" s="11"/>
      <c r="AS1273" s="11"/>
      <c r="AT1273" s="11"/>
    </row>
    <row r="1274" spans="1:46" ht="13">
      <c r="A1274" s="11"/>
      <c r="G1274" s="12"/>
      <c r="I1274" s="13"/>
      <c r="J1274" s="13"/>
      <c r="K1274" s="13"/>
      <c r="M1274" s="13"/>
      <c r="N1274" s="13"/>
      <c r="Q1274" s="13"/>
      <c r="V1274" s="13"/>
      <c r="Y1274" s="14"/>
      <c r="Z1274" s="14"/>
      <c r="AA1274" s="14"/>
      <c r="AB1274" s="14"/>
      <c r="AC1274" s="14"/>
      <c r="AD1274" s="14"/>
      <c r="AE1274" s="14"/>
      <c r="AF1274" s="13"/>
      <c r="AM1274" s="14"/>
      <c r="AN1274" s="11"/>
      <c r="AO1274" s="12"/>
      <c r="AP1274" s="11"/>
      <c r="AQ1274" s="11"/>
      <c r="AR1274" s="11"/>
      <c r="AS1274" s="11"/>
      <c r="AT1274" s="11"/>
    </row>
    <row r="1275" spans="1:46" ht="13">
      <c r="A1275" s="11"/>
      <c r="G1275" s="12"/>
      <c r="I1275" s="13"/>
      <c r="J1275" s="13"/>
      <c r="K1275" s="13"/>
      <c r="M1275" s="13"/>
      <c r="N1275" s="13"/>
      <c r="Q1275" s="13"/>
      <c r="V1275" s="13"/>
      <c r="Y1275" s="14"/>
      <c r="Z1275" s="14"/>
      <c r="AA1275" s="14"/>
      <c r="AB1275" s="14"/>
      <c r="AC1275" s="14"/>
      <c r="AD1275" s="14"/>
      <c r="AE1275" s="14"/>
      <c r="AF1275" s="13"/>
      <c r="AM1275" s="14"/>
      <c r="AN1275" s="11"/>
      <c r="AO1275" s="12"/>
      <c r="AP1275" s="11"/>
      <c r="AQ1275" s="11"/>
      <c r="AR1275" s="11"/>
      <c r="AS1275" s="11"/>
      <c r="AT1275" s="11"/>
    </row>
    <row r="1276" spans="1:46" ht="13">
      <c r="A1276" s="11"/>
      <c r="G1276" s="12"/>
      <c r="I1276" s="13"/>
      <c r="J1276" s="13"/>
      <c r="K1276" s="13"/>
      <c r="M1276" s="13"/>
      <c r="N1276" s="13"/>
      <c r="Q1276" s="13"/>
      <c r="V1276" s="13"/>
      <c r="Y1276" s="14"/>
      <c r="Z1276" s="14"/>
      <c r="AA1276" s="14"/>
      <c r="AB1276" s="14"/>
      <c r="AC1276" s="14"/>
      <c r="AD1276" s="14"/>
      <c r="AE1276" s="14"/>
      <c r="AF1276" s="13"/>
      <c r="AM1276" s="14"/>
      <c r="AN1276" s="11"/>
      <c r="AO1276" s="12"/>
      <c r="AP1276" s="11"/>
      <c r="AQ1276" s="11"/>
      <c r="AR1276" s="11"/>
      <c r="AS1276" s="11"/>
      <c r="AT1276" s="11"/>
    </row>
    <row r="1277" spans="1:46" ht="13">
      <c r="A1277" s="11"/>
      <c r="G1277" s="12"/>
      <c r="I1277" s="13"/>
      <c r="J1277" s="13"/>
      <c r="K1277" s="13"/>
      <c r="M1277" s="13"/>
      <c r="N1277" s="13"/>
      <c r="Q1277" s="13"/>
      <c r="V1277" s="13"/>
      <c r="Y1277" s="14"/>
      <c r="Z1277" s="14"/>
      <c r="AA1277" s="14"/>
      <c r="AB1277" s="14"/>
      <c r="AC1277" s="14"/>
      <c r="AD1277" s="14"/>
      <c r="AE1277" s="14"/>
      <c r="AF1277" s="13"/>
      <c r="AM1277" s="14"/>
      <c r="AN1277" s="11"/>
      <c r="AO1277" s="12"/>
      <c r="AP1277" s="11"/>
      <c r="AQ1277" s="11"/>
      <c r="AR1277" s="11"/>
      <c r="AS1277" s="11"/>
      <c r="AT1277" s="11"/>
    </row>
    <row r="1278" spans="1:46" ht="13">
      <c r="A1278" s="11"/>
      <c r="G1278" s="12"/>
      <c r="I1278" s="13"/>
      <c r="J1278" s="13"/>
      <c r="K1278" s="13"/>
      <c r="M1278" s="13"/>
      <c r="N1278" s="13"/>
      <c r="Q1278" s="13"/>
      <c r="V1278" s="13"/>
      <c r="Y1278" s="14"/>
      <c r="Z1278" s="14"/>
      <c r="AA1278" s="14"/>
      <c r="AB1278" s="14"/>
      <c r="AC1278" s="14"/>
      <c r="AD1278" s="14"/>
      <c r="AE1278" s="14"/>
      <c r="AF1278" s="13"/>
      <c r="AM1278" s="14"/>
      <c r="AN1278" s="11"/>
      <c r="AO1278" s="12"/>
      <c r="AP1278" s="11"/>
      <c r="AQ1278" s="11"/>
      <c r="AR1278" s="11"/>
      <c r="AS1278" s="11"/>
      <c r="AT1278" s="11"/>
    </row>
    <row r="1279" spans="1:46" ht="13">
      <c r="A1279" s="11"/>
      <c r="G1279" s="12"/>
      <c r="I1279" s="13"/>
      <c r="J1279" s="13"/>
      <c r="K1279" s="13"/>
      <c r="M1279" s="13"/>
      <c r="N1279" s="13"/>
      <c r="Q1279" s="13"/>
      <c r="V1279" s="13"/>
      <c r="Y1279" s="14"/>
      <c r="Z1279" s="14"/>
      <c r="AA1279" s="14"/>
      <c r="AB1279" s="14"/>
      <c r="AC1279" s="14"/>
      <c r="AD1279" s="14"/>
      <c r="AE1279" s="14"/>
      <c r="AF1279" s="13"/>
      <c r="AM1279" s="14"/>
      <c r="AN1279" s="11"/>
      <c r="AO1279" s="12"/>
      <c r="AP1279" s="11"/>
      <c r="AQ1279" s="11"/>
      <c r="AR1279" s="11"/>
      <c r="AS1279" s="11"/>
      <c r="AT1279" s="11"/>
    </row>
    <row r="1280" spans="1:46" ht="13">
      <c r="A1280" s="11"/>
      <c r="G1280" s="12"/>
      <c r="I1280" s="13"/>
      <c r="J1280" s="13"/>
      <c r="K1280" s="13"/>
      <c r="M1280" s="13"/>
      <c r="N1280" s="13"/>
      <c r="Q1280" s="13"/>
      <c r="V1280" s="13"/>
      <c r="Y1280" s="14"/>
      <c r="Z1280" s="14"/>
      <c r="AA1280" s="14"/>
      <c r="AB1280" s="14"/>
      <c r="AC1280" s="14"/>
      <c r="AD1280" s="14"/>
      <c r="AE1280" s="14"/>
      <c r="AF1280" s="13"/>
      <c r="AM1280" s="14"/>
      <c r="AN1280" s="11"/>
      <c r="AO1280" s="12"/>
      <c r="AP1280" s="11"/>
      <c r="AQ1280" s="11"/>
      <c r="AR1280" s="11"/>
      <c r="AS1280" s="11"/>
      <c r="AT1280" s="11"/>
    </row>
    <row r="1281" spans="1:46" ht="13">
      <c r="A1281" s="11"/>
      <c r="G1281" s="12"/>
      <c r="I1281" s="13"/>
      <c r="J1281" s="13"/>
      <c r="K1281" s="13"/>
      <c r="M1281" s="13"/>
      <c r="N1281" s="13"/>
      <c r="Q1281" s="13"/>
      <c r="V1281" s="13"/>
      <c r="Y1281" s="14"/>
      <c r="Z1281" s="14"/>
      <c r="AA1281" s="14"/>
      <c r="AB1281" s="14"/>
      <c r="AC1281" s="14"/>
      <c r="AD1281" s="14"/>
      <c r="AE1281" s="14"/>
      <c r="AF1281" s="13"/>
      <c r="AM1281" s="14"/>
      <c r="AN1281" s="11"/>
      <c r="AO1281" s="12"/>
      <c r="AP1281" s="11"/>
      <c r="AQ1281" s="11"/>
      <c r="AR1281" s="11"/>
      <c r="AS1281" s="11"/>
      <c r="AT1281" s="11"/>
    </row>
    <row r="1282" spans="1:46" ht="13">
      <c r="A1282" s="11"/>
      <c r="G1282" s="12"/>
      <c r="I1282" s="13"/>
      <c r="J1282" s="13"/>
      <c r="K1282" s="13"/>
      <c r="M1282" s="13"/>
      <c r="N1282" s="13"/>
      <c r="Q1282" s="13"/>
      <c r="V1282" s="13"/>
      <c r="Y1282" s="14"/>
      <c r="Z1282" s="14"/>
      <c r="AA1282" s="14"/>
      <c r="AB1282" s="14"/>
      <c r="AC1282" s="14"/>
      <c r="AD1282" s="14"/>
      <c r="AE1282" s="14"/>
      <c r="AF1282" s="13"/>
      <c r="AM1282" s="14"/>
      <c r="AN1282" s="11"/>
      <c r="AO1282" s="12"/>
      <c r="AP1282" s="11"/>
      <c r="AQ1282" s="11"/>
      <c r="AR1282" s="11"/>
      <c r="AS1282" s="11"/>
      <c r="AT1282" s="11"/>
    </row>
    <row r="1283" spans="1:46" ht="13">
      <c r="A1283" s="11"/>
      <c r="G1283" s="12"/>
      <c r="I1283" s="13"/>
      <c r="J1283" s="13"/>
      <c r="K1283" s="13"/>
      <c r="M1283" s="13"/>
      <c r="N1283" s="13"/>
      <c r="Q1283" s="13"/>
      <c r="V1283" s="13"/>
      <c r="Y1283" s="14"/>
      <c r="Z1283" s="14"/>
      <c r="AA1283" s="14"/>
      <c r="AB1283" s="14"/>
      <c r="AC1283" s="14"/>
      <c r="AD1283" s="14"/>
      <c r="AE1283" s="14"/>
      <c r="AF1283" s="13"/>
      <c r="AM1283" s="14"/>
      <c r="AN1283" s="11"/>
      <c r="AO1283" s="12"/>
      <c r="AP1283" s="11"/>
      <c r="AQ1283" s="11"/>
      <c r="AR1283" s="11"/>
      <c r="AS1283" s="11"/>
      <c r="AT1283" s="11"/>
    </row>
    <row r="1284" spans="1:46" ht="13">
      <c r="A1284" s="11"/>
      <c r="G1284" s="12"/>
      <c r="I1284" s="13"/>
      <c r="J1284" s="13"/>
      <c r="K1284" s="13"/>
      <c r="M1284" s="13"/>
      <c r="N1284" s="13"/>
      <c r="Q1284" s="13"/>
      <c r="V1284" s="13"/>
      <c r="Y1284" s="14"/>
      <c r="Z1284" s="14"/>
      <c r="AA1284" s="14"/>
      <c r="AB1284" s="14"/>
      <c r="AC1284" s="14"/>
      <c r="AD1284" s="14"/>
      <c r="AE1284" s="14"/>
      <c r="AF1284" s="13"/>
      <c r="AM1284" s="14"/>
      <c r="AN1284" s="11"/>
      <c r="AO1284" s="12"/>
      <c r="AP1284" s="11"/>
      <c r="AQ1284" s="11"/>
      <c r="AR1284" s="11"/>
      <c r="AS1284" s="11"/>
      <c r="AT1284" s="11"/>
    </row>
    <row r="1285" spans="1:46" ht="13">
      <c r="A1285" s="11"/>
      <c r="G1285" s="12"/>
      <c r="I1285" s="13"/>
      <c r="J1285" s="13"/>
      <c r="K1285" s="13"/>
      <c r="M1285" s="13"/>
      <c r="N1285" s="13"/>
      <c r="Q1285" s="13"/>
      <c r="V1285" s="13"/>
      <c r="Y1285" s="14"/>
      <c r="Z1285" s="14"/>
      <c r="AA1285" s="14"/>
      <c r="AB1285" s="14"/>
      <c r="AC1285" s="14"/>
      <c r="AD1285" s="14"/>
      <c r="AE1285" s="14"/>
      <c r="AF1285" s="13"/>
      <c r="AM1285" s="14"/>
      <c r="AN1285" s="11"/>
      <c r="AO1285" s="12"/>
      <c r="AP1285" s="11"/>
      <c r="AQ1285" s="11"/>
      <c r="AR1285" s="11"/>
      <c r="AS1285" s="11"/>
      <c r="AT1285" s="11"/>
    </row>
    <row r="1286" spans="1:46" ht="13">
      <c r="A1286" s="11"/>
      <c r="G1286" s="12"/>
      <c r="I1286" s="13"/>
      <c r="J1286" s="13"/>
      <c r="K1286" s="13"/>
      <c r="M1286" s="13"/>
      <c r="N1286" s="13"/>
      <c r="Q1286" s="13"/>
      <c r="V1286" s="13"/>
      <c r="Y1286" s="14"/>
      <c r="Z1286" s="14"/>
      <c r="AA1286" s="14"/>
      <c r="AB1286" s="14"/>
      <c r="AC1286" s="14"/>
      <c r="AD1286" s="14"/>
      <c r="AE1286" s="14"/>
      <c r="AF1286" s="13"/>
      <c r="AM1286" s="14"/>
      <c r="AN1286" s="11"/>
      <c r="AO1286" s="12"/>
      <c r="AP1286" s="11"/>
      <c r="AQ1286" s="11"/>
      <c r="AR1286" s="11"/>
      <c r="AS1286" s="11"/>
      <c r="AT1286" s="11"/>
    </row>
    <row r="1287" spans="1:46" ht="13">
      <c r="A1287" s="11"/>
      <c r="G1287" s="12"/>
      <c r="I1287" s="13"/>
      <c r="J1287" s="13"/>
      <c r="K1287" s="13"/>
      <c r="M1287" s="13"/>
      <c r="N1287" s="13"/>
      <c r="Q1287" s="13"/>
      <c r="V1287" s="13"/>
      <c r="Y1287" s="14"/>
      <c r="Z1287" s="14"/>
      <c r="AA1287" s="14"/>
      <c r="AB1287" s="14"/>
      <c r="AC1287" s="14"/>
      <c r="AD1287" s="14"/>
      <c r="AE1287" s="14"/>
      <c r="AF1287" s="13"/>
      <c r="AM1287" s="14"/>
      <c r="AN1287" s="11"/>
      <c r="AO1287" s="12"/>
      <c r="AP1287" s="11"/>
      <c r="AQ1287" s="11"/>
      <c r="AR1287" s="11"/>
      <c r="AS1287" s="11"/>
      <c r="AT1287" s="11"/>
    </row>
    <row r="1288" spans="1:46" ht="13">
      <c r="A1288" s="11"/>
      <c r="G1288" s="12"/>
      <c r="I1288" s="13"/>
      <c r="J1288" s="13"/>
      <c r="K1288" s="13"/>
      <c r="M1288" s="13"/>
      <c r="N1288" s="13"/>
      <c r="Q1288" s="13"/>
      <c r="V1288" s="13"/>
      <c r="Y1288" s="14"/>
      <c r="Z1288" s="14"/>
      <c r="AA1288" s="14"/>
      <c r="AB1288" s="14"/>
      <c r="AC1288" s="14"/>
      <c r="AD1288" s="14"/>
      <c r="AE1288" s="14"/>
      <c r="AF1288" s="13"/>
      <c r="AM1288" s="14"/>
      <c r="AN1288" s="11"/>
      <c r="AO1288" s="12"/>
      <c r="AP1288" s="11"/>
      <c r="AQ1288" s="11"/>
      <c r="AR1288" s="11"/>
      <c r="AS1288" s="11"/>
      <c r="AT1288" s="11"/>
    </row>
    <row r="1289" spans="1:46" ht="13">
      <c r="A1289" s="11"/>
      <c r="G1289" s="12"/>
      <c r="I1289" s="13"/>
      <c r="J1289" s="13"/>
      <c r="K1289" s="13"/>
      <c r="M1289" s="13"/>
      <c r="N1289" s="13"/>
      <c r="Q1289" s="13"/>
      <c r="V1289" s="13"/>
      <c r="Y1289" s="14"/>
      <c r="Z1289" s="14"/>
      <c r="AA1289" s="14"/>
      <c r="AB1289" s="14"/>
      <c r="AC1289" s="14"/>
      <c r="AD1289" s="14"/>
      <c r="AE1289" s="14"/>
      <c r="AF1289" s="13"/>
      <c r="AM1289" s="14"/>
      <c r="AN1289" s="11"/>
      <c r="AO1289" s="12"/>
      <c r="AP1289" s="11"/>
      <c r="AQ1289" s="11"/>
      <c r="AR1289" s="11"/>
      <c r="AS1289" s="11"/>
      <c r="AT1289" s="11"/>
    </row>
    <row r="1290" spans="1:46" ht="13">
      <c r="A1290" s="11"/>
      <c r="G1290" s="12"/>
      <c r="I1290" s="13"/>
      <c r="J1290" s="13"/>
      <c r="K1290" s="13"/>
      <c r="M1290" s="13"/>
      <c r="N1290" s="13"/>
      <c r="Q1290" s="13"/>
      <c r="V1290" s="13"/>
      <c r="Y1290" s="14"/>
      <c r="Z1290" s="14"/>
      <c r="AA1290" s="14"/>
      <c r="AB1290" s="14"/>
      <c r="AC1290" s="14"/>
      <c r="AD1290" s="14"/>
      <c r="AE1290" s="14"/>
      <c r="AF1290" s="13"/>
      <c r="AM1290" s="14"/>
      <c r="AN1290" s="11"/>
      <c r="AO1290" s="12"/>
      <c r="AP1290" s="11"/>
      <c r="AQ1290" s="11"/>
      <c r="AR1290" s="11"/>
      <c r="AS1290" s="11"/>
      <c r="AT1290" s="11"/>
    </row>
    <row r="1291" spans="1:46" ht="13">
      <c r="A1291" s="11"/>
      <c r="G1291" s="12"/>
      <c r="I1291" s="13"/>
      <c r="J1291" s="13"/>
      <c r="K1291" s="13"/>
      <c r="M1291" s="13"/>
      <c r="N1291" s="13"/>
      <c r="Q1291" s="13"/>
      <c r="V1291" s="13"/>
      <c r="Y1291" s="14"/>
      <c r="Z1291" s="14"/>
      <c r="AA1291" s="14"/>
      <c r="AB1291" s="14"/>
      <c r="AC1291" s="14"/>
      <c r="AD1291" s="14"/>
      <c r="AE1291" s="14"/>
      <c r="AF1291" s="13"/>
      <c r="AM1291" s="14"/>
      <c r="AN1291" s="11"/>
      <c r="AO1291" s="12"/>
      <c r="AP1291" s="11"/>
      <c r="AQ1291" s="11"/>
      <c r="AR1291" s="11"/>
      <c r="AS1291" s="11"/>
      <c r="AT1291" s="11"/>
    </row>
    <row r="1292" spans="1:46" ht="13">
      <c r="A1292" s="11"/>
      <c r="G1292" s="12"/>
      <c r="I1292" s="13"/>
      <c r="J1292" s="13"/>
      <c r="K1292" s="13"/>
      <c r="M1292" s="13"/>
      <c r="N1292" s="13"/>
      <c r="Q1292" s="13"/>
      <c r="V1292" s="13"/>
      <c r="Y1292" s="14"/>
      <c r="Z1292" s="14"/>
      <c r="AA1292" s="14"/>
      <c r="AB1292" s="14"/>
      <c r="AC1292" s="14"/>
      <c r="AD1292" s="14"/>
      <c r="AE1292" s="14"/>
      <c r="AF1292" s="13"/>
      <c r="AM1292" s="14"/>
      <c r="AN1292" s="11"/>
      <c r="AO1292" s="12"/>
      <c r="AP1292" s="11"/>
      <c r="AQ1292" s="11"/>
      <c r="AR1292" s="11"/>
      <c r="AS1292" s="11"/>
      <c r="AT1292" s="11"/>
    </row>
    <row r="1293" spans="1:46" ht="13">
      <c r="A1293" s="11"/>
      <c r="G1293" s="12"/>
      <c r="I1293" s="13"/>
      <c r="J1293" s="13"/>
      <c r="K1293" s="13"/>
      <c r="M1293" s="13"/>
      <c r="N1293" s="13"/>
      <c r="Q1293" s="13"/>
      <c r="V1293" s="13"/>
      <c r="Y1293" s="14"/>
      <c r="Z1293" s="14"/>
      <c r="AA1293" s="14"/>
      <c r="AB1293" s="14"/>
      <c r="AC1293" s="14"/>
      <c r="AD1293" s="14"/>
      <c r="AE1293" s="14"/>
      <c r="AF1293" s="13"/>
      <c r="AM1293" s="14"/>
      <c r="AN1293" s="11"/>
      <c r="AO1293" s="12"/>
      <c r="AP1293" s="11"/>
      <c r="AQ1293" s="11"/>
      <c r="AR1293" s="11"/>
      <c r="AS1293" s="11"/>
      <c r="AT1293" s="11"/>
    </row>
    <row r="1294" spans="1:46" ht="13">
      <c r="A1294" s="11"/>
      <c r="G1294" s="12"/>
      <c r="I1294" s="13"/>
      <c r="J1294" s="13"/>
      <c r="K1294" s="13"/>
      <c r="M1294" s="13"/>
      <c r="N1294" s="13"/>
      <c r="Q1294" s="13"/>
      <c r="V1294" s="13"/>
      <c r="Y1294" s="14"/>
      <c r="Z1294" s="14"/>
      <c r="AA1294" s="14"/>
      <c r="AB1294" s="14"/>
      <c r="AC1294" s="14"/>
      <c r="AD1294" s="14"/>
      <c r="AE1294" s="14"/>
      <c r="AF1294" s="13"/>
      <c r="AM1294" s="14"/>
      <c r="AN1294" s="11"/>
      <c r="AO1294" s="12"/>
      <c r="AP1294" s="11"/>
      <c r="AQ1294" s="11"/>
      <c r="AR1294" s="11"/>
      <c r="AS1294" s="11"/>
      <c r="AT1294" s="11"/>
    </row>
    <row r="1295" spans="1:46" ht="13">
      <c r="A1295" s="11"/>
      <c r="G1295" s="12"/>
      <c r="I1295" s="13"/>
      <c r="J1295" s="13"/>
      <c r="K1295" s="13"/>
      <c r="M1295" s="13"/>
      <c r="N1295" s="13"/>
      <c r="Q1295" s="13"/>
      <c r="V1295" s="13"/>
      <c r="Y1295" s="14"/>
      <c r="Z1295" s="14"/>
      <c r="AA1295" s="14"/>
      <c r="AB1295" s="14"/>
      <c r="AC1295" s="14"/>
      <c r="AD1295" s="14"/>
      <c r="AE1295" s="14"/>
      <c r="AF1295" s="13"/>
      <c r="AM1295" s="14"/>
      <c r="AN1295" s="11"/>
      <c r="AO1295" s="12"/>
      <c r="AP1295" s="11"/>
      <c r="AQ1295" s="11"/>
      <c r="AR1295" s="11"/>
      <c r="AS1295" s="11"/>
      <c r="AT1295" s="11"/>
    </row>
    <row r="1296" spans="1:46" ht="13">
      <c r="A1296" s="11"/>
      <c r="G1296" s="12"/>
      <c r="I1296" s="13"/>
      <c r="J1296" s="13"/>
      <c r="K1296" s="13"/>
      <c r="M1296" s="13"/>
      <c r="N1296" s="13"/>
      <c r="Q1296" s="13"/>
      <c r="V1296" s="13"/>
      <c r="Y1296" s="14"/>
      <c r="Z1296" s="14"/>
      <c r="AA1296" s="14"/>
      <c r="AB1296" s="14"/>
      <c r="AC1296" s="14"/>
      <c r="AD1296" s="14"/>
      <c r="AE1296" s="14"/>
      <c r="AF1296" s="13"/>
      <c r="AM1296" s="14"/>
      <c r="AN1296" s="11"/>
      <c r="AO1296" s="12"/>
      <c r="AP1296" s="11"/>
      <c r="AQ1296" s="11"/>
      <c r="AR1296" s="11"/>
      <c r="AS1296" s="11"/>
      <c r="AT1296" s="11"/>
    </row>
    <row r="1297" spans="1:46" ht="13">
      <c r="A1297" s="11"/>
      <c r="G1297" s="12"/>
      <c r="I1297" s="13"/>
      <c r="J1297" s="13"/>
      <c r="K1297" s="13"/>
      <c r="M1297" s="13"/>
      <c r="N1297" s="13"/>
      <c r="Q1297" s="13"/>
      <c r="V1297" s="13"/>
      <c r="Y1297" s="14"/>
      <c r="Z1297" s="14"/>
      <c r="AA1297" s="14"/>
      <c r="AB1297" s="14"/>
      <c r="AC1297" s="14"/>
      <c r="AD1297" s="14"/>
      <c r="AE1297" s="14"/>
      <c r="AF1297" s="13"/>
      <c r="AM1297" s="14"/>
      <c r="AN1297" s="11"/>
      <c r="AO1297" s="12"/>
      <c r="AP1297" s="11"/>
      <c r="AQ1297" s="11"/>
      <c r="AR1297" s="11"/>
      <c r="AS1297" s="11"/>
      <c r="AT1297" s="11"/>
    </row>
    <row r="1298" spans="1:46" ht="13">
      <c r="A1298" s="11"/>
      <c r="G1298" s="12"/>
      <c r="I1298" s="13"/>
      <c r="J1298" s="13"/>
      <c r="K1298" s="13"/>
      <c r="M1298" s="13"/>
      <c r="N1298" s="13"/>
      <c r="Q1298" s="13"/>
      <c r="V1298" s="13"/>
      <c r="Y1298" s="14"/>
      <c r="Z1298" s="14"/>
      <c r="AA1298" s="14"/>
      <c r="AB1298" s="14"/>
      <c r="AC1298" s="14"/>
      <c r="AD1298" s="14"/>
      <c r="AE1298" s="14"/>
      <c r="AF1298" s="13"/>
      <c r="AM1298" s="14"/>
      <c r="AN1298" s="11"/>
      <c r="AO1298" s="12"/>
      <c r="AP1298" s="11"/>
      <c r="AQ1298" s="11"/>
      <c r="AR1298" s="11"/>
      <c r="AS1298" s="11"/>
      <c r="AT1298" s="11"/>
    </row>
    <row r="1299" spans="1:46" ht="13">
      <c r="A1299" s="11"/>
      <c r="G1299" s="12"/>
      <c r="I1299" s="13"/>
      <c r="J1299" s="13"/>
      <c r="K1299" s="13"/>
      <c r="M1299" s="13"/>
      <c r="N1299" s="13"/>
      <c r="Q1299" s="13"/>
      <c r="V1299" s="13"/>
      <c r="Y1299" s="14"/>
      <c r="Z1299" s="14"/>
      <c r="AA1299" s="14"/>
      <c r="AB1299" s="14"/>
      <c r="AC1299" s="14"/>
      <c r="AD1299" s="14"/>
      <c r="AE1299" s="14"/>
      <c r="AF1299" s="13"/>
      <c r="AM1299" s="14"/>
      <c r="AN1299" s="11"/>
      <c r="AO1299" s="12"/>
      <c r="AP1299" s="11"/>
      <c r="AQ1299" s="11"/>
      <c r="AR1299" s="11"/>
      <c r="AS1299" s="11"/>
      <c r="AT1299" s="11"/>
    </row>
    <row r="1300" spans="1:46" ht="13">
      <c r="A1300" s="11"/>
      <c r="G1300" s="12"/>
      <c r="I1300" s="13"/>
      <c r="J1300" s="13"/>
      <c r="K1300" s="13"/>
      <c r="M1300" s="13"/>
      <c r="N1300" s="13"/>
      <c r="Q1300" s="13"/>
      <c r="V1300" s="13"/>
      <c r="Y1300" s="14"/>
      <c r="Z1300" s="14"/>
      <c r="AA1300" s="14"/>
      <c r="AB1300" s="14"/>
      <c r="AC1300" s="14"/>
      <c r="AD1300" s="14"/>
      <c r="AE1300" s="14"/>
      <c r="AF1300" s="13"/>
      <c r="AM1300" s="14"/>
      <c r="AN1300" s="11"/>
      <c r="AO1300" s="12"/>
      <c r="AP1300" s="11"/>
      <c r="AQ1300" s="11"/>
      <c r="AR1300" s="11"/>
      <c r="AS1300" s="11"/>
      <c r="AT1300" s="11"/>
    </row>
    <row r="1301" spans="1:46" ht="13">
      <c r="A1301" s="11"/>
      <c r="G1301" s="12"/>
      <c r="I1301" s="13"/>
      <c r="J1301" s="13"/>
      <c r="K1301" s="13"/>
      <c r="M1301" s="13"/>
      <c r="N1301" s="13"/>
      <c r="Q1301" s="13"/>
      <c r="V1301" s="13"/>
      <c r="Y1301" s="14"/>
      <c r="Z1301" s="14"/>
      <c r="AA1301" s="14"/>
      <c r="AB1301" s="14"/>
      <c r="AC1301" s="14"/>
      <c r="AD1301" s="14"/>
      <c r="AE1301" s="14"/>
      <c r="AF1301" s="13"/>
      <c r="AM1301" s="14"/>
      <c r="AN1301" s="11"/>
      <c r="AO1301" s="12"/>
      <c r="AP1301" s="11"/>
      <c r="AQ1301" s="11"/>
      <c r="AR1301" s="11"/>
      <c r="AS1301" s="11"/>
      <c r="AT1301" s="11"/>
    </row>
    <row r="1302" spans="1:46" ht="13">
      <c r="A1302" s="11"/>
      <c r="G1302" s="12"/>
      <c r="I1302" s="13"/>
      <c r="J1302" s="13"/>
      <c r="K1302" s="13"/>
      <c r="M1302" s="13"/>
      <c r="N1302" s="13"/>
      <c r="Q1302" s="13"/>
      <c r="V1302" s="13"/>
      <c r="Y1302" s="14"/>
      <c r="Z1302" s="14"/>
      <c r="AA1302" s="14"/>
      <c r="AB1302" s="14"/>
      <c r="AC1302" s="14"/>
      <c r="AD1302" s="14"/>
      <c r="AE1302" s="14"/>
      <c r="AF1302" s="13"/>
      <c r="AM1302" s="14"/>
      <c r="AN1302" s="11"/>
      <c r="AO1302" s="12"/>
      <c r="AP1302" s="11"/>
      <c r="AQ1302" s="11"/>
      <c r="AR1302" s="11"/>
      <c r="AS1302" s="11"/>
      <c r="AT1302" s="11"/>
    </row>
    <row r="1303" spans="1:46" ht="13">
      <c r="A1303" s="11"/>
      <c r="G1303" s="12"/>
      <c r="I1303" s="13"/>
      <c r="J1303" s="13"/>
      <c r="K1303" s="13"/>
      <c r="M1303" s="13"/>
      <c r="N1303" s="13"/>
      <c r="Q1303" s="13"/>
      <c r="V1303" s="13"/>
      <c r="Y1303" s="14"/>
      <c r="Z1303" s="14"/>
      <c r="AA1303" s="14"/>
      <c r="AB1303" s="14"/>
      <c r="AC1303" s="14"/>
      <c r="AD1303" s="14"/>
      <c r="AE1303" s="14"/>
      <c r="AF1303" s="13"/>
      <c r="AM1303" s="14"/>
      <c r="AN1303" s="11"/>
      <c r="AO1303" s="12"/>
      <c r="AP1303" s="11"/>
      <c r="AQ1303" s="11"/>
      <c r="AR1303" s="11"/>
      <c r="AS1303" s="11"/>
      <c r="AT1303" s="11"/>
    </row>
    <row r="1304" spans="1:46" ht="13">
      <c r="A1304" s="11"/>
      <c r="G1304" s="12"/>
      <c r="I1304" s="13"/>
      <c r="J1304" s="13"/>
      <c r="K1304" s="13"/>
      <c r="M1304" s="13"/>
      <c r="N1304" s="13"/>
      <c r="Q1304" s="13"/>
      <c r="V1304" s="13"/>
      <c r="Y1304" s="14"/>
      <c r="Z1304" s="14"/>
      <c r="AA1304" s="14"/>
      <c r="AB1304" s="14"/>
      <c r="AC1304" s="14"/>
      <c r="AD1304" s="14"/>
      <c r="AE1304" s="14"/>
      <c r="AF1304" s="13"/>
      <c r="AM1304" s="14"/>
      <c r="AN1304" s="11"/>
      <c r="AO1304" s="12"/>
      <c r="AP1304" s="11"/>
      <c r="AQ1304" s="11"/>
      <c r="AR1304" s="11"/>
      <c r="AS1304" s="11"/>
      <c r="AT1304" s="11"/>
    </row>
    <row r="1305" spans="1:46" ht="13">
      <c r="A1305" s="11"/>
      <c r="G1305" s="12"/>
      <c r="I1305" s="13"/>
      <c r="J1305" s="13"/>
      <c r="K1305" s="13"/>
      <c r="M1305" s="13"/>
      <c r="N1305" s="13"/>
      <c r="Q1305" s="13"/>
      <c r="V1305" s="13"/>
      <c r="Y1305" s="14"/>
      <c r="Z1305" s="14"/>
      <c r="AA1305" s="14"/>
      <c r="AB1305" s="14"/>
      <c r="AC1305" s="14"/>
      <c r="AD1305" s="14"/>
      <c r="AE1305" s="14"/>
      <c r="AF1305" s="13"/>
      <c r="AM1305" s="14"/>
      <c r="AN1305" s="11"/>
      <c r="AO1305" s="12"/>
      <c r="AP1305" s="11"/>
      <c r="AQ1305" s="11"/>
      <c r="AR1305" s="11"/>
      <c r="AS1305" s="11"/>
      <c r="AT1305" s="11"/>
    </row>
    <row r="1306" spans="1:46" ht="13">
      <c r="A1306" s="11"/>
      <c r="G1306" s="12"/>
      <c r="I1306" s="13"/>
      <c r="J1306" s="13"/>
      <c r="K1306" s="13"/>
      <c r="M1306" s="13"/>
      <c r="N1306" s="13"/>
      <c r="Q1306" s="13"/>
      <c r="V1306" s="13"/>
      <c r="Y1306" s="14"/>
      <c r="Z1306" s="14"/>
      <c r="AA1306" s="14"/>
      <c r="AB1306" s="14"/>
      <c r="AC1306" s="14"/>
      <c r="AD1306" s="14"/>
      <c r="AE1306" s="14"/>
      <c r="AF1306" s="13"/>
      <c r="AM1306" s="14"/>
      <c r="AN1306" s="11"/>
      <c r="AO1306" s="12"/>
      <c r="AP1306" s="11"/>
      <c r="AQ1306" s="11"/>
      <c r="AR1306" s="11"/>
      <c r="AS1306" s="11"/>
      <c r="AT1306" s="11"/>
    </row>
    <row r="1307" spans="1:46" ht="13">
      <c r="A1307" s="11"/>
      <c r="G1307" s="12"/>
      <c r="I1307" s="13"/>
      <c r="J1307" s="13"/>
      <c r="K1307" s="13"/>
      <c r="M1307" s="13"/>
      <c r="N1307" s="13"/>
      <c r="Q1307" s="13"/>
      <c r="V1307" s="13"/>
      <c r="Y1307" s="14"/>
      <c r="Z1307" s="14"/>
      <c r="AA1307" s="14"/>
      <c r="AB1307" s="14"/>
      <c r="AC1307" s="14"/>
      <c r="AD1307" s="14"/>
      <c r="AE1307" s="14"/>
      <c r="AF1307" s="13"/>
      <c r="AM1307" s="14"/>
      <c r="AN1307" s="11"/>
      <c r="AO1307" s="12"/>
      <c r="AP1307" s="11"/>
      <c r="AQ1307" s="11"/>
      <c r="AR1307" s="11"/>
      <c r="AS1307" s="11"/>
      <c r="AT1307" s="11"/>
    </row>
    <row r="1308" spans="1:46" ht="13">
      <c r="A1308" s="11"/>
      <c r="G1308" s="12"/>
      <c r="I1308" s="13"/>
      <c r="J1308" s="13"/>
      <c r="K1308" s="13"/>
      <c r="M1308" s="13"/>
      <c r="N1308" s="13"/>
      <c r="Q1308" s="13"/>
      <c r="V1308" s="13"/>
      <c r="Y1308" s="14"/>
      <c r="Z1308" s="14"/>
      <c r="AA1308" s="14"/>
      <c r="AB1308" s="14"/>
      <c r="AC1308" s="14"/>
      <c r="AD1308" s="14"/>
      <c r="AE1308" s="14"/>
      <c r="AF1308" s="13"/>
      <c r="AM1308" s="14"/>
      <c r="AN1308" s="11"/>
      <c r="AO1308" s="12"/>
      <c r="AP1308" s="11"/>
      <c r="AQ1308" s="11"/>
      <c r="AR1308" s="11"/>
      <c r="AS1308" s="11"/>
      <c r="AT1308" s="11"/>
    </row>
    <row r="1309" spans="1:46" ht="13">
      <c r="A1309" s="11"/>
      <c r="G1309" s="12"/>
      <c r="I1309" s="13"/>
      <c r="J1309" s="13"/>
      <c r="K1309" s="13"/>
      <c r="M1309" s="13"/>
      <c r="N1309" s="13"/>
      <c r="Q1309" s="13"/>
      <c r="V1309" s="13"/>
      <c r="Y1309" s="14"/>
      <c r="Z1309" s="14"/>
      <c r="AA1309" s="14"/>
      <c r="AB1309" s="14"/>
      <c r="AC1309" s="14"/>
      <c r="AD1309" s="14"/>
      <c r="AE1309" s="14"/>
      <c r="AF1309" s="13"/>
      <c r="AM1309" s="14"/>
      <c r="AN1309" s="11"/>
      <c r="AO1309" s="12"/>
      <c r="AP1309" s="11"/>
      <c r="AQ1309" s="11"/>
      <c r="AR1309" s="11"/>
      <c r="AS1309" s="11"/>
      <c r="AT1309" s="11"/>
    </row>
    <row r="1310" spans="1:46" ht="13">
      <c r="A1310" s="11"/>
      <c r="G1310" s="12"/>
      <c r="I1310" s="13"/>
      <c r="J1310" s="13"/>
      <c r="K1310" s="13"/>
      <c r="M1310" s="13"/>
      <c r="N1310" s="13"/>
      <c r="Q1310" s="13"/>
      <c r="V1310" s="13"/>
      <c r="Y1310" s="14"/>
      <c r="Z1310" s="14"/>
      <c r="AA1310" s="14"/>
      <c r="AB1310" s="14"/>
      <c r="AC1310" s="14"/>
      <c r="AD1310" s="14"/>
      <c r="AE1310" s="14"/>
      <c r="AF1310" s="13"/>
      <c r="AM1310" s="14"/>
      <c r="AN1310" s="11"/>
      <c r="AO1310" s="12"/>
      <c r="AP1310" s="11"/>
      <c r="AQ1310" s="11"/>
      <c r="AR1310" s="11"/>
      <c r="AS1310" s="11"/>
      <c r="AT1310" s="11"/>
    </row>
    <row r="1311" spans="1:46" ht="13">
      <c r="A1311" s="11"/>
      <c r="G1311" s="12"/>
      <c r="I1311" s="13"/>
      <c r="J1311" s="13"/>
      <c r="K1311" s="13"/>
      <c r="M1311" s="13"/>
      <c r="N1311" s="13"/>
      <c r="Q1311" s="13"/>
      <c r="V1311" s="13"/>
      <c r="Y1311" s="14"/>
      <c r="Z1311" s="14"/>
      <c r="AA1311" s="14"/>
      <c r="AB1311" s="14"/>
      <c r="AC1311" s="14"/>
      <c r="AD1311" s="14"/>
      <c r="AE1311" s="14"/>
      <c r="AF1311" s="13"/>
      <c r="AM1311" s="14"/>
      <c r="AN1311" s="11"/>
      <c r="AO1311" s="12"/>
      <c r="AP1311" s="11"/>
      <c r="AQ1311" s="11"/>
      <c r="AR1311" s="11"/>
      <c r="AS1311" s="11"/>
      <c r="AT1311" s="11"/>
    </row>
    <row r="1312" spans="1:46" ht="13">
      <c r="A1312" s="11"/>
      <c r="G1312" s="12"/>
      <c r="I1312" s="13"/>
      <c r="J1312" s="13"/>
      <c r="K1312" s="13"/>
      <c r="M1312" s="13"/>
      <c r="N1312" s="13"/>
      <c r="Q1312" s="13"/>
      <c r="V1312" s="13"/>
      <c r="Y1312" s="14"/>
      <c r="Z1312" s="14"/>
      <c r="AA1312" s="14"/>
      <c r="AB1312" s="14"/>
      <c r="AC1312" s="14"/>
      <c r="AD1312" s="14"/>
      <c r="AE1312" s="14"/>
      <c r="AF1312" s="13"/>
      <c r="AM1312" s="14"/>
      <c r="AN1312" s="11"/>
      <c r="AO1312" s="12"/>
      <c r="AP1312" s="11"/>
      <c r="AQ1312" s="11"/>
      <c r="AR1312" s="11"/>
      <c r="AS1312" s="11"/>
      <c r="AT1312" s="11"/>
    </row>
    <row r="1313" spans="1:46" ht="13">
      <c r="A1313" s="11"/>
      <c r="G1313" s="12"/>
      <c r="I1313" s="13"/>
      <c r="J1313" s="13"/>
      <c r="K1313" s="13"/>
      <c r="M1313" s="13"/>
      <c r="N1313" s="13"/>
      <c r="Q1313" s="13"/>
      <c r="V1313" s="13"/>
      <c r="Y1313" s="14"/>
      <c r="Z1313" s="14"/>
      <c r="AA1313" s="14"/>
      <c r="AB1313" s="14"/>
      <c r="AC1313" s="14"/>
      <c r="AD1313" s="14"/>
      <c r="AE1313" s="14"/>
      <c r="AF1313" s="13"/>
      <c r="AM1313" s="14"/>
      <c r="AN1313" s="11"/>
      <c r="AO1313" s="12"/>
      <c r="AP1313" s="11"/>
      <c r="AQ1313" s="11"/>
      <c r="AR1313" s="11"/>
      <c r="AS1313" s="11"/>
      <c r="AT1313" s="11"/>
    </row>
    <row r="1314" spans="1:46" ht="13">
      <c r="A1314" s="11"/>
      <c r="G1314" s="12"/>
      <c r="I1314" s="13"/>
      <c r="J1314" s="13"/>
      <c r="K1314" s="13"/>
      <c r="M1314" s="13"/>
      <c r="N1314" s="13"/>
      <c r="Q1314" s="13"/>
      <c r="V1314" s="13"/>
      <c r="Y1314" s="14"/>
      <c r="Z1314" s="14"/>
      <c r="AA1314" s="14"/>
      <c r="AB1314" s="14"/>
      <c r="AC1314" s="14"/>
      <c r="AD1314" s="14"/>
      <c r="AE1314" s="14"/>
      <c r="AF1314" s="13"/>
      <c r="AM1314" s="14"/>
      <c r="AN1314" s="11"/>
      <c r="AO1314" s="12"/>
      <c r="AP1314" s="11"/>
      <c r="AQ1314" s="11"/>
      <c r="AR1314" s="11"/>
      <c r="AS1314" s="11"/>
      <c r="AT1314" s="11"/>
    </row>
    <row r="1315" spans="1:46" ht="13">
      <c r="A1315" s="11"/>
      <c r="G1315" s="12"/>
      <c r="I1315" s="13"/>
      <c r="J1315" s="13"/>
      <c r="K1315" s="13"/>
      <c r="M1315" s="13"/>
      <c r="N1315" s="13"/>
      <c r="Q1315" s="13"/>
      <c r="V1315" s="13"/>
      <c r="Y1315" s="14"/>
      <c r="Z1315" s="14"/>
      <c r="AA1315" s="14"/>
      <c r="AB1315" s="14"/>
      <c r="AC1315" s="14"/>
      <c r="AD1315" s="14"/>
      <c r="AE1315" s="14"/>
      <c r="AF1315" s="13"/>
      <c r="AM1315" s="14"/>
      <c r="AN1315" s="11"/>
      <c r="AO1315" s="12"/>
      <c r="AP1315" s="11"/>
      <c r="AQ1315" s="11"/>
      <c r="AR1315" s="11"/>
      <c r="AS1315" s="11"/>
      <c r="AT1315" s="11"/>
    </row>
    <row r="1316" spans="1:46" ht="13">
      <c r="A1316" s="11"/>
      <c r="G1316" s="12"/>
      <c r="I1316" s="13"/>
      <c r="J1316" s="13"/>
      <c r="K1316" s="13"/>
      <c r="M1316" s="13"/>
      <c r="N1316" s="13"/>
      <c r="Q1316" s="13"/>
      <c r="V1316" s="13"/>
      <c r="Y1316" s="14"/>
      <c r="Z1316" s="14"/>
      <c r="AA1316" s="14"/>
      <c r="AB1316" s="14"/>
      <c r="AC1316" s="14"/>
      <c r="AD1316" s="14"/>
      <c r="AE1316" s="14"/>
      <c r="AF1316" s="13"/>
      <c r="AM1316" s="14"/>
      <c r="AN1316" s="11"/>
      <c r="AO1316" s="12"/>
      <c r="AP1316" s="11"/>
      <c r="AQ1316" s="11"/>
      <c r="AR1316" s="11"/>
      <c r="AS1316" s="11"/>
      <c r="AT1316" s="11"/>
    </row>
    <row r="1317" spans="1:46" ht="13">
      <c r="A1317" s="11"/>
      <c r="G1317" s="12"/>
      <c r="I1317" s="13"/>
      <c r="J1317" s="13"/>
      <c r="K1317" s="13"/>
      <c r="M1317" s="13"/>
      <c r="N1317" s="13"/>
      <c r="Q1317" s="13"/>
      <c r="V1317" s="13"/>
      <c r="Y1317" s="14"/>
      <c r="Z1317" s="14"/>
      <c r="AA1317" s="14"/>
      <c r="AB1317" s="14"/>
      <c r="AC1317" s="14"/>
      <c r="AD1317" s="14"/>
      <c r="AE1317" s="14"/>
      <c r="AF1317" s="13"/>
      <c r="AM1317" s="14"/>
      <c r="AN1317" s="11"/>
      <c r="AO1317" s="12"/>
      <c r="AP1317" s="11"/>
      <c r="AQ1317" s="11"/>
      <c r="AR1317" s="11"/>
      <c r="AS1317" s="11"/>
      <c r="AT1317" s="11"/>
    </row>
    <row r="1318" spans="1:46" ht="13">
      <c r="A1318" s="11"/>
      <c r="G1318" s="12"/>
      <c r="I1318" s="13"/>
      <c r="J1318" s="13"/>
      <c r="K1318" s="13"/>
      <c r="M1318" s="13"/>
      <c r="N1318" s="13"/>
      <c r="Q1318" s="13"/>
      <c r="V1318" s="13"/>
      <c r="Y1318" s="14"/>
      <c r="Z1318" s="14"/>
      <c r="AA1318" s="14"/>
      <c r="AB1318" s="14"/>
      <c r="AC1318" s="14"/>
      <c r="AD1318" s="14"/>
      <c r="AE1318" s="14"/>
      <c r="AF1318" s="13"/>
      <c r="AM1318" s="14"/>
      <c r="AN1318" s="11"/>
      <c r="AO1318" s="12"/>
      <c r="AP1318" s="11"/>
      <c r="AQ1318" s="11"/>
      <c r="AR1318" s="11"/>
      <c r="AS1318" s="11"/>
      <c r="AT1318" s="11"/>
    </row>
    <row r="1319" spans="1:46" ht="13">
      <c r="A1319" s="11"/>
      <c r="G1319" s="12"/>
      <c r="I1319" s="13"/>
      <c r="J1319" s="13"/>
      <c r="K1319" s="13"/>
      <c r="M1319" s="13"/>
      <c r="N1319" s="13"/>
      <c r="Q1319" s="13"/>
      <c r="V1319" s="13"/>
      <c r="Y1319" s="14"/>
      <c r="Z1319" s="14"/>
      <c r="AA1319" s="14"/>
      <c r="AB1319" s="14"/>
      <c r="AC1319" s="14"/>
      <c r="AD1319" s="14"/>
      <c r="AE1319" s="14"/>
      <c r="AF1319" s="13"/>
      <c r="AM1319" s="14"/>
      <c r="AN1319" s="11"/>
      <c r="AO1319" s="12"/>
      <c r="AP1319" s="11"/>
      <c r="AQ1319" s="11"/>
      <c r="AR1319" s="11"/>
      <c r="AS1319" s="11"/>
      <c r="AT1319" s="11"/>
    </row>
    <row r="1320" spans="1:46" ht="13">
      <c r="A1320" s="11"/>
      <c r="G1320" s="12"/>
      <c r="I1320" s="13"/>
      <c r="J1320" s="13"/>
      <c r="K1320" s="13"/>
      <c r="M1320" s="13"/>
      <c r="N1320" s="13"/>
      <c r="Q1320" s="13"/>
      <c r="V1320" s="13"/>
      <c r="Y1320" s="14"/>
      <c r="Z1320" s="14"/>
      <c r="AA1320" s="14"/>
      <c r="AB1320" s="14"/>
      <c r="AC1320" s="14"/>
      <c r="AD1320" s="14"/>
      <c r="AE1320" s="14"/>
      <c r="AF1320" s="13"/>
      <c r="AM1320" s="14"/>
      <c r="AN1320" s="11"/>
      <c r="AO1320" s="12"/>
      <c r="AP1320" s="11"/>
      <c r="AQ1320" s="11"/>
      <c r="AR1320" s="11"/>
      <c r="AS1320" s="11"/>
      <c r="AT1320" s="11"/>
    </row>
    <row r="1321" spans="1:46" ht="13">
      <c r="A1321" s="11"/>
      <c r="G1321" s="12"/>
      <c r="I1321" s="13"/>
      <c r="J1321" s="13"/>
      <c r="K1321" s="13"/>
      <c r="M1321" s="13"/>
      <c r="N1321" s="13"/>
      <c r="Q1321" s="13"/>
      <c r="V1321" s="13"/>
      <c r="Y1321" s="14"/>
      <c r="Z1321" s="14"/>
      <c r="AA1321" s="14"/>
      <c r="AB1321" s="14"/>
      <c r="AC1321" s="14"/>
      <c r="AD1321" s="14"/>
      <c r="AE1321" s="14"/>
      <c r="AF1321" s="13"/>
      <c r="AM1321" s="14"/>
      <c r="AN1321" s="11"/>
      <c r="AO1321" s="12"/>
      <c r="AP1321" s="11"/>
      <c r="AQ1321" s="11"/>
      <c r="AR1321" s="11"/>
      <c r="AS1321" s="11"/>
      <c r="AT1321" s="11"/>
    </row>
    <row r="1322" spans="1:46" ht="13">
      <c r="A1322" s="11"/>
      <c r="G1322" s="12"/>
      <c r="I1322" s="13"/>
      <c r="J1322" s="13"/>
      <c r="K1322" s="13"/>
      <c r="M1322" s="13"/>
      <c r="N1322" s="13"/>
      <c r="Q1322" s="13"/>
      <c r="V1322" s="13"/>
      <c r="Y1322" s="14"/>
      <c r="Z1322" s="14"/>
      <c r="AA1322" s="14"/>
      <c r="AB1322" s="14"/>
      <c r="AC1322" s="14"/>
      <c r="AD1322" s="14"/>
      <c r="AE1322" s="14"/>
      <c r="AF1322" s="13"/>
      <c r="AM1322" s="14"/>
      <c r="AN1322" s="11"/>
      <c r="AO1322" s="12"/>
      <c r="AP1322" s="11"/>
      <c r="AQ1322" s="11"/>
      <c r="AR1322" s="11"/>
      <c r="AS1322" s="11"/>
      <c r="AT1322" s="11"/>
    </row>
    <row r="1323" spans="1:46" ht="13">
      <c r="A1323" s="11"/>
      <c r="G1323" s="12"/>
      <c r="I1323" s="13"/>
      <c r="J1323" s="13"/>
      <c r="K1323" s="13"/>
      <c r="M1323" s="13"/>
      <c r="N1323" s="13"/>
      <c r="Q1323" s="13"/>
      <c r="V1323" s="13"/>
      <c r="Y1323" s="14"/>
      <c r="Z1323" s="14"/>
      <c r="AA1323" s="14"/>
      <c r="AB1323" s="14"/>
      <c r="AC1323" s="14"/>
      <c r="AD1323" s="14"/>
      <c r="AE1323" s="14"/>
      <c r="AF1323" s="13"/>
      <c r="AM1323" s="14"/>
      <c r="AN1323" s="11"/>
      <c r="AO1323" s="12"/>
      <c r="AP1323" s="11"/>
      <c r="AQ1323" s="11"/>
      <c r="AR1323" s="11"/>
      <c r="AS1323" s="11"/>
      <c r="AT1323" s="11"/>
    </row>
    <row r="1324" spans="1:46" ht="13">
      <c r="A1324" s="11"/>
      <c r="G1324" s="12"/>
      <c r="I1324" s="13"/>
      <c r="J1324" s="13"/>
      <c r="K1324" s="13"/>
      <c r="M1324" s="13"/>
      <c r="N1324" s="13"/>
      <c r="Q1324" s="13"/>
      <c r="V1324" s="13"/>
      <c r="Y1324" s="14"/>
      <c r="Z1324" s="14"/>
      <c r="AA1324" s="14"/>
      <c r="AB1324" s="14"/>
      <c r="AC1324" s="14"/>
      <c r="AD1324" s="14"/>
      <c r="AE1324" s="14"/>
      <c r="AF1324" s="13"/>
      <c r="AM1324" s="14"/>
      <c r="AN1324" s="11"/>
      <c r="AO1324" s="12"/>
      <c r="AP1324" s="11"/>
      <c r="AQ1324" s="11"/>
      <c r="AR1324" s="11"/>
      <c r="AS1324" s="11"/>
      <c r="AT1324" s="11"/>
    </row>
    <row r="1325" spans="1:46" ht="13">
      <c r="A1325" s="11"/>
      <c r="G1325" s="12"/>
      <c r="I1325" s="13"/>
      <c r="J1325" s="13"/>
      <c r="K1325" s="13"/>
      <c r="M1325" s="13"/>
      <c r="N1325" s="13"/>
      <c r="Q1325" s="13"/>
      <c r="V1325" s="13"/>
      <c r="Y1325" s="14"/>
      <c r="Z1325" s="14"/>
      <c r="AA1325" s="14"/>
      <c r="AB1325" s="14"/>
      <c r="AC1325" s="14"/>
      <c r="AD1325" s="14"/>
      <c r="AE1325" s="14"/>
      <c r="AF1325" s="13"/>
      <c r="AM1325" s="14"/>
      <c r="AN1325" s="11"/>
      <c r="AO1325" s="12"/>
      <c r="AP1325" s="11"/>
      <c r="AQ1325" s="11"/>
      <c r="AR1325" s="11"/>
      <c r="AS1325" s="11"/>
      <c r="AT1325" s="11"/>
    </row>
    <row r="1326" spans="1:46" ht="13">
      <c r="A1326" s="11"/>
      <c r="G1326" s="12"/>
      <c r="I1326" s="13"/>
      <c r="J1326" s="13"/>
      <c r="K1326" s="13"/>
      <c r="M1326" s="13"/>
      <c r="N1326" s="13"/>
      <c r="Q1326" s="13"/>
      <c r="V1326" s="13"/>
      <c r="Y1326" s="14"/>
      <c r="Z1326" s="14"/>
      <c r="AA1326" s="14"/>
      <c r="AB1326" s="14"/>
      <c r="AC1326" s="14"/>
      <c r="AD1326" s="14"/>
      <c r="AE1326" s="14"/>
      <c r="AF1326" s="13"/>
      <c r="AM1326" s="14"/>
      <c r="AN1326" s="11"/>
      <c r="AO1326" s="12"/>
      <c r="AP1326" s="11"/>
      <c r="AQ1326" s="11"/>
      <c r="AR1326" s="11"/>
      <c r="AS1326" s="11"/>
      <c r="AT1326" s="11"/>
    </row>
    <row r="1327" spans="1:46" ht="13">
      <c r="A1327" s="11"/>
      <c r="G1327" s="12"/>
      <c r="I1327" s="13"/>
      <c r="J1327" s="13"/>
      <c r="K1327" s="13"/>
      <c r="M1327" s="13"/>
      <c r="N1327" s="13"/>
      <c r="Q1327" s="13"/>
      <c r="V1327" s="13"/>
      <c r="Y1327" s="14"/>
      <c r="Z1327" s="14"/>
      <c r="AA1327" s="14"/>
      <c r="AB1327" s="14"/>
      <c r="AC1327" s="14"/>
      <c r="AD1327" s="14"/>
      <c r="AE1327" s="14"/>
      <c r="AF1327" s="13"/>
      <c r="AM1327" s="14"/>
      <c r="AN1327" s="11"/>
      <c r="AO1327" s="12"/>
      <c r="AP1327" s="11"/>
      <c r="AQ1327" s="11"/>
      <c r="AR1327" s="11"/>
      <c r="AS1327" s="11"/>
      <c r="AT1327" s="11"/>
    </row>
    <row r="1328" spans="1:46" ht="13">
      <c r="A1328" s="11"/>
      <c r="G1328" s="12"/>
      <c r="I1328" s="13"/>
      <c r="J1328" s="13"/>
      <c r="K1328" s="13"/>
      <c r="M1328" s="13"/>
      <c r="N1328" s="13"/>
      <c r="Q1328" s="13"/>
      <c r="V1328" s="13"/>
      <c r="Y1328" s="14"/>
      <c r="Z1328" s="14"/>
      <c r="AA1328" s="14"/>
      <c r="AB1328" s="14"/>
      <c r="AC1328" s="14"/>
      <c r="AD1328" s="14"/>
      <c r="AE1328" s="14"/>
      <c r="AF1328" s="13"/>
      <c r="AM1328" s="14"/>
      <c r="AN1328" s="11"/>
      <c r="AO1328" s="12"/>
      <c r="AP1328" s="11"/>
      <c r="AQ1328" s="11"/>
      <c r="AR1328" s="11"/>
      <c r="AS1328" s="11"/>
      <c r="AT1328" s="11"/>
    </row>
    <row r="1329" spans="1:46" ht="13">
      <c r="A1329" s="11"/>
      <c r="G1329" s="12"/>
      <c r="I1329" s="13"/>
      <c r="J1329" s="13"/>
      <c r="K1329" s="13"/>
      <c r="M1329" s="13"/>
      <c r="N1329" s="13"/>
      <c r="Q1329" s="13"/>
      <c r="V1329" s="13"/>
      <c r="Y1329" s="14"/>
      <c r="Z1329" s="14"/>
      <c r="AA1329" s="14"/>
      <c r="AB1329" s="14"/>
      <c r="AC1329" s="14"/>
      <c r="AD1329" s="14"/>
      <c r="AE1329" s="14"/>
      <c r="AF1329" s="13"/>
      <c r="AM1329" s="14"/>
      <c r="AN1329" s="11"/>
      <c r="AO1329" s="12"/>
      <c r="AP1329" s="11"/>
      <c r="AQ1329" s="11"/>
      <c r="AR1329" s="11"/>
      <c r="AS1329" s="11"/>
      <c r="AT1329" s="11"/>
    </row>
    <row r="1330" spans="1:46" ht="13">
      <c r="A1330" s="11"/>
      <c r="G1330" s="12"/>
      <c r="I1330" s="13"/>
      <c r="J1330" s="13"/>
      <c r="K1330" s="13"/>
      <c r="M1330" s="13"/>
      <c r="N1330" s="13"/>
      <c r="Q1330" s="13"/>
      <c r="V1330" s="13"/>
      <c r="Y1330" s="14"/>
      <c r="Z1330" s="14"/>
      <c r="AA1330" s="14"/>
      <c r="AB1330" s="14"/>
      <c r="AC1330" s="14"/>
      <c r="AD1330" s="14"/>
      <c r="AE1330" s="14"/>
      <c r="AF1330" s="13"/>
      <c r="AM1330" s="14"/>
      <c r="AN1330" s="11"/>
      <c r="AO1330" s="12"/>
      <c r="AP1330" s="11"/>
      <c r="AQ1330" s="11"/>
      <c r="AR1330" s="11"/>
      <c r="AS1330" s="11"/>
      <c r="AT1330" s="11"/>
    </row>
    <row r="1331" spans="1:46" ht="13">
      <c r="A1331" s="11"/>
      <c r="G1331" s="12"/>
      <c r="I1331" s="13"/>
      <c r="J1331" s="13"/>
      <c r="K1331" s="13"/>
      <c r="M1331" s="13"/>
      <c r="N1331" s="13"/>
      <c r="Q1331" s="13"/>
      <c r="V1331" s="13"/>
      <c r="Y1331" s="14"/>
      <c r="Z1331" s="14"/>
      <c r="AA1331" s="14"/>
      <c r="AB1331" s="14"/>
      <c r="AC1331" s="14"/>
      <c r="AD1331" s="14"/>
      <c r="AE1331" s="14"/>
      <c r="AF1331" s="13"/>
      <c r="AM1331" s="14"/>
      <c r="AN1331" s="11"/>
      <c r="AO1331" s="12"/>
      <c r="AP1331" s="11"/>
      <c r="AQ1331" s="11"/>
      <c r="AR1331" s="11"/>
      <c r="AS1331" s="11"/>
      <c r="AT1331" s="11"/>
    </row>
    <row r="1332" spans="1:46" ht="13">
      <c r="A1332" s="11"/>
      <c r="G1332" s="12"/>
      <c r="I1332" s="13"/>
      <c r="J1332" s="13"/>
      <c r="K1332" s="13"/>
      <c r="M1332" s="13"/>
      <c r="N1332" s="13"/>
      <c r="Q1332" s="13"/>
      <c r="V1332" s="13"/>
      <c r="Y1332" s="14"/>
      <c r="Z1332" s="14"/>
      <c r="AA1332" s="14"/>
      <c r="AB1332" s="14"/>
      <c r="AC1332" s="14"/>
      <c r="AD1332" s="14"/>
      <c r="AE1332" s="14"/>
      <c r="AF1332" s="13"/>
      <c r="AM1332" s="14"/>
      <c r="AN1332" s="11"/>
      <c r="AO1332" s="12"/>
      <c r="AP1332" s="11"/>
      <c r="AQ1332" s="11"/>
      <c r="AR1332" s="11"/>
      <c r="AS1332" s="11"/>
      <c r="AT1332" s="11"/>
    </row>
    <row r="1333" spans="1:46" ht="13">
      <c r="A1333" s="11"/>
      <c r="G1333" s="12"/>
      <c r="I1333" s="13"/>
      <c r="J1333" s="13"/>
      <c r="K1333" s="13"/>
      <c r="M1333" s="13"/>
      <c r="N1333" s="13"/>
      <c r="Q1333" s="13"/>
      <c r="V1333" s="13"/>
      <c r="Y1333" s="14"/>
      <c r="Z1333" s="14"/>
      <c r="AA1333" s="14"/>
      <c r="AB1333" s="14"/>
      <c r="AC1333" s="14"/>
      <c r="AD1333" s="14"/>
      <c r="AE1333" s="14"/>
      <c r="AF1333" s="13"/>
      <c r="AM1333" s="14"/>
      <c r="AN1333" s="11"/>
      <c r="AO1333" s="12"/>
      <c r="AP1333" s="11"/>
      <c r="AQ1333" s="11"/>
      <c r="AR1333" s="11"/>
      <c r="AS1333" s="11"/>
      <c r="AT1333" s="11"/>
    </row>
    <row r="1334" spans="1:46" ht="13">
      <c r="A1334" s="11"/>
      <c r="G1334" s="12"/>
      <c r="I1334" s="13"/>
      <c r="J1334" s="13"/>
      <c r="K1334" s="13"/>
      <c r="M1334" s="13"/>
      <c r="N1334" s="13"/>
      <c r="Q1334" s="13"/>
      <c r="V1334" s="13"/>
      <c r="Y1334" s="14"/>
      <c r="Z1334" s="14"/>
      <c r="AA1334" s="14"/>
      <c r="AB1334" s="14"/>
      <c r="AC1334" s="14"/>
      <c r="AD1334" s="14"/>
      <c r="AE1334" s="14"/>
      <c r="AF1334" s="13"/>
      <c r="AM1334" s="14"/>
      <c r="AN1334" s="11"/>
      <c r="AO1334" s="12"/>
      <c r="AP1334" s="11"/>
      <c r="AQ1334" s="11"/>
      <c r="AR1334" s="11"/>
      <c r="AS1334" s="11"/>
      <c r="AT1334" s="11"/>
    </row>
    <row r="1335" spans="1:46" ht="13">
      <c r="A1335" s="11"/>
      <c r="G1335" s="12"/>
      <c r="I1335" s="13"/>
      <c r="J1335" s="13"/>
      <c r="K1335" s="13"/>
      <c r="M1335" s="13"/>
      <c r="N1335" s="13"/>
      <c r="Q1335" s="13"/>
      <c r="V1335" s="13"/>
      <c r="Y1335" s="14"/>
      <c r="Z1335" s="14"/>
      <c r="AA1335" s="14"/>
      <c r="AB1335" s="14"/>
      <c r="AC1335" s="14"/>
      <c r="AD1335" s="14"/>
      <c r="AE1335" s="14"/>
      <c r="AF1335" s="13"/>
      <c r="AM1335" s="14"/>
      <c r="AN1335" s="11"/>
      <c r="AO1335" s="12"/>
      <c r="AP1335" s="11"/>
      <c r="AQ1335" s="11"/>
      <c r="AR1335" s="11"/>
      <c r="AS1335" s="11"/>
      <c r="AT1335" s="11"/>
    </row>
    <row r="1336" spans="1:46" ht="13">
      <c r="A1336" s="11"/>
      <c r="G1336" s="12"/>
      <c r="I1336" s="13"/>
      <c r="J1336" s="13"/>
      <c r="K1336" s="13"/>
      <c r="M1336" s="13"/>
      <c r="N1336" s="13"/>
      <c r="Q1336" s="13"/>
      <c r="V1336" s="13"/>
      <c r="Y1336" s="14"/>
      <c r="Z1336" s="14"/>
      <c r="AA1336" s="14"/>
      <c r="AB1336" s="14"/>
      <c r="AC1336" s="14"/>
      <c r="AD1336" s="14"/>
      <c r="AE1336" s="14"/>
      <c r="AF1336" s="13"/>
      <c r="AM1336" s="14"/>
      <c r="AN1336" s="11"/>
      <c r="AO1336" s="12"/>
      <c r="AP1336" s="11"/>
      <c r="AQ1336" s="11"/>
      <c r="AR1336" s="11"/>
      <c r="AS1336" s="11"/>
      <c r="AT1336" s="11"/>
    </row>
    <row r="1337" spans="1:46" ht="13">
      <c r="A1337" s="11"/>
      <c r="G1337" s="12"/>
      <c r="I1337" s="13"/>
      <c r="J1337" s="13"/>
      <c r="K1337" s="13"/>
      <c r="M1337" s="13"/>
      <c r="N1337" s="13"/>
      <c r="Q1337" s="13"/>
      <c r="V1337" s="13"/>
      <c r="Y1337" s="14"/>
      <c r="Z1337" s="14"/>
      <c r="AA1337" s="14"/>
      <c r="AB1337" s="14"/>
      <c r="AC1337" s="14"/>
      <c r="AD1337" s="14"/>
      <c r="AE1337" s="14"/>
      <c r="AF1337" s="13"/>
      <c r="AM1337" s="14"/>
      <c r="AN1337" s="11"/>
      <c r="AO1337" s="12"/>
      <c r="AP1337" s="11"/>
      <c r="AQ1337" s="11"/>
      <c r="AR1337" s="11"/>
      <c r="AS1337" s="11"/>
      <c r="AT1337" s="11"/>
    </row>
    <row r="1338" spans="1:46" ht="13">
      <c r="A1338" s="11"/>
      <c r="G1338" s="12"/>
      <c r="I1338" s="13"/>
      <c r="J1338" s="13"/>
      <c r="K1338" s="13"/>
      <c r="M1338" s="13"/>
      <c r="N1338" s="13"/>
      <c r="Q1338" s="13"/>
      <c r="V1338" s="13"/>
      <c r="Y1338" s="14"/>
      <c r="Z1338" s="14"/>
      <c r="AA1338" s="14"/>
      <c r="AB1338" s="14"/>
      <c r="AC1338" s="14"/>
      <c r="AD1338" s="14"/>
      <c r="AE1338" s="14"/>
      <c r="AF1338" s="13"/>
      <c r="AM1338" s="14"/>
      <c r="AN1338" s="11"/>
      <c r="AO1338" s="12"/>
      <c r="AP1338" s="11"/>
      <c r="AQ1338" s="11"/>
      <c r="AR1338" s="11"/>
      <c r="AS1338" s="11"/>
      <c r="AT1338" s="11"/>
    </row>
    <row r="1339" spans="1:46" ht="13">
      <c r="A1339" s="11"/>
      <c r="G1339" s="12"/>
      <c r="I1339" s="13"/>
      <c r="J1339" s="13"/>
      <c r="K1339" s="13"/>
      <c r="M1339" s="13"/>
      <c r="N1339" s="13"/>
      <c r="Q1339" s="13"/>
      <c r="V1339" s="13"/>
      <c r="Y1339" s="14"/>
      <c r="Z1339" s="14"/>
      <c r="AA1339" s="14"/>
      <c r="AB1339" s="14"/>
      <c r="AC1339" s="14"/>
      <c r="AD1339" s="14"/>
      <c r="AE1339" s="14"/>
      <c r="AF1339" s="13"/>
      <c r="AM1339" s="14"/>
      <c r="AN1339" s="11"/>
      <c r="AO1339" s="12"/>
      <c r="AP1339" s="11"/>
      <c r="AQ1339" s="11"/>
      <c r="AR1339" s="11"/>
      <c r="AS1339" s="11"/>
      <c r="AT1339" s="11"/>
    </row>
    <row r="1340" spans="1:46" ht="13">
      <c r="A1340" s="11"/>
      <c r="G1340" s="12"/>
      <c r="I1340" s="13"/>
      <c r="J1340" s="13"/>
      <c r="K1340" s="13"/>
      <c r="M1340" s="13"/>
      <c r="N1340" s="13"/>
      <c r="Q1340" s="13"/>
      <c r="V1340" s="13"/>
      <c r="Y1340" s="14"/>
      <c r="Z1340" s="14"/>
      <c r="AA1340" s="14"/>
      <c r="AB1340" s="14"/>
      <c r="AC1340" s="14"/>
      <c r="AD1340" s="14"/>
      <c r="AE1340" s="14"/>
      <c r="AF1340" s="13"/>
      <c r="AM1340" s="14"/>
      <c r="AN1340" s="11"/>
      <c r="AO1340" s="12"/>
      <c r="AP1340" s="11"/>
      <c r="AQ1340" s="11"/>
      <c r="AR1340" s="11"/>
      <c r="AS1340" s="11"/>
      <c r="AT1340" s="11"/>
    </row>
    <row r="1341" spans="1:46" ht="13">
      <c r="A1341" s="11"/>
      <c r="G1341" s="12"/>
      <c r="I1341" s="13"/>
      <c r="J1341" s="13"/>
      <c r="K1341" s="13"/>
      <c r="M1341" s="13"/>
      <c r="N1341" s="13"/>
      <c r="Q1341" s="13"/>
      <c r="V1341" s="13"/>
      <c r="Y1341" s="14"/>
      <c r="Z1341" s="14"/>
      <c r="AA1341" s="14"/>
      <c r="AB1341" s="14"/>
      <c r="AC1341" s="14"/>
      <c r="AD1341" s="14"/>
      <c r="AE1341" s="14"/>
      <c r="AF1341" s="13"/>
      <c r="AM1341" s="14"/>
      <c r="AN1341" s="11"/>
      <c r="AO1341" s="12"/>
      <c r="AP1341" s="11"/>
      <c r="AQ1341" s="11"/>
      <c r="AR1341" s="11"/>
      <c r="AS1341" s="11"/>
      <c r="AT1341" s="11"/>
    </row>
    <row r="1342" spans="1:46" ht="13">
      <c r="A1342" s="11"/>
      <c r="G1342" s="12"/>
      <c r="I1342" s="13"/>
      <c r="J1342" s="13"/>
      <c r="K1342" s="13"/>
      <c r="M1342" s="13"/>
      <c r="N1342" s="13"/>
      <c r="Q1342" s="13"/>
      <c r="V1342" s="13"/>
      <c r="Y1342" s="14"/>
      <c r="Z1342" s="14"/>
      <c r="AA1342" s="14"/>
      <c r="AB1342" s="14"/>
      <c r="AC1342" s="14"/>
      <c r="AD1342" s="14"/>
      <c r="AE1342" s="14"/>
      <c r="AF1342" s="13"/>
      <c r="AM1342" s="14"/>
      <c r="AN1342" s="11"/>
      <c r="AO1342" s="12"/>
      <c r="AP1342" s="11"/>
      <c r="AQ1342" s="11"/>
      <c r="AR1342" s="11"/>
      <c r="AS1342" s="11"/>
      <c r="AT1342" s="11"/>
    </row>
    <row r="1343" spans="1:46" ht="13">
      <c r="A1343" s="11"/>
      <c r="G1343" s="12"/>
      <c r="I1343" s="13"/>
      <c r="J1343" s="13"/>
      <c r="K1343" s="13"/>
      <c r="M1343" s="13"/>
      <c r="N1343" s="13"/>
      <c r="Q1343" s="13"/>
      <c r="V1343" s="13"/>
      <c r="Y1343" s="14"/>
      <c r="Z1343" s="14"/>
      <c r="AA1343" s="14"/>
      <c r="AB1343" s="14"/>
      <c r="AC1343" s="14"/>
      <c r="AD1343" s="14"/>
      <c r="AE1343" s="14"/>
      <c r="AF1343" s="13"/>
      <c r="AM1343" s="14"/>
      <c r="AN1343" s="11"/>
      <c r="AO1343" s="12"/>
      <c r="AP1343" s="11"/>
      <c r="AQ1343" s="11"/>
      <c r="AR1343" s="11"/>
      <c r="AS1343" s="11"/>
      <c r="AT1343" s="11"/>
    </row>
    <row r="1344" spans="1:46" ht="13">
      <c r="A1344" s="11"/>
      <c r="G1344" s="12"/>
      <c r="I1344" s="13"/>
      <c r="J1344" s="13"/>
      <c r="K1344" s="13"/>
      <c r="M1344" s="13"/>
      <c r="N1344" s="13"/>
      <c r="Q1344" s="13"/>
      <c r="V1344" s="13"/>
      <c r="Y1344" s="14"/>
      <c r="Z1344" s="14"/>
      <c r="AA1344" s="14"/>
      <c r="AB1344" s="14"/>
      <c r="AC1344" s="14"/>
      <c r="AD1344" s="14"/>
      <c r="AE1344" s="14"/>
      <c r="AF1344" s="13"/>
      <c r="AM1344" s="14"/>
      <c r="AN1344" s="11"/>
      <c r="AO1344" s="12"/>
      <c r="AP1344" s="11"/>
      <c r="AQ1344" s="11"/>
      <c r="AR1344" s="11"/>
      <c r="AS1344" s="11"/>
      <c r="AT1344" s="11"/>
    </row>
    <row r="1345" spans="1:46" ht="13">
      <c r="A1345" s="11"/>
      <c r="G1345" s="12"/>
      <c r="I1345" s="13"/>
      <c r="J1345" s="13"/>
      <c r="K1345" s="13"/>
      <c r="M1345" s="13"/>
      <c r="N1345" s="13"/>
      <c r="Q1345" s="13"/>
      <c r="V1345" s="13"/>
      <c r="Y1345" s="14"/>
      <c r="Z1345" s="14"/>
      <c r="AA1345" s="14"/>
      <c r="AB1345" s="14"/>
      <c r="AC1345" s="14"/>
      <c r="AD1345" s="14"/>
      <c r="AE1345" s="14"/>
      <c r="AF1345" s="13"/>
      <c r="AM1345" s="14"/>
      <c r="AN1345" s="11"/>
      <c r="AO1345" s="12"/>
      <c r="AP1345" s="11"/>
      <c r="AQ1345" s="11"/>
      <c r="AR1345" s="11"/>
      <c r="AS1345" s="11"/>
      <c r="AT1345" s="11"/>
    </row>
    <row r="1346" spans="1:46" ht="13">
      <c r="A1346" s="11"/>
      <c r="G1346" s="12"/>
      <c r="I1346" s="13"/>
      <c r="J1346" s="13"/>
      <c r="K1346" s="13"/>
      <c r="M1346" s="13"/>
      <c r="N1346" s="13"/>
      <c r="Q1346" s="13"/>
      <c r="V1346" s="13"/>
      <c r="Y1346" s="14"/>
      <c r="Z1346" s="14"/>
      <c r="AA1346" s="14"/>
      <c r="AB1346" s="14"/>
      <c r="AC1346" s="14"/>
      <c r="AD1346" s="14"/>
      <c r="AE1346" s="14"/>
      <c r="AF1346" s="13"/>
      <c r="AM1346" s="14"/>
      <c r="AN1346" s="11"/>
      <c r="AO1346" s="12"/>
      <c r="AP1346" s="11"/>
      <c r="AQ1346" s="11"/>
      <c r="AR1346" s="11"/>
      <c r="AS1346" s="11"/>
      <c r="AT1346" s="11"/>
    </row>
    <row r="1347" spans="1:46" ht="13">
      <c r="A1347" s="11"/>
      <c r="G1347" s="12"/>
      <c r="I1347" s="13"/>
      <c r="J1347" s="13"/>
      <c r="K1347" s="13"/>
      <c r="M1347" s="13"/>
      <c r="N1347" s="13"/>
      <c r="Q1347" s="13"/>
      <c r="V1347" s="13"/>
      <c r="Y1347" s="14"/>
      <c r="Z1347" s="14"/>
      <c r="AA1347" s="14"/>
      <c r="AB1347" s="14"/>
      <c r="AC1347" s="14"/>
      <c r="AD1347" s="14"/>
      <c r="AE1347" s="14"/>
      <c r="AF1347" s="13"/>
      <c r="AM1347" s="14"/>
      <c r="AN1347" s="11"/>
      <c r="AO1347" s="12"/>
      <c r="AP1347" s="11"/>
      <c r="AQ1347" s="11"/>
      <c r="AR1347" s="11"/>
      <c r="AS1347" s="11"/>
      <c r="AT1347" s="11"/>
    </row>
    <row r="1348" spans="1:46" ht="13">
      <c r="A1348" s="11"/>
      <c r="G1348" s="12"/>
      <c r="I1348" s="13"/>
      <c r="J1348" s="13"/>
      <c r="K1348" s="13"/>
      <c r="M1348" s="13"/>
      <c r="N1348" s="13"/>
      <c r="Q1348" s="13"/>
      <c r="V1348" s="13"/>
      <c r="Y1348" s="14"/>
      <c r="Z1348" s="14"/>
      <c r="AA1348" s="14"/>
      <c r="AB1348" s="14"/>
      <c r="AC1348" s="14"/>
      <c r="AD1348" s="14"/>
      <c r="AE1348" s="14"/>
      <c r="AF1348" s="13"/>
      <c r="AM1348" s="14"/>
      <c r="AN1348" s="11"/>
      <c r="AO1348" s="12"/>
      <c r="AP1348" s="11"/>
      <c r="AQ1348" s="11"/>
      <c r="AR1348" s="11"/>
      <c r="AS1348" s="11"/>
      <c r="AT1348" s="11"/>
    </row>
    <row r="1349" spans="1:46" ht="13">
      <c r="A1349" s="11"/>
      <c r="G1349" s="12"/>
      <c r="I1349" s="13"/>
      <c r="J1349" s="13"/>
      <c r="K1349" s="13"/>
      <c r="M1349" s="13"/>
      <c r="N1349" s="13"/>
      <c r="Q1349" s="13"/>
      <c r="V1349" s="13"/>
      <c r="Y1349" s="14"/>
      <c r="Z1349" s="14"/>
      <c r="AA1349" s="14"/>
      <c r="AB1349" s="14"/>
      <c r="AC1349" s="14"/>
      <c r="AD1349" s="14"/>
      <c r="AE1349" s="14"/>
      <c r="AF1349" s="13"/>
      <c r="AM1349" s="14"/>
      <c r="AN1349" s="11"/>
      <c r="AO1349" s="12"/>
      <c r="AP1349" s="11"/>
      <c r="AQ1349" s="11"/>
      <c r="AR1349" s="11"/>
      <c r="AS1349" s="11"/>
      <c r="AT1349" s="11"/>
    </row>
    <row r="1350" spans="1:46" ht="13">
      <c r="A1350" s="11"/>
      <c r="G1350" s="12"/>
      <c r="I1350" s="13"/>
      <c r="J1350" s="13"/>
      <c r="K1350" s="13"/>
      <c r="M1350" s="13"/>
      <c r="N1350" s="13"/>
      <c r="Q1350" s="13"/>
      <c r="V1350" s="13"/>
      <c r="Y1350" s="14"/>
      <c r="Z1350" s="14"/>
      <c r="AA1350" s="14"/>
      <c r="AB1350" s="14"/>
      <c r="AC1350" s="14"/>
      <c r="AD1350" s="14"/>
      <c r="AE1350" s="14"/>
      <c r="AF1350" s="13"/>
      <c r="AM1350" s="14"/>
      <c r="AN1350" s="11"/>
      <c r="AO1350" s="12"/>
      <c r="AP1350" s="11"/>
      <c r="AQ1350" s="11"/>
      <c r="AR1350" s="11"/>
      <c r="AS1350" s="11"/>
      <c r="AT1350" s="11"/>
    </row>
    <row r="1351" spans="1:46" ht="13">
      <c r="A1351" s="11"/>
      <c r="G1351" s="12"/>
      <c r="I1351" s="13"/>
      <c r="J1351" s="13"/>
      <c r="K1351" s="13"/>
      <c r="M1351" s="13"/>
      <c r="N1351" s="13"/>
      <c r="Q1351" s="13"/>
      <c r="V1351" s="13"/>
      <c r="Y1351" s="14"/>
      <c r="Z1351" s="14"/>
      <c r="AA1351" s="14"/>
      <c r="AB1351" s="14"/>
      <c r="AC1351" s="14"/>
      <c r="AD1351" s="14"/>
      <c r="AE1351" s="14"/>
      <c r="AF1351" s="13"/>
      <c r="AM1351" s="14"/>
      <c r="AN1351" s="11"/>
      <c r="AO1351" s="12"/>
      <c r="AP1351" s="11"/>
      <c r="AQ1351" s="11"/>
      <c r="AR1351" s="11"/>
      <c r="AS1351" s="11"/>
      <c r="AT1351" s="11"/>
    </row>
    <row r="1352" spans="1:46" ht="13">
      <c r="A1352" s="11"/>
      <c r="G1352" s="12"/>
      <c r="I1352" s="13"/>
      <c r="J1352" s="13"/>
      <c r="K1352" s="13"/>
      <c r="M1352" s="13"/>
      <c r="N1352" s="13"/>
      <c r="Q1352" s="13"/>
      <c r="V1352" s="13"/>
      <c r="Y1352" s="14"/>
      <c r="Z1352" s="14"/>
      <c r="AA1352" s="14"/>
      <c r="AB1352" s="14"/>
      <c r="AC1352" s="14"/>
      <c r="AD1352" s="14"/>
      <c r="AE1352" s="14"/>
      <c r="AF1352" s="13"/>
      <c r="AM1352" s="14"/>
      <c r="AN1352" s="11"/>
      <c r="AO1352" s="12"/>
      <c r="AP1352" s="11"/>
      <c r="AQ1352" s="11"/>
      <c r="AR1352" s="11"/>
      <c r="AS1352" s="11"/>
      <c r="AT1352" s="11"/>
    </row>
    <row r="1353" spans="1:46" ht="13">
      <c r="A1353" s="11"/>
      <c r="G1353" s="12"/>
      <c r="I1353" s="13"/>
      <c r="J1353" s="13"/>
      <c r="K1353" s="13"/>
      <c r="M1353" s="13"/>
      <c r="N1353" s="13"/>
      <c r="Q1353" s="13"/>
      <c r="V1353" s="13"/>
      <c r="Y1353" s="14"/>
      <c r="Z1353" s="14"/>
      <c r="AA1353" s="14"/>
      <c r="AB1353" s="14"/>
      <c r="AC1353" s="14"/>
      <c r="AD1353" s="14"/>
      <c r="AE1353" s="14"/>
      <c r="AF1353" s="13"/>
      <c r="AM1353" s="14"/>
      <c r="AN1353" s="11"/>
      <c r="AO1353" s="12"/>
      <c r="AP1353" s="11"/>
      <c r="AQ1353" s="11"/>
      <c r="AR1353" s="11"/>
      <c r="AS1353" s="11"/>
      <c r="AT1353" s="11"/>
    </row>
    <row r="1354" spans="1:46" ht="13">
      <c r="A1354" s="11"/>
      <c r="G1354" s="12"/>
      <c r="I1354" s="13"/>
      <c r="J1354" s="13"/>
      <c r="K1354" s="13"/>
      <c r="M1354" s="13"/>
      <c r="N1354" s="13"/>
      <c r="Q1354" s="13"/>
      <c r="V1354" s="13"/>
      <c r="Y1354" s="14"/>
      <c r="Z1354" s="14"/>
      <c r="AA1354" s="14"/>
      <c r="AB1354" s="14"/>
      <c r="AC1354" s="14"/>
      <c r="AD1354" s="14"/>
      <c r="AE1354" s="14"/>
      <c r="AF1354" s="13"/>
      <c r="AM1354" s="14"/>
      <c r="AN1354" s="11"/>
      <c r="AO1354" s="12"/>
      <c r="AP1354" s="11"/>
      <c r="AQ1354" s="11"/>
      <c r="AR1354" s="11"/>
      <c r="AS1354" s="11"/>
      <c r="AT1354" s="11"/>
    </row>
    <row r="1355" spans="1:46" ht="13">
      <c r="A1355" s="11"/>
      <c r="G1355" s="12"/>
      <c r="I1355" s="13"/>
      <c r="J1355" s="13"/>
      <c r="K1355" s="13"/>
      <c r="M1355" s="13"/>
      <c r="N1355" s="13"/>
      <c r="Q1355" s="13"/>
      <c r="V1355" s="13"/>
      <c r="Y1355" s="14"/>
      <c r="Z1355" s="14"/>
      <c r="AA1355" s="14"/>
      <c r="AB1355" s="14"/>
      <c r="AC1355" s="14"/>
      <c r="AD1355" s="14"/>
      <c r="AE1355" s="14"/>
      <c r="AF1355" s="13"/>
      <c r="AM1355" s="14"/>
      <c r="AN1355" s="11"/>
      <c r="AO1355" s="12"/>
      <c r="AP1355" s="11"/>
      <c r="AQ1355" s="11"/>
      <c r="AR1355" s="11"/>
      <c r="AS1355" s="11"/>
      <c r="AT1355" s="11"/>
    </row>
    <row r="1356" spans="1:46" ht="13">
      <c r="A1356" s="11"/>
      <c r="G1356" s="12"/>
      <c r="I1356" s="13"/>
      <c r="J1356" s="13"/>
      <c r="K1356" s="13"/>
      <c r="M1356" s="13"/>
      <c r="N1356" s="13"/>
      <c r="Q1356" s="13"/>
      <c r="V1356" s="13"/>
      <c r="Y1356" s="14"/>
      <c r="Z1356" s="14"/>
      <c r="AA1356" s="14"/>
      <c r="AB1356" s="14"/>
      <c r="AC1356" s="14"/>
      <c r="AD1356" s="14"/>
      <c r="AE1356" s="14"/>
      <c r="AF1356" s="13"/>
      <c r="AM1356" s="14"/>
      <c r="AN1356" s="11"/>
      <c r="AO1356" s="12"/>
      <c r="AP1356" s="11"/>
      <c r="AQ1356" s="11"/>
      <c r="AR1356" s="11"/>
      <c r="AS1356" s="11"/>
      <c r="AT1356" s="11"/>
    </row>
    <row r="1357" spans="1:46" ht="13">
      <c r="A1357" s="11"/>
      <c r="G1357" s="12"/>
      <c r="I1357" s="13"/>
      <c r="J1357" s="13"/>
      <c r="K1357" s="13"/>
      <c r="M1357" s="13"/>
      <c r="N1357" s="13"/>
      <c r="Q1357" s="13"/>
      <c r="V1357" s="13"/>
      <c r="Y1357" s="14"/>
      <c r="Z1357" s="14"/>
      <c r="AA1357" s="14"/>
      <c r="AB1357" s="14"/>
      <c r="AC1357" s="14"/>
      <c r="AD1357" s="14"/>
      <c r="AE1357" s="14"/>
      <c r="AF1357" s="13"/>
      <c r="AM1357" s="14"/>
      <c r="AN1357" s="11"/>
      <c r="AO1357" s="12"/>
      <c r="AP1357" s="11"/>
      <c r="AQ1357" s="11"/>
      <c r="AR1357" s="11"/>
      <c r="AS1357" s="11"/>
      <c r="AT1357" s="11"/>
    </row>
    <row r="1358" spans="1:46" ht="13">
      <c r="A1358" s="11"/>
      <c r="G1358" s="12"/>
      <c r="I1358" s="13"/>
      <c r="J1358" s="13"/>
      <c r="K1358" s="13"/>
      <c r="M1358" s="13"/>
      <c r="N1358" s="13"/>
      <c r="Q1358" s="13"/>
      <c r="V1358" s="13"/>
      <c r="Y1358" s="14"/>
      <c r="Z1358" s="14"/>
      <c r="AA1358" s="14"/>
      <c r="AB1358" s="14"/>
      <c r="AC1358" s="14"/>
      <c r="AD1358" s="14"/>
      <c r="AE1358" s="14"/>
      <c r="AF1358" s="13"/>
      <c r="AM1358" s="14"/>
      <c r="AN1358" s="11"/>
      <c r="AO1358" s="12"/>
      <c r="AP1358" s="11"/>
      <c r="AQ1358" s="11"/>
      <c r="AR1358" s="11"/>
      <c r="AS1358" s="11"/>
      <c r="AT1358" s="11"/>
    </row>
    <row r="1359" spans="1:46" ht="13">
      <c r="A1359" s="11"/>
      <c r="G1359" s="12"/>
      <c r="I1359" s="13"/>
      <c r="J1359" s="13"/>
      <c r="K1359" s="13"/>
      <c r="M1359" s="13"/>
      <c r="N1359" s="13"/>
      <c r="Q1359" s="13"/>
      <c r="V1359" s="13"/>
      <c r="Y1359" s="14"/>
      <c r="Z1359" s="14"/>
      <c r="AA1359" s="14"/>
      <c r="AB1359" s="14"/>
      <c r="AC1359" s="14"/>
      <c r="AD1359" s="14"/>
      <c r="AE1359" s="14"/>
      <c r="AF1359" s="13"/>
      <c r="AM1359" s="14"/>
      <c r="AN1359" s="11"/>
      <c r="AO1359" s="12"/>
      <c r="AP1359" s="11"/>
      <c r="AQ1359" s="11"/>
      <c r="AR1359" s="11"/>
      <c r="AS1359" s="11"/>
      <c r="AT1359" s="11"/>
    </row>
    <row r="1360" spans="1:46" ht="13">
      <c r="A1360" s="11"/>
      <c r="G1360" s="12"/>
      <c r="I1360" s="13"/>
      <c r="J1360" s="13"/>
      <c r="K1360" s="13"/>
      <c r="M1360" s="13"/>
      <c r="N1360" s="13"/>
      <c r="Q1360" s="13"/>
      <c r="V1360" s="13"/>
      <c r="Y1360" s="14"/>
      <c r="Z1360" s="14"/>
      <c r="AA1360" s="14"/>
      <c r="AB1360" s="14"/>
      <c r="AC1360" s="14"/>
      <c r="AD1360" s="14"/>
      <c r="AE1360" s="14"/>
      <c r="AF1360" s="13"/>
      <c r="AM1360" s="14"/>
      <c r="AN1360" s="11"/>
      <c r="AO1360" s="12"/>
      <c r="AP1360" s="11"/>
      <c r="AQ1360" s="11"/>
      <c r="AR1360" s="11"/>
      <c r="AS1360" s="11"/>
      <c r="AT1360" s="11"/>
    </row>
    <row r="1361" spans="1:46" ht="13">
      <c r="A1361" s="11"/>
      <c r="G1361" s="12"/>
      <c r="I1361" s="13"/>
      <c r="J1361" s="13"/>
      <c r="K1361" s="13"/>
      <c r="M1361" s="13"/>
      <c r="N1361" s="13"/>
      <c r="Q1361" s="13"/>
      <c r="V1361" s="13"/>
      <c r="Y1361" s="14"/>
      <c r="Z1361" s="14"/>
      <c r="AA1361" s="14"/>
      <c r="AB1361" s="14"/>
      <c r="AC1361" s="14"/>
      <c r="AD1361" s="14"/>
      <c r="AE1361" s="14"/>
      <c r="AF1361" s="13"/>
      <c r="AM1361" s="14"/>
      <c r="AN1361" s="11"/>
      <c r="AO1361" s="12"/>
      <c r="AP1361" s="11"/>
      <c r="AQ1361" s="11"/>
      <c r="AR1361" s="11"/>
      <c r="AS1361" s="11"/>
      <c r="AT1361" s="11"/>
    </row>
    <row r="1362" spans="1:46" ht="13">
      <c r="A1362" s="11"/>
      <c r="G1362" s="12"/>
      <c r="I1362" s="13"/>
      <c r="J1362" s="13"/>
      <c r="K1362" s="13"/>
      <c r="M1362" s="13"/>
      <c r="N1362" s="13"/>
      <c r="Q1362" s="13"/>
      <c r="V1362" s="13"/>
      <c r="Y1362" s="14"/>
      <c r="Z1362" s="14"/>
      <c r="AA1362" s="14"/>
      <c r="AB1362" s="14"/>
      <c r="AC1362" s="14"/>
      <c r="AD1362" s="14"/>
      <c r="AE1362" s="14"/>
      <c r="AF1362" s="13"/>
      <c r="AM1362" s="14"/>
      <c r="AN1362" s="11"/>
      <c r="AO1362" s="12"/>
      <c r="AP1362" s="11"/>
      <c r="AQ1362" s="11"/>
      <c r="AR1362" s="11"/>
      <c r="AS1362" s="11"/>
      <c r="AT1362" s="11"/>
    </row>
    <row r="1363" spans="1:46" ht="13">
      <c r="A1363" s="11"/>
      <c r="G1363" s="12"/>
      <c r="I1363" s="13"/>
      <c r="J1363" s="13"/>
      <c r="K1363" s="13"/>
      <c r="M1363" s="13"/>
      <c r="N1363" s="13"/>
      <c r="Q1363" s="13"/>
      <c r="V1363" s="13"/>
      <c r="Y1363" s="14"/>
      <c r="Z1363" s="14"/>
      <c r="AA1363" s="14"/>
      <c r="AB1363" s="14"/>
      <c r="AC1363" s="14"/>
      <c r="AD1363" s="14"/>
      <c r="AE1363" s="14"/>
      <c r="AF1363" s="13"/>
      <c r="AM1363" s="14"/>
      <c r="AN1363" s="11"/>
      <c r="AO1363" s="12"/>
      <c r="AP1363" s="11"/>
      <c r="AQ1363" s="11"/>
      <c r="AR1363" s="11"/>
      <c r="AS1363" s="11"/>
      <c r="AT1363" s="11"/>
    </row>
    <row r="1364" spans="1:46" ht="13">
      <c r="A1364" s="11"/>
      <c r="G1364" s="12"/>
      <c r="I1364" s="13"/>
      <c r="J1364" s="13"/>
      <c r="K1364" s="13"/>
      <c r="M1364" s="13"/>
      <c r="N1364" s="13"/>
      <c r="Q1364" s="13"/>
      <c r="V1364" s="13"/>
      <c r="Y1364" s="14"/>
      <c r="Z1364" s="14"/>
      <c r="AA1364" s="14"/>
      <c r="AB1364" s="14"/>
      <c r="AC1364" s="14"/>
      <c r="AD1364" s="14"/>
      <c r="AE1364" s="14"/>
      <c r="AF1364" s="13"/>
      <c r="AM1364" s="14"/>
      <c r="AN1364" s="11"/>
      <c r="AO1364" s="12"/>
      <c r="AP1364" s="11"/>
      <c r="AQ1364" s="11"/>
      <c r="AR1364" s="11"/>
      <c r="AS1364" s="11"/>
      <c r="AT1364" s="11"/>
    </row>
    <row r="1365" spans="1:46" ht="13">
      <c r="A1365" s="11"/>
      <c r="G1365" s="12"/>
      <c r="I1365" s="13"/>
      <c r="J1365" s="13"/>
      <c r="K1365" s="13"/>
      <c r="M1365" s="13"/>
      <c r="N1365" s="13"/>
      <c r="Q1365" s="13"/>
      <c r="V1365" s="13"/>
      <c r="Y1365" s="14"/>
      <c r="Z1365" s="14"/>
      <c r="AA1365" s="14"/>
      <c r="AB1365" s="14"/>
      <c r="AC1365" s="14"/>
      <c r="AD1365" s="14"/>
      <c r="AE1365" s="14"/>
      <c r="AF1365" s="13"/>
      <c r="AM1365" s="14"/>
      <c r="AN1365" s="11"/>
      <c r="AO1365" s="12"/>
      <c r="AP1365" s="11"/>
      <c r="AQ1365" s="11"/>
      <c r="AR1365" s="11"/>
      <c r="AS1365" s="11"/>
      <c r="AT1365" s="11"/>
    </row>
    <row r="1366" spans="1:46" ht="13">
      <c r="A1366" s="11"/>
      <c r="G1366" s="12"/>
      <c r="I1366" s="13"/>
      <c r="J1366" s="13"/>
      <c r="K1366" s="13"/>
      <c r="M1366" s="13"/>
      <c r="N1366" s="13"/>
      <c r="Q1366" s="13"/>
      <c r="V1366" s="13"/>
      <c r="Y1366" s="14"/>
      <c r="Z1366" s="14"/>
      <c r="AA1366" s="14"/>
      <c r="AB1366" s="14"/>
      <c r="AC1366" s="14"/>
      <c r="AD1366" s="14"/>
      <c r="AE1366" s="14"/>
      <c r="AF1366" s="13"/>
      <c r="AM1366" s="14"/>
      <c r="AN1366" s="11"/>
      <c r="AO1366" s="12"/>
      <c r="AP1366" s="11"/>
      <c r="AQ1366" s="11"/>
      <c r="AR1366" s="11"/>
      <c r="AS1366" s="11"/>
      <c r="AT1366" s="11"/>
    </row>
    <row r="1367" spans="1:46" ht="13">
      <c r="A1367" s="11"/>
      <c r="G1367" s="12"/>
      <c r="I1367" s="13"/>
      <c r="J1367" s="13"/>
      <c r="K1367" s="13"/>
      <c r="M1367" s="13"/>
      <c r="N1367" s="13"/>
      <c r="Q1367" s="13"/>
      <c r="V1367" s="13"/>
      <c r="Y1367" s="14"/>
      <c r="Z1367" s="14"/>
      <c r="AA1367" s="14"/>
      <c r="AB1367" s="14"/>
      <c r="AC1367" s="14"/>
      <c r="AD1367" s="14"/>
      <c r="AE1367" s="14"/>
      <c r="AF1367" s="13"/>
      <c r="AM1367" s="14"/>
      <c r="AN1367" s="11"/>
      <c r="AO1367" s="12"/>
      <c r="AP1367" s="11"/>
      <c r="AQ1367" s="11"/>
      <c r="AR1367" s="11"/>
      <c r="AS1367" s="11"/>
      <c r="AT1367" s="11"/>
    </row>
    <row r="1368" spans="1:46" ht="13">
      <c r="A1368" s="11"/>
      <c r="G1368" s="12"/>
      <c r="I1368" s="13"/>
      <c r="J1368" s="13"/>
      <c r="K1368" s="13"/>
      <c r="M1368" s="13"/>
      <c r="N1368" s="13"/>
      <c r="Q1368" s="13"/>
      <c r="V1368" s="13"/>
      <c r="Y1368" s="14"/>
      <c r="Z1368" s="14"/>
      <c r="AA1368" s="14"/>
      <c r="AB1368" s="14"/>
      <c r="AC1368" s="14"/>
      <c r="AD1368" s="14"/>
      <c r="AE1368" s="14"/>
      <c r="AF1368" s="13"/>
      <c r="AM1368" s="14"/>
      <c r="AN1368" s="11"/>
      <c r="AO1368" s="12"/>
      <c r="AP1368" s="11"/>
      <c r="AQ1368" s="11"/>
      <c r="AR1368" s="11"/>
      <c r="AS1368" s="11"/>
      <c r="AT1368" s="11"/>
    </row>
    <row r="1369" spans="1:46" ht="13">
      <c r="A1369" s="11"/>
      <c r="G1369" s="12"/>
      <c r="I1369" s="13"/>
      <c r="J1369" s="13"/>
      <c r="K1369" s="13"/>
      <c r="M1369" s="13"/>
      <c r="N1369" s="13"/>
      <c r="Q1369" s="13"/>
      <c r="V1369" s="13"/>
      <c r="Y1369" s="14"/>
      <c r="Z1369" s="14"/>
      <c r="AA1369" s="14"/>
      <c r="AB1369" s="14"/>
      <c r="AC1369" s="14"/>
      <c r="AD1369" s="14"/>
      <c r="AE1369" s="14"/>
      <c r="AF1369" s="13"/>
      <c r="AM1369" s="14"/>
      <c r="AN1369" s="11"/>
      <c r="AO1369" s="12"/>
      <c r="AP1369" s="11"/>
      <c r="AQ1369" s="11"/>
      <c r="AR1369" s="11"/>
      <c r="AS1369" s="11"/>
      <c r="AT1369" s="11"/>
    </row>
    <row r="1370" spans="1:46" ht="13">
      <c r="A1370" s="11"/>
      <c r="G1370" s="12"/>
      <c r="I1370" s="13"/>
      <c r="J1370" s="13"/>
      <c r="K1370" s="13"/>
      <c r="M1370" s="13"/>
      <c r="N1370" s="13"/>
      <c r="Q1370" s="13"/>
      <c r="V1370" s="13"/>
      <c r="Y1370" s="14"/>
      <c r="Z1370" s="14"/>
      <c r="AA1370" s="14"/>
      <c r="AB1370" s="14"/>
      <c r="AC1370" s="14"/>
      <c r="AD1370" s="14"/>
      <c r="AE1370" s="14"/>
      <c r="AF1370" s="13"/>
      <c r="AM1370" s="14"/>
      <c r="AN1370" s="11"/>
      <c r="AO1370" s="12"/>
      <c r="AP1370" s="11"/>
      <c r="AQ1370" s="11"/>
      <c r="AR1370" s="11"/>
      <c r="AS1370" s="11"/>
      <c r="AT1370" s="11"/>
    </row>
    <row r="1371" spans="1:46" ht="13">
      <c r="A1371" s="11"/>
      <c r="G1371" s="12"/>
      <c r="I1371" s="13"/>
      <c r="J1371" s="13"/>
      <c r="K1371" s="13"/>
      <c r="M1371" s="13"/>
      <c r="N1371" s="13"/>
      <c r="Q1371" s="13"/>
      <c r="V1371" s="13"/>
      <c r="Y1371" s="14"/>
      <c r="Z1371" s="14"/>
      <c r="AA1371" s="14"/>
      <c r="AB1371" s="14"/>
      <c r="AC1371" s="14"/>
      <c r="AD1371" s="14"/>
      <c r="AE1371" s="14"/>
      <c r="AF1371" s="13"/>
      <c r="AM1371" s="14"/>
      <c r="AN1371" s="11"/>
      <c r="AO1371" s="12"/>
      <c r="AP1371" s="11"/>
      <c r="AQ1371" s="11"/>
      <c r="AR1371" s="11"/>
      <c r="AS1371" s="11"/>
      <c r="AT1371" s="11"/>
    </row>
    <row r="1372" spans="1:46" ht="13">
      <c r="A1372" s="11"/>
      <c r="G1372" s="12"/>
      <c r="I1372" s="13"/>
      <c r="J1372" s="13"/>
      <c r="K1372" s="13"/>
      <c r="M1372" s="13"/>
      <c r="N1372" s="13"/>
      <c r="Q1372" s="13"/>
      <c r="V1372" s="13"/>
      <c r="Y1372" s="14"/>
      <c r="Z1372" s="14"/>
      <c r="AA1372" s="14"/>
      <c r="AB1372" s="14"/>
      <c r="AC1372" s="14"/>
      <c r="AD1372" s="14"/>
      <c r="AE1372" s="14"/>
      <c r="AF1372" s="13"/>
      <c r="AM1372" s="14"/>
      <c r="AN1372" s="11"/>
      <c r="AO1372" s="12"/>
      <c r="AP1372" s="11"/>
      <c r="AQ1372" s="11"/>
      <c r="AR1372" s="11"/>
      <c r="AS1372" s="11"/>
      <c r="AT1372" s="11"/>
    </row>
    <row r="1373" spans="1:46" ht="13">
      <c r="A1373" s="11"/>
      <c r="G1373" s="12"/>
      <c r="I1373" s="13"/>
      <c r="J1373" s="13"/>
      <c r="K1373" s="13"/>
      <c r="M1373" s="13"/>
      <c r="N1373" s="13"/>
      <c r="Q1373" s="13"/>
      <c r="V1373" s="13"/>
      <c r="Y1373" s="14"/>
      <c r="Z1373" s="14"/>
      <c r="AA1373" s="14"/>
      <c r="AB1373" s="14"/>
      <c r="AC1373" s="14"/>
      <c r="AD1373" s="14"/>
      <c r="AE1373" s="14"/>
      <c r="AF1373" s="13"/>
      <c r="AM1373" s="14"/>
      <c r="AN1373" s="11"/>
      <c r="AO1373" s="12"/>
      <c r="AP1373" s="11"/>
      <c r="AQ1373" s="11"/>
      <c r="AR1373" s="11"/>
      <c r="AS1373" s="11"/>
      <c r="AT1373" s="11"/>
    </row>
    <row r="1374" spans="1:46" ht="13">
      <c r="A1374" s="11"/>
      <c r="G1374" s="12"/>
      <c r="I1374" s="13"/>
      <c r="J1374" s="13"/>
      <c r="K1374" s="13"/>
      <c r="M1374" s="13"/>
      <c r="N1374" s="13"/>
      <c r="Q1374" s="13"/>
      <c r="V1374" s="13"/>
      <c r="Y1374" s="14"/>
      <c r="Z1374" s="14"/>
      <c r="AA1374" s="14"/>
      <c r="AB1374" s="14"/>
      <c r="AC1374" s="14"/>
      <c r="AD1374" s="14"/>
      <c r="AE1374" s="14"/>
      <c r="AF1374" s="13"/>
      <c r="AM1374" s="14"/>
      <c r="AN1374" s="11"/>
      <c r="AO1374" s="12"/>
      <c r="AP1374" s="11"/>
      <c r="AQ1374" s="11"/>
      <c r="AR1374" s="11"/>
      <c r="AS1374" s="11"/>
      <c r="AT1374" s="11"/>
    </row>
    <row r="1375" spans="1:46" ht="13">
      <c r="A1375" s="11"/>
      <c r="G1375" s="12"/>
      <c r="I1375" s="13"/>
      <c r="J1375" s="13"/>
      <c r="K1375" s="13"/>
      <c r="M1375" s="13"/>
      <c r="N1375" s="13"/>
      <c r="Q1375" s="13"/>
      <c r="V1375" s="13"/>
      <c r="Y1375" s="14"/>
      <c r="Z1375" s="14"/>
      <c r="AA1375" s="14"/>
      <c r="AB1375" s="14"/>
      <c r="AC1375" s="14"/>
      <c r="AD1375" s="14"/>
      <c r="AE1375" s="14"/>
      <c r="AF1375" s="13"/>
      <c r="AM1375" s="14"/>
      <c r="AN1375" s="11"/>
      <c r="AO1375" s="12"/>
      <c r="AP1375" s="11"/>
      <c r="AQ1375" s="11"/>
      <c r="AR1375" s="11"/>
      <c r="AS1375" s="11"/>
      <c r="AT1375" s="11"/>
    </row>
    <row r="1376" spans="1:46" ht="13">
      <c r="A1376" s="11"/>
      <c r="G1376" s="12"/>
      <c r="I1376" s="13"/>
      <c r="J1376" s="13"/>
      <c r="K1376" s="13"/>
      <c r="M1376" s="13"/>
      <c r="N1376" s="13"/>
      <c r="Q1376" s="13"/>
      <c r="V1376" s="13"/>
      <c r="Y1376" s="14"/>
      <c r="Z1376" s="14"/>
      <c r="AA1376" s="14"/>
      <c r="AB1376" s="14"/>
      <c r="AC1376" s="14"/>
      <c r="AD1376" s="14"/>
      <c r="AE1376" s="14"/>
      <c r="AF1376" s="13"/>
      <c r="AM1376" s="14"/>
      <c r="AN1376" s="11"/>
      <c r="AO1376" s="12"/>
      <c r="AP1376" s="11"/>
      <c r="AQ1376" s="11"/>
      <c r="AR1376" s="11"/>
      <c r="AS1376" s="11"/>
      <c r="AT1376" s="11"/>
    </row>
    <row r="1377" spans="1:46" ht="13">
      <c r="A1377" s="11"/>
      <c r="G1377" s="12"/>
      <c r="I1377" s="13"/>
      <c r="J1377" s="13"/>
      <c r="K1377" s="13"/>
      <c r="M1377" s="13"/>
      <c r="N1377" s="13"/>
      <c r="Q1377" s="13"/>
      <c r="V1377" s="13"/>
      <c r="Y1377" s="14"/>
      <c r="Z1377" s="14"/>
      <c r="AA1377" s="14"/>
      <c r="AB1377" s="14"/>
      <c r="AC1377" s="14"/>
      <c r="AD1377" s="14"/>
      <c r="AE1377" s="14"/>
      <c r="AF1377" s="13"/>
      <c r="AM1377" s="14"/>
      <c r="AN1377" s="11"/>
      <c r="AO1377" s="12"/>
      <c r="AP1377" s="11"/>
      <c r="AQ1377" s="11"/>
      <c r="AR1377" s="11"/>
      <c r="AS1377" s="11"/>
      <c r="AT1377" s="11"/>
    </row>
    <row r="1378" spans="1:46" ht="13">
      <c r="A1378" s="11"/>
      <c r="G1378" s="12"/>
      <c r="I1378" s="13"/>
      <c r="J1378" s="13"/>
      <c r="K1378" s="13"/>
      <c r="M1378" s="13"/>
      <c r="N1378" s="13"/>
      <c r="Q1378" s="13"/>
      <c r="V1378" s="13"/>
      <c r="Y1378" s="14"/>
      <c r="Z1378" s="14"/>
      <c r="AA1378" s="14"/>
      <c r="AB1378" s="14"/>
      <c r="AC1378" s="14"/>
      <c r="AD1378" s="14"/>
      <c r="AE1378" s="14"/>
      <c r="AF1378" s="13"/>
      <c r="AM1378" s="14"/>
      <c r="AN1378" s="11"/>
      <c r="AO1378" s="12"/>
      <c r="AP1378" s="11"/>
      <c r="AQ1378" s="11"/>
      <c r="AR1378" s="11"/>
      <c r="AS1378" s="11"/>
      <c r="AT1378" s="11"/>
    </row>
    <row r="1379" spans="1:46" ht="13">
      <c r="A1379" s="11"/>
      <c r="G1379" s="12"/>
      <c r="I1379" s="13"/>
      <c r="J1379" s="13"/>
      <c r="K1379" s="13"/>
      <c r="M1379" s="13"/>
      <c r="N1379" s="13"/>
      <c r="Q1379" s="13"/>
      <c r="V1379" s="13"/>
      <c r="Y1379" s="14"/>
      <c r="Z1379" s="14"/>
      <c r="AA1379" s="14"/>
      <c r="AB1379" s="14"/>
      <c r="AC1379" s="14"/>
      <c r="AD1379" s="14"/>
      <c r="AE1379" s="14"/>
      <c r="AF1379" s="13"/>
      <c r="AM1379" s="14"/>
      <c r="AN1379" s="11"/>
      <c r="AO1379" s="12"/>
      <c r="AP1379" s="11"/>
      <c r="AQ1379" s="11"/>
      <c r="AR1379" s="11"/>
      <c r="AS1379" s="11"/>
      <c r="AT1379" s="11"/>
    </row>
    <row r="1380" spans="1:46" ht="13">
      <c r="A1380" s="11"/>
      <c r="G1380" s="12"/>
      <c r="I1380" s="13"/>
      <c r="J1380" s="13"/>
      <c r="K1380" s="13"/>
      <c r="M1380" s="13"/>
      <c r="N1380" s="13"/>
      <c r="Q1380" s="13"/>
      <c r="V1380" s="13"/>
      <c r="Y1380" s="14"/>
      <c r="Z1380" s="14"/>
      <c r="AA1380" s="14"/>
      <c r="AB1380" s="14"/>
      <c r="AC1380" s="14"/>
      <c r="AD1380" s="14"/>
      <c r="AE1380" s="14"/>
      <c r="AF1380" s="13"/>
      <c r="AM1380" s="14"/>
      <c r="AN1380" s="11"/>
      <c r="AO1380" s="12"/>
      <c r="AP1380" s="11"/>
      <c r="AQ1380" s="11"/>
      <c r="AR1380" s="11"/>
      <c r="AS1380" s="11"/>
      <c r="AT1380" s="11"/>
    </row>
    <row r="1381" spans="1:46" ht="13">
      <c r="A1381" s="11"/>
      <c r="G1381" s="12"/>
      <c r="I1381" s="13"/>
      <c r="J1381" s="13"/>
      <c r="K1381" s="13"/>
      <c r="M1381" s="13"/>
      <c r="N1381" s="13"/>
      <c r="Q1381" s="13"/>
      <c r="V1381" s="13"/>
      <c r="Y1381" s="14"/>
      <c r="Z1381" s="14"/>
      <c r="AA1381" s="14"/>
      <c r="AB1381" s="14"/>
      <c r="AC1381" s="14"/>
      <c r="AD1381" s="14"/>
      <c r="AE1381" s="14"/>
      <c r="AF1381" s="13"/>
      <c r="AM1381" s="14"/>
      <c r="AN1381" s="11"/>
      <c r="AO1381" s="12"/>
      <c r="AP1381" s="11"/>
      <c r="AQ1381" s="11"/>
      <c r="AR1381" s="11"/>
      <c r="AS1381" s="11"/>
      <c r="AT1381" s="11"/>
    </row>
    <row r="1382" spans="1:46" ht="13">
      <c r="A1382" s="11"/>
      <c r="G1382" s="12"/>
      <c r="I1382" s="13"/>
      <c r="J1382" s="13"/>
      <c r="K1382" s="13"/>
      <c r="M1382" s="13"/>
      <c r="N1382" s="13"/>
      <c r="Q1382" s="13"/>
      <c r="V1382" s="13"/>
      <c r="Y1382" s="14"/>
      <c r="Z1382" s="14"/>
      <c r="AA1382" s="14"/>
      <c r="AB1382" s="14"/>
      <c r="AC1382" s="14"/>
      <c r="AD1382" s="14"/>
      <c r="AE1382" s="14"/>
      <c r="AF1382" s="13"/>
      <c r="AM1382" s="14"/>
      <c r="AN1382" s="11"/>
      <c r="AO1382" s="12"/>
      <c r="AP1382" s="11"/>
      <c r="AQ1382" s="11"/>
      <c r="AR1382" s="11"/>
      <c r="AS1382" s="11"/>
      <c r="AT1382" s="11"/>
    </row>
    <row r="1383" spans="1:46" ht="13">
      <c r="A1383" s="11"/>
      <c r="G1383" s="12"/>
      <c r="I1383" s="13"/>
      <c r="J1383" s="13"/>
      <c r="K1383" s="13"/>
      <c r="M1383" s="13"/>
      <c r="N1383" s="13"/>
      <c r="Q1383" s="13"/>
      <c r="V1383" s="13"/>
      <c r="Y1383" s="14"/>
      <c r="Z1383" s="14"/>
      <c r="AA1383" s="14"/>
      <c r="AB1383" s="14"/>
      <c r="AC1383" s="14"/>
      <c r="AD1383" s="14"/>
      <c r="AE1383" s="14"/>
      <c r="AF1383" s="13"/>
      <c r="AM1383" s="14"/>
      <c r="AN1383" s="11"/>
      <c r="AO1383" s="12"/>
      <c r="AP1383" s="11"/>
      <c r="AQ1383" s="11"/>
      <c r="AR1383" s="11"/>
      <c r="AS1383" s="11"/>
      <c r="AT1383" s="11"/>
    </row>
    <row r="1384" spans="1:46" ht="13">
      <c r="A1384" s="11"/>
      <c r="G1384" s="12"/>
      <c r="I1384" s="13"/>
      <c r="J1384" s="13"/>
      <c r="K1384" s="13"/>
      <c r="M1384" s="13"/>
      <c r="N1384" s="13"/>
      <c r="Q1384" s="13"/>
      <c r="V1384" s="13"/>
      <c r="Y1384" s="14"/>
      <c r="Z1384" s="14"/>
      <c r="AA1384" s="14"/>
      <c r="AB1384" s="14"/>
      <c r="AC1384" s="14"/>
      <c r="AD1384" s="14"/>
      <c r="AE1384" s="14"/>
      <c r="AF1384" s="13"/>
      <c r="AM1384" s="14"/>
      <c r="AN1384" s="11"/>
      <c r="AO1384" s="12"/>
      <c r="AP1384" s="11"/>
      <c r="AQ1384" s="11"/>
      <c r="AR1384" s="11"/>
      <c r="AS1384" s="11"/>
      <c r="AT1384" s="11"/>
    </row>
    <row r="1385" spans="1:46" ht="13">
      <c r="A1385" s="11"/>
      <c r="G1385" s="12"/>
      <c r="I1385" s="13"/>
      <c r="J1385" s="13"/>
      <c r="K1385" s="13"/>
      <c r="M1385" s="13"/>
      <c r="N1385" s="13"/>
      <c r="Q1385" s="13"/>
      <c r="V1385" s="13"/>
      <c r="Y1385" s="14"/>
      <c r="Z1385" s="14"/>
      <c r="AA1385" s="14"/>
      <c r="AB1385" s="14"/>
      <c r="AC1385" s="14"/>
      <c r="AD1385" s="14"/>
      <c r="AE1385" s="14"/>
      <c r="AF1385" s="13"/>
      <c r="AM1385" s="14"/>
      <c r="AN1385" s="11"/>
      <c r="AO1385" s="12"/>
      <c r="AP1385" s="11"/>
      <c r="AQ1385" s="11"/>
      <c r="AR1385" s="11"/>
      <c r="AS1385" s="11"/>
      <c r="AT1385" s="11"/>
    </row>
    <row r="1386" spans="1:46" ht="13">
      <c r="A1386" s="11"/>
      <c r="G1386" s="12"/>
      <c r="I1386" s="13"/>
      <c r="J1386" s="13"/>
      <c r="K1386" s="13"/>
      <c r="M1386" s="13"/>
      <c r="N1386" s="13"/>
      <c r="Q1386" s="13"/>
      <c r="V1386" s="13"/>
      <c r="Y1386" s="14"/>
      <c r="Z1386" s="14"/>
      <c r="AA1386" s="14"/>
      <c r="AB1386" s="14"/>
      <c r="AC1386" s="14"/>
      <c r="AD1386" s="14"/>
      <c r="AE1386" s="14"/>
      <c r="AF1386" s="13"/>
      <c r="AM1386" s="14"/>
      <c r="AN1386" s="11"/>
      <c r="AO1386" s="12"/>
      <c r="AP1386" s="11"/>
      <c r="AQ1386" s="11"/>
      <c r="AR1386" s="11"/>
      <c r="AS1386" s="11"/>
      <c r="AT1386" s="11"/>
    </row>
    <row r="1387" spans="1:46" ht="13">
      <c r="A1387" s="11"/>
      <c r="G1387" s="12"/>
      <c r="I1387" s="13"/>
      <c r="J1387" s="13"/>
      <c r="K1387" s="13"/>
      <c r="M1387" s="13"/>
      <c r="N1387" s="13"/>
      <c r="Q1387" s="13"/>
      <c r="V1387" s="13"/>
      <c r="Y1387" s="14"/>
      <c r="Z1387" s="14"/>
      <c r="AA1387" s="14"/>
      <c r="AB1387" s="14"/>
      <c r="AC1387" s="14"/>
      <c r="AD1387" s="14"/>
      <c r="AE1387" s="14"/>
      <c r="AF1387" s="13"/>
      <c r="AM1387" s="14"/>
      <c r="AN1387" s="11"/>
      <c r="AO1387" s="12"/>
      <c r="AP1387" s="11"/>
      <c r="AQ1387" s="11"/>
      <c r="AR1387" s="11"/>
      <c r="AS1387" s="11"/>
      <c r="AT1387" s="11"/>
    </row>
    <row r="1388" spans="1:46" ht="13">
      <c r="A1388" s="11"/>
      <c r="G1388" s="12"/>
      <c r="I1388" s="13"/>
      <c r="J1388" s="13"/>
      <c r="K1388" s="13"/>
      <c r="M1388" s="13"/>
      <c r="N1388" s="13"/>
      <c r="Q1388" s="13"/>
      <c r="V1388" s="13"/>
      <c r="Y1388" s="14"/>
      <c r="Z1388" s="14"/>
      <c r="AA1388" s="14"/>
      <c r="AB1388" s="14"/>
      <c r="AC1388" s="14"/>
      <c r="AD1388" s="14"/>
      <c r="AE1388" s="14"/>
      <c r="AF1388" s="13"/>
      <c r="AM1388" s="14"/>
      <c r="AN1388" s="11"/>
      <c r="AO1388" s="12"/>
      <c r="AP1388" s="11"/>
      <c r="AQ1388" s="11"/>
      <c r="AR1388" s="11"/>
      <c r="AS1388" s="11"/>
      <c r="AT1388" s="11"/>
    </row>
    <row r="1389" spans="1:46" ht="13">
      <c r="A1389" s="11"/>
      <c r="G1389" s="12"/>
      <c r="I1389" s="13"/>
      <c r="J1389" s="13"/>
      <c r="K1389" s="13"/>
      <c r="M1389" s="13"/>
      <c r="N1389" s="13"/>
      <c r="Q1389" s="13"/>
      <c r="V1389" s="13"/>
      <c r="Y1389" s="14"/>
      <c r="Z1389" s="14"/>
      <c r="AA1389" s="14"/>
      <c r="AB1389" s="14"/>
      <c r="AC1389" s="14"/>
      <c r="AD1389" s="14"/>
      <c r="AE1389" s="14"/>
      <c r="AF1389" s="13"/>
      <c r="AM1389" s="14"/>
      <c r="AN1389" s="11"/>
      <c r="AO1389" s="12"/>
      <c r="AP1389" s="11"/>
      <c r="AQ1389" s="11"/>
      <c r="AR1389" s="11"/>
      <c r="AS1389" s="11"/>
      <c r="AT1389" s="11"/>
    </row>
    <row r="1390" spans="1:46" ht="13">
      <c r="A1390" s="11"/>
      <c r="G1390" s="12"/>
      <c r="I1390" s="13"/>
      <c r="J1390" s="13"/>
      <c r="K1390" s="13"/>
      <c r="M1390" s="13"/>
      <c r="N1390" s="13"/>
      <c r="Q1390" s="13"/>
      <c r="V1390" s="13"/>
      <c r="Y1390" s="14"/>
      <c r="Z1390" s="14"/>
      <c r="AA1390" s="14"/>
      <c r="AB1390" s="14"/>
      <c r="AC1390" s="14"/>
      <c r="AD1390" s="14"/>
      <c r="AE1390" s="14"/>
      <c r="AF1390" s="13"/>
      <c r="AM1390" s="14"/>
      <c r="AN1390" s="11"/>
      <c r="AO1390" s="12"/>
      <c r="AP1390" s="11"/>
      <c r="AQ1390" s="11"/>
      <c r="AR1390" s="11"/>
      <c r="AS1390" s="11"/>
      <c r="AT1390" s="11"/>
    </row>
    <row r="1391" spans="1:46" ht="13">
      <c r="A1391" s="11"/>
      <c r="G1391" s="12"/>
      <c r="I1391" s="13"/>
      <c r="J1391" s="13"/>
      <c r="K1391" s="13"/>
      <c r="M1391" s="13"/>
      <c r="N1391" s="13"/>
      <c r="Q1391" s="13"/>
      <c r="V1391" s="13"/>
      <c r="Y1391" s="14"/>
      <c r="Z1391" s="14"/>
      <c r="AA1391" s="14"/>
      <c r="AB1391" s="14"/>
      <c r="AC1391" s="14"/>
      <c r="AD1391" s="14"/>
      <c r="AE1391" s="14"/>
      <c r="AF1391" s="13"/>
      <c r="AM1391" s="14"/>
      <c r="AN1391" s="11"/>
      <c r="AO1391" s="12"/>
      <c r="AP1391" s="11"/>
      <c r="AQ1391" s="11"/>
      <c r="AR1391" s="11"/>
      <c r="AS1391" s="11"/>
      <c r="AT1391" s="11"/>
    </row>
    <row r="1392" spans="1:46" ht="13">
      <c r="A1392" s="11"/>
      <c r="G1392" s="12"/>
      <c r="I1392" s="13"/>
      <c r="J1392" s="13"/>
      <c r="K1392" s="13"/>
      <c r="M1392" s="13"/>
      <c r="N1392" s="13"/>
      <c r="Q1392" s="13"/>
      <c r="V1392" s="13"/>
      <c r="Y1392" s="14"/>
      <c r="Z1392" s="14"/>
      <c r="AA1392" s="14"/>
      <c r="AB1392" s="14"/>
      <c r="AC1392" s="14"/>
      <c r="AD1392" s="14"/>
      <c r="AE1392" s="14"/>
      <c r="AF1392" s="13"/>
      <c r="AM1392" s="14"/>
      <c r="AN1392" s="11"/>
      <c r="AO1392" s="12"/>
      <c r="AP1392" s="11"/>
      <c r="AQ1392" s="11"/>
      <c r="AR1392" s="11"/>
      <c r="AS1392" s="11"/>
      <c r="AT1392" s="11"/>
    </row>
    <row r="1393" spans="1:46" ht="13">
      <c r="A1393" s="11"/>
      <c r="G1393" s="12"/>
      <c r="I1393" s="13"/>
      <c r="J1393" s="13"/>
      <c r="K1393" s="13"/>
      <c r="M1393" s="13"/>
      <c r="N1393" s="13"/>
      <c r="Q1393" s="13"/>
      <c r="V1393" s="13"/>
      <c r="Y1393" s="14"/>
      <c r="Z1393" s="14"/>
      <c r="AA1393" s="14"/>
      <c r="AB1393" s="14"/>
      <c r="AC1393" s="14"/>
      <c r="AD1393" s="14"/>
      <c r="AE1393" s="14"/>
      <c r="AF1393" s="13"/>
      <c r="AM1393" s="14"/>
      <c r="AN1393" s="11"/>
      <c r="AO1393" s="12"/>
      <c r="AP1393" s="11"/>
      <c r="AQ1393" s="11"/>
      <c r="AR1393" s="11"/>
      <c r="AS1393" s="11"/>
      <c r="AT1393" s="11"/>
    </row>
    <row r="1394" spans="1:46" ht="13">
      <c r="A1394" s="11"/>
      <c r="G1394" s="12"/>
      <c r="I1394" s="13"/>
      <c r="J1394" s="13"/>
      <c r="K1394" s="13"/>
      <c r="M1394" s="13"/>
      <c r="N1394" s="13"/>
      <c r="Q1394" s="13"/>
      <c r="V1394" s="13"/>
      <c r="Y1394" s="14"/>
      <c r="Z1394" s="14"/>
      <c r="AA1394" s="14"/>
      <c r="AB1394" s="14"/>
      <c r="AC1394" s="14"/>
      <c r="AD1394" s="14"/>
      <c r="AE1394" s="14"/>
      <c r="AF1394" s="13"/>
      <c r="AM1394" s="14"/>
      <c r="AN1394" s="11"/>
      <c r="AO1394" s="12"/>
      <c r="AP1394" s="11"/>
      <c r="AQ1394" s="11"/>
      <c r="AR1394" s="11"/>
      <c r="AS1394" s="11"/>
      <c r="AT1394" s="11"/>
    </row>
    <row r="1395" spans="1:46" ht="13">
      <c r="A1395" s="11"/>
      <c r="G1395" s="12"/>
      <c r="I1395" s="13"/>
      <c r="J1395" s="13"/>
      <c r="K1395" s="13"/>
      <c r="M1395" s="13"/>
      <c r="N1395" s="13"/>
      <c r="Q1395" s="13"/>
      <c r="V1395" s="13"/>
      <c r="Y1395" s="14"/>
      <c r="Z1395" s="14"/>
      <c r="AA1395" s="14"/>
      <c r="AB1395" s="14"/>
      <c r="AC1395" s="14"/>
      <c r="AD1395" s="14"/>
      <c r="AE1395" s="14"/>
      <c r="AF1395" s="13"/>
      <c r="AM1395" s="14"/>
      <c r="AN1395" s="11"/>
      <c r="AO1395" s="12"/>
      <c r="AP1395" s="11"/>
      <c r="AQ1395" s="11"/>
      <c r="AR1395" s="11"/>
      <c r="AS1395" s="11"/>
      <c r="AT1395" s="11"/>
    </row>
    <row r="1396" spans="1:46" ht="13">
      <c r="A1396" s="11"/>
      <c r="G1396" s="12"/>
      <c r="I1396" s="13"/>
      <c r="J1396" s="13"/>
      <c r="K1396" s="13"/>
      <c r="M1396" s="13"/>
      <c r="N1396" s="13"/>
      <c r="Q1396" s="13"/>
      <c r="V1396" s="13"/>
      <c r="Y1396" s="14"/>
      <c r="Z1396" s="14"/>
      <c r="AA1396" s="14"/>
      <c r="AB1396" s="14"/>
      <c r="AC1396" s="14"/>
      <c r="AD1396" s="14"/>
      <c r="AE1396" s="14"/>
      <c r="AF1396" s="13"/>
      <c r="AM1396" s="14"/>
      <c r="AN1396" s="11"/>
      <c r="AO1396" s="12"/>
      <c r="AP1396" s="11"/>
      <c r="AQ1396" s="11"/>
      <c r="AR1396" s="11"/>
      <c r="AS1396" s="11"/>
      <c r="AT1396" s="11"/>
    </row>
    <row r="1397" spans="1:46" ht="13">
      <c r="A1397" s="11"/>
      <c r="G1397" s="12"/>
      <c r="I1397" s="13"/>
      <c r="J1397" s="13"/>
      <c r="K1397" s="13"/>
      <c r="M1397" s="13"/>
      <c r="N1397" s="13"/>
      <c r="Q1397" s="13"/>
      <c r="V1397" s="13"/>
      <c r="Y1397" s="14"/>
      <c r="Z1397" s="14"/>
      <c r="AA1397" s="14"/>
      <c r="AB1397" s="14"/>
      <c r="AC1397" s="14"/>
      <c r="AD1397" s="14"/>
      <c r="AE1397" s="14"/>
      <c r="AF1397" s="13"/>
      <c r="AM1397" s="14"/>
      <c r="AN1397" s="11"/>
      <c r="AO1397" s="12"/>
      <c r="AP1397" s="11"/>
      <c r="AQ1397" s="11"/>
      <c r="AR1397" s="11"/>
      <c r="AS1397" s="11"/>
      <c r="AT1397" s="11"/>
    </row>
    <row r="1398" spans="1:46" ht="13">
      <c r="A1398" s="11"/>
      <c r="G1398" s="12"/>
      <c r="I1398" s="13"/>
      <c r="J1398" s="13"/>
      <c r="K1398" s="13"/>
      <c r="M1398" s="13"/>
      <c r="N1398" s="13"/>
      <c r="Q1398" s="13"/>
      <c r="V1398" s="13"/>
      <c r="Y1398" s="14"/>
      <c r="Z1398" s="14"/>
      <c r="AA1398" s="14"/>
      <c r="AB1398" s="14"/>
      <c r="AC1398" s="14"/>
      <c r="AD1398" s="14"/>
      <c r="AE1398" s="14"/>
      <c r="AF1398" s="13"/>
      <c r="AM1398" s="14"/>
      <c r="AN1398" s="11"/>
      <c r="AO1398" s="12"/>
      <c r="AP1398" s="11"/>
      <c r="AQ1398" s="11"/>
      <c r="AR1398" s="11"/>
      <c r="AS1398" s="11"/>
      <c r="AT1398" s="11"/>
    </row>
    <row r="1399" spans="1:46" ht="13">
      <c r="A1399" s="11"/>
      <c r="G1399" s="12"/>
      <c r="I1399" s="13"/>
      <c r="J1399" s="13"/>
      <c r="K1399" s="13"/>
      <c r="M1399" s="13"/>
      <c r="N1399" s="13"/>
      <c r="Q1399" s="13"/>
      <c r="V1399" s="13"/>
      <c r="Y1399" s="14"/>
      <c r="Z1399" s="14"/>
      <c r="AA1399" s="14"/>
      <c r="AB1399" s="14"/>
      <c r="AC1399" s="14"/>
      <c r="AD1399" s="14"/>
      <c r="AE1399" s="14"/>
      <c r="AF1399" s="13"/>
      <c r="AM1399" s="14"/>
      <c r="AN1399" s="11"/>
      <c r="AO1399" s="12"/>
      <c r="AP1399" s="11"/>
      <c r="AQ1399" s="11"/>
      <c r="AR1399" s="11"/>
      <c r="AS1399" s="11"/>
      <c r="AT1399" s="11"/>
    </row>
    <row r="1400" spans="1:46" ht="13">
      <c r="A1400" s="11"/>
      <c r="G1400" s="12"/>
      <c r="I1400" s="13"/>
      <c r="J1400" s="13"/>
      <c r="K1400" s="13"/>
      <c r="M1400" s="13"/>
      <c r="N1400" s="13"/>
      <c r="Q1400" s="13"/>
      <c r="V1400" s="13"/>
      <c r="Y1400" s="14"/>
      <c r="Z1400" s="14"/>
      <c r="AA1400" s="14"/>
      <c r="AB1400" s="14"/>
      <c r="AC1400" s="14"/>
      <c r="AD1400" s="14"/>
      <c r="AE1400" s="14"/>
      <c r="AF1400" s="13"/>
      <c r="AM1400" s="14"/>
      <c r="AN1400" s="11"/>
      <c r="AO1400" s="12"/>
      <c r="AP1400" s="11"/>
      <c r="AQ1400" s="11"/>
      <c r="AR1400" s="11"/>
      <c r="AS1400" s="11"/>
      <c r="AT1400" s="11"/>
    </row>
    <row r="1401" spans="1:46" ht="13">
      <c r="A1401" s="11"/>
      <c r="G1401" s="12"/>
      <c r="I1401" s="13"/>
      <c r="J1401" s="13"/>
      <c r="K1401" s="13"/>
      <c r="M1401" s="13"/>
      <c r="N1401" s="13"/>
      <c r="Q1401" s="13"/>
      <c r="V1401" s="13"/>
      <c r="Y1401" s="14"/>
      <c r="Z1401" s="14"/>
      <c r="AA1401" s="14"/>
      <c r="AB1401" s="14"/>
      <c r="AC1401" s="14"/>
      <c r="AD1401" s="14"/>
      <c r="AE1401" s="14"/>
      <c r="AF1401" s="13"/>
      <c r="AM1401" s="14"/>
      <c r="AN1401" s="11"/>
      <c r="AO1401" s="12"/>
      <c r="AP1401" s="11"/>
      <c r="AQ1401" s="11"/>
      <c r="AR1401" s="11"/>
      <c r="AS1401" s="11"/>
      <c r="AT1401" s="11"/>
    </row>
    <row r="1402" spans="1:46" ht="13">
      <c r="A1402" s="11"/>
      <c r="G1402" s="12"/>
      <c r="I1402" s="13"/>
      <c r="J1402" s="13"/>
      <c r="K1402" s="13"/>
      <c r="M1402" s="13"/>
      <c r="N1402" s="13"/>
      <c r="Q1402" s="13"/>
      <c r="V1402" s="13"/>
      <c r="Y1402" s="14"/>
      <c r="Z1402" s="14"/>
      <c r="AA1402" s="14"/>
      <c r="AB1402" s="14"/>
      <c r="AC1402" s="14"/>
      <c r="AD1402" s="14"/>
      <c r="AE1402" s="14"/>
      <c r="AF1402" s="13"/>
      <c r="AM1402" s="14"/>
      <c r="AN1402" s="11"/>
      <c r="AO1402" s="12"/>
      <c r="AP1402" s="11"/>
      <c r="AQ1402" s="11"/>
      <c r="AR1402" s="11"/>
      <c r="AS1402" s="11"/>
      <c r="AT1402" s="11"/>
    </row>
    <row r="1403" spans="1:46" ht="13">
      <c r="A1403" s="11"/>
      <c r="G1403" s="12"/>
      <c r="I1403" s="13"/>
      <c r="J1403" s="13"/>
      <c r="K1403" s="13"/>
      <c r="M1403" s="13"/>
      <c r="N1403" s="13"/>
      <c r="Q1403" s="13"/>
      <c r="V1403" s="13"/>
      <c r="Y1403" s="14"/>
      <c r="Z1403" s="14"/>
      <c r="AA1403" s="14"/>
      <c r="AB1403" s="14"/>
      <c r="AC1403" s="14"/>
      <c r="AD1403" s="14"/>
      <c r="AE1403" s="14"/>
      <c r="AF1403" s="13"/>
      <c r="AM1403" s="14"/>
      <c r="AN1403" s="11"/>
      <c r="AO1403" s="12"/>
      <c r="AP1403" s="11"/>
      <c r="AQ1403" s="11"/>
      <c r="AR1403" s="11"/>
      <c r="AS1403" s="11"/>
      <c r="AT1403" s="11"/>
    </row>
    <row r="1404" spans="1:46" ht="13">
      <c r="A1404" s="11"/>
      <c r="G1404" s="12"/>
      <c r="I1404" s="13"/>
      <c r="J1404" s="13"/>
      <c r="K1404" s="13"/>
      <c r="M1404" s="13"/>
      <c r="N1404" s="13"/>
      <c r="Q1404" s="13"/>
      <c r="V1404" s="13"/>
      <c r="Y1404" s="14"/>
      <c r="Z1404" s="14"/>
      <c r="AA1404" s="14"/>
      <c r="AB1404" s="14"/>
      <c r="AC1404" s="14"/>
      <c r="AD1404" s="14"/>
      <c r="AE1404" s="14"/>
      <c r="AF1404" s="13"/>
      <c r="AM1404" s="14"/>
      <c r="AN1404" s="11"/>
      <c r="AO1404" s="12"/>
      <c r="AP1404" s="11"/>
      <c r="AQ1404" s="11"/>
      <c r="AR1404" s="11"/>
      <c r="AS1404" s="11"/>
      <c r="AT1404" s="11"/>
    </row>
    <row r="1405" spans="1:46" ht="13">
      <c r="A1405" s="11"/>
      <c r="G1405" s="12"/>
      <c r="I1405" s="13"/>
      <c r="J1405" s="13"/>
      <c r="K1405" s="13"/>
      <c r="M1405" s="13"/>
      <c r="N1405" s="13"/>
      <c r="Q1405" s="13"/>
      <c r="V1405" s="13"/>
      <c r="Y1405" s="14"/>
      <c r="Z1405" s="14"/>
      <c r="AA1405" s="14"/>
      <c r="AB1405" s="14"/>
      <c r="AC1405" s="14"/>
      <c r="AD1405" s="14"/>
      <c r="AE1405" s="14"/>
      <c r="AF1405" s="13"/>
      <c r="AM1405" s="14"/>
      <c r="AN1405" s="11"/>
      <c r="AO1405" s="12"/>
      <c r="AP1405" s="11"/>
      <c r="AQ1405" s="11"/>
      <c r="AR1405" s="11"/>
      <c r="AS1405" s="11"/>
      <c r="AT1405" s="11"/>
    </row>
    <row r="1406" spans="1:46" ht="13">
      <c r="A1406" s="11"/>
      <c r="G1406" s="12"/>
      <c r="I1406" s="13"/>
      <c r="J1406" s="13"/>
      <c r="K1406" s="13"/>
      <c r="M1406" s="13"/>
      <c r="N1406" s="13"/>
      <c r="Q1406" s="13"/>
      <c r="V1406" s="13"/>
      <c r="Y1406" s="14"/>
      <c r="Z1406" s="14"/>
      <c r="AA1406" s="14"/>
      <c r="AB1406" s="14"/>
      <c r="AC1406" s="14"/>
      <c r="AD1406" s="14"/>
      <c r="AE1406" s="14"/>
      <c r="AF1406" s="13"/>
      <c r="AM1406" s="14"/>
      <c r="AN1406" s="11"/>
      <c r="AO1406" s="12"/>
      <c r="AP1406" s="11"/>
      <c r="AQ1406" s="11"/>
      <c r="AR1406" s="11"/>
      <c r="AS1406" s="11"/>
      <c r="AT1406" s="11"/>
    </row>
    <row r="1407" spans="1:46" ht="13">
      <c r="A1407" s="11"/>
      <c r="G1407" s="12"/>
      <c r="I1407" s="13"/>
      <c r="J1407" s="13"/>
      <c r="K1407" s="13"/>
      <c r="M1407" s="13"/>
      <c r="N1407" s="13"/>
      <c r="Q1407" s="13"/>
      <c r="V1407" s="13"/>
      <c r="Y1407" s="14"/>
      <c r="Z1407" s="14"/>
      <c r="AA1407" s="14"/>
      <c r="AB1407" s="14"/>
      <c r="AC1407" s="14"/>
      <c r="AD1407" s="14"/>
      <c r="AE1407" s="14"/>
      <c r="AF1407" s="13"/>
      <c r="AM1407" s="14"/>
      <c r="AN1407" s="11"/>
      <c r="AO1407" s="12"/>
      <c r="AP1407" s="11"/>
      <c r="AQ1407" s="11"/>
      <c r="AR1407" s="11"/>
      <c r="AS1407" s="11"/>
      <c r="AT1407" s="11"/>
    </row>
    <row r="1408" spans="1:46" ht="13">
      <c r="A1408" s="11"/>
      <c r="G1408" s="12"/>
      <c r="I1408" s="13"/>
      <c r="J1408" s="13"/>
      <c r="K1408" s="13"/>
      <c r="M1408" s="13"/>
      <c r="N1408" s="13"/>
      <c r="Q1408" s="13"/>
      <c r="V1408" s="13"/>
      <c r="Y1408" s="14"/>
      <c r="Z1408" s="14"/>
      <c r="AA1408" s="14"/>
      <c r="AB1408" s="14"/>
      <c r="AC1408" s="14"/>
      <c r="AD1408" s="14"/>
      <c r="AE1408" s="14"/>
      <c r="AF1408" s="13"/>
      <c r="AM1408" s="14"/>
      <c r="AN1408" s="11"/>
      <c r="AO1408" s="12"/>
      <c r="AP1408" s="11"/>
      <c r="AQ1408" s="11"/>
      <c r="AR1408" s="11"/>
      <c r="AS1408" s="11"/>
      <c r="AT1408" s="11"/>
    </row>
    <row r="1409" spans="1:46" ht="13">
      <c r="A1409" s="11"/>
      <c r="G1409" s="12"/>
      <c r="I1409" s="13"/>
      <c r="J1409" s="13"/>
      <c r="K1409" s="13"/>
      <c r="M1409" s="13"/>
      <c r="N1409" s="13"/>
      <c r="Q1409" s="13"/>
      <c r="V1409" s="13"/>
      <c r="Y1409" s="14"/>
      <c r="Z1409" s="14"/>
      <c r="AA1409" s="14"/>
      <c r="AB1409" s="14"/>
      <c r="AC1409" s="14"/>
      <c r="AD1409" s="14"/>
      <c r="AE1409" s="14"/>
      <c r="AF1409" s="13"/>
      <c r="AM1409" s="14"/>
      <c r="AN1409" s="11"/>
      <c r="AO1409" s="12"/>
      <c r="AP1409" s="11"/>
      <c r="AQ1409" s="11"/>
      <c r="AR1409" s="11"/>
      <c r="AS1409" s="11"/>
      <c r="AT1409" s="11"/>
    </row>
    <row r="1410" spans="1:46" ht="13">
      <c r="A1410" s="11"/>
      <c r="G1410" s="12"/>
      <c r="I1410" s="13"/>
      <c r="J1410" s="13"/>
      <c r="K1410" s="13"/>
      <c r="M1410" s="13"/>
      <c r="N1410" s="13"/>
      <c r="Q1410" s="13"/>
      <c r="V1410" s="13"/>
      <c r="Y1410" s="14"/>
      <c r="Z1410" s="14"/>
      <c r="AA1410" s="14"/>
      <c r="AB1410" s="14"/>
      <c r="AC1410" s="14"/>
      <c r="AD1410" s="14"/>
      <c r="AE1410" s="14"/>
      <c r="AF1410" s="13"/>
      <c r="AM1410" s="14"/>
      <c r="AN1410" s="11"/>
      <c r="AO1410" s="12"/>
      <c r="AP1410" s="11"/>
      <c r="AQ1410" s="11"/>
      <c r="AR1410" s="11"/>
      <c r="AS1410" s="11"/>
      <c r="AT1410" s="11"/>
    </row>
    <row r="1411" spans="1:46" ht="13">
      <c r="A1411" s="11"/>
      <c r="G1411" s="12"/>
      <c r="I1411" s="13"/>
      <c r="J1411" s="13"/>
      <c r="K1411" s="13"/>
      <c r="M1411" s="13"/>
      <c r="N1411" s="13"/>
      <c r="Q1411" s="13"/>
      <c r="V1411" s="13"/>
      <c r="Y1411" s="14"/>
      <c r="Z1411" s="14"/>
      <c r="AA1411" s="14"/>
      <c r="AB1411" s="14"/>
      <c r="AC1411" s="14"/>
      <c r="AD1411" s="14"/>
      <c r="AE1411" s="14"/>
      <c r="AF1411" s="13"/>
      <c r="AM1411" s="14"/>
      <c r="AN1411" s="11"/>
      <c r="AO1411" s="12"/>
      <c r="AP1411" s="11"/>
      <c r="AQ1411" s="11"/>
      <c r="AR1411" s="11"/>
      <c r="AS1411" s="11"/>
      <c r="AT1411" s="11"/>
    </row>
    <row r="1412" spans="1:46" ht="13">
      <c r="A1412" s="11"/>
      <c r="G1412" s="12"/>
      <c r="I1412" s="13"/>
      <c r="J1412" s="13"/>
      <c r="K1412" s="13"/>
      <c r="M1412" s="13"/>
      <c r="N1412" s="13"/>
      <c r="Q1412" s="13"/>
      <c r="V1412" s="13"/>
      <c r="Y1412" s="14"/>
      <c r="Z1412" s="14"/>
      <c r="AA1412" s="14"/>
      <c r="AB1412" s="14"/>
      <c r="AC1412" s="14"/>
      <c r="AD1412" s="14"/>
      <c r="AE1412" s="14"/>
      <c r="AF1412" s="13"/>
      <c r="AM1412" s="14"/>
      <c r="AN1412" s="11"/>
      <c r="AO1412" s="12"/>
      <c r="AP1412" s="11"/>
      <c r="AQ1412" s="11"/>
      <c r="AR1412" s="11"/>
      <c r="AS1412" s="11"/>
      <c r="AT1412" s="11"/>
    </row>
    <row r="1413" spans="1:46" ht="13">
      <c r="A1413" s="11"/>
      <c r="G1413" s="12"/>
      <c r="I1413" s="13"/>
      <c r="J1413" s="13"/>
      <c r="K1413" s="13"/>
      <c r="M1413" s="13"/>
      <c r="N1413" s="13"/>
      <c r="Q1413" s="13"/>
      <c r="V1413" s="13"/>
      <c r="Y1413" s="14"/>
      <c r="Z1413" s="14"/>
      <c r="AA1413" s="14"/>
      <c r="AB1413" s="14"/>
      <c r="AC1413" s="14"/>
      <c r="AD1413" s="14"/>
      <c r="AE1413" s="14"/>
      <c r="AF1413" s="13"/>
      <c r="AM1413" s="14"/>
      <c r="AN1413" s="11"/>
      <c r="AO1413" s="12"/>
      <c r="AP1413" s="11"/>
      <c r="AQ1413" s="11"/>
      <c r="AR1413" s="11"/>
      <c r="AS1413" s="11"/>
      <c r="AT1413" s="11"/>
    </row>
    <row r="1414" spans="1:46" ht="13">
      <c r="A1414" s="11"/>
      <c r="G1414" s="12"/>
      <c r="I1414" s="13"/>
      <c r="J1414" s="13"/>
      <c r="K1414" s="13"/>
      <c r="M1414" s="13"/>
      <c r="N1414" s="13"/>
      <c r="Q1414" s="13"/>
      <c r="V1414" s="13"/>
      <c r="Y1414" s="14"/>
      <c r="Z1414" s="14"/>
      <c r="AA1414" s="14"/>
      <c r="AB1414" s="14"/>
      <c r="AC1414" s="14"/>
      <c r="AD1414" s="14"/>
      <c r="AE1414" s="14"/>
      <c r="AF1414" s="13"/>
      <c r="AM1414" s="14"/>
      <c r="AN1414" s="11"/>
      <c r="AO1414" s="12"/>
      <c r="AP1414" s="11"/>
      <c r="AQ1414" s="11"/>
      <c r="AR1414" s="11"/>
      <c r="AS1414" s="11"/>
      <c r="AT1414" s="11"/>
    </row>
    <row r="1415" spans="1:46" ht="13">
      <c r="A1415" s="11"/>
      <c r="G1415" s="12"/>
      <c r="I1415" s="13"/>
      <c r="J1415" s="13"/>
      <c r="K1415" s="13"/>
      <c r="M1415" s="13"/>
      <c r="N1415" s="13"/>
      <c r="Q1415" s="13"/>
      <c r="V1415" s="13"/>
      <c r="Y1415" s="14"/>
      <c r="Z1415" s="14"/>
      <c r="AA1415" s="14"/>
      <c r="AB1415" s="14"/>
      <c r="AC1415" s="14"/>
      <c r="AD1415" s="14"/>
      <c r="AE1415" s="14"/>
      <c r="AF1415" s="13"/>
      <c r="AM1415" s="14"/>
      <c r="AN1415" s="11"/>
      <c r="AO1415" s="12"/>
      <c r="AP1415" s="11"/>
      <c r="AQ1415" s="11"/>
      <c r="AR1415" s="11"/>
      <c r="AS1415" s="11"/>
      <c r="AT1415" s="11"/>
    </row>
    <row r="1416" spans="1:46" ht="13">
      <c r="A1416" s="11"/>
      <c r="G1416" s="12"/>
      <c r="I1416" s="13"/>
      <c r="J1416" s="13"/>
      <c r="K1416" s="13"/>
      <c r="M1416" s="13"/>
      <c r="N1416" s="13"/>
      <c r="Q1416" s="13"/>
      <c r="V1416" s="13"/>
      <c r="Y1416" s="14"/>
      <c r="Z1416" s="14"/>
      <c r="AA1416" s="14"/>
      <c r="AB1416" s="14"/>
      <c r="AC1416" s="14"/>
      <c r="AD1416" s="14"/>
      <c r="AE1416" s="14"/>
      <c r="AF1416" s="13"/>
      <c r="AM1416" s="14"/>
      <c r="AN1416" s="11"/>
      <c r="AO1416" s="12"/>
      <c r="AP1416" s="11"/>
      <c r="AQ1416" s="11"/>
      <c r="AR1416" s="11"/>
      <c r="AS1416" s="11"/>
      <c r="AT1416" s="11"/>
    </row>
    <row r="1417" spans="1:46" ht="13">
      <c r="A1417" s="11"/>
      <c r="G1417" s="12"/>
      <c r="I1417" s="13"/>
      <c r="J1417" s="13"/>
      <c r="K1417" s="13"/>
      <c r="M1417" s="13"/>
      <c r="N1417" s="13"/>
      <c r="Q1417" s="13"/>
      <c r="V1417" s="13"/>
      <c r="Y1417" s="14"/>
      <c r="Z1417" s="14"/>
      <c r="AA1417" s="14"/>
      <c r="AB1417" s="14"/>
      <c r="AC1417" s="14"/>
      <c r="AD1417" s="14"/>
      <c r="AE1417" s="14"/>
      <c r="AF1417" s="13"/>
      <c r="AM1417" s="14"/>
      <c r="AN1417" s="11"/>
      <c r="AO1417" s="12"/>
      <c r="AP1417" s="11"/>
      <c r="AQ1417" s="11"/>
      <c r="AR1417" s="11"/>
      <c r="AS1417" s="11"/>
      <c r="AT1417" s="11"/>
    </row>
    <row r="1418" spans="1:46" ht="13">
      <c r="A1418" s="11"/>
      <c r="G1418" s="12"/>
      <c r="I1418" s="13"/>
      <c r="J1418" s="13"/>
      <c r="K1418" s="13"/>
      <c r="M1418" s="13"/>
      <c r="N1418" s="13"/>
      <c r="Q1418" s="13"/>
      <c r="V1418" s="13"/>
      <c r="Y1418" s="14"/>
      <c r="Z1418" s="14"/>
      <c r="AA1418" s="14"/>
      <c r="AB1418" s="14"/>
      <c r="AC1418" s="14"/>
      <c r="AD1418" s="14"/>
      <c r="AE1418" s="14"/>
      <c r="AF1418" s="13"/>
      <c r="AM1418" s="14"/>
      <c r="AN1418" s="11"/>
      <c r="AO1418" s="12"/>
      <c r="AP1418" s="11"/>
      <c r="AQ1418" s="11"/>
      <c r="AR1418" s="11"/>
      <c r="AS1418" s="11"/>
      <c r="AT1418" s="11"/>
    </row>
    <row r="1419" spans="1:46" ht="13">
      <c r="A1419" s="11"/>
      <c r="G1419" s="12"/>
      <c r="I1419" s="13"/>
      <c r="J1419" s="13"/>
      <c r="K1419" s="13"/>
      <c r="M1419" s="13"/>
      <c r="N1419" s="13"/>
      <c r="Q1419" s="13"/>
      <c r="V1419" s="13"/>
      <c r="Y1419" s="14"/>
      <c r="Z1419" s="14"/>
      <c r="AA1419" s="14"/>
      <c r="AB1419" s="14"/>
      <c r="AC1419" s="14"/>
      <c r="AD1419" s="14"/>
      <c r="AE1419" s="14"/>
      <c r="AF1419" s="13"/>
      <c r="AM1419" s="14"/>
      <c r="AN1419" s="11"/>
      <c r="AO1419" s="12"/>
      <c r="AP1419" s="11"/>
      <c r="AQ1419" s="11"/>
      <c r="AR1419" s="11"/>
      <c r="AS1419" s="11"/>
      <c r="AT1419" s="11"/>
    </row>
    <row r="1420" spans="1:46" ht="13">
      <c r="A1420" s="11"/>
      <c r="G1420" s="12"/>
      <c r="I1420" s="13"/>
      <c r="J1420" s="13"/>
      <c r="K1420" s="13"/>
      <c r="M1420" s="13"/>
      <c r="N1420" s="13"/>
      <c r="Q1420" s="13"/>
      <c r="V1420" s="13"/>
      <c r="Y1420" s="14"/>
      <c r="Z1420" s="14"/>
      <c r="AA1420" s="14"/>
      <c r="AB1420" s="14"/>
      <c r="AC1420" s="14"/>
      <c r="AD1420" s="14"/>
      <c r="AE1420" s="14"/>
      <c r="AF1420" s="13"/>
      <c r="AM1420" s="14"/>
      <c r="AN1420" s="11"/>
      <c r="AO1420" s="12"/>
      <c r="AP1420" s="11"/>
      <c r="AQ1420" s="11"/>
      <c r="AR1420" s="11"/>
      <c r="AS1420" s="11"/>
      <c r="AT1420" s="11"/>
    </row>
    <row r="1421" spans="1:46" ht="13">
      <c r="A1421" s="11"/>
      <c r="G1421" s="12"/>
      <c r="I1421" s="13"/>
      <c r="J1421" s="13"/>
      <c r="K1421" s="13"/>
      <c r="M1421" s="13"/>
      <c r="N1421" s="13"/>
      <c r="Q1421" s="13"/>
      <c r="V1421" s="13"/>
      <c r="Y1421" s="14"/>
      <c r="Z1421" s="14"/>
      <c r="AA1421" s="14"/>
      <c r="AB1421" s="14"/>
      <c r="AC1421" s="14"/>
      <c r="AD1421" s="14"/>
      <c r="AE1421" s="14"/>
      <c r="AF1421" s="13"/>
      <c r="AM1421" s="14"/>
      <c r="AN1421" s="11"/>
      <c r="AO1421" s="12"/>
      <c r="AP1421" s="11"/>
      <c r="AQ1421" s="11"/>
      <c r="AR1421" s="11"/>
      <c r="AS1421" s="11"/>
      <c r="AT1421" s="11"/>
    </row>
    <row r="1422" spans="1:46" ht="13">
      <c r="A1422" s="11"/>
      <c r="G1422" s="12"/>
      <c r="I1422" s="13"/>
      <c r="J1422" s="13"/>
      <c r="K1422" s="13"/>
      <c r="M1422" s="13"/>
      <c r="N1422" s="13"/>
      <c r="Q1422" s="13"/>
      <c r="V1422" s="13"/>
      <c r="Y1422" s="14"/>
      <c r="Z1422" s="14"/>
      <c r="AA1422" s="14"/>
      <c r="AB1422" s="14"/>
      <c r="AC1422" s="14"/>
      <c r="AD1422" s="14"/>
      <c r="AE1422" s="14"/>
      <c r="AF1422" s="13"/>
      <c r="AM1422" s="14"/>
      <c r="AN1422" s="11"/>
      <c r="AO1422" s="12"/>
      <c r="AP1422" s="11"/>
      <c r="AQ1422" s="11"/>
      <c r="AR1422" s="11"/>
      <c r="AS1422" s="11"/>
      <c r="AT1422" s="11"/>
    </row>
    <row r="1423" spans="1:46" ht="13">
      <c r="A1423" s="11"/>
      <c r="G1423" s="12"/>
      <c r="I1423" s="13"/>
      <c r="J1423" s="13"/>
      <c r="K1423" s="13"/>
      <c r="M1423" s="13"/>
      <c r="N1423" s="13"/>
      <c r="Q1423" s="13"/>
      <c r="V1423" s="13"/>
      <c r="Y1423" s="14"/>
      <c r="Z1423" s="14"/>
      <c r="AA1423" s="14"/>
      <c r="AB1423" s="14"/>
      <c r="AC1423" s="14"/>
      <c r="AD1423" s="14"/>
      <c r="AE1423" s="14"/>
      <c r="AF1423" s="13"/>
      <c r="AM1423" s="14"/>
      <c r="AN1423" s="11"/>
      <c r="AO1423" s="12"/>
      <c r="AP1423" s="11"/>
      <c r="AQ1423" s="11"/>
      <c r="AR1423" s="11"/>
      <c r="AS1423" s="11"/>
      <c r="AT1423" s="11"/>
    </row>
    <row r="1424" spans="1:46" ht="13">
      <c r="A1424" s="11"/>
      <c r="G1424" s="12"/>
      <c r="I1424" s="13"/>
      <c r="J1424" s="13"/>
      <c r="K1424" s="13"/>
      <c r="M1424" s="13"/>
      <c r="N1424" s="13"/>
      <c r="Q1424" s="13"/>
      <c r="V1424" s="13"/>
      <c r="Y1424" s="14"/>
      <c r="Z1424" s="14"/>
      <c r="AA1424" s="14"/>
      <c r="AB1424" s="14"/>
      <c r="AC1424" s="14"/>
      <c r="AD1424" s="14"/>
      <c r="AE1424" s="14"/>
      <c r="AF1424" s="13"/>
      <c r="AM1424" s="14"/>
      <c r="AN1424" s="11"/>
      <c r="AO1424" s="12"/>
      <c r="AP1424" s="11"/>
      <c r="AQ1424" s="11"/>
      <c r="AR1424" s="11"/>
      <c r="AS1424" s="11"/>
      <c r="AT1424" s="11"/>
    </row>
    <row r="1425" spans="1:46" ht="13">
      <c r="A1425" s="11"/>
      <c r="G1425" s="12"/>
      <c r="I1425" s="13"/>
      <c r="J1425" s="13"/>
      <c r="K1425" s="13"/>
      <c r="M1425" s="13"/>
      <c r="N1425" s="13"/>
      <c r="Q1425" s="13"/>
      <c r="V1425" s="13"/>
      <c r="Y1425" s="14"/>
      <c r="Z1425" s="14"/>
      <c r="AA1425" s="14"/>
      <c r="AB1425" s="14"/>
      <c r="AC1425" s="14"/>
      <c r="AD1425" s="14"/>
      <c r="AE1425" s="14"/>
      <c r="AF1425" s="13"/>
      <c r="AM1425" s="14"/>
      <c r="AN1425" s="11"/>
      <c r="AO1425" s="12"/>
      <c r="AP1425" s="11"/>
      <c r="AQ1425" s="11"/>
      <c r="AR1425" s="11"/>
      <c r="AS1425" s="11"/>
      <c r="AT1425" s="11"/>
    </row>
    <row r="1426" spans="1:46" ht="13">
      <c r="A1426" s="11"/>
      <c r="G1426" s="12"/>
      <c r="I1426" s="13"/>
      <c r="J1426" s="13"/>
      <c r="K1426" s="13"/>
      <c r="M1426" s="13"/>
      <c r="N1426" s="13"/>
      <c r="Q1426" s="13"/>
      <c r="V1426" s="13"/>
      <c r="Y1426" s="14"/>
      <c r="Z1426" s="14"/>
      <c r="AA1426" s="14"/>
      <c r="AB1426" s="14"/>
      <c r="AC1426" s="14"/>
      <c r="AD1426" s="14"/>
      <c r="AE1426" s="14"/>
      <c r="AF1426" s="13"/>
      <c r="AM1426" s="14"/>
      <c r="AN1426" s="11"/>
      <c r="AO1426" s="12"/>
      <c r="AP1426" s="11"/>
      <c r="AQ1426" s="11"/>
      <c r="AR1426" s="11"/>
      <c r="AS1426" s="11"/>
      <c r="AT1426" s="11"/>
    </row>
    <row r="1427" spans="1:46" ht="13">
      <c r="A1427" s="11"/>
      <c r="G1427" s="12"/>
      <c r="I1427" s="13"/>
      <c r="J1427" s="13"/>
      <c r="K1427" s="13"/>
      <c r="M1427" s="13"/>
      <c r="N1427" s="13"/>
      <c r="Q1427" s="13"/>
      <c r="V1427" s="13"/>
      <c r="Y1427" s="14"/>
      <c r="Z1427" s="14"/>
      <c r="AA1427" s="14"/>
      <c r="AB1427" s="14"/>
      <c r="AC1427" s="14"/>
      <c r="AD1427" s="14"/>
      <c r="AE1427" s="14"/>
      <c r="AF1427" s="13"/>
      <c r="AM1427" s="14"/>
      <c r="AN1427" s="11"/>
      <c r="AO1427" s="12"/>
      <c r="AP1427" s="11"/>
      <c r="AQ1427" s="11"/>
      <c r="AR1427" s="11"/>
      <c r="AS1427" s="11"/>
      <c r="AT1427" s="11"/>
    </row>
    <row r="1428" spans="1:46" ht="13">
      <c r="A1428" s="11"/>
      <c r="G1428" s="12"/>
      <c r="I1428" s="13"/>
      <c r="J1428" s="13"/>
      <c r="K1428" s="13"/>
      <c r="M1428" s="13"/>
      <c r="N1428" s="13"/>
      <c r="Q1428" s="13"/>
      <c r="V1428" s="13"/>
      <c r="Y1428" s="14"/>
      <c r="Z1428" s="14"/>
      <c r="AA1428" s="14"/>
      <c r="AB1428" s="14"/>
      <c r="AC1428" s="14"/>
      <c r="AD1428" s="14"/>
      <c r="AE1428" s="14"/>
      <c r="AF1428" s="13"/>
      <c r="AM1428" s="14"/>
      <c r="AN1428" s="11"/>
      <c r="AO1428" s="12"/>
      <c r="AP1428" s="11"/>
      <c r="AQ1428" s="11"/>
      <c r="AR1428" s="11"/>
      <c r="AS1428" s="11"/>
      <c r="AT1428" s="11"/>
    </row>
    <row r="1429" spans="1:46" ht="13">
      <c r="A1429" s="11"/>
      <c r="G1429" s="12"/>
      <c r="I1429" s="13"/>
      <c r="J1429" s="13"/>
      <c r="K1429" s="13"/>
      <c r="M1429" s="13"/>
      <c r="N1429" s="13"/>
      <c r="Q1429" s="13"/>
      <c r="V1429" s="13"/>
      <c r="Y1429" s="14"/>
      <c r="Z1429" s="14"/>
      <c r="AA1429" s="14"/>
      <c r="AB1429" s="14"/>
      <c r="AC1429" s="14"/>
      <c r="AD1429" s="14"/>
      <c r="AE1429" s="14"/>
      <c r="AF1429" s="13"/>
      <c r="AM1429" s="14"/>
      <c r="AN1429" s="11"/>
      <c r="AO1429" s="12"/>
      <c r="AP1429" s="11"/>
      <c r="AQ1429" s="11"/>
      <c r="AR1429" s="11"/>
      <c r="AS1429" s="11"/>
      <c r="AT1429" s="11"/>
    </row>
    <row r="1430" spans="1:46" ht="13">
      <c r="A1430" s="11"/>
      <c r="G1430" s="12"/>
      <c r="I1430" s="13"/>
      <c r="J1430" s="13"/>
      <c r="K1430" s="13"/>
      <c r="M1430" s="13"/>
      <c r="N1430" s="13"/>
      <c r="Q1430" s="13"/>
      <c r="V1430" s="13"/>
      <c r="Y1430" s="14"/>
      <c r="Z1430" s="14"/>
      <c r="AA1430" s="14"/>
      <c r="AB1430" s="14"/>
      <c r="AC1430" s="14"/>
      <c r="AD1430" s="14"/>
      <c r="AE1430" s="14"/>
      <c r="AF1430" s="13"/>
      <c r="AM1430" s="14"/>
      <c r="AN1430" s="11"/>
      <c r="AO1430" s="12"/>
      <c r="AP1430" s="11"/>
      <c r="AQ1430" s="11"/>
      <c r="AR1430" s="11"/>
      <c r="AS1430" s="11"/>
      <c r="AT1430" s="11"/>
    </row>
    <row r="1431" spans="1:46" ht="13">
      <c r="A1431" s="11"/>
      <c r="G1431" s="12"/>
      <c r="I1431" s="13"/>
      <c r="J1431" s="13"/>
      <c r="K1431" s="13"/>
      <c r="M1431" s="13"/>
      <c r="N1431" s="13"/>
      <c r="Q1431" s="13"/>
      <c r="V1431" s="13"/>
      <c r="Y1431" s="14"/>
      <c r="Z1431" s="14"/>
      <c r="AA1431" s="14"/>
      <c r="AB1431" s="14"/>
      <c r="AC1431" s="14"/>
      <c r="AD1431" s="14"/>
      <c r="AE1431" s="14"/>
      <c r="AF1431" s="13"/>
      <c r="AM1431" s="14"/>
      <c r="AN1431" s="11"/>
      <c r="AO1431" s="12"/>
      <c r="AP1431" s="11"/>
      <c r="AQ1431" s="11"/>
      <c r="AR1431" s="11"/>
      <c r="AS1431" s="11"/>
      <c r="AT1431" s="11"/>
    </row>
    <row r="1432" spans="1:46" ht="13">
      <c r="A1432" s="11"/>
      <c r="G1432" s="12"/>
      <c r="I1432" s="13"/>
      <c r="J1432" s="13"/>
      <c r="K1432" s="13"/>
      <c r="M1432" s="13"/>
      <c r="N1432" s="13"/>
      <c r="Q1432" s="13"/>
      <c r="V1432" s="13"/>
      <c r="Y1432" s="14"/>
      <c r="Z1432" s="14"/>
      <c r="AA1432" s="14"/>
      <c r="AB1432" s="14"/>
      <c r="AC1432" s="14"/>
      <c r="AD1432" s="14"/>
      <c r="AE1432" s="14"/>
      <c r="AF1432" s="13"/>
      <c r="AM1432" s="14"/>
      <c r="AN1432" s="11"/>
      <c r="AO1432" s="12"/>
      <c r="AP1432" s="11"/>
      <c r="AQ1432" s="11"/>
      <c r="AR1432" s="11"/>
      <c r="AS1432" s="11"/>
      <c r="AT1432" s="11"/>
    </row>
    <row r="1433" spans="1:46" ht="13">
      <c r="A1433" s="11"/>
      <c r="G1433" s="12"/>
      <c r="I1433" s="13"/>
      <c r="J1433" s="13"/>
      <c r="K1433" s="13"/>
      <c r="M1433" s="13"/>
      <c r="N1433" s="13"/>
      <c r="Q1433" s="13"/>
      <c r="V1433" s="13"/>
      <c r="Y1433" s="14"/>
      <c r="Z1433" s="14"/>
      <c r="AA1433" s="14"/>
      <c r="AB1433" s="14"/>
      <c r="AC1433" s="14"/>
      <c r="AD1433" s="14"/>
      <c r="AE1433" s="14"/>
      <c r="AF1433" s="13"/>
      <c r="AM1433" s="14"/>
      <c r="AN1433" s="11"/>
      <c r="AO1433" s="12"/>
      <c r="AP1433" s="11"/>
      <c r="AQ1433" s="11"/>
      <c r="AR1433" s="11"/>
      <c r="AS1433" s="11"/>
      <c r="AT1433" s="11"/>
    </row>
    <row r="1434" spans="1:46" ht="13">
      <c r="A1434" s="11"/>
      <c r="G1434" s="12"/>
      <c r="I1434" s="13"/>
      <c r="J1434" s="13"/>
      <c r="K1434" s="13"/>
      <c r="M1434" s="13"/>
      <c r="N1434" s="13"/>
      <c r="Q1434" s="13"/>
      <c r="V1434" s="13"/>
      <c r="Y1434" s="14"/>
      <c r="Z1434" s="14"/>
      <c r="AA1434" s="14"/>
      <c r="AB1434" s="14"/>
      <c r="AC1434" s="14"/>
      <c r="AD1434" s="14"/>
      <c r="AE1434" s="14"/>
      <c r="AF1434" s="13"/>
      <c r="AM1434" s="14"/>
      <c r="AN1434" s="11"/>
      <c r="AO1434" s="12"/>
      <c r="AP1434" s="11"/>
      <c r="AQ1434" s="11"/>
      <c r="AR1434" s="11"/>
      <c r="AS1434" s="11"/>
      <c r="AT1434" s="11"/>
    </row>
    <row r="1435" spans="1:46" ht="13">
      <c r="A1435" s="11"/>
      <c r="G1435" s="12"/>
      <c r="I1435" s="13"/>
      <c r="J1435" s="13"/>
      <c r="K1435" s="13"/>
      <c r="M1435" s="13"/>
      <c r="N1435" s="13"/>
      <c r="Q1435" s="13"/>
      <c r="V1435" s="13"/>
      <c r="Y1435" s="14"/>
      <c r="Z1435" s="14"/>
      <c r="AA1435" s="14"/>
      <c r="AB1435" s="14"/>
      <c r="AC1435" s="14"/>
      <c r="AD1435" s="14"/>
      <c r="AE1435" s="14"/>
      <c r="AF1435" s="13"/>
      <c r="AM1435" s="14"/>
      <c r="AN1435" s="11"/>
      <c r="AO1435" s="12"/>
      <c r="AP1435" s="11"/>
      <c r="AQ1435" s="11"/>
      <c r="AR1435" s="11"/>
      <c r="AS1435" s="11"/>
      <c r="AT1435" s="11"/>
    </row>
    <row r="1436" spans="1:46" ht="13">
      <c r="A1436" s="11"/>
      <c r="G1436" s="12"/>
      <c r="I1436" s="13"/>
      <c r="J1436" s="13"/>
      <c r="K1436" s="13"/>
      <c r="M1436" s="13"/>
      <c r="N1436" s="13"/>
      <c r="Q1436" s="13"/>
      <c r="V1436" s="13"/>
      <c r="Y1436" s="14"/>
      <c r="Z1436" s="14"/>
      <c r="AA1436" s="14"/>
      <c r="AB1436" s="14"/>
      <c r="AC1436" s="14"/>
      <c r="AD1436" s="14"/>
      <c r="AE1436" s="14"/>
      <c r="AF1436" s="13"/>
      <c r="AM1436" s="14"/>
      <c r="AN1436" s="11"/>
      <c r="AO1436" s="12"/>
      <c r="AP1436" s="11"/>
      <c r="AQ1436" s="11"/>
      <c r="AR1436" s="11"/>
      <c r="AS1436" s="11"/>
      <c r="AT1436" s="11"/>
    </row>
    <row r="1437" spans="1:46" ht="13">
      <c r="A1437" s="11"/>
      <c r="G1437" s="12"/>
      <c r="I1437" s="13"/>
      <c r="J1437" s="13"/>
      <c r="K1437" s="13"/>
      <c r="M1437" s="13"/>
      <c r="N1437" s="13"/>
      <c r="Q1437" s="13"/>
      <c r="V1437" s="13"/>
      <c r="Y1437" s="14"/>
      <c r="Z1437" s="14"/>
      <c r="AA1437" s="14"/>
      <c r="AB1437" s="14"/>
      <c r="AC1437" s="14"/>
      <c r="AD1437" s="14"/>
      <c r="AE1437" s="14"/>
      <c r="AF1437" s="13"/>
      <c r="AM1437" s="14"/>
      <c r="AN1437" s="11"/>
      <c r="AO1437" s="12"/>
      <c r="AP1437" s="11"/>
      <c r="AQ1437" s="11"/>
      <c r="AR1437" s="11"/>
      <c r="AS1437" s="11"/>
      <c r="AT1437" s="11"/>
    </row>
    <row r="1438" spans="1:46" ht="13">
      <c r="A1438" s="11"/>
      <c r="G1438" s="12"/>
      <c r="I1438" s="13"/>
      <c r="J1438" s="13"/>
      <c r="K1438" s="13"/>
      <c r="M1438" s="13"/>
      <c r="N1438" s="13"/>
      <c r="Q1438" s="13"/>
      <c r="V1438" s="13"/>
      <c r="Y1438" s="14"/>
      <c r="Z1438" s="14"/>
      <c r="AA1438" s="14"/>
      <c r="AB1438" s="14"/>
      <c r="AC1438" s="14"/>
      <c r="AD1438" s="14"/>
      <c r="AE1438" s="14"/>
      <c r="AF1438" s="13"/>
      <c r="AM1438" s="14"/>
      <c r="AN1438" s="11"/>
      <c r="AO1438" s="12"/>
      <c r="AP1438" s="11"/>
      <c r="AQ1438" s="11"/>
      <c r="AR1438" s="11"/>
      <c r="AS1438" s="11"/>
      <c r="AT1438" s="11"/>
    </row>
    <row r="1439" spans="1:46" ht="13">
      <c r="A1439" s="11"/>
      <c r="G1439" s="12"/>
      <c r="I1439" s="13"/>
      <c r="J1439" s="13"/>
      <c r="K1439" s="13"/>
      <c r="M1439" s="13"/>
      <c r="N1439" s="13"/>
      <c r="Q1439" s="13"/>
      <c r="V1439" s="13"/>
      <c r="Y1439" s="14"/>
      <c r="Z1439" s="14"/>
      <c r="AA1439" s="14"/>
      <c r="AB1439" s="14"/>
      <c r="AC1439" s="14"/>
      <c r="AD1439" s="14"/>
      <c r="AE1439" s="14"/>
      <c r="AF1439" s="13"/>
      <c r="AM1439" s="14"/>
      <c r="AN1439" s="11"/>
      <c r="AO1439" s="12"/>
      <c r="AP1439" s="11"/>
      <c r="AQ1439" s="11"/>
      <c r="AR1439" s="11"/>
      <c r="AS1439" s="11"/>
      <c r="AT1439" s="11"/>
    </row>
    <row r="1440" spans="1:46" ht="13">
      <c r="A1440" s="11"/>
      <c r="G1440" s="12"/>
      <c r="I1440" s="13"/>
      <c r="J1440" s="13"/>
      <c r="K1440" s="13"/>
      <c r="M1440" s="13"/>
      <c r="N1440" s="13"/>
      <c r="Q1440" s="13"/>
      <c r="V1440" s="13"/>
      <c r="Y1440" s="14"/>
      <c r="Z1440" s="14"/>
      <c r="AA1440" s="14"/>
      <c r="AB1440" s="14"/>
      <c r="AC1440" s="14"/>
      <c r="AD1440" s="14"/>
      <c r="AE1440" s="14"/>
      <c r="AF1440" s="13"/>
      <c r="AM1440" s="14"/>
      <c r="AN1440" s="11"/>
      <c r="AO1440" s="12"/>
      <c r="AP1440" s="11"/>
      <c r="AQ1440" s="11"/>
      <c r="AR1440" s="11"/>
      <c r="AS1440" s="11"/>
      <c r="AT1440" s="11"/>
    </row>
    <row r="1441" spans="1:46" ht="13">
      <c r="A1441" s="11"/>
      <c r="G1441" s="12"/>
      <c r="I1441" s="13"/>
      <c r="J1441" s="13"/>
      <c r="K1441" s="13"/>
      <c r="M1441" s="13"/>
      <c r="N1441" s="13"/>
      <c r="Q1441" s="13"/>
      <c r="V1441" s="13"/>
      <c r="Y1441" s="14"/>
      <c r="Z1441" s="14"/>
      <c r="AA1441" s="14"/>
      <c r="AB1441" s="14"/>
      <c r="AC1441" s="14"/>
      <c r="AD1441" s="14"/>
      <c r="AE1441" s="14"/>
      <c r="AF1441" s="13"/>
      <c r="AM1441" s="14"/>
      <c r="AN1441" s="11"/>
      <c r="AO1441" s="12"/>
      <c r="AP1441" s="11"/>
      <c r="AQ1441" s="11"/>
      <c r="AR1441" s="11"/>
      <c r="AS1441" s="11"/>
      <c r="AT1441" s="11"/>
    </row>
    <row r="1442" spans="1:46" ht="13">
      <c r="A1442" s="11"/>
      <c r="G1442" s="12"/>
      <c r="I1442" s="13"/>
      <c r="J1442" s="13"/>
      <c r="K1442" s="13"/>
      <c r="M1442" s="13"/>
      <c r="N1442" s="13"/>
      <c r="Q1442" s="13"/>
      <c r="V1442" s="13"/>
      <c r="Y1442" s="14"/>
      <c r="Z1442" s="14"/>
      <c r="AA1442" s="14"/>
      <c r="AB1442" s="14"/>
      <c r="AC1442" s="14"/>
      <c r="AD1442" s="14"/>
      <c r="AE1442" s="14"/>
      <c r="AF1442" s="13"/>
      <c r="AM1442" s="14"/>
      <c r="AN1442" s="11"/>
      <c r="AO1442" s="12"/>
      <c r="AP1442" s="11"/>
      <c r="AQ1442" s="11"/>
      <c r="AR1442" s="11"/>
      <c r="AS1442" s="11"/>
      <c r="AT1442" s="11"/>
    </row>
    <row r="1443" spans="1:46" ht="13">
      <c r="A1443" s="11"/>
      <c r="G1443" s="12"/>
      <c r="I1443" s="13"/>
      <c r="J1443" s="13"/>
      <c r="K1443" s="13"/>
      <c r="M1443" s="13"/>
      <c r="N1443" s="13"/>
      <c r="Q1443" s="13"/>
      <c r="V1443" s="13"/>
      <c r="Y1443" s="14"/>
      <c r="Z1443" s="14"/>
      <c r="AA1443" s="14"/>
      <c r="AB1443" s="14"/>
      <c r="AC1443" s="14"/>
      <c r="AD1443" s="14"/>
      <c r="AE1443" s="14"/>
      <c r="AF1443" s="13"/>
      <c r="AM1443" s="14"/>
      <c r="AN1443" s="11"/>
      <c r="AO1443" s="12"/>
      <c r="AP1443" s="11"/>
      <c r="AQ1443" s="11"/>
      <c r="AR1443" s="11"/>
      <c r="AS1443" s="11"/>
      <c r="AT1443" s="11"/>
    </row>
    <row r="1444" spans="1:46" ht="13">
      <c r="A1444" s="11"/>
      <c r="G1444" s="12"/>
      <c r="I1444" s="13"/>
      <c r="J1444" s="13"/>
      <c r="K1444" s="13"/>
      <c r="M1444" s="13"/>
      <c r="N1444" s="13"/>
      <c r="Q1444" s="13"/>
      <c r="V1444" s="13"/>
      <c r="Y1444" s="14"/>
      <c r="Z1444" s="14"/>
      <c r="AA1444" s="14"/>
      <c r="AB1444" s="14"/>
      <c r="AC1444" s="14"/>
      <c r="AD1444" s="14"/>
      <c r="AE1444" s="14"/>
      <c r="AF1444" s="13"/>
      <c r="AM1444" s="14"/>
      <c r="AN1444" s="11"/>
      <c r="AO1444" s="12"/>
      <c r="AP1444" s="11"/>
      <c r="AQ1444" s="11"/>
      <c r="AR1444" s="11"/>
      <c r="AS1444" s="11"/>
      <c r="AT1444" s="11"/>
    </row>
    <row r="1445" spans="1:46" ht="13">
      <c r="A1445" s="11"/>
      <c r="G1445" s="12"/>
      <c r="I1445" s="13"/>
      <c r="J1445" s="13"/>
      <c r="K1445" s="13"/>
      <c r="M1445" s="13"/>
      <c r="N1445" s="13"/>
      <c r="Q1445" s="13"/>
      <c r="V1445" s="13"/>
      <c r="Y1445" s="14"/>
      <c r="Z1445" s="14"/>
      <c r="AA1445" s="14"/>
      <c r="AB1445" s="14"/>
      <c r="AC1445" s="14"/>
      <c r="AD1445" s="14"/>
      <c r="AE1445" s="14"/>
      <c r="AF1445" s="13"/>
      <c r="AM1445" s="14"/>
      <c r="AN1445" s="11"/>
      <c r="AO1445" s="12"/>
      <c r="AP1445" s="11"/>
      <c r="AQ1445" s="11"/>
      <c r="AR1445" s="11"/>
      <c r="AS1445" s="11"/>
      <c r="AT1445" s="11"/>
    </row>
    <row r="1446" spans="1:46" ht="13">
      <c r="A1446" s="11"/>
      <c r="G1446" s="12"/>
      <c r="I1446" s="13"/>
      <c r="J1446" s="13"/>
      <c r="K1446" s="13"/>
      <c r="M1446" s="13"/>
      <c r="N1446" s="13"/>
      <c r="Q1446" s="13"/>
      <c r="V1446" s="13"/>
      <c r="Y1446" s="14"/>
      <c r="Z1446" s="14"/>
      <c r="AA1446" s="14"/>
      <c r="AB1446" s="14"/>
      <c r="AC1446" s="14"/>
      <c r="AD1446" s="14"/>
      <c r="AE1446" s="14"/>
      <c r="AF1446" s="13"/>
      <c r="AM1446" s="14"/>
      <c r="AN1446" s="11"/>
      <c r="AO1446" s="12"/>
      <c r="AP1446" s="11"/>
      <c r="AQ1446" s="11"/>
      <c r="AR1446" s="11"/>
      <c r="AS1446" s="11"/>
      <c r="AT1446" s="11"/>
    </row>
    <row r="1447" spans="1:46" ht="13">
      <c r="A1447" s="11"/>
      <c r="G1447" s="12"/>
      <c r="I1447" s="13"/>
      <c r="J1447" s="13"/>
      <c r="K1447" s="13"/>
      <c r="M1447" s="13"/>
      <c r="N1447" s="13"/>
      <c r="Q1447" s="13"/>
      <c r="V1447" s="13"/>
      <c r="Y1447" s="14"/>
      <c r="Z1447" s="14"/>
      <c r="AA1447" s="14"/>
      <c r="AB1447" s="14"/>
      <c r="AC1447" s="14"/>
      <c r="AD1447" s="14"/>
      <c r="AE1447" s="14"/>
      <c r="AF1447" s="13"/>
      <c r="AM1447" s="14"/>
      <c r="AN1447" s="11"/>
      <c r="AO1447" s="12"/>
      <c r="AP1447" s="11"/>
      <c r="AQ1447" s="11"/>
      <c r="AR1447" s="11"/>
      <c r="AS1447" s="11"/>
      <c r="AT1447" s="11"/>
    </row>
    <row r="1448" spans="1:46" ht="13">
      <c r="A1448" s="11"/>
      <c r="G1448" s="12"/>
      <c r="I1448" s="13"/>
      <c r="J1448" s="13"/>
      <c r="K1448" s="13"/>
      <c r="M1448" s="13"/>
      <c r="N1448" s="13"/>
      <c r="Q1448" s="13"/>
      <c r="V1448" s="13"/>
      <c r="Y1448" s="14"/>
      <c r="Z1448" s="14"/>
      <c r="AA1448" s="14"/>
      <c r="AB1448" s="14"/>
      <c r="AC1448" s="14"/>
      <c r="AD1448" s="14"/>
      <c r="AE1448" s="14"/>
      <c r="AF1448" s="13"/>
      <c r="AM1448" s="14"/>
      <c r="AN1448" s="11"/>
      <c r="AO1448" s="12"/>
      <c r="AP1448" s="11"/>
      <c r="AQ1448" s="11"/>
      <c r="AR1448" s="11"/>
      <c r="AS1448" s="11"/>
      <c r="AT1448" s="11"/>
    </row>
    <row r="1449" spans="1:46" ht="13">
      <c r="A1449" s="11"/>
      <c r="G1449" s="12"/>
      <c r="I1449" s="13"/>
      <c r="J1449" s="13"/>
      <c r="K1449" s="13"/>
      <c r="M1449" s="13"/>
      <c r="N1449" s="13"/>
      <c r="Q1449" s="13"/>
      <c r="V1449" s="13"/>
      <c r="Y1449" s="14"/>
      <c r="Z1449" s="14"/>
      <c r="AA1449" s="14"/>
      <c r="AB1449" s="14"/>
      <c r="AC1449" s="14"/>
      <c r="AD1449" s="14"/>
      <c r="AE1449" s="14"/>
      <c r="AF1449" s="13"/>
      <c r="AM1449" s="14"/>
      <c r="AN1449" s="11"/>
      <c r="AO1449" s="12"/>
      <c r="AP1449" s="11"/>
      <c r="AQ1449" s="11"/>
      <c r="AR1449" s="11"/>
      <c r="AS1449" s="11"/>
      <c r="AT1449" s="11"/>
    </row>
    <row r="1450" spans="1:46" ht="13">
      <c r="A1450" s="11"/>
      <c r="G1450" s="12"/>
      <c r="I1450" s="13"/>
      <c r="J1450" s="13"/>
      <c r="K1450" s="13"/>
      <c r="M1450" s="13"/>
      <c r="N1450" s="13"/>
      <c r="Q1450" s="13"/>
      <c r="V1450" s="13"/>
      <c r="Y1450" s="14"/>
      <c r="Z1450" s="14"/>
      <c r="AA1450" s="14"/>
      <c r="AB1450" s="14"/>
      <c r="AC1450" s="14"/>
      <c r="AD1450" s="14"/>
      <c r="AE1450" s="14"/>
      <c r="AF1450" s="13"/>
      <c r="AM1450" s="14"/>
      <c r="AN1450" s="11"/>
      <c r="AO1450" s="12"/>
      <c r="AP1450" s="11"/>
      <c r="AQ1450" s="11"/>
      <c r="AR1450" s="11"/>
      <c r="AS1450" s="11"/>
      <c r="AT1450" s="11"/>
    </row>
    <row r="1451" spans="1:46" ht="13">
      <c r="A1451" s="11"/>
      <c r="G1451" s="12"/>
      <c r="I1451" s="13"/>
      <c r="J1451" s="13"/>
      <c r="K1451" s="13"/>
      <c r="M1451" s="13"/>
      <c r="N1451" s="13"/>
      <c r="Q1451" s="13"/>
      <c r="V1451" s="13"/>
      <c r="Y1451" s="14"/>
      <c r="Z1451" s="14"/>
      <c r="AA1451" s="14"/>
      <c r="AB1451" s="14"/>
      <c r="AC1451" s="14"/>
      <c r="AD1451" s="14"/>
      <c r="AE1451" s="14"/>
      <c r="AF1451" s="13"/>
      <c r="AM1451" s="14"/>
      <c r="AN1451" s="11"/>
      <c r="AO1451" s="12"/>
      <c r="AP1451" s="11"/>
      <c r="AQ1451" s="11"/>
      <c r="AR1451" s="11"/>
      <c r="AS1451" s="11"/>
      <c r="AT1451" s="11"/>
    </row>
    <row r="1452" spans="1:46" ht="13">
      <c r="A1452" s="11"/>
      <c r="G1452" s="12"/>
      <c r="I1452" s="13"/>
      <c r="J1452" s="13"/>
      <c r="K1452" s="13"/>
      <c r="M1452" s="13"/>
      <c r="N1452" s="13"/>
      <c r="Q1452" s="13"/>
      <c r="V1452" s="13"/>
      <c r="Y1452" s="14"/>
      <c r="Z1452" s="14"/>
      <c r="AA1452" s="14"/>
      <c r="AB1452" s="14"/>
      <c r="AC1452" s="14"/>
      <c r="AD1452" s="14"/>
      <c r="AE1452" s="14"/>
      <c r="AF1452" s="13"/>
      <c r="AM1452" s="14"/>
      <c r="AN1452" s="11"/>
      <c r="AO1452" s="12"/>
      <c r="AP1452" s="11"/>
      <c r="AQ1452" s="11"/>
      <c r="AR1452" s="11"/>
      <c r="AS1452" s="11"/>
      <c r="AT1452" s="11"/>
    </row>
    <row r="1453" spans="1:46" ht="13">
      <c r="A1453" s="11"/>
      <c r="G1453" s="12"/>
      <c r="I1453" s="13"/>
      <c r="J1453" s="13"/>
      <c r="K1453" s="13"/>
      <c r="M1453" s="13"/>
      <c r="N1453" s="13"/>
      <c r="Q1453" s="13"/>
      <c r="V1453" s="13"/>
      <c r="Y1453" s="14"/>
      <c r="Z1453" s="14"/>
      <c r="AA1453" s="14"/>
      <c r="AB1453" s="14"/>
      <c r="AC1453" s="14"/>
      <c r="AD1453" s="14"/>
      <c r="AE1453" s="14"/>
      <c r="AF1453" s="13"/>
      <c r="AM1453" s="14"/>
      <c r="AN1453" s="11"/>
      <c r="AO1453" s="12"/>
      <c r="AP1453" s="11"/>
      <c r="AQ1453" s="11"/>
      <c r="AR1453" s="11"/>
      <c r="AS1453" s="11"/>
      <c r="AT1453" s="11"/>
    </row>
    <row r="1454" spans="1:46" ht="13">
      <c r="A1454" s="11"/>
      <c r="G1454" s="12"/>
      <c r="I1454" s="13"/>
      <c r="J1454" s="13"/>
      <c r="K1454" s="13"/>
      <c r="M1454" s="13"/>
      <c r="N1454" s="13"/>
      <c r="Q1454" s="13"/>
      <c r="V1454" s="13"/>
      <c r="Y1454" s="14"/>
      <c r="Z1454" s="14"/>
      <c r="AA1454" s="14"/>
      <c r="AB1454" s="14"/>
      <c r="AC1454" s="14"/>
      <c r="AD1454" s="14"/>
      <c r="AE1454" s="14"/>
      <c r="AF1454" s="13"/>
      <c r="AM1454" s="14"/>
      <c r="AN1454" s="11"/>
      <c r="AO1454" s="12"/>
      <c r="AP1454" s="11"/>
      <c r="AQ1454" s="11"/>
      <c r="AR1454" s="11"/>
      <c r="AS1454" s="11"/>
      <c r="AT1454" s="11"/>
    </row>
    <row r="1455" spans="1:46" ht="13">
      <c r="A1455" s="11"/>
      <c r="G1455" s="12"/>
      <c r="I1455" s="13"/>
      <c r="J1455" s="13"/>
      <c r="K1455" s="13"/>
      <c r="M1455" s="13"/>
      <c r="N1455" s="13"/>
      <c r="Q1455" s="13"/>
      <c r="V1455" s="13"/>
      <c r="Y1455" s="14"/>
      <c r="Z1455" s="14"/>
      <c r="AA1455" s="14"/>
      <c r="AB1455" s="14"/>
      <c r="AC1455" s="14"/>
      <c r="AD1455" s="14"/>
      <c r="AE1455" s="14"/>
      <c r="AF1455" s="13"/>
      <c r="AM1455" s="14"/>
      <c r="AN1455" s="11"/>
      <c r="AO1455" s="12"/>
      <c r="AP1455" s="11"/>
      <c r="AQ1455" s="11"/>
      <c r="AR1455" s="11"/>
      <c r="AS1455" s="11"/>
      <c r="AT1455" s="11"/>
    </row>
    <row r="1456" spans="1:46" ht="13">
      <c r="A1456" s="11"/>
      <c r="G1456" s="12"/>
      <c r="I1456" s="13"/>
      <c r="J1456" s="13"/>
      <c r="K1456" s="13"/>
      <c r="M1456" s="13"/>
      <c r="N1456" s="13"/>
      <c r="Q1456" s="13"/>
      <c r="V1456" s="13"/>
      <c r="Y1456" s="14"/>
      <c r="Z1456" s="14"/>
      <c r="AA1456" s="14"/>
      <c r="AB1456" s="14"/>
      <c r="AC1456" s="14"/>
      <c r="AD1456" s="14"/>
      <c r="AE1456" s="14"/>
      <c r="AF1456" s="13"/>
      <c r="AM1456" s="14"/>
      <c r="AN1456" s="11"/>
      <c r="AO1456" s="12"/>
      <c r="AP1456" s="11"/>
      <c r="AQ1456" s="11"/>
      <c r="AR1456" s="11"/>
      <c r="AS1456" s="11"/>
      <c r="AT1456" s="11"/>
    </row>
    <row r="1457" spans="1:46" ht="13">
      <c r="A1457" s="11"/>
      <c r="G1457" s="12"/>
      <c r="I1457" s="13"/>
      <c r="J1457" s="13"/>
      <c r="K1457" s="13"/>
      <c r="M1457" s="13"/>
      <c r="N1457" s="13"/>
      <c r="Q1457" s="13"/>
      <c r="V1457" s="13"/>
      <c r="Y1457" s="14"/>
      <c r="Z1457" s="14"/>
      <c r="AA1457" s="14"/>
      <c r="AB1457" s="14"/>
      <c r="AC1457" s="14"/>
      <c r="AD1457" s="14"/>
      <c r="AE1457" s="14"/>
      <c r="AF1457" s="13"/>
      <c r="AM1457" s="14"/>
      <c r="AN1457" s="11"/>
      <c r="AO1457" s="12"/>
      <c r="AP1457" s="11"/>
      <c r="AQ1457" s="11"/>
      <c r="AR1457" s="11"/>
      <c r="AS1457" s="11"/>
      <c r="AT1457" s="11"/>
    </row>
    <row r="1458" spans="1:46" ht="13">
      <c r="A1458" s="11"/>
      <c r="G1458" s="12"/>
      <c r="I1458" s="13"/>
      <c r="J1458" s="13"/>
      <c r="K1458" s="13"/>
      <c r="M1458" s="13"/>
      <c r="N1458" s="13"/>
      <c r="Q1458" s="13"/>
      <c r="V1458" s="13"/>
      <c r="Y1458" s="14"/>
      <c r="Z1458" s="14"/>
      <c r="AA1458" s="14"/>
      <c r="AB1458" s="14"/>
      <c r="AC1458" s="14"/>
      <c r="AD1458" s="14"/>
      <c r="AE1458" s="14"/>
      <c r="AF1458" s="13"/>
      <c r="AM1458" s="14"/>
      <c r="AN1458" s="11"/>
      <c r="AO1458" s="12"/>
      <c r="AP1458" s="11"/>
      <c r="AQ1458" s="11"/>
      <c r="AR1458" s="11"/>
      <c r="AS1458" s="11"/>
      <c r="AT1458" s="11"/>
    </row>
    <row r="1459" spans="1:46" ht="13">
      <c r="A1459" s="11"/>
      <c r="G1459" s="12"/>
      <c r="I1459" s="13"/>
      <c r="J1459" s="13"/>
      <c r="K1459" s="13"/>
      <c r="M1459" s="13"/>
      <c r="N1459" s="13"/>
      <c r="Q1459" s="13"/>
      <c r="V1459" s="13"/>
      <c r="Y1459" s="14"/>
      <c r="Z1459" s="14"/>
      <c r="AA1459" s="14"/>
      <c r="AB1459" s="14"/>
      <c r="AC1459" s="14"/>
      <c r="AD1459" s="14"/>
      <c r="AE1459" s="14"/>
      <c r="AF1459" s="13"/>
      <c r="AM1459" s="14"/>
      <c r="AN1459" s="11"/>
      <c r="AO1459" s="12"/>
      <c r="AP1459" s="11"/>
      <c r="AQ1459" s="11"/>
      <c r="AR1459" s="11"/>
      <c r="AS1459" s="11"/>
      <c r="AT1459" s="11"/>
    </row>
    <row r="1460" spans="1:46" ht="13">
      <c r="A1460" s="11"/>
      <c r="G1460" s="12"/>
      <c r="I1460" s="13"/>
      <c r="J1460" s="13"/>
      <c r="K1460" s="13"/>
      <c r="M1460" s="13"/>
      <c r="N1460" s="13"/>
      <c r="Q1460" s="13"/>
      <c r="V1460" s="13"/>
      <c r="Y1460" s="14"/>
      <c r="Z1460" s="14"/>
      <c r="AA1460" s="14"/>
      <c r="AB1460" s="14"/>
      <c r="AC1460" s="14"/>
      <c r="AD1460" s="14"/>
      <c r="AE1460" s="14"/>
      <c r="AF1460" s="13"/>
      <c r="AM1460" s="14"/>
      <c r="AN1460" s="11"/>
      <c r="AO1460" s="12"/>
      <c r="AP1460" s="11"/>
      <c r="AQ1460" s="11"/>
      <c r="AR1460" s="11"/>
      <c r="AS1460" s="11"/>
      <c r="AT1460" s="11"/>
    </row>
    <row r="1461" spans="1:46" ht="13">
      <c r="A1461" s="11"/>
      <c r="G1461" s="12"/>
      <c r="I1461" s="13"/>
      <c r="J1461" s="13"/>
      <c r="K1461" s="13"/>
      <c r="M1461" s="13"/>
      <c r="N1461" s="13"/>
      <c r="Q1461" s="13"/>
      <c r="V1461" s="13"/>
      <c r="Y1461" s="14"/>
      <c r="Z1461" s="14"/>
      <c r="AA1461" s="14"/>
      <c r="AB1461" s="14"/>
      <c r="AC1461" s="14"/>
      <c r="AD1461" s="14"/>
      <c r="AE1461" s="14"/>
      <c r="AF1461" s="13"/>
      <c r="AM1461" s="14"/>
      <c r="AN1461" s="11"/>
      <c r="AO1461" s="12"/>
      <c r="AP1461" s="11"/>
      <c r="AQ1461" s="11"/>
      <c r="AR1461" s="11"/>
      <c r="AS1461" s="11"/>
      <c r="AT1461" s="11"/>
    </row>
    <row r="1462" spans="1:46" ht="13">
      <c r="A1462" s="11"/>
      <c r="G1462" s="12"/>
      <c r="I1462" s="13"/>
      <c r="J1462" s="13"/>
      <c r="K1462" s="13"/>
      <c r="M1462" s="13"/>
      <c r="N1462" s="13"/>
      <c r="Q1462" s="13"/>
      <c r="V1462" s="13"/>
      <c r="Y1462" s="14"/>
      <c r="Z1462" s="14"/>
      <c r="AA1462" s="14"/>
      <c r="AB1462" s="14"/>
      <c r="AC1462" s="14"/>
      <c r="AD1462" s="14"/>
      <c r="AE1462" s="14"/>
      <c r="AF1462" s="13"/>
      <c r="AM1462" s="14"/>
      <c r="AN1462" s="11"/>
      <c r="AO1462" s="12"/>
      <c r="AP1462" s="11"/>
      <c r="AQ1462" s="11"/>
      <c r="AR1462" s="11"/>
      <c r="AS1462" s="11"/>
      <c r="AT1462" s="11"/>
    </row>
    <row r="1463" spans="1:46" ht="13">
      <c r="A1463" s="11"/>
      <c r="G1463" s="12"/>
      <c r="I1463" s="13"/>
      <c r="J1463" s="13"/>
      <c r="K1463" s="13"/>
      <c r="M1463" s="13"/>
      <c r="N1463" s="13"/>
      <c r="Q1463" s="13"/>
      <c r="V1463" s="13"/>
      <c r="Y1463" s="14"/>
      <c r="Z1463" s="14"/>
      <c r="AA1463" s="14"/>
      <c r="AB1463" s="14"/>
      <c r="AC1463" s="14"/>
      <c r="AD1463" s="14"/>
      <c r="AE1463" s="14"/>
      <c r="AF1463" s="13"/>
      <c r="AM1463" s="14"/>
      <c r="AN1463" s="11"/>
      <c r="AO1463" s="12"/>
      <c r="AP1463" s="11"/>
      <c r="AQ1463" s="11"/>
      <c r="AR1463" s="11"/>
      <c r="AS1463" s="11"/>
      <c r="AT1463" s="11"/>
    </row>
    <row r="1464" spans="1:46" ht="13">
      <c r="A1464" s="11"/>
      <c r="G1464" s="12"/>
      <c r="I1464" s="13"/>
      <c r="J1464" s="13"/>
      <c r="K1464" s="13"/>
      <c r="M1464" s="13"/>
      <c r="N1464" s="13"/>
      <c r="Q1464" s="13"/>
      <c r="V1464" s="13"/>
      <c r="Y1464" s="14"/>
      <c r="Z1464" s="14"/>
      <c r="AA1464" s="14"/>
      <c r="AB1464" s="14"/>
      <c r="AC1464" s="14"/>
      <c r="AD1464" s="14"/>
      <c r="AE1464" s="14"/>
      <c r="AF1464" s="13"/>
      <c r="AM1464" s="14"/>
      <c r="AN1464" s="11"/>
      <c r="AO1464" s="12"/>
      <c r="AP1464" s="11"/>
      <c r="AQ1464" s="11"/>
      <c r="AR1464" s="11"/>
      <c r="AS1464" s="11"/>
      <c r="AT1464" s="11"/>
    </row>
    <row r="1465" spans="1:46" ht="13">
      <c r="A1465" s="11"/>
      <c r="G1465" s="12"/>
      <c r="I1465" s="13"/>
      <c r="J1465" s="13"/>
      <c r="K1465" s="13"/>
      <c r="M1465" s="13"/>
      <c r="N1465" s="13"/>
      <c r="Q1465" s="13"/>
      <c r="V1465" s="13"/>
      <c r="Y1465" s="14"/>
      <c r="Z1465" s="14"/>
      <c r="AA1465" s="14"/>
      <c r="AB1465" s="14"/>
      <c r="AC1465" s="14"/>
      <c r="AD1465" s="14"/>
      <c r="AE1465" s="14"/>
      <c r="AF1465" s="13"/>
      <c r="AM1465" s="14"/>
      <c r="AN1465" s="11"/>
      <c r="AO1465" s="12"/>
      <c r="AP1465" s="11"/>
      <c r="AQ1465" s="11"/>
      <c r="AR1465" s="11"/>
      <c r="AS1465" s="11"/>
      <c r="AT1465" s="11"/>
    </row>
    <row r="1466" spans="1:46" ht="13">
      <c r="A1466" s="11"/>
      <c r="G1466" s="12"/>
      <c r="I1466" s="13"/>
      <c r="J1466" s="13"/>
      <c r="K1466" s="13"/>
      <c r="M1466" s="13"/>
      <c r="N1466" s="13"/>
      <c r="Q1466" s="13"/>
      <c r="V1466" s="13"/>
      <c r="Y1466" s="14"/>
      <c r="Z1466" s="14"/>
      <c r="AA1466" s="14"/>
      <c r="AB1466" s="14"/>
      <c r="AC1466" s="14"/>
      <c r="AD1466" s="14"/>
      <c r="AE1466" s="14"/>
      <c r="AF1466" s="13"/>
      <c r="AM1466" s="14"/>
      <c r="AN1466" s="11"/>
      <c r="AO1466" s="12"/>
      <c r="AP1466" s="11"/>
      <c r="AQ1466" s="11"/>
      <c r="AR1466" s="11"/>
      <c r="AS1466" s="11"/>
      <c r="AT1466" s="11"/>
    </row>
    <row r="1467" spans="1:46" ht="13">
      <c r="A1467" s="11"/>
      <c r="G1467" s="12"/>
      <c r="I1467" s="13"/>
      <c r="J1467" s="13"/>
      <c r="K1467" s="13"/>
      <c r="M1467" s="13"/>
      <c r="N1467" s="13"/>
      <c r="Q1467" s="13"/>
      <c r="V1467" s="13"/>
      <c r="Y1467" s="14"/>
      <c r="Z1467" s="14"/>
      <c r="AA1467" s="14"/>
      <c r="AB1467" s="14"/>
      <c r="AC1467" s="14"/>
      <c r="AD1467" s="14"/>
      <c r="AE1467" s="14"/>
      <c r="AF1467" s="13"/>
      <c r="AM1467" s="14"/>
      <c r="AN1467" s="11"/>
      <c r="AO1467" s="12"/>
      <c r="AP1467" s="11"/>
      <c r="AQ1467" s="11"/>
      <c r="AR1467" s="11"/>
      <c r="AS1467" s="11"/>
      <c r="AT1467" s="11"/>
    </row>
    <row r="1468" spans="1:46" ht="13">
      <c r="A1468" s="11"/>
      <c r="G1468" s="12"/>
      <c r="I1468" s="13"/>
      <c r="J1468" s="13"/>
      <c r="K1468" s="13"/>
      <c r="M1468" s="13"/>
      <c r="N1468" s="13"/>
      <c r="Q1468" s="13"/>
      <c r="V1468" s="13"/>
      <c r="Y1468" s="14"/>
      <c r="Z1468" s="14"/>
      <c r="AA1468" s="14"/>
      <c r="AB1468" s="14"/>
      <c r="AC1468" s="14"/>
      <c r="AD1468" s="14"/>
      <c r="AE1468" s="14"/>
      <c r="AF1468" s="13"/>
      <c r="AM1468" s="14"/>
      <c r="AN1468" s="11"/>
      <c r="AO1468" s="12"/>
      <c r="AP1468" s="11"/>
      <c r="AQ1468" s="11"/>
      <c r="AR1468" s="11"/>
      <c r="AS1468" s="11"/>
      <c r="AT1468" s="11"/>
    </row>
    <row r="1469" spans="1:46" ht="13">
      <c r="A1469" s="11"/>
      <c r="G1469" s="12"/>
      <c r="I1469" s="13"/>
      <c r="J1469" s="13"/>
      <c r="K1469" s="13"/>
      <c r="M1469" s="13"/>
      <c r="N1469" s="13"/>
      <c r="Q1469" s="13"/>
      <c r="V1469" s="13"/>
      <c r="Y1469" s="14"/>
      <c r="Z1469" s="14"/>
      <c r="AA1469" s="14"/>
      <c r="AB1469" s="14"/>
      <c r="AC1469" s="14"/>
      <c r="AD1469" s="14"/>
      <c r="AE1469" s="14"/>
      <c r="AF1469" s="13"/>
      <c r="AM1469" s="14"/>
      <c r="AN1469" s="11"/>
      <c r="AO1469" s="12"/>
      <c r="AP1469" s="11"/>
      <c r="AQ1469" s="11"/>
      <c r="AR1469" s="11"/>
      <c r="AS1469" s="11"/>
      <c r="AT1469" s="11"/>
    </row>
    <row r="1470" spans="1:46" ht="13">
      <c r="A1470" s="11"/>
      <c r="G1470" s="12"/>
      <c r="I1470" s="13"/>
      <c r="J1470" s="13"/>
      <c r="K1470" s="13"/>
      <c r="M1470" s="13"/>
      <c r="N1470" s="13"/>
      <c r="Q1470" s="13"/>
      <c r="V1470" s="13"/>
      <c r="Y1470" s="14"/>
      <c r="Z1470" s="14"/>
      <c r="AA1470" s="14"/>
      <c r="AB1470" s="14"/>
      <c r="AC1470" s="14"/>
      <c r="AD1470" s="14"/>
      <c r="AE1470" s="14"/>
      <c r="AF1470" s="13"/>
      <c r="AM1470" s="14"/>
      <c r="AN1470" s="11"/>
      <c r="AO1470" s="12"/>
      <c r="AP1470" s="11"/>
      <c r="AQ1470" s="11"/>
      <c r="AR1470" s="11"/>
      <c r="AS1470" s="11"/>
      <c r="AT1470" s="11"/>
    </row>
    <row r="1471" spans="1:46" ht="13">
      <c r="A1471" s="11"/>
      <c r="G1471" s="12"/>
      <c r="I1471" s="13"/>
      <c r="J1471" s="13"/>
      <c r="K1471" s="13"/>
      <c r="M1471" s="13"/>
      <c r="N1471" s="13"/>
      <c r="Q1471" s="13"/>
      <c r="V1471" s="13"/>
      <c r="Y1471" s="14"/>
      <c r="Z1471" s="14"/>
      <c r="AA1471" s="14"/>
      <c r="AB1471" s="14"/>
      <c r="AC1471" s="14"/>
      <c r="AD1471" s="14"/>
      <c r="AE1471" s="14"/>
      <c r="AF1471" s="13"/>
      <c r="AM1471" s="14"/>
      <c r="AN1471" s="11"/>
      <c r="AO1471" s="12"/>
      <c r="AP1471" s="11"/>
      <c r="AQ1471" s="11"/>
      <c r="AR1471" s="11"/>
      <c r="AS1471" s="11"/>
      <c r="AT1471" s="11"/>
    </row>
    <row r="1472" spans="1:46" ht="13">
      <c r="A1472" s="11"/>
      <c r="G1472" s="12"/>
      <c r="I1472" s="13"/>
      <c r="J1472" s="13"/>
      <c r="K1472" s="13"/>
      <c r="M1472" s="13"/>
      <c r="N1472" s="13"/>
      <c r="Q1472" s="13"/>
      <c r="V1472" s="13"/>
      <c r="Y1472" s="14"/>
      <c r="Z1472" s="14"/>
      <c r="AA1472" s="14"/>
      <c r="AB1472" s="14"/>
      <c r="AC1472" s="14"/>
      <c r="AD1472" s="14"/>
      <c r="AE1472" s="14"/>
      <c r="AF1472" s="13"/>
      <c r="AM1472" s="14"/>
      <c r="AN1472" s="11"/>
      <c r="AO1472" s="12"/>
      <c r="AP1472" s="11"/>
      <c r="AQ1472" s="11"/>
      <c r="AR1472" s="11"/>
      <c r="AS1472" s="11"/>
      <c r="AT1472" s="11"/>
    </row>
    <row r="1473" spans="1:46" ht="13">
      <c r="A1473" s="11"/>
      <c r="G1473" s="12"/>
      <c r="I1473" s="13"/>
      <c r="J1473" s="13"/>
      <c r="K1473" s="13"/>
      <c r="M1473" s="13"/>
      <c r="N1473" s="13"/>
      <c r="Q1473" s="13"/>
      <c r="V1473" s="13"/>
      <c r="Y1473" s="14"/>
      <c r="Z1473" s="14"/>
      <c r="AA1473" s="14"/>
      <c r="AB1473" s="14"/>
      <c r="AC1473" s="14"/>
      <c r="AD1473" s="14"/>
      <c r="AE1473" s="14"/>
      <c r="AF1473" s="13"/>
      <c r="AM1473" s="14"/>
      <c r="AN1473" s="11"/>
      <c r="AO1473" s="12"/>
      <c r="AP1473" s="11"/>
      <c r="AQ1473" s="11"/>
      <c r="AR1473" s="11"/>
      <c r="AS1473" s="11"/>
      <c r="AT1473" s="11"/>
    </row>
    <row r="1474" spans="1:46" ht="13">
      <c r="A1474" s="11"/>
      <c r="G1474" s="12"/>
      <c r="I1474" s="13"/>
      <c r="J1474" s="13"/>
      <c r="K1474" s="13"/>
      <c r="M1474" s="13"/>
      <c r="N1474" s="13"/>
      <c r="Q1474" s="13"/>
      <c r="V1474" s="13"/>
      <c r="Y1474" s="14"/>
      <c r="Z1474" s="14"/>
      <c r="AA1474" s="14"/>
      <c r="AB1474" s="14"/>
      <c r="AC1474" s="14"/>
      <c r="AD1474" s="14"/>
      <c r="AE1474" s="14"/>
      <c r="AF1474" s="13"/>
      <c r="AM1474" s="14"/>
      <c r="AN1474" s="11"/>
      <c r="AO1474" s="12"/>
      <c r="AP1474" s="11"/>
      <c r="AQ1474" s="11"/>
      <c r="AR1474" s="11"/>
      <c r="AS1474" s="11"/>
      <c r="AT1474" s="11"/>
    </row>
    <row r="1475" spans="1:46" ht="13">
      <c r="A1475" s="11"/>
      <c r="G1475" s="12"/>
      <c r="I1475" s="13"/>
      <c r="J1475" s="13"/>
      <c r="K1475" s="13"/>
      <c r="M1475" s="13"/>
      <c r="N1475" s="13"/>
      <c r="Q1475" s="13"/>
      <c r="V1475" s="13"/>
      <c r="Y1475" s="14"/>
      <c r="Z1475" s="14"/>
      <c r="AA1475" s="14"/>
      <c r="AB1475" s="14"/>
      <c r="AC1475" s="14"/>
      <c r="AD1475" s="14"/>
      <c r="AE1475" s="14"/>
      <c r="AF1475" s="13"/>
      <c r="AM1475" s="14"/>
      <c r="AN1475" s="11"/>
      <c r="AO1475" s="12"/>
      <c r="AP1475" s="11"/>
      <c r="AQ1475" s="11"/>
      <c r="AR1475" s="11"/>
      <c r="AS1475" s="11"/>
      <c r="AT1475" s="11"/>
    </row>
    <row r="1476" spans="1:46" ht="13">
      <c r="A1476" s="11"/>
      <c r="G1476" s="12"/>
      <c r="I1476" s="13"/>
      <c r="J1476" s="13"/>
      <c r="K1476" s="13"/>
      <c r="M1476" s="13"/>
      <c r="N1476" s="13"/>
      <c r="Q1476" s="13"/>
      <c r="V1476" s="13"/>
      <c r="Y1476" s="14"/>
      <c r="Z1476" s="14"/>
      <c r="AA1476" s="14"/>
      <c r="AB1476" s="14"/>
      <c r="AC1476" s="14"/>
      <c r="AD1476" s="14"/>
      <c r="AE1476" s="14"/>
      <c r="AF1476" s="13"/>
      <c r="AM1476" s="14"/>
      <c r="AN1476" s="11"/>
      <c r="AO1476" s="12"/>
      <c r="AP1476" s="11"/>
      <c r="AQ1476" s="11"/>
      <c r="AR1476" s="11"/>
      <c r="AS1476" s="11"/>
      <c r="AT1476" s="11"/>
    </row>
    <row r="1477" spans="1:46" ht="13">
      <c r="A1477" s="11"/>
      <c r="G1477" s="12"/>
      <c r="I1477" s="13"/>
      <c r="J1477" s="13"/>
      <c r="K1477" s="13"/>
      <c r="M1477" s="13"/>
      <c r="N1477" s="13"/>
      <c r="Q1477" s="13"/>
      <c r="V1477" s="13"/>
      <c r="Y1477" s="14"/>
      <c r="Z1477" s="14"/>
      <c r="AA1477" s="14"/>
      <c r="AB1477" s="14"/>
      <c r="AC1477" s="14"/>
      <c r="AD1477" s="14"/>
      <c r="AE1477" s="14"/>
      <c r="AF1477" s="13"/>
      <c r="AM1477" s="14"/>
      <c r="AN1477" s="11"/>
      <c r="AO1477" s="12"/>
      <c r="AP1477" s="11"/>
      <c r="AQ1477" s="11"/>
      <c r="AR1477" s="11"/>
      <c r="AS1477" s="11"/>
      <c r="AT1477" s="11"/>
    </row>
    <row r="1478" spans="1:46" ht="13">
      <c r="A1478" s="11"/>
      <c r="G1478" s="12"/>
      <c r="I1478" s="13"/>
      <c r="J1478" s="13"/>
      <c r="K1478" s="13"/>
      <c r="M1478" s="13"/>
      <c r="N1478" s="13"/>
      <c r="Q1478" s="13"/>
      <c r="V1478" s="13"/>
      <c r="Y1478" s="14"/>
      <c r="Z1478" s="14"/>
      <c r="AA1478" s="14"/>
      <c r="AB1478" s="14"/>
      <c r="AC1478" s="14"/>
      <c r="AD1478" s="14"/>
      <c r="AE1478" s="14"/>
      <c r="AF1478" s="13"/>
      <c r="AM1478" s="14"/>
      <c r="AN1478" s="11"/>
      <c r="AO1478" s="12"/>
      <c r="AP1478" s="11"/>
      <c r="AQ1478" s="11"/>
      <c r="AR1478" s="11"/>
      <c r="AS1478" s="11"/>
      <c r="AT1478" s="11"/>
    </row>
    <row r="1479" spans="1:46" ht="13">
      <c r="A1479" s="11"/>
      <c r="G1479" s="12"/>
      <c r="I1479" s="13"/>
      <c r="J1479" s="13"/>
      <c r="K1479" s="13"/>
      <c r="M1479" s="13"/>
      <c r="N1479" s="13"/>
      <c r="Q1479" s="13"/>
      <c r="V1479" s="13"/>
      <c r="Y1479" s="14"/>
      <c r="Z1479" s="14"/>
      <c r="AA1479" s="14"/>
      <c r="AB1479" s="14"/>
      <c r="AC1479" s="14"/>
      <c r="AD1479" s="14"/>
      <c r="AE1479" s="14"/>
      <c r="AF1479" s="13"/>
      <c r="AM1479" s="14"/>
      <c r="AN1479" s="11"/>
      <c r="AO1479" s="12"/>
      <c r="AP1479" s="11"/>
      <c r="AQ1479" s="11"/>
      <c r="AR1479" s="11"/>
      <c r="AS1479" s="11"/>
      <c r="AT1479" s="11"/>
    </row>
    <row r="1480" spans="1:46" ht="13">
      <c r="A1480" s="11"/>
      <c r="G1480" s="12"/>
      <c r="I1480" s="13"/>
      <c r="J1480" s="13"/>
      <c r="K1480" s="13"/>
      <c r="M1480" s="13"/>
      <c r="N1480" s="13"/>
      <c r="Q1480" s="13"/>
      <c r="V1480" s="13"/>
      <c r="Y1480" s="14"/>
      <c r="Z1480" s="14"/>
      <c r="AA1480" s="14"/>
      <c r="AB1480" s="14"/>
      <c r="AC1480" s="14"/>
      <c r="AD1480" s="14"/>
      <c r="AE1480" s="14"/>
      <c r="AF1480" s="13"/>
      <c r="AM1480" s="14"/>
      <c r="AN1480" s="11"/>
      <c r="AO1480" s="12"/>
      <c r="AP1480" s="11"/>
      <c r="AQ1480" s="11"/>
      <c r="AR1480" s="11"/>
      <c r="AS1480" s="11"/>
      <c r="AT1480" s="11"/>
    </row>
    <row r="1481" spans="1:46" ht="13">
      <c r="A1481" s="11"/>
      <c r="G1481" s="12"/>
      <c r="I1481" s="13"/>
      <c r="J1481" s="13"/>
      <c r="K1481" s="13"/>
      <c r="M1481" s="13"/>
      <c r="N1481" s="13"/>
      <c r="Q1481" s="13"/>
      <c r="V1481" s="13"/>
      <c r="Y1481" s="14"/>
      <c r="Z1481" s="14"/>
      <c r="AA1481" s="14"/>
      <c r="AB1481" s="14"/>
      <c r="AC1481" s="14"/>
      <c r="AD1481" s="14"/>
      <c r="AE1481" s="14"/>
      <c r="AF1481" s="13"/>
      <c r="AM1481" s="14"/>
      <c r="AN1481" s="11"/>
      <c r="AO1481" s="12"/>
      <c r="AP1481" s="11"/>
      <c r="AQ1481" s="11"/>
      <c r="AR1481" s="11"/>
      <c r="AS1481" s="11"/>
      <c r="AT1481" s="11"/>
    </row>
    <row r="1482" spans="1:46" ht="13">
      <c r="A1482" s="11"/>
      <c r="G1482" s="12"/>
      <c r="I1482" s="13"/>
      <c r="J1482" s="13"/>
      <c r="K1482" s="13"/>
      <c r="M1482" s="13"/>
      <c r="N1482" s="13"/>
      <c r="Q1482" s="13"/>
      <c r="V1482" s="13"/>
      <c r="Y1482" s="14"/>
      <c r="Z1482" s="14"/>
      <c r="AA1482" s="14"/>
      <c r="AB1482" s="14"/>
      <c r="AC1482" s="14"/>
      <c r="AD1482" s="14"/>
      <c r="AE1482" s="14"/>
      <c r="AF1482" s="13"/>
      <c r="AM1482" s="14"/>
      <c r="AN1482" s="11"/>
      <c r="AO1482" s="12"/>
      <c r="AP1482" s="11"/>
      <c r="AQ1482" s="11"/>
      <c r="AR1482" s="11"/>
      <c r="AS1482" s="11"/>
      <c r="AT1482" s="11"/>
    </row>
    <row r="1483" spans="1:46" ht="13">
      <c r="A1483" s="11"/>
      <c r="G1483" s="12"/>
      <c r="I1483" s="13"/>
      <c r="J1483" s="13"/>
      <c r="K1483" s="13"/>
      <c r="M1483" s="13"/>
      <c r="N1483" s="13"/>
      <c r="Q1483" s="13"/>
      <c r="V1483" s="13"/>
      <c r="Y1483" s="14"/>
      <c r="Z1483" s="14"/>
      <c r="AA1483" s="14"/>
      <c r="AB1483" s="14"/>
      <c r="AC1483" s="14"/>
      <c r="AD1483" s="14"/>
      <c r="AE1483" s="14"/>
      <c r="AF1483" s="13"/>
      <c r="AM1483" s="14"/>
      <c r="AN1483" s="11"/>
      <c r="AO1483" s="12"/>
      <c r="AP1483" s="11"/>
      <c r="AQ1483" s="11"/>
      <c r="AR1483" s="11"/>
      <c r="AS1483" s="11"/>
      <c r="AT1483" s="11"/>
    </row>
    <row r="1484" spans="1:46" ht="13">
      <c r="A1484" s="11"/>
      <c r="G1484" s="12"/>
      <c r="I1484" s="13"/>
      <c r="J1484" s="13"/>
      <c r="K1484" s="13"/>
      <c r="M1484" s="13"/>
      <c r="N1484" s="13"/>
      <c r="Q1484" s="13"/>
      <c r="V1484" s="13"/>
      <c r="Y1484" s="14"/>
      <c r="Z1484" s="14"/>
      <c r="AA1484" s="14"/>
      <c r="AB1484" s="14"/>
      <c r="AC1484" s="14"/>
      <c r="AD1484" s="14"/>
      <c r="AE1484" s="14"/>
      <c r="AF1484" s="13"/>
      <c r="AM1484" s="14"/>
      <c r="AN1484" s="11"/>
      <c r="AO1484" s="12"/>
      <c r="AP1484" s="11"/>
      <c r="AQ1484" s="11"/>
      <c r="AR1484" s="11"/>
      <c r="AS1484" s="11"/>
      <c r="AT1484" s="11"/>
    </row>
    <row r="1485" spans="1:46" ht="13">
      <c r="A1485" s="11"/>
      <c r="G1485" s="12"/>
      <c r="I1485" s="13"/>
      <c r="J1485" s="13"/>
      <c r="K1485" s="13"/>
      <c r="M1485" s="13"/>
      <c r="N1485" s="13"/>
      <c r="Q1485" s="13"/>
      <c r="V1485" s="13"/>
      <c r="Y1485" s="14"/>
      <c r="Z1485" s="14"/>
      <c r="AA1485" s="14"/>
      <c r="AB1485" s="14"/>
      <c r="AC1485" s="14"/>
      <c r="AD1485" s="14"/>
      <c r="AE1485" s="14"/>
      <c r="AF1485" s="13"/>
      <c r="AM1485" s="14"/>
      <c r="AN1485" s="11"/>
      <c r="AO1485" s="12"/>
      <c r="AP1485" s="11"/>
      <c r="AQ1485" s="11"/>
      <c r="AR1485" s="11"/>
      <c r="AS1485" s="11"/>
      <c r="AT1485" s="11"/>
    </row>
    <row r="1486" spans="1:46" ht="13">
      <c r="A1486" s="11"/>
      <c r="G1486" s="12"/>
      <c r="I1486" s="13"/>
      <c r="J1486" s="13"/>
      <c r="K1486" s="13"/>
      <c r="M1486" s="13"/>
      <c r="N1486" s="13"/>
      <c r="Q1486" s="13"/>
      <c r="V1486" s="13"/>
      <c r="Y1486" s="14"/>
      <c r="Z1486" s="14"/>
      <c r="AA1486" s="14"/>
      <c r="AB1486" s="14"/>
      <c r="AC1486" s="14"/>
      <c r="AD1486" s="14"/>
      <c r="AE1486" s="14"/>
      <c r="AF1486" s="13"/>
      <c r="AM1486" s="14"/>
      <c r="AN1486" s="11"/>
      <c r="AO1486" s="12"/>
      <c r="AP1486" s="11"/>
      <c r="AQ1486" s="11"/>
      <c r="AR1486" s="11"/>
      <c r="AS1486" s="11"/>
      <c r="AT1486" s="11"/>
    </row>
    <row r="1487" spans="1:46" ht="13">
      <c r="A1487" s="11"/>
      <c r="G1487" s="12"/>
      <c r="I1487" s="13"/>
      <c r="J1487" s="13"/>
      <c r="K1487" s="13"/>
      <c r="M1487" s="13"/>
      <c r="N1487" s="13"/>
      <c r="Q1487" s="13"/>
      <c r="V1487" s="13"/>
      <c r="Y1487" s="14"/>
      <c r="Z1487" s="14"/>
      <c r="AA1487" s="14"/>
      <c r="AB1487" s="14"/>
      <c r="AC1487" s="14"/>
      <c r="AD1487" s="14"/>
      <c r="AE1487" s="14"/>
      <c r="AF1487" s="13"/>
      <c r="AM1487" s="14"/>
      <c r="AN1487" s="11"/>
      <c r="AO1487" s="12"/>
      <c r="AP1487" s="11"/>
      <c r="AQ1487" s="11"/>
      <c r="AR1487" s="11"/>
      <c r="AS1487" s="11"/>
      <c r="AT1487" s="11"/>
    </row>
    <row r="1488" spans="1:46" ht="13">
      <c r="A1488" s="11"/>
      <c r="G1488" s="12"/>
      <c r="I1488" s="13"/>
      <c r="J1488" s="13"/>
      <c r="K1488" s="13"/>
      <c r="M1488" s="13"/>
      <c r="N1488" s="13"/>
      <c r="Q1488" s="13"/>
      <c r="V1488" s="13"/>
      <c r="Y1488" s="14"/>
      <c r="Z1488" s="14"/>
      <c r="AA1488" s="14"/>
      <c r="AB1488" s="14"/>
      <c r="AC1488" s="14"/>
      <c r="AD1488" s="14"/>
      <c r="AE1488" s="14"/>
      <c r="AF1488" s="13"/>
      <c r="AM1488" s="14"/>
      <c r="AN1488" s="11"/>
      <c r="AO1488" s="12"/>
      <c r="AP1488" s="11"/>
      <c r="AQ1488" s="11"/>
      <c r="AR1488" s="11"/>
      <c r="AS1488" s="11"/>
      <c r="AT1488" s="11"/>
    </row>
    <row r="1489" spans="1:46" ht="13">
      <c r="A1489" s="11"/>
      <c r="G1489" s="12"/>
      <c r="I1489" s="13"/>
      <c r="J1489" s="13"/>
      <c r="K1489" s="13"/>
      <c r="M1489" s="13"/>
      <c r="N1489" s="13"/>
      <c r="Q1489" s="13"/>
      <c r="V1489" s="13"/>
      <c r="Y1489" s="14"/>
      <c r="Z1489" s="14"/>
      <c r="AA1489" s="14"/>
      <c r="AB1489" s="14"/>
      <c r="AC1489" s="14"/>
      <c r="AD1489" s="14"/>
      <c r="AE1489" s="14"/>
      <c r="AF1489" s="13"/>
      <c r="AM1489" s="14"/>
      <c r="AN1489" s="11"/>
      <c r="AO1489" s="12"/>
      <c r="AP1489" s="11"/>
      <c r="AQ1489" s="11"/>
      <c r="AR1489" s="11"/>
      <c r="AS1489" s="11"/>
      <c r="AT1489" s="11"/>
    </row>
    <row r="1490" spans="1:46" ht="13">
      <c r="A1490" s="11"/>
      <c r="G1490" s="12"/>
      <c r="I1490" s="13"/>
      <c r="J1490" s="13"/>
      <c r="K1490" s="13"/>
      <c r="M1490" s="13"/>
      <c r="N1490" s="13"/>
      <c r="Q1490" s="13"/>
      <c r="V1490" s="13"/>
      <c r="Y1490" s="14"/>
      <c r="Z1490" s="14"/>
      <c r="AA1490" s="14"/>
      <c r="AB1490" s="14"/>
      <c r="AC1490" s="14"/>
      <c r="AD1490" s="14"/>
      <c r="AE1490" s="14"/>
      <c r="AF1490" s="13"/>
      <c r="AM1490" s="14"/>
      <c r="AN1490" s="11"/>
      <c r="AO1490" s="12"/>
      <c r="AP1490" s="11"/>
      <c r="AQ1490" s="11"/>
      <c r="AR1490" s="11"/>
      <c r="AS1490" s="11"/>
      <c r="AT1490" s="11"/>
    </row>
    <row r="1491" spans="1:46" ht="13">
      <c r="A1491" s="11"/>
      <c r="G1491" s="12"/>
      <c r="I1491" s="13"/>
      <c r="J1491" s="13"/>
      <c r="K1491" s="13"/>
      <c r="M1491" s="13"/>
      <c r="N1491" s="13"/>
      <c r="Q1491" s="13"/>
      <c r="V1491" s="13"/>
      <c r="Y1491" s="14"/>
      <c r="Z1491" s="14"/>
      <c r="AA1491" s="14"/>
      <c r="AB1491" s="14"/>
      <c r="AC1491" s="14"/>
      <c r="AD1491" s="14"/>
      <c r="AE1491" s="14"/>
      <c r="AF1491" s="13"/>
      <c r="AM1491" s="14"/>
      <c r="AN1491" s="11"/>
      <c r="AO1491" s="12"/>
      <c r="AP1491" s="11"/>
      <c r="AQ1491" s="11"/>
      <c r="AR1491" s="11"/>
      <c r="AS1491" s="11"/>
      <c r="AT1491" s="11"/>
    </row>
    <row r="1492" spans="1:46" ht="13">
      <c r="A1492" s="11"/>
      <c r="G1492" s="12"/>
      <c r="I1492" s="13"/>
      <c r="J1492" s="13"/>
      <c r="K1492" s="13"/>
      <c r="M1492" s="13"/>
      <c r="N1492" s="13"/>
      <c r="Q1492" s="13"/>
      <c r="V1492" s="13"/>
      <c r="Y1492" s="14"/>
      <c r="Z1492" s="14"/>
      <c r="AA1492" s="14"/>
      <c r="AB1492" s="14"/>
      <c r="AC1492" s="14"/>
      <c r="AD1492" s="14"/>
      <c r="AE1492" s="14"/>
      <c r="AF1492" s="13"/>
      <c r="AM1492" s="14"/>
      <c r="AN1492" s="11"/>
      <c r="AO1492" s="12"/>
      <c r="AP1492" s="11"/>
      <c r="AQ1492" s="11"/>
      <c r="AR1492" s="11"/>
      <c r="AS1492" s="11"/>
      <c r="AT1492" s="11"/>
    </row>
    <row r="1493" spans="1:46" ht="13">
      <c r="A1493" s="11"/>
      <c r="G1493" s="12"/>
      <c r="I1493" s="13"/>
      <c r="J1493" s="13"/>
      <c r="K1493" s="13"/>
      <c r="M1493" s="13"/>
      <c r="N1493" s="13"/>
      <c r="Q1493" s="13"/>
      <c r="V1493" s="13"/>
      <c r="Y1493" s="14"/>
      <c r="Z1493" s="14"/>
      <c r="AA1493" s="14"/>
      <c r="AB1493" s="14"/>
      <c r="AC1493" s="14"/>
      <c r="AD1493" s="14"/>
      <c r="AE1493" s="14"/>
      <c r="AF1493" s="13"/>
      <c r="AM1493" s="14"/>
      <c r="AN1493" s="11"/>
      <c r="AO1493" s="12"/>
      <c r="AP1493" s="11"/>
      <c r="AQ1493" s="11"/>
      <c r="AR1493" s="11"/>
      <c r="AS1493" s="11"/>
      <c r="AT1493" s="11"/>
    </row>
    <row r="1494" spans="1:46" ht="13">
      <c r="A1494" s="11"/>
      <c r="G1494" s="12"/>
      <c r="I1494" s="13"/>
      <c r="J1494" s="13"/>
      <c r="K1494" s="13"/>
      <c r="M1494" s="13"/>
      <c r="N1494" s="13"/>
      <c r="Q1494" s="13"/>
      <c r="V1494" s="13"/>
      <c r="Y1494" s="14"/>
      <c r="Z1494" s="14"/>
      <c r="AA1494" s="14"/>
      <c r="AB1494" s="14"/>
      <c r="AC1494" s="14"/>
      <c r="AD1494" s="14"/>
      <c r="AE1494" s="14"/>
      <c r="AF1494" s="13"/>
      <c r="AM1494" s="14"/>
      <c r="AN1494" s="11"/>
      <c r="AO1494" s="12"/>
      <c r="AP1494" s="11"/>
      <c r="AQ1494" s="11"/>
      <c r="AR1494" s="11"/>
      <c r="AS1494" s="11"/>
      <c r="AT1494" s="11"/>
    </row>
    <row r="1495" spans="1:46" ht="13">
      <c r="A1495" s="11"/>
      <c r="G1495" s="12"/>
      <c r="I1495" s="13"/>
      <c r="J1495" s="13"/>
      <c r="K1495" s="13"/>
      <c r="M1495" s="13"/>
      <c r="N1495" s="13"/>
      <c r="Q1495" s="13"/>
      <c r="V1495" s="13"/>
      <c r="Y1495" s="14"/>
      <c r="Z1495" s="14"/>
      <c r="AA1495" s="14"/>
      <c r="AB1495" s="14"/>
      <c r="AC1495" s="14"/>
      <c r="AD1495" s="14"/>
      <c r="AE1495" s="14"/>
      <c r="AF1495" s="13"/>
      <c r="AM1495" s="14"/>
      <c r="AN1495" s="11"/>
      <c r="AO1495" s="12"/>
      <c r="AP1495" s="11"/>
      <c r="AQ1495" s="11"/>
      <c r="AR1495" s="11"/>
      <c r="AS1495" s="11"/>
      <c r="AT1495" s="11"/>
    </row>
    <row r="1496" spans="1:46" ht="13">
      <c r="A1496" s="11"/>
      <c r="G1496" s="12"/>
      <c r="I1496" s="13"/>
      <c r="J1496" s="13"/>
      <c r="K1496" s="13"/>
      <c r="M1496" s="13"/>
      <c r="N1496" s="13"/>
      <c r="Q1496" s="13"/>
      <c r="V1496" s="13"/>
      <c r="Y1496" s="14"/>
      <c r="Z1496" s="14"/>
      <c r="AA1496" s="14"/>
      <c r="AB1496" s="14"/>
      <c r="AC1496" s="14"/>
      <c r="AD1496" s="14"/>
      <c r="AE1496" s="14"/>
      <c r="AF1496" s="13"/>
      <c r="AM1496" s="14"/>
      <c r="AN1496" s="11"/>
      <c r="AO1496" s="12"/>
      <c r="AP1496" s="11"/>
      <c r="AQ1496" s="11"/>
      <c r="AR1496" s="11"/>
      <c r="AS1496" s="11"/>
      <c r="AT1496" s="11"/>
    </row>
    <row r="1497" spans="1:46" ht="13">
      <c r="A1497" s="11"/>
      <c r="G1497" s="12"/>
      <c r="I1497" s="13"/>
      <c r="J1497" s="13"/>
      <c r="K1497" s="13"/>
      <c r="M1497" s="13"/>
      <c r="N1497" s="13"/>
      <c r="Q1497" s="13"/>
      <c r="V1497" s="13"/>
      <c r="Y1497" s="14"/>
      <c r="Z1497" s="14"/>
      <c r="AA1497" s="14"/>
      <c r="AB1497" s="14"/>
      <c r="AC1497" s="14"/>
      <c r="AD1497" s="14"/>
      <c r="AE1497" s="14"/>
      <c r="AF1497" s="13"/>
      <c r="AM1497" s="14"/>
      <c r="AN1497" s="11"/>
      <c r="AO1497" s="12"/>
      <c r="AP1497" s="11"/>
      <c r="AQ1497" s="11"/>
      <c r="AR1497" s="11"/>
      <c r="AS1497" s="11"/>
      <c r="AT1497" s="11"/>
    </row>
    <row r="1498" spans="1:46" ht="13">
      <c r="A1498" s="11"/>
      <c r="G1498" s="12"/>
      <c r="I1498" s="13"/>
      <c r="J1498" s="13"/>
      <c r="K1498" s="13"/>
      <c r="M1498" s="13"/>
      <c r="N1498" s="13"/>
      <c r="Q1498" s="13"/>
      <c r="V1498" s="13"/>
      <c r="Y1498" s="14"/>
      <c r="Z1498" s="14"/>
      <c r="AA1498" s="14"/>
      <c r="AB1498" s="14"/>
      <c r="AC1498" s="14"/>
      <c r="AD1498" s="14"/>
      <c r="AE1498" s="14"/>
      <c r="AF1498" s="13"/>
      <c r="AM1498" s="14"/>
      <c r="AN1498" s="11"/>
      <c r="AO1498" s="12"/>
      <c r="AP1498" s="11"/>
      <c r="AQ1498" s="11"/>
      <c r="AR1498" s="11"/>
      <c r="AS1498" s="11"/>
      <c r="AT1498" s="11"/>
    </row>
    <row r="1499" spans="1:46" ht="13">
      <c r="A1499" s="11"/>
      <c r="G1499" s="12"/>
      <c r="I1499" s="13"/>
      <c r="J1499" s="13"/>
      <c r="K1499" s="13"/>
      <c r="M1499" s="13"/>
      <c r="N1499" s="13"/>
      <c r="Q1499" s="13"/>
      <c r="V1499" s="13"/>
      <c r="Y1499" s="14"/>
      <c r="Z1499" s="14"/>
      <c r="AA1499" s="14"/>
      <c r="AB1499" s="14"/>
      <c r="AC1499" s="14"/>
      <c r="AD1499" s="14"/>
      <c r="AE1499" s="14"/>
      <c r="AF1499" s="13"/>
      <c r="AM1499" s="14"/>
      <c r="AN1499" s="11"/>
      <c r="AO1499" s="12"/>
      <c r="AP1499" s="11"/>
      <c r="AQ1499" s="11"/>
      <c r="AR1499" s="11"/>
      <c r="AS1499" s="11"/>
      <c r="AT1499" s="11"/>
    </row>
    <row r="1500" spans="1:46" ht="13">
      <c r="A1500" s="11"/>
      <c r="G1500" s="12"/>
      <c r="I1500" s="13"/>
      <c r="J1500" s="13"/>
      <c r="K1500" s="13"/>
      <c r="M1500" s="13"/>
      <c r="N1500" s="13"/>
      <c r="Q1500" s="13"/>
      <c r="V1500" s="13"/>
      <c r="Y1500" s="14"/>
      <c r="Z1500" s="14"/>
      <c r="AA1500" s="14"/>
      <c r="AB1500" s="14"/>
      <c r="AC1500" s="14"/>
      <c r="AD1500" s="14"/>
      <c r="AE1500" s="14"/>
      <c r="AF1500" s="13"/>
      <c r="AM1500" s="14"/>
      <c r="AN1500" s="11"/>
      <c r="AO1500" s="12"/>
      <c r="AP1500" s="11"/>
      <c r="AQ1500" s="11"/>
      <c r="AR1500" s="11"/>
      <c r="AS1500" s="11"/>
      <c r="AT1500" s="11"/>
    </row>
    <row r="1501" spans="1:46" ht="13">
      <c r="A1501" s="11"/>
      <c r="G1501" s="12"/>
      <c r="I1501" s="13"/>
      <c r="J1501" s="13"/>
      <c r="K1501" s="13"/>
      <c r="M1501" s="13"/>
      <c r="N1501" s="13"/>
      <c r="Q1501" s="13"/>
      <c r="V1501" s="13"/>
      <c r="Y1501" s="14"/>
      <c r="Z1501" s="14"/>
      <c r="AA1501" s="14"/>
      <c r="AB1501" s="14"/>
      <c r="AC1501" s="14"/>
      <c r="AD1501" s="14"/>
      <c r="AE1501" s="14"/>
      <c r="AF1501" s="13"/>
      <c r="AM1501" s="14"/>
      <c r="AN1501" s="11"/>
      <c r="AO1501" s="12"/>
      <c r="AP1501" s="11"/>
      <c r="AQ1501" s="11"/>
      <c r="AR1501" s="11"/>
      <c r="AS1501" s="11"/>
      <c r="AT1501" s="11"/>
    </row>
    <row r="1502" spans="1:46" ht="13">
      <c r="A1502" s="11"/>
      <c r="G1502" s="12"/>
      <c r="I1502" s="13"/>
      <c r="J1502" s="13"/>
      <c r="K1502" s="13"/>
      <c r="M1502" s="13"/>
      <c r="N1502" s="13"/>
      <c r="Q1502" s="13"/>
      <c r="V1502" s="13"/>
      <c r="Y1502" s="14"/>
      <c r="Z1502" s="14"/>
      <c r="AA1502" s="14"/>
      <c r="AB1502" s="14"/>
      <c r="AC1502" s="14"/>
      <c r="AD1502" s="14"/>
      <c r="AE1502" s="14"/>
      <c r="AF1502" s="13"/>
      <c r="AM1502" s="14"/>
      <c r="AN1502" s="11"/>
      <c r="AO1502" s="12"/>
      <c r="AP1502" s="11"/>
      <c r="AQ1502" s="11"/>
      <c r="AR1502" s="11"/>
      <c r="AS1502" s="11"/>
      <c r="AT1502" s="11"/>
    </row>
    <row r="1503" spans="1:46" ht="13">
      <c r="A1503" s="11"/>
      <c r="G1503" s="12"/>
      <c r="I1503" s="13"/>
      <c r="J1503" s="13"/>
      <c r="K1503" s="13"/>
      <c r="M1503" s="13"/>
      <c r="N1503" s="13"/>
      <c r="Q1503" s="13"/>
      <c r="V1503" s="13"/>
      <c r="Y1503" s="14"/>
      <c r="Z1503" s="14"/>
      <c r="AA1503" s="14"/>
      <c r="AB1503" s="14"/>
      <c r="AC1503" s="14"/>
      <c r="AD1503" s="14"/>
      <c r="AE1503" s="14"/>
      <c r="AF1503" s="13"/>
      <c r="AM1503" s="14"/>
      <c r="AN1503" s="11"/>
      <c r="AO1503" s="12"/>
      <c r="AP1503" s="11"/>
      <c r="AQ1503" s="11"/>
      <c r="AR1503" s="11"/>
      <c r="AS1503" s="11"/>
      <c r="AT1503" s="11"/>
    </row>
    <row r="1504" spans="1:46" ht="13">
      <c r="A1504" s="11"/>
      <c r="G1504" s="12"/>
      <c r="I1504" s="13"/>
      <c r="J1504" s="13"/>
      <c r="K1504" s="13"/>
      <c r="M1504" s="13"/>
      <c r="N1504" s="13"/>
      <c r="Q1504" s="13"/>
      <c r="V1504" s="13"/>
      <c r="Y1504" s="14"/>
      <c r="Z1504" s="14"/>
      <c r="AA1504" s="14"/>
      <c r="AB1504" s="14"/>
      <c r="AC1504" s="14"/>
      <c r="AD1504" s="14"/>
      <c r="AE1504" s="14"/>
      <c r="AF1504" s="13"/>
      <c r="AM1504" s="14"/>
      <c r="AN1504" s="11"/>
      <c r="AO1504" s="12"/>
      <c r="AP1504" s="11"/>
      <c r="AQ1504" s="11"/>
      <c r="AR1504" s="11"/>
      <c r="AS1504" s="11"/>
      <c r="AT1504" s="11"/>
    </row>
    <row r="1505" spans="1:46" ht="13">
      <c r="A1505" s="11"/>
      <c r="G1505" s="12"/>
      <c r="I1505" s="13"/>
      <c r="J1505" s="13"/>
      <c r="K1505" s="13"/>
      <c r="M1505" s="13"/>
      <c r="N1505" s="13"/>
      <c r="Q1505" s="13"/>
      <c r="V1505" s="13"/>
      <c r="Y1505" s="14"/>
      <c r="Z1505" s="14"/>
      <c r="AA1505" s="14"/>
      <c r="AB1505" s="14"/>
      <c r="AC1505" s="14"/>
      <c r="AD1505" s="14"/>
      <c r="AE1505" s="14"/>
      <c r="AF1505" s="13"/>
      <c r="AM1505" s="14"/>
      <c r="AN1505" s="11"/>
      <c r="AO1505" s="12"/>
      <c r="AP1505" s="11"/>
      <c r="AQ1505" s="11"/>
      <c r="AR1505" s="11"/>
      <c r="AS1505" s="11"/>
      <c r="AT1505" s="11"/>
    </row>
    <row r="1506" spans="1:46" ht="13">
      <c r="A1506" s="11"/>
      <c r="G1506" s="12"/>
      <c r="I1506" s="13"/>
      <c r="J1506" s="13"/>
      <c r="K1506" s="13"/>
      <c r="M1506" s="13"/>
      <c r="N1506" s="13"/>
      <c r="Q1506" s="13"/>
      <c r="V1506" s="13"/>
      <c r="Y1506" s="14"/>
      <c r="Z1506" s="14"/>
      <c r="AA1506" s="14"/>
      <c r="AB1506" s="14"/>
      <c r="AC1506" s="14"/>
      <c r="AD1506" s="14"/>
      <c r="AE1506" s="14"/>
      <c r="AF1506" s="13"/>
      <c r="AM1506" s="14"/>
      <c r="AN1506" s="11"/>
      <c r="AO1506" s="12"/>
      <c r="AP1506" s="11"/>
      <c r="AQ1506" s="11"/>
      <c r="AR1506" s="11"/>
      <c r="AS1506" s="11"/>
      <c r="AT1506" s="11"/>
    </row>
    <row r="1507" spans="1:46" ht="13">
      <c r="A1507" s="11"/>
      <c r="G1507" s="12"/>
      <c r="I1507" s="13"/>
      <c r="J1507" s="13"/>
      <c r="K1507" s="13"/>
      <c r="M1507" s="13"/>
      <c r="N1507" s="13"/>
      <c r="Q1507" s="13"/>
      <c r="V1507" s="13"/>
      <c r="Y1507" s="14"/>
      <c r="Z1507" s="14"/>
      <c r="AA1507" s="14"/>
      <c r="AB1507" s="14"/>
      <c r="AC1507" s="14"/>
      <c r="AD1507" s="14"/>
      <c r="AE1507" s="14"/>
      <c r="AF1507" s="13"/>
      <c r="AM1507" s="14"/>
      <c r="AN1507" s="11"/>
      <c r="AO1507" s="12"/>
      <c r="AP1507" s="11"/>
      <c r="AQ1507" s="11"/>
      <c r="AR1507" s="11"/>
      <c r="AS1507" s="11"/>
      <c r="AT1507" s="11"/>
    </row>
    <row r="1508" spans="1:46" ht="13">
      <c r="A1508" s="11"/>
      <c r="G1508" s="12"/>
      <c r="I1508" s="13"/>
      <c r="J1508" s="13"/>
      <c r="K1508" s="13"/>
      <c r="M1508" s="13"/>
      <c r="N1508" s="13"/>
      <c r="Q1508" s="13"/>
      <c r="V1508" s="13"/>
      <c r="Y1508" s="14"/>
      <c r="Z1508" s="14"/>
      <c r="AA1508" s="14"/>
      <c r="AB1508" s="14"/>
      <c r="AC1508" s="14"/>
      <c r="AD1508" s="14"/>
      <c r="AE1508" s="14"/>
      <c r="AF1508" s="13"/>
      <c r="AM1508" s="14"/>
      <c r="AN1508" s="11"/>
      <c r="AO1508" s="12"/>
      <c r="AP1508" s="11"/>
      <c r="AQ1508" s="11"/>
      <c r="AR1508" s="11"/>
      <c r="AS1508" s="11"/>
      <c r="AT1508" s="11"/>
    </row>
    <row r="1509" spans="1:46" ht="13">
      <c r="A1509" s="11"/>
      <c r="G1509" s="12"/>
      <c r="I1509" s="13"/>
      <c r="J1509" s="13"/>
      <c r="K1509" s="13"/>
      <c r="M1509" s="13"/>
      <c r="N1509" s="13"/>
      <c r="Q1509" s="13"/>
      <c r="V1509" s="13"/>
      <c r="Y1509" s="14"/>
      <c r="Z1509" s="14"/>
      <c r="AA1509" s="14"/>
      <c r="AB1509" s="14"/>
      <c r="AC1509" s="14"/>
      <c r="AD1509" s="14"/>
      <c r="AE1509" s="14"/>
      <c r="AF1509" s="13"/>
      <c r="AM1509" s="14"/>
      <c r="AN1509" s="11"/>
      <c r="AO1509" s="12"/>
      <c r="AP1509" s="11"/>
      <c r="AQ1509" s="11"/>
      <c r="AR1509" s="11"/>
      <c r="AS1509" s="11"/>
      <c r="AT1509" s="11"/>
    </row>
    <row r="1510" spans="1:46" ht="13">
      <c r="A1510" s="11"/>
      <c r="G1510" s="12"/>
      <c r="I1510" s="13"/>
      <c r="J1510" s="13"/>
      <c r="K1510" s="13"/>
      <c r="M1510" s="13"/>
      <c r="N1510" s="13"/>
      <c r="Q1510" s="13"/>
      <c r="V1510" s="13"/>
      <c r="Y1510" s="14"/>
      <c r="Z1510" s="14"/>
      <c r="AA1510" s="14"/>
      <c r="AB1510" s="14"/>
      <c r="AC1510" s="14"/>
      <c r="AD1510" s="14"/>
      <c r="AE1510" s="14"/>
      <c r="AF1510" s="13"/>
      <c r="AM1510" s="14"/>
      <c r="AN1510" s="11"/>
      <c r="AO1510" s="12"/>
      <c r="AP1510" s="11"/>
      <c r="AQ1510" s="11"/>
      <c r="AR1510" s="11"/>
      <c r="AS1510" s="11"/>
      <c r="AT151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10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sheetData>
    <row r="1" spans="1:42" ht="15.75" customHeight="1">
      <c r="A1" s="35" t="s">
        <v>0</v>
      </c>
      <c r="B1" s="35" t="s">
        <v>36</v>
      </c>
      <c r="C1" s="35" t="s">
        <v>37</v>
      </c>
      <c r="D1" s="35" t="s">
        <v>38</v>
      </c>
      <c r="E1" s="35" t="s">
        <v>39</v>
      </c>
      <c r="F1" s="35" t="s">
        <v>40</v>
      </c>
      <c r="G1" s="35" t="s">
        <v>41</v>
      </c>
      <c r="H1" s="35" t="s">
        <v>42</v>
      </c>
      <c r="I1" s="35" t="s">
        <v>43</v>
      </c>
      <c r="J1" s="35" t="s">
        <v>44</v>
      </c>
      <c r="K1" s="35" t="s">
        <v>45</v>
      </c>
      <c r="L1" s="35" t="s">
        <v>46</v>
      </c>
      <c r="M1" s="35" t="s">
        <v>47</v>
      </c>
      <c r="N1" s="35" t="s">
        <v>48</v>
      </c>
      <c r="O1" s="35" t="s">
        <v>49</v>
      </c>
      <c r="P1" s="35" t="s">
        <v>50</v>
      </c>
      <c r="Q1" s="35" t="s">
        <v>51</v>
      </c>
      <c r="R1" s="35" t="s">
        <v>52</v>
      </c>
      <c r="S1" s="35" t="s">
        <v>53</v>
      </c>
      <c r="T1" s="35" t="s">
        <v>54</v>
      </c>
      <c r="U1" s="35" t="s">
        <v>55</v>
      </c>
      <c r="V1" s="35" t="s">
        <v>56</v>
      </c>
      <c r="W1" s="35" t="s">
        <v>36</v>
      </c>
      <c r="X1" s="35" t="s">
        <v>37</v>
      </c>
      <c r="Y1" s="35" t="s">
        <v>38</v>
      </c>
      <c r="Z1" s="35" t="s">
        <v>39</v>
      </c>
      <c r="AA1" s="35" t="s">
        <v>40</v>
      </c>
      <c r="AB1" s="35" t="s">
        <v>41</v>
      </c>
      <c r="AC1" s="35" t="s">
        <v>42</v>
      </c>
      <c r="AD1" s="35" t="s">
        <v>43</v>
      </c>
      <c r="AE1" s="35" t="s">
        <v>44</v>
      </c>
      <c r="AF1" s="35" t="s">
        <v>45</v>
      </c>
      <c r="AG1" s="35" t="s">
        <v>46</v>
      </c>
      <c r="AH1" s="35" t="s">
        <v>47</v>
      </c>
      <c r="AI1" s="35" t="s">
        <v>48</v>
      </c>
      <c r="AJ1" s="35" t="s">
        <v>49</v>
      </c>
      <c r="AK1" s="35" t="s">
        <v>50</v>
      </c>
      <c r="AL1" s="35" t="s">
        <v>51</v>
      </c>
      <c r="AM1" s="35" t="s">
        <v>52</v>
      </c>
      <c r="AN1" s="35" t="s">
        <v>53</v>
      </c>
      <c r="AO1" s="35" t="s">
        <v>54</v>
      </c>
      <c r="AP1" s="35" t="s">
        <v>55</v>
      </c>
    </row>
    <row r="2" spans="1:42" ht="15.75" customHeight="1">
      <c r="A2" s="36">
        <v>43921</v>
      </c>
      <c r="B2" s="35">
        <v>8</v>
      </c>
      <c r="C2" s="35">
        <v>20</v>
      </c>
      <c r="D2" s="35">
        <v>3</v>
      </c>
      <c r="E2" s="35">
        <v>6</v>
      </c>
      <c r="F2" s="35">
        <v>215</v>
      </c>
      <c r="G2" s="35">
        <v>17</v>
      </c>
      <c r="H2" s="35">
        <v>12</v>
      </c>
      <c r="I2" s="35">
        <v>25</v>
      </c>
      <c r="J2" s="35">
        <v>8</v>
      </c>
      <c r="K2" s="35">
        <v>2</v>
      </c>
      <c r="L2" s="35">
        <v>4</v>
      </c>
      <c r="M2" s="35">
        <v>12</v>
      </c>
      <c r="N2" s="35">
        <v>5</v>
      </c>
      <c r="O2" s="35">
        <v>89</v>
      </c>
      <c r="P2" s="35">
        <v>11</v>
      </c>
      <c r="Q2" s="35">
        <v>24</v>
      </c>
      <c r="R2" s="35">
        <v>7</v>
      </c>
      <c r="S2" s="35">
        <v>8</v>
      </c>
      <c r="T2" s="35">
        <v>10</v>
      </c>
      <c r="U2" s="35">
        <v>6</v>
      </c>
      <c r="V2" s="35">
        <f t="shared" ref="V2:V71" si="0">SUM(B2:U2)</f>
        <v>492</v>
      </c>
      <c r="W2" s="35">
        <f t="shared" ref="W2:AP2" si="1">B2</f>
        <v>8</v>
      </c>
      <c r="X2" s="35">
        <f t="shared" si="1"/>
        <v>20</v>
      </c>
      <c r="Y2" s="35">
        <f t="shared" si="1"/>
        <v>3</v>
      </c>
      <c r="Z2" s="35">
        <f t="shared" si="1"/>
        <v>6</v>
      </c>
      <c r="AA2" s="35">
        <f t="shared" si="1"/>
        <v>215</v>
      </c>
      <c r="AB2" s="35">
        <f t="shared" si="1"/>
        <v>17</v>
      </c>
      <c r="AC2" s="35">
        <f t="shared" si="1"/>
        <v>12</v>
      </c>
      <c r="AD2" s="35">
        <f t="shared" si="1"/>
        <v>25</v>
      </c>
      <c r="AE2" s="35">
        <f t="shared" si="1"/>
        <v>8</v>
      </c>
      <c r="AF2" s="35">
        <f t="shared" si="1"/>
        <v>2</v>
      </c>
      <c r="AG2" s="35">
        <f t="shared" si="1"/>
        <v>4</v>
      </c>
      <c r="AH2" s="35">
        <f t="shared" si="1"/>
        <v>12</v>
      </c>
      <c r="AI2" s="35">
        <f t="shared" si="1"/>
        <v>5</v>
      </c>
      <c r="AJ2" s="35">
        <f t="shared" si="1"/>
        <v>89</v>
      </c>
      <c r="AK2" s="35">
        <f t="shared" si="1"/>
        <v>11</v>
      </c>
      <c r="AL2" s="35">
        <f t="shared" si="1"/>
        <v>24</v>
      </c>
      <c r="AM2" s="35">
        <f t="shared" si="1"/>
        <v>7</v>
      </c>
      <c r="AN2" s="35">
        <f t="shared" si="1"/>
        <v>8</v>
      </c>
      <c r="AO2" s="35">
        <f t="shared" si="1"/>
        <v>10</v>
      </c>
      <c r="AP2" s="35">
        <f t="shared" si="1"/>
        <v>6</v>
      </c>
    </row>
    <row r="3" spans="1:42" ht="15.75" customHeight="1">
      <c r="A3" s="36">
        <v>43922</v>
      </c>
      <c r="B3" s="35">
        <v>8</v>
      </c>
      <c r="C3" s="35">
        <v>19</v>
      </c>
      <c r="D3" s="35">
        <v>3</v>
      </c>
      <c r="E3" s="35">
        <v>6</v>
      </c>
      <c r="F3" s="35">
        <v>232</v>
      </c>
      <c r="G3" s="35">
        <v>17</v>
      </c>
      <c r="H3" s="35">
        <v>13</v>
      </c>
      <c r="I3" s="35">
        <v>26</v>
      </c>
      <c r="J3" s="35">
        <v>9</v>
      </c>
      <c r="K3" s="35">
        <v>3</v>
      </c>
      <c r="L3" s="35">
        <v>5</v>
      </c>
      <c r="M3" s="35">
        <v>12</v>
      </c>
      <c r="N3" s="35">
        <v>5</v>
      </c>
      <c r="O3" s="35">
        <v>98</v>
      </c>
      <c r="P3" s="35">
        <v>11</v>
      </c>
      <c r="Q3" s="35">
        <v>25</v>
      </c>
      <c r="R3" s="35">
        <v>7</v>
      </c>
      <c r="S3" s="35">
        <v>9</v>
      </c>
      <c r="T3" s="35">
        <v>10</v>
      </c>
      <c r="U3" s="35">
        <v>7</v>
      </c>
      <c r="V3" s="35">
        <f t="shared" si="0"/>
        <v>525</v>
      </c>
      <c r="W3" s="35">
        <f t="shared" ref="W3:AP3" si="2">B3-B2</f>
        <v>0</v>
      </c>
      <c r="X3" s="35">
        <f t="shared" si="2"/>
        <v>-1</v>
      </c>
      <c r="Y3" s="35">
        <f t="shared" si="2"/>
        <v>0</v>
      </c>
      <c r="Z3" s="35">
        <f t="shared" si="2"/>
        <v>0</v>
      </c>
      <c r="AA3" s="35">
        <f t="shared" si="2"/>
        <v>17</v>
      </c>
      <c r="AB3" s="35">
        <f t="shared" si="2"/>
        <v>0</v>
      </c>
      <c r="AC3" s="35">
        <f t="shared" si="2"/>
        <v>1</v>
      </c>
      <c r="AD3" s="35">
        <f t="shared" si="2"/>
        <v>1</v>
      </c>
      <c r="AE3" s="35">
        <f t="shared" si="2"/>
        <v>1</v>
      </c>
      <c r="AF3" s="35">
        <f t="shared" si="2"/>
        <v>1</v>
      </c>
      <c r="AG3" s="35">
        <f t="shared" si="2"/>
        <v>1</v>
      </c>
      <c r="AH3" s="35">
        <f t="shared" si="2"/>
        <v>0</v>
      </c>
      <c r="AI3" s="35">
        <f t="shared" si="2"/>
        <v>0</v>
      </c>
      <c r="AJ3" s="35">
        <f t="shared" si="2"/>
        <v>9</v>
      </c>
      <c r="AK3" s="35">
        <f t="shared" si="2"/>
        <v>0</v>
      </c>
      <c r="AL3" s="35">
        <f t="shared" si="2"/>
        <v>1</v>
      </c>
      <c r="AM3" s="35">
        <f t="shared" si="2"/>
        <v>0</v>
      </c>
      <c r="AN3" s="35">
        <f t="shared" si="2"/>
        <v>1</v>
      </c>
      <c r="AO3" s="35">
        <f t="shared" si="2"/>
        <v>0</v>
      </c>
      <c r="AP3" s="35">
        <f t="shared" si="2"/>
        <v>1</v>
      </c>
    </row>
    <row r="4" spans="1:42" ht="15.75" customHeight="1">
      <c r="A4" s="36">
        <v>43923</v>
      </c>
      <c r="B4" s="35">
        <v>15</v>
      </c>
      <c r="C4" s="35">
        <v>19</v>
      </c>
      <c r="D4" s="35">
        <v>3</v>
      </c>
      <c r="E4" s="35">
        <v>6</v>
      </c>
      <c r="F4" s="35">
        <v>243</v>
      </c>
      <c r="G4" s="35">
        <v>21</v>
      </c>
      <c r="H4" s="35">
        <v>18</v>
      </c>
      <c r="I4" s="35">
        <v>28</v>
      </c>
      <c r="J4" s="35">
        <v>10</v>
      </c>
      <c r="K4" s="35">
        <v>3</v>
      </c>
      <c r="L4" s="35">
        <v>7</v>
      </c>
      <c r="M4" s="35">
        <v>13</v>
      </c>
      <c r="N4" s="35">
        <v>6</v>
      </c>
      <c r="O4" s="35">
        <v>122</v>
      </c>
      <c r="P4" s="35">
        <v>11</v>
      </c>
      <c r="Q4" s="35">
        <v>27</v>
      </c>
      <c r="R4" s="35">
        <v>7</v>
      </c>
      <c r="S4" s="35">
        <v>9</v>
      </c>
      <c r="T4" s="35">
        <v>10</v>
      </c>
      <c r="U4" s="35">
        <v>7</v>
      </c>
      <c r="V4" s="35">
        <f t="shared" si="0"/>
        <v>585</v>
      </c>
      <c r="W4" s="35">
        <f t="shared" ref="W4:AP4" si="3">B4-B3</f>
        <v>7</v>
      </c>
      <c r="X4" s="35">
        <f t="shared" si="3"/>
        <v>0</v>
      </c>
      <c r="Y4" s="35">
        <f t="shared" si="3"/>
        <v>0</v>
      </c>
      <c r="Z4" s="35">
        <f t="shared" si="3"/>
        <v>0</v>
      </c>
      <c r="AA4" s="35">
        <f t="shared" si="3"/>
        <v>11</v>
      </c>
      <c r="AB4" s="35">
        <f t="shared" si="3"/>
        <v>4</v>
      </c>
      <c r="AC4" s="35">
        <f t="shared" si="3"/>
        <v>5</v>
      </c>
      <c r="AD4" s="35">
        <f t="shared" si="3"/>
        <v>2</v>
      </c>
      <c r="AE4" s="35">
        <f t="shared" si="3"/>
        <v>1</v>
      </c>
      <c r="AF4" s="35">
        <f t="shared" si="3"/>
        <v>0</v>
      </c>
      <c r="AG4" s="35">
        <f t="shared" si="3"/>
        <v>2</v>
      </c>
      <c r="AH4" s="35">
        <f t="shared" si="3"/>
        <v>1</v>
      </c>
      <c r="AI4" s="35">
        <f t="shared" si="3"/>
        <v>1</v>
      </c>
      <c r="AJ4" s="35">
        <f t="shared" si="3"/>
        <v>24</v>
      </c>
      <c r="AK4" s="35">
        <f t="shared" si="3"/>
        <v>0</v>
      </c>
      <c r="AL4" s="35">
        <f t="shared" si="3"/>
        <v>2</v>
      </c>
      <c r="AM4" s="35">
        <f t="shared" si="3"/>
        <v>0</v>
      </c>
      <c r="AN4" s="35">
        <f t="shared" si="3"/>
        <v>0</v>
      </c>
      <c r="AO4" s="35">
        <f t="shared" si="3"/>
        <v>0</v>
      </c>
      <c r="AP4" s="35">
        <f t="shared" si="3"/>
        <v>0</v>
      </c>
    </row>
    <row r="5" spans="1:42" ht="15.75" customHeight="1">
      <c r="A5" s="36">
        <v>43924</v>
      </c>
      <c r="B5" s="35">
        <v>17</v>
      </c>
      <c r="C5" s="35">
        <v>21</v>
      </c>
      <c r="D5" s="35">
        <v>4</v>
      </c>
      <c r="E5" s="35">
        <v>6</v>
      </c>
      <c r="F5" s="35">
        <v>261</v>
      </c>
      <c r="G5" s="35">
        <v>23</v>
      </c>
      <c r="H5" s="35">
        <v>21</v>
      </c>
      <c r="I5" s="35">
        <v>28</v>
      </c>
      <c r="J5" s="35">
        <v>11</v>
      </c>
      <c r="K5" s="35">
        <v>3</v>
      </c>
      <c r="L5" s="35">
        <v>8</v>
      </c>
      <c r="M5" s="35">
        <v>15</v>
      </c>
      <c r="N5" s="35">
        <v>7</v>
      </c>
      <c r="O5" s="35">
        <v>124</v>
      </c>
      <c r="P5" s="35">
        <v>12</v>
      </c>
      <c r="Q5" s="35">
        <v>28</v>
      </c>
      <c r="R5" s="35">
        <v>7</v>
      </c>
      <c r="S5" s="35">
        <v>9</v>
      </c>
      <c r="T5" s="35">
        <v>10</v>
      </c>
      <c r="U5" s="35">
        <v>8</v>
      </c>
      <c r="V5" s="35">
        <f t="shared" si="0"/>
        <v>623</v>
      </c>
      <c r="W5" s="35">
        <f t="shared" ref="W5:AP5" si="4">B5-B4</f>
        <v>2</v>
      </c>
      <c r="X5" s="35">
        <f t="shared" si="4"/>
        <v>2</v>
      </c>
      <c r="Y5" s="35">
        <f t="shared" si="4"/>
        <v>1</v>
      </c>
      <c r="Z5" s="35">
        <f t="shared" si="4"/>
        <v>0</v>
      </c>
      <c r="AA5" s="35">
        <f t="shared" si="4"/>
        <v>18</v>
      </c>
      <c r="AB5" s="35">
        <f t="shared" si="4"/>
        <v>2</v>
      </c>
      <c r="AC5" s="35">
        <f t="shared" si="4"/>
        <v>3</v>
      </c>
      <c r="AD5" s="35">
        <f t="shared" si="4"/>
        <v>0</v>
      </c>
      <c r="AE5" s="35">
        <f t="shared" si="4"/>
        <v>1</v>
      </c>
      <c r="AF5" s="35">
        <f t="shared" si="4"/>
        <v>0</v>
      </c>
      <c r="AG5" s="35">
        <f t="shared" si="4"/>
        <v>1</v>
      </c>
      <c r="AH5" s="35">
        <f t="shared" si="4"/>
        <v>2</v>
      </c>
      <c r="AI5" s="35">
        <f t="shared" si="4"/>
        <v>1</v>
      </c>
      <c r="AJ5" s="35">
        <f t="shared" si="4"/>
        <v>2</v>
      </c>
      <c r="AK5" s="35">
        <f t="shared" si="4"/>
        <v>1</v>
      </c>
      <c r="AL5" s="35">
        <f t="shared" si="4"/>
        <v>1</v>
      </c>
      <c r="AM5" s="35">
        <f t="shared" si="4"/>
        <v>0</v>
      </c>
      <c r="AN5" s="35">
        <f t="shared" si="4"/>
        <v>0</v>
      </c>
      <c r="AO5" s="35">
        <f t="shared" si="4"/>
        <v>0</v>
      </c>
      <c r="AP5" s="35">
        <f t="shared" si="4"/>
        <v>1</v>
      </c>
    </row>
    <row r="6" spans="1:42" ht="15.75" customHeight="1">
      <c r="A6" s="36">
        <v>43925</v>
      </c>
      <c r="B6" s="35">
        <v>18</v>
      </c>
      <c r="C6" s="35">
        <v>21</v>
      </c>
      <c r="D6" s="35">
        <v>6</v>
      </c>
      <c r="E6" s="35">
        <v>5</v>
      </c>
      <c r="F6" s="35">
        <v>291</v>
      </c>
      <c r="G6" s="35">
        <v>25</v>
      </c>
      <c r="H6" s="35">
        <v>21</v>
      </c>
      <c r="I6" s="35">
        <v>33</v>
      </c>
      <c r="J6" s="35">
        <v>13</v>
      </c>
      <c r="K6" s="35">
        <v>3</v>
      </c>
      <c r="L6" s="35">
        <v>7</v>
      </c>
      <c r="M6" s="35">
        <v>14</v>
      </c>
      <c r="N6" s="35">
        <v>8</v>
      </c>
      <c r="O6" s="35">
        <v>134</v>
      </c>
      <c r="P6" s="35">
        <v>12</v>
      </c>
      <c r="Q6" s="35">
        <v>28</v>
      </c>
      <c r="R6" s="35">
        <v>7</v>
      </c>
      <c r="S6" s="35">
        <v>11</v>
      </c>
      <c r="T6" s="35">
        <v>10</v>
      </c>
      <c r="U6" s="35">
        <v>10</v>
      </c>
      <c r="V6" s="35">
        <f t="shared" si="0"/>
        <v>677</v>
      </c>
      <c r="W6" s="35">
        <f t="shared" ref="W6:AP6" si="5">B6-B5</f>
        <v>1</v>
      </c>
      <c r="X6" s="35">
        <f t="shared" si="5"/>
        <v>0</v>
      </c>
      <c r="Y6" s="35">
        <f t="shared" si="5"/>
        <v>2</v>
      </c>
      <c r="Z6" s="35">
        <f t="shared" si="5"/>
        <v>-1</v>
      </c>
      <c r="AA6" s="35">
        <f t="shared" si="5"/>
        <v>30</v>
      </c>
      <c r="AB6" s="35">
        <f t="shared" si="5"/>
        <v>2</v>
      </c>
      <c r="AC6" s="35">
        <f t="shared" si="5"/>
        <v>0</v>
      </c>
      <c r="AD6" s="35">
        <f t="shared" si="5"/>
        <v>5</v>
      </c>
      <c r="AE6" s="35">
        <f t="shared" si="5"/>
        <v>2</v>
      </c>
      <c r="AF6" s="35">
        <f t="shared" si="5"/>
        <v>0</v>
      </c>
      <c r="AG6" s="35">
        <f t="shared" si="5"/>
        <v>-1</v>
      </c>
      <c r="AH6" s="35">
        <f t="shared" si="5"/>
        <v>-1</v>
      </c>
      <c r="AI6" s="35">
        <f t="shared" si="5"/>
        <v>1</v>
      </c>
      <c r="AJ6" s="35">
        <f t="shared" si="5"/>
        <v>10</v>
      </c>
      <c r="AK6" s="35">
        <f t="shared" si="5"/>
        <v>0</v>
      </c>
      <c r="AL6" s="35">
        <f t="shared" si="5"/>
        <v>0</v>
      </c>
      <c r="AM6" s="35">
        <f t="shared" si="5"/>
        <v>0</v>
      </c>
      <c r="AN6" s="35">
        <f t="shared" si="5"/>
        <v>2</v>
      </c>
      <c r="AO6" s="35">
        <f t="shared" si="5"/>
        <v>0</v>
      </c>
      <c r="AP6" s="35">
        <f t="shared" si="5"/>
        <v>2</v>
      </c>
    </row>
    <row r="7" spans="1:42" ht="15.75" customHeight="1">
      <c r="A7" s="36">
        <v>43926</v>
      </c>
      <c r="B7" s="35">
        <v>19</v>
      </c>
      <c r="C7" s="35">
        <v>23</v>
      </c>
      <c r="D7" s="35">
        <v>8</v>
      </c>
      <c r="E7" s="35">
        <v>7</v>
      </c>
      <c r="F7" s="35">
        <v>313</v>
      </c>
      <c r="G7" s="35">
        <v>30</v>
      </c>
      <c r="H7" s="35">
        <v>24</v>
      </c>
      <c r="I7" s="35">
        <v>34</v>
      </c>
      <c r="J7" s="35">
        <v>14</v>
      </c>
      <c r="K7" s="35">
        <v>3</v>
      </c>
      <c r="L7" s="35">
        <v>8</v>
      </c>
      <c r="M7" s="35">
        <v>14</v>
      </c>
      <c r="N7" s="35">
        <v>10</v>
      </c>
      <c r="O7" s="35">
        <v>142</v>
      </c>
      <c r="P7" s="35">
        <v>15</v>
      </c>
      <c r="Q7" s="35">
        <v>28</v>
      </c>
      <c r="R7" s="35">
        <v>10</v>
      </c>
      <c r="S7" s="35">
        <v>11</v>
      </c>
      <c r="T7" s="35">
        <v>10</v>
      </c>
      <c r="U7" s="35">
        <v>10</v>
      </c>
      <c r="V7" s="35">
        <f t="shared" si="0"/>
        <v>733</v>
      </c>
      <c r="W7" s="35">
        <f t="shared" ref="W7:AP7" si="6">B7-B6</f>
        <v>1</v>
      </c>
      <c r="X7" s="35">
        <f t="shared" si="6"/>
        <v>2</v>
      </c>
      <c r="Y7" s="35">
        <f t="shared" si="6"/>
        <v>2</v>
      </c>
      <c r="Z7" s="35">
        <f t="shared" si="6"/>
        <v>2</v>
      </c>
      <c r="AA7" s="35">
        <f t="shared" si="6"/>
        <v>22</v>
      </c>
      <c r="AB7" s="35">
        <f t="shared" si="6"/>
        <v>5</v>
      </c>
      <c r="AC7" s="35">
        <f t="shared" si="6"/>
        <v>3</v>
      </c>
      <c r="AD7" s="35">
        <f t="shared" si="6"/>
        <v>1</v>
      </c>
      <c r="AE7" s="35">
        <f t="shared" si="6"/>
        <v>1</v>
      </c>
      <c r="AF7" s="35">
        <f t="shared" si="6"/>
        <v>0</v>
      </c>
      <c r="AG7" s="35">
        <f t="shared" si="6"/>
        <v>1</v>
      </c>
      <c r="AH7" s="35">
        <f t="shared" si="6"/>
        <v>0</v>
      </c>
      <c r="AI7" s="35">
        <f t="shared" si="6"/>
        <v>2</v>
      </c>
      <c r="AJ7" s="35">
        <f t="shared" si="6"/>
        <v>8</v>
      </c>
      <c r="AK7" s="35">
        <f t="shared" si="6"/>
        <v>3</v>
      </c>
      <c r="AL7" s="35">
        <f t="shared" si="6"/>
        <v>0</v>
      </c>
      <c r="AM7" s="35">
        <f t="shared" si="6"/>
        <v>3</v>
      </c>
      <c r="AN7" s="35">
        <f t="shared" si="6"/>
        <v>0</v>
      </c>
      <c r="AO7" s="35">
        <f t="shared" si="6"/>
        <v>0</v>
      </c>
      <c r="AP7" s="35">
        <f t="shared" si="6"/>
        <v>0</v>
      </c>
    </row>
    <row r="8" spans="1:42" ht="15.75" customHeight="1">
      <c r="A8" s="36">
        <v>43927</v>
      </c>
      <c r="B8" s="35">
        <v>19</v>
      </c>
      <c r="C8" s="35">
        <v>23</v>
      </c>
      <c r="D8" s="35">
        <v>8</v>
      </c>
      <c r="E8" s="35">
        <v>7</v>
      </c>
      <c r="F8" s="35">
        <v>317</v>
      </c>
      <c r="G8" s="35">
        <v>32</v>
      </c>
      <c r="H8" s="35">
        <v>24</v>
      </c>
      <c r="I8" s="35">
        <v>34</v>
      </c>
      <c r="J8" s="35">
        <v>15</v>
      </c>
      <c r="K8" s="35">
        <v>4</v>
      </c>
      <c r="L8" s="35">
        <v>8</v>
      </c>
      <c r="M8" s="35">
        <v>14</v>
      </c>
      <c r="N8" s="35">
        <v>10</v>
      </c>
      <c r="O8" s="35">
        <v>142</v>
      </c>
      <c r="P8" s="35">
        <v>15</v>
      </c>
      <c r="Q8" s="35">
        <v>28</v>
      </c>
      <c r="R8" s="35">
        <v>12</v>
      </c>
      <c r="S8" s="35">
        <v>11</v>
      </c>
      <c r="T8" s="35">
        <v>10</v>
      </c>
      <c r="U8" s="35">
        <v>11</v>
      </c>
      <c r="V8" s="35">
        <f t="shared" si="0"/>
        <v>744</v>
      </c>
      <c r="W8" s="35">
        <f t="shared" ref="W8:AP8" si="7">B8-B7</f>
        <v>0</v>
      </c>
      <c r="X8" s="35">
        <f t="shared" si="7"/>
        <v>0</v>
      </c>
      <c r="Y8" s="35">
        <f t="shared" si="7"/>
        <v>0</v>
      </c>
      <c r="Z8" s="35">
        <f t="shared" si="7"/>
        <v>0</v>
      </c>
      <c r="AA8" s="35">
        <f t="shared" si="7"/>
        <v>4</v>
      </c>
      <c r="AB8" s="35">
        <f t="shared" si="7"/>
        <v>2</v>
      </c>
      <c r="AC8" s="35">
        <f t="shared" si="7"/>
        <v>0</v>
      </c>
      <c r="AD8" s="35">
        <f t="shared" si="7"/>
        <v>0</v>
      </c>
      <c r="AE8" s="35">
        <f t="shared" si="7"/>
        <v>1</v>
      </c>
      <c r="AF8" s="35">
        <f t="shared" si="7"/>
        <v>1</v>
      </c>
      <c r="AG8" s="35">
        <f t="shared" si="7"/>
        <v>0</v>
      </c>
      <c r="AH8" s="35">
        <f t="shared" si="7"/>
        <v>0</v>
      </c>
      <c r="AI8" s="35">
        <f t="shared" si="7"/>
        <v>0</v>
      </c>
      <c r="AJ8" s="35">
        <f t="shared" si="7"/>
        <v>0</v>
      </c>
      <c r="AK8" s="35">
        <f t="shared" si="7"/>
        <v>0</v>
      </c>
      <c r="AL8" s="35">
        <f t="shared" si="7"/>
        <v>0</v>
      </c>
      <c r="AM8" s="35">
        <f t="shared" si="7"/>
        <v>2</v>
      </c>
      <c r="AN8" s="35">
        <f t="shared" si="7"/>
        <v>0</v>
      </c>
      <c r="AO8" s="35">
        <f t="shared" si="7"/>
        <v>0</v>
      </c>
      <c r="AP8" s="35">
        <f t="shared" si="7"/>
        <v>1</v>
      </c>
    </row>
    <row r="9" spans="1:42" ht="15.75" customHeight="1">
      <c r="A9" s="36">
        <v>43928</v>
      </c>
      <c r="B9" s="35">
        <v>19</v>
      </c>
      <c r="C9" s="35">
        <v>23</v>
      </c>
      <c r="D9" s="35">
        <v>9</v>
      </c>
      <c r="E9" s="35">
        <v>7</v>
      </c>
      <c r="F9" s="35">
        <v>345</v>
      </c>
      <c r="G9" s="35">
        <v>32</v>
      </c>
      <c r="H9" s="35">
        <v>39</v>
      </c>
      <c r="I9" s="35">
        <v>36</v>
      </c>
      <c r="J9" s="35">
        <v>15</v>
      </c>
      <c r="K9" s="35">
        <v>4</v>
      </c>
      <c r="L9" s="35">
        <v>10</v>
      </c>
      <c r="M9" s="35">
        <v>15</v>
      </c>
      <c r="N9" s="35">
        <v>11</v>
      </c>
      <c r="O9" s="35">
        <v>153</v>
      </c>
      <c r="P9" s="35">
        <v>16</v>
      </c>
      <c r="Q9" s="35">
        <v>34</v>
      </c>
      <c r="R9" s="35">
        <v>13</v>
      </c>
      <c r="S9" s="35">
        <v>12</v>
      </c>
      <c r="T9" s="35">
        <v>13</v>
      </c>
      <c r="U9" s="35">
        <v>11</v>
      </c>
      <c r="V9" s="35">
        <f t="shared" si="0"/>
        <v>817</v>
      </c>
      <c r="W9" s="35">
        <f t="shared" ref="W9:AP9" si="8">B9-B8</f>
        <v>0</v>
      </c>
      <c r="X9" s="35">
        <f t="shared" si="8"/>
        <v>0</v>
      </c>
      <c r="Y9" s="35">
        <f t="shared" si="8"/>
        <v>1</v>
      </c>
      <c r="Z9" s="35">
        <f t="shared" si="8"/>
        <v>0</v>
      </c>
      <c r="AA9" s="35">
        <f t="shared" si="8"/>
        <v>28</v>
      </c>
      <c r="AB9" s="35">
        <f t="shared" si="8"/>
        <v>0</v>
      </c>
      <c r="AC9" s="35">
        <f t="shared" si="8"/>
        <v>15</v>
      </c>
      <c r="AD9" s="35">
        <f t="shared" si="8"/>
        <v>2</v>
      </c>
      <c r="AE9" s="35">
        <f t="shared" si="8"/>
        <v>0</v>
      </c>
      <c r="AF9" s="35">
        <f t="shared" si="8"/>
        <v>0</v>
      </c>
      <c r="AG9" s="35">
        <f t="shared" si="8"/>
        <v>2</v>
      </c>
      <c r="AH9" s="35">
        <f t="shared" si="8"/>
        <v>1</v>
      </c>
      <c r="AI9" s="35">
        <f t="shared" si="8"/>
        <v>1</v>
      </c>
      <c r="AJ9" s="35">
        <f t="shared" si="8"/>
        <v>11</v>
      </c>
      <c r="AK9" s="35">
        <f t="shared" si="8"/>
        <v>1</v>
      </c>
      <c r="AL9" s="35">
        <f t="shared" si="8"/>
        <v>6</v>
      </c>
      <c r="AM9" s="35">
        <f t="shared" si="8"/>
        <v>1</v>
      </c>
      <c r="AN9" s="35">
        <f t="shared" si="8"/>
        <v>1</v>
      </c>
      <c r="AO9" s="35">
        <f t="shared" si="8"/>
        <v>3</v>
      </c>
      <c r="AP9" s="35">
        <f t="shared" si="8"/>
        <v>0</v>
      </c>
    </row>
    <row r="10" spans="1:42" ht="15.75" customHeight="1">
      <c r="A10" s="36">
        <v>43929</v>
      </c>
      <c r="B10" s="35">
        <v>19</v>
      </c>
      <c r="C10" s="35">
        <v>23</v>
      </c>
      <c r="D10" s="35">
        <v>10</v>
      </c>
      <c r="E10" s="35">
        <v>7</v>
      </c>
      <c r="F10" s="35">
        <v>387</v>
      </c>
      <c r="G10" s="35">
        <v>40</v>
      </c>
      <c r="H10" s="35">
        <v>49</v>
      </c>
      <c r="I10" s="35">
        <v>37</v>
      </c>
      <c r="J10" s="35">
        <v>15</v>
      </c>
      <c r="K10" s="35">
        <v>4</v>
      </c>
      <c r="L10" s="35">
        <v>10</v>
      </c>
      <c r="M10" s="35">
        <v>15</v>
      </c>
      <c r="N10" s="35">
        <v>12</v>
      </c>
      <c r="O10" s="35">
        <v>164</v>
      </c>
      <c r="P10" s="35">
        <v>17</v>
      </c>
      <c r="Q10" s="35">
        <v>36</v>
      </c>
      <c r="R10" s="35">
        <v>13</v>
      </c>
      <c r="S10" s="35">
        <v>12</v>
      </c>
      <c r="T10" s="35">
        <v>14</v>
      </c>
      <c r="U10" s="35">
        <v>11</v>
      </c>
      <c r="V10" s="35">
        <f t="shared" si="0"/>
        <v>895</v>
      </c>
      <c r="W10" s="35">
        <f t="shared" ref="W10:AP10" si="9">B10-B9</f>
        <v>0</v>
      </c>
      <c r="X10" s="35">
        <f t="shared" si="9"/>
        <v>0</v>
      </c>
      <c r="Y10" s="35">
        <f t="shared" si="9"/>
        <v>1</v>
      </c>
      <c r="Z10" s="35">
        <f t="shared" si="9"/>
        <v>0</v>
      </c>
      <c r="AA10" s="35">
        <f t="shared" si="9"/>
        <v>42</v>
      </c>
      <c r="AB10" s="35">
        <f t="shared" si="9"/>
        <v>8</v>
      </c>
      <c r="AC10" s="35">
        <f t="shared" si="9"/>
        <v>10</v>
      </c>
      <c r="AD10" s="35">
        <f t="shared" si="9"/>
        <v>1</v>
      </c>
      <c r="AE10" s="35">
        <f t="shared" si="9"/>
        <v>0</v>
      </c>
      <c r="AF10" s="35">
        <f t="shared" si="9"/>
        <v>0</v>
      </c>
      <c r="AG10" s="35">
        <f t="shared" si="9"/>
        <v>0</v>
      </c>
      <c r="AH10" s="35">
        <f t="shared" si="9"/>
        <v>0</v>
      </c>
      <c r="AI10" s="35">
        <f t="shared" si="9"/>
        <v>1</v>
      </c>
      <c r="AJ10" s="35">
        <f t="shared" si="9"/>
        <v>11</v>
      </c>
      <c r="AK10" s="35">
        <f t="shared" si="9"/>
        <v>1</v>
      </c>
      <c r="AL10" s="35">
        <f t="shared" si="9"/>
        <v>2</v>
      </c>
      <c r="AM10" s="35">
        <f t="shared" si="9"/>
        <v>0</v>
      </c>
      <c r="AN10" s="35">
        <f t="shared" si="9"/>
        <v>0</v>
      </c>
      <c r="AO10" s="35">
        <f t="shared" si="9"/>
        <v>1</v>
      </c>
      <c r="AP10" s="35">
        <f t="shared" si="9"/>
        <v>0</v>
      </c>
    </row>
    <row r="11" spans="1:42" ht="15.75" customHeight="1">
      <c r="A11" s="36">
        <v>43930</v>
      </c>
      <c r="B11" s="35">
        <v>19</v>
      </c>
      <c r="C11" s="35">
        <v>23</v>
      </c>
      <c r="D11" s="35">
        <v>11</v>
      </c>
      <c r="E11" s="35">
        <v>10</v>
      </c>
      <c r="F11" s="35">
        <v>428</v>
      </c>
      <c r="G11" s="35">
        <v>40</v>
      </c>
      <c r="H11" s="35">
        <v>55</v>
      </c>
      <c r="I11" s="35">
        <v>37</v>
      </c>
      <c r="J11" s="35">
        <v>15</v>
      </c>
      <c r="K11" s="35">
        <v>4</v>
      </c>
      <c r="L11" s="35">
        <v>11</v>
      </c>
      <c r="M11" s="35">
        <v>17</v>
      </c>
      <c r="N11" s="35">
        <v>12</v>
      </c>
      <c r="O11" s="35">
        <v>183</v>
      </c>
      <c r="P11" s="35">
        <v>17</v>
      </c>
      <c r="Q11" s="35">
        <v>36</v>
      </c>
      <c r="R11" s="35">
        <v>13</v>
      </c>
      <c r="S11" s="35">
        <v>12</v>
      </c>
      <c r="T11" s="35">
        <v>18</v>
      </c>
      <c r="U11" s="35">
        <v>19</v>
      </c>
      <c r="V11" s="35">
        <f t="shared" si="0"/>
        <v>980</v>
      </c>
      <c r="W11" s="35">
        <f t="shared" ref="W11:AP11" si="10">B11-B10</f>
        <v>0</v>
      </c>
      <c r="X11" s="35">
        <f t="shared" si="10"/>
        <v>0</v>
      </c>
      <c r="Y11" s="35">
        <f t="shared" si="10"/>
        <v>1</v>
      </c>
      <c r="Z11" s="35">
        <f t="shared" si="10"/>
        <v>3</v>
      </c>
      <c r="AA11" s="35">
        <f t="shared" si="10"/>
        <v>41</v>
      </c>
      <c r="AB11" s="35">
        <f t="shared" si="10"/>
        <v>0</v>
      </c>
      <c r="AC11" s="35">
        <f t="shared" si="10"/>
        <v>6</v>
      </c>
      <c r="AD11" s="35">
        <f t="shared" si="10"/>
        <v>0</v>
      </c>
      <c r="AE11" s="35">
        <f t="shared" si="10"/>
        <v>0</v>
      </c>
      <c r="AF11" s="35">
        <f t="shared" si="10"/>
        <v>0</v>
      </c>
      <c r="AG11" s="35">
        <f t="shared" si="10"/>
        <v>1</v>
      </c>
      <c r="AH11" s="35">
        <f t="shared" si="10"/>
        <v>2</v>
      </c>
      <c r="AI11" s="35">
        <f t="shared" si="10"/>
        <v>0</v>
      </c>
      <c r="AJ11" s="35">
        <f t="shared" si="10"/>
        <v>19</v>
      </c>
      <c r="AK11" s="35">
        <f t="shared" si="10"/>
        <v>0</v>
      </c>
      <c r="AL11" s="35">
        <f t="shared" si="10"/>
        <v>0</v>
      </c>
      <c r="AM11" s="35">
        <f t="shared" si="10"/>
        <v>0</v>
      </c>
      <c r="AN11" s="35">
        <f t="shared" si="10"/>
        <v>0</v>
      </c>
      <c r="AO11" s="35">
        <f t="shared" si="10"/>
        <v>4</v>
      </c>
      <c r="AP11" s="35">
        <f t="shared" si="10"/>
        <v>8</v>
      </c>
    </row>
    <row r="12" spans="1:42" ht="15.75" customHeight="1">
      <c r="A12" s="36">
        <v>43931</v>
      </c>
      <c r="B12" s="35">
        <v>21</v>
      </c>
      <c r="C12" s="35">
        <v>28</v>
      </c>
      <c r="D12" s="35">
        <v>11</v>
      </c>
      <c r="E12" s="35">
        <v>10</v>
      </c>
      <c r="F12" s="35">
        <v>580</v>
      </c>
      <c r="G12" s="35">
        <v>42</v>
      </c>
      <c r="H12" s="35">
        <v>72</v>
      </c>
      <c r="I12" s="35">
        <v>43</v>
      </c>
      <c r="J12" s="35">
        <v>17</v>
      </c>
      <c r="K12" s="35">
        <v>5</v>
      </c>
      <c r="L12" s="35">
        <v>12</v>
      </c>
      <c r="M12" s="35">
        <v>17</v>
      </c>
      <c r="N12" s="35">
        <v>12</v>
      </c>
      <c r="O12" s="35">
        <v>194</v>
      </c>
      <c r="P12" s="35">
        <v>17</v>
      </c>
      <c r="Q12" s="35">
        <v>37</v>
      </c>
      <c r="R12" s="35">
        <v>13</v>
      </c>
      <c r="S12" s="35">
        <v>13</v>
      </c>
      <c r="T12" s="35">
        <v>23</v>
      </c>
      <c r="U12" s="35">
        <v>23</v>
      </c>
      <c r="V12" s="35">
        <f t="shared" si="0"/>
        <v>1190</v>
      </c>
      <c r="W12" s="35">
        <f t="shared" ref="W12:AP12" si="11">B12-B11</f>
        <v>2</v>
      </c>
      <c r="X12" s="35">
        <f t="shared" si="11"/>
        <v>5</v>
      </c>
      <c r="Y12" s="35">
        <f t="shared" si="11"/>
        <v>0</v>
      </c>
      <c r="Z12" s="35">
        <f t="shared" si="11"/>
        <v>0</v>
      </c>
      <c r="AA12" s="35">
        <f t="shared" si="11"/>
        <v>152</v>
      </c>
      <c r="AB12" s="35">
        <f t="shared" si="11"/>
        <v>2</v>
      </c>
      <c r="AC12" s="35">
        <f t="shared" si="11"/>
        <v>17</v>
      </c>
      <c r="AD12" s="35">
        <f t="shared" si="11"/>
        <v>6</v>
      </c>
      <c r="AE12" s="35">
        <f t="shared" si="11"/>
        <v>2</v>
      </c>
      <c r="AF12" s="35">
        <f t="shared" si="11"/>
        <v>1</v>
      </c>
      <c r="AG12" s="35">
        <f t="shared" si="11"/>
        <v>1</v>
      </c>
      <c r="AH12" s="35">
        <f t="shared" si="11"/>
        <v>0</v>
      </c>
      <c r="AI12" s="35">
        <f t="shared" si="11"/>
        <v>0</v>
      </c>
      <c r="AJ12" s="35">
        <f t="shared" si="11"/>
        <v>11</v>
      </c>
      <c r="AK12" s="35">
        <f t="shared" si="11"/>
        <v>0</v>
      </c>
      <c r="AL12" s="35">
        <f t="shared" si="11"/>
        <v>1</v>
      </c>
      <c r="AM12" s="35">
        <f t="shared" si="11"/>
        <v>0</v>
      </c>
      <c r="AN12" s="35">
        <f t="shared" si="11"/>
        <v>1</v>
      </c>
      <c r="AO12" s="35">
        <f t="shared" si="11"/>
        <v>5</v>
      </c>
      <c r="AP12" s="35">
        <f t="shared" si="11"/>
        <v>4</v>
      </c>
    </row>
    <row r="13" spans="1:42" ht="15.75" customHeight="1">
      <c r="A13" s="36">
        <v>43932</v>
      </c>
      <c r="B13" s="35">
        <v>22</v>
      </c>
      <c r="C13" s="35">
        <v>29</v>
      </c>
      <c r="D13" s="35">
        <v>11</v>
      </c>
      <c r="E13" s="35">
        <v>13</v>
      </c>
      <c r="F13" s="35">
        <v>655</v>
      </c>
      <c r="G13" s="35">
        <v>44</v>
      </c>
      <c r="H13" s="35">
        <v>82</v>
      </c>
      <c r="I13" s="35">
        <v>44</v>
      </c>
      <c r="J13" s="35">
        <v>17</v>
      </c>
      <c r="K13" s="35">
        <v>8</v>
      </c>
      <c r="L13" s="35">
        <v>13</v>
      </c>
      <c r="M13" s="35">
        <v>20</v>
      </c>
      <c r="N13" s="35">
        <v>17</v>
      </c>
      <c r="O13" s="35">
        <v>199</v>
      </c>
      <c r="P13" s="35">
        <v>18</v>
      </c>
      <c r="Q13" s="35">
        <v>37</v>
      </c>
      <c r="R13" s="35">
        <v>13</v>
      </c>
      <c r="S13" s="35">
        <v>14</v>
      </c>
      <c r="T13" s="35">
        <v>28</v>
      </c>
      <c r="U13" s="35">
        <v>26</v>
      </c>
      <c r="V13" s="35">
        <f t="shared" si="0"/>
        <v>1310</v>
      </c>
      <c r="W13" s="35">
        <f t="shared" ref="W13:AP13" si="12">B13-B12</f>
        <v>1</v>
      </c>
      <c r="X13" s="35">
        <f t="shared" si="12"/>
        <v>1</v>
      </c>
      <c r="Y13" s="35">
        <f t="shared" si="12"/>
        <v>0</v>
      </c>
      <c r="Z13" s="35">
        <f t="shared" si="12"/>
        <v>3</v>
      </c>
      <c r="AA13" s="35">
        <f t="shared" si="12"/>
        <v>75</v>
      </c>
      <c r="AB13" s="35">
        <f t="shared" si="12"/>
        <v>2</v>
      </c>
      <c r="AC13" s="35">
        <f t="shared" si="12"/>
        <v>10</v>
      </c>
      <c r="AD13" s="35">
        <f t="shared" si="12"/>
        <v>1</v>
      </c>
      <c r="AE13" s="35">
        <f t="shared" si="12"/>
        <v>0</v>
      </c>
      <c r="AF13" s="35">
        <f t="shared" si="12"/>
        <v>3</v>
      </c>
      <c r="AG13" s="35">
        <f t="shared" si="12"/>
        <v>1</v>
      </c>
      <c r="AH13" s="35">
        <f t="shared" si="12"/>
        <v>3</v>
      </c>
      <c r="AI13" s="35">
        <f t="shared" si="12"/>
        <v>5</v>
      </c>
      <c r="AJ13" s="35">
        <f t="shared" si="12"/>
        <v>5</v>
      </c>
      <c r="AK13" s="35">
        <f t="shared" si="12"/>
        <v>1</v>
      </c>
      <c r="AL13" s="35">
        <f t="shared" si="12"/>
        <v>0</v>
      </c>
      <c r="AM13" s="35">
        <f t="shared" si="12"/>
        <v>0</v>
      </c>
      <c r="AN13" s="35">
        <f t="shared" si="12"/>
        <v>1</v>
      </c>
      <c r="AO13" s="35">
        <f t="shared" si="12"/>
        <v>5</v>
      </c>
      <c r="AP13" s="35">
        <f t="shared" si="12"/>
        <v>3</v>
      </c>
    </row>
    <row r="14" spans="1:42" ht="15.75" customHeight="1">
      <c r="A14" s="36">
        <v>43933</v>
      </c>
      <c r="B14" s="35">
        <v>22</v>
      </c>
      <c r="C14" s="35">
        <v>29</v>
      </c>
      <c r="D14" s="35">
        <v>11</v>
      </c>
      <c r="E14" s="35">
        <v>44</v>
      </c>
      <c r="F14" s="35">
        <v>669</v>
      </c>
      <c r="G14" s="35">
        <v>45</v>
      </c>
      <c r="H14" s="35">
        <v>93</v>
      </c>
      <c r="I14" s="35">
        <v>60</v>
      </c>
      <c r="J14" s="35">
        <v>18</v>
      </c>
      <c r="K14" s="35">
        <v>9</v>
      </c>
      <c r="L14" s="35">
        <v>14</v>
      </c>
      <c r="M14" s="35">
        <v>20</v>
      </c>
      <c r="N14" s="35">
        <v>18</v>
      </c>
      <c r="O14" s="35">
        <v>215</v>
      </c>
      <c r="P14" s="35">
        <v>20</v>
      </c>
      <c r="Q14" s="35">
        <v>38</v>
      </c>
      <c r="R14" s="35">
        <v>13</v>
      </c>
      <c r="S14" s="35">
        <v>14</v>
      </c>
      <c r="T14" s="35">
        <v>30</v>
      </c>
      <c r="U14" s="35">
        <v>28</v>
      </c>
      <c r="V14" s="35">
        <f t="shared" si="0"/>
        <v>1410</v>
      </c>
      <c r="W14" s="35">
        <f t="shared" ref="W14:AP14" si="13">B14-B13</f>
        <v>0</v>
      </c>
      <c r="X14" s="35">
        <f t="shared" si="13"/>
        <v>0</v>
      </c>
      <c r="Y14" s="35">
        <f t="shared" si="13"/>
        <v>0</v>
      </c>
      <c r="Z14" s="35">
        <f t="shared" si="13"/>
        <v>31</v>
      </c>
      <c r="AA14" s="35">
        <f t="shared" si="13"/>
        <v>14</v>
      </c>
      <c r="AB14" s="35">
        <f t="shared" si="13"/>
        <v>1</v>
      </c>
      <c r="AC14" s="35">
        <f t="shared" si="13"/>
        <v>11</v>
      </c>
      <c r="AD14" s="35">
        <f t="shared" si="13"/>
        <v>16</v>
      </c>
      <c r="AE14" s="35">
        <f t="shared" si="13"/>
        <v>1</v>
      </c>
      <c r="AF14" s="35">
        <f t="shared" si="13"/>
        <v>1</v>
      </c>
      <c r="AG14" s="35">
        <f t="shared" si="13"/>
        <v>1</v>
      </c>
      <c r="AH14" s="35">
        <f t="shared" si="13"/>
        <v>0</v>
      </c>
      <c r="AI14" s="35">
        <f t="shared" si="13"/>
        <v>1</v>
      </c>
      <c r="AJ14" s="35">
        <f t="shared" si="13"/>
        <v>16</v>
      </c>
      <c r="AK14" s="35">
        <f t="shared" si="13"/>
        <v>2</v>
      </c>
      <c r="AL14" s="35">
        <f t="shared" si="13"/>
        <v>1</v>
      </c>
      <c r="AM14" s="35">
        <f t="shared" si="13"/>
        <v>0</v>
      </c>
      <c r="AN14" s="35">
        <f t="shared" si="13"/>
        <v>0</v>
      </c>
      <c r="AO14" s="35">
        <f t="shared" si="13"/>
        <v>2</v>
      </c>
      <c r="AP14" s="35">
        <f t="shared" si="13"/>
        <v>2</v>
      </c>
    </row>
    <row r="15" spans="1:42" ht="15.75" customHeight="1">
      <c r="A15" s="36">
        <v>43934</v>
      </c>
      <c r="B15" s="35">
        <v>22</v>
      </c>
      <c r="C15" s="35">
        <v>29</v>
      </c>
      <c r="D15" s="35">
        <v>11</v>
      </c>
      <c r="E15" s="35">
        <v>45</v>
      </c>
      <c r="F15" s="35">
        <v>703</v>
      </c>
      <c r="G15" s="35">
        <v>47</v>
      </c>
      <c r="H15" s="35">
        <v>102</v>
      </c>
      <c r="I15" s="35">
        <v>61</v>
      </c>
      <c r="J15" s="35">
        <v>18</v>
      </c>
      <c r="K15" s="35">
        <v>9</v>
      </c>
      <c r="L15" s="35">
        <v>14</v>
      </c>
      <c r="M15" s="35">
        <v>20</v>
      </c>
      <c r="N15" s="35">
        <v>19</v>
      </c>
      <c r="O15" s="35">
        <v>214</v>
      </c>
      <c r="P15" s="35">
        <v>20</v>
      </c>
      <c r="Q15" s="35">
        <v>38</v>
      </c>
      <c r="R15" s="35">
        <v>13</v>
      </c>
      <c r="S15" s="35">
        <v>14</v>
      </c>
      <c r="T15" s="35">
        <v>31</v>
      </c>
      <c r="U15" s="35">
        <v>28</v>
      </c>
      <c r="V15" s="35">
        <f t="shared" si="0"/>
        <v>1458</v>
      </c>
      <c r="W15" s="35">
        <f t="shared" ref="W15:AP15" si="14">B15-B14</f>
        <v>0</v>
      </c>
      <c r="X15" s="35">
        <f t="shared" si="14"/>
        <v>0</v>
      </c>
      <c r="Y15" s="35">
        <f t="shared" si="14"/>
        <v>0</v>
      </c>
      <c r="Z15" s="35">
        <f t="shared" si="14"/>
        <v>1</v>
      </c>
      <c r="AA15" s="35">
        <f t="shared" si="14"/>
        <v>34</v>
      </c>
      <c r="AB15" s="35">
        <f t="shared" si="14"/>
        <v>2</v>
      </c>
      <c r="AC15" s="35">
        <f t="shared" si="14"/>
        <v>9</v>
      </c>
      <c r="AD15" s="35">
        <f t="shared" si="14"/>
        <v>1</v>
      </c>
      <c r="AE15" s="35">
        <f t="shared" si="14"/>
        <v>0</v>
      </c>
      <c r="AF15" s="35">
        <f t="shared" si="14"/>
        <v>0</v>
      </c>
      <c r="AG15" s="35">
        <f t="shared" si="14"/>
        <v>0</v>
      </c>
      <c r="AH15" s="35">
        <f t="shared" si="14"/>
        <v>0</v>
      </c>
      <c r="AI15" s="35">
        <f t="shared" si="14"/>
        <v>1</v>
      </c>
      <c r="AJ15" s="35">
        <f t="shared" si="14"/>
        <v>-1</v>
      </c>
      <c r="AK15" s="35">
        <f t="shared" si="14"/>
        <v>0</v>
      </c>
      <c r="AL15" s="35">
        <f t="shared" si="14"/>
        <v>0</v>
      </c>
      <c r="AM15" s="35">
        <f t="shared" si="14"/>
        <v>0</v>
      </c>
      <c r="AN15" s="35">
        <f t="shared" si="14"/>
        <v>0</v>
      </c>
      <c r="AO15" s="35">
        <f t="shared" si="14"/>
        <v>1</v>
      </c>
      <c r="AP15" s="35">
        <f t="shared" si="14"/>
        <v>0</v>
      </c>
    </row>
    <row r="16" spans="1:42" ht="15.75" customHeight="1">
      <c r="A16" s="36">
        <v>43935</v>
      </c>
      <c r="B16" s="35">
        <v>22</v>
      </c>
      <c r="C16" s="35">
        <v>29</v>
      </c>
      <c r="D16" s="35">
        <v>12</v>
      </c>
      <c r="E16" s="35">
        <v>45</v>
      </c>
      <c r="F16" s="35">
        <v>732</v>
      </c>
      <c r="G16" s="35">
        <v>51</v>
      </c>
      <c r="H16" s="35">
        <v>106</v>
      </c>
      <c r="I16" s="35">
        <v>61</v>
      </c>
      <c r="J16" s="35">
        <v>19</v>
      </c>
      <c r="K16" s="35">
        <v>11</v>
      </c>
      <c r="L16" s="35">
        <v>15</v>
      </c>
      <c r="M16" s="35">
        <v>20</v>
      </c>
      <c r="N16" s="35">
        <v>19</v>
      </c>
      <c r="O16" s="35">
        <v>220</v>
      </c>
      <c r="P16" s="35">
        <v>21</v>
      </c>
      <c r="Q16" s="35">
        <v>40</v>
      </c>
      <c r="R16" s="35">
        <v>13</v>
      </c>
      <c r="S16" s="35">
        <v>14</v>
      </c>
      <c r="T16" s="35">
        <v>32</v>
      </c>
      <c r="U16" s="35">
        <v>30</v>
      </c>
      <c r="V16" s="35">
        <f t="shared" si="0"/>
        <v>1512</v>
      </c>
      <c r="W16" s="35">
        <f t="shared" ref="W16:AP16" si="15">B16-B15</f>
        <v>0</v>
      </c>
      <c r="X16" s="35">
        <f t="shared" si="15"/>
        <v>0</v>
      </c>
      <c r="Y16" s="35">
        <f t="shared" si="15"/>
        <v>1</v>
      </c>
      <c r="Z16" s="35">
        <f t="shared" si="15"/>
        <v>0</v>
      </c>
      <c r="AA16" s="35">
        <f t="shared" si="15"/>
        <v>29</v>
      </c>
      <c r="AB16" s="35">
        <f t="shared" si="15"/>
        <v>4</v>
      </c>
      <c r="AC16" s="35">
        <f t="shared" si="15"/>
        <v>4</v>
      </c>
      <c r="AD16" s="35">
        <f t="shared" si="15"/>
        <v>0</v>
      </c>
      <c r="AE16" s="35">
        <f t="shared" si="15"/>
        <v>1</v>
      </c>
      <c r="AF16" s="35">
        <f t="shared" si="15"/>
        <v>2</v>
      </c>
      <c r="AG16" s="35">
        <f t="shared" si="15"/>
        <v>1</v>
      </c>
      <c r="AH16" s="35">
        <f t="shared" si="15"/>
        <v>0</v>
      </c>
      <c r="AI16" s="35">
        <f t="shared" si="15"/>
        <v>0</v>
      </c>
      <c r="AJ16" s="35">
        <f t="shared" si="15"/>
        <v>6</v>
      </c>
      <c r="AK16" s="35">
        <f t="shared" si="15"/>
        <v>1</v>
      </c>
      <c r="AL16" s="35">
        <f t="shared" si="15"/>
        <v>2</v>
      </c>
      <c r="AM16" s="35">
        <f t="shared" si="15"/>
        <v>0</v>
      </c>
      <c r="AN16" s="35">
        <f t="shared" si="15"/>
        <v>0</v>
      </c>
      <c r="AO16" s="35">
        <f t="shared" si="15"/>
        <v>1</v>
      </c>
      <c r="AP16" s="35">
        <f t="shared" si="15"/>
        <v>2</v>
      </c>
    </row>
    <row r="17" spans="1:42" ht="15.75" customHeight="1">
      <c r="A17" s="36">
        <v>43936</v>
      </c>
      <c r="B17" s="35">
        <v>22</v>
      </c>
      <c r="C17" s="35">
        <v>29</v>
      </c>
      <c r="D17" s="35">
        <v>12</v>
      </c>
      <c r="E17" s="35">
        <v>48</v>
      </c>
      <c r="F17" s="35">
        <v>770</v>
      </c>
      <c r="G17" s="35">
        <v>52</v>
      </c>
      <c r="H17" s="35">
        <v>114</v>
      </c>
      <c r="I17" s="35">
        <v>61</v>
      </c>
      <c r="J17" s="35">
        <v>19</v>
      </c>
      <c r="K17" s="35">
        <v>12</v>
      </c>
      <c r="L17" s="35">
        <v>15</v>
      </c>
      <c r="M17" s="35">
        <v>20</v>
      </c>
      <c r="N17" s="35">
        <v>19</v>
      </c>
      <c r="O17" s="35">
        <v>234</v>
      </c>
      <c r="P17" s="35">
        <v>21</v>
      </c>
      <c r="Q17" s="35">
        <v>41</v>
      </c>
      <c r="R17" s="35">
        <v>13</v>
      </c>
      <c r="S17" s="35">
        <v>14</v>
      </c>
      <c r="T17" s="35">
        <v>32</v>
      </c>
      <c r="U17" s="35">
        <v>31</v>
      </c>
      <c r="V17" s="35">
        <f t="shared" si="0"/>
        <v>1579</v>
      </c>
      <c r="W17" s="35">
        <f t="shared" ref="W17:AP17" si="16">B17-B16</f>
        <v>0</v>
      </c>
      <c r="X17" s="35">
        <f t="shared" si="16"/>
        <v>0</v>
      </c>
      <c r="Y17" s="35">
        <f t="shared" si="16"/>
        <v>0</v>
      </c>
      <c r="Z17" s="35">
        <f t="shared" si="16"/>
        <v>3</v>
      </c>
      <c r="AA17" s="35">
        <f t="shared" si="16"/>
        <v>38</v>
      </c>
      <c r="AB17" s="35">
        <f t="shared" si="16"/>
        <v>1</v>
      </c>
      <c r="AC17" s="35">
        <f t="shared" si="16"/>
        <v>8</v>
      </c>
      <c r="AD17" s="35">
        <f t="shared" si="16"/>
        <v>0</v>
      </c>
      <c r="AE17" s="35">
        <f t="shared" si="16"/>
        <v>0</v>
      </c>
      <c r="AF17" s="35">
        <f t="shared" si="16"/>
        <v>1</v>
      </c>
      <c r="AG17" s="35">
        <f t="shared" si="16"/>
        <v>0</v>
      </c>
      <c r="AH17" s="35">
        <f t="shared" si="16"/>
        <v>0</v>
      </c>
      <c r="AI17" s="35">
        <f t="shared" si="16"/>
        <v>0</v>
      </c>
      <c r="AJ17" s="35">
        <f t="shared" si="16"/>
        <v>14</v>
      </c>
      <c r="AK17" s="35">
        <f t="shared" si="16"/>
        <v>0</v>
      </c>
      <c r="AL17" s="35">
        <f t="shared" si="16"/>
        <v>1</v>
      </c>
      <c r="AM17" s="35">
        <f t="shared" si="16"/>
        <v>0</v>
      </c>
      <c r="AN17" s="35">
        <f t="shared" si="16"/>
        <v>0</v>
      </c>
      <c r="AO17" s="35">
        <f t="shared" si="16"/>
        <v>0</v>
      </c>
      <c r="AP17" s="35">
        <f t="shared" si="16"/>
        <v>1</v>
      </c>
    </row>
    <row r="18" spans="1:42" ht="15.75" customHeight="1">
      <c r="A18" s="36">
        <v>43937</v>
      </c>
      <c r="B18" s="35">
        <v>22</v>
      </c>
      <c r="C18" s="35">
        <v>32</v>
      </c>
      <c r="D18" s="35">
        <v>12</v>
      </c>
      <c r="E18" s="35">
        <v>50</v>
      </c>
      <c r="F18" s="35">
        <v>805</v>
      </c>
      <c r="G18" s="35">
        <v>52</v>
      </c>
      <c r="H18" s="35">
        <v>122</v>
      </c>
      <c r="I18" s="35">
        <v>62</v>
      </c>
      <c r="J18" s="35">
        <v>19</v>
      </c>
      <c r="K18" s="35">
        <v>13</v>
      </c>
      <c r="L18" s="35">
        <v>16</v>
      </c>
      <c r="M18" s="35">
        <v>21</v>
      </c>
      <c r="N18" s="35">
        <v>19</v>
      </c>
      <c r="O18" s="35">
        <v>249</v>
      </c>
      <c r="P18" s="35">
        <v>21</v>
      </c>
      <c r="Q18" s="35">
        <v>42</v>
      </c>
      <c r="R18" s="35">
        <v>14</v>
      </c>
      <c r="S18" s="35">
        <v>14</v>
      </c>
      <c r="T18" s="35">
        <v>34</v>
      </c>
      <c r="U18" s="35">
        <v>33</v>
      </c>
      <c r="V18" s="35">
        <f t="shared" si="0"/>
        <v>1652</v>
      </c>
      <c r="W18" s="35">
        <f t="shared" ref="W18:AP18" si="17">B18-B17</f>
        <v>0</v>
      </c>
      <c r="X18" s="35">
        <f t="shared" si="17"/>
        <v>3</v>
      </c>
      <c r="Y18" s="35">
        <f t="shared" si="17"/>
        <v>0</v>
      </c>
      <c r="Z18" s="35">
        <f t="shared" si="17"/>
        <v>2</v>
      </c>
      <c r="AA18" s="35">
        <f t="shared" si="17"/>
        <v>35</v>
      </c>
      <c r="AB18" s="35">
        <f t="shared" si="17"/>
        <v>0</v>
      </c>
      <c r="AC18" s="35">
        <f t="shared" si="17"/>
        <v>8</v>
      </c>
      <c r="AD18" s="35">
        <f t="shared" si="17"/>
        <v>1</v>
      </c>
      <c r="AE18" s="35">
        <f t="shared" si="17"/>
        <v>0</v>
      </c>
      <c r="AF18" s="35">
        <f t="shared" si="17"/>
        <v>1</v>
      </c>
      <c r="AG18" s="35">
        <f t="shared" si="17"/>
        <v>1</v>
      </c>
      <c r="AH18" s="35">
        <f t="shared" si="17"/>
        <v>1</v>
      </c>
      <c r="AI18" s="35">
        <f t="shared" si="17"/>
        <v>0</v>
      </c>
      <c r="AJ18" s="35">
        <f t="shared" si="17"/>
        <v>15</v>
      </c>
      <c r="AK18" s="35">
        <f t="shared" si="17"/>
        <v>0</v>
      </c>
      <c r="AL18" s="35">
        <f t="shared" si="17"/>
        <v>1</v>
      </c>
      <c r="AM18" s="35">
        <f t="shared" si="17"/>
        <v>1</v>
      </c>
      <c r="AN18" s="35">
        <f t="shared" si="17"/>
        <v>0</v>
      </c>
      <c r="AO18" s="35">
        <f t="shared" si="17"/>
        <v>2</v>
      </c>
      <c r="AP18" s="35">
        <f t="shared" si="17"/>
        <v>2</v>
      </c>
    </row>
    <row r="19" spans="1:42" ht="15.75" customHeight="1">
      <c r="A19" s="36">
        <v>43938</v>
      </c>
      <c r="B19" s="35">
        <v>22</v>
      </c>
      <c r="C19" s="35">
        <v>33</v>
      </c>
      <c r="D19" s="35">
        <v>12</v>
      </c>
      <c r="E19" s="35">
        <v>52</v>
      </c>
      <c r="F19" s="35">
        <v>883</v>
      </c>
      <c r="G19" s="35">
        <v>54</v>
      </c>
      <c r="H19" s="35">
        <v>128</v>
      </c>
      <c r="I19" s="35">
        <v>63</v>
      </c>
      <c r="J19" s="35">
        <v>19</v>
      </c>
      <c r="K19" s="35">
        <v>13</v>
      </c>
      <c r="L19" s="35">
        <v>17</v>
      </c>
      <c r="M19" s="35">
        <v>23</v>
      </c>
      <c r="N19" s="35">
        <v>20</v>
      </c>
      <c r="O19" s="35">
        <v>259</v>
      </c>
      <c r="P19" s="35">
        <v>21</v>
      </c>
      <c r="Q19" s="35">
        <v>43</v>
      </c>
      <c r="R19" s="35">
        <v>14</v>
      </c>
      <c r="S19" s="35">
        <v>14</v>
      </c>
      <c r="T19" s="35">
        <v>36</v>
      </c>
      <c r="U19" s="35">
        <v>37</v>
      </c>
      <c r="V19" s="35">
        <f t="shared" si="0"/>
        <v>1763</v>
      </c>
      <c r="W19" s="35">
        <f t="shared" ref="W19:AP19" si="18">B19-B18</f>
        <v>0</v>
      </c>
      <c r="X19" s="35">
        <f t="shared" si="18"/>
        <v>1</v>
      </c>
      <c r="Y19" s="35">
        <f t="shared" si="18"/>
        <v>0</v>
      </c>
      <c r="Z19" s="35">
        <f t="shared" si="18"/>
        <v>2</v>
      </c>
      <c r="AA19" s="35">
        <f t="shared" si="18"/>
        <v>78</v>
      </c>
      <c r="AB19" s="35">
        <f t="shared" si="18"/>
        <v>2</v>
      </c>
      <c r="AC19" s="35">
        <f t="shared" si="18"/>
        <v>6</v>
      </c>
      <c r="AD19" s="35">
        <f t="shared" si="18"/>
        <v>1</v>
      </c>
      <c r="AE19" s="35">
        <f t="shared" si="18"/>
        <v>0</v>
      </c>
      <c r="AF19" s="35">
        <f t="shared" si="18"/>
        <v>0</v>
      </c>
      <c r="AG19" s="35">
        <f t="shared" si="18"/>
        <v>1</v>
      </c>
      <c r="AH19" s="35">
        <f t="shared" si="18"/>
        <v>2</v>
      </c>
      <c r="AI19" s="35">
        <f t="shared" si="18"/>
        <v>1</v>
      </c>
      <c r="AJ19" s="35">
        <f t="shared" si="18"/>
        <v>10</v>
      </c>
      <c r="AK19" s="35">
        <f t="shared" si="18"/>
        <v>0</v>
      </c>
      <c r="AL19" s="35">
        <f t="shared" si="18"/>
        <v>1</v>
      </c>
      <c r="AM19" s="35">
        <f t="shared" si="18"/>
        <v>0</v>
      </c>
      <c r="AN19" s="35">
        <f t="shared" si="18"/>
        <v>0</v>
      </c>
      <c r="AO19" s="35">
        <f t="shared" si="18"/>
        <v>2</v>
      </c>
      <c r="AP19" s="35">
        <f t="shared" si="18"/>
        <v>4</v>
      </c>
    </row>
    <row r="20" spans="1:42" ht="15.75" customHeight="1">
      <c r="A20" s="36">
        <v>43939</v>
      </c>
      <c r="B20" s="35">
        <v>23</v>
      </c>
      <c r="C20" s="35">
        <v>33</v>
      </c>
      <c r="D20" s="35">
        <v>13</v>
      </c>
      <c r="E20" s="35">
        <v>52</v>
      </c>
      <c r="F20" s="35">
        <v>929</v>
      </c>
      <c r="G20" s="35">
        <v>55</v>
      </c>
      <c r="H20" s="35">
        <v>141</v>
      </c>
      <c r="I20" s="35">
        <v>63</v>
      </c>
      <c r="J20" s="35">
        <v>19</v>
      </c>
      <c r="K20" s="35">
        <v>13</v>
      </c>
      <c r="L20" s="35">
        <v>18</v>
      </c>
      <c r="M20" s="35">
        <v>25</v>
      </c>
      <c r="N20" s="35">
        <v>20</v>
      </c>
      <c r="O20" s="35">
        <v>264</v>
      </c>
      <c r="P20" s="35">
        <v>21</v>
      </c>
      <c r="Q20" s="35">
        <v>43</v>
      </c>
      <c r="R20" s="35">
        <v>14</v>
      </c>
      <c r="S20" s="35">
        <v>14</v>
      </c>
      <c r="T20" s="35">
        <v>37</v>
      </c>
      <c r="U20" s="35">
        <v>37</v>
      </c>
      <c r="V20" s="35">
        <f t="shared" si="0"/>
        <v>1834</v>
      </c>
      <c r="W20" s="35">
        <f t="shared" ref="W20:AP20" si="19">B20-B19</f>
        <v>1</v>
      </c>
      <c r="X20" s="35">
        <f t="shared" si="19"/>
        <v>0</v>
      </c>
      <c r="Y20" s="35">
        <f t="shared" si="19"/>
        <v>1</v>
      </c>
      <c r="Z20" s="35">
        <f t="shared" si="19"/>
        <v>0</v>
      </c>
      <c r="AA20" s="35">
        <f t="shared" si="19"/>
        <v>46</v>
      </c>
      <c r="AB20" s="35">
        <f t="shared" si="19"/>
        <v>1</v>
      </c>
      <c r="AC20" s="35">
        <f t="shared" si="19"/>
        <v>13</v>
      </c>
      <c r="AD20" s="35">
        <f t="shared" si="19"/>
        <v>0</v>
      </c>
      <c r="AE20" s="35">
        <f t="shared" si="19"/>
        <v>0</v>
      </c>
      <c r="AF20" s="35">
        <f t="shared" si="19"/>
        <v>0</v>
      </c>
      <c r="AG20" s="35">
        <f t="shared" si="19"/>
        <v>1</v>
      </c>
      <c r="AH20" s="35">
        <f t="shared" si="19"/>
        <v>2</v>
      </c>
      <c r="AI20" s="35">
        <f t="shared" si="19"/>
        <v>0</v>
      </c>
      <c r="AJ20" s="35">
        <f t="shared" si="19"/>
        <v>5</v>
      </c>
      <c r="AK20" s="35">
        <f t="shared" si="19"/>
        <v>0</v>
      </c>
      <c r="AL20" s="35">
        <f t="shared" si="19"/>
        <v>0</v>
      </c>
      <c r="AM20" s="35">
        <f t="shared" si="19"/>
        <v>0</v>
      </c>
      <c r="AN20" s="35">
        <f t="shared" si="19"/>
        <v>0</v>
      </c>
      <c r="AO20" s="35">
        <f t="shared" si="19"/>
        <v>1</v>
      </c>
      <c r="AP20" s="35">
        <f t="shared" si="19"/>
        <v>0</v>
      </c>
    </row>
    <row r="21" spans="1:42" ht="15.75" customHeight="1">
      <c r="A21" s="36">
        <v>43940</v>
      </c>
      <c r="B21" s="35">
        <v>23</v>
      </c>
      <c r="C21" s="35">
        <v>33</v>
      </c>
      <c r="D21" s="35">
        <v>13</v>
      </c>
      <c r="E21" s="35">
        <v>52</v>
      </c>
      <c r="F21" s="35">
        <v>971</v>
      </c>
      <c r="G21" s="35">
        <v>57</v>
      </c>
      <c r="H21" s="35">
        <v>146</v>
      </c>
      <c r="I21" s="35">
        <v>63</v>
      </c>
      <c r="J21" s="35">
        <v>19</v>
      </c>
      <c r="K21" s="35">
        <v>13</v>
      </c>
      <c r="L21" s="35">
        <v>19</v>
      </c>
      <c r="M21" s="35">
        <v>32</v>
      </c>
      <c r="N21" s="35">
        <v>22</v>
      </c>
      <c r="O21" s="35">
        <v>278</v>
      </c>
      <c r="P21" s="35">
        <v>23</v>
      </c>
      <c r="Q21" s="35">
        <v>43</v>
      </c>
      <c r="R21" s="35">
        <v>14</v>
      </c>
      <c r="S21" s="35">
        <v>14</v>
      </c>
      <c r="T21" s="35">
        <v>41</v>
      </c>
      <c r="U21" s="35">
        <v>40</v>
      </c>
      <c r="V21" s="35">
        <f t="shared" si="0"/>
        <v>1916</v>
      </c>
      <c r="W21" s="35">
        <f t="shared" ref="W21:AP21" si="20">B21-B20</f>
        <v>0</v>
      </c>
      <c r="X21" s="35">
        <f t="shared" si="20"/>
        <v>0</v>
      </c>
      <c r="Y21" s="35">
        <f t="shared" si="20"/>
        <v>0</v>
      </c>
      <c r="Z21" s="35">
        <f t="shared" si="20"/>
        <v>0</v>
      </c>
      <c r="AA21" s="35">
        <f t="shared" si="20"/>
        <v>42</v>
      </c>
      <c r="AB21" s="35">
        <f t="shared" si="20"/>
        <v>2</v>
      </c>
      <c r="AC21" s="35">
        <f t="shared" si="20"/>
        <v>5</v>
      </c>
      <c r="AD21" s="35">
        <f t="shared" si="20"/>
        <v>0</v>
      </c>
      <c r="AE21" s="35">
        <f t="shared" si="20"/>
        <v>0</v>
      </c>
      <c r="AF21" s="35">
        <f t="shared" si="20"/>
        <v>0</v>
      </c>
      <c r="AG21" s="35">
        <f t="shared" si="20"/>
        <v>1</v>
      </c>
      <c r="AH21" s="35">
        <f t="shared" si="20"/>
        <v>7</v>
      </c>
      <c r="AI21" s="35">
        <f t="shared" si="20"/>
        <v>2</v>
      </c>
      <c r="AJ21" s="35">
        <f t="shared" si="20"/>
        <v>14</v>
      </c>
      <c r="AK21" s="35">
        <f t="shared" si="20"/>
        <v>2</v>
      </c>
      <c r="AL21" s="35">
        <f t="shared" si="20"/>
        <v>0</v>
      </c>
      <c r="AM21" s="35">
        <f t="shared" si="20"/>
        <v>0</v>
      </c>
      <c r="AN21" s="35">
        <f t="shared" si="20"/>
        <v>0</v>
      </c>
      <c r="AO21" s="35">
        <f t="shared" si="20"/>
        <v>4</v>
      </c>
      <c r="AP21" s="35">
        <f t="shared" si="20"/>
        <v>3</v>
      </c>
    </row>
    <row r="22" spans="1:42" ht="15.75" customHeight="1">
      <c r="A22" s="36">
        <v>43941</v>
      </c>
      <c r="B22" s="35">
        <v>23</v>
      </c>
      <c r="C22" s="35">
        <v>33</v>
      </c>
      <c r="D22" s="35">
        <v>13</v>
      </c>
      <c r="E22" s="35">
        <v>53</v>
      </c>
      <c r="F22" s="35">
        <v>1002</v>
      </c>
      <c r="G22" s="35">
        <v>57</v>
      </c>
      <c r="H22" s="35">
        <v>159</v>
      </c>
      <c r="I22" s="35">
        <v>64</v>
      </c>
      <c r="J22" s="35">
        <v>19</v>
      </c>
      <c r="K22" s="35">
        <v>13</v>
      </c>
      <c r="L22" s="35">
        <v>19</v>
      </c>
      <c r="M22" s="35">
        <v>43</v>
      </c>
      <c r="N22" s="35">
        <v>22</v>
      </c>
      <c r="O22" s="35">
        <v>286</v>
      </c>
      <c r="P22" s="35">
        <v>24</v>
      </c>
      <c r="Q22" s="35">
        <v>43</v>
      </c>
      <c r="R22" s="35">
        <v>14</v>
      </c>
      <c r="S22" s="35">
        <v>14</v>
      </c>
      <c r="T22" s="35">
        <v>43</v>
      </c>
      <c r="U22" s="35">
        <v>40</v>
      </c>
      <c r="V22" s="35">
        <f t="shared" si="0"/>
        <v>1984</v>
      </c>
      <c r="W22" s="35">
        <f t="shared" ref="W22:AP22" si="21">B22-B21</f>
        <v>0</v>
      </c>
      <c r="X22" s="35">
        <f t="shared" si="21"/>
        <v>0</v>
      </c>
      <c r="Y22" s="35">
        <f t="shared" si="21"/>
        <v>0</v>
      </c>
      <c r="Z22" s="35">
        <f t="shared" si="21"/>
        <v>1</v>
      </c>
      <c r="AA22" s="35">
        <f t="shared" si="21"/>
        <v>31</v>
      </c>
      <c r="AB22" s="35">
        <f t="shared" si="21"/>
        <v>0</v>
      </c>
      <c r="AC22" s="35">
        <f t="shared" si="21"/>
        <v>13</v>
      </c>
      <c r="AD22" s="35">
        <f t="shared" si="21"/>
        <v>1</v>
      </c>
      <c r="AE22" s="35">
        <f t="shared" si="21"/>
        <v>0</v>
      </c>
      <c r="AF22" s="35">
        <f t="shared" si="21"/>
        <v>0</v>
      </c>
      <c r="AG22" s="35">
        <f t="shared" si="21"/>
        <v>0</v>
      </c>
      <c r="AH22" s="35">
        <f t="shared" si="21"/>
        <v>11</v>
      </c>
      <c r="AI22" s="35">
        <f t="shared" si="21"/>
        <v>0</v>
      </c>
      <c r="AJ22" s="35">
        <f t="shared" si="21"/>
        <v>8</v>
      </c>
      <c r="AK22" s="35">
        <f t="shared" si="21"/>
        <v>1</v>
      </c>
      <c r="AL22" s="35">
        <f t="shared" si="21"/>
        <v>0</v>
      </c>
      <c r="AM22" s="35">
        <f t="shared" si="21"/>
        <v>0</v>
      </c>
      <c r="AN22" s="35">
        <f t="shared" si="21"/>
        <v>0</v>
      </c>
      <c r="AO22" s="35">
        <f t="shared" si="21"/>
        <v>2</v>
      </c>
      <c r="AP22" s="35">
        <f t="shared" si="21"/>
        <v>0</v>
      </c>
    </row>
    <row r="23" spans="1:42" ht="15.75" customHeight="1">
      <c r="A23" s="36">
        <v>43942</v>
      </c>
      <c r="B23" s="35">
        <v>23</v>
      </c>
      <c r="C23" s="35">
        <v>34</v>
      </c>
      <c r="D23" s="35">
        <v>13</v>
      </c>
      <c r="E23" s="35">
        <v>53</v>
      </c>
      <c r="F23" s="35">
        <v>1082</v>
      </c>
      <c r="G23" s="35">
        <v>57</v>
      </c>
      <c r="H23" s="35">
        <v>175</v>
      </c>
      <c r="I23" s="35">
        <v>64</v>
      </c>
      <c r="J23" s="35">
        <v>21</v>
      </c>
      <c r="K23" s="35">
        <v>14</v>
      </c>
      <c r="L23" s="35">
        <v>19</v>
      </c>
      <c r="M23" s="35">
        <v>48</v>
      </c>
      <c r="N23" s="35">
        <v>23</v>
      </c>
      <c r="O23" s="35">
        <v>293</v>
      </c>
      <c r="P23" s="35">
        <v>24</v>
      </c>
      <c r="Q23" s="35">
        <v>44</v>
      </c>
      <c r="R23" s="35">
        <v>14</v>
      </c>
      <c r="S23" s="35">
        <v>14</v>
      </c>
      <c r="T23" s="35">
        <v>43</v>
      </c>
      <c r="U23" s="35">
        <v>40</v>
      </c>
      <c r="V23" s="35">
        <f t="shared" si="0"/>
        <v>2098</v>
      </c>
      <c r="W23" s="35">
        <f t="shared" ref="W23:AP23" si="22">B23-B22</f>
        <v>0</v>
      </c>
      <c r="X23" s="35">
        <f t="shared" si="22"/>
        <v>1</v>
      </c>
      <c r="Y23" s="35">
        <f t="shared" si="22"/>
        <v>0</v>
      </c>
      <c r="Z23" s="35">
        <f t="shared" si="22"/>
        <v>0</v>
      </c>
      <c r="AA23" s="35">
        <f t="shared" si="22"/>
        <v>80</v>
      </c>
      <c r="AB23" s="35">
        <f t="shared" si="22"/>
        <v>0</v>
      </c>
      <c r="AC23" s="35">
        <f t="shared" si="22"/>
        <v>16</v>
      </c>
      <c r="AD23" s="35">
        <f t="shared" si="22"/>
        <v>0</v>
      </c>
      <c r="AE23" s="35">
        <f t="shared" si="22"/>
        <v>2</v>
      </c>
      <c r="AF23" s="35">
        <f t="shared" si="22"/>
        <v>1</v>
      </c>
      <c r="AG23" s="35">
        <f t="shared" si="22"/>
        <v>0</v>
      </c>
      <c r="AH23" s="35">
        <f t="shared" si="22"/>
        <v>5</v>
      </c>
      <c r="AI23" s="35">
        <f t="shared" si="22"/>
        <v>1</v>
      </c>
      <c r="AJ23" s="35">
        <f t="shared" si="22"/>
        <v>7</v>
      </c>
      <c r="AK23" s="35">
        <f t="shared" si="22"/>
        <v>0</v>
      </c>
      <c r="AL23" s="35">
        <f t="shared" si="22"/>
        <v>1</v>
      </c>
      <c r="AM23" s="35">
        <f t="shared" si="22"/>
        <v>0</v>
      </c>
      <c r="AN23" s="35">
        <f t="shared" si="22"/>
        <v>0</v>
      </c>
      <c r="AO23" s="35">
        <f t="shared" si="22"/>
        <v>0</v>
      </c>
      <c r="AP23" s="35">
        <f t="shared" si="22"/>
        <v>0</v>
      </c>
    </row>
    <row r="24" spans="1:42" ht="15.75" customHeight="1">
      <c r="A24" s="36">
        <v>43943</v>
      </c>
      <c r="B24" s="35">
        <v>23</v>
      </c>
      <c r="C24" s="35">
        <v>35</v>
      </c>
      <c r="D24" s="35">
        <v>13</v>
      </c>
      <c r="E24" s="35">
        <v>53</v>
      </c>
      <c r="F24" s="35">
        <v>1113</v>
      </c>
      <c r="G24" s="35">
        <v>57</v>
      </c>
      <c r="H24" s="35">
        <v>181</v>
      </c>
      <c r="I24" s="35">
        <v>75</v>
      </c>
      <c r="J24" s="35">
        <v>22</v>
      </c>
      <c r="K24" s="35">
        <v>14</v>
      </c>
      <c r="L24" s="35">
        <v>19</v>
      </c>
      <c r="M24" s="35">
        <v>48</v>
      </c>
      <c r="N24" s="35">
        <v>23</v>
      </c>
      <c r="O24" s="35">
        <v>305</v>
      </c>
      <c r="P24" s="35">
        <v>24</v>
      </c>
      <c r="Q24" s="35">
        <v>43</v>
      </c>
      <c r="R24" s="35">
        <v>15</v>
      </c>
      <c r="S24" s="35">
        <v>15</v>
      </c>
      <c r="T24" s="35">
        <v>48</v>
      </c>
      <c r="U24" s="35">
        <v>42</v>
      </c>
      <c r="V24" s="35">
        <f t="shared" si="0"/>
        <v>2168</v>
      </c>
      <c r="W24" s="35">
        <f t="shared" ref="W24:AP24" si="23">B24-B23</f>
        <v>0</v>
      </c>
      <c r="X24" s="35">
        <f t="shared" si="23"/>
        <v>1</v>
      </c>
      <c r="Y24" s="35">
        <f t="shared" si="23"/>
        <v>0</v>
      </c>
      <c r="Z24" s="35">
        <f t="shared" si="23"/>
        <v>0</v>
      </c>
      <c r="AA24" s="35">
        <f t="shared" si="23"/>
        <v>31</v>
      </c>
      <c r="AB24" s="35">
        <f t="shared" si="23"/>
        <v>0</v>
      </c>
      <c r="AC24" s="35">
        <f t="shared" si="23"/>
        <v>6</v>
      </c>
      <c r="AD24" s="35">
        <f t="shared" si="23"/>
        <v>11</v>
      </c>
      <c r="AE24" s="35">
        <f t="shared" si="23"/>
        <v>1</v>
      </c>
      <c r="AF24" s="35">
        <f t="shared" si="23"/>
        <v>0</v>
      </c>
      <c r="AG24" s="35">
        <f t="shared" si="23"/>
        <v>0</v>
      </c>
      <c r="AH24" s="35">
        <f t="shared" si="23"/>
        <v>0</v>
      </c>
      <c r="AI24" s="35">
        <f t="shared" si="23"/>
        <v>0</v>
      </c>
      <c r="AJ24" s="35">
        <f t="shared" si="23"/>
        <v>12</v>
      </c>
      <c r="AK24" s="35">
        <f t="shared" si="23"/>
        <v>0</v>
      </c>
      <c r="AL24" s="35">
        <f t="shared" si="23"/>
        <v>-1</v>
      </c>
      <c r="AM24" s="35">
        <f t="shared" si="23"/>
        <v>1</v>
      </c>
      <c r="AN24" s="35">
        <f t="shared" si="23"/>
        <v>1</v>
      </c>
      <c r="AO24" s="35">
        <f t="shared" si="23"/>
        <v>5</v>
      </c>
      <c r="AP24" s="35">
        <f t="shared" si="23"/>
        <v>2</v>
      </c>
    </row>
    <row r="25" spans="1:42" ht="15.75" customHeight="1">
      <c r="A25" s="36">
        <v>43944</v>
      </c>
      <c r="B25" s="35">
        <v>23</v>
      </c>
      <c r="C25" s="35">
        <v>33</v>
      </c>
      <c r="D25" s="35">
        <v>13</v>
      </c>
      <c r="E25" s="35">
        <v>53</v>
      </c>
      <c r="F25" s="35">
        <v>1173</v>
      </c>
      <c r="G25" s="35">
        <v>57</v>
      </c>
      <c r="H25" s="35">
        <v>213</v>
      </c>
      <c r="I25" s="35">
        <v>72</v>
      </c>
      <c r="J25" s="35">
        <v>21</v>
      </c>
      <c r="K25" s="35">
        <v>14</v>
      </c>
      <c r="L25" s="35">
        <v>19</v>
      </c>
      <c r="M25" s="35">
        <v>64</v>
      </c>
      <c r="N25" s="35">
        <v>23</v>
      </c>
      <c r="O25" s="35">
        <v>317</v>
      </c>
      <c r="P25" s="35">
        <v>24</v>
      </c>
      <c r="Q25" s="35">
        <v>43</v>
      </c>
      <c r="R25" s="35">
        <v>16</v>
      </c>
      <c r="S25" s="35">
        <v>14</v>
      </c>
      <c r="T25" s="35">
        <v>50</v>
      </c>
      <c r="U25" s="35">
        <v>42</v>
      </c>
      <c r="V25" s="35">
        <f t="shared" si="0"/>
        <v>2284</v>
      </c>
      <c r="W25" s="35">
        <f t="shared" ref="W25:AP25" si="24">B25-B24</f>
        <v>0</v>
      </c>
      <c r="X25" s="35">
        <f t="shared" si="24"/>
        <v>-2</v>
      </c>
      <c r="Y25" s="35">
        <f t="shared" si="24"/>
        <v>0</v>
      </c>
      <c r="Z25" s="35">
        <f t="shared" si="24"/>
        <v>0</v>
      </c>
      <c r="AA25" s="35">
        <f t="shared" si="24"/>
        <v>60</v>
      </c>
      <c r="AB25" s="35">
        <f t="shared" si="24"/>
        <v>0</v>
      </c>
      <c r="AC25" s="35">
        <f t="shared" si="24"/>
        <v>32</v>
      </c>
      <c r="AD25" s="35">
        <f t="shared" si="24"/>
        <v>-3</v>
      </c>
      <c r="AE25" s="35">
        <f t="shared" si="24"/>
        <v>-1</v>
      </c>
      <c r="AF25" s="35">
        <f t="shared" si="24"/>
        <v>0</v>
      </c>
      <c r="AG25" s="35">
        <f t="shared" si="24"/>
        <v>0</v>
      </c>
      <c r="AH25" s="35">
        <f t="shared" si="24"/>
        <v>16</v>
      </c>
      <c r="AI25" s="35">
        <f t="shared" si="24"/>
        <v>0</v>
      </c>
      <c r="AJ25" s="35">
        <f t="shared" si="24"/>
        <v>12</v>
      </c>
      <c r="AK25" s="35">
        <f t="shared" si="24"/>
        <v>0</v>
      </c>
      <c r="AL25" s="35">
        <f t="shared" si="24"/>
        <v>0</v>
      </c>
      <c r="AM25" s="35">
        <f t="shared" si="24"/>
        <v>1</v>
      </c>
      <c r="AN25" s="35">
        <f t="shared" si="24"/>
        <v>-1</v>
      </c>
      <c r="AO25" s="35">
        <f t="shared" si="24"/>
        <v>2</v>
      </c>
      <c r="AP25" s="35">
        <f t="shared" si="24"/>
        <v>0</v>
      </c>
    </row>
    <row r="26" spans="1:42" ht="15.75" customHeight="1">
      <c r="A26" s="36">
        <v>43945</v>
      </c>
      <c r="B26" s="37">
        <v>23</v>
      </c>
      <c r="C26" s="37">
        <v>33</v>
      </c>
      <c r="D26" s="37">
        <v>13</v>
      </c>
      <c r="E26" s="37">
        <v>54</v>
      </c>
      <c r="F26" s="37">
        <v>1221</v>
      </c>
      <c r="G26" s="37">
        <v>60</v>
      </c>
      <c r="H26" s="37">
        <v>240</v>
      </c>
      <c r="I26" s="37">
        <v>74</v>
      </c>
      <c r="J26" s="37">
        <v>22</v>
      </c>
      <c r="K26" s="37">
        <v>15</v>
      </c>
      <c r="L26" s="37">
        <v>20</v>
      </c>
      <c r="M26" s="37">
        <v>67</v>
      </c>
      <c r="N26" s="37">
        <v>23</v>
      </c>
      <c r="O26" s="37">
        <v>329</v>
      </c>
      <c r="P26" s="37">
        <v>24</v>
      </c>
      <c r="Q26" s="37">
        <v>43</v>
      </c>
      <c r="R26" s="37">
        <v>16</v>
      </c>
      <c r="S26" s="37">
        <v>14</v>
      </c>
      <c r="T26" s="37">
        <v>50</v>
      </c>
      <c r="U26" s="37">
        <v>42</v>
      </c>
      <c r="V26" s="35">
        <f t="shared" si="0"/>
        <v>2383</v>
      </c>
      <c r="W26" s="35">
        <f t="shared" ref="W26:AP26" si="25">B26-B25</f>
        <v>0</v>
      </c>
      <c r="X26" s="35">
        <f t="shared" si="25"/>
        <v>0</v>
      </c>
      <c r="Y26" s="35">
        <f t="shared" si="25"/>
        <v>0</v>
      </c>
      <c r="Z26" s="35">
        <f t="shared" si="25"/>
        <v>1</v>
      </c>
      <c r="AA26" s="35">
        <f t="shared" si="25"/>
        <v>48</v>
      </c>
      <c r="AB26" s="35">
        <f t="shared" si="25"/>
        <v>3</v>
      </c>
      <c r="AC26" s="35">
        <f t="shared" si="25"/>
        <v>27</v>
      </c>
      <c r="AD26" s="35">
        <f t="shared" si="25"/>
        <v>2</v>
      </c>
      <c r="AE26" s="35">
        <f t="shared" si="25"/>
        <v>1</v>
      </c>
      <c r="AF26" s="35">
        <f t="shared" si="25"/>
        <v>1</v>
      </c>
      <c r="AG26" s="35">
        <f t="shared" si="25"/>
        <v>1</v>
      </c>
      <c r="AH26" s="35">
        <f t="shared" si="25"/>
        <v>3</v>
      </c>
      <c r="AI26" s="35">
        <f t="shared" si="25"/>
        <v>0</v>
      </c>
      <c r="AJ26" s="35">
        <f t="shared" si="25"/>
        <v>12</v>
      </c>
      <c r="AK26" s="35">
        <f t="shared" si="25"/>
        <v>0</v>
      </c>
      <c r="AL26" s="35">
        <f t="shared" si="25"/>
        <v>0</v>
      </c>
      <c r="AM26" s="35">
        <f t="shared" si="25"/>
        <v>0</v>
      </c>
      <c r="AN26" s="35">
        <f t="shared" si="25"/>
        <v>0</v>
      </c>
      <c r="AO26" s="35">
        <f t="shared" si="25"/>
        <v>0</v>
      </c>
      <c r="AP26" s="35">
        <f t="shared" si="25"/>
        <v>0</v>
      </c>
    </row>
    <row r="27" spans="1:42" ht="15.75" customHeight="1">
      <c r="A27" s="36">
        <v>43946</v>
      </c>
      <c r="B27" s="35">
        <v>23</v>
      </c>
      <c r="C27" s="35">
        <v>33</v>
      </c>
      <c r="D27" s="35">
        <v>13</v>
      </c>
      <c r="E27" s="35">
        <v>59</v>
      </c>
      <c r="F27" s="35">
        <v>1247</v>
      </c>
      <c r="G27" s="35">
        <v>63</v>
      </c>
      <c r="H27" s="35">
        <v>246</v>
      </c>
      <c r="I27" s="35">
        <v>74</v>
      </c>
      <c r="J27" s="35">
        <v>23</v>
      </c>
      <c r="K27" s="35">
        <v>16</v>
      </c>
      <c r="L27" s="35">
        <v>20</v>
      </c>
      <c r="M27" s="35">
        <v>70</v>
      </c>
      <c r="N27" s="35">
        <v>23</v>
      </c>
      <c r="O27" s="35">
        <v>339</v>
      </c>
      <c r="P27" s="35">
        <v>24</v>
      </c>
      <c r="Q27" s="35">
        <v>44</v>
      </c>
      <c r="R27" s="35">
        <v>16</v>
      </c>
      <c r="S27" s="35">
        <v>14</v>
      </c>
      <c r="T27" s="35">
        <v>52</v>
      </c>
      <c r="U27" s="35">
        <v>44</v>
      </c>
      <c r="V27" s="35">
        <f t="shared" si="0"/>
        <v>2443</v>
      </c>
      <c r="W27" s="35">
        <f t="shared" ref="W27:AP27" si="26">B27-B26</f>
        <v>0</v>
      </c>
      <c r="X27" s="35">
        <f t="shared" si="26"/>
        <v>0</v>
      </c>
      <c r="Y27" s="35">
        <f t="shared" si="26"/>
        <v>0</v>
      </c>
      <c r="Z27" s="35">
        <f t="shared" si="26"/>
        <v>5</v>
      </c>
      <c r="AA27" s="35">
        <f t="shared" si="26"/>
        <v>26</v>
      </c>
      <c r="AB27" s="35">
        <f t="shared" si="26"/>
        <v>3</v>
      </c>
      <c r="AC27" s="35">
        <f t="shared" si="26"/>
        <v>6</v>
      </c>
      <c r="AD27" s="35">
        <f t="shared" si="26"/>
        <v>0</v>
      </c>
      <c r="AE27" s="35">
        <f t="shared" si="26"/>
        <v>1</v>
      </c>
      <c r="AF27" s="35">
        <f t="shared" si="26"/>
        <v>1</v>
      </c>
      <c r="AG27" s="35">
        <f t="shared" si="26"/>
        <v>0</v>
      </c>
      <c r="AH27" s="35">
        <f t="shared" si="26"/>
        <v>3</v>
      </c>
      <c r="AI27" s="35">
        <f t="shared" si="26"/>
        <v>0</v>
      </c>
      <c r="AJ27" s="35">
        <f t="shared" si="26"/>
        <v>10</v>
      </c>
      <c r="AK27" s="35">
        <f t="shared" si="26"/>
        <v>0</v>
      </c>
      <c r="AL27" s="35">
        <f t="shared" si="26"/>
        <v>1</v>
      </c>
      <c r="AM27" s="35">
        <f t="shared" si="26"/>
        <v>0</v>
      </c>
      <c r="AN27" s="35">
        <f t="shared" si="26"/>
        <v>0</v>
      </c>
      <c r="AO27" s="35">
        <f t="shared" si="26"/>
        <v>2</v>
      </c>
      <c r="AP27" s="35">
        <f t="shared" si="26"/>
        <v>2</v>
      </c>
    </row>
    <row r="28" spans="1:42" ht="15.75" customHeight="1">
      <c r="A28" s="36">
        <v>43947</v>
      </c>
      <c r="B28" s="35">
        <v>23</v>
      </c>
      <c r="C28" s="35">
        <v>33</v>
      </c>
      <c r="D28" s="35">
        <v>13</v>
      </c>
      <c r="E28" s="35">
        <v>62</v>
      </c>
      <c r="F28" s="35">
        <v>1274</v>
      </c>
      <c r="G28" s="35">
        <v>63</v>
      </c>
      <c r="H28" s="35">
        <v>251</v>
      </c>
      <c r="I28" s="35">
        <v>75</v>
      </c>
      <c r="J28" s="35">
        <v>23</v>
      </c>
      <c r="K28" s="35">
        <v>16</v>
      </c>
      <c r="L28" s="35">
        <v>21</v>
      </c>
      <c r="M28" s="35">
        <v>72</v>
      </c>
      <c r="N28" s="35">
        <v>23</v>
      </c>
      <c r="O28" s="35">
        <v>350</v>
      </c>
      <c r="P28" s="35">
        <v>24</v>
      </c>
      <c r="Q28" s="35">
        <v>45</v>
      </c>
      <c r="R28" s="35">
        <v>16</v>
      </c>
      <c r="S28" s="35">
        <v>14</v>
      </c>
      <c r="T28" s="35">
        <v>54</v>
      </c>
      <c r="U28" s="35">
        <v>48</v>
      </c>
      <c r="V28" s="35">
        <f t="shared" si="0"/>
        <v>2500</v>
      </c>
      <c r="W28" s="35">
        <f t="shared" ref="W28:AP28" si="27">B28-B27</f>
        <v>0</v>
      </c>
      <c r="X28" s="35">
        <f t="shared" si="27"/>
        <v>0</v>
      </c>
      <c r="Y28" s="35">
        <f t="shared" si="27"/>
        <v>0</v>
      </c>
      <c r="Z28" s="35">
        <f t="shared" si="27"/>
        <v>3</v>
      </c>
      <c r="AA28" s="35">
        <f t="shared" si="27"/>
        <v>27</v>
      </c>
      <c r="AB28" s="35">
        <f t="shared" si="27"/>
        <v>0</v>
      </c>
      <c r="AC28" s="35">
        <f t="shared" si="27"/>
        <v>5</v>
      </c>
      <c r="AD28" s="35">
        <f t="shared" si="27"/>
        <v>1</v>
      </c>
      <c r="AE28" s="35">
        <f t="shared" si="27"/>
        <v>0</v>
      </c>
      <c r="AF28" s="35">
        <f t="shared" si="27"/>
        <v>0</v>
      </c>
      <c r="AG28" s="35">
        <f t="shared" si="27"/>
        <v>1</v>
      </c>
      <c r="AH28" s="35">
        <f t="shared" si="27"/>
        <v>2</v>
      </c>
      <c r="AI28" s="35">
        <f t="shared" si="27"/>
        <v>0</v>
      </c>
      <c r="AJ28" s="35">
        <f t="shared" si="27"/>
        <v>11</v>
      </c>
      <c r="AK28" s="35">
        <f t="shared" si="27"/>
        <v>0</v>
      </c>
      <c r="AL28" s="35">
        <f t="shared" si="27"/>
        <v>1</v>
      </c>
      <c r="AM28" s="35">
        <f t="shared" si="27"/>
        <v>0</v>
      </c>
      <c r="AN28" s="35">
        <f t="shared" si="27"/>
        <v>0</v>
      </c>
      <c r="AO28" s="35">
        <f t="shared" si="27"/>
        <v>2</v>
      </c>
      <c r="AP28" s="35">
        <f t="shared" si="27"/>
        <v>4</v>
      </c>
    </row>
    <row r="29" spans="1:42" ht="15.75" customHeight="1">
      <c r="A29" s="36">
        <v>43948</v>
      </c>
      <c r="B29" s="35">
        <v>23</v>
      </c>
      <c r="C29" s="35">
        <v>33</v>
      </c>
      <c r="D29" s="35">
        <v>14</v>
      </c>
      <c r="E29" s="35">
        <v>62</v>
      </c>
      <c r="F29" s="35">
        <v>1286</v>
      </c>
      <c r="G29" s="35">
        <v>86</v>
      </c>
      <c r="H29" s="35">
        <v>263</v>
      </c>
      <c r="I29" s="35">
        <v>76</v>
      </c>
      <c r="J29" s="35">
        <v>23</v>
      </c>
      <c r="K29" s="35">
        <v>16</v>
      </c>
      <c r="L29" s="35">
        <v>21</v>
      </c>
      <c r="M29" s="35">
        <v>87</v>
      </c>
      <c r="N29" s="35">
        <v>23</v>
      </c>
      <c r="O29" s="35">
        <v>352</v>
      </c>
      <c r="P29" s="35">
        <v>24</v>
      </c>
      <c r="Q29" s="35">
        <v>45</v>
      </c>
      <c r="R29" s="35">
        <v>16</v>
      </c>
      <c r="S29" s="35">
        <v>14</v>
      </c>
      <c r="T29" s="35">
        <v>54</v>
      </c>
      <c r="U29" s="35">
        <v>65</v>
      </c>
      <c r="V29" s="35">
        <f t="shared" si="0"/>
        <v>2583</v>
      </c>
      <c r="W29" s="35">
        <f t="shared" ref="W29:AP29" si="28">B29-B28</f>
        <v>0</v>
      </c>
      <c r="X29" s="35">
        <f t="shared" si="28"/>
        <v>0</v>
      </c>
      <c r="Y29" s="35">
        <f t="shared" si="28"/>
        <v>1</v>
      </c>
      <c r="Z29" s="35">
        <f t="shared" si="28"/>
        <v>0</v>
      </c>
      <c r="AA29" s="35">
        <f t="shared" si="28"/>
        <v>12</v>
      </c>
      <c r="AB29" s="35">
        <f t="shared" si="28"/>
        <v>23</v>
      </c>
      <c r="AC29" s="35">
        <f t="shared" si="28"/>
        <v>12</v>
      </c>
      <c r="AD29" s="35">
        <f t="shared" si="28"/>
        <v>1</v>
      </c>
      <c r="AE29" s="35">
        <f t="shared" si="28"/>
        <v>0</v>
      </c>
      <c r="AF29" s="35">
        <f t="shared" si="28"/>
        <v>0</v>
      </c>
      <c r="AG29" s="35">
        <f t="shared" si="28"/>
        <v>0</v>
      </c>
      <c r="AH29" s="35">
        <f t="shared" si="28"/>
        <v>15</v>
      </c>
      <c r="AI29" s="35">
        <f t="shared" si="28"/>
        <v>0</v>
      </c>
      <c r="AJ29" s="35">
        <f t="shared" si="28"/>
        <v>2</v>
      </c>
      <c r="AK29" s="35">
        <f t="shared" si="28"/>
        <v>0</v>
      </c>
      <c r="AL29" s="35">
        <f t="shared" si="28"/>
        <v>0</v>
      </c>
      <c r="AM29" s="35">
        <f t="shared" si="28"/>
        <v>0</v>
      </c>
      <c r="AN29" s="35">
        <f t="shared" si="28"/>
        <v>0</v>
      </c>
      <c r="AO29" s="35">
        <f t="shared" si="28"/>
        <v>0</v>
      </c>
      <c r="AP29" s="35">
        <f t="shared" si="28"/>
        <v>17</v>
      </c>
    </row>
    <row r="30" spans="1:42" ht="15.75" customHeight="1">
      <c r="A30" s="36">
        <v>43949</v>
      </c>
      <c r="B30" s="35">
        <v>23</v>
      </c>
      <c r="C30" s="35">
        <v>33</v>
      </c>
      <c r="D30" s="35">
        <v>14</v>
      </c>
      <c r="E30" s="35">
        <v>62</v>
      </c>
      <c r="F30" s="35">
        <v>1305</v>
      </c>
      <c r="G30" s="35">
        <v>89</v>
      </c>
      <c r="H30" s="35">
        <v>265</v>
      </c>
      <c r="I30" s="35">
        <v>77</v>
      </c>
      <c r="J30" s="35">
        <v>23</v>
      </c>
      <c r="K30" s="35">
        <v>17</v>
      </c>
      <c r="L30" s="35">
        <v>22</v>
      </c>
      <c r="M30" s="35">
        <v>92</v>
      </c>
      <c r="N30" s="35">
        <v>23</v>
      </c>
      <c r="O30" s="35">
        <v>358</v>
      </c>
      <c r="P30" s="35">
        <v>24</v>
      </c>
      <c r="Q30" s="35">
        <v>47</v>
      </c>
      <c r="R30" s="35">
        <v>16</v>
      </c>
      <c r="S30" s="35">
        <v>14</v>
      </c>
      <c r="T30" s="35">
        <v>56</v>
      </c>
      <c r="U30" s="35">
        <v>89</v>
      </c>
      <c r="V30" s="35">
        <f t="shared" si="0"/>
        <v>2649</v>
      </c>
      <c r="W30" s="35">
        <f t="shared" ref="W30:AP30" si="29">B30-B29</f>
        <v>0</v>
      </c>
      <c r="X30" s="35">
        <f t="shared" si="29"/>
        <v>0</v>
      </c>
      <c r="Y30" s="35">
        <f t="shared" si="29"/>
        <v>0</v>
      </c>
      <c r="Z30" s="35">
        <f t="shared" si="29"/>
        <v>0</v>
      </c>
      <c r="AA30" s="35">
        <f t="shared" si="29"/>
        <v>19</v>
      </c>
      <c r="AB30" s="35">
        <f t="shared" si="29"/>
        <v>3</v>
      </c>
      <c r="AC30" s="35">
        <f t="shared" si="29"/>
        <v>2</v>
      </c>
      <c r="AD30" s="35">
        <f t="shared" si="29"/>
        <v>1</v>
      </c>
      <c r="AE30" s="35">
        <f t="shared" si="29"/>
        <v>0</v>
      </c>
      <c r="AF30" s="35">
        <f t="shared" si="29"/>
        <v>1</v>
      </c>
      <c r="AG30" s="35">
        <f t="shared" si="29"/>
        <v>1</v>
      </c>
      <c r="AH30" s="35">
        <f t="shared" si="29"/>
        <v>5</v>
      </c>
      <c r="AI30" s="35">
        <f t="shared" si="29"/>
        <v>0</v>
      </c>
      <c r="AJ30" s="35">
        <f t="shared" si="29"/>
        <v>6</v>
      </c>
      <c r="AK30" s="35">
        <f t="shared" si="29"/>
        <v>0</v>
      </c>
      <c r="AL30" s="35">
        <f t="shared" si="29"/>
        <v>2</v>
      </c>
      <c r="AM30" s="35">
        <f t="shared" si="29"/>
        <v>0</v>
      </c>
      <c r="AN30" s="35">
        <f t="shared" si="29"/>
        <v>0</v>
      </c>
      <c r="AO30" s="35">
        <f t="shared" si="29"/>
        <v>2</v>
      </c>
      <c r="AP30" s="35">
        <f t="shared" si="29"/>
        <v>24</v>
      </c>
    </row>
    <row r="31" spans="1:42" ht="15.75" customHeight="1">
      <c r="A31" s="36">
        <v>43950</v>
      </c>
      <c r="B31" s="35">
        <v>23</v>
      </c>
      <c r="C31" s="35">
        <v>34</v>
      </c>
      <c r="D31" s="35">
        <v>14</v>
      </c>
      <c r="E31" s="35">
        <v>63</v>
      </c>
      <c r="F31" s="35">
        <v>1347</v>
      </c>
      <c r="G31" s="35">
        <v>96</v>
      </c>
      <c r="H31" s="35">
        <v>269</v>
      </c>
      <c r="I31" s="35">
        <v>77</v>
      </c>
      <c r="J31" s="35">
        <v>23</v>
      </c>
      <c r="K31" s="35">
        <v>17</v>
      </c>
      <c r="L31" s="35">
        <v>22</v>
      </c>
      <c r="M31" s="35">
        <v>93</v>
      </c>
      <c r="N31" s="35">
        <v>24</v>
      </c>
      <c r="O31" s="35">
        <v>368</v>
      </c>
      <c r="P31" s="35">
        <v>25</v>
      </c>
      <c r="Q31" s="35">
        <v>47</v>
      </c>
      <c r="R31" s="35">
        <v>17</v>
      </c>
      <c r="S31" s="35">
        <v>14</v>
      </c>
      <c r="T31" s="35">
        <v>56</v>
      </c>
      <c r="U31" s="35">
        <v>98</v>
      </c>
      <c r="V31" s="35">
        <f t="shared" si="0"/>
        <v>2727</v>
      </c>
      <c r="W31" s="35">
        <f t="shared" ref="W31:AP31" si="30">B31-B30</f>
        <v>0</v>
      </c>
      <c r="X31" s="35">
        <f t="shared" si="30"/>
        <v>1</v>
      </c>
      <c r="Y31" s="35">
        <f t="shared" si="30"/>
        <v>0</v>
      </c>
      <c r="Z31" s="35">
        <f t="shared" si="30"/>
        <v>1</v>
      </c>
      <c r="AA31" s="35">
        <f t="shared" si="30"/>
        <v>42</v>
      </c>
      <c r="AB31" s="35">
        <f t="shared" si="30"/>
        <v>7</v>
      </c>
      <c r="AC31" s="35">
        <f t="shared" si="30"/>
        <v>4</v>
      </c>
      <c r="AD31" s="35">
        <f t="shared" si="30"/>
        <v>0</v>
      </c>
      <c r="AE31" s="35">
        <f t="shared" si="30"/>
        <v>0</v>
      </c>
      <c r="AF31" s="35">
        <f t="shared" si="30"/>
        <v>0</v>
      </c>
      <c r="AG31" s="35">
        <f t="shared" si="30"/>
        <v>0</v>
      </c>
      <c r="AH31" s="35">
        <f t="shared" si="30"/>
        <v>1</v>
      </c>
      <c r="AI31" s="35">
        <f t="shared" si="30"/>
        <v>1</v>
      </c>
      <c r="AJ31" s="35">
        <f t="shared" si="30"/>
        <v>10</v>
      </c>
      <c r="AK31" s="35">
        <f t="shared" si="30"/>
        <v>1</v>
      </c>
      <c r="AL31" s="35">
        <f t="shared" si="30"/>
        <v>0</v>
      </c>
      <c r="AM31" s="35">
        <f t="shared" si="30"/>
        <v>1</v>
      </c>
      <c r="AN31" s="35">
        <f t="shared" si="30"/>
        <v>0</v>
      </c>
      <c r="AO31" s="35">
        <f t="shared" si="30"/>
        <v>0</v>
      </c>
      <c r="AP31" s="35">
        <f t="shared" si="30"/>
        <v>9</v>
      </c>
    </row>
    <row r="32" spans="1:42" ht="15.75" customHeight="1">
      <c r="A32" s="36">
        <v>43951</v>
      </c>
      <c r="B32" s="35">
        <v>23</v>
      </c>
      <c r="C32" s="35">
        <v>34</v>
      </c>
      <c r="D32" s="35">
        <v>15</v>
      </c>
      <c r="E32" s="35">
        <v>63</v>
      </c>
      <c r="F32" s="35">
        <v>1368</v>
      </c>
      <c r="G32" s="35">
        <v>97</v>
      </c>
      <c r="H32" s="35">
        <v>271</v>
      </c>
      <c r="I32" s="35">
        <v>77</v>
      </c>
      <c r="J32" s="35">
        <v>23</v>
      </c>
      <c r="K32" s="35">
        <v>17</v>
      </c>
      <c r="L32" s="35">
        <v>22</v>
      </c>
      <c r="M32" s="35">
        <v>101</v>
      </c>
      <c r="N32" s="35">
        <v>24</v>
      </c>
      <c r="O32" s="35">
        <v>375</v>
      </c>
      <c r="P32" s="35">
        <v>26</v>
      </c>
      <c r="Q32" s="35">
        <v>47</v>
      </c>
      <c r="R32" s="35">
        <v>17</v>
      </c>
      <c r="S32" s="35">
        <v>14</v>
      </c>
      <c r="T32" s="35">
        <v>58</v>
      </c>
      <c r="U32" s="35">
        <v>103</v>
      </c>
      <c r="V32" s="35">
        <f t="shared" si="0"/>
        <v>2775</v>
      </c>
      <c r="W32" s="35">
        <f t="shared" ref="W32:AP32" si="31">B32-B31</f>
        <v>0</v>
      </c>
      <c r="X32" s="35">
        <f t="shared" si="31"/>
        <v>0</v>
      </c>
      <c r="Y32" s="35">
        <f t="shared" si="31"/>
        <v>1</v>
      </c>
      <c r="Z32" s="35">
        <f t="shared" si="31"/>
        <v>0</v>
      </c>
      <c r="AA32" s="35">
        <f t="shared" si="31"/>
        <v>21</v>
      </c>
      <c r="AB32" s="35">
        <f t="shared" si="31"/>
        <v>1</v>
      </c>
      <c r="AC32" s="35">
        <f t="shared" si="31"/>
        <v>2</v>
      </c>
      <c r="AD32" s="35">
        <f t="shared" si="31"/>
        <v>0</v>
      </c>
      <c r="AE32" s="35">
        <f t="shared" si="31"/>
        <v>0</v>
      </c>
      <c r="AF32" s="35">
        <f t="shared" si="31"/>
        <v>0</v>
      </c>
      <c r="AG32" s="35">
        <f t="shared" si="31"/>
        <v>0</v>
      </c>
      <c r="AH32" s="35">
        <f t="shared" si="31"/>
        <v>8</v>
      </c>
      <c r="AI32" s="35">
        <f t="shared" si="31"/>
        <v>0</v>
      </c>
      <c r="AJ32" s="35">
        <f t="shared" si="31"/>
        <v>7</v>
      </c>
      <c r="AK32" s="35">
        <f t="shared" si="31"/>
        <v>1</v>
      </c>
      <c r="AL32" s="35">
        <f t="shared" si="31"/>
        <v>0</v>
      </c>
      <c r="AM32" s="35">
        <f t="shared" si="31"/>
        <v>0</v>
      </c>
      <c r="AN32" s="35">
        <f t="shared" si="31"/>
        <v>0</v>
      </c>
      <c r="AO32" s="35">
        <f t="shared" si="31"/>
        <v>2</v>
      </c>
      <c r="AP32" s="35">
        <f t="shared" si="31"/>
        <v>5</v>
      </c>
    </row>
    <row r="33" spans="1:42" ht="15.75" customHeight="1">
      <c r="A33" s="36">
        <v>43952</v>
      </c>
      <c r="B33" s="35">
        <v>23</v>
      </c>
      <c r="C33" s="35">
        <v>34</v>
      </c>
      <c r="D33" s="35">
        <v>16</v>
      </c>
      <c r="E33" s="35">
        <v>64</v>
      </c>
      <c r="F33" s="35">
        <v>1408</v>
      </c>
      <c r="G33" s="35">
        <v>97</v>
      </c>
      <c r="H33" s="35">
        <v>296</v>
      </c>
      <c r="I33" s="35">
        <v>78</v>
      </c>
      <c r="J33" s="35">
        <v>23</v>
      </c>
      <c r="K33" s="35">
        <v>17</v>
      </c>
      <c r="L33" s="35">
        <v>22</v>
      </c>
      <c r="M33" s="35">
        <v>110</v>
      </c>
      <c r="N33" s="35">
        <v>24</v>
      </c>
      <c r="O33" s="35">
        <v>380</v>
      </c>
      <c r="P33" s="35">
        <v>27</v>
      </c>
      <c r="Q33" s="35">
        <v>47</v>
      </c>
      <c r="R33" s="35">
        <v>17</v>
      </c>
      <c r="S33" s="35">
        <v>14</v>
      </c>
      <c r="T33" s="35">
        <v>58</v>
      </c>
      <c r="U33" s="35">
        <v>108</v>
      </c>
      <c r="V33" s="35">
        <f t="shared" si="0"/>
        <v>2863</v>
      </c>
      <c r="W33" s="35">
        <f t="shared" ref="W33:AP33" si="32">B33-B32</f>
        <v>0</v>
      </c>
      <c r="X33" s="35">
        <f t="shared" si="32"/>
        <v>0</v>
      </c>
      <c r="Y33" s="35">
        <f t="shared" si="32"/>
        <v>1</v>
      </c>
      <c r="Z33" s="35">
        <f t="shared" si="32"/>
        <v>1</v>
      </c>
      <c r="AA33" s="35">
        <f t="shared" si="32"/>
        <v>40</v>
      </c>
      <c r="AB33" s="35">
        <f t="shared" si="32"/>
        <v>0</v>
      </c>
      <c r="AC33" s="35">
        <f t="shared" si="32"/>
        <v>25</v>
      </c>
      <c r="AD33" s="35">
        <f t="shared" si="32"/>
        <v>1</v>
      </c>
      <c r="AE33" s="35">
        <f t="shared" si="32"/>
        <v>0</v>
      </c>
      <c r="AF33" s="35">
        <f t="shared" si="32"/>
        <v>0</v>
      </c>
      <c r="AG33" s="35">
        <f t="shared" si="32"/>
        <v>0</v>
      </c>
      <c r="AH33" s="35">
        <f t="shared" si="32"/>
        <v>9</v>
      </c>
      <c r="AI33" s="35">
        <f t="shared" si="32"/>
        <v>0</v>
      </c>
      <c r="AJ33" s="35">
        <f t="shared" si="32"/>
        <v>5</v>
      </c>
      <c r="AK33" s="35">
        <f t="shared" si="32"/>
        <v>1</v>
      </c>
      <c r="AL33" s="35">
        <f t="shared" si="32"/>
        <v>0</v>
      </c>
      <c r="AM33" s="35">
        <f t="shared" si="32"/>
        <v>0</v>
      </c>
      <c r="AN33" s="35">
        <f t="shared" si="32"/>
        <v>0</v>
      </c>
      <c r="AO33" s="35">
        <f t="shared" si="32"/>
        <v>0</v>
      </c>
      <c r="AP33" s="35">
        <f t="shared" si="32"/>
        <v>5</v>
      </c>
    </row>
    <row r="34" spans="1:42" ht="15.75" customHeight="1">
      <c r="A34" s="36">
        <v>43953</v>
      </c>
      <c r="B34" s="35">
        <v>23</v>
      </c>
      <c r="C34" s="35">
        <v>35</v>
      </c>
      <c r="D34" s="35">
        <v>16</v>
      </c>
      <c r="E34" s="35">
        <v>65</v>
      </c>
      <c r="F34" s="35">
        <v>1448</v>
      </c>
      <c r="G34" s="35">
        <v>98</v>
      </c>
      <c r="H34" s="35">
        <v>298</v>
      </c>
      <c r="I34" s="35">
        <v>79</v>
      </c>
      <c r="J34" s="35">
        <v>23</v>
      </c>
      <c r="K34" s="35">
        <v>17</v>
      </c>
      <c r="L34" s="35">
        <v>22</v>
      </c>
      <c r="M34" s="35">
        <v>121</v>
      </c>
      <c r="N34" s="35">
        <v>24</v>
      </c>
      <c r="O34" s="35">
        <v>394</v>
      </c>
      <c r="P34" s="35">
        <v>28</v>
      </c>
      <c r="Q34" s="35">
        <v>47</v>
      </c>
      <c r="R34" s="35">
        <v>17</v>
      </c>
      <c r="S34" s="35">
        <v>14</v>
      </c>
      <c r="T34" s="35">
        <v>58</v>
      </c>
      <c r="U34" s="35">
        <v>115</v>
      </c>
      <c r="V34" s="35">
        <f t="shared" si="0"/>
        <v>2942</v>
      </c>
      <c r="W34" s="35">
        <f t="shared" ref="W34:AP34" si="33">B34-B33</f>
        <v>0</v>
      </c>
      <c r="X34" s="35">
        <f t="shared" si="33"/>
        <v>1</v>
      </c>
      <c r="Y34" s="35">
        <f t="shared" si="33"/>
        <v>0</v>
      </c>
      <c r="Z34" s="35">
        <f t="shared" si="33"/>
        <v>1</v>
      </c>
      <c r="AA34" s="35">
        <f t="shared" si="33"/>
        <v>40</v>
      </c>
      <c r="AB34" s="35">
        <f t="shared" si="33"/>
        <v>1</v>
      </c>
      <c r="AC34" s="35">
        <f t="shared" si="33"/>
        <v>2</v>
      </c>
      <c r="AD34" s="35">
        <f t="shared" si="33"/>
        <v>1</v>
      </c>
      <c r="AE34" s="35">
        <f t="shared" si="33"/>
        <v>0</v>
      </c>
      <c r="AF34" s="35">
        <f t="shared" si="33"/>
        <v>0</v>
      </c>
      <c r="AG34" s="35">
        <f t="shared" si="33"/>
        <v>0</v>
      </c>
      <c r="AH34" s="35">
        <f t="shared" si="33"/>
        <v>11</v>
      </c>
      <c r="AI34" s="35">
        <f t="shared" si="33"/>
        <v>0</v>
      </c>
      <c r="AJ34" s="35">
        <f t="shared" si="33"/>
        <v>14</v>
      </c>
      <c r="AK34" s="35">
        <f t="shared" si="33"/>
        <v>1</v>
      </c>
      <c r="AL34" s="35">
        <f t="shared" si="33"/>
        <v>0</v>
      </c>
      <c r="AM34" s="35">
        <f t="shared" si="33"/>
        <v>0</v>
      </c>
      <c r="AN34" s="35">
        <f t="shared" si="33"/>
        <v>0</v>
      </c>
      <c r="AO34" s="35">
        <f t="shared" si="33"/>
        <v>0</v>
      </c>
      <c r="AP34" s="35">
        <f t="shared" si="33"/>
        <v>7</v>
      </c>
    </row>
    <row r="35" spans="1:42" ht="15.75" customHeight="1">
      <c r="A35" s="36">
        <v>43954</v>
      </c>
      <c r="B35" s="35">
        <v>23</v>
      </c>
      <c r="C35" s="35">
        <v>36</v>
      </c>
      <c r="D35" s="35">
        <v>16</v>
      </c>
      <c r="E35" s="35">
        <v>65</v>
      </c>
      <c r="F35" s="35">
        <v>1473</v>
      </c>
      <c r="G35" s="35">
        <v>101</v>
      </c>
      <c r="H35" s="35">
        <v>300</v>
      </c>
      <c r="I35" s="35">
        <v>79</v>
      </c>
      <c r="J35" s="35">
        <v>23</v>
      </c>
      <c r="K35" s="35">
        <v>17</v>
      </c>
      <c r="L35" s="35">
        <v>22</v>
      </c>
      <c r="M35" s="35">
        <v>132</v>
      </c>
      <c r="N35" s="35">
        <v>24</v>
      </c>
      <c r="O35" s="35">
        <v>400</v>
      </c>
      <c r="P35" s="35">
        <v>28</v>
      </c>
      <c r="Q35" s="35">
        <v>47</v>
      </c>
      <c r="R35" s="35">
        <v>17</v>
      </c>
      <c r="S35" s="35">
        <v>14</v>
      </c>
      <c r="T35" s="35">
        <v>58</v>
      </c>
      <c r="U35" s="35">
        <v>123</v>
      </c>
      <c r="V35" s="35">
        <f t="shared" si="0"/>
        <v>2998</v>
      </c>
      <c r="W35" s="35">
        <f t="shared" ref="W35:AP35" si="34">B35-B34</f>
        <v>0</v>
      </c>
      <c r="X35" s="35">
        <f t="shared" si="34"/>
        <v>1</v>
      </c>
      <c r="Y35" s="35">
        <f t="shared" si="34"/>
        <v>0</v>
      </c>
      <c r="Z35" s="35">
        <f t="shared" si="34"/>
        <v>0</v>
      </c>
      <c r="AA35" s="35">
        <f t="shared" si="34"/>
        <v>25</v>
      </c>
      <c r="AB35" s="35">
        <f t="shared" si="34"/>
        <v>3</v>
      </c>
      <c r="AC35" s="35">
        <f t="shared" si="34"/>
        <v>2</v>
      </c>
      <c r="AD35" s="35">
        <f t="shared" si="34"/>
        <v>0</v>
      </c>
      <c r="AE35" s="35">
        <f t="shared" si="34"/>
        <v>0</v>
      </c>
      <c r="AF35" s="35">
        <f t="shared" si="34"/>
        <v>0</v>
      </c>
      <c r="AG35" s="35">
        <f t="shared" si="34"/>
        <v>0</v>
      </c>
      <c r="AH35" s="35">
        <f t="shared" si="34"/>
        <v>11</v>
      </c>
      <c r="AI35" s="35">
        <f t="shared" si="34"/>
        <v>0</v>
      </c>
      <c r="AJ35" s="35">
        <f t="shared" si="34"/>
        <v>6</v>
      </c>
      <c r="AK35" s="35">
        <f t="shared" si="34"/>
        <v>0</v>
      </c>
      <c r="AL35" s="35">
        <f t="shared" si="34"/>
        <v>0</v>
      </c>
      <c r="AM35" s="35">
        <f t="shared" si="34"/>
        <v>0</v>
      </c>
      <c r="AN35" s="35">
        <f t="shared" si="34"/>
        <v>0</v>
      </c>
      <c r="AO35" s="35">
        <f t="shared" si="34"/>
        <v>0</v>
      </c>
      <c r="AP35" s="35">
        <f t="shared" si="34"/>
        <v>8</v>
      </c>
    </row>
    <row r="36" spans="1:42" ht="15.75" customHeight="1">
      <c r="A36" s="36">
        <v>43955</v>
      </c>
      <c r="B36" s="35">
        <v>23</v>
      </c>
      <c r="C36" s="35">
        <v>36</v>
      </c>
      <c r="D36" s="35">
        <v>16</v>
      </c>
      <c r="E36" s="35">
        <v>65</v>
      </c>
      <c r="F36" s="35">
        <v>1484</v>
      </c>
      <c r="G36" s="35">
        <v>101</v>
      </c>
      <c r="H36" s="35">
        <v>304</v>
      </c>
      <c r="I36" s="35">
        <v>79</v>
      </c>
      <c r="J36" s="35">
        <v>23</v>
      </c>
      <c r="K36" s="35">
        <v>17</v>
      </c>
      <c r="L36" s="35">
        <v>22</v>
      </c>
      <c r="M36" s="35">
        <v>137</v>
      </c>
      <c r="N36" s="35">
        <v>24</v>
      </c>
      <c r="O36" s="35">
        <v>401</v>
      </c>
      <c r="P36" s="35">
        <v>28</v>
      </c>
      <c r="Q36" s="35">
        <v>47</v>
      </c>
      <c r="R36" s="35">
        <v>17</v>
      </c>
      <c r="S36" s="35">
        <v>14</v>
      </c>
      <c r="T36" s="35">
        <v>58</v>
      </c>
      <c r="U36" s="35">
        <v>139</v>
      </c>
      <c r="V36" s="35">
        <f t="shared" si="0"/>
        <v>3035</v>
      </c>
      <c r="W36" s="35">
        <f t="shared" ref="W36:AP36" si="35">B36-B35</f>
        <v>0</v>
      </c>
      <c r="X36" s="35">
        <f t="shared" si="35"/>
        <v>0</v>
      </c>
      <c r="Y36" s="35">
        <f t="shared" si="35"/>
        <v>0</v>
      </c>
      <c r="Z36" s="35">
        <f t="shared" si="35"/>
        <v>0</v>
      </c>
      <c r="AA36" s="35">
        <f t="shared" si="35"/>
        <v>11</v>
      </c>
      <c r="AB36" s="35">
        <f t="shared" si="35"/>
        <v>0</v>
      </c>
      <c r="AC36" s="35">
        <f t="shared" si="35"/>
        <v>4</v>
      </c>
      <c r="AD36" s="35">
        <f t="shared" si="35"/>
        <v>0</v>
      </c>
      <c r="AE36" s="35">
        <f t="shared" si="35"/>
        <v>0</v>
      </c>
      <c r="AF36" s="35">
        <f t="shared" si="35"/>
        <v>0</v>
      </c>
      <c r="AG36" s="35">
        <f t="shared" si="35"/>
        <v>0</v>
      </c>
      <c r="AH36" s="35">
        <f t="shared" si="35"/>
        <v>5</v>
      </c>
      <c r="AI36" s="35">
        <f t="shared" si="35"/>
        <v>0</v>
      </c>
      <c r="AJ36" s="35">
        <f t="shared" si="35"/>
        <v>1</v>
      </c>
      <c r="AK36" s="35">
        <f t="shared" si="35"/>
        <v>0</v>
      </c>
      <c r="AL36" s="35">
        <f t="shared" si="35"/>
        <v>0</v>
      </c>
      <c r="AM36" s="35">
        <f t="shared" si="35"/>
        <v>0</v>
      </c>
      <c r="AN36" s="35">
        <f t="shared" si="35"/>
        <v>0</v>
      </c>
      <c r="AO36" s="35">
        <f t="shared" si="35"/>
        <v>0</v>
      </c>
      <c r="AP36" s="35">
        <f t="shared" si="35"/>
        <v>16</v>
      </c>
    </row>
    <row r="37" spans="1:42" ht="15.75" customHeight="1">
      <c r="A37" s="36">
        <v>43956</v>
      </c>
      <c r="B37" s="35">
        <v>23</v>
      </c>
      <c r="C37" s="35">
        <v>36</v>
      </c>
      <c r="D37" s="35">
        <v>17</v>
      </c>
      <c r="E37" s="35">
        <v>65</v>
      </c>
      <c r="F37" s="35">
        <v>1503</v>
      </c>
      <c r="G37" s="35">
        <v>101</v>
      </c>
      <c r="H37" s="35">
        <v>306</v>
      </c>
      <c r="I37" s="35">
        <v>81</v>
      </c>
      <c r="J37" s="35">
        <v>23</v>
      </c>
      <c r="K37" s="35">
        <v>17</v>
      </c>
      <c r="L37" s="35">
        <v>23</v>
      </c>
      <c r="M37" s="35">
        <v>141</v>
      </c>
      <c r="N37" s="35">
        <v>24</v>
      </c>
      <c r="O37" s="35">
        <v>402</v>
      </c>
      <c r="P37" s="35">
        <v>28</v>
      </c>
      <c r="Q37" s="35">
        <v>47</v>
      </c>
      <c r="R37" s="35">
        <v>17</v>
      </c>
      <c r="S37" s="35">
        <v>14</v>
      </c>
      <c r="T37" s="35">
        <v>58</v>
      </c>
      <c r="U37" s="35">
        <v>139</v>
      </c>
      <c r="V37" s="35">
        <f t="shared" si="0"/>
        <v>3065</v>
      </c>
      <c r="W37" s="35">
        <f t="shared" ref="W37:AP37" si="36">B37-B36</f>
        <v>0</v>
      </c>
      <c r="X37" s="35">
        <f t="shared" si="36"/>
        <v>0</v>
      </c>
      <c r="Y37" s="35">
        <f t="shared" si="36"/>
        <v>1</v>
      </c>
      <c r="Z37" s="35">
        <f t="shared" si="36"/>
        <v>0</v>
      </c>
      <c r="AA37" s="35">
        <f t="shared" si="36"/>
        <v>19</v>
      </c>
      <c r="AB37" s="35">
        <f t="shared" si="36"/>
        <v>0</v>
      </c>
      <c r="AC37" s="35">
        <f t="shared" si="36"/>
        <v>2</v>
      </c>
      <c r="AD37" s="35">
        <f t="shared" si="36"/>
        <v>2</v>
      </c>
      <c r="AE37" s="35">
        <f t="shared" si="36"/>
        <v>0</v>
      </c>
      <c r="AF37" s="35">
        <f t="shared" si="36"/>
        <v>0</v>
      </c>
      <c r="AG37" s="35">
        <f t="shared" si="36"/>
        <v>1</v>
      </c>
      <c r="AH37" s="35">
        <f t="shared" si="36"/>
        <v>4</v>
      </c>
      <c r="AI37" s="35">
        <f t="shared" si="36"/>
        <v>0</v>
      </c>
      <c r="AJ37" s="35">
        <f t="shared" si="36"/>
        <v>1</v>
      </c>
      <c r="AK37" s="35">
        <f t="shared" si="36"/>
        <v>0</v>
      </c>
      <c r="AL37" s="35">
        <f t="shared" si="36"/>
        <v>0</v>
      </c>
      <c r="AM37" s="35">
        <f t="shared" si="36"/>
        <v>0</v>
      </c>
      <c r="AN37" s="35">
        <f t="shared" si="36"/>
        <v>0</v>
      </c>
      <c r="AO37" s="35">
        <f t="shared" si="36"/>
        <v>0</v>
      </c>
      <c r="AP37" s="35">
        <f t="shared" si="36"/>
        <v>0</v>
      </c>
    </row>
    <row r="38" spans="1:42" ht="15.75" customHeight="1">
      <c r="A38" s="36">
        <v>43957</v>
      </c>
      <c r="B38" s="35">
        <v>23</v>
      </c>
      <c r="C38" s="35">
        <v>36</v>
      </c>
      <c r="D38" s="35">
        <v>17</v>
      </c>
      <c r="E38" s="35">
        <v>65</v>
      </c>
      <c r="F38" s="35">
        <v>1528</v>
      </c>
      <c r="G38" s="35">
        <v>101</v>
      </c>
      <c r="H38" s="35">
        <v>310</v>
      </c>
      <c r="I38" s="35">
        <v>81</v>
      </c>
      <c r="J38" s="35">
        <v>23</v>
      </c>
      <c r="K38" s="35">
        <v>17</v>
      </c>
      <c r="L38" s="35">
        <v>23</v>
      </c>
      <c r="M38" s="35">
        <v>148</v>
      </c>
      <c r="N38" s="35">
        <v>25</v>
      </c>
      <c r="O38" s="35">
        <v>410</v>
      </c>
      <c r="P38" s="35">
        <v>28</v>
      </c>
      <c r="Q38" s="35">
        <v>47</v>
      </c>
      <c r="R38" s="35">
        <v>17</v>
      </c>
      <c r="S38" s="35">
        <v>14</v>
      </c>
      <c r="T38" s="35">
        <v>58</v>
      </c>
      <c r="U38" s="35">
        <v>140</v>
      </c>
      <c r="V38" s="35">
        <f t="shared" si="0"/>
        <v>3111</v>
      </c>
      <c r="W38" s="35">
        <f t="shared" ref="W38:AP38" si="37">B38-B37</f>
        <v>0</v>
      </c>
      <c r="X38" s="35">
        <f t="shared" si="37"/>
        <v>0</v>
      </c>
      <c r="Y38" s="35">
        <f t="shared" si="37"/>
        <v>0</v>
      </c>
      <c r="Z38" s="35">
        <f t="shared" si="37"/>
        <v>0</v>
      </c>
      <c r="AA38" s="35">
        <f t="shared" si="37"/>
        <v>25</v>
      </c>
      <c r="AB38" s="35">
        <f t="shared" si="37"/>
        <v>0</v>
      </c>
      <c r="AC38" s="35">
        <f t="shared" si="37"/>
        <v>4</v>
      </c>
      <c r="AD38" s="35">
        <f t="shared" si="37"/>
        <v>0</v>
      </c>
      <c r="AE38" s="35">
        <f t="shared" si="37"/>
        <v>0</v>
      </c>
      <c r="AF38" s="35">
        <f t="shared" si="37"/>
        <v>0</v>
      </c>
      <c r="AG38" s="35">
        <f t="shared" si="37"/>
        <v>0</v>
      </c>
      <c r="AH38" s="35">
        <f t="shared" si="37"/>
        <v>7</v>
      </c>
      <c r="AI38" s="35">
        <f t="shared" si="37"/>
        <v>1</v>
      </c>
      <c r="AJ38" s="35">
        <f t="shared" si="37"/>
        <v>8</v>
      </c>
      <c r="AK38" s="35">
        <f t="shared" si="37"/>
        <v>0</v>
      </c>
      <c r="AL38" s="35">
        <f t="shared" si="37"/>
        <v>0</v>
      </c>
      <c r="AM38" s="35">
        <f t="shared" si="37"/>
        <v>0</v>
      </c>
      <c r="AN38" s="35">
        <f t="shared" si="37"/>
        <v>0</v>
      </c>
      <c r="AO38" s="35">
        <f t="shared" si="37"/>
        <v>0</v>
      </c>
      <c r="AP38" s="35">
        <f t="shared" si="37"/>
        <v>1</v>
      </c>
    </row>
    <row r="39" spans="1:42" ht="15.75" customHeight="1">
      <c r="A39" s="36">
        <v>43958</v>
      </c>
      <c r="B39" s="35">
        <v>23</v>
      </c>
      <c r="C39" s="35">
        <v>36</v>
      </c>
      <c r="D39" s="35">
        <v>17</v>
      </c>
      <c r="E39" s="35">
        <v>65</v>
      </c>
      <c r="F39" s="35">
        <v>1544</v>
      </c>
      <c r="G39" s="35">
        <v>102</v>
      </c>
      <c r="H39" s="35">
        <v>312</v>
      </c>
      <c r="I39" s="35">
        <v>81</v>
      </c>
      <c r="J39" s="35">
        <v>23</v>
      </c>
      <c r="K39" s="35">
        <v>17</v>
      </c>
      <c r="L39" s="35">
        <v>23</v>
      </c>
      <c r="M39" s="35">
        <v>157</v>
      </c>
      <c r="N39" s="35">
        <v>25</v>
      </c>
      <c r="O39" s="35">
        <v>414</v>
      </c>
      <c r="P39" s="35">
        <v>28</v>
      </c>
      <c r="Q39" s="35">
        <v>47</v>
      </c>
      <c r="R39" s="35">
        <v>17</v>
      </c>
      <c r="S39" s="35">
        <v>14</v>
      </c>
      <c r="T39" s="35">
        <v>58</v>
      </c>
      <c r="U39" s="35">
        <v>147</v>
      </c>
      <c r="V39" s="35">
        <f t="shared" si="0"/>
        <v>3150</v>
      </c>
      <c r="W39" s="35">
        <f t="shared" ref="W39:AP39" si="38">B39-B38</f>
        <v>0</v>
      </c>
      <c r="X39" s="35">
        <f t="shared" si="38"/>
        <v>0</v>
      </c>
      <c r="Y39" s="35">
        <f t="shared" si="38"/>
        <v>0</v>
      </c>
      <c r="Z39" s="35">
        <f t="shared" si="38"/>
        <v>0</v>
      </c>
      <c r="AA39" s="35">
        <f t="shared" si="38"/>
        <v>16</v>
      </c>
      <c r="AB39" s="35">
        <f t="shared" si="38"/>
        <v>1</v>
      </c>
      <c r="AC39" s="35">
        <f t="shared" si="38"/>
        <v>2</v>
      </c>
      <c r="AD39" s="35">
        <f t="shared" si="38"/>
        <v>0</v>
      </c>
      <c r="AE39" s="35">
        <f t="shared" si="38"/>
        <v>0</v>
      </c>
      <c r="AF39" s="35">
        <f t="shared" si="38"/>
        <v>0</v>
      </c>
      <c r="AG39" s="35">
        <f t="shared" si="38"/>
        <v>0</v>
      </c>
      <c r="AH39" s="35">
        <f t="shared" si="38"/>
        <v>9</v>
      </c>
      <c r="AI39" s="35">
        <f t="shared" si="38"/>
        <v>0</v>
      </c>
      <c r="AJ39" s="35">
        <f t="shared" si="38"/>
        <v>4</v>
      </c>
      <c r="AK39" s="35">
        <f t="shared" si="38"/>
        <v>0</v>
      </c>
      <c r="AL39" s="35">
        <f t="shared" si="38"/>
        <v>0</v>
      </c>
      <c r="AM39" s="35">
        <f t="shared" si="38"/>
        <v>0</v>
      </c>
      <c r="AN39" s="35">
        <f t="shared" si="38"/>
        <v>0</v>
      </c>
      <c r="AO39" s="35">
        <f t="shared" si="38"/>
        <v>0</v>
      </c>
      <c r="AP39" s="35">
        <f t="shared" si="38"/>
        <v>7</v>
      </c>
    </row>
    <row r="40" spans="1:42" ht="15.75" customHeight="1">
      <c r="A40" s="36">
        <v>43959</v>
      </c>
      <c r="B40" s="35">
        <v>23</v>
      </c>
      <c r="C40" s="35">
        <v>36</v>
      </c>
      <c r="D40" s="35">
        <v>17</v>
      </c>
      <c r="E40" s="35">
        <v>65</v>
      </c>
      <c r="F40" s="35">
        <v>1552</v>
      </c>
      <c r="G40" s="35">
        <v>105</v>
      </c>
      <c r="H40" s="35">
        <v>312</v>
      </c>
      <c r="I40" s="35">
        <v>82</v>
      </c>
      <c r="J40" s="35">
        <v>23</v>
      </c>
      <c r="K40" s="35">
        <v>17</v>
      </c>
      <c r="L40" s="35">
        <v>23</v>
      </c>
      <c r="M40" s="35">
        <v>162</v>
      </c>
      <c r="N40" s="35">
        <v>25</v>
      </c>
      <c r="O40" s="35">
        <v>420</v>
      </c>
      <c r="P40" s="35">
        <v>28</v>
      </c>
      <c r="Q40" s="35">
        <v>47</v>
      </c>
      <c r="R40" s="35">
        <v>17</v>
      </c>
      <c r="S40" s="35">
        <v>14</v>
      </c>
      <c r="T40" s="35">
        <v>59</v>
      </c>
      <c r="U40" s="35">
        <v>151</v>
      </c>
      <c r="V40" s="35">
        <f t="shared" si="0"/>
        <v>3178</v>
      </c>
      <c r="W40" s="35">
        <f t="shared" ref="W40:AP40" si="39">B40-B39</f>
        <v>0</v>
      </c>
      <c r="X40" s="35">
        <f t="shared" si="39"/>
        <v>0</v>
      </c>
      <c r="Y40" s="35">
        <f t="shared" si="39"/>
        <v>0</v>
      </c>
      <c r="Z40" s="35">
        <f t="shared" si="39"/>
        <v>0</v>
      </c>
      <c r="AA40" s="35">
        <f t="shared" si="39"/>
        <v>8</v>
      </c>
      <c r="AB40" s="35">
        <f t="shared" si="39"/>
        <v>3</v>
      </c>
      <c r="AC40" s="35">
        <f t="shared" si="39"/>
        <v>0</v>
      </c>
      <c r="AD40" s="35">
        <f t="shared" si="39"/>
        <v>1</v>
      </c>
      <c r="AE40" s="35">
        <f t="shared" si="39"/>
        <v>0</v>
      </c>
      <c r="AF40" s="35">
        <f t="shared" si="39"/>
        <v>0</v>
      </c>
      <c r="AG40" s="35">
        <f t="shared" si="39"/>
        <v>0</v>
      </c>
      <c r="AH40" s="35">
        <f t="shared" si="39"/>
        <v>5</v>
      </c>
      <c r="AI40" s="35">
        <f t="shared" si="39"/>
        <v>0</v>
      </c>
      <c r="AJ40" s="35">
        <f t="shared" si="39"/>
        <v>6</v>
      </c>
      <c r="AK40" s="35">
        <f t="shared" si="39"/>
        <v>0</v>
      </c>
      <c r="AL40" s="35">
        <f t="shared" si="39"/>
        <v>0</v>
      </c>
      <c r="AM40" s="35">
        <f t="shared" si="39"/>
        <v>0</v>
      </c>
      <c r="AN40" s="35">
        <f t="shared" si="39"/>
        <v>0</v>
      </c>
      <c r="AO40" s="35">
        <f t="shared" si="39"/>
        <v>1</v>
      </c>
      <c r="AP40" s="35">
        <f t="shared" si="39"/>
        <v>4</v>
      </c>
    </row>
    <row r="41" spans="1:42" ht="15.75" customHeight="1">
      <c r="A41" s="36">
        <v>43960</v>
      </c>
      <c r="B41" s="35">
        <v>23</v>
      </c>
      <c r="C41" s="35">
        <v>36</v>
      </c>
      <c r="D41" s="35">
        <v>17</v>
      </c>
      <c r="E41" s="35">
        <v>63</v>
      </c>
      <c r="F41" s="35">
        <v>1562</v>
      </c>
      <c r="G41" s="35">
        <v>106</v>
      </c>
      <c r="H41" s="35">
        <v>317</v>
      </c>
      <c r="I41" s="35">
        <v>82</v>
      </c>
      <c r="J41" s="35">
        <v>23</v>
      </c>
      <c r="K41" s="35">
        <v>16</v>
      </c>
      <c r="L41" s="35">
        <v>23</v>
      </c>
      <c r="M41" s="35">
        <v>166</v>
      </c>
      <c r="N41" s="35">
        <v>25</v>
      </c>
      <c r="O41" s="35">
        <v>424</v>
      </c>
      <c r="P41" s="35">
        <v>28</v>
      </c>
      <c r="Q41" s="35">
        <v>47</v>
      </c>
      <c r="R41" s="35">
        <v>17</v>
      </c>
      <c r="S41" s="35">
        <v>14</v>
      </c>
      <c r="T41" s="35">
        <v>60</v>
      </c>
      <c r="U41" s="35">
        <v>164</v>
      </c>
      <c r="V41" s="35">
        <f t="shared" si="0"/>
        <v>3213</v>
      </c>
      <c r="W41" s="35">
        <f t="shared" ref="W41:AP41" si="40">B41-B40</f>
        <v>0</v>
      </c>
      <c r="X41" s="35">
        <f t="shared" si="40"/>
        <v>0</v>
      </c>
      <c r="Y41" s="35">
        <f t="shared" si="40"/>
        <v>0</v>
      </c>
      <c r="Z41" s="35">
        <f t="shared" si="40"/>
        <v>-2</v>
      </c>
      <c r="AA41" s="35">
        <f t="shared" si="40"/>
        <v>10</v>
      </c>
      <c r="AB41" s="35">
        <f t="shared" si="40"/>
        <v>1</v>
      </c>
      <c r="AC41" s="35">
        <f t="shared" si="40"/>
        <v>5</v>
      </c>
      <c r="AD41" s="35">
        <f t="shared" si="40"/>
        <v>0</v>
      </c>
      <c r="AE41" s="35">
        <f t="shared" si="40"/>
        <v>0</v>
      </c>
      <c r="AF41" s="35">
        <f t="shared" si="40"/>
        <v>-1</v>
      </c>
      <c r="AG41" s="35">
        <f t="shared" si="40"/>
        <v>0</v>
      </c>
      <c r="AH41" s="35">
        <f t="shared" si="40"/>
        <v>4</v>
      </c>
      <c r="AI41" s="35">
        <f t="shared" si="40"/>
        <v>0</v>
      </c>
      <c r="AJ41" s="35">
        <f t="shared" si="40"/>
        <v>4</v>
      </c>
      <c r="AK41" s="35">
        <f t="shared" si="40"/>
        <v>0</v>
      </c>
      <c r="AL41" s="35">
        <f t="shared" si="40"/>
        <v>0</v>
      </c>
      <c r="AM41" s="35">
        <f t="shared" si="40"/>
        <v>0</v>
      </c>
      <c r="AN41" s="35">
        <f t="shared" si="40"/>
        <v>0</v>
      </c>
      <c r="AO41" s="35">
        <f t="shared" si="40"/>
        <v>1</v>
      </c>
      <c r="AP41" s="35">
        <f t="shared" si="40"/>
        <v>13</v>
      </c>
    </row>
    <row r="42" spans="1:42" ht="15.75" customHeight="1">
      <c r="A42" s="36">
        <v>43961</v>
      </c>
      <c r="B42" s="35">
        <v>23</v>
      </c>
      <c r="C42" s="35">
        <v>36</v>
      </c>
      <c r="D42" s="35">
        <v>17</v>
      </c>
      <c r="E42" s="35">
        <v>63</v>
      </c>
      <c r="F42" s="35">
        <v>1579</v>
      </c>
      <c r="G42" s="35">
        <v>106</v>
      </c>
      <c r="H42" s="35">
        <v>333</v>
      </c>
      <c r="I42" s="35">
        <v>83</v>
      </c>
      <c r="J42" s="35">
        <v>23</v>
      </c>
      <c r="K42" s="35">
        <v>16</v>
      </c>
      <c r="L42" s="35">
        <v>23</v>
      </c>
      <c r="M42" s="35">
        <v>168</v>
      </c>
      <c r="N42" s="35">
        <v>25</v>
      </c>
      <c r="O42" s="35">
        <v>434</v>
      </c>
      <c r="P42" s="35">
        <v>28</v>
      </c>
      <c r="Q42" s="35">
        <v>47</v>
      </c>
      <c r="R42" s="35">
        <v>17</v>
      </c>
      <c r="S42" s="35">
        <v>14</v>
      </c>
      <c r="T42" s="35">
        <v>60</v>
      </c>
      <c r="U42" s="35">
        <v>168</v>
      </c>
      <c r="V42" s="35">
        <f t="shared" si="0"/>
        <v>3263</v>
      </c>
      <c r="W42" s="35">
        <f t="shared" ref="W42:AP42" si="41">B42-B41</f>
        <v>0</v>
      </c>
      <c r="X42" s="35">
        <f t="shared" si="41"/>
        <v>0</v>
      </c>
      <c r="Y42" s="35">
        <f t="shared" si="41"/>
        <v>0</v>
      </c>
      <c r="Z42" s="35">
        <f t="shared" si="41"/>
        <v>0</v>
      </c>
      <c r="AA42" s="35">
        <f t="shared" si="41"/>
        <v>17</v>
      </c>
      <c r="AB42" s="35">
        <f t="shared" si="41"/>
        <v>0</v>
      </c>
      <c r="AC42" s="35">
        <f t="shared" si="41"/>
        <v>16</v>
      </c>
      <c r="AD42" s="35">
        <f t="shared" si="41"/>
        <v>1</v>
      </c>
      <c r="AE42" s="35">
        <f t="shared" si="41"/>
        <v>0</v>
      </c>
      <c r="AF42" s="35">
        <f t="shared" si="41"/>
        <v>0</v>
      </c>
      <c r="AG42" s="35">
        <f t="shared" si="41"/>
        <v>0</v>
      </c>
      <c r="AH42" s="35">
        <f t="shared" si="41"/>
        <v>2</v>
      </c>
      <c r="AI42" s="35">
        <f t="shared" si="41"/>
        <v>0</v>
      </c>
      <c r="AJ42" s="35">
        <f t="shared" si="41"/>
        <v>10</v>
      </c>
      <c r="AK42" s="35">
        <f t="shared" si="41"/>
        <v>0</v>
      </c>
      <c r="AL42" s="35">
        <f t="shared" si="41"/>
        <v>0</v>
      </c>
      <c r="AM42" s="35">
        <f t="shared" si="41"/>
        <v>0</v>
      </c>
      <c r="AN42" s="35">
        <f t="shared" si="41"/>
        <v>0</v>
      </c>
      <c r="AO42" s="35">
        <f t="shared" si="41"/>
        <v>0</v>
      </c>
      <c r="AP42" s="35">
        <f t="shared" si="41"/>
        <v>4</v>
      </c>
    </row>
    <row r="43" spans="1:42" ht="15.75" customHeight="1">
      <c r="A43" s="36">
        <v>43962</v>
      </c>
      <c r="B43" s="35">
        <v>23</v>
      </c>
      <c r="C43" s="35">
        <v>36</v>
      </c>
      <c r="D43" s="35">
        <v>17</v>
      </c>
      <c r="E43" s="35">
        <v>64</v>
      </c>
      <c r="F43" s="35">
        <v>1587</v>
      </c>
      <c r="G43" s="35">
        <v>107</v>
      </c>
      <c r="H43" s="35">
        <v>333</v>
      </c>
      <c r="I43" s="35">
        <v>83</v>
      </c>
      <c r="J43" s="35">
        <v>23</v>
      </c>
      <c r="K43" s="35">
        <v>16</v>
      </c>
      <c r="L43" s="35">
        <v>23</v>
      </c>
      <c r="M43" s="35">
        <v>173</v>
      </c>
      <c r="N43" s="35">
        <v>25</v>
      </c>
      <c r="O43" s="35">
        <v>438</v>
      </c>
      <c r="P43" s="35">
        <v>28</v>
      </c>
      <c r="Q43" s="35">
        <v>47</v>
      </c>
      <c r="R43" s="35">
        <v>17</v>
      </c>
      <c r="S43" s="35">
        <v>14</v>
      </c>
      <c r="T43" s="35">
        <v>60</v>
      </c>
      <c r="U43" s="35">
        <v>170</v>
      </c>
      <c r="V43" s="35">
        <f t="shared" si="0"/>
        <v>3284</v>
      </c>
      <c r="W43" s="35">
        <f t="shared" ref="W43:AP43" si="42">B43-B42</f>
        <v>0</v>
      </c>
      <c r="X43" s="35">
        <f t="shared" si="42"/>
        <v>0</v>
      </c>
      <c r="Y43" s="35">
        <f t="shared" si="42"/>
        <v>0</v>
      </c>
      <c r="Z43" s="35">
        <f t="shared" si="42"/>
        <v>1</v>
      </c>
      <c r="AA43" s="35">
        <f t="shared" si="42"/>
        <v>8</v>
      </c>
      <c r="AB43" s="35">
        <f t="shared" si="42"/>
        <v>1</v>
      </c>
      <c r="AC43" s="35">
        <f t="shared" si="42"/>
        <v>0</v>
      </c>
      <c r="AD43" s="35">
        <f t="shared" si="42"/>
        <v>0</v>
      </c>
      <c r="AE43" s="35">
        <f t="shared" si="42"/>
        <v>0</v>
      </c>
      <c r="AF43" s="35">
        <f t="shared" si="42"/>
        <v>0</v>
      </c>
      <c r="AG43" s="35">
        <f t="shared" si="42"/>
        <v>0</v>
      </c>
      <c r="AH43" s="35">
        <f t="shared" si="42"/>
        <v>5</v>
      </c>
      <c r="AI43" s="35">
        <f t="shared" si="42"/>
        <v>0</v>
      </c>
      <c r="AJ43" s="35">
        <f t="shared" si="42"/>
        <v>4</v>
      </c>
      <c r="AK43" s="35">
        <f t="shared" si="42"/>
        <v>0</v>
      </c>
      <c r="AL43" s="35">
        <f t="shared" si="42"/>
        <v>0</v>
      </c>
      <c r="AM43" s="35">
        <f t="shared" si="42"/>
        <v>0</v>
      </c>
      <c r="AN43" s="35">
        <f t="shared" si="42"/>
        <v>0</v>
      </c>
      <c r="AO43" s="35">
        <f t="shared" si="42"/>
        <v>0</v>
      </c>
      <c r="AP43" s="35">
        <f t="shared" si="42"/>
        <v>2</v>
      </c>
    </row>
    <row r="44" spans="1:42" ht="15.75" customHeight="1">
      <c r="A44" s="36">
        <v>43963</v>
      </c>
      <c r="B44" s="35">
        <v>23</v>
      </c>
      <c r="C44" s="35">
        <v>36</v>
      </c>
      <c r="D44" s="35">
        <v>16</v>
      </c>
      <c r="E44" s="35">
        <v>64</v>
      </c>
      <c r="F44" s="35">
        <v>1595</v>
      </c>
      <c r="G44" s="35">
        <v>108</v>
      </c>
      <c r="H44" s="35">
        <v>338</v>
      </c>
      <c r="I44" s="35">
        <v>83</v>
      </c>
      <c r="J44" s="35">
        <v>23</v>
      </c>
      <c r="K44" s="35">
        <v>17</v>
      </c>
      <c r="L44" s="35">
        <v>23</v>
      </c>
      <c r="M44" s="35">
        <v>174</v>
      </c>
      <c r="N44" s="35">
        <v>25</v>
      </c>
      <c r="O44" s="35">
        <v>445</v>
      </c>
      <c r="P44" s="35">
        <v>28</v>
      </c>
      <c r="Q44" s="35">
        <v>47</v>
      </c>
      <c r="R44" s="35">
        <v>17</v>
      </c>
      <c r="S44" s="35">
        <v>14</v>
      </c>
      <c r="T44" s="35">
        <v>62</v>
      </c>
      <c r="U44" s="35">
        <v>175</v>
      </c>
      <c r="V44" s="35">
        <f t="shared" si="0"/>
        <v>3313</v>
      </c>
      <c r="W44" s="35">
        <f t="shared" ref="W44:AP44" si="43">B44-B43</f>
        <v>0</v>
      </c>
      <c r="X44" s="35">
        <f t="shared" si="43"/>
        <v>0</v>
      </c>
      <c r="Y44" s="35">
        <f t="shared" si="43"/>
        <v>-1</v>
      </c>
      <c r="Z44" s="35">
        <f t="shared" si="43"/>
        <v>0</v>
      </c>
      <c r="AA44" s="35">
        <f t="shared" si="43"/>
        <v>8</v>
      </c>
      <c r="AB44" s="35">
        <f t="shared" si="43"/>
        <v>1</v>
      </c>
      <c r="AC44" s="35">
        <f t="shared" si="43"/>
        <v>5</v>
      </c>
      <c r="AD44" s="35">
        <f t="shared" si="43"/>
        <v>0</v>
      </c>
      <c r="AE44" s="35">
        <f t="shared" si="43"/>
        <v>0</v>
      </c>
      <c r="AF44" s="35">
        <f t="shared" si="43"/>
        <v>1</v>
      </c>
      <c r="AG44" s="35">
        <f t="shared" si="43"/>
        <v>0</v>
      </c>
      <c r="AH44" s="35">
        <f t="shared" si="43"/>
        <v>1</v>
      </c>
      <c r="AI44" s="35">
        <f t="shared" si="43"/>
        <v>0</v>
      </c>
      <c r="AJ44" s="35">
        <f t="shared" si="43"/>
        <v>7</v>
      </c>
      <c r="AK44" s="35">
        <f t="shared" si="43"/>
        <v>0</v>
      </c>
      <c r="AL44" s="35">
        <f t="shared" si="43"/>
        <v>0</v>
      </c>
      <c r="AM44" s="35">
        <f t="shared" si="43"/>
        <v>0</v>
      </c>
      <c r="AN44" s="35">
        <f t="shared" si="43"/>
        <v>0</v>
      </c>
      <c r="AO44" s="35">
        <f t="shared" si="43"/>
        <v>2</v>
      </c>
      <c r="AP44" s="35">
        <f t="shared" si="43"/>
        <v>5</v>
      </c>
    </row>
    <row r="45" spans="1:42" ht="15.75" customHeight="1">
      <c r="A45" s="36">
        <v>43964</v>
      </c>
      <c r="B45" s="35">
        <v>23</v>
      </c>
      <c r="C45" s="35">
        <v>36</v>
      </c>
      <c r="D45" s="35">
        <v>11</v>
      </c>
      <c r="E45" s="35">
        <v>64</v>
      </c>
      <c r="F45" s="35">
        <v>1609</v>
      </c>
      <c r="G45" s="35">
        <v>113</v>
      </c>
      <c r="H45" s="35">
        <v>338</v>
      </c>
      <c r="I45" s="35">
        <v>83</v>
      </c>
      <c r="J45" s="35">
        <v>23</v>
      </c>
      <c r="K45" s="35">
        <v>17</v>
      </c>
      <c r="L45" s="35">
        <v>23</v>
      </c>
      <c r="M45" s="35">
        <v>176</v>
      </c>
      <c r="N45" s="35">
        <v>25</v>
      </c>
      <c r="O45" s="35">
        <v>456</v>
      </c>
      <c r="P45" s="35">
        <v>28</v>
      </c>
      <c r="Q45" s="35">
        <v>47</v>
      </c>
      <c r="R45" s="35">
        <v>17</v>
      </c>
      <c r="S45" s="35">
        <v>14</v>
      </c>
      <c r="T45" s="35">
        <v>62</v>
      </c>
      <c r="U45" s="35">
        <v>176</v>
      </c>
      <c r="V45" s="35">
        <f t="shared" si="0"/>
        <v>3341</v>
      </c>
      <c r="W45" s="35">
        <f t="shared" ref="W45:AP45" si="44">B45-B44</f>
        <v>0</v>
      </c>
      <c r="X45" s="35">
        <f t="shared" si="44"/>
        <v>0</v>
      </c>
      <c r="Y45" s="35">
        <f t="shared" si="44"/>
        <v>-5</v>
      </c>
      <c r="Z45" s="35">
        <f t="shared" si="44"/>
        <v>0</v>
      </c>
      <c r="AA45" s="35">
        <f t="shared" si="44"/>
        <v>14</v>
      </c>
      <c r="AB45" s="35">
        <f t="shared" si="44"/>
        <v>5</v>
      </c>
      <c r="AC45" s="35">
        <f t="shared" si="44"/>
        <v>0</v>
      </c>
      <c r="AD45" s="35">
        <f t="shared" si="44"/>
        <v>0</v>
      </c>
      <c r="AE45" s="35">
        <f t="shared" si="44"/>
        <v>0</v>
      </c>
      <c r="AF45" s="35">
        <f t="shared" si="44"/>
        <v>0</v>
      </c>
      <c r="AG45" s="35">
        <f t="shared" si="44"/>
        <v>0</v>
      </c>
      <c r="AH45" s="35">
        <f t="shared" si="44"/>
        <v>2</v>
      </c>
      <c r="AI45" s="35">
        <f t="shared" si="44"/>
        <v>0</v>
      </c>
      <c r="AJ45" s="35">
        <f t="shared" si="44"/>
        <v>11</v>
      </c>
      <c r="AK45" s="35">
        <f t="shared" si="44"/>
        <v>0</v>
      </c>
      <c r="AL45" s="35">
        <f t="shared" si="44"/>
        <v>0</v>
      </c>
      <c r="AM45" s="35">
        <f t="shared" si="44"/>
        <v>0</v>
      </c>
      <c r="AN45" s="35">
        <f t="shared" si="44"/>
        <v>0</v>
      </c>
      <c r="AO45" s="35">
        <f t="shared" si="44"/>
        <v>0</v>
      </c>
      <c r="AP45" s="35">
        <f t="shared" si="44"/>
        <v>1</v>
      </c>
    </row>
    <row r="46" spans="1:42" ht="15.75" customHeight="1">
      <c r="A46" s="36">
        <v>43965</v>
      </c>
      <c r="B46" s="35">
        <v>23</v>
      </c>
      <c r="C46" s="35">
        <v>36</v>
      </c>
      <c r="D46" s="35">
        <v>11</v>
      </c>
      <c r="E46" s="35">
        <v>64</v>
      </c>
      <c r="F46" s="35">
        <v>1619</v>
      </c>
      <c r="G46" s="35">
        <v>114</v>
      </c>
      <c r="H46" s="35">
        <v>339</v>
      </c>
      <c r="I46" s="35">
        <v>83</v>
      </c>
      <c r="J46" s="35">
        <v>23</v>
      </c>
      <c r="K46" s="35">
        <v>17</v>
      </c>
      <c r="L46" s="35">
        <v>23</v>
      </c>
      <c r="M46" s="35">
        <v>180</v>
      </c>
      <c r="N46" s="35">
        <v>25</v>
      </c>
      <c r="O46" s="35">
        <v>459</v>
      </c>
      <c r="P46" s="35">
        <v>28</v>
      </c>
      <c r="Q46" s="35">
        <v>47</v>
      </c>
      <c r="R46" s="35">
        <v>17</v>
      </c>
      <c r="S46" s="35">
        <v>16</v>
      </c>
      <c r="T46" s="35">
        <v>62</v>
      </c>
      <c r="U46" s="35">
        <v>194</v>
      </c>
      <c r="V46" s="35">
        <f t="shared" si="0"/>
        <v>3380</v>
      </c>
      <c r="W46" s="35">
        <f t="shared" ref="W46:AP46" si="45">B46-B45</f>
        <v>0</v>
      </c>
      <c r="X46" s="35">
        <f t="shared" si="45"/>
        <v>0</v>
      </c>
      <c r="Y46" s="35">
        <f t="shared" si="45"/>
        <v>0</v>
      </c>
      <c r="Z46" s="35">
        <f t="shared" si="45"/>
        <v>0</v>
      </c>
      <c r="AA46" s="35">
        <f t="shared" si="45"/>
        <v>10</v>
      </c>
      <c r="AB46" s="35">
        <f t="shared" si="45"/>
        <v>1</v>
      </c>
      <c r="AC46" s="35">
        <f t="shared" si="45"/>
        <v>1</v>
      </c>
      <c r="AD46" s="35">
        <f t="shared" si="45"/>
        <v>0</v>
      </c>
      <c r="AE46" s="35">
        <f t="shared" si="45"/>
        <v>0</v>
      </c>
      <c r="AF46" s="35">
        <f t="shared" si="45"/>
        <v>0</v>
      </c>
      <c r="AG46" s="35">
        <f t="shared" si="45"/>
        <v>0</v>
      </c>
      <c r="AH46" s="35">
        <f t="shared" si="45"/>
        <v>4</v>
      </c>
      <c r="AI46" s="35">
        <f t="shared" si="45"/>
        <v>0</v>
      </c>
      <c r="AJ46" s="35">
        <f t="shared" si="45"/>
        <v>3</v>
      </c>
      <c r="AK46" s="35">
        <f t="shared" si="45"/>
        <v>0</v>
      </c>
      <c r="AL46" s="35">
        <f t="shared" si="45"/>
        <v>0</v>
      </c>
      <c r="AM46" s="35">
        <f t="shared" si="45"/>
        <v>0</v>
      </c>
      <c r="AN46" s="35">
        <f t="shared" si="45"/>
        <v>2</v>
      </c>
      <c r="AO46" s="35">
        <f t="shared" si="45"/>
        <v>0</v>
      </c>
      <c r="AP46" s="35">
        <f t="shared" si="45"/>
        <v>18</v>
      </c>
    </row>
    <row r="47" spans="1:42" ht="15.75" customHeight="1">
      <c r="A47" s="36">
        <v>43966</v>
      </c>
      <c r="B47" s="35">
        <v>23</v>
      </c>
      <c r="C47" s="35">
        <v>36</v>
      </c>
      <c r="D47" s="35">
        <v>11</v>
      </c>
      <c r="E47" s="35">
        <v>64</v>
      </c>
      <c r="F47" s="35">
        <v>1636</v>
      </c>
      <c r="G47" s="35">
        <v>114</v>
      </c>
      <c r="H47" s="35">
        <v>340</v>
      </c>
      <c r="I47" s="35">
        <v>83</v>
      </c>
      <c r="J47" s="35">
        <v>23</v>
      </c>
      <c r="K47" s="35">
        <v>17</v>
      </c>
      <c r="L47" s="35">
        <v>24</v>
      </c>
      <c r="M47" s="35">
        <v>183</v>
      </c>
      <c r="N47" s="35">
        <v>25</v>
      </c>
      <c r="O47" s="35">
        <v>460</v>
      </c>
      <c r="P47" s="35">
        <v>28</v>
      </c>
      <c r="Q47" s="35">
        <v>48</v>
      </c>
      <c r="R47" s="35">
        <v>17</v>
      </c>
      <c r="S47" s="35">
        <v>16</v>
      </c>
      <c r="T47" s="35">
        <v>63</v>
      </c>
      <c r="U47" s="35">
        <v>206</v>
      </c>
      <c r="V47" s="35">
        <f t="shared" si="0"/>
        <v>3417</v>
      </c>
      <c r="W47" s="35">
        <f t="shared" ref="W47:AP47" si="46">B47-B46</f>
        <v>0</v>
      </c>
      <c r="X47" s="35">
        <f t="shared" si="46"/>
        <v>0</v>
      </c>
      <c r="Y47" s="35">
        <f t="shared" si="46"/>
        <v>0</v>
      </c>
      <c r="Z47" s="35">
        <f t="shared" si="46"/>
        <v>0</v>
      </c>
      <c r="AA47" s="35">
        <f t="shared" si="46"/>
        <v>17</v>
      </c>
      <c r="AB47" s="35">
        <f t="shared" si="46"/>
        <v>0</v>
      </c>
      <c r="AC47" s="35">
        <f t="shared" si="46"/>
        <v>1</v>
      </c>
      <c r="AD47" s="35">
        <f t="shared" si="46"/>
        <v>0</v>
      </c>
      <c r="AE47" s="35">
        <f t="shared" si="46"/>
        <v>0</v>
      </c>
      <c r="AF47" s="35">
        <f t="shared" si="46"/>
        <v>0</v>
      </c>
      <c r="AG47" s="35">
        <f t="shared" si="46"/>
        <v>1</v>
      </c>
      <c r="AH47" s="35">
        <f t="shared" si="46"/>
        <v>3</v>
      </c>
      <c r="AI47" s="35">
        <f t="shared" si="46"/>
        <v>0</v>
      </c>
      <c r="AJ47" s="35">
        <f t="shared" si="46"/>
        <v>1</v>
      </c>
      <c r="AK47" s="35">
        <f t="shared" si="46"/>
        <v>0</v>
      </c>
      <c r="AL47" s="35">
        <f t="shared" si="46"/>
        <v>1</v>
      </c>
      <c r="AM47" s="35">
        <f t="shared" si="46"/>
        <v>0</v>
      </c>
      <c r="AN47" s="35">
        <f t="shared" si="46"/>
        <v>0</v>
      </c>
      <c r="AO47" s="35">
        <f t="shared" si="46"/>
        <v>1</v>
      </c>
      <c r="AP47" s="35">
        <f t="shared" si="46"/>
        <v>12</v>
      </c>
    </row>
    <row r="48" spans="1:42" ht="15.75" customHeight="1">
      <c r="A48" s="36">
        <v>43967</v>
      </c>
      <c r="B48" s="35">
        <v>24</v>
      </c>
      <c r="C48" s="35">
        <v>36</v>
      </c>
      <c r="D48" s="35">
        <v>11</v>
      </c>
      <c r="E48" s="35">
        <v>64</v>
      </c>
      <c r="F48" s="35">
        <v>1655</v>
      </c>
      <c r="G48" s="35">
        <v>114</v>
      </c>
      <c r="H48" s="35">
        <v>355</v>
      </c>
      <c r="I48" s="35">
        <v>83</v>
      </c>
      <c r="J48" s="35">
        <v>23</v>
      </c>
      <c r="K48" s="35">
        <v>17</v>
      </c>
      <c r="L48" s="35">
        <v>24</v>
      </c>
      <c r="M48" s="35">
        <v>184</v>
      </c>
      <c r="N48" s="35">
        <v>25</v>
      </c>
      <c r="O48" s="35">
        <v>467</v>
      </c>
      <c r="P48" s="35">
        <v>28</v>
      </c>
      <c r="Q48" s="35">
        <v>48</v>
      </c>
      <c r="R48" s="35">
        <v>17</v>
      </c>
      <c r="S48" s="35">
        <v>17</v>
      </c>
      <c r="T48" s="35">
        <v>63</v>
      </c>
      <c r="U48" s="35">
        <v>218</v>
      </c>
      <c r="V48" s="35">
        <f t="shared" si="0"/>
        <v>3473</v>
      </c>
      <c r="W48" s="35">
        <f t="shared" ref="W48:AP48" si="47">B48-B47</f>
        <v>1</v>
      </c>
      <c r="X48" s="35">
        <f t="shared" si="47"/>
        <v>0</v>
      </c>
      <c r="Y48" s="35">
        <f t="shared" si="47"/>
        <v>0</v>
      </c>
      <c r="Z48" s="35">
        <f t="shared" si="47"/>
        <v>0</v>
      </c>
      <c r="AA48" s="35">
        <f t="shared" si="47"/>
        <v>19</v>
      </c>
      <c r="AB48" s="35">
        <f t="shared" si="47"/>
        <v>0</v>
      </c>
      <c r="AC48" s="35">
        <f t="shared" si="47"/>
        <v>15</v>
      </c>
      <c r="AD48" s="35">
        <f t="shared" si="47"/>
        <v>0</v>
      </c>
      <c r="AE48" s="35">
        <f t="shared" si="47"/>
        <v>0</v>
      </c>
      <c r="AF48" s="35">
        <f t="shared" si="47"/>
        <v>0</v>
      </c>
      <c r="AG48" s="35">
        <f t="shared" si="47"/>
        <v>0</v>
      </c>
      <c r="AH48" s="35">
        <f t="shared" si="47"/>
        <v>1</v>
      </c>
      <c r="AI48" s="35">
        <f t="shared" si="47"/>
        <v>0</v>
      </c>
      <c r="AJ48" s="35">
        <f t="shared" si="47"/>
        <v>7</v>
      </c>
      <c r="AK48" s="35">
        <f t="shared" si="47"/>
        <v>0</v>
      </c>
      <c r="AL48" s="35">
        <f t="shared" si="47"/>
        <v>0</v>
      </c>
      <c r="AM48" s="35">
        <f t="shared" si="47"/>
        <v>0</v>
      </c>
      <c r="AN48" s="35">
        <f t="shared" si="47"/>
        <v>1</v>
      </c>
      <c r="AO48" s="35">
        <f t="shared" si="47"/>
        <v>0</v>
      </c>
      <c r="AP48" s="35">
        <f t="shared" si="47"/>
        <v>12</v>
      </c>
    </row>
    <row r="49" spans="1:42" ht="15.75" customHeight="1">
      <c r="A49" s="36">
        <v>43968</v>
      </c>
      <c r="B49" s="35">
        <v>24</v>
      </c>
      <c r="C49" s="35">
        <v>36</v>
      </c>
      <c r="D49" s="35">
        <v>11</v>
      </c>
      <c r="E49" s="35">
        <v>64</v>
      </c>
      <c r="F49" s="35">
        <v>1672</v>
      </c>
      <c r="G49" s="35">
        <v>114</v>
      </c>
      <c r="H49" s="35">
        <v>356</v>
      </c>
      <c r="I49" s="35">
        <v>83</v>
      </c>
      <c r="J49" s="35">
        <v>23</v>
      </c>
      <c r="K49" s="35">
        <v>17</v>
      </c>
      <c r="L49" s="35">
        <v>24</v>
      </c>
      <c r="M49" s="35">
        <v>195</v>
      </c>
      <c r="N49" s="35">
        <v>25</v>
      </c>
      <c r="O49" s="35">
        <v>473</v>
      </c>
      <c r="P49" s="35">
        <v>28</v>
      </c>
      <c r="Q49" s="35">
        <v>48</v>
      </c>
      <c r="R49" s="35">
        <v>17</v>
      </c>
      <c r="S49" s="35">
        <v>17</v>
      </c>
      <c r="T49" s="35">
        <v>63</v>
      </c>
      <c r="U49" s="35">
        <v>219</v>
      </c>
      <c r="V49" s="35">
        <f t="shared" si="0"/>
        <v>3509</v>
      </c>
      <c r="W49" s="35">
        <f t="shared" ref="W49:AP49" si="48">B49-B48</f>
        <v>0</v>
      </c>
      <c r="X49" s="35">
        <f t="shared" si="48"/>
        <v>0</v>
      </c>
      <c r="Y49" s="35">
        <f t="shared" si="48"/>
        <v>0</v>
      </c>
      <c r="Z49" s="35">
        <f t="shared" si="48"/>
        <v>0</v>
      </c>
      <c r="AA49" s="35">
        <f t="shared" si="48"/>
        <v>17</v>
      </c>
      <c r="AB49" s="35">
        <f t="shared" si="48"/>
        <v>0</v>
      </c>
      <c r="AC49" s="35">
        <f t="shared" si="48"/>
        <v>1</v>
      </c>
      <c r="AD49" s="35">
        <f t="shared" si="48"/>
        <v>0</v>
      </c>
      <c r="AE49" s="35">
        <f t="shared" si="48"/>
        <v>0</v>
      </c>
      <c r="AF49" s="35">
        <f t="shared" si="48"/>
        <v>0</v>
      </c>
      <c r="AG49" s="35">
        <f t="shared" si="48"/>
        <v>0</v>
      </c>
      <c r="AH49" s="35">
        <f t="shared" si="48"/>
        <v>11</v>
      </c>
      <c r="AI49" s="35">
        <f t="shared" si="48"/>
        <v>0</v>
      </c>
      <c r="AJ49" s="35">
        <f t="shared" si="48"/>
        <v>6</v>
      </c>
      <c r="AK49" s="35">
        <f t="shared" si="48"/>
        <v>0</v>
      </c>
      <c r="AL49" s="35">
        <f t="shared" si="48"/>
        <v>0</v>
      </c>
      <c r="AM49" s="35">
        <f t="shared" si="48"/>
        <v>0</v>
      </c>
      <c r="AN49" s="35">
        <f t="shared" si="48"/>
        <v>0</v>
      </c>
      <c r="AO49" s="35">
        <f t="shared" si="48"/>
        <v>0</v>
      </c>
      <c r="AP49" s="35">
        <f t="shared" si="48"/>
        <v>1</v>
      </c>
    </row>
    <row r="50" spans="1:42" ht="15.75" customHeight="1">
      <c r="A50" s="36">
        <v>43969</v>
      </c>
      <c r="B50" s="35">
        <v>24</v>
      </c>
      <c r="C50" s="35">
        <v>36</v>
      </c>
      <c r="D50" s="35">
        <v>11</v>
      </c>
      <c r="E50" s="35">
        <v>64</v>
      </c>
      <c r="F50" s="35">
        <v>1681</v>
      </c>
      <c r="G50" s="35">
        <v>114</v>
      </c>
      <c r="H50" s="35">
        <v>359</v>
      </c>
      <c r="I50" s="35">
        <v>84</v>
      </c>
      <c r="J50" s="35">
        <v>23</v>
      </c>
      <c r="K50" s="35">
        <v>17</v>
      </c>
      <c r="L50" s="35">
        <v>25</v>
      </c>
      <c r="M50" s="35">
        <v>198</v>
      </c>
      <c r="N50" s="35">
        <v>25</v>
      </c>
      <c r="O50" s="35">
        <v>476</v>
      </c>
      <c r="P50" s="35">
        <v>28</v>
      </c>
      <c r="Q50" s="35">
        <v>49</v>
      </c>
      <c r="R50" s="35">
        <v>17</v>
      </c>
      <c r="S50" s="35">
        <v>17</v>
      </c>
      <c r="T50" s="35">
        <v>63</v>
      </c>
      <c r="U50" s="35">
        <v>224</v>
      </c>
      <c r="V50" s="35">
        <f t="shared" si="0"/>
        <v>3535</v>
      </c>
      <c r="W50" s="35">
        <f t="shared" ref="W50:AP50" si="49">B50-B49</f>
        <v>0</v>
      </c>
      <c r="X50" s="35">
        <f t="shared" si="49"/>
        <v>0</v>
      </c>
      <c r="Y50" s="35">
        <f t="shared" si="49"/>
        <v>0</v>
      </c>
      <c r="Z50" s="35">
        <f t="shared" si="49"/>
        <v>0</v>
      </c>
      <c r="AA50" s="35">
        <f t="shared" si="49"/>
        <v>9</v>
      </c>
      <c r="AB50" s="35">
        <f t="shared" si="49"/>
        <v>0</v>
      </c>
      <c r="AC50" s="35">
        <f t="shared" si="49"/>
        <v>3</v>
      </c>
      <c r="AD50" s="35">
        <f t="shared" si="49"/>
        <v>1</v>
      </c>
      <c r="AE50" s="35">
        <f t="shared" si="49"/>
        <v>0</v>
      </c>
      <c r="AF50" s="35">
        <f t="shared" si="49"/>
        <v>0</v>
      </c>
      <c r="AG50" s="35">
        <f t="shared" si="49"/>
        <v>1</v>
      </c>
      <c r="AH50" s="35">
        <f t="shared" si="49"/>
        <v>3</v>
      </c>
      <c r="AI50" s="35">
        <f t="shared" si="49"/>
        <v>0</v>
      </c>
      <c r="AJ50" s="35">
        <f t="shared" si="49"/>
        <v>3</v>
      </c>
      <c r="AK50" s="35">
        <f t="shared" si="49"/>
        <v>0</v>
      </c>
      <c r="AL50" s="35">
        <f t="shared" si="49"/>
        <v>1</v>
      </c>
      <c r="AM50" s="35">
        <f t="shared" si="49"/>
        <v>0</v>
      </c>
      <c r="AN50" s="35">
        <f t="shared" si="49"/>
        <v>0</v>
      </c>
      <c r="AO50" s="35">
        <f t="shared" si="49"/>
        <v>0</v>
      </c>
      <c r="AP50" s="35">
        <f t="shared" si="49"/>
        <v>5</v>
      </c>
    </row>
    <row r="51" spans="1:42" ht="15.75" customHeight="1">
      <c r="A51" s="36">
        <v>43970</v>
      </c>
      <c r="B51" s="35">
        <v>24</v>
      </c>
      <c r="C51" s="35">
        <v>36</v>
      </c>
      <c r="D51" s="35">
        <v>11</v>
      </c>
      <c r="E51" s="35">
        <v>64</v>
      </c>
      <c r="F51" s="35">
        <v>1689</v>
      </c>
      <c r="G51" s="35">
        <v>114</v>
      </c>
      <c r="H51" s="35">
        <v>359</v>
      </c>
      <c r="I51" s="35">
        <v>84</v>
      </c>
      <c r="J51" s="35">
        <v>23</v>
      </c>
      <c r="K51" s="35">
        <v>17</v>
      </c>
      <c r="L51" s="35">
        <v>25</v>
      </c>
      <c r="M51" s="35">
        <v>199</v>
      </c>
      <c r="N51" s="35">
        <v>25</v>
      </c>
      <c r="O51" s="35">
        <v>486</v>
      </c>
      <c r="P51" s="35">
        <v>28</v>
      </c>
      <c r="Q51" s="35">
        <v>49</v>
      </c>
      <c r="R51" s="35">
        <v>17</v>
      </c>
      <c r="S51" s="35">
        <v>17</v>
      </c>
      <c r="T51" s="35">
        <v>63</v>
      </c>
      <c r="U51" s="35">
        <v>226</v>
      </c>
      <c r="V51" s="35">
        <f t="shared" si="0"/>
        <v>3556</v>
      </c>
      <c r="W51" s="35">
        <f t="shared" ref="W51:AP51" si="50">B51-B50</f>
        <v>0</v>
      </c>
      <c r="X51" s="35">
        <f t="shared" si="50"/>
        <v>0</v>
      </c>
      <c r="Y51" s="35">
        <f t="shared" si="50"/>
        <v>0</v>
      </c>
      <c r="Z51" s="35">
        <f t="shared" si="50"/>
        <v>0</v>
      </c>
      <c r="AA51" s="35">
        <f t="shared" si="50"/>
        <v>8</v>
      </c>
      <c r="AB51" s="35">
        <f t="shared" si="50"/>
        <v>0</v>
      </c>
      <c r="AC51" s="35">
        <f t="shared" si="50"/>
        <v>0</v>
      </c>
      <c r="AD51" s="35">
        <f t="shared" si="50"/>
        <v>0</v>
      </c>
      <c r="AE51" s="35">
        <f t="shared" si="50"/>
        <v>0</v>
      </c>
      <c r="AF51" s="35">
        <f t="shared" si="50"/>
        <v>0</v>
      </c>
      <c r="AG51" s="35">
        <f t="shared" si="50"/>
        <v>0</v>
      </c>
      <c r="AH51" s="35">
        <f t="shared" si="50"/>
        <v>1</v>
      </c>
      <c r="AI51" s="35">
        <f t="shared" si="50"/>
        <v>0</v>
      </c>
      <c r="AJ51" s="35">
        <f t="shared" si="50"/>
        <v>10</v>
      </c>
      <c r="AK51" s="35">
        <f t="shared" si="50"/>
        <v>0</v>
      </c>
      <c r="AL51" s="35">
        <f t="shared" si="50"/>
        <v>0</v>
      </c>
      <c r="AM51" s="35">
        <f t="shared" si="50"/>
        <v>0</v>
      </c>
      <c r="AN51" s="35">
        <f t="shared" si="50"/>
        <v>0</v>
      </c>
      <c r="AO51" s="35">
        <f t="shared" si="50"/>
        <v>0</v>
      </c>
      <c r="AP51" s="35">
        <f t="shared" si="50"/>
        <v>2</v>
      </c>
    </row>
    <row r="52" spans="1:42" ht="15.75" customHeight="1">
      <c r="A52" s="36">
        <v>43971</v>
      </c>
      <c r="B52" s="35">
        <v>24</v>
      </c>
      <c r="C52" s="35">
        <v>36</v>
      </c>
      <c r="D52" s="35">
        <v>11</v>
      </c>
      <c r="E52" s="35">
        <v>64</v>
      </c>
      <c r="F52" s="35">
        <v>1710</v>
      </c>
      <c r="G52" s="35">
        <v>114</v>
      </c>
      <c r="H52" s="35">
        <v>361</v>
      </c>
      <c r="I52" s="35">
        <v>84</v>
      </c>
      <c r="J52" s="35">
        <v>23</v>
      </c>
      <c r="K52" s="35">
        <v>13</v>
      </c>
      <c r="L52" s="35">
        <v>25</v>
      </c>
      <c r="M52" s="35">
        <v>206</v>
      </c>
      <c r="N52" s="35">
        <v>26</v>
      </c>
      <c r="O52" s="35">
        <v>496</v>
      </c>
      <c r="P52" s="35">
        <v>28</v>
      </c>
      <c r="Q52" s="35">
        <v>49</v>
      </c>
      <c r="R52" s="35">
        <v>17</v>
      </c>
      <c r="S52" s="35">
        <v>17</v>
      </c>
      <c r="T52" s="35">
        <v>63</v>
      </c>
      <c r="U52" s="35">
        <v>231</v>
      </c>
      <c r="V52" s="35">
        <f t="shared" si="0"/>
        <v>3598</v>
      </c>
      <c r="W52" s="35">
        <f t="shared" ref="W52:AP52" si="51">B52-B51</f>
        <v>0</v>
      </c>
      <c r="X52" s="35">
        <f t="shared" si="51"/>
        <v>0</v>
      </c>
      <c r="Y52" s="35">
        <f t="shared" si="51"/>
        <v>0</v>
      </c>
      <c r="Z52" s="35">
        <f t="shared" si="51"/>
        <v>0</v>
      </c>
      <c r="AA52" s="35">
        <f t="shared" si="51"/>
        <v>21</v>
      </c>
      <c r="AB52" s="35">
        <f t="shared" si="51"/>
        <v>0</v>
      </c>
      <c r="AC52" s="35">
        <f t="shared" si="51"/>
        <v>2</v>
      </c>
      <c r="AD52" s="35">
        <f t="shared" si="51"/>
        <v>0</v>
      </c>
      <c r="AE52" s="35">
        <f t="shared" si="51"/>
        <v>0</v>
      </c>
      <c r="AF52" s="35">
        <f t="shared" si="51"/>
        <v>-4</v>
      </c>
      <c r="AG52" s="35">
        <f t="shared" si="51"/>
        <v>0</v>
      </c>
      <c r="AH52" s="35">
        <f t="shared" si="51"/>
        <v>7</v>
      </c>
      <c r="AI52" s="35">
        <f t="shared" si="51"/>
        <v>1</v>
      </c>
      <c r="AJ52" s="35">
        <f t="shared" si="51"/>
        <v>10</v>
      </c>
      <c r="AK52" s="35">
        <f t="shared" si="51"/>
        <v>0</v>
      </c>
      <c r="AL52" s="35">
        <f t="shared" si="51"/>
        <v>0</v>
      </c>
      <c r="AM52" s="35">
        <f t="shared" si="51"/>
        <v>0</v>
      </c>
      <c r="AN52" s="35">
        <f t="shared" si="51"/>
        <v>0</v>
      </c>
      <c r="AO52" s="35">
        <f t="shared" si="51"/>
        <v>0</v>
      </c>
      <c r="AP52" s="35">
        <f t="shared" si="51"/>
        <v>5</v>
      </c>
    </row>
    <row r="53" spans="1:42" ht="15.75" customHeight="1">
      <c r="A53" s="36">
        <v>43972</v>
      </c>
      <c r="B53" s="35">
        <v>24</v>
      </c>
      <c r="C53" s="35">
        <v>36</v>
      </c>
      <c r="D53" s="35">
        <v>11</v>
      </c>
      <c r="E53" s="35">
        <v>64</v>
      </c>
      <c r="F53" s="35">
        <v>1726</v>
      </c>
      <c r="G53" s="35">
        <v>114</v>
      </c>
      <c r="H53" s="35">
        <v>363</v>
      </c>
      <c r="I53" s="35">
        <v>84</v>
      </c>
      <c r="J53" s="35">
        <v>24</v>
      </c>
      <c r="K53" s="35">
        <v>13</v>
      </c>
      <c r="L53" s="35">
        <v>26</v>
      </c>
      <c r="M53" s="35">
        <v>214</v>
      </c>
      <c r="N53" s="35">
        <v>27</v>
      </c>
      <c r="O53" s="35">
        <v>500</v>
      </c>
      <c r="P53" s="35">
        <v>28</v>
      </c>
      <c r="Q53" s="35">
        <v>49</v>
      </c>
      <c r="R53" s="35">
        <v>17</v>
      </c>
      <c r="S53" s="35">
        <v>17</v>
      </c>
      <c r="T53" s="35">
        <v>63</v>
      </c>
      <c r="U53" s="35">
        <v>241</v>
      </c>
      <c r="V53" s="35">
        <f t="shared" si="0"/>
        <v>3641</v>
      </c>
      <c r="W53" s="35">
        <f t="shared" ref="W53:AP53" si="52">B53-B52</f>
        <v>0</v>
      </c>
      <c r="X53" s="35">
        <f t="shared" si="52"/>
        <v>0</v>
      </c>
      <c r="Y53" s="35">
        <f t="shared" si="52"/>
        <v>0</v>
      </c>
      <c r="Z53" s="35">
        <f t="shared" si="52"/>
        <v>0</v>
      </c>
      <c r="AA53" s="35">
        <f t="shared" si="52"/>
        <v>16</v>
      </c>
      <c r="AB53" s="35">
        <f t="shared" si="52"/>
        <v>0</v>
      </c>
      <c r="AC53" s="35">
        <f t="shared" si="52"/>
        <v>2</v>
      </c>
      <c r="AD53" s="35">
        <f t="shared" si="52"/>
        <v>0</v>
      </c>
      <c r="AE53" s="35">
        <f t="shared" si="52"/>
        <v>1</v>
      </c>
      <c r="AF53" s="35">
        <f t="shared" si="52"/>
        <v>0</v>
      </c>
      <c r="AG53" s="35">
        <f t="shared" si="52"/>
        <v>1</v>
      </c>
      <c r="AH53" s="35">
        <f t="shared" si="52"/>
        <v>8</v>
      </c>
      <c r="AI53" s="35">
        <f t="shared" si="52"/>
        <v>1</v>
      </c>
      <c r="AJ53" s="35">
        <f t="shared" si="52"/>
        <v>4</v>
      </c>
      <c r="AK53" s="35">
        <f t="shared" si="52"/>
        <v>0</v>
      </c>
      <c r="AL53" s="35">
        <f t="shared" si="52"/>
        <v>0</v>
      </c>
      <c r="AM53" s="35">
        <f t="shared" si="52"/>
        <v>0</v>
      </c>
      <c r="AN53" s="35">
        <f t="shared" si="52"/>
        <v>0</v>
      </c>
      <c r="AO53" s="35">
        <f t="shared" si="52"/>
        <v>0</v>
      </c>
      <c r="AP53" s="35">
        <f t="shared" si="52"/>
        <v>10</v>
      </c>
    </row>
    <row r="54" spans="1:42" ht="15.75" customHeight="1">
      <c r="A54" s="36">
        <v>43973</v>
      </c>
      <c r="B54" s="35">
        <v>24</v>
      </c>
      <c r="C54" s="35">
        <v>36</v>
      </c>
      <c r="D54" s="35">
        <v>11</v>
      </c>
      <c r="E54" s="35">
        <v>61</v>
      </c>
      <c r="F54" s="35">
        <v>1754</v>
      </c>
      <c r="G54" s="35">
        <v>114</v>
      </c>
      <c r="H54" s="35">
        <v>365</v>
      </c>
      <c r="I54" s="35">
        <v>84</v>
      </c>
      <c r="J54" s="35">
        <v>24</v>
      </c>
      <c r="K54" s="35">
        <v>13</v>
      </c>
      <c r="L54" s="35">
        <v>26</v>
      </c>
      <c r="M54" s="35">
        <v>222</v>
      </c>
      <c r="N54" s="35">
        <v>28</v>
      </c>
      <c r="O54" s="35">
        <v>510</v>
      </c>
      <c r="P54" s="35">
        <v>28</v>
      </c>
      <c r="Q54" s="35">
        <v>38</v>
      </c>
      <c r="R54" s="35">
        <v>17</v>
      </c>
      <c r="S54" s="35">
        <v>17</v>
      </c>
      <c r="T54" s="35">
        <v>63</v>
      </c>
      <c r="U54" s="35">
        <v>243</v>
      </c>
      <c r="V54" s="35">
        <f t="shared" si="0"/>
        <v>3678</v>
      </c>
      <c r="W54" s="35">
        <f t="shared" ref="W54:AP54" si="53">B54-B53</f>
        <v>0</v>
      </c>
      <c r="X54" s="35">
        <f t="shared" si="53"/>
        <v>0</v>
      </c>
      <c r="Y54" s="35">
        <f t="shared" si="53"/>
        <v>0</v>
      </c>
      <c r="Z54" s="35">
        <f t="shared" si="53"/>
        <v>-3</v>
      </c>
      <c r="AA54" s="35">
        <f t="shared" si="53"/>
        <v>28</v>
      </c>
      <c r="AB54" s="35">
        <f t="shared" si="53"/>
        <v>0</v>
      </c>
      <c r="AC54" s="35">
        <f t="shared" si="53"/>
        <v>2</v>
      </c>
      <c r="AD54" s="35">
        <f t="shared" si="53"/>
        <v>0</v>
      </c>
      <c r="AE54" s="35">
        <f t="shared" si="53"/>
        <v>0</v>
      </c>
      <c r="AF54" s="35">
        <f t="shared" si="53"/>
        <v>0</v>
      </c>
      <c r="AG54" s="35">
        <f t="shared" si="53"/>
        <v>0</v>
      </c>
      <c r="AH54" s="35">
        <f t="shared" si="53"/>
        <v>8</v>
      </c>
      <c r="AI54" s="35">
        <f t="shared" si="53"/>
        <v>1</v>
      </c>
      <c r="AJ54" s="35">
        <f t="shared" si="53"/>
        <v>10</v>
      </c>
      <c r="AK54" s="35">
        <f t="shared" si="53"/>
        <v>0</v>
      </c>
      <c r="AL54" s="35">
        <f t="shared" si="53"/>
        <v>-11</v>
      </c>
      <c r="AM54" s="35">
        <f t="shared" si="53"/>
        <v>0</v>
      </c>
      <c r="AN54" s="35">
        <f t="shared" si="53"/>
        <v>0</v>
      </c>
      <c r="AO54" s="35">
        <f t="shared" si="53"/>
        <v>0</v>
      </c>
      <c r="AP54" s="35">
        <f t="shared" si="53"/>
        <v>2</v>
      </c>
    </row>
    <row r="55" spans="1:42" ht="15.75" customHeight="1">
      <c r="A55" s="36">
        <v>43974</v>
      </c>
      <c r="B55" s="35">
        <v>24</v>
      </c>
      <c r="C55" s="35">
        <v>36</v>
      </c>
      <c r="D55" s="35">
        <v>11</v>
      </c>
      <c r="E55" s="35">
        <v>61</v>
      </c>
      <c r="F55" s="35">
        <v>1765</v>
      </c>
      <c r="G55" s="35">
        <v>114</v>
      </c>
      <c r="H55" s="35">
        <v>366</v>
      </c>
      <c r="I55" s="35">
        <v>84</v>
      </c>
      <c r="J55" s="35">
        <v>24</v>
      </c>
      <c r="K55" s="35">
        <v>13</v>
      </c>
      <c r="L55" s="35">
        <v>26</v>
      </c>
      <c r="M55" s="35">
        <v>234</v>
      </c>
      <c r="N55" s="35">
        <v>31</v>
      </c>
      <c r="O55" s="35">
        <v>516</v>
      </c>
      <c r="P55" s="35">
        <v>28</v>
      </c>
      <c r="Q55" s="35">
        <v>38</v>
      </c>
      <c r="R55" s="35">
        <v>17</v>
      </c>
      <c r="S55" s="35">
        <v>17</v>
      </c>
      <c r="T55" s="35">
        <v>63</v>
      </c>
      <c r="U55" s="35">
        <v>245</v>
      </c>
      <c r="V55" s="35">
        <f t="shared" si="0"/>
        <v>3713</v>
      </c>
      <c r="W55" s="35">
        <f t="shared" ref="W55:AP55" si="54">B55-B54</f>
        <v>0</v>
      </c>
      <c r="X55" s="35">
        <f t="shared" si="54"/>
        <v>0</v>
      </c>
      <c r="Y55" s="35">
        <f t="shared" si="54"/>
        <v>0</v>
      </c>
      <c r="Z55" s="35">
        <f t="shared" si="54"/>
        <v>0</v>
      </c>
      <c r="AA55" s="35">
        <f t="shared" si="54"/>
        <v>11</v>
      </c>
      <c r="AB55" s="35">
        <f t="shared" si="54"/>
        <v>0</v>
      </c>
      <c r="AC55" s="35">
        <f t="shared" si="54"/>
        <v>1</v>
      </c>
      <c r="AD55" s="35">
        <f t="shared" si="54"/>
        <v>0</v>
      </c>
      <c r="AE55" s="35">
        <f t="shared" si="54"/>
        <v>0</v>
      </c>
      <c r="AF55" s="35">
        <f t="shared" si="54"/>
        <v>0</v>
      </c>
      <c r="AG55" s="35">
        <f t="shared" si="54"/>
        <v>0</v>
      </c>
      <c r="AH55" s="35">
        <f t="shared" si="54"/>
        <v>12</v>
      </c>
      <c r="AI55" s="35">
        <f t="shared" si="54"/>
        <v>3</v>
      </c>
      <c r="AJ55" s="35">
        <f t="shared" si="54"/>
        <v>6</v>
      </c>
      <c r="AK55" s="35">
        <f t="shared" si="54"/>
        <v>0</v>
      </c>
      <c r="AL55" s="35">
        <f t="shared" si="54"/>
        <v>0</v>
      </c>
      <c r="AM55" s="35">
        <f t="shared" si="54"/>
        <v>0</v>
      </c>
      <c r="AN55" s="35">
        <f t="shared" si="54"/>
        <v>0</v>
      </c>
      <c r="AO55" s="35">
        <f t="shared" si="54"/>
        <v>0</v>
      </c>
      <c r="AP55" s="35">
        <f t="shared" si="54"/>
        <v>2</v>
      </c>
    </row>
    <row r="56" spans="1:42" ht="15.75" customHeight="1">
      <c r="A56" s="36">
        <v>43975</v>
      </c>
      <c r="B56" s="35">
        <v>24</v>
      </c>
      <c r="C56" s="35">
        <v>36</v>
      </c>
      <c r="D56" s="35">
        <v>11</v>
      </c>
      <c r="E56" s="35">
        <v>61</v>
      </c>
      <c r="F56" s="35">
        <v>1780</v>
      </c>
      <c r="G56" s="35">
        <v>114</v>
      </c>
      <c r="H56" s="35">
        <v>367</v>
      </c>
      <c r="I56" s="35">
        <v>84</v>
      </c>
      <c r="J56" s="35">
        <v>24</v>
      </c>
      <c r="K56" s="35">
        <v>13</v>
      </c>
      <c r="L56" s="35">
        <v>26</v>
      </c>
      <c r="M56" s="35">
        <v>236</v>
      </c>
      <c r="N56" s="35">
        <v>32</v>
      </c>
      <c r="O56" s="35">
        <v>525</v>
      </c>
      <c r="P56" s="35">
        <v>28</v>
      </c>
      <c r="Q56" s="35">
        <v>38</v>
      </c>
      <c r="R56" s="35">
        <v>17</v>
      </c>
      <c r="S56" s="35">
        <v>17</v>
      </c>
      <c r="T56" s="35">
        <v>63</v>
      </c>
      <c r="U56" s="35">
        <v>245</v>
      </c>
      <c r="V56" s="35">
        <f t="shared" si="0"/>
        <v>3741</v>
      </c>
      <c r="W56" s="35">
        <f t="shared" ref="W56:AP56" si="55">B56-B55</f>
        <v>0</v>
      </c>
      <c r="X56" s="35">
        <f t="shared" si="55"/>
        <v>0</v>
      </c>
      <c r="Y56" s="35">
        <f t="shared" si="55"/>
        <v>0</v>
      </c>
      <c r="Z56" s="35">
        <f t="shared" si="55"/>
        <v>0</v>
      </c>
      <c r="AA56" s="35">
        <f t="shared" si="55"/>
        <v>15</v>
      </c>
      <c r="AB56" s="35">
        <f t="shared" si="55"/>
        <v>0</v>
      </c>
      <c r="AC56" s="35">
        <f t="shared" si="55"/>
        <v>1</v>
      </c>
      <c r="AD56" s="35">
        <f t="shared" si="55"/>
        <v>0</v>
      </c>
      <c r="AE56" s="35">
        <f t="shared" si="55"/>
        <v>0</v>
      </c>
      <c r="AF56" s="35">
        <f t="shared" si="55"/>
        <v>0</v>
      </c>
      <c r="AG56" s="35">
        <f t="shared" si="55"/>
        <v>0</v>
      </c>
      <c r="AH56" s="35">
        <f t="shared" si="55"/>
        <v>2</v>
      </c>
      <c r="AI56" s="35">
        <f t="shared" si="55"/>
        <v>1</v>
      </c>
      <c r="AJ56" s="35">
        <f t="shared" si="55"/>
        <v>9</v>
      </c>
      <c r="AK56" s="35">
        <f t="shared" si="55"/>
        <v>0</v>
      </c>
      <c r="AL56" s="35">
        <f t="shared" si="55"/>
        <v>0</v>
      </c>
      <c r="AM56" s="35">
        <f t="shared" si="55"/>
        <v>0</v>
      </c>
      <c r="AN56" s="35">
        <f t="shared" si="55"/>
        <v>0</v>
      </c>
      <c r="AO56" s="35">
        <f t="shared" si="55"/>
        <v>0</v>
      </c>
      <c r="AP56" s="35">
        <f t="shared" si="55"/>
        <v>0</v>
      </c>
    </row>
    <row r="57" spans="1:42" ht="15.75" customHeight="1">
      <c r="A57" s="36">
        <v>43976</v>
      </c>
      <c r="B57" s="35">
        <v>24</v>
      </c>
      <c r="C57" s="35">
        <v>36</v>
      </c>
      <c r="D57" s="35">
        <v>11</v>
      </c>
      <c r="E57" s="35">
        <v>61</v>
      </c>
      <c r="F57" s="35">
        <v>1784</v>
      </c>
      <c r="G57" s="35">
        <v>114</v>
      </c>
      <c r="H57" s="35">
        <v>368</v>
      </c>
      <c r="I57" s="35">
        <v>84</v>
      </c>
      <c r="J57" s="35">
        <v>24</v>
      </c>
      <c r="K57" s="35">
        <v>13</v>
      </c>
      <c r="L57" s="35">
        <v>26</v>
      </c>
      <c r="M57" s="35">
        <v>243</v>
      </c>
      <c r="N57" s="35">
        <v>32</v>
      </c>
      <c r="O57" s="35">
        <v>527</v>
      </c>
      <c r="P57" s="35">
        <v>28</v>
      </c>
      <c r="Q57" s="35">
        <v>38</v>
      </c>
      <c r="R57" s="35">
        <v>17</v>
      </c>
      <c r="S57" s="35">
        <v>17</v>
      </c>
      <c r="T57" s="35">
        <v>64</v>
      </c>
      <c r="U57" s="35">
        <v>245</v>
      </c>
      <c r="V57" s="35">
        <f t="shared" si="0"/>
        <v>3756</v>
      </c>
      <c r="W57" s="35">
        <f t="shared" ref="W57:AP57" si="56">B57-B56</f>
        <v>0</v>
      </c>
      <c r="X57" s="35">
        <f t="shared" si="56"/>
        <v>0</v>
      </c>
      <c r="Y57" s="35">
        <f t="shared" si="56"/>
        <v>0</v>
      </c>
      <c r="Z57" s="35">
        <f t="shared" si="56"/>
        <v>0</v>
      </c>
      <c r="AA57" s="35">
        <f t="shared" si="56"/>
        <v>4</v>
      </c>
      <c r="AB57" s="35">
        <f t="shared" si="56"/>
        <v>0</v>
      </c>
      <c r="AC57" s="35">
        <f t="shared" si="56"/>
        <v>1</v>
      </c>
      <c r="AD57" s="35">
        <f t="shared" si="56"/>
        <v>0</v>
      </c>
      <c r="AE57" s="35">
        <f t="shared" si="56"/>
        <v>0</v>
      </c>
      <c r="AF57" s="35">
        <f t="shared" si="56"/>
        <v>0</v>
      </c>
      <c r="AG57" s="35">
        <f t="shared" si="56"/>
        <v>0</v>
      </c>
      <c r="AH57" s="35">
        <f t="shared" si="56"/>
        <v>7</v>
      </c>
      <c r="AI57" s="35">
        <f t="shared" si="56"/>
        <v>0</v>
      </c>
      <c r="AJ57" s="35">
        <f t="shared" si="56"/>
        <v>2</v>
      </c>
      <c r="AK57" s="35">
        <f t="shared" si="56"/>
        <v>0</v>
      </c>
      <c r="AL57" s="35">
        <f t="shared" si="56"/>
        <v>0</v>
      </c>
      <c r="AM57" s="35">
        <f t="shared" si="56"/>
        <v>0</v>
      </c>
      <c r="AN57" s="35">
        <f t="shared" si="56"/>
        <v>0</v>
      </c>
      <c r="AO57" s="35">
        <f t="shared" si="56"/>
        <v>1</v>
      </c>
      <c r="AP57" s="35">
        <f t="shared" si="56"/>
        <v>0</v>
      </c>
    </row>
    <row r="58" spans="1:42" ht="15.75" customHeight="1">
      <c r="A58" s="36">
        <v>43977</v>
      </c>
      <c r="B58" s="35">
        <v>24</v>
      </c>
      <c r="C58" s="35">
        <v>36</v>
      </c>
      <c r="D58" s="35">
        <v>11</v>
      </c>
      <c r="E58" s="35">
        <v>61</v>
      </c>
      <c r="F58" s="35">
        <v>1789</v>
      </c>
      <c r="G58" s="35">
        <v>114</v>
      </c>
      <c r="H58" s="35">
        <v>368</v>
      </c>
      <c r="I58" s="35">
        <v>84</v>
      </c>
      <c r="J58" s="35">
        <v>24</v>
      </c>
      <c r="K58" s="35">
        <v>13</v>
      </c>
      <c r="L58" s="35">
        <v>26</v>
      </c>
      <c r="M58" s="35">
        <v>244</v>
      </c>
      <c r="N58" s="35">
        <v>34</v>
      </c>
      <c r="O58" s="35">
        <v>531</v>
      </c>
      <c r="P58" s="35">
        <v>28</v>
      </c>
      <c r="Q58" s="35">
        <v>38</v>
      </c>
      <c r="R58" s="35">
        <v>17</v>
      </c>
      <c r="S58" s="35">
        <v>17</v>
      </c>
      <c r="T58" s="35">
        <v>65</v>
      </c>
      <c r="U58" s="35">
        <v>247</v>
      </c>
      <c r="V58" s="35">
        <f t="shared" si="0"/>
        <v>3771</v>
      </c>
      <c r="W58" s="35">
        <f t="shared" ref="W58:AP58" si="57">B58-B57</f>
        <v>0</v>
      </c>
      <c r="X58" s="35">
        <f t="shared" si="57"/>
        <v>0</v>
      </c>
      <c r="Y58" s="35">
        <f t="shared" si="57"/>
        <v>0</v>
      </c>
      <c r="Z58" s="35">
        <f t="shared" si="57"/>
        <v>0</v>
      </c>
      <c r="AA58" s="35">
        <f t="shared" si="57"/>
        <v>5</v>
      </c>
      <c r="AB58" s="35">
        <f t="shared" si="57"/>
        <v>0</v>
      </c>
      <c r="AC58" s="35">
        <f t="shared" si="57"/>
        <v>0</v>
      </c>
      <c r="AD58" s="35">
        <f t="shared" si="57"/>
        <v>0</v>
      </c>
      <c r="AE58" s="35">
        <f t="shared" si="57"/>
        <v>0</v>
      </c>
      <c r="AF58" s="35">
        <f t="shared" si="57"/>
        <v>0</v>
      </c>
      <c r="AG58" s="35">
        <f t="shared" si="57"/>
        <v>0</v>
      </c>
      <c r="AH58" s="35">
        <f t="shared" si="57"/>
        <v>1</v>
      </c>
      <c r="AI58" s="35">
        <f t="shared" si="57"/>
        <v>2</v>
      </c>
      <c r="AJ58" s="35">
        <f t="shared" si="57"/>
        <v>4</v>
      </c>
      <c r="AK58" s="35">
        <f t="shared" si="57"/>
        <v>0</v>
      </c>
      <c r="AL58" s="35">
        <f t="shared" si="57"/>
        <v>0</v>
      </c>
      <c r="AM58" s="35">
        <f t="shared" si="57"/>
        <v>0</v>
      </c>
      <c r="AN58" s="35">
        <f t="shared" si="57"/>
        <v>0</v>
      </c>
      <c r="AO58" s="35">
        <f t="shared" si="57"/>
        <v>1</v>
      </c>
      <c r="AP58" s="35">
        <f t="shared" si="57"/>
        <v>2</v>
      </c>
    </row>
    <row r="59" spans="1:42" ht="15.75" customHeight="1">
      <c r="A59" s="36">
        <v>43978</v>
      </c>
      <c r="B59" s="35">
        <v>24</v>
      </c>
      <c r="C59" s="35">
        <v>36</v>
      </c>
      <c r="D59" s="35">
        <v>11</v>
      </c>
      <c r="E59" s="35">
        <v>61</v>
      </c>
      <c r="F59" s="35">
        <v>1805</v>
      </c>
      <c r="G59" s="35">
        <v>114</v>
      </c>
      <c r="H59" s="35">
        <v>369</v>
      </c>
      <c r="I59" s="35">
        <v>84</v>
      </c>
      <c r="J59" s="35">
        <v>24</v>
      </c>
      <c r="K59" s="35">
        <v>13</v>
      </c>
      <c r="L59" s="35">
        <v>26</v>
      </c>
      <c r="M59" s="35">
        <v>243</v>
      </c>
      <c r="N59" s="35">
        <v>35</v>
      </c>
      <c r="O59" s="35">
        <v>535</v>
      </c>
      <c r="P59" s="35">
        <v>28</v>
      </c>
      <c r="Q59" s="35">
        <v>39</v>
      </c>
      <c r="R59" s="35">
        <v>17</v>
      </c>
      <c r="S59" s="35">
        <v>17</v>
      </c>
      <c r="T59" s="35">
        <v>65</v>
      </c>
      <c r="U59" s="35">
        <v>247</v>
      </c>
      <c r="V59" s="35">
        <f t="shared" si="0"/>
        <v>3793</v>
      </c>
      <c r="W59" s="35">
        <f t="shared" ref="W59:AP59" si="58">B59-B58</f>
        <v>0</v>
      </c>
      <c r="X59" s="35">
        <f t="shared" si="58"/>
        <v>0</v>
      </c>
      <c r="Y59" s="35">
        <f t="shared" si="58"/>
        <v>0</v>
      </c>
      <c r="Z59" s="35">
        <f t="shared" si="58"/>
        <v>0</v>
      </c>
      <c r="AA59" s="35">
        <f t="shared" si="58"/>
        <v>16</v>
      </c>
      <c r="AB59" s="35">
        <f t="shared" si="58"/>
        <v>0</v>
      </c>
      <c r="AC59" s="35">
        <f t="shared" si="58"/>
        <v>1</v>
      </c>
      <c r="AD59" s="35">
        <f t="shared" si="58"/>
        <v>0</v>
      </c>
      <c r="AE59" s="35">
        <f t="shared" si="58"/>
        <v>0</v>
      </c>
      <c r="AF59" s="35">
        <f t="shared" si="58"/>
        <v>0</v>
      </c>
      <c r="AG59" s="35">
        <f t="shared" si="58"/>
        <v>0</v>
      </c>
      <c r="AH59" s="35">
        <f t="shared" si="58"/>
        <v>-1</v>
      </c>
      <c r="AI59" s="35">
        <f t="shared" si="58"/>
        <v>1</v>
      </c>
      <c r="AJ59" s="35">
        <f t="shared" si="58"/>
        <v>4</v>
      </c>
      <c r="AK59" s="35">
        <f t="shared" si="58"/>
        <v>0</v>
      </c>
      <c r="AL59" s="35">
        <f t="shared" si="58"/>
        <v>1</v>
      </c>
      <c r="AM59" s="35">
        <f t="shared" si="58"/>
        <v>0</v>
      </c>
      <c r="AN59" s="35">
        <f t="shared" si="58"/>
        <v>0</v>
      </c>
      <c r="AO59" s="35">
        <f t="shared" si="58"/>
        <v>0</v>
      </c>
      <c r="AP59" s="35">
        <f t="shared" si="58"/>
        <v>0</v>
      </c>
    </row>
    <row r="60" spans="1:42" ht="15.75" customHeight="1">
      <c r="A60" s="36">
        <v>43979</v>
      </c>
      <c r="B60" s="35">
        <v>24</v>
      </c>
      <c r="C60" s="35">
        <v>36</v>
      </c>
      <c r="D60" s="35">
        <v>11</v>
      </c>
      <c r="E60" s="35">
        <v>61</v>
      </c>
      <c r="F60" s="35">
        <v>1818</v>
      </c>
      <c r="G60" s="35">
        <v>115</v>
      </c>
      <c r="H60" s="35">
        <v>369</v>
      </c>
      <c r="I60" s="35">
        <v>84</v>
      </c>
      <c r="J60" s="35">
        <v>24</v>
      </c>
      <c r="K60" s="35">
        <v>13</v>
      </c>
      <c r="L60" s="35">
        <v>17</v>
      </c>
      <c r="M60" s="35">
        <v>250</v>
      </c>
      <c r="N60" s="35">
        <v>36</v>
      </c>
      <c r="O60" s="35">
        <v>541</v>
      </c>
      <c r="P60" s="35">
        <v>29</v>
      </c>
      <c r="Q60" s="35">
        <v>38</v>
      </c>
      <c r="R60" s="35">
        <v>17</v>
      </c>
      <c r="S60" s="35">
        <v>17</v>
      </c>
      <c r="T60" s="35">
        <v>65</v>
      </c>
      <c r="U60" s="35">
        <v>251</v>
      </c>
      <c r="V60" s="35">
        <f t="shared" si="0"/>
        <v>3816</v>
      </c>
      <c r="W60" s="35">
        <f t="shared" ref="W60:AP60" si="59">B60-B59</f>
        <v>0</v>
      </c>
      <c r="X60" s="35">
        <f t="shared" si="59"/>
        <v>0</v>
      </c>
      <c r="Y60" s="35">
        <f t="shared" si="59"/>
        <v>0</v>
      </c>
      <c r="Z60" s="35">
        <f t="shared" si="59"/>
        <v>0</v>
      </c>
      <c r="AA60" s="35">
        <f t="shared" si="59"/>
        <v>13</v>
      </c>
      <c r="AB60" s="35">
        <f t="shared" si="59"/>
        <v>1</v>
      </c>
      <c r="AC60" s="35">
        <f t="shared" si="59"/>
        <v>0</v>
      </c>
      <c r="AD60" s="35">
        <f t="shared" si="59"/>
        <v>0</v>
      </c>
      <c r="AE60" s="35">
        <f t="shared" si="59"/>
        <v>0</v>
      </c>
      <c r="AF60" s="35">
        <f t="shared" si="59"/>
        <v>0</v>
      </c>
      <c r="AG60" s="35">
        <f t="shared" si="59"/>
        <v>-9</v>
      </c>
      <c r="AH60" s="35">
        <f t="shared" si="59"/>
        <v>7</v>
      </c>
      <c r="AI60" s="35">
        <f t="shared" si="59"/>
        <v>1</v>
      </c>
      <c r="AJ60" s="35">
        <f t="shared" si="59"/>
        <v>6</v>
      </c>
      <c r="AK60" s="35">
        <f t="shared" si="59"/>
        <v>1</v>
      </c>
      <c r="AL60" s="35">
        <f t="shared" si="59"/>
        <v>-1</v>
      </c>
      <c r="AM60" s="35">
        <f t="shared" si="59"/>
        <v>0</v>
      </c>
      <c r="AN60" s="35">
        <f t="shared" si="59"/>
        <v>0</v>
      </c>
      <c r="AO60" s="35">
        <f t="shared" si="59"/>
        <v>0</v>
      </c>
      <c r="AP60" s="35">
        <f t="shared" si="59"/>
        <v>4</v>
      </c>
    </row>
    <row r="61" spans="1:42" ht="15.75" customHeight="1">
      <c r="A61" s="36">
        <v>43980</v>
      </c>
      <c r="B61" s="35">
        <v>24</v>
      </c>
      <c r="C61" s="35">
        <v>36</v>
      </c>
      <c r="D61" s="35">
        <v>11</v>
      </c>
      <c r="E61" s="35">
        <v>61</v>
      </c>
      <c r="F61" s="35">
        <v>1829</v>
      </c>
      <c r="G61" s="35">
        <v>115</v>
      </c>
      <c r="H61" s="35">
        <v>370</v>
      </c>
      <c r="I61" s="35">
        <v>84</v>
      </c>
      <c r="J61" s="35">
        <v>24</v>
      </c>
      <c r="K61" s="35">
        <v>13</v>
      </c>
      <c r="L61" s="35">
        <v>18</v>
      </c>
      <c r="M61" s="35">
        <v>252</v>
      </c>
      <c r="N61" s="35">
        <v>37</v>
      </c>
      <c r="O61" s="35">
        <v>547</v>
      </c>
      <c r="P61" s="35">
        <v>29</v>
      </c>
      <c r="Q61" s="35">
        <v>40</v>
      </c>
      <c r="R61" s="35">
        <v>17</v>
      </c>
      <c r="S61" s="35">
        <v>17</v>
      </c>
      <c r="T61" s="35">
        <v>65</v>
      </c>
      <c r="U61" s="35">
        <v>252</v>
      </c>
      <c r="V61" s="35">
        <f t="shared" si="0"/>
        <v>3841</v>
      </c>
      <c r="W61" s="35">
        <f t="shared" ref="W61:AP61" si="60">B61-B60</f>
        <v>0</v>
      </c>
      <c r="X61" s="35">
        <f t="shared" si="60"/>
        <v>0</v>
      </c>
      <c r="Y61" s="35">
        <f t="shared" si="60"/>
        <v>0</v>
      </c>
      <c r="Z61" s="35">
        <f t="shared" si="60"/>
        <v>0</v>
      </c>
      <c r="AA61" s="35">
        <f t="shared" si="60"/>
        <v>11</v>
      </c>
      <c r="AB61" s="35">
        <f t="shared" si="60"/>
        <v>0</v>
      </c>
      <c r="AC61" s="35">
        <f t="shared" si="60"/>
        <v>1</v>
      </c>
      <c r="AD61" s="35">
        <f t="shared" si="60"/>
        <v>0</v>
      </c>
      <c r="AE61" s="35">
        <f t="shared" si="60"/>
        <v>0</v>
      </c>
      <c r="AF61" s="35">
        <f t="shared" si="60"/>
        <v>0</v>
      </c>
      <c r="AG61" s="35">
        <f t="shared" si="60"/>
        <v>1</v>
      </c>
      <c r="AH61" s="35">
        <f t="shared" si="60"/>
        <v>2</v>
      </c>
      <c r="AI61" s="35">
        <f t="shared" si="60"/>
        <v>1</v>
      </c>
      <c r="AJ61" s="35">
        <f t="shared" si="60"/>
        <v>6</v>
      </c>
      <c r="AK61" s="35">
        <f t="shared" si="60"/>
        <v>0</v>
      </c>
      <c r="AL61" s="35">
        <f t="shared" si="60"/>
        <v>2</v>
      </c>
      <c r="AM61" s="35">
        <f t="shared" si="60"/>
        <v>0</v>
      </c>
      <c r="AN61" s="35">
        <f t="shared" si="60"/>
        <v>0</v>
      </c>
      <c r="AO61" s="35">
        <f t="shared" si="60"/>
        <v>0</v>
      </c>
      <c r="AP61" s="35">
        <f t="shared" si="60"/>
        <v>1</v>
      </c>
    </row>
    <row r="62" spans="1:42" ht="15.75" customHeight="1">
      <c r="A62" s="36">
        <v>43981</v>
      </c>
      <c r="B62" s="35">
        <v>24</v>
      </c>
      <c r="C62" s="35">
        <v>36</v>
      </c>
      <c r="D62" s="35">
        <v>11</v>
      </c>
      <c r="E62" s="35">
        <v>61</v>
      </c>
      <c r="F62" s="35">
        <v>1838</v>
      </c>
      <c r="G62" s="35">
        <v>115</v>
      </c>
      <c r="H62" s="35">
        <v>370</v>
      </c>
      <c r="I62" s="35">
        <v>84</v>
      </c>
      <c r="J62" s="35">
        <v>25</v>
      </c>
      <c r="K62" s="35">
        <v>14</v>
      </c>
      <c r="L62" s="35">
        <v>18</v>
      </c>
      <c r="M62" s="35">
        <v>259</v>
      </c>
      <c r="N62" s="35">
        <v>42</v>
      </c>
      <c r="O62" s="35">
        <v>550</v>
      </c>
      <c r="P62" s="35">
        <v>29</v>
      </c>
      <c r="Q62" s="35">
        <v>40</v>
      </c>
      <c r="R62" s="35">
        <v>17</v>
      </c>
      <c r="S62" s="35">
        <v>17</v>
      </c>
      <c r="T62" s="35">
        <v>65</v>
      </c>
      <c r="U62" s="35">
        <v>252</v>
      </c>
      <c r="V62" s="35">
        <f t="shared" si="0"/>
        <v>3867</v>
      </c>
      <c r="W62" s="35">
        <f t="shared" ref="W62:AP62" si="61">B62-B61</f>
        <v>0</v>
      </c>
      <c r="X62" s="35">
        <f t="shared" si="61"/>
        <v>0</v>
      </c>
      <c r="Y62" s="35">
        <f t="shared" si="61"/>
        <v>0</v>
      </c>
      <c r="Z62" s="35">
        <f t="shared" si="61"/>
        <v>0</v>
      </c>
      <c r="AA62" s="35">
        <f t="shared" si="61"/>
        <v>9</v>
      </c>
      <c r="AB62" s="35">
        <f t="shared" si="61"/>
        <v>0</v>
      </c>
      <c r="AC62" s="35">
        <f t="shared" si="61"/>
        <v>0</v>
      </c>
      <c r="AD62" s="35">
        <f t="shared" si="61"/>
        <v>0</v>
      </c>
      <c r="AE62" s="35">
        <f t="shared" si="61"/>
        <v>1</v>
      </c>
      <c r="AF62" s="35">
        <f t="shared" si="61"/>
        <v>1</v>
      </c>
      <c r="AG62" s="35">
        <f t="shared" si="61"/>
        <v>0</v>
      </c>
      <c r="AH62" s="35">
        <f t="shared" si="61"/>
        <v>7</v>
      </c>
      <c r="AI62" s="35">
        <f t="shared" si="61"/>
        <v>5</v>
      </c>
      <c r="AJ62" s="35">
        <f t="shared" si="61"/>
        <v>3</v>
      </c>
      <c r="AK62" s="35">
        <f t="shared" si="61"/>
        <v>0</v>
      </c>
      <c r="AL62" s="35">
        <f t="shared" si="61"/>
        <v>0</v>
      </c>
      <c r="AM62" s="35">
        <f t="shared" si="61"/>
        <v>0</v>
      </c>
      <c r="AN62" s="35">
        <f t="shared" si="61"/>
        <v>0</v>
      </c>
      <c r="AO62" s="35">
        <f t="shared" si="61"/>
        <v>0</v>
      </c>
      <c r="AP62" s="35">
        <f t="shared" si="61"/>
        <v>0</v>
      </c>
    </row>
    <row r="63" spans="1:42" ht="15.75" customHeight="1">
      <c r="A63" s="36">
        <v>43982</v>
      </c>
      <c r="B63" s="35">
        <v>24</v>
      </c>
      <c r="C63" s="35">
        <v>36</v>
      </c>
      <c r="D63" s="35">
        <v>11</v>
      </c>
      <c r="E63" s="35">
        <v>61</v>
      </c>
      <c r="F63" s="35">
        <v>1841</v>
      </c>
      <c r="G63" s="35">
        <v>115</v>
      </c>
      <c r="H63" s="35">
        <v>371</v>
      </c>
      <c r="I63" s="35">
        <v>85</v>
      </c>
      <c r="J63" s="35">
        <v>25</v>
      </c>
      <c r="K63" s="35">
        <v>14</v>
      </c>
      <c r="L63" s="35">
        <v>18</v>
      </c>
      <c r="M63" s="35">
        <v>259</v>
      </c>
      <c r="N63" s="35">
        <v>43</v>
      </c>
      <c r="O63" s="35">
        <v>552</v>
      </c>
      <c r="P63" s="35">
        <v>29</v>
      </c>
      <c r="Q63" s="35">
        <v>40</v>
      </c>
      <c r="R63" s="35">
        <v>17</v>
      </c>
      <c r="S63" s="35">
        <v>17</v>
      </c>
      <c r="T63" s="35">
        <v>65</v>
      </c>
      <c r="U63" s="35">
        <v>253</v>
      </c>
      <c r="V63" s="35">
        <f t="shared" si="0"/>
        <v>3876</v>
      </c>
      <c r="W63" s="35">
        <f t="shared" ref="W63:AP63" si="62">B63-B62</f>
        <v>0</v>
      </c>
      <c r="X63" s="35">
        <f t="shared" si="62"/>
        <v>0</v>
      </c>
      <c r="Y63" s="35">
        <f t="shared" si="62"/>
        <v>0</v>
      </c>
      <c r="Z63" s="35">
        <f t="shared" si="62"/>
        <v>0</v>
      </c>
      <c r="AA63" s="35">
        <f t="shared" si="62"/>
        <v>3</v>
      </c>
      <c r="AB63" s="35">
        <f t="shared" si="62"/>
        <v>0</v>
      </c>
      <c r="AC63" s="35">
        <f t="shared" si="62"/>
        <v>1</v>
      </c>
      <c r="AD63" s="35">
        <f t="shared" si="62"/>
        <v>1</v>
      </c>
      <c r="AE63" s="35">
        <f t="shared" si="62"/>
        <v>0</v>
      </c>
      <c r="AF63" s="35">
        <f t="shared" si="62"/>
        <v>0</v>
      </c>
      <c r="AG63" s="35">
        <f t="shared" si="62"/>
        <v>0</v>
      </c>
      <c r="AH63" s="35">
        <f t="shared" si="62"/>
        <v>0</v>
      </c>
      <c r="AI63" s="35">
        <f t="shared" si="62"/>
        <v>1</v>
      </c>
      <c r="AJ63" s="35">
        <f t="shared" si="62"/>
        <v>2</v>
      </c>
      <c r="AK63" s="35">
        <f t="shared" si="62"/>
        <v>0</v>
      </c>
      <c r="AL63" s="35">
        <f t="shared" si="62"/>
        <v>0</v>
      </c>
      <c r="AM63" s="35">
        <f t="shared" si="62"/>
        <v>0</v>
      </c>
      <c r="AN63" s="35">
        <f t="shared" si="62"/>
        <v>0</v>
      </c>
      <c r="AO63" s="35">
        <f t="shared" si="62"/>
        <v>0</v>
      </c>
      <c r="AP63" s="35">
        <f t="shared" si="62"/>
        <v>1</v>
      </c>
    </row>
    <row r="64" spans="1:42" ht="13">
      <c r="A64" s="36">
        <v>43983</v>
      </c>
      <c r="B64" s="35">
        <v>24</v>
      </c>
      <c r="C64" s="35">
        <v>36</v>
      </c>
      <c r="D64" s="35">
        <v>11</v>
      </c>
      <c r="E64" s="35">
        <v>61</v>
      </c>
      <c r="F64" s="35">
        <v>1848</v>
      </c>
      <c r="G64" s="35">
        <v>115</v>
      </c>
      <c r="H64" s="35">
        <v>371</v>
      </c>
      <c r="I64" s="35">
        <v>85</v>
      </c>
      <c r="J64" s="35">
        <v>25</v>
      </c>
      <c r="K64" s="35">
        <v>14</v>
      </c>
      <c r="L64" s="35">
        <v>18</v>
      </c>
      <c r="M64" s="35">
        <v>262</v>
      </c>
      <c r="N64" s="35">
        <v>43</v>
      </c>
      <c r="O64" s="35">
        <v>554</v>
      </c>
      <c r="P64" s="35">
        <v>29</v>
      </c>
      <c r="Q64" s="35">
        <v>41</v>
      </c>
      <c r="R64" s="35">
        <v>17</v>
      </c>
      <c r="S64" s="35">
        <v>17</v>
      </c>
      <c r="T64" s="35">
        <v>66</v>
      </c>
      <c r="U64" s="35">
        <v>255</v>
      </c>
      <c r="V64" s="35">
        <f t="shared" si="0"/>
        <v>3892</v>
      </c>
      <c r="W64" s="35">
        <f t="shared" ref="W64:AP64" si="63">B64-B63</f>
        <v>0</v>
      </c>
      <c r="X64" s="35">
        <f t="shared" si="63"/>
        <v>0</v>
      </c>
      <c r="Y64" s="35">
        <f t="shared" si="63"/>
        <v>0</v>
      </c>
      <c r="Z64" s="35">
        <f t="shared" si="63"/>
        <v>0</v>
      </c>
      <c r="AA64" s="35">
        <f t="shared" si="63"/>
        <v>7</v>
      </c>
      <c r="AB64" s="35">
        <f t="shared" si="63"/>
        <v>0</v>
      </c>
      <c r="AC64" s="35">
        <f t="shared" si="63"/>
        <v>0</v>
      </c>
      <c r="AD64" s="35">
        <f t="shared" si="63"/>
        <v>0</v>
      </c>
      <c r="AE64" s="35">
        <f t="shared" si="63"/>
        <v>0</v>
      </c>
      <c r="AF64" s="35">
        <f t="shared" si="63"/>
        <v>0</v>
      </c>
      <c r="AG64" s="35">
        <f t="shared" si="63"/>
        <v>0</v>
      </c>
      <c r="AH64" s="35">
        <f t="shared" si="63"/>
        <v>3</v>
      </c>
      <c r="AI64" s="35">
        <f t="shared" si="63"/>
        <v>0</v>
      </c>
      <c r="AJ64" s="35">
        <f t="shared" si="63"/>
        <v>2</v>
      </c>
      <c r="AK64" s="35">
        <f t="shared" si="63"/>
        <v>0</v>
      </c>
      <c r="AL64" s="35">
        <f t="shared" si="63"/>
        <v>1</v>
      </c>
      <c r="AM64" s="35">
        <f t="shared" si="63"/>
        <v>0</v>
      </c>
      <c r="AN64" s="35">
        <f t="shared" si="63"/>
        <v>0</v>
      </c>
      <c r="AO64" s="35">
        <f t="shared" si="63"/>
        <v>1</v>
      </c>
      <c r="AP64" s="35">
        <f t="shared" si="63"/>
        <v>2</v>
      </c>
    </row>
    <row r="65" spans="1:42" ht="13">
      <c r="A65" s="36">
        <v>43984</v>
      </c>
      <c r="B65" s="35">
        <v>24</v>
      </c>
      <c r="C65" s="35">
        <v>36</v>
      </c>
      <c r="D65" s="35">
        <v>11</v>
      </c>
      <c r="E65" s="35">
        <v>61</v>
      </c>
      <c r="F65" s="35">
        <v>1866</v>
      </c>
      <c r="G65" s="35">
        <v>115</v>
      </c>
      <c r="H65" s="35">
        <v>371</v>
      </c>
      <c r="I65" s="35">
        <v>85</v>
      </c>
      <c r="J65" s="35">
        <v>25</v>
      </c>
      <c r="K65" s="35">
        <v>14</v>
      </c>
      <c r="L65" s="35">
        <v>18</v>
      </c>
      <c r="M65" s="35">
        <v>264</v>
      </c>
      <c r="N65" s="35">
        <v>43</v>
      </c>
      <c r="O65" s="35">
        <v>563</v>
      </c>
      <c r="P65" s="35">
        <v>29</v>
      </c>
      <c r="Q65" s="35">
        <v>41</v>
      </c>
      <c r="R65" s="35">
        <v>17</v>
      </c>
      <c r="S65" s="35">
        <v>17</v>
      </c>
      <c r="T65" s="35">
        <v>66</v>
      </c>
      <c r="U65" s="35">
        <v>255</v>
      </c>
      <c r="V65" s="35">
        <f t="shared" si="0"/>
        <v>3921</v>
      </c>
      <c r="W65" s="35">
        <f t="shared" ref="W65:AP65" si="64">B65-B64</f>
        <v>0</v>
      </c>
      <c r="X65" s="35">
        <f t="shared" si="64"/>
        <v>0</v>
      </c>
      <c r="Y65" s="35">
        <f t="shared" si="64"/>
        <v>0</v>
      </c>
      <c r="Z65" s="35">
        <f t="shared" si="64"/>
        <v>0</v>
      </c>
      <c r="AA65" s="35">
        <f t="shared" si="64"/>
        <v>18</v>
      </c>
      <c r="AB65" s="35">
        <f t="shared" si="64"/>
        <v>0</v>
      </c>
      <c r="AC65" s="35">
        <f t="shared" si="64"/>
        <v>0</v>
      </c>
      <c r="AD65" s="35">
        <f t="shared" si="64"/>
        <v>0</v>
      </c>
      <c r="AE65" s="35">
        <f t="shared" si="64"/>
        <v>0</v>
      </c>
      <c r="AF65" s="35">
        <f t="shared" si="64"/>
        <v>0</v>
      </c>
      <c r="AG65" s="35">
        <f t="shared" si="64"/>
        <v>0</v>
      </c>
      <c r="AH65" s="35">
        <f t="shared" si="64"/>
        <v>2</v>
      </c>
      <c r="AI65" s="35">
        <f t="shared" si="64"/>
        <v>0</v>
      </c>
      <c r="AJ65" s="35">
        <f t="shared" si="64"/>
        <v>9</v>
      </c>
      <c r="AK65" s="35">
        <f t="shared" si="64"/>
        <v>0</v>
      </c>
      <c r="AL65" s="35">
        <f t="shared" si="64"/>
        <v>0</v>
      </c>
      <c r="AM65" s="35">
        <f t="shared" si="64"/>
        <v>0</v>
      </c>
      <c r="AN65" s="35">
        <f t="shared" si="64"/>
        <v>0</v>
      </c>
      <c r="AO65" s="35">
        <f t="shared" si="64"/>
        <v>0</v>
      </c>
      <c r="AP65" s="35">
        <f t="shared" si="64"/>
        <v>0</v>
      </c>
    </row>
    <row r="66" spans="1:42" ht="13">
      <c r="A66" s="36">
        <v>43985</v>
      </c>
      <c r="B66" s="35">
        <v>24</v>
      </c>
      <c r="C66" s="35">
        <v>36</v>
      </c>
      <c r="D66" s="35">
        <v>11</v>
      </c>
      <c r="E66" s="35">
        <v>61</v>
      </c>
      <c r="F66" s="35">
        <v>1868</v>
      </c>
      <c r="G66" s="35">
        <v>115</v>
      </c>
      <c r="H66" s="35">
        <v>371</v>
      </c>
      <c r="I66" s="35">
        <v>85</v>
      </c>
      <c r="J66" s="35">
        <v>25</v>
      </c>
      <c r="K66" s="35">
        <v>13</v>
      </c>
      <c r="L66" s="35">
        <v>18</v>
      </c>
      <c r="M66" s="35">
        <v>268</v>
      </c>
      <c r="N66" s="35">
        <v>47</v>
      </c>
      <c r="O66" s="35">
        <v>563</v>
      </c>
      <c r="P66" s="35">
        <v>29</v>
      </c>
      <c r="Q66" s="35">
        <v>42</v>
      </c>
      <c r="R66" s="35">
        <v>17</v>
      </c>
      <c r="S66" s="35">
        <v>17</v>
      </c>
      <c r="T66" s="35">
        <v>66</v>
      </c>
      <c r="U66" s="35">
        <v>255</v>
      </c>
      <c r="V66" s="35">
        <f t="shared" si="0"/>
        <v>3931</v>
      </c>
      <c r="W66" s="35">
        <f t="shared" ref="W66:AP66" si="65">B66-B65</f>
        <v>0</v>
      </c>
      <c r="X66" s="35">
        <f t="shared" si="65"/>
        <v>0</v>
      </c>
      <c r="Y66" s="35">
        <f t="shared" si="65"/>
        <v>0</v>
      </c>
      <c r="Z66" s="35">
        <f t="shared" si="65"/>
        <v>0</v>
      </c>
      <c r="AA66" s="35">
        <f t="shared" si="65"/>
        <v>2</v>
      </c>
      <c r="AB66" s="35">
        <f t="shared" si="65"/>
        <v>0</v>
      </c>
      <c r="AC66" s="35">
        <f t="shared" si="65"/>
        <v>0</v>
      </c>
      <c r="AD66" s="35">
        <f t="shared" si="65"/>
        <v>0</v>
      </c>
      <c r="AE66" s="35">
        <f t="shared" si="65"/>
        <v>0</v>
      </c>
      <c r="AF66" s="35">
        <f t="shared" si="65"/>
        <v>-1</v>
      </c>
      <c r="AG66" s="35">
        <f t="shared" si="65"/>
        <v>0</v>
      </c>
      <c r="AH66" s="35">
        <f t="shared" si="65"/>
        <v>4</v>
      </c>
      <c r="AI66" s="35">
        <f t="shared" si="65"/>
        <v>4</v>
      </c>
      <c r="AJ66" s="35">
        <f t="shared" si="65"/>
        <v>0</v>
      </c>
      <c r="AK66" s="35">
        <f t="shared" si="65"/>
        <v>0</v>
      </c>
      <c r="AL66" s="35">
        <f t="shared" si="65"/>
        <v>1</v>
      </c>
      <c r="AM66" s="35">
        <f t="shared" si="65"/>
        <v>0</v>
      </c>
      <c r="AN66" s="35">
        <f t="shared" si="65"/>
        <v>0</v>
      </c>
      <c r="AO66" s="35">
        <f t="shared" si="65"/>
        <v>0</v>
      </c>
      <c r="AP66" s="35">
        <f t="shared" si="65"/>
        <v>0</v>
      </c>
    </row>
    <row r="67" spans="1:42" ht="13">
      <c r="A67" s="36">
        <v>43986</v>
      </c>
      <c r="B67" s="35">
        <v>24</v>
      </c>
      <c r="C67" s="35">
        <v>36</v>
      </c>
      <c r="D67" s="35">
        <v>11</v>
      </c>
      <c r="E67" s="35">
        <v>61</v>
      </c>
      <c r="F67" s="35">
        <v>1880</v>
      </c>
      <c r="G67" s="35">
        <v>115</v>
      </c>
      <c r="H67" s="35">
        <v>371</v>
      </c>
      <c r="I67" s="35">
        <v>85</v>
      </c>
      <c r="J67" s="35">
        <v>25</v>
      </c>
      <c r="K67" s="35">
        <v>14</v>
      </c>
      <c r="L67" s="35">
        <v>18</v>
      </c>
      <c r="M67" s="35">
        <v>272</v>
      </c>
      <c r="N67" s="35">
        <v>47</v>
      </c>
      <c r="O67" s="35">
        <v>567</v>
      </c>
      <c r="P67" s="35">
        <v>29</v>
      </c>
      <c r="Q67" s="35">
        <v>43</v>
      </c>
      <c r="R67" s="35">
        <v>17</v>
      </c>
      <c r="S67" s="35">
        <v>17</v>
      </c>
      <c r="T67" s="35">
        <v>66</v>
      </c>
      <c r="U67" s="35">
        <v>256</v>
      </c>
      <c r="V67" s="35">
        <f t="shared" si="0"/>
        <v>3954</v>
      </c>
      <c r="W67" s="35">
        <f t="shared" ref="W67:AP67" si="66">B67-B66</f>
        <v>0</v>
      </c>
      <c r="X67" s="35">
        <f t="shared" si="66"/>
        <v>0</v>
      </c>
      <c r="Y67" s="35">
        <f t="shared" si="66"/>
        <v>0</v>
      </c>
      <c r="Z67" s="35">
        <f t="shared" si="66"/>
        <v>0</v>
      </c>
      <c r="AA67" s="35">
        <f t="shared" si="66"/>
        <v>12</v>
      </c>
      <c r="AB67" s="35">
        <f t="shared" si="66"/>
        <v>0</v>
      </c>
      <c r="AC67" s="35">
        <f t="shared" si="66"/>
        <v>0</v>
      </c>
      <c r="AD67" s="35">
        <f t="shared" si="66"/>
        <v>0</v>
      </c>
      <c r="AE67" s="35">
        <f t="shared" si="66"/>
        <v>0</v>
      </c>
      <c r="AF67" s="35">
        <f t="shared" si="66"/>
        <v>1</v>
      </c>
      <c r="AG67" s="35">
        <f t="shared" si="66"/>
        <v>0</v>
      </c>
      <c r="AH67" s="35">
        <f t="shared" si="66"/>
        <v>4</v>
      </c>
      <c r="AI67" s="35">
        <f t="shared" si="66"/>
        <v>0</v>
      </c>
      <c r="AJ67" s="35">
        <f t="shared" si="66"/>
        <v>4</v>
      </c>
      <c r="AK67" s="35">
        <f t="shared" si="66"/>
        <v>0</v>
      </c>
      <c r="AL67" s="35">
        <f t="shared" si="66"/>
        <v>1</v>
      </c>
      <c r="AM67" s="35">
        <f t="shared" si="66"/>
        <v>0</v>
      </c>
      <c r="AN67" s="35">
        <f t="shared" si="66"/>
        <v>0</v>
      </c>
      <c r="AO67" s="35">
        <f t="shared" si="66"/>
        <v>0</v>
      </c>
      <c r="AP67" s="35">
        <f t="shared" si="66"/>
        <v>1</v>
      </c>
    </row>
    <row r="68" spans="1:42" ht="13">
      <c r="A68" s="36">
        <v>43987</v>
      </c>
      <c r="B68" s="35">
        <v>24</v>
      </c>
      <c r="C68" s="35">
        <v>36</v>
      </c>
      <c r="D68" s="35">
        <v>11</v>
      </c>
      <c r="E68" s="35">
        <v>61</v>
      </c>
      <c r="F68" s="38">
        <v>1886</v>
      </c>
      <c r="G68" s="35">
        <v>115</v>
      </c>
      <c r="H68" s="35">
        <v>371</v>
      </c>
      <c r="I68" s="35">
        <v>85</v>
      </c>
      <c r="J68" s="35">
        <v>25</v>
      </c>
      <c r="K68" s="38">
        <v>14</v>
      </c>
      <c r="L68" s="38">
        <v>18</v>
      </c>
      <c r="M68" s="38">
        <v>273</v>
      </c>
      <c r="N68" s="38">
        <v>47</v>
      </c>
      <c r="O68" s="38">
        <v>575</v>
      </c>
      <c r="P68" s="38">
        <v>29</v>
      </c>
      <c r="Q68" s="38">
        <v>43</v>
      </c>
      <c r="R68" s="38">
        <v>17</v>
      </c>
      <c r="S68" s="38">
        <v>17</v>
      </c>
      <c r="T68" s="38">
        <v>66</v>
      </c>
      <c r="U68" s="38">
        <v>257</v>
      </c>
      <c r="V68" s="35">
        <f t="shared" si="0"/>
        <v>3970</v>
      </c>
      <c r="W68" s="35">
        <f t="shared" ref="W68:AP68" si="67">B68-B67</f>
        <v>0</v>
      </c>
      <c r="X68" s="35">
        <f t="shared" si="67"/>
        <v>0</v>
      </c>
      <c r="Y68" s="35">
        <f t="shared" si="67"/>
        <v>0</v>
      </c>
      <c r="Z68" s="35">
        <f t="shared" si="67"/>
        <v>0</v>
      </c>
      <c r="AA68" s="35">
        <f t="shared" si="67"/>
        <v>6</v>
      </c>
      <c r="AB68" s="35">
        <f t="shared" si="67"/>
        <v>0</v>
      </c>
      <c r="AC68" s="35">
        <f t="shared" si="67"/>
        <v>0</v>
      </c>
      <c r="AD68" s="35">
        <f t="shared" si="67"/>
        <v>0</v>
      </c>
      <c r="AE68" s="35">
        <f t="shared" si="67"/>
        <v>0</v>
      </c>
      <c r="AF68" s="35">
        <f t="shared" si="67"/>
        <v>0</v>
      </c>
      <c r="AG68" s="35">
        <f t="shared" si="67"/>
        <v>0</v>
      </c>
      <c r="AH68" s="35">
        <f t="shared" si="67"/>
        <v>1</v>
      </c>
      <c r="AI68" s="35">
        <f t="shared" si="67"/>
        <v>0</v>
      </c>
      <c r="AJ68" s="35">
        <f t="shared" si="67"/>
        <v>8</v>
      </c>
      <c r="AK68" s="35">
        <f t="shared" si="67"/>
        <v>0</v>
      </c>
      <c r="AL68" s="35">
        <f t="shared" si="67"/>
        <v>0</v>
      </c>
      <c r="AM68" s="35">
        <f t="shared" si="67"/>
        <v>0</v>
      </c>
      <c r="AN68" s="35">
        <f t="shared" si="67"/>
        <v>0</v>
      </c>
      <c r="AO68" s="35">
        <f t="shared" si="67"/>
        <v>0</v>
      </c>
      <c r="AP68" s="35">
        <f t="shared" si="67"/>
        <v>1</v>
      </c>
    </row>
    <row r="69" spans="1:42" ht="13">
      <c r="A69" s="36">
        <v>43988</v>
      </c>
      <c r="B69" s="35">
        <v>24</v>
      </c>
      <c r="C69" s="35">
        <v>37</v>
      </c>
      <c r="D69" s="35">
        <v>11</v>
      </c>
      <c r="E69" s="35">
        <v>61</v>
      </c>
      <c r="F69" s="35">
        <v>1898</v>
      </c>
      <c r="G69" s="35">
        <v>115</v>
      </c>
      <c r="H69" s="35">
        <v>373</v>
      </c>
      <c r="I69" s="35">
        <v>85</v>
      </c>
      <c r="J69" s="35">
        <v>25</v>
      </c>
      <c r="K69" s="35">
        <v>14</v>
      </c>
      <c r="L69" s="35">
        <v>17</v>
      </c>
      <c r="M69" s="35">
        <v>278</v>
      </c>
      <c r="N69" s="35">
        <v>50</v>
      </c>
      <c r="O69" s="35">
        <v>579</v>
      </c>
      <c r="P69" s="35">
        <v>22</v>
      </c>
      <c r="Q69" s="35">
        <v>43</v>
      </c>
      <c r="R69" s="35">
        <v>17</v>
      </c>
      <c r="S69" s="35">
        <v>17</v>
      </c>
      <c r="T69" s="35">
        <v>66</v>
      </c>
      <c r="U69" s="35">
        <v>258</v>
      </c>
      <c r="V69" s="35">
        <f t="shared" si="0"/>
        <v>3990</v>
      </c>
      <c r="W69" s="35">
        <f t="shared" ref="W69:AP69" si="68">B69-B68</f>
        <v>0</v>
      </c>
      <c r="X69" s="35">
        <f t="shared" si="68"/>
        <v>1</v>
      </c>
      <c r="Y69" s="35">
        <f t="shared" si="68"/>
        <v>0</v>
      </c>
      <c r="Z69" s="35">
        <f t="shared" si="68"/>
        <v>0</v>
      </c>
      <c r="AA69" s="35">
        <f t="shared" si="68"/>
        <v>12</v>
      </c>
      <c r="AB69" s="35">
        <f t="shared" si="68"/>
        <v>0</v>
      </c>
      <c r="AC69" s="35">
        <f t="shared" si="68"/>
        <v>2</v>
      </c>
      <c r="AD69" s="35">
        <f t="shared" si="68"/>
        <v>0</v>
      </c>
      <c r="AE69" s="35">
        <f t="shared" si="68"/>
        <v>0</v>
      </c>
      <c r="AF69" s="35">
        <f t="shared" si="68"/>
        <v>0</v>
      </c>
      <c r="AG69" s="35">
        <f t="shared" si="68"/>
        <v>-1</v>
      </c>
      <c r="AH69" s="35">
        <f t="shared" si="68"/>
        <v>5</v>
      </c>
      <c r="AI69" s="35">
        <f t="shared" si="68"/>
        <v>3</v>
      </c>
      <c r="AJ69" s="35">
        <f t="shared" si="68"/>
        <v>4</v>
      </c>
      <c r="AK69" s="35">
        <f t="shared" si="68"/>
        <v>-7</v>
      </c>
      <c r="AL69" s="35">
        <f t="shared" si="68"/>
        <v>0</v>
      </c>
      <c r="AM69" s="35">
        <f t="shared" si="68"/>
        <v>0</v>
      </c>
      <c r="AN69" s="35">
        <f t="shared" si="68"/>
        <v>0</v>
      </c>
      <c r="AO69" s="35">
        <f t="shared" si="68"/>
        <v>0</v>
      </c>
      <c r="AP69" s="35">
        <f t="shared" si="68"/>
        <v>1</v>
      </c>
    </row>
    <row r="70" spans="1:42" ht="13">
      <c r="A70" s="36">
        <v>43989</v>
      </c>
      <c r="B70" s="35">
        <v>24</v>
      </c>
      <c r="C70" s="35">
        <v>37</v>
      </c>
      <c r="D70" s="35">
        <v>11</v>
      </c>
      <c r="E70" s="35">
        <v>62</v>
      </c>
      <c r="F70" s="35">
        <v>1903</v>
      </c>
      <c r="G70" s="35">
        <v>115</v>
      </c>
      <c r="H70" s="35">
        <v>374</v>
      </c>
      <c r="I70" s="35">
        <v>85</v>
      </c>
      <c r="J70" s="35">
        <v>25</v>
      </c>
      <c r="K70" s="35">
        <v>14</v>
      </c>
      <c r="L70" s="35">
        <v>17</v>
      </c>
      <c r="M70" s="35">
        <v>283</v>
      </c>
      <c r="N70" s="35">
        <v>52</v>
      </c>
      <c r="O70" s="35">
        <v>582</v>
      </c>
      <c r="P70" s="35">
        <v>22</v>
      </c>
      <c r="Q70" s="35">
        <v>43</v>
      </c>
      <c r="R70" s="35">
        <v>17</v>
      </c>
      <c r="S70" s="35">
        <v>17</v>
      </c>
      <c r="T70" s="35">
        <v>66</v>
      </c>
      <c r="U70" s="35">
        <v>259</v>
      </c>
      <c r="V70" s="35">
        <f t="shared" si="0"/>
        <v>4008</v>
      </c>
      <c r="W70" s="35">
        <f t="shared" ref="W70:AP70" si="69">B70-B69</f>
        <v>0</v>
      </c>
      <c r="X70" s="35">
        <f t="shared" si="69"/>
        <v>0</v>
      </c>
      <c r="Y70" s="35">
        <f t="shared" si="69"/>
        <v>0</v>
      </c>
      <c r="Z70" s="35">
        <f t="shared" si="69"/>
        <v>1</v>
      </c>
      <c r="AA70" s="35">
        <f t="shared" si="69"/>
        <v>5</v>
      </c>
      <c r="AB70" s="35">
        <f t="shared" si="69"/>
        <v>0</v>
      </c>
      <c r="AC70" s="35">
        <f t="shared" si="69"/>
        <v>1</v>
      </c>
      <c r="AD70" s="35">
        <f t="shared" si="69"/>
        <v>0</v>
      </c>
      <c r="AE70" s="35">
        <f t="shared" si="69"/>
        <v>0</v>
      </c>
      <c r="AF70" s="35">
        <f t="shared" si="69"/>
        <v>0</v>
      </c>
      <c r="AG70" s="35">
        <f t="shared" si="69"/>
        <v>0</v>
      </c>
      <c r="AH70" s="35">
        <f t="shared" si="69"/>
        <v>5</v>
      </c>
      <c r="AI70" s="35">
        <f t="shared" si="69"/>
        <v>2</v>
      </c>
      <c r="AJ70" s="35">
        <f t="shared" si="69"/>
        <v>3</v>
      </c>
      <c r="AK70" s="35">
        <f t="shared" si="69"/>
        <v>0</v>
      </c>
      <c r="AL70" s="35">
        <f t="shared" si="69"/>
        <v>0</v>
      </c>
      <c r="AM70" s="35">
        <f t="shared" si="69"/>
        <v>0</v>
      </c>
      <c r="AN70" s="35">
        <f t="shared" si="69"/>
        <v>0</v>
      </c>
      <c r="AO70" s="35">
        <f t="shared" si="69"/>
        <v>0</v>
      </c>
      <c r="AP70" s="35">
        <f t="shared" si="69"/>
        <v>1</v>
      </c>
    </row>
    <row r="71" spans="1:42" ht="13">
      <c r="A71" s="36">
        <v>43990</v>
      </c>
      <c r="B71" s="35">
        <v>24</v>
      </c>
      <c r="C71" s="35">
        <v>37</v>
      </c>
      <c r="D71" s="35">
        <v>11</v>
      </c>
      <c r="E71" s="35">
        <v>62</v>
      </c>
      <c r="F71" s="35">
        <v>1906</v>
      </c>
      <c r="G71" s="35">
        <v>115</v>
      </c>
      <c r="H71" s="35">
        <v>374</v>
      </c>
      <c r="I71" s="35">
        <v>85</v>
      </c>
      <c r="J71" s="35">
        <v>25</v>
      </c>
      <c r="K71" s="35">
        <v>14</v>
      </c>
      <c r="L71" s="35">
        <v>17</v>
      </c>
      <c r="M71" s="35">
        <v>283</v>
      </c>
      <c r="N71" s="35">
        <v>52</v>
      </c>
      <c r="O71" s="35">
        <v>584</v>
      </c>
      <c r="P71" s="35">
        <v>22</v>
      </c>
      <c r="Q71" s="35">
        <v>44</v>
      </c>
      <c r="R71" s="35">
        <v>17</v>
      </c>
      <c r="S71" s="35">
        <v>17</v>
      </c>
      <c r="T71" s="35">
        <v>66</v>
      </c>
      <c r="U71" s="35">
        <v>259</v>
      </c>
      <c r="V71" s="35">
        <f t="shared" si="0"/>
        <v>4014</v>
      </c>
      <c r="W71" s="35">
        <f t="shared" ref="W71:AP71" si="70">B71-B70</f>
        <v>0</v>
      </c>
      <c r="X71" s="35">
        <f t="shared" si="70"/>
        <v>0</v>
      </c>
      <c r="Y71" s="35">
        <f t="shared" si="70"/>
        <v>0</v>
      </c>
      <c r="Z71" s="35">
        <f t="shared" si="70"/>
        <v>0</v>
      </c>
      <c r="AA71" s="35">
        <f t="shared" si="70"/>
        <v>3</v>
      </c>
      <c r="AB71" s="35">
        <f t="shared" si="70"/>
        <v>0</v>
      </c>
      <c r="AC71" s="35">
        <f t="shared" si="70"/>
        <v>0</v>
      </c>
      <c r="AD71" s="35">
        <f t="shared" si="70"/>
        <v>0</v>
      </c>
      <c r="AE71" s="35">
        <f t="shared" si="70"/>
        <v>0</v>
      </c>
      <c r="AF71" s="35">
        <f t="shared" si="70"/>
        <v>0</v>
      </c>
      <c r="AG71" s="35">
        <f t="shared" si="70"/>
        <v>0</v>
      </c>
      <c r="AH71" s="35">
        <f t="shared" si="70"/>
        <v>0</v>
      </c>
      <c r="AI71" s="35">
        <f t="shared" si="70"/>
        <v>0</v>
      </c>
      <c r="AJ71" s="35">
        <f t="shared" si="70"/>
        <v>2</v>
      </c>
      <c r="AK71" s="35">
        <f t="shared" si="70"/>
        <v>0</v>
      </c>
      <c r="AL71" s="35">
        <f t="shared" si="70"/>
        <v>1</v>
      </c>
      <c r="AM71" s="35">
        <f t="shared" si="70"/>
        <v>0</v>
      </c>
      <c r="AN71" s="35">
        <f t="shared" si="70"/>
        <v>0</v>
      </c>
      <c r="AO71" s="35">
        <f t="shared" si="70"/>
        <v>0</v>
      </c>
      <c r="AP71" s="35">
        <f t="shared" si="70"/>
        <v>0</v>
      </c>
    </row>
    <row r="72" spans="1:42" ht="13">
      <c r="A72" s="36">
        <v>43991</v>
      </c>
      <c r="B72" s="38">
        <v>24</v>
      </c>
      <c r="C72" s="35">
        <v>37</v>
      </c>
      <c r="D72" s="35">
        <v>11</v>
      </c>
      <c r="E72" s="35">
        <v>62</v>
      </c>
      <c r="F72" s="38">
        <v>1906</v>
      </c>
      <c r="G72" s="35">
        <v>115</v>
      </c>
      <c r="H72" s="35">
        <v>374</v>
      </c>
      <c r="I72" s="35">
        <v>85</v>
      </c>
      <c r="J72" s="38">
        <v>25</v>
      </c>
      <c r="K72" s="35">
        <v>14</v>
      </c>
      <c r="L72" s="35">
        <v>17</v>
      </c>
      <c r="M72" s="38">
        <v>285</v>
      </c>
      <c r="N72" s="35">
        <v>52</v>
      </c>
      <c r="O72" s="38">
        <v>585</v>
      </c>
      <c r="P72" s="35">
        <v>22</v>
      </c>
      <c r="Q72" s="35">
        <v>44</v>
      </c>
      <c r="R72" s="38">
        <v>17</v>
      </c>
      <c r="S72" s="35">
        <v>17</v>
      </c>
      <c r="T72" s="38">
        <v>66</v>
      </c>
      <c r="U72" s="35">
        <v>259</v>
      </c>
      <c r="V72" s="38">
        <v>4017</v>
      </c>
      <c r="W72" s="35">
        <f t="shared" ref="W72:AP72" si="71">B72-B71</f>
        <v>0</v>
      </c>
      <c r="X72" s="35">
        <f t="shared" si="71"/>
        <v>0</v>
      </c>
      <c r="Y72" s="35">
        <f t="shared" si="71"/>
        <v>0</v>
      </c>
      <c r="Z72" s="35">
        <f t="shared" si="71"/>
        <v>0</v>
      </c>
      <c r="AA72" s="35">
        <f t="shared" si="71"/>
        <v>0</v>
      </c>
      <c r="AB72" s="35">
        <f t="shared" si="71"/>
        <v>0</v>
      </c>
      <c r="AC72" s="35">
        <f t="shared" si="71"/>
        <v>0</v>
      </c>
      <c r="AD72" s="35">
        <f t="shared" si="71"/>
        <v>0</v>
      </c>
      <c r="AE72" s="35">
        <f t="shared" si="71"/>
        <v>0</v>
      </c>
      <c r="AF72" s="35">
        <f t="shared" si="71"/>
        <v>0</v>
      </c>
      <c r="AG72" s="35">
        <f t="shared" si="71"/>
        <v>0</v>
      </c>
      <c r="AH72" s="35">
        <f t="shared" si="71"/>
        <v>2</v>
      </c>
      <c r="AI72" s="35">
        <f t="shared" si="71"/>
        <v>0</v>
      </c>
      <c r="AJ72" s="35">
        <f t="shared" si="71"/>
        <v>1</v>
      </c>
      <c r="AK72" s="35">
        <f t="shared" si="71"/>
        <v>0</v>
      </c>
      <c r="AL72" s="35">
        <f t="shared" si="71"/>
        <v>0</v>
      </c>
      <c r="AM72" s="35">
        <f t="shared" si="71"/>
        <v>0</v>
      </c>
      <c r="AN72" s="35">
        <f t="shared" si="71"/>
        <v>0</v>
      </c>
      <c r="AO72" s="35">
        <f t="shared" si="71"/>
        <v>0</v>
      </c>
      <c r="AP72" s="35">
        <f t="shared" si="71"/>
        <v>0</v>
      </c>
    </row>
    <row r="73" spans="1:42" ht="13">
      <c r="A73" s="36">
        <v>43992</v>
      </c>
      <c r="B73" s="35">
        <v>24</v>
      </c>
      <c r="C73" s="35">
        <v>38</v>
      </c>
      <c r="D73" s="35">
        <v>11</v>
      </c>
      <c r="E73" s="35">
        <v>62</v>
      </c>
      <c r="F73" s="35">
        <v>1910</v>
      </c>
      <c r="G73" s="35">
        <v>115</v>
      </c>
      <c r="H73" s="35">
        <v>374</v>
      </c>
      <c r="I73" s="35">
        <v>85</v>
      </c>
      <c r="J73" s="35">
        <v>26</v>
      </c>
      <c r="K73" s="35">
        <v>14</v>
      </c>
      <c r="L73" s="35">
        <v>17</v>
      </c>
      <c r="M73" s="35">
        <v>287</v>
      </c>
      <c r="N73" s="35">
        <v>52</v>
      </c>
      <c r="O73" s="35">
        <v>589</v>
      </c>
      <c r="P73" s="35">
        <v>22</v>
      </c>
      <c r="Q73" s="35">
        <v>44</v>
      </c>
      <c r="R73" s="35">
        <v>14</v>
      </c>
      <c r="S73" s="35">
        <v>17</v>
      </c>
      <c r="T73" s="35">
        <v>67</v>
      </c>
      <c r="U73" s="35">
        <v>259</v>
      </c>
      <c r="V73" s="35">
        <v>4027</v>
      </c>
      <c r="W73" s="35">
        <f t="shared" ref="W73:AP73" si="72">B73-B72</f>
        <v>0</v>
      </c>
      <c r="X73" s="35">
        <f t="shared" si="72"/>
        <v>1</v>
      </c>
      <c r="Y73" s="35">
        <f t="shared" si="72"/>
        <v>0</v>
      </c>
      <c r="Z73" s="35">
        <f t="shared" si="72"/>
        <v>0</v>
      </c>
      <c r="AA73" s="35">
        <f t="shared" si="72"/>
        <v>4</v>
      </c>
      <c r="AB73" s="35">
        <f t="shared" si="72"/>
        <v>0</v>
      </c>
      <c r="AC73" s="35">
        <f t="shared" si="72"/>
        <v>0</v>
      </c>
      <c r="AD73" s="35">
        <f t="shared" si="72"/>
        <v>0</v>
      </c>
      <c r="AE73" s="35">
        <f t="shared" si="72"/>
        <v>1</v>
      </c>
      <c r="AF73" s="35">
        <f t="shared" si="72"/>
        <v>0</v>
      </c>
      <c r="AG73" s="35">
        <f t="shared" si="72"/>
        <v>0</v>
      </c>
      <c r="AH73" s="35">
        <f t="shared" si="72"/>
        <v>2</v>
      </c>
      <c r="AI73" s="35">
        <f t="shared" si="72"/>
        <v>0</v>
      </c>
      <c r="AJ73" s="35">
        <f t="shared" si="72"/>
        <v>4</v>
      </c>
      <c r="AK73" s="35">
        <f t="shared" si="72"/>
        <v>0</v>
      </c>
      <c r="AL73" s="35">
        <f t="shared" si="72"/>
        <v>0</v>
      </c>
      <c r="AM73" s="35">
        <f t="shared" si="72"/>
        <v>-3</v>
      </c>
      <c r="AN73" s="35">
        <f t="shared" si="72"/>
        <v>0</v>
      </c>
      <c r="AO73" s="35">
        <f t="shared" si="72"/>
        <v>1</v>
      </c>
      <c r="AP73" s="35">
        <f t="shared" si="72"/>
        <v>0</v>
      </c>
    </row>
    <row r="74" spans="1:42" ht="13">
      <c r="A74" s="36">
        <v>43993</v>
      </c>
      <c r="B74" s="35">
        <v>20</v>
      </c>
      <c r="C74" s="35">
        <v>37</v>
      </c>
      <c r="D74" s="35">
        <v>11</v>
      </c>
      <c r="E74" s="35">
        <v>62</v>
      </c>
      <c r="F74" s="35">
        <v>1917</v>
      </c>
      <c r="G74" s="35">
        <v>116</v>
      </c>
      <c r="H74" s="35">
        <v>374</v>
      </c>
      <c r="I74" s="35">
        <v>85</v>
      </c>
      <c r="J74" s="35">
        <v>27</v>
      </c>
      <c r="K74" s="35">
        <v>14</v>
      </c>
      <c r="L74" s="35">
        <v>17</v>
      </c>
      <c r="M74" s="35">
        <v>290</v>
      </c>
      <c r="N74" s="35">
        <v>52</v>
      </c>
      <c r="O74" s="35">
        <v>590</v>
      </c>
      <c r="P74" s="35">
        <v>22</v>
      </c>
      <c r="Q74" s="35">
        <v>47</v>
      </c>
      <c r="R74" s="35">
        <v>14</v>
      </c>
      <c r="S74" s="35">
        <v>17</v>
      </c>
      <c r="T74" s="35">
        <v>67</v>
      </c>
      <c r="U74" s="35">
        <v>260</v>
      </c>
      <c r="V74" s="35">
        <v>4039</v>
      </c>
      <c r="W74" s="35">
        <f t="shared" ref="W74:AP74" si="73">B74-B73</f>
        <v>-4</v>
      </c>
      <c r="X74" s="35">
        <f t="shared" si="73"/>
        <v>-1</v>
      </c>
      <c r="Y74" s="35">
        <f t="shared" si="73"/>
        <v>0</v>
      </c>
      <c r="Z74" s="35">
        <f t="shared" si="73"/>
        <v>0</v>
      </c>
      <c r="AA74" s="35">
        <f t="shared" si="73"/>
        <v>7</v>
      </c>
      <c r="AB74" s="35">
        <f t="shared" si="73"/>
        <v>1</v>
      </c>
      <c r="AC74" s="35">
        <f t="shared" si="73"/>
        <v>0</v>
      </c>
      <c r="AD74" s="35">
        <f t="shared" si="73"/>
        <v>0</v>
      </c>
      <c r="AE74" s="35">
        <f t="shared" si="73"/>
        <v>1</v>
      </c>
      <c r="AF74" s="35">
        <f t="shared" si="73"/>
        <v>0</v>
      </c>
      <c r="AG74" s="35">
        <f t="shared" si="73"/>
        <v>0</v>
      </c>
      <c r="AH74" s="35">
        <f t="shared" si="73"/>
        <v>3</v>
      </c>
      <c r="AI74" s="35">
        <f t="shared" si="73"/>
        <v>0</v>
      </c>
      <c r="AJ74" s="35">
        <f t="shared" si="73"/>
        <v>1</v>
      </c>
      <c r="AK74" s="35">
        <f t="shared" si="73"/>
        <v>0</v>
      </c>
      <c r="AL74" s="35">
        <f t="shared" si="73"/>
        <v>3</v>
      </c>
      <c r="AM74" s="35">
        <f t="shared" si="73"/>
        <v>0</v>
      </c>
      <c r="AN74" s="35">
        <f t="shared" si="73"/>
        <v>0</v>
      </c>
      <c r="AO74" s="35">
        <f t="shared" si="73"/>
        <v>0</v>
      </c>
      <c r="AP74" s="35">
        <f t="shared" si="73"/>
        <v>1</v>
      </c>
    </row>
    <row r="75" spans="1:42" ht="13">
      <c r="A75" s="36">
        <v>43994</v>
      </c>
      <c r="B75" s="35">
        <v>20</v>
      </c>
      <c r="C75" s="35">
        <v>39</v>
      </c>
      <c r="D75" s="35">
        <v>13</v>
      </c>
      <c r="E75" s="35">
        <v>62</v>
      </c>
      <c r="F75" s="35">
        <v>1922</v>
      </c>
      <c r="G75" s="35">
        <v>117</v>
      </c>
      <c r="H75" s="35">
        <v>375</v>
      </c>
      <c r="I75" s="35">
        <v>85</v>
      </c>
      <c r="J75" s="35">
        <v>27</v>
      </c>
      <c r="K75" s="35">
        <v>14</v>
      </c>
      <c r="L75" s="35">
        <v>17</v>
      </c>
      <c r="M75" s="35">
        <v>295</v>
      </c>
      <c r="N75" s="35">
        <v>49</v>
      </c>
      <c r="O75" s="35">
        <v>592</v>
      </c>
      <c r="P75" s="35">
        <v>22</v>
      </c>
      <c r="Q75" s="35">
        <v>47</v>
      </c>
      <c r="R75" s="35">
        <v>14</v>
      </c>
      <c r="S75" s="35">
        <v>17</v>
      </c>
      <c r="T75" s="35">
        <v>66</v>
      </c>
      <c r="U75" s="35">
        <v>260</v>
      </c>
      <c r="V75" s="35">
        <v>4053</v>
      </c>
      <c r="W75" s="35">
        <f t="shared" ref="W75:AP75" si="74">B75-B74</f>
        <v>0</v>
      </c>
      <c r="X75" s="35">
        <f t="shared" si="74"/>
        <v>2</v>
      </c>
      <c r="Y75" s="35">
        <f t="shared" si="74"/>
        <v>2</v>
      </c>
      <c r="Z75" s="35">
        <f t="shared" si="74"/>
        <v>0</v>
      </c>
      <c r="AA75" s="35">
        <f t="shared" si="74"/>
        <v>5</v>
      </c>
      <c r="AB75" s="35">
        <f t="shared" si="74"/>
        <v>1</v>
      </c>
      <c r="AC75" s="35">
        <f t="shared" si="74"/>
        <v>1</v>
      </c>
      <c r="AD75" s="35">
        <f t="shared" si="74"/>
        <v>0</v>
      </c>
      <c r="AE75" s="35">
        <f t="shared" si="74"/>
        <v>0</v>
      </c>
      <c r="AF75" s="35">
        <f t="shared" si="74"/>
        <v>0</v>
      </c>
      <c r="AG75" s="35">
        <f t="shared" si="74"/>
        <v>0</v>
      </c>
      <c r="AH75" s="35">
        <f t="shared" si="74"/>
        <v>5</v>
      </c>
      <c r="AI75" s="35">
        <f t="shared" si="74"/>
        <v>-3</v>
      </c>
      <c r="AJ75" s="35">
        <f t="shared" si="74"/>
        <v>2</v>
      </c>
      <c r="AK75" s="35">
        <f t="shared" si="74"/>
        <v>0</v>
      </c>
      <c r="AL75" s="35">
        <f t="shared" si="74"/>
        <v>0</v>
      </c>
      <c r="AM75" s="35">
        <f t="shared" si="74"/>
        <v>0</v>
      </c>
      <c r="AN75" s="35">
        <f t="shared" si="74"/>
        <v>0</v>
      </c>
      <c r="AO75" s="35">
        <f t="shared" si="74"/>
        <v>-1</v>
      </c>
      <c r="AP75" s="35">
        <f t="shared" si="74"/>
        <v>0</v>
      </c>
    </row>
    <row r="76" spans="1:42" ht="13">
      <c r="A76" s="36">
        <v>43995</v>
      </c>
      <c r="B76" s="35">
        <v>20</v>
      </c>
      <c r="C76" s="35">
        <v>39</v>
      </c>
      <c r="D76" s="35">
        <v>13</v>
      </c>
      <c r="E76" s="35">
        <v>62</v>
      </c>
      <c r="F76" s="35">
        <v>1927</v>
      </c>
      <c r="G76" s="35">
        <v>118</v>
      </c>
      <c r="H76" s="35">
        <v>376</v>
      </c>
      <c r="I76" s="35">
        <v>86</v>
      </c>
      <c r="J76" s="35">
        <v>27</v>
      </c>
      <c r="K76" s="35">
        <v>14</v>
      </c>
      <c r="L76" s="35">
        <v>17</v>
      </c>
      <c r="M76" s="35">
        <v>298</v>
      </c>
      <c r="N76" s="35">
        <v>51</v>
      </c>
      <c r="O76" s="35">
        <v>593</v>
      </c>
      <c r="P76" s="35">
        <v>22</v>
      </c>
      <c r="Q76" s="35">
        <v>47</v>
      </c>
      <c r="R76" s="35">
        <v>13</v>
      </c>
      <c r="S76" s="35">
        <v>17</v>
      </c>
      <c r="T76" s="35">
        <v>63</v>
      </c>
      <c r="U76" s="35">
        <v>261</v>
      </c>
      <c r="V76" s="35">
        <v>4064</v>
      </c>
      <c r="W76" s="35">
        <f t="shared" ref="W76:AP76" si="75">B76-B75</f>
        <v>0</v>
      </c>
      <c r="X76" s="35">
        <f t="shared" si="75"/>
        <v>0</v>
      </c>
      <c r="Y76" s="35">
        <f t="shared" si="75"/>
        <v>0</v>
      </c>
      <c r="Z76" s="35">
        <f t="shared" si="75"/>
        <v>0</v>
      </c>
      <c r="AA76" s="35">
        <f t="shared" si="75"/>
        <v>5</v>
      </c>
      <c r="AB76" s="35">
        <f t="shared" si="75"/>
        <v>1</v>
      </c>
      <c r="AC76" s="35">
        <f t="shared" si="75"/>
        <v>1</v>
      </c>
      <c r="AD76" s="35">
        <f t="shared" si="75"/>
        <v>1</v>
      </c>
      <c r="AE76" s="35">
        <f t="shared" si="75"/>
        <v>0</v>
      </c>
      <c r="AF76" s="35">
        <f t="shared" si="75"/>
        <v>0</v>
      </c>
      <c r="AG76" s="35">
        <f t="shared" si="75"/>
        <v>0</v>
      </c>
      <c r="AH76" s="35">
        <f t="shared" si="75"/>
        <v>3</v>
      </c>
      <c r="AI76" s="35">
        <f t="shared" si="75"/>
        <v>2</v>
      </c>
      <c r="AJ76" s="35">
        <f t="shared" si="75"/>
        <v>1</v>
      </c>
      <c r="AK76" s="35">
        <f t="shared" si="75"/>
        <v>0</v>
      </c>
      <c r="AL76" s="35">
        <f t="shared" si="75"/>
        <v>0</v>
      </c>
      <c r="AM76" s="35">
        <f t="shared" si="75"/>
        <v>-1</v>
      </c>
      <c r="AN76" s="35">
        <f t="shared" si="75"/>
        <v>0</v>
      </c>
      <c r="AO76" s="35">
        <f t="shared" si="75"/>
        <v>-3</v>
      </c>
      <c r="AP76" s="35">
        <f t="shared" si="75"/>
        <v>1</v>
      </c>
    </row>
    <row r="77" spans="1:42" ht="13">
      <c r="A77" s="36">
        <v>43996</v>
      </c>
      <c r="B77" s="35">
        <v>20</v>
      </c>
      <c r="C77" s="38">
        <v>39</v>
      </c>
      <c r="D77" s="38">
        <v>13</v>
      </c>
      <c r="E77" s="35">
        <v>62</v>
      </c>
      <c r="F77" s="38">
        <v>1930</v>
      </c>
      <c r="G77" s="38">
        <v>118</v>
      </c>
      <c r="H77" s="38">
        <v>376</v>
      </c>
      <c r="I77" s="38">
        <v>86</v>
      </c>
      <c r="J77" s="35">
        <v>27</v>
      </c>
      <c r="K77" s="35">
        <v>14</v>
      </c>
      <c r="L77" s="35">
        <v>17</v>
      </c>
      <c r="M77" s="38">
        <v>298</v>
      </c>
      <c r="N77" s="38">
        <v>51</v>
      </c>
      <c r="O77" s="38">
        <v>595</v>
      </c>
      <c r="P77" s="35">
        <v>22</v>
      </c>
      <c r="Q77" s="35">
        <v>47</v>
      </c>
      <c r="R77" s="38">
        <v>13</v>
      </c>
      <c r="S77" s="35">
        <v>17</v>
      </c>
      <c r="T77" s="38">
        <v>63</v>
      </c>
      <c r="U77" s="38">
        <v>261</v>
      </c>
      <c r="V77" s="35">
        <v>4069</v>
      </c>
      <c r="W77" s="35">
        <f t="shared" ref="W77:AP77" si="76">B77-B76</f>
        <v>0</v>
      </c>
      <c r="X77" s="35">
        <f t="shared" si="76"/>
        <v>0</v>
      </c>
      <c r="Y77" s="35">
        <f t="shared" si="76"/>
        <v>0</v>
      </c>
      <c r="Z77" s="35">
        <f t="shared" si="76"/>
        <v>0</v>
      </c>
      <c r="AA77" s="35">
        <f t="shared" si="76"/>
        <v>3</v>
      </c>
      <c r="AB77" s="35">
        <f t="shared" si="76"/>
        <v>0</v>
      </c>
      <c r="AC77" s="35">
        <f t="shared" si="76"/>
        <v>0</v>
      </c>
      <c r="AD77" s="35">
        <f t="shared" si="76"/>
        <v>0</v>
      </c>
      <c r="AE77" s="35">
        <f t="shared" si="76"/>
        <v>0</v>
      </c>
      <c r="AF77" s="35">
        <f t="shared" si="76"/>
        <v>0</v>
      </c>
      <c r="AG77" s="35">
        <f t="shared" si="76"/>
        <v>0</v>
      </c>
      <c r="AH77" s="35">
        <f t="shared" si="76"/>
        <v>0</v>
      </c>
      <c r="AI77" s="35">
        <f t="shared" si="76"/>
        <v>0</v>
      </c>
      <c r="AJ77" s="35">
        <f t="shared" si="76"/>
        <v>2</v>
      </c>
      <c r="AK77" s="35">
        <f t="shared" si="76"/>
        <v>0</v>
      </c>
      <c r="AL77" s="35">
        <f t="shared" si="76"/>
        <v>0</v>
      </c>
      <c r="AM77" s="35">
        <f t="shared" si="76"/>
        <v>0</v>
      </c>
      <c r="AN77" s="35">
        <f t="shared" si="76"/>
        <v>0</v>
      </c>
      <c r="AO77" s="35">
        <f t="shared" si="76"/>
        <v>0</v>
      </c>
      <c r="AP77" s="35">
        <f t="shared" si="76"/>
        <v>0</v>
      </c>
    </row>
    <row r="78" spans="1:42" ht="16">
      <c r="A78" s="36">
        <v>43997</v>
      </c>
      <c r="B78" s="39">
        <v>21</v>
      </c>
      <c r="C78" s="39">
        <v>39</v>
      </c>
      <c r="D78" s="39">
        <v>13</v>
      </c>
      <c r="E78" s="39">
        <v>62</v>
      </c>
      <c r="F78" s="39">
        <v>1932</v>
      </c>
      <c r="G78" s="39">
        <v>118</v>
      </c>
      <c r="H78" s="39">
        <v>376</v>
      </c>
      <c r="I78" s="39">
        <v>86</v>
      </c>
      <c r="J78" s="39">
        <v>27</v>
      </c>
      <c r="K78" s="39">
        <v>14</v>
      </c>
      <c r="L78" s="39">
        <v>17</v>
      </c>
      <c r="M78" s="39">
        <v>300</v>
      </c>
      <c r="N78" s="39">
        <v>51</v>
      </c>
      <c r="O78" s="39">
        <v>597</v>
      </c>
      <c r="P78" s="39">
        <v>22</v>
      </c>
      <c r="Q78" s="39">
        <v>47</v>
      </c>
      <c r="R78" s="39">
        <v>13</v>
      </c>
      <c r="S78" s="39">
        <v>17</v>
      </c>
      <c r="T78" s="39">
        <v>63</v>
      </c>
      <c r="U78" s="39">
        <v>261</v>
      </c>
      <c r="V78" s="35">
        <v>4076</v>
      </c>
      <c r="W78" s="35">
        <f t="shared" ref="W78:AP78" si="77">B78-B77</f>
        <v>1</v>
      </c>
      <c r="X78" s="35">
        <f t="shared" si="77"/>
        <v>0</v>
      </c>
      <c r="Y78" s="35">
        <f t="shared" si="77"/>
        <v>0</v>
      </c>
      <c r="Z78" s="35">
        <f t="shared" si="77"/>
        <v>0</v>
      </c>
      <c r="AA78" s="35">
        <f t="shared" si="77"/>
        <v>2</v>
      </c>
      <c r="AB78" s="35">
        <f t="shared" si="77"/>
        <v>0</v>
      </c>
      <c r="AC78" s="35">
        <f t="shared" si="77"/>
        <v>0</v>
      </c>
      <c r="AD78" s="35">
        <f t="shared" si="77"/>
        <v>0</v>
      </c>
      <c r="AE78" s="35">
        <f t="shared" si="77"/>
        <v>0</v>
      </c>
      <c r="AF78" s="35">
        <f t="shared" si="77"/>
        <v>0</v>
      </c>
      <c r="AG78" s="35">
        <f t="shared" si="77"/>
        <v>0</v>
      </c>
      <c r="AH78" s="35">
        <f t="shared" si="77"/>
        <v>2</v>
      </c>
      <c r="AI78" s="35">
        <f t="shared" si="77"/>
        <v>0</v>
      </c>
      <c r="AJ78" s="35">
        <f t="shared" si="77"/>
        <v>2</v>
      </c>
      <c r="AK78" s="35">
        <f t="shared" si="77"/>
        <v>0</v>
      </c>
      <c r="AL78" s="35">
        <f t="shared" si="77"/>
        <v>0</v>
      </c>
      <c r="AM78" s="35">
        <f t="shared" si="77"/>
        <v>0</v>
      </c>
      <c r="AN78" s="35">
        <f t="shared" si="77"/>
        <v>0</v>
      </c>
      <c r="AO78" s="35">
        <f t="shared" si="77"/>
        <v>0</v>
      </c>
      <c r="AP78" s="35">
        <f t="shared" si="77"/>
        <v>0</v>
      </c>
    </row>
    <row r="79" spans="1:42" ht="13">
      <c r="A79" s="36">
        <v>43998</v>
      </c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>
        <v>4077</v>
      </c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</row>
    <row r="80" spans="1:42" ht="13">
      <c r="A80" s="36">
        <v>43999</v>
      </c>
      <c r="B80" s="35">
        <v>20</v>
      </c>
      <c r="C80" s="35">
        <v>39</v>
      </c>
      <c r="D80" s="35">
        <v>13</v>
      </c>
      <c r="E80" s="35">
        <v>62</v>
      </c>
      <c r="F80" s="38">
        <v>1932</v>
      </c>
      <c r="G80" s="35">
        <v>118</v>
      </c>
      <c r="H80" s="35">
        <v>376</v>
      </c>
      <c r="I80" s="35">
        <v>86</v>
      </c>
      <c r="J80" s="35">
        <v>27</v>
      </c>
      <c r="K80" s="35">
        <v>14</v>
      </c>
      <c r="L80" s="35">
        <v>18</v>
      </c>
      <c r="M80" s="35">
        <v>301</v>
      </c>
      <c r="N80" s="35">
        <v>51</v>
      </c>
      <c r="O80" s="35">
        <v>597</v>
      </c>
      <c r="P80" s="35">
        <v>22</v>
      </c>
      <c r="Q80" s="35">
        <v>48</v>
      </c>
      <c r="R80" s="35">
        <v>13</v>
      </c>
      <c r="S80" s="35">
        <v>17</v>
      </c>
      <c r="T80" s="35">
        <v>63</v>
      </c>
      <c r="U80" s="35">
        <v>261</v>
      </c>
      <c r="V80" s="35">
        <v>4078</v>
      </c>
      <c r="W80" s="35">
        <f t="shared" ref="W80:AP80" si="78">B80-B78</f>
        <v>-1</v>
      </c>
      <c r="X80" s="35">
        <f t="shared" si="78"/>
        <v>0</v>
      </c>
      <c r="Y80" s="35">
        <f t="shared" si="78"/>
        <v>0</v>
      </c>
      <c r="Z80" s="35">
        <f t="shared" si="78"/>
        <v>0</v>
      </c>
      <c r="AA80" s="35">
        <f t="shared" si="78"/>
        <v>0</v>
      </c>
      <c r="AB80" s="35">
        <f t="shared" si="78"/>
        <v>0</v>
      </c>
      <c r="AC80" s="35">
        <f t="shared" si="78"/>
        <v>0</v>
      </c>
      <c r="AD80" s="35">
        <f t="shared" si="78"/>
        <v>0</v>
      </c>
      <c r="AE80" s="35">
        <f t="shared" si="78"/>
        <v>0</v>
      </c>
      <c r="AF80" s="35">
        <f t="shared" si="78"/>
        <v>0</v>
      </c>
      <c r="AG80" s="35">
        <f t="shared" si="78"/>
        <v>1</v>
      </c>
      <c r="AH80" s="35">
        <f t="shared" si="78"/>
        <v>1</v>
      </c>
      <c r="AI80" s="35">
        <f t="shared" si="78"/>
        <v>0</v>
      </c>
      <c r="AJ80" s="35">
        <f t="shared" si="78"/>
        <v>0</v>
      </c>
      <c r="AK80" s="35">
        <f t="shared" si="78"/>
        <v>0</v>
      </c>
      <c r="AL80" s="35">
        <f t="shared" si="78"/>
        <v>1</v>
      </c>
      <c r="AM80" s="35">
        <f t="shared" si="78"/>
        <v>0</v>
      </c>
      <c r="AN80" s="35">
        <f t="shared" si="78"/>
        <v>0</v>
      </c>
      <c r="AO80" s="35">
        <f t="shared" si="78"/>
        <v>0</v>
      </c>
      <c r="AP80" s="35">
        <f t="shared" si="78"/>
        <v>0</v>
      </c>
    </row>
    <row r="81" spans="1:42" ht="13">
      <c r="A81" s="36">
        <v>44000</v>
      </c>
      <c r="B81" s="35">
        <v>20</v>
      </c>
      <c r="C81" s="35">
        <v>39</v>
      </c>
      <c r="D81" s="35">
        <v>13</v>
      </c>
      <c r="E81" s="35">
        <v>62</v>
      </c>
      <c r="F81" s="35">
        <v>1934</v>
      </c>
      <c r="G81" s="38">
        <v>117</v>
      </c>
      <c r="H81" s="35">
        <v>376</v>
      </c>
      <c r="I81" s="35">
        <v>86</v>
      </c>
      <c r="J81" s="35">
        <v>27</v>
      </c>
      <c r="K81" s="35">
        <v>14</v>
      </c>
      <c r="L81" s="35">
        <v>18</v>
      </c>
      <c r="M81" s="35">
        <v>301</v>
      </c>
      <c r="N81" s="35">
        <v>51</v>
      </c>
      <c r="O81" s="38">
        <v>597</v>
      </c>
      <c r="P81" s="38">
        <v>22</v>
      </c>
      <c r="Q81" s="35">
        <v>48</v>
      </c>
      <c r="R81" s="35">
        <v>13</v>
      </c>
      <c r="S81" s="35">
        <v>17</v>
      </c>
      <c r="T81" s="35">
        <v>63</v>
      </c>
      <c r="U81" s="35">
        <v>261</v>
      </c>
      <c r="V81" s="38">
        <v>4079</v>
      </c>
      <c r="W81" s="35">
        <f t="shared" ref="W81:AP81" si="79">B81-B80</f>
        <v>0</v>
      </c>
      <c r="X81" s="35">
        <f t="shared" si="79"/>
        <v>0</v>
      </c>
      <c r="Y81" s="35">
        <f t="shared" si="79"/>
        <v>0</v>
      </c>
      <c r="Z81" s="35">
        <f t="shared" si="79"/>
        <v>0</v>
      </c>
      <c r="AA81" s="35">
        <f t="shared" si="79"/>
        <v>2</v>
      </c>
      <c r="AB81" s="35">
        <f t="shared" si="79"/>
        <v>-1</v>
      </c>
      <c r="AC81" s="35">
        <f t="shared" si="79"/>
        <v>0</v>
      </c>
      <c r="AD81" s="35">
        <f t="shared" si="79"/>
        <v>0</v>
      </c>
      <c r="AE81" s="35">
        <f t="shared" si="79"/>
        <v>0</v>
      </c>
      <c r="AF81" s="35">
        <f t="shared" si="79"/>
        <v>0</v>
      </c>
      <c r="AG81" s="35">
        <f t="shared" si="79"/>
        <v>0</v>
      </c>
      <c r="AH81" s="35">
        <f t="shared" si="79"/>
        <v>0</v>
      </c>
      <c r="AI81" s="35">
        <f t="shared" si="79"/>
        <v>0</v>
      </c>
      <c r="AJ81" s="35">
        <f t="shared" si="79"/>
        <v>0</v>
      </c>
      <c r="AK81" s="35">
        <f t="shared" si="79"/>
        <v>0</v>
      </c>
      <c r="AL81" s="35">
        <f t="shared" si="79"/>
        <v>0</v>
      </c>
      <c r="AM81" s="35">
        <f t="shared" si="79"/>
        <v>0</v>
      </c>
      <c r="AN81" s="35">
        <f t="shared" si="79"/>
        <v>0</v>
      </c>
      <c r="AO81" s="35">
        <f t="shared" si="79"/>
        <v>0</v>
      </c>
      <c r="AP81" s="35">
        <f t="shared" si="79"/>
        <v>0</v>
      </c>
    </row>
    <row r="82" spans="1:42" ht="13">
      <c r="A82" s="36">
        <v>44001</v>
      </c>
      <c r="B82" s="35">
        <v>20</v>
      </c>
      <c r="C82" s="35">
        <v>39</v>
      </c>
      <c r="D82" s="35">
        <v>13</v>
      </c>
      <c r="E82" s="35">
        <v>62</v>
      </c>
      <c r="F82" s="38">
        <v>1935</v>
      </c>
      <c r="G82" s="38">
        <v>117</v>
      </c>
      <c r="H82" s="35">
        <v>376</v>
      </c>
      <c r="I82" s="35">
        <v>86</v>
      </c>
      <c r="J82" s="35">
        <v>27</v>
      </c>
      <c r="K82" s="35">
        <v>14</v>
      </c>
      <c r="L82" s="35">
        <v>18</v>
      </c>
      <c r="M82" s="35">
        <v>301</v>
      </c>
      <c r="N82" s="35">
        <v>51</v>
      </c>
      <c r="O82" s="35">
        <v>598</v>
      </c>
      <c r="P82" s="35">
        <v>22</v>
      </c>
      <c r="Q82" s="35">
        <v>48</v>
      </c>
      <c r="R82" s="35">
        <v>13</v>
      </c>
      <c r="S82" s="35">
        <v>17</v>
      </c>
      <c r="T82" s="35">
        <v>63</v>
      </c>
      <c r="U82" s="35">
        <v>261</v>
      </c>
      <c r="V82" s="35">
        <v>4081</v>
      </c>
      <c r="W82" s="35">
        <f t="shared" ref="W82:AP82" si="80">B82-B81</f>
        <v>0</v>
      </c>
      <c r="X82" s="35">
        <f t="shared" si="80"/>
        <v>0</v>
      </c>
      <c r="Y82" s="35">
        <f t="shared" si="80"/>
        <v>0</v>
      </c>
      <c r="Z82" s="35">
        <f t="shared" si="80"/>
        <v>0</v>
      </c>
      <c r="AA82" s="35">
        <f t="shared" si="80"/>
        <v>1</v>
      </c>
      <c r="AB82" s="35">
        <f t="shared" si="80"/>
        <v>0</v>
      </c>
      <c r="AC82" s="35">
        <f t="shared" si="80"/>
        <v>0</v>
      </c>
      <c r="AD82" s="35">
        <f t="shared" si="80"/>
        <v>0</v>
      </c>
      <c r="AE82" s="35">
        <f t="shared" si="80"/>
        <v>0</v>
      </c>
      <c r="AF82" s="35">
        <f t="shared" si="80"/>
        <v>0</v>
      </c>
      <c r="AG82" s="35">
        <f t="shared" si="80"/>
        <v>0</v>
      </c>
      <c r="AH82" s="35">
        <f t="shared" si="80"/>
        <v>0</v>
      </c>
      <c r="AI82" s="35">
        <f t="shared" si="80"/>
        <v>0</v>
      </c>
      <c r="AJ82" s="35">
        <f t="shared" si="80"/>
        <v>1</v>
      </c>
      <c r="AK82" s="35">
        <f t="shared" si="80"/>
        <v>0</v>
      </c>
      <c r="AL82" s="35">
        <f t="shared" si="80"/>
        <v>0</v>
      </c>
      <c r="AM82" s="35">
        <f t="shared" si="80"/>
        <v>0</v>
      </c>
      <c r="AN82" s="35">
        <f t="shared" si="80"/>
        <v>0</v>
      </c>
      <c r="AO82" s="35">
        <f t="shared" si="80"/>
        <v>0</v>
      </c>
      <c r="AP82" s="35">
        <f t="shared" si="80"/>
        <v>0</v>
      </c>
    </row>
    <row r="83" spans="1:42" ht="13">
      <c r="A83" s="36">
        <v>44002</v>
      </c>
      <c r="B83" s="35">
        <v>20</v>
      </c>
      <c r="C83" s="35">
        <v>39</v>
      </c>
      <c r="D83" s="35">
        <v>13</v>
      </c>
      <c r="E83" s="35">
        <v>62</v>
      </c>
      <c r="F83" s="35">
        <v>1939</v>
      </c>
      <c r="G83" s="38">
        <v>117</v>
      </c>
      <c r="H83" s="35">
        <v>376</v>
      </c>
      <c r="I83" s="35">
        <v>86</v>
      </c>
      <c r="J83" s="35">
        <v>27</v>
      </c>
      <c r="K83" s="35">
        <v>14</v>
      </c>
      <c r="L83" s="35">
        <v>18</v>
      </c>
      <c r="M83" s="35">
        <v>301</v>
      </c>
      <c r="N83" s="35">
        <v>51</v>
      </c>
      <c r="O83" s="35">
        <v>600</v>
      </c>
      <c r="P83" s="35">
        <v>22</v>
      </c>
      <c r="Q83" s="35">
        <v>48</v>
      </c>
      <c r="R83" s="35">
        <v>13</v>
      </c>
      <c r="S83" s="35">
        <v>17</v>
      </c>
      <c r="T83" s="35">
        <v>63</v>
      </c>
      <c r="U83" s="35">
        <v>260</v>
      </c>
      <c r="V83" s="35">
        <v>4086</v>
      </c>
      <c r="W83" s="35">
        <f t="shared" ref="W83:AP83" si="81">B83-B82</f>
        <v>0</v>
      </c>
      <c r="X83" s="35">
        <f t="shared" si="81"/>
        <v>0</v>
      </c>
      <c r="Y83" s="35">
        <f t="shared" si="81"/>
        <v>0</v>
      </c>
      <c r="Z83" s="35">
        <f t="shared" si="81"/>
        <v>0</v>
      </c>
      <c r="AA83" s="35">
        <f t="shared" si="81"/>
        <v>4</v>
      </c>
      <c r="AB83" s="35">
        <f t="shared" si="81"/>
        <v>0</v>
      </c>
      <c r="AC83" s="35">
        <f t="shared" si="81"/>
        <v>0</v>
      </c>
      <c r="AD83" s="35">
        <f t="shared" si="81"/>
        <v>0</v>
      </c>
      <c r="AE83" s="35">
        <f t="shared" si="81"/>
        <v>0</v>
      </c>
      <c r="AF83" s="35">
        <f t="shared" si="81"/>
        <v>0</v>
      </c>
      <c r="AG83" s="35">
        <f t="shared" si="81"/>
        <v>0</v>
      </c>
      <c r="AH83" s="35">
        <f t="shared" si="81"/>
        <v>0</v>
      </c>
      <c r="AI83" s="35">
        <f t="shared" si="81"/>
        <v>0</v>
      </c>
      <c r="AJ83" s="35">
        <f t="shared" si="81"/>
        <v>2</v>
      </c>
      <c r="AK83" s="35">
        <f t="shared" si="81"/>
        <v>0</v>
      </c>
      <c r="AL83" s="35">
        <f t="shared" si="81"/>
        <v>0</v>
      </c>
      <c r="AM83" s="35">
        <f t="shared" si="81"/>
        <v>0</v>
      </c>
      <c r="AN83" s="35">
        <f t="shared" si="81"/>
        <v>0</v>
      </c>
      <c r="AO83" s="35">
        <f t="shared" si="81"/>
        <v>0</v>
      </c>
      <c r="AP83" s="35">
        <f t="shared" si="81"/>
        <v>-1</v>
      </c>
    </row>
    <row r="84" spans="1:42" ht="13">
      <c r="A84" s="36">
        <v>44003</v>
      </c>
      <c r="B84" s="35">
        <v>20</v>
      </c>
      <c r="C84" s="35">
        <v>39</v>
      </c>
      <c r="D84" s="35">
        <v>13</v>
      </c>
      <c r="E84" s="35">
        <v>62</v>
      </c>
      <c r="F84" s="35">
        <v>1943</v>
      </c>
      <c r="G84" s="38">
        <v>117</v>
      </c>
      <c r="H84" s="35">
        <v>376</v>
      </c>
      <c r="I84" s="35">
        <v>86</v>
      </c>
      <c r="J84" s="35">
        <v>27</v>
      </c>
      <c r="K84" s="35">
        <v>14</v>
      </c>
      <c r="L84" s="35">
        <v>18</v>
      </c>
      <c r="M84" s="35">
        <v>301</v>
      </c>
      <c r="N84" s="35">
        <v>51</v>
      </c>
      <c r="O84" s="35">
        <v>604</v>
      </c>
      <c r="P84" s="35">
        <v>22</v>
      </c>
      <c r="Q84" s="35">
        <v>48</v>
      </c>
      <c r="R84" s="35">
        <v>13</v>
      </c>
      <c r="S84" s="35">
        <v>17</v>
      </c>
      <c r="T84" s="35">
        <v>63</v>
      </c>
      <c r="U84" s="35">
        <v>260</v>
      </c>
      <c r="V84" s="35">
        <v>4094</v>
      </c>
      <c r="W84" s="35">
        <f t="shared" ref="W84:AP84" si="82">B84-B83</f>
        <v>0</v>
      </c>
      <c r="X84" s="35">
        <f t="shared" si="82"/>
        <v>0</v>
      </c>
      <c r="Y84" s="35">
        <f t="shared" si="82"/>
        <v>0</v>
      </c>
      <c r="Z84" s="35">
        <f t="shared" si="82"/>
        <v>0</v>
      </c>
      <c r="AA84" s="35">
        <f t="shared" si="82"/>
        <v>4</v>
      </c>
      <c r="AB84" s="35">
        <f t="shared" si="82"/>
        <v>0</v>
      </c>
      <c r="AC84" s="35">
        <f t="shared" si="82"/>
        <v>0</v>
      </c>
      <c r="AD84" s="35">
        <f t="shared" si="82"/>
        <v>0</v>
      </c>
      <c r="AE84" s="35">
        <f t="shared" si="82"/>
        <v>0</v>
      </c>
      <c r="AF84" s="35">
        <f t="shared" si="82"/>
        <v>0</v>
      </c>
      <c r="AG84" s="35">
        <f t="shared" si="82"/>
        <v>0</v>
      </c>
      <c r="AH84" s="35">
        <f t="shared" si="82"/>
        <v>0</v>
      </c>
      <c r="AI84" s="35">
        <f t="shared" si="82"/>
        <v>0</v>
      </c>
      <c r="AJ84" s="35">
        <f t="shared" si="82"/>
        <v>4</v>
      </c>
      <c r="AK84" s="35">
        <f t="shared" si="82"/>
        <v>0</v>
      </c>
      <c r="AL84" s="35">
        <f t="shared" si="82"/>
        <v>0</v>
      </c>
      <c r="AM84" s="35">
        <f t="shared" si="82"/>
        <v>0</v>
      </c>
      <c r="AN84" s="35">
        <f t="shared" si="82"/>
        <v>0</v>
      </c>
      <c r="AO84" s="35">
        <f t="shared" si="82"/>
        <v>0</v>
      </c>
      <c r="AP84" s="35">
        <f t="shared" si="82"/>
        <v>0</v>
      </c>
    </row>
    <row r="85" spans="1:42" ht="13">
      <c r="A85" s="36">
        <v>44004</v>
      </c>
      <c r="B85" s="35">
        <v>20</v>
      </c>
      <c r="C85" s="35">
        <v>39</v>
      </c>
      <c r="D85" s="35">
        <v>13</v>
      </c>
      <c r="E85" s="35">
        <v>62</v>
      </c>
      <c r="F85" s="35">
        <v>1946</v>
      </c>
      <c r="G85" s="38">
        <v>117</v>
      </c>
      <c r="H85" s="35">
        <v>376</v>
      </c>
      <c r="I85" s="35">
        <v>86</v>
      </c>
      <c r="J85" s="35">
        <v>27</v>
      </c>
      <c r="K85" s="35">
        <v>14</v>
      </c>
      <c r="L85" s="35">
        <v>19</v>
      </c>
      <c r="M85" s="35">
        <v>302</v>
      </c>
      <c r="N85" s="35">
        <v>51</v>
      </c>
      <c r="O85" s="35">
        <v>605</v>
      </c>
      <c r="P85" s="35">
        <v>22</v>
      </c>
      <c r="Q85" s="35">
        <v>50</v>
      </c>
      <c r="R85" s="35">
        <v>13</v>
      </c>
      <c r="S85" s="35">
        <v>17</v>
      </c>
      <c r="T85" s="35">
        <v>63</v>
      </c>
      <c r="U85" s="35">
        <v>260</v>
      </c>
      <c r="V85" s="35">
        <v>4102</v>
      </c>
      <c r="W85" s="35">
        <f t="shared" ref="W85:AP85" si="83">B85-B84</f>
        <v>0</v>
      </c>
      <c r="X85" s="35">
        <f t="shared" si="83"/>
        <v>0</v>
      </c>
      <c r="Y85" s="35">
        <f t="shared" si="83"/>
        <v>0</v>
      </c>
      <c r="Z85" s="35">
        <f t="shared" si="83"/>
        <v>0</v>
      </c>
      <c r="AA85" s="35">
        <f t="shared" si="83"/>
        <v>3</v>
      </c>
      <c r="AB85" s="35">
        <f t="shared" si="83"/>
        <v>0</v>
      </c>
      <c r="AC85" s="35">
        <f t="shared" si="83"/>
        <v>0</v>
      </c>
      <c r="AD85" s="35">
        <f t="shared" si="83"/>
        <v>0</v>
      </c>
      <c r="AE85" s="35">
        <f t="shared" si="83"/>
        <v>0</v>
      </c>
      <c r="AF85" s="35">
        <f t="shared" si="83"/>
        <v>0</v>
      </c>
      <c r="AG85" s="35">
        <f t="shared" si="83"/>
        <v>1</v>
      </c>
      <c r="AH85" s="35">
        <f t="shared" si="83"/>
        <v>1</v>
      </c>
      <c r="AI85" s="35">
        <f t="shared" si="83"/>
        <v>0</v>
      </c>
      <c r="AJ85" s="35">
        <f t="shared" si="83"/>
        <v>1</v>
      </c>
      <c r="AK85" s="35">
        <f t="shared" si="83"/>
        <v>0</v>
      </c>
      <c r="AL85" s="35">
        <f t="shared" si="83"/>
        <v>2</v>
      </c>
      <c r="AM85" s="35">
        <f t="shared" si="83"/>
        <v>0</v>
      </c>
      <c r="AN85" s="35">
        <f t="shared" si="83"/>
        <v>0</v>
      </c>
      <c r="AO85" s="35">
        <f t="shared" si="83"/>
        <v>0</v>
      </c>
      <c r="AP85" s="35">
        <f t="shared" si="83"/>
        <v>0</v>
      </c>
    </row>
    <row r="86" spans="1:42" ht="13">
      <c r="A86" s="36">
        <v>44005</v>
      </c>
      <c r="B86" s="40">
        <v>20</v>
      </c>
      <c r="C86" s="40">
        <v>39</v>
      </c>
      <c r="D86" s="40">
        <v>13</v>
      </c>
      <c r="E86" s="40">
        <v>62</v>
      </c>
      <c r="F86" s="40">
        <v>1948</v>
      </c>
      <c r="G86" s="40">
        <v>117</v>
      </c>
      <c r="H86" s="40">
        <v>376</v>
      </c>
      <c r="I86" s="40">
        <v>86</v>
      </c>
      <c r="J86" s="40">
        <v>27</v>
      </c>
      <c r="K86" s="40">
        <v>14</v>
      </c>
      <c r="L86" s="40">
        <v>19</v>
      </c>
      <c r="M86" s="40">
        <v>302</v>
      </c>
      <c r="N86" s="40">
        <v>51</v>
      </c>
      <c r="O86" s="40">
        <v>608</v>
      </c>
      <c r="P86" s="40">
        <v>22</v>
      </c>
      <c r="Q86" s="40">
        <v>50</v>
      </c>
      <c r="R86" s="40">
        <v>13</v>
      </c>
      <c r="S86" s="40">
        <v>17</v>
      </c>
      <c r="T86" s="40">
        <v>63</v>
      </c>
      <c r="U86" s="40">
        <v>260</v>
      </c>
      <c r="V86" s="40">
        <v>4107</v>
      </c>
      <c r="W86" s="35">
        <f t="shared" ref="W86:AP86" si="84">B86-B85</f>
        <v>0</v>
      </c>
      <c r="X86" s="35">
        <f t="shared" si="84"/>
        <v>0</v>
      </c>
      <c r="Y86" s="35">
        <f t="shared" si="84"/>
        <v>0</v>
      </c>
      <c r="Z86" s="35">
        <f t="shared" si="84"/>
        <v>0</v>
      </c>
      <c r="AA86" s="35">
        <f t="shared" si="84"/>
        <v>2</v>
      </c>
      <c r="AB86" s="35">
        <f t="shared" si="84"/>
        <v>0</v>
      </c>
      <c r="AC86" s="35">
        <f t="shared" si="84"/>
        <v>0</v>
      </c>
      <c r="AD86" s="35">
        <f t="shared" si="84"/>
        <v>0</v>
      </c>
      <c r="AE86" s="35">
        <f t="shared" si="84"/>
        <v>0</v>
      </c>
      <c r="AF86" s="35">
        <f t="shared" si="84"/>
        <v>0</v>
      </c>
      <c r="AG86" s="35">
        <f t="shared" si="84"/>
        <v>0</v>
      </c>
      <c r="AH86" s="35">
        <f t="shared" si="84"/>
        <v>0</v>
      </c>
      <c r="AI86" s="35">
        <f t="shared" si="84"/>
        <v>0</v>
      </c>
      <c r="AJ86" s="35">
        <f t="shared" si="84"/>
        <v>3</v>
      </c>
      <c r="AK86" s="35">
        <f t="shared" si="84"/>
        <v>0</v>
      </c>
      <c r="AL86" s="35">
        <f t="shared" si="84"/>
        <v>0</v>
      </c>
      <c r="AM86" s="35">
        <f t="shared" si="84"/>
        <v>0</v>
      </c>
      <c r="AN86" s="35">
        <f t="shared" si="84"/>
        <v>0</v>
      </c>
      <c r="AO86" s="35">
        <f t="shared" si="84"/>
        <v>0</v>
      </c>
      <c r="AP86" s="35">
        <f t="shared" si="84"/>
        <v>0</v>
      </c>
    </row>
    <row r="87" spans="1:42" ht="13">
      <c r="A87" s="36">
        <v>44006</v>
      </c>
      <c r="B87" s="40">
        <v>20</v>
      </c>
      <c r="C87" s="40">
        <v>40</v>
      </c>
      <c r="D87" s="40">
        <v>13</v>
      </c>
      <c r="E87" s="40">
        <v>62</v>
      </c>
      <c r="F87" s="40">
        <v>1952</v>
      </c>
      <c r="G87" s="40">
        <v>117</v>
      </c>
      <c r="H87" s="40">
        <v>376</v>
      </c>
      <c r="I87" s="40">
        <v>86</v>
      </c>
      <c r="J87" s="40">
        <v>27</v>
      </c>
      <c r="K87" s="40">
        <v>14</v>
      </c>
      <c r="L87" s="40">
        <v>19</v>
      </c>
      <c r="M87" s="40">
        <v>302</v>
      </c>
      <c r="N87" s="40">
        <v>51</v>
      </c>
      <c r="O87" s="40">
        <v>609</v>
      </c>
      <c r="P87" s="40">
        <v>22</v>
      </c>
      <c r="Q87" s="40">
        <v>50</v>
      </c>
      <c r="R87" s="40">
        <v>13</v>
      </c>
      <c r="S87" s="40">
        <v>17</v>
      </c>
      <c r="T87" s="40">
        <v>63</v>
      </c>
      <c r="U87" s="40">
        <v>261</v>
      </c>
      <c r="V87" s="40">
        <v>4114</v>
      </c>
      <c r="W87" s="35">
        <f t="shared" ref="W87:AP87" si="85">B87-B86</f>
        <v>0</v>
      </c>
      <c r="X87" s="35">
        <f t="shared" si="85"/>
        <v>1</v>
      </c>
      <c r="Y87" s="35">
        <f t="shared" si="85"/>
        <v>0</v>
      </c>
      <c r="Z87" s="35">
        <f t="shared" si="85"/>
        <v>0</v>
      </c>
      <c r="AA87" s="35">
        <f t="shared" si="85"/>
        <v>4</v>
      </c>
      <c r="AB87" s="35">
        <f t="shared" si="85"/>
        <v>0</v>
      </c>
      <c r="AC87" s="35">
        <f t="shared" si="85"/>
        <v>0</v>
      </c>
      <c r="AD87" s="35">
        <f t="shared" si="85"/>
        <v>0</v>
      </c>
      <c r="AE87" s="35">
        <f t="shared" si="85"/>
        <v>0</v>
      </c>
      <c r="AF87" s="35">
        <f t="shared" si="85"/>
        <v>0</v>
      </c>
      <c r="AG87" s="35">
        <f t="shared" si="85"/>
        <v>0</v>
      </c>
      <c r="AH87" s="35">
        <f t="shared" si="85"/>
        <v>0</v>
      </c>
      <c r="AI87" s="35">
        <f t="shared" si="85"/>
        <v>0</v>
      </c>
      <c r="AJ87" s="35">
        <f t="shared" si="85"/>
        <v>1</v>
      </c>
      <c r="AK87" s="35">
        <f t="shared" si="85"/>
        <v>0</v>
      </c>
      <c r="AL87" s="35">
        <f t="shared" si="85"/>
        <v>0</v>
      </c>
      <c r="AM87" s="35">
        <f t="shared" si="85"/>
        <v>0</v>
      </c>
      <c r="AN87" s="35">
        <f t="shared" si="85"/>
        <v>0</v>
      </c>
      <c r="AO87" s="35">
        <f t="shared" si="85"/>
        <v>0</v>
      </c>
      <c r="AP87" s="35">
        <f t="shared" si="85"/>
        <v>1</v>
      </c>
    </row>
    <row r="88" spans="1:42" ht="13">
      <c r="A88" s="36">
        <v>44007</v>
      </c>
      <c r="B88" s="40">
        <v>20</v>
      </c>
      <c r="C88" s="40">
        <v>40</v>
      </c>
      <c r="D88" s="40">
        <v>13</v>
      </c>
      <c r="E88" s="40">
        <v>62</v>
      </c>
      <c r="F88" s="40">
        <v>1957</v>
      </c>
      <c r="G88" s="40">
        <v>112</v>
      </c>
      <c r="H88" s="40">
        <v>376</v>
      </c>
      <c r="I88" s="40">
        <v>86</v>
      </c>
      <c r="J88" s="40">
        <v>27</v>
      </c>
      <c r="K88" s="40">
        <v>14</v>
      </c>
      <c r="L88" s="40">
        <v>19</v>
      </c>
      <c r="M88" s="40">
        <v>305</v>
      </c>
      <c r="N88" s="40">
        <v>51</v>
      </c>
      <c r="O88" s="40">
        <v>615</v>
      </c>
      <c r="P88" s="40">
        <v>22</v>
      </c>
      <c r="Q88" s="40">
        <v>50</v>
      </c>
      <c r="R88" s="40">
        <v>13</v>
      </c>
      <c r="S88" s="40">
        <v>17</v>
      </c>
      <c r="T88" s="40">
        <v>63</v>
      </c>
      <c r="U88" s="40">
        <v>261</v>
      </c>
      <c r="V88" s="40">
        <v>4123</v>
      </c>
      <c r="W88" s="35">
        <f t="shared" ref="W88:AP88" si="86">B88-B87</f>
        <v>0</v>
      </c>
      <c r="X88" s="35">
        <f t="shared" si="86"/>
        <v>0</v>
      </c>
      <c r="Y88" s="35">
        <f t="shared" si="86"/>
        <v>0</v>
      </c>
      <c r="Z88" s="35">
        <f t="shared" si="86"/>
        <v>0</v>
      </c>
      <c r="AA88" s="35">
        <f t="shared" si="86"/>
        <v>5</v>
      </c>
      <c r="AB88" s="35">
        <f t="shared" si="86"/>
        <v>-5</v>
      </c>
      <c r="AC88" s="35">
        <f t="shared" si="86"/>
        <v>0</v>
      </c>
      <c r="AD88" s="35">
        <f t="shared" si="86"/>
        <v>0</v>
      </c>
      <c r="AE88" s="35">
        <f t="shared" si="86"/>
        <v>0</v>
      </c>
      <c r="AF88" s="35">
        <f t="shared" si="86"/>
        <v>0</v>
      </c>
      <c r="AG88" s="35">
        <f t="shared" si="86"/>
        <v>0</v>
      </c>
      <c r="AH88" s="35">
        <f t="shared" si="86"/>
        <v>3</v>
      </c>
      <c r="AI88" s="35">
        <f t="shared" si="86"/>
        <v>0</v>
      </c>
      <c r="AJ88" s="35">
        <f t="shared" si="86"/>
        <v>6</v>
      </c>
      <c r="AK88" s="35">
        <f t="shared" si="86"/>
        <v>0</v>
      </c>
      <c r="AL88" s="35">
        <f t="shared" si="86"/>
        <v>0</v>
      </c>
      <c r="AM88" s="35">
        <f t="shared" si="86"/>
        <v>0</v>
      </c>
      <c r="AN88" s="35">
        <f t="shared" si="86"/>
        <v>0</v>
      </c>
      <c r="AO88" s="35">
        <f t="shared" si="86"/>
        <v>0</v>
      </c>
      <c r="AP88" s="35">
        <f t="shared" si="86"/>
        <v>0</v>
      </c>
    </row>
    <row r="89" spans="1:42" ht="13">
      <c r="A89" s="36">
        <v>44008</v>
      </c>
      <c r="B89" s="40">
        <v>20</v>
      </c>
      <c r="C89" s="40">
        <v>40</v>
      </c>
      <c r="D89" s="40">
        <v>13</v>
      </c>
      <c r="E89" s="40">
        <v>62</v>
      </c>
      <c r="F89" s="40">
        <v>1959</v>
      </c>
      <c r="G89" s="40">
        <v>112</v>
      </c>
      <c r="H89" s="40">
        <v>376</v>
      </c>
      <c r="I89" s="40">
        <v>86</v>
      </c>
      <c r="J89" s="40">
        <v>27</v>
      </c>
      <c r="K89" s="40">
        <v>14</v>
      </c>
      <c r="L89" s="40">
        <v>19</v>
      </c>
      <c r="M89" s="40">
        <v>305</v>
      </c>
      <c r="N89" s="40">
        <v>51</v>
      </c>
      <c r="O89" s="40">
        <v>616</v>
      </c>
      <c r="P89" s="40">
        <v>22</v>
      </c>
      <c r="Q89" s="40">
        <v>51</v>
      </c>
      <c r="R89" s="40">
        <v>13</v>
      </c>
      <c r="S89" s="40">
        <v>17</v>
      </c>
      <c r="T89" s="40">
        <v>63</v>
      </c>
      <c r="U89" s="40">
        <v>261</v>
      </c>
      <c r="V89" s="40">
        <v>4127</v>
      </c>
      <c r="W89" s="35">
        <f t="shared" ref="W89:AP89" si="87">B89-B88</f>
        <v>0</v>
      </c>
      <c r="X89" s="35">
        <f t="shared" si="87"/>
        <v>0</v>
      </c>
      <c r="Y89" s="35">
        <f t="shared" si="87"/>
        <v>0</v>
      </c>
      <c r="Z89" s="35">
        <f t="shared" si="87"/>
        <v>0</v>
      </c>
      <c r="AA89" s="35">
        <f t="shared" si="87"/>
        <v>2</v>
      </c>
      <c r="AB89" s="35">
        <f t="shared" si="87"/>
        <v>0</v>
      </c>
      <c r="AC89" s="35">
        <f t="shared" si="87"/>
        <v>0</v>
      </c>
      <c r="AD89" s="35">
        <f t="shared" si="87"/>
        <v>0</v>
      </c>
      <c r="AE89" s="35">
        <f t="shared" si="87"/>
        <v>0</v>
      </c>
      <c r="AF89" s="35">
        <f t="shared" si="87"/>
        <v>0</v>
      </c>
      <c r="AG89" s="35">
        <f t="shared" si="87"/>
        <v>0</v>
      </c>
      <c r="AH89" s="35">
        <f t="shared" si="87"/>
        <v>0</v>
      </c>
      <c r="AI89" s="35">
        <f t="shared" si="87"/>
        <v>0</v>
      </c>
      <c r="AJ89" s="35">
        <f t="shared" si="87"/>
        <v>1</v>
      </c>
      <c r="AK89" s="35">
        <f t="shared" si="87"/>
        <v>0</v>
      </c>
      <c r="AL89" s="35">
        <f t="shared" si="87"/>
        <v>1</v>
      </c>
      <c r="AM89" s="35">
        <f t="shared" si="87"/>
        <v>0</v>
      </c>
      <c r="AN89" s="35">
        <f t="shared" si="87"/>
        <v>0</v>
      </c>
      <c r="AO89" s="35">
        <f t="shared" si="87"/>
        <v>0</v>
      </c>
      <c r="AP89" s="35">
        <f t="shared" si="87"/>
        <v>0</v>
      </c>
    </row>
    <row r="90" spans="1:42" ht="13">
      <c r="A90" s="36">
        <v>44009</v>
      </c>
      <c r="B90" s="40">
        <v>20</v>
      </c>
      <c r="C90" s="40">
        <v>40</v>
      </c>
      <c r="D90" s="40">
        <v>13</v>
      </c>
      <c r="E90" s="40">
        <v>62</v>
      </c>
      <c r="F90" s="40">
        <v>1973</v>
      </c>
      <c r="G90" s="40">
        <v>112</v>
      </c>
      <c r="H90" s="40">
        <v>376</v>
      </c>
      <c r="I90" s="40">
        <v>86</v>
      </c>
      <c r="J90" s="40">
        <v>21</v>
      </c>
      <c r="K90" s="40">
        <v>14</v>
      </c>
      <c r="L90" s="40">
        <v>19</v>
      </c>
      <c r="M90" s="40">
        <v>307</v>
      </c>
      <c r="N90" s="40">
        <v>51</v>
      </c>
      <c r="O90" s="40">
        <v>617</v>
      </c>
      <c r="P90" s="40">
        <v>22</v>
      </c>
      <c r="Q90" s="40">
        <v>51</v>
      </c>
      <c r="R90" s="40">
        <v>13</v>
      </c>
      <c r="S90" s="40">
        <v>17</v>
      </c>
      <c r="T90" s="40">
        <v>63</v>
      </c>
      <c r="U90" s="40">
        <v>261</v>
      </c>
      <c r="V90" s="40">
        <v>4138</v>
      </c>
      <c r="W90" s="35">
        <f t="shared" ref="W90:AP90" si="88">B90-B89</f>
        <v>0</v>
      </c>
      <c r="X90" s="35">
        <f t="shared" si="88"/>
        <v>0</v>
      </c>
      <c r="Y90" s="35">
        <f t="shared" si="88"/>
        <v>0</v>
      </c>
      <c r="Z90" s="35">
        <f t="shared" si="88"/>
        <v>0</v>
      </c>
      <c r="AA90" s="35">
        <f t="shared" si="88"/>
        <v>14</v>
      </c>
      <c r="AB90" s="35">
        <f t="shared" si="88"/>
        <v>0</v>
      </c>
      <c r="AC90" s="35">
        <f t="shared" si="88"/>
        <v>0</v>
      </c>
      <c r="AD90" s="35">
        <f t="shared" si="88"/>
        <v>0</v>
      </c>
      <c r="AE90" s="35">
        <f t="shared" si="88"/>
        <v>-6</v>
      </c>
      <c r="AF90" s="35">
        <f t="shared" si="88"/>
        <v>0</v>
      </c>
      <c r="AG90" s="35">
        <f t="shared" si="88"/>
        <v>0</v>
      </c>
      <c r="AH90" s="35">
        <f t="shared" si="88"/>
        <v>2</v>
      </c>
      <c r="AI90" s="35">
        <f t="shared" si="88"/>
        <v>0</v>
      </c>
      <c r="AJ90" s="35">
        <f t="shared" si="88"/>
        <v>1</v>
      </c>
      <c r="AK90" s="35">
        <f t="shared" si="88"/>
        <v>0</v>
      </c>
      <c r="AL90" s="35">
        <f t="shared" si="88"/>
        <v>0</v>
      </c>
      <c r="AM90" s="35">
        <f t="shared" si="88"/>
        <v>0</v>
      </c>
      <c r="AN90" s="35">
        <f t="shared" si="88"/>
        <v>0</v>
      </c>
      <c r="AO90" s="35">
        <f t="shared" si="88"/>
        <v>0</v>
      </c>
      <c r="AP90" s="35">
        <f t="shared" si="88"/>
        <v>0</v>
      </c>
    </row>
    <row r="91" spans="1:42" ht="13">
      <c r="A91" s="36">
        <v>44010</v>
      </c>
      <c r="B91" s="40">
        <v>20</v>
      </c>
      <c r="C91" s="40">
        <v>40</v>
      </c>
      <c r="D91" s="40">
        <v>13</v>
      </c>
      <c r="E91" s="40">
        <v>62</v>
      </c>
      <c r="F91" s="40">
        <v>1975</v>
      </c>
      <c r="G91" s="40">
        <v>112</v>
      </c>
      <c r="H91" s="40">
        <v>376</v>
      </c>
      <c r="I91" s="40">
        <v>86</v>
      </c>
      <c r="J91" s="40">
        <v>22</v>
      </c>
      <c r="K91" s="40">
        <v>14</v>
      </c>
      <c r="L91" s="40">
        <v>19</v>
      </c>
      <c r="M91" s="40">
        <v>307</v>
      </c>
      <c r="N91" s="40">
        <v>51</v>
      </c>
      <c r="O91" s="40">
        <v>617</v>
      </c>
      <c r="P91" s="40">
        <v>22</v>
      </c>
      <c r="Q91" s="40">
        <v>51</v>
      </c>
      <c r="R91" s="40">
        <v>13</v>
      </c>
      <c r="S91" s="40">
        <v>17</v>
      </c>
      <c r="T91" s="40">
        <v>63</v>
      </c>
      <c r="U91" s="40">
        <v>262</v>
      </c>
      <c r="V91" s="40">
        <v>4142</v>
      </c>
      <c r="W91" s="35">
        <f t="shared" ref="W91:AP91" si="89">B91-B90</f>
        <v>0</v>
      </c>
      <c r="X91" s="35">
        <f t="shared" si="89"/>
        <v>0</v>
      </c>
      <c r="Y91" s="35">
        <f t="shared" si="89"/>
        <v>0</v>
      </c>
      <c r="Z91" s="35">
        <f t="shared" si="89"/>
        <v>0</v>
      </c>
      <c r="AA91" s="35">
        <f t="shared" si="89"/>
        <v>2</v>
      </c>
      <c r="AB91" s="35">
        <f t="shared" si="89"/>
        <v>0</v>
      </c>
      <c r="AC91" s="35">
        <f t="shared" si="89"/>
        <v>0</v>
      </c>
      <c r="AD91" s="35">
        <f t="shared" si="89"/>
        <v>0</v>
      </c>
      <c r="AE91" s="35">
        <f t="shared" si="89"/>
        <v>1</v>
      </c>
      <c r="AF91" s="35">
        <f t="shared" si="89"/>
        <v>0</v>
      </c>
      <c r="AG91" s="35">
        <f t="shared" si="89"/>
        <v>0</v>
      </c>
      <c r="AH91" s="35">
        <f t="shared" si="89"/>
        <v>0</v>
      </c>
      <c r="AI91" s="35">
        <f t="shared" si="89"/>
        <v>0</v>
      </c>
      <c r="AJ91" s="35">
        <f t="shared" si="89"/>
        <v>0</v>
      </c>
      <c r="AK91" s="35">
        <f t="shared" si="89"/>
        <v>0</v>
      </c>
      <c r="AL91" s="35">
        <f t="shared" si="89"/>
        <v>0</v>
      </c>
      <c r="AM91" s="35">
        <f t="shared" si="89"/>
        <v>0</v>
      </c>
      <c r="AN91" s="35">
        <f t="shared" si="89"/>
        <v>0</v>
      </c>
      <c r="AO91" s="35">
        <f t="shared" si="89"/>
        <v>0</v>
      </c>
      <c r="AP91" s="35">
        <f t="shared" si="89"/>
        <v>1</v>
      </c>
    </row>
    <row r="92" spans="1:42" ht="13">
      <c r="A92" s="36">
        <v>44011</v>
      </c>
      <c r="B92" s="40">
        <v>20</v>
      </c>
      <c r="C92" s="40">
        <v>40</v>
      </c>
      <c r="D92" s="40">
        <v>13</v>
      </c>
      <c r="E92" s="40">
        <v>62</v>
      </c>
      <c r="F92" s="40">
        <v>1977</v>
      </c>
      <c r="G92" s="40">
        <v>112</v>
      </c>
      <c r="H92" s="40">
        <v>376</v>
      </c>
      <c r="I92" s="40">
        <v>86</v>
      </c>
      <c r="J92" s="40">
        <v>22</v>
      </c>
      <c r="K92" s="40">
        <v>14</v>
      </c>
      <c r="L92" s="40">
        <v>19</v>
      </c>
      <c r="M92" s="40">
        <v>307</v>
      </c>
      <c r="N92" s="40">
        <v>51</v>
      </c>
      <c r="O92" s="40">
        <v>618</v>
      </c>
      <c r="P92" s="40">
        <v>22</v>
      </c>
      <c r="Q92" s="40">
        <v>51</v>
      </c>
      <c r="R92" s="40">
        <v>13</v>
      </c>
      <c r="S92" s="40">
        <v>17</v>
      </c>
      <c r="T92" s="40">
        <v>63</v>
      </c>
      <c r="U92" s="40">
        <v>262</v>
      </c>
      <c r="V92" s="40">
        <v>4145</v>
      </c>
      <c r="W92" s="35">
        <f t="shared" ref="W92:AP92" si="90">B92-B91</f>
        <v>0</v>
      </c>
      <c r="X92" s="35">
        <f t="shared" si="90"/>
        <v>0</v>
      </c>
      <c r="Y92" s="35">
        <f t="shared" si="90"/>
        <v>0</v>
      </c>
      <c r="Z92" s="35">
        <f t="shared" si="90"/>
        <v>0</v>
      </c>
      <c r="AA92" s="35">
        <f t="shared" si="90"/>
        <v>2</v>
      </c>
      <c r="AB92" s="35">
        <f t="shared" si="90"/>
        <v>0</v>
      </c>
      <c r="AC92" s="35">
        <f t="shared" si="90"/>
        <v>0</v>
      </c>
      <c r="AD92" s="35">
        <f t="shared" si="90"/>
        <v>0</v>
      </c>
      <c r="AE92" s="35">
        <f t="shared" si="90"/>
        <v>0</v>
      </c>
      <c r="AF92" s="35">
        <f t="shared" si="90"/>
        <v>0</v>
      </c>
      <c r="AG92" s="35">
        <f t="shared" si="90"/>
        <v>0</v>
      </c>
      <c r="AH92" s="35">
        <f t="shared" si="90"/>
        <v>0</v>
      </c>
      <c r="AI92" s="35">
        <f t="shared" si="90"/>
        <v>0</v>
      </c>
      <c r="AJ92" s="35">
        <f t="shared" si="90"/>
        <v>1</v>
      </c>
      <c r="AK92" s="35">
        <f t="shared" si="90"/>
        <v>0</v>
      </c>
      <c r="AL92" s="35">
        <f t="shared" si="90"/>
        <v>0</v>
      </c>
      <c r="AM92" s="35">
        <f t="shared" si="90"/>
        <v>0</v>
      </c>
      <c r="AN92" s="35">
        <f t="shared" si="90"/>
        <v>0</v>
      </c>
      <c r="AO92" s="35">
        <f t="shared" si="90"/>
        <v>0</v>
      </c>
      <c r="AP92" s="35">
        <f t="shared" si="90"/>
        <v>0</v>
      </c>
    </row>
    <row r="93" spans="1:42" ht="13">
      <c r="A93" s="36">
        <v>44012</v>
      </c>
      <c r="B93" s="40">
        <v>20</v>
      </c>
      <c r="C93" s="40">
        <v>40</v>
      </c>
      <c r="D93" s="40">
        <v>13</v>
      </c>
      <c r="E93" s="40">
        <v>62</v>
      </c>
      <c r="F93" s="40">
        <v>1978</v>
      </c>
      <c r="G93" s="40">
        <v>112</v>
      </c>
      <c r="H93" s="40">
        <v>377</v>
      </c>
      <c r="I93" s="40">
        <v>86</v>
      </c>
      <c r="J93" s="40">
        <v>22</v>
      </c>
      <c r="K93" s="40">
        <v>14</v>
      </c>
      <c r="L93" s="40">
        <v>19</v>
      </c>
      <c r="M93" s="40">
        <v>307</v>
      </c>
      <c r="N93" s="40">
        <v>52</v>
      </c>
      <c r="O93" s="40">
        <v>624</v>
      </c>
      <c r="P93" s="40">
        <v>22</v>
      </c>
      <c r="Q93" s="40">
        <v>51</v>
      </c>
      <c r="R93" s="40">
        <v>14</v>
      </c>
      <c r="S93" s="40">
        <v>17</v>
      </c>
      <c r="T93" s="40">
        <v>63</v>
      </c>
      <c r="U93" s="40">
        <v>262</v>
      </c>
      <c r="V93" s="40">
        <v>4155</v>
      </c>
      <c r="W93" s="35">
        <f t="shared" ref="W93:AP93" si="91">B93-B92</f>
        <v>0</v>
      </c>
      <c r="X93" s="35">
        <f t="shared" si="91"/>
        <v>0</v>
      </c>
      <c r="Y93" s="35">
        <f t="shared" si="91"/>
        <v>0</v>
      </c>
      <c r="Z93" s="35">
        <f t="shared" si="91"/>
        <v>0</v>
      </c>
      <c r="AA93" s="35">
        <f t="shared" si="91"/>
        <v>1</v>
      </c>
      <c r="AB93" s="35">
        <f t="shared" si="91"/>
        <v>0</v>
      </c>
      <c r="AC93" s="35">
        <f t="shared" si="91"/>
        <v>1</v>
      </c>
      <c r="AD93" s="35">
        <f t="shared" si="91"/>
        <v>0</v>
      </c>
      <c r="AE93" s="35">
        <f t="shared" si="91"/>
        <v>0</v>
      </c>
      <c r="AF93" s="35">
        <f t="shared" si="91"/>
        <v>0</v>
      </c>
      <c r="AG93" s="35">
        <f t="shared" si="91"/>
        <v>0</v>
      </c>
      <c r="AH93" s="35">
        <f t="shared" si="91"/>
        <v>0</v>
      </c>
      <c r="AI93" s="35">
        <f t="shared" si="91"/>
        <v>1</v>
      </c>
      <c r="AJ93" s="35">
        <f t="shared" si="91"/>
        <v>6</v>
      </c>
      <c r="AK93" s="35">
        <f t="shared" si="91"/>
        <v>0</v>
      </c>
      <c r="AL93" s="35">
        <f t="shared" si="91"/>
        <v>0</v>
      </c>
      <c r="AM93" s="35">
        <f t="shared" si="91"/>
        <v>1</v>
      </c>
      <c r="AN93" s="35">
        <f t="shared" si="91"/>
        <v>0</v>
      </c>
      <c r="AO93" s="35">
        <f t="shared" si="91"/>
        <v>0</v>
      </c>
      <c r="AP93" s="35">
        <f t="shared" si="91"/>
        <v>0</v>
      </c>
    </row>
    <row r="94" spans="1:42" ht="13">
      <c r="A94" s="36">
        <v>44013</v>
      </c>
      <c r="B94" s="40">
        <v>20</v>
      </c>
      <c r="C94" s="40">
        <v>40</v>
      </c>
      <c r="D94" s="40">
        <v>13</v>
      </c>
      <c r="E94" s="40">
        <v>62</v>
      </c>
      <c r="F94" s="40">
        <v>1979</v>
      </c>
      <c r="G94" s="40">
        <v>112</v>
      </c>
      <c r="H94" s="40">
        <v>377</v>
      </c>
      <c r="I94" s="40">
        <v>86</v>
      </c>
      <c r="J94" s="40">
        <v>22</v>
      </c>
      <c r="K94" s="40">
        <v>14</v>
      </c>
      <c r="L94" s="40">
        <v>19</v>
      </c>
      <c r="M94" s="40">
        <v>307</v>
      </c>
      <c r="N94" s="40">
        <v>52</v>
      </c>
      <c r="O94" s="40">
        <v>625</v>
      </c>
      <c r="P94" s="40">
        <v>22</v>
      </c>
      <c r="Q94" s="40">
        <v>51</v>
      </c>
      <c r="R94" s="40">
        <v>14</v>
      </c>
      <c r="S94" s="40">
        <v>17</v>
      </c>
      <c r="T94" s="40">
        <v>63</v>
      </c>
      <c r="U94" s="40">
        <v>262</v>
      </c>
      <c r="V94" s="40">
        <v>4157</v>
      </c>
      <c r="W94" s="35">
        <f t="shared" ref="W94:AP94" si="92">B94-B93</f>
        <v>0</v>
      </c>
      <c r="X94" s="35">
        <f t="shared" si="92"/>
        <v>0</v>
      </c>
      <c r="Y94" s="35">
        <f t="shared" si="92"/>
        <v>0</v>
      </c>
      <c r="Z94" s="35">
        <f t="shared" si="92"/>
        <v>0</v>
      </c>
      <c r="AA94" s="35">
        <f t="shared" si="92"/>
        <v>1</v>
      </c>
      <c r="AB94" s="35">
        <f t="shared" si="92"/>
        <v>0</v>
      </c>
      <c r="AC94" s="35">
        <f t="shared" si="92"/>
        <v>0</v>
      </c>
      <c r="AD94" s="35">
        <f t="shared" si="92"/>
        <v>0</v>
      </c>
      <c r="AE94" s="35">
        <f t="shared" si="92"/>
        <v>0</v>
      </c>
      <c r="AF94" s="35">
        <f t="shared" si="92"/>
        <v>0</v>
      </c>
      <c r="AG94" s="35">
        <f t="shared" si="92"/>
        <v>0</v>
      </c>
      <c r="AH94" s="35">
        <f t="shared" si="92"/>
        <v>0</v>
      </c>
      <c r="AI94" s="35">
        <f t="shared" si="92"/>
        <v>0</v>
      </c>
      <c r="AJ94" s="35">
        <f t="shared" si="92"/>
        <v>1</v>
      </c>
      <c r="AK94" s="35">
        <f t="shared" si="92"/>
        <v>0</v>
      </c>
      <c r="AL94" s="35">
        <f t="shared" si="92"/>
        <v>0</v>
      </c>
      <c r="AM94" s="35">
        <f t="shared" si="92"/>
        <v>0</v>
      </c>
      <c r="AN94" s="35">
        <f t="shared" si="92"/>
        <v>0</v>
      </c>
      <c r="AO94" s="35">
        <f t="shared" si="92"/>
        <v>0</v>
      </c>
      <c r="AP94" s="35">
        <f t="shared" si="92"/>
        <v>0</v>
      </c>
    </row>
    <row r="95" spans="1:42" ht="13">
      <c r="A95" s="36">
        <v>44014</v>
      </c>
      <c r="B95" s="40">
        <v>21</v>
      </c>
      <c r="C95" s="40">
        <v>40</v>
      </c>
      <c r="D95" s="40">
        <v>13</v>
      </c>
      <c r="E95" s="40">
        <v>62</v>
      </c>
      <c r="F95" s="40">
        <v>1983</v>
      </c>
      <c r="G95" s="40">
        <v>112</v>
      </c>
      <c r="H95" s="40">
        <v>378</v>
      </c>
      <c r="I95" s="40">
        <v>86</v>
      </c>
      <c r="J95" s="40">
        <v>22</v>
      </c>
      <c r="K95" s="40">
        <v>15</v>
      </c>
      <c r="L95" s="40">
        <v>19</v>
      </c>
      <c r="M95" s="40">
        <v>307</v>
      </c>
      <c r="N95" s="40">
        <v>52</v>
      </c>
      <c r="O95" s="40">
        <v>627</v>
      </c>
      <c r="P95" s="40">
        <v>22</v>
      </c>
      <c r="Q95" s="40">
        <v>51</v>
      </c>
      <c r="R95" s="40">
        <v>14</v>
      </c>
      <c r="S95" s="40">
        <v>17</v>
      </c>
      <c r="T95" s="40">
        <v>63</v>
      </c>
      <c r="U95" s="40">
        <v>262</v>
      </c>
      <c r="V95" s="40">
        <v>4166</v>
      </c>
      <c r="W95" s="35">
        <f t="shared" ref="W95:AP95" si="93">B95-B94</f>
        <v>1</v>
      </c>
      <c r="X95" s="35">
        <f t="shared" si="93"/>
        <v>0</v>
      </c>
      <c r="Y95" s="35">
        <f t="shared" si="93"/>
        <v>0</v>
      </c>
      <c r="Z95" s="35">
        <f t="shared" si="93"/>
        <v>0</v>
      </c>
      <c r="AA95" s="35">
        <f t="shared" si="93"/>
        <v>4</v>
      </c>
      <c r="AB95" s="35">
        <f t="shared" si="93"/>
        <v>0</v>
      </c>
      <c r="AC95" s="35">
        <f t="shared" si="93"/>
        <v>1</v>
      </c>
      <c r="AD95" s="35">
        <f t="shared" si="93"/>
        <v>0</v>
      </c>
      <c r="AE95" s="35">
        <f t="shared" si="93"/>
        <v>0</v>
      </c>
      <c r="AF95" s="35">
        <f t="shared" si="93"/>
        <v>1</v>
      </c>
      <c r="AG95" s="35">
        <f t="shared" si="93"/>
        <v>0</v>
      </c>
      <c r="AH95" s="35">
        <f t="shared" si="93"/>
        <v>0</v>
      </c>
      <c r="AI95" s="35">
        <f t="shared" si="93"/>
        <v>0</v>
      </c>
      <c r="AJ95" s="35">
        <f t="shared" si="93"/>
        <v>2</v>
      </c>
      <c r="AK95" s="35">
        <f t="shared" si="93"/>
        <v>0</v>
      </c>
      <c r="AL95" s="35">
        <f t="shared" si="93"/>
        <v>0</v>
      </c>
      <c r="AM95" s="35">
        <f t="shared" si="93"/>
        <v>0</v>
      </c>
      <c r="AN95" s="35">
        <f t="shared" si="93"/>
        <v>0</v>
      </c>
      <c r="AO95" s="35">
        <f t="shared" si="93"/>
        <v>0</v>
      </c>
      <c r="AP95" s="35">
        <f t="shared" si="93"/>
        <v>0</v>
      </c>
    </row>
    <row r="96" spans="1:42" ht="13">
      <c r="A96" s="36">
        <v>44015</v>
      </c>
      <c r="B96" s="40">
        <v>21</v>
      </c>
      <c r="C96" s="40">
        <v>40</v>
      </c>
      <c r="D96" s="40">
        <v>13</v>
      </c>
      <c r="E96" s="40">
        <v>63</v>
      </c>
      <c r="F96" s="40">
        <v>1983</v>
      </c>
      <c r="G96" s="40">
        <v>112</v>
      </c>
      <c r="H96" s="40">
        <v>378</v>
      </c>
      <c r="I96" s="40">
        <v>87</v>
      </c>
      <c r="J96" s="40">
        <v>22</v>
      </c>
      <c r="K96" s="40">
        <v>18</v>
      </c>
      <c r="L96" s="40">
        <v>19</v>
      </c>
      <c r="M96" s="40">
        <v>307</v>
      </c>
      <c r="N96" s="40">
        <v>52</v>
      </c>
      <c r="O96" s="40">
        <v>627</v>
      </c>
      <c r="P96" s="40">
        <v>22</v>
      </c>
      <c r="Q96" s="40">
        <v>52</v>
      </c>
      <c r="R96" s="40">
        <v>14</v>
      </c>
      <c r="S96" s="40">
        <v>17</v>
      </c>
      <c r="T96" s="40">
        <v>63</v>
      </c>
      <c r="U96" s="40">
        <v>262</v>
      </c>
      <c r="V96" s="40">
        <v>4172</v>
      </c>
      <c r="W96" s="35">
        <f t="shared" ref="W96:AP96" si="94">B96-B95</f>
        <v>0</v>
      </c>
      <c r="X96" s="35">
        <f t="shared" si="94"/>
        <v>0</v>
      </c>
      <c r="Y96" s="35">
        <f t="shared" si="94"/>
        <v>0</v>
      </c>
      <c r="Z96" s="35">
        <f t="shared" si="94"/>
        <v>1</v>
      </c>
      <c r="AA96" s="35">
        <f t="shared" si="94"/>
        <v>0</v>
      </c>
      <c r="AB96" s="35">
        <f t="shared" si="94"/>
        <v>0</v>
      </c>
      <c r="AC96" s="35">
        <f t="shared" si="94"/>
        <v>0</v>
      </c>
      <c r="AD96" s="35">
        <f t="shared" si="94"/>
        <v>1</v>
      </c>
      <c r="AE96" s="35">
        <f t="shared" si="94"/>
        <v>0</v>
      </c>
      <c r="AF96" s="35">
        <f t="shared" si="94"/>
        <v>3</v>
      </c>
      <c r="AG96" s="35">
        <f t="shared" si="94"/>
        <v>0</v>
      </c>
      <c r="AH96" s="35">
        <f t="shared" si="94"/>
        <v>0</v>
      </c>
      <c r="AI96" s="35">
        <f t="shared" si="94"/>
        <v>0</v>
      </c>
      <c r="AJ96" s="35">
        <f t="shared" si="94"/>
        <v>0</v>
      </c>
      <c r="AK96" s="35">
        <f t="shared" si="94"/>
        <v>0</v>
      </c>
      <c r="AL96" s="35">
        <f t="shared" si="94"/>
        <v>1</v>
      </c>
      <c r="AM96" s="35">
        <f t="shared" si="94"/>
        <v>0</v>
      </c>
      <c r="AN96" s="35">
        <f t="shared" si="94"/>
        <v>0</v>
      </c>
      <c r="AO96" s="35">
        <f t="shared" si="94"/>
        <v>0</v>
      </c>
      <c r="AP96" s="35">
        <f t="shared" si="94"/>
        <v>0</v>
      </c>
    </row>
    <row r="97" spans="1:42" ht="13">
      <c r="A97" s="36">
        <v>44016</v>
      </c>
      <c r="B97" s="40">
        <v>21</v>
      </c>
      <c r="C97" s="40">
        <v>40</v>
      </c>
      <c r="D97" s="40">
        <v>13</v>
      </c>
      <c r="E97" s="40">
        <v>63</v>
      </c>
      <c r="F97" s="40">
        <v>1986</v>
      </c>
      <c r="G97" s="40">
        <v>112</v>
      </c>
      <c r="H97" s="40">
        <v>378</v>
      </c>
      <c r="I97" s="40">
        <v>87</v>
      </c>
      <c r="J97" s="40">
        <v>22</v>
      </c>
      <c r="K97" s="40">
        <v>18</v>
      </c>
      <c r="L97" s="40">
        <v>17</v>
      </c>
      <c r="M97" s="40">
        <v>307</v>
      </c>
      <c r="N97" s="40">
        <v>52</v>
      </c>
      <c r="O97" s="40">
        <v>629</v>
      </c>
      <c r="P97" s="40">
        <v>22</v>
      </c>
      <c r="Q97" s="40">
        <v>52</v>
      </c>
      <c r="R97" s="40">
        <v>13</v>
      </c>
      <c r="S97" s="40">
        <v>17</v>
      </c>
      <c r="T97" s="40">
        <v>63</v>
      </c>
      <c r="U97" s="40">
        <v>262</v>
      </c>
      <c r="V97" s="40">
        <v>4174</v>
      </c>
      <c r="W97" s="35">
        <f t="shared" ref="W97:AP97" si="95">B97-B96</f>
        <v>0</v>
      </c>
      <c r="X97" s="35">
        <f t="shared" si="95"/>
        <v>0</v>
      </c>
      <c r="Y97" s="35">
        <f t="shared" si="95"/>
        <v>0</v>
      </c>
      <c r="Z97" s="35">
        <f t="shared" si="95"/>
        <v>0</v>
      </c>
      <c r="AA97" s="35">
        <f t="shared" si="95"/>
        <v>3</v>
      </c>
      <c r="AB97" s="35">
        <f t="shared" si="95"/>
        <v>0</v>
      </c>
      <c r="AC97" s="35">
        <f t="shared" si="95"/>
        <v>0</v>
      </c>
      <c r="AD97" s="35">
        <f t="shared" si="95"/>
        <v>0</v>
      </c>
      <c r="AE97" s="35">
        <f t="shared" si="95"/>
        <v>0</v>
      </c>
      <c r="AF97" s="35">
        <f t="shared" si="95"/>
        <v>0</v>
      </c>
      <c r="AG97" s="35">
        <f t="shared" si="95"/>
        <v>-2</v>
      </c>
      <c r="AH97" s="35">
        <f t="shared" si="95"/>
        <v>0</v>
      </c>
      <c r="AI97" s="35">
        <f t="shared" si="95"/>
        <v>0</v>
      </c>
      <c r="AJ97" s="35">
        <f t="shared" si="95"/>
        <v>2</v>
      </c>
      <c r="AK97" s="35">
        <f t="shared" si="95"/>
        <v>0</v>
      </c>
      <c r="AL97" s="35">
        <f t="shared" si="95"/>
        <v>0</v>
      </c>
      <c r="AM97" s="35">
        <f t="shared" si="95"/>
        <v>-1</v>
      </c>
      <c r="AN97" s="35">
        <f t="shared" si="95"/>
        <v>0</v>
      </c>
      <c r="AO97" s="35">
        <f t="shared" si="95"/>
        <v>0</v>
      </c>
      <c r="AP97" s="35">
        <f t="shared" si="95"/>
        <v>0</v>
      </c>
    </row>
    <row r="98" spans="1:42" ht="13">
      <c r="A98" s="36">
        <v>44017</v>
      </c>
      <c r="B98" s="40">
        <v>21</v>
      </c>
      <c r="C98" s="40">
        <v>40</v>
      </c>
      <c r="D98" s="40">
        <v>13</v>
      </c>
      <c r="E98" s="40">
        <v>65</v>
      </c>
      <c r="F98" s="40">
        <v>1988</v>
      </c>
      <c r="G98" s="40">
        <v>113</v>
      </c>
      <c r="H98" s="40">
        <v>378</v>
      </c>
      <c r="I98" s="40">
        <v>87</v>
      </c>
      <c r="J98" s="40">
        <v>22</v>
      </c>
      <c r="K98" s="40">
        <v>19</v>
      </c>
      <c r="L98" s="40">
        <v>17</v>
      </c>
      <c r="M98" s="40">
        <v>307</v>
      </c>
      <c r="N98" s="40">
        <v>52</v>
      </c>
      <c r="O98" s="40">
        <v>631</v>
      </c>
      <c r="P98" s="40">
        <v>22</v>
      </c>
      <c r="Q98" s="40">
        <v>53</v>
      </c>
      <c r="R98" s="40">
        <v>13</v>
      </c>
      <c r="S98" s="40">
        <v>17</v>
      </c>
      <c r="T98" s="40">
        <v>63</v>
      </c>
      <c r="U98" s="40">
        <v>262</v>
      </c>
      <c r="V98" s="40">
        <v>4183</v>
      </c>
      <c r="W98" s="35">
        <f t="shared" ref="W98:AP98" si="96">B98-B97</f>
        <v>0</v>
      </c>
      <c r="X98" s="35">
        <f t="shared" si="96"/>
        <v>0</v>
      </c>
      <c r="Y98" s="35">
        <f t="shared" si="96"/>
        <v>0</v>
      </c>
      <c r="Z98" s="35">
        <f t="shared" si="96"/>
        <v>2</v>
      </c>
      <c r="AA98" s="35">
        <f t="shared" si="96"/>
        <v>2</v>
      </c>
      <c r="AB98" s="35">
        <f t="shared" si="96"/>
        <v>1</v>
      </c>
      <c r="AC98" s="35">
        <f t="shared" si="96"/>
        <v>0</v>
      </c>
      <c r="AD98" s="35">
        <f t="shared" si="96"/>
        <v>0</v>
      </c>
      <c r="AE98" s="35">
        <f t="shared" si="96"/>
        <v>0</v>
      </c>
      <c r="AF98" s="35">
        <f t="shared" si="96"/>
        <v>1</v>
      </c>
      <c r="AG98" s="35">
        <f t="shared" si="96"/>
        <v>0</v>
      </c>
      <c r="AH98" s="35">
        <f t="shared" si="96"/>
        <v>0</v>
      </c>
      <c r="AI98" s="35">
        <f t="shared" si="96"/>
        <v>0</v>
      </c>
      <c r="AJ98" s="35">
        <f t="shared" si="96"/>
        <v>2</v>
      </c>
      <c r="AK98" s="35">
        <f t="shared" si="96"/>
        <v>0</v>
      </c>
      <c r="AL98" s="35">
        <f t="shared" si="96"/>
        <v>1</v>
      </c>
      <c r="AM98" s="35">
        <f t="shared" si="96"/>
        <v>0</v>
      </c>
      <c r="AN98" s="35">
        <f t="shared" si="96"/>
        <v>0</v>
      </c>
      <c r="AO98" s="35">
        <f t="shared" si="96"/>
        <v>0</v>
      </c>
      <c r="AP98" s="35">
        <f t="shared" si="96"/>
        <v>0</v>
      </c>
    </row>
    <row r="99" spans="1:42" ht="13">
      <c r="A99" s="36">
        <v>44018</v>
      </c>
      <c r="B99" s="35">
        <v>21</v>
      </c>
      <c r="C99" s="35">
        <v>40</v>
      </c>
      <c r="D99" s="35">
        <v>13</v>
      </c>
      <c r="E99" s="35">
        <v>70</v>
      </c>
      <c r="F99" s="35">
        <v>1988</v>
      </c>
      <c r="G99" s="35">
        <v>113</v>
      </c>
      <c r="H99" s="35">
        <v>379</v>
      </c>
      <c r="I99" s="35">
        <v>87</v>
      </c>
      <c r="J99" s="35">
        <v>22</v>
      </c>
      <c r="K99" s="35">
        <v>19</v>
      </c>
      <c r="L99" s="35">
        <v>17</v>
      </c>
      <c r="M99" s="35">
        <v>307</v>
      </c>
      <c r="N99" s="35">
        <v>52</v>
      </c>
      <c r="O99" s="35">
        <v>631</v>
      </c>
      <c r="P99" s="35">
        <v>22</v>
      </c>
      <c r="Q99" s="35">
        <v>53</v>
      </c>
      <c r="R99" s="35">
        <v>13</v>
      </c>
      <c r="S99" s="35">
        <v>17</v>
      </c>
      <c r="T99" s="35">
        <v>63</v>
      </c>
      <c r="U99" s="35">
        <v>262</v>
      </c>
      <c r="V99" s="40">
        <f>SUM(B99:U99)</f>
        <v>4189</v>
      </c>
      <c r="W99" s="35">
        <f t="shared" ref="W99:AP99" si="97">B99-B98</f>
        <v>0</v>
      </c>
      <c r="X99" s="35">
        <f t="shared" si="97"/>
        <v>0</v>
      </c>
      <c r="Y99" s="35">
        <f t="shared" si="97"/>
        <v>0</v>
      </c>
      <c r="Z99" s="35">
        <f t="shared" si="97"/>
        <v>5</v>
      </c>
      <c r="AA99" s="35">
        <f t="shared" si="97"/>
        <v>0</v>
      </c>
      <c r="AB99" s="35">
        <f t="shared" si="97"/>
        <v>0</v>
      </c>
      <c r="AC99" s="35">
        <f t="shared" si="97"/>
        <v>1</v>
      </c>
      <c r="AD99" s="35">
        <f t="shared" si="97"/>
        <v>0</v>
      </c>
      <c r="AE99" s="35">
        <f t="shared" si="97"/>
        <v>0</v>
      </c>
      <c r="AF99" s="35">
        <f t="shared" si="97"/>
        <v>0</v>
      </c>
      <c r="AG99" s="35">
        <f t="shared" si="97"/>
        <v>0</v>
      </c>
      <c r="AH99" s="35">
        <f t="shared" si="97"/>
        <v>0</v>
      </c>
      <c r="AI99" s="35">
        <f t="shared" si="97"/>
        <v>0</v>
      </c>
      <c r="AJ99" s="35">
        <f t="shared" si="97"/>
        <v>0</v>
      </c>
      <c r="AK99" s="35">
        <f t="shared" si="97"/>
        <v>0</v>
      </c>
      <c r="AL99" s="35">
        <f t="shared" si="97"/>
        <v>0</v>
      </c>
      <c r="AM99" s="35">
        <f t="shared" si="97"/>
        <v>0</v>
      </c>
      <c r="AN99" s="35">
        <f t="shared" si="97"/>
        <v>0</v>
      </c>
      <c r="AO99" s="35">
        <f t="shared" si="97"/>
        <v>0</v>
      </c>
      <c r="AP99" s="35">
        <f t="shared" si="97"/>
        <v>0</v>
      </c>
    </row>
    <row r="100" spans="1:42" ht="13">
      <c r="A100" s="36">
        <v>44019</v>
      </c>
      <c r="B100" s="35">
        <v>21</v>
      </c>
      <c r="C100" s="35">
        <v>40</v>
      </c>
      <c r="D100" s="35">
        <v>13</v>
      </c>
      <c r="E100" s="35"/>
      <c r="F100" s="35">
        <v>1988</v>
      </c>
      <c r="G100" s="35">
        <v>113</v>
      </c>
      <c r="H100" s="35">
        <v>379</v>
      </c>
      <c r="I100" s="35"/>
      <c r="J100" s="35"/>
      <c r="K100" s="35"/>
      <c r="L100" s="35">
        <v>17</v>
      </c>
      <c r="M100" s="35">
        <v>307</v>
      </c>
      <c r="N100" s="35">
        <v>52</v>
      </c>
      <c r="O100" s="35"/>
      <c r="P100" s="35">
        <v>22</v>
      </c>
      <c r="Q100" s="35">
        <v>53</v>
      </c>
      <c r="R100" s="35">
        <v>13</v>
      </c>
      <c r="S100" s="35">
        <v>17</v>
      </c>
      <c r="T100" s="35">
        <v>63</v>
      </c>
      <c r="U100" s="35">
        <v>262</v>
      </c>
      <c r="V100" s="35">
        <v>4205</v>
      </c>
      <c r="W100" s="35">
        <f t="shared" ref="W100:Y100" si="98">B100-B99</f>
        <v>0</v>
      </c>
      <c r="X100" s="35">
        <f t="shared" si="98"/>
        <v>0</v>
      </c>
      <c r="Y100" s="35">
        <f t="shared" si="98"/>
        <v>0</v>
      </c>
      <c r="Z100" s="35"/>
      <c r="AA100" s="35">
        <f t="shared" ref="AA100:AC100" si="99">F100-F99</f>
        <v>0</v>
      </c>
      <c r="AB100" s="35">
        <f t="shared" si="99"/>
        <v>0</v>
      </c>
      <c r="AC100" s="35">
        <f t="shared" si="99"/>
        <v>0</v>
      </c>
      <c r="AD100" s="35"/>
      <c r="AE100" s="35"/>
      <c r="AF100" s="35"/>
      <c r="AG100" s="35">
        <f t="shared" ref="AG100:AI100" si="100">L100-L99</f>
        <v>0</v>
      </c>
      <c r="AH100" s="35">
        <f t="shared" si="100"/>
        <v>0</v>
      </c>
      <c r="AI100" s="35">
        <f t="shared" si="100"/>
        <v>0</v>
      </c>
      <c r="AJ100" s="35"/>
      <c r="AK100" s="35">
        <f t="shared" ref="AK100:AP100" si="101">P100-P99</f>
        <v>0</v>
      </c>
      <c r="AL100" s="35">
        <f t="shared" si="101"/>
        <v>0</v>
      </c>
      <c r="AM100" s="35">
        <f t="shared" si="101"/>
        <v>0</v>
      </c>
      <c r="AN100" s="35">
        <f t="shared" si="101"/>
        <v>0</v>
      </c>
      <c r="AO100" s="35">
        <f t="shared" si="101"/>
        <v>0</v>
      </c>
      <c r="AP100" s="35">
        <f t="shared" si="101"/>
        <v>0</v>
      </c>
    </row>
    <row r="101" spans="1:42" ht="13">
      <c r="A101" s="36">
        <v>44020</v>
      </c>
      <c r="B101" s="38">
        <v>21</v>
      </c>
      <c r="C101" s="38">
        <v>40</v>
      </c>
      <c r="D101" s="38">
        <v>13</v>
      </c>
      <c r="E101" s="38">
        <v>84</v>
      </c>
      <c r="F101" s="38">
        <v>1988</v>
      </c>
      <c r="G101" s="38">
        <v>113</v>
      </c>
      <c r="H101" s="38">
        <v>379</v>
      </c>
      <c r="I101" s="38">
        <v>88</v>
      </c>
      <c r="J101" s="38">
        <v>23</v>
      </c>
      <c r="K101" s="38">
        <v>20</v>
      </c>
      <c r="L101" s="38">
        <v>17</v>
      </c>
      <c r="M101" s="38">
        <v>307</v>
      </c>
      <c r="N101" s="38">
        <v>52</v>
      </c>
      <c r="O101" s="38">
        <v>635</v>
      </c>
      <c r="P101" s="38">
        <v>22</v>
      </c>
      <c r="Q101" s="38">
        <v>53</v>
      </c>
      <c r="R101" s="38">
        <v>13</v>
      </c>
      <c r="S101" s="38">
        <v>17</v>
      </c>
      <c r="T101" s="38">
        <v>63</v>
      </c>
      <c r="U101" s="38">
        <v>262</v>
      </c>
      <c r="V101" s="38">
        <v>4210</v>
      </c>
      <c r="W101" s="35">
        <f t="shared" ref="W101:Y101" si="102">B101-B100</f>
        <v>0</v>
      </c>
      <c r="X101" s="35">
        <f t="shared" si="102"/>
        <v>0</v>
      </c>
      <c r="Y101" s="35">
        <f t="shared" si="102"/>
        <v>0</v>
      </c>
      <c r="Z101" s="35">
        <f>E101-E99</f>
        <v>14</v>
      </c>
      <c r="AA101" s="35">
        <f t="shared" ref="AA101:AC101" si="103">F101-F100</f>
        <v>0</v>
      </c>
      <c r="AB101" s="35">
        <f t="shared" si="103"/>
        <v>0</v>
      </c>
      <c r="AC101" s="35">
        <f t="shared" si="103"/>
        <v>0</v>
      </c>
      <c r="AD101" s="35">
        <f t="shared" ref="AD101:AF101" si="104">I101-I99</f>
        <v>1</v>
      </c>
      <c r="AE101" s="35">
        <f t="shared" si="104"/>
        <v>1</v>
      </c>
      <c r="AF101" s="35">
        <f t="shared" si="104"/>
        <v>1</v>
      </c>
      <c r="AG101" s="35">
        <f t="shared" ref="AG101:AI101" si="105">L101-L100</f>
        <v>0</v>
      </c>
      <c r="AH101" s="35">
        <f t="shared" si="105"/>
        <v>0</v>
      </c>
      <c r="AI101" s="35">
        <f t="shared" si="105"/>
        <v>0</v>
      </c>
      <c r="AJ101" s="35">
        <f>O101-O99</f>
        <v>4</v>
      </c>
      <c r="AK101" s="35">
        <f t="shared" ref="AK101:AP101" si="106">P101-P100</f>
        <v>0</v>
      </c>
      <c r="AL101" s="35">
        <f t="shared" si="106"/>
        <v>0</v>
      </c>
      <c r="AM101" s="35">
        <f t="shared" si="106"/>
        <v>0</v>
      </c>
      <c r="AN101" s="35">
        <f t="shared" si="106"/>
        <v>0</v>
      </c>
      <c r="AO101" s="35">
        <f t="shared" si="106"/>
        <v>0</v>
      </c>
      <c r="AP101" s="35">
        <f t="shared" si="106"/>
        <v>0</v>
      </c>
    </row>
    <row r="102" spans="1:42" ht="13">
      <c r="A102" s="36">
        <v>44021</v>
      </c>
      <c r="B102" s="40">
        <v>23</v>
      </c>
      <c r="C102" s="40">
        <v>40</v>
      </c>
      <c r="D102" s="40">
        <v>15</v>
      </c>
      <c r="E102" s="40">
        <v>85</v>
      </c>
      <c r="F102" s="40">
        <v>1988</v>
      </c>
      <c r="G102" s="40">
        <v>113</v>
      </c>
      <c r="H102" s="40">
        <v>379</v>
      </c>
      <c r="I102" s="40">
        <v>89</v>
      </c>
      <c r="J102" s="40">
        <v>23</v>
      </c>
      <c r="K102" s="40">
        <v>20</v>
      </c>
      <c r="L102" s="40">
        <v>17</v>
      </c>
      <c r="M102" s="40">
        <v>307</v>
      </c>
      <c r="N102" s="40">
        <v>52</v>
      </c>
      <c r="O102" s="40">
        <v>639</v>
      </c>
      <c r="P102" s="40">
        <v>22</v>
      </c>
      <c r="Q102" s="40">
        <v>53</v>
      </c>
      <c r="R102" s="40">
        <v>13</v>
      </c>
      <c r="S102" s="40">
        <v>17</v>
      </c>
      <c r="T102" s="40">
        <v>63</v>
      </c>
      <c r="U102" s="40">
        <v>262</v>
      </c>
      <c r="V102" s="40">
        <v>4220</v>
      </c>
      <c r="W102" s="35">
        <f t="shared" ref="W102:AP102" si="107">B102-B101</f>
        <v>2</v>
      </c>
      <c r="X102" s="35">
        <f t="shared" si="107"/>
        <v>0</v>
      </c>
      <c r="Y102" s="35">
        <f t="shared" si="107"/>
        <v>2</v>
      </c>
      <c r="Z102" s="35">
        <f t="shared" si="107"/>
        <v>1</v>
      </c>
      <c r="AA102" s="35">
        <f t="shared" si="107"/>
        <v>0</v>
      </c>
      <c r="AB102" s="35">
        <f t="shared" si="107"/>
        <v>0</v>
      </c>
      <c r="AC102" s="35">
        <f t="shared" si="107"/>
        <v>0</v>
      </c>
      <c r="AD102" s="35">
        <f t="shared" si="107"/>
        <v>1</v>
      </c>
      <c r="AE102" s="35">
        <f t="shared" si="107"/>
        <v>0</v>
      </c>
      <c r="AF102" s="35">
        <f t="shared" si="107"/>
        <v>0</v>
      </c>
      <c r="AG102" s="35">
        <f t="shared" si="107"/>
        <v>0</v>
      </c>
      <c r="AH102" s="35">
        <f t="shared" si="107"/>
        <v>0</v>
      </c>
      <c r="AI102" s="35">
        <f t="shared" si="107"/>
        <v>0</v>
      </c>
      <c r="AJ102" s="35">
        <f t="shared" si="107"/>
        <v>4</v>
      </c>
      <c r="AK102" s="35">
        <f t="shared" si="107"/>
        <v>0</v>
      </c>
      <c r="AL102" s="35">
        <f t="shared" si="107"/>
        <v>0</v>
      </c>
      <c r="AM102" s="35">
        <f t="shared" si="107"/>
        <v>0</v>
      </c>
      <c r="AN102" s="35">
        <f t="shared" si="107"/>
        <v>0</v>
      </c>
      <c r="AO102" s="35">
        <f t="shared" si="107"/>
        <v>0</v>
      </c>
      <c r="AP102" s="35">
        <f t="shared" si="107"/>
        <v>0</v>
      </c>
    </row>
    <row r="103" spans="1:42" ht="13">
      <c r="A103" s="36">
        <v>44022</v>
      </c>
      <c r="B103" s="40">
        <v>24</v>
      </c>
      <c r="C103" s="40">
        <v>40</v>
      </c>
      <c r="D103" s="40">
        <v>15</v>
      </c>
      <c r="E103" s="40">
        <v>86</v>
      </c>
      <c r="F103" s="40">
        <v>1988</v>
      </c>
      <c r="G103" s="40">
        <v>114</v>
      </c>
      <c r="H103" s="40">
        <v>379</v>
      </c>
      <c r="I103" s="40">
        <v>89</v>
      </c>
      <c r="J103" s="40">
        <v>23</v>
      </c>
      <c r="K103" s="40">
        <v>20</v>
      </c>
      <c r="L103" s="40">
        <v>17</v>
      </c>
      <c r="M103" s="40">
        <v>307</v>
      </c>
      <c r="N103" s="40">
        <v>52</v>
      </c>
      <c r="O103" s="40">
        <v>639</v>
      </c>
      <c r="P103" s="40">
        <v>22</v>
      </c>
      <c r="Q103" s="40">
        <v>53</v>
      </c>
      <c r="R103" s="40">
        <v>13</v>
      </c>
      <c r="S103" s="40">
        <v>17</v>
      </c>
      <c r="T103" s="40">
        <v>63</v>
      </c>
      <c r="U103" s="40">
        <v>262</v>
      </c>
      <c r="V103" s="40">
        <v>4223</v>
      </c>
      <c r="W103" s="35">
        <f t="shared" ref="W103:AP103" si="108">B103-B102</f>
        <v>1</v>
      </c>
      <c r="X103" s="35">
        <f t="shared" si="108"/>
        <v>0</v>
      </c>
      <c r="Y103" s="35">
        <f t="shared" si="108"/>
        <v>0</v>
      </c>
      <c r="Z103" s="35">
        <f t="shared" si="108"/>
        <v>1</v>
      </c>
      <c r="AA103" s="35">
        <f t="shared" si="108"/>
        <v>0</v>
      </c>
      <c r="AB103" s="35">
        <f t="shared" si="108"/>
        <v>1</v>
      </c>
      <c r="AC103" s="35">
        <f t="shared" si="108"/>
        <v>0</v>
      </c>
      <c r="AD103" s="35">
        <f t="shared" si="108"/>
        <v>0</v>
      </c>
      <c r="AE103" s="35">
        <f t="shared" si="108"/>
        <v>0</v>
      </c>
      <c r="AF103" s="35">
        <f t="shared" si="108"/>
        <v>0</v>
      </c>
      <c r="AG103" s="35">
        <f t="shared" si="108"/>
        <v>0</v>
      </c>
      <c r="AH103" s="35">
        <f t="shared" si="108"/>
        <v>0</v>
      </c>
      <c r="AI103" s="35">
        <f t="shared" si="108"/>
        <v>0</v>
      </c>
      <c r="AJ103" s="35">
        <f t="shared" si="108"/>
        <v>0</v>
      </c>
      <c r="AK103" s="35">
        <f t="shared" si="108"/>
        <v>0</v>
      </c>
      <c r="AL103" s="35">
        <f t="shared" si="108"/>
        <v>0</v>
      </c>
      <c r="AM103" s="35">
        <f t="shared" si="108"/>
        <v>0</v>
      </c>
      <c r="AN103" s="35">
        <f t="shared" si="108"/>
        <v>0</v>
      </c>
      <c r="AO103" s="35">
        <f t="shared" si="108"/>
        <v>0</v>
      </c>
      <c r="AP103" s="35">
        <f t="shared" si="108"/>
        <v>0</v>
      </c>
    </row>
    <row r="104" spans="1:42" ht="13">
      <c r="A104" s="36">
        <v>44023</v>
      </c>
      <c r="B104" s="40">
        <v>24</v>
      </c>
      <c r="C104" s="40">
        <v>40</v>
      </c>
      <c r="D104" s="40">
        <v>15</v>
      </c>
      <c r="E104" s="40">
        <v>88</v>
      </c>
      <c r="F104" s="40">
        <v>1989</v>
      </c>
      <c r="G104" s="40">
        <v>115</v>
      </c>
      <c r="H104" s="40">
        <v>379</v>
      </c>
      <c r="I104" s="40">
        <v>89</v>
      </c>
      <c r="J104" s="40">
        <v>23</v>
      </c>
      <c r="K104" s="40">
        <v>20</v>
      </c>
      <c r="L104" s="40">
        <v>17</v>
      </c>
      <c r="M104" s="40">
        <v>308</v>
      </c>
      <c r="N104" s="40">
        <v>52</v>
      </c>
      <c r="O104" s="40">
        <v>640</v>
      </c>
      <c r="P104" s="40">
        <v>22</v>
      </c>
      <c r="Q104" s="40">
        <v>53</v>
      </c>
      <c r="R104" s="40">
        <v>13</v>
      </c>
      <c r="S104" s="40">
        <v>17</v>
      </c>
      <c r="T104" s="40">
        <v>63</v>
      </c>
      <c r="U104" s="40">
        <v>262</v>
      </c>
      <c r="V104" s="40">
        <v>4229</v>
      </c>
      <c r="W104" s="35">
        <f t="shared" ref="W104:AP104" si="109">B104-B103</f>
        <v>0</v>
      </c>
      <c r="X104" s="35">
        <f t="shared" si="109"/>
        <v>0</v>
      </c>
      <c r="Y104" s="35">
        <f t="shared" si="109"/>
        <v>0</v>
      </c>
      <c r="Z104" s="35">
        <f t="shared" si="109"/>
        <v>2</v>
      </c>
      <c r="AA104" s="35">
        <f t="shared" si="109"/>
        <v>1</v>
      </c>
      <c r="AB104" s="35">
        <f t="shared" si="109"/>
        <v>1</v>
      </c>
      <c r="AC104" s="35">
        <f t="shared" si="109"/>
        <v>0</v>
      </c>
      <c r="AD104" s="35">
        <f t="shared" si="109"/>
        <v>0</v>
      </c>
      <c r="AE104" s="35">
        <f t="shared" si="109"/>
        <v>0</v>
      </c>
      <c r="AF104" s="35">
        <f t="shared" si="109"/>
        <v>0</v>
      </c>
      <c r="AG104" s="35">
        <f t="shared" si="109"/>
        <v>0</v>
      </c>
      <c r="AH104" s="35">
        <f t="shared" si="109"/>
        <v>1</v>
      </c>
      <c r="AI104" s="35">
        <f t="shared" si="109"/>
        <v>0</v>
      </c>
      <c r="AJ104" s="35">
        <f t="shared" si="109"/>
        <v>1</v>
      </c>
      <c r="AK104" s="35">
        <f t="shared" si="109"/>
        <v>0</v>
      </c>
      <c r="AL104" s="35">
        <f t="shared" si="109"/>
        <v>0</v>
      </c>
      <c r="AM104" s="35">
        <f t="shared" si="109"/>
        <v>0</v>
      </c>
      <c r="AN104" s="35">
        <f t="shared" si="109"/>
        <v>0</v>
      </c>
      <c r="AO104" s="35">
        <f t="shared" si="109"/>
        <v>0</v>
      </c>
      <c r="AP104" s="35">
        <f t="shared" si="109"/>
        <v>0</v>
      </c>
    </row>
    <row r="105" spans="1:42" ht="13">
      <c r="A105" s="36">
        <v>44024</v>
      </c>
      <c r="B105" s="40">
        <v>25</v>
      </c>
      <c r="C105" s="40">
        <v>40</v>
      </c>
      <c r="D105" s="40">
        <v>15</v>
      </c>
      <c r="E105" s="40">
        <v>88</v>
      </c>
      <c r="F105" s="40">
        <v>1992</v>
      </c>
      <c r="G105" s="40">
        <v>116</v>
      </c>
      <c r="H105" s="40">
        <v>379</v>
      </c>
      <c r="I105" s="40">
        <v>89</v>
      </c>
      <c r="J105" s="40">
        <v>23</v>
      </c>
      <c r="K105" s="40">
        <v>20</v>
      </c>
      <c r="L105" s="40">
        <v>17</v>
      </c>
      <c r="M105" s="40">
        <v>308</v>
      </c>
      <c r="N105" s="40">
        <v>52</v>
      </c>
      <c r="O105" s="40">
        <v>640</v>
      </c>
      <c r="P105" s="40">
        <v>22</v>
      </c>
      <c r="Q105" s="40">
        <v>53</v>
      </c>
      <c r="R105" s="40">
        <v>13</v>
      </c>
      <c r="S105" s="40">
        <v>17</v>
      </c>
      <c r="T105" s="40">
        <v>63</v>
      </c>
      <c r="U105" s="40">
        <v>262</v>
      </c>
      <c r="V105" s="40">
        <v>4234</v>
      </c>
      <c r="W105" s="35">
        <f t="shared" ref="W105:AP105" si="110">B105-B104</f>
        <v>1</v>
      </c>
      <c r="X105" s="35">
        <f t="shared" si="110"/>
        <v>0</v>
      </c>
      <c r="Y105" s="35">
        <f t="shared" si="110"/>
        <v>0</v>
      </c>
      <c r="Z105" s="35">
        <f t="shared" si="110"/>
        <v>0</v>
      </c>
      <c r="AA105" s="35">
        <f t="shared" si="110"/>
        <v>3</v>
      </c>
      <c r="AB105" s="35">
        <f t="shared" si="110"/>
        <v>1</v>
      </c>
      <c r="AC105" s="35">
        <f t="shared" si="110"/>
        <v>0</v>
      </c>
      <c r="AD105" s="35">
        <f t="shared" si="110"/>
        <v>0</v>
      </c>
      <c r="AE105" s="35">
        <f t="shared" si="110"/>
        <v>0</v>
      </c>
      <c r="AF105" s="35">
        <f t="shared" si="110"/>
        <v>0</v>
      </c>
      <c r="AG105" s="35">
        <f t="shared" si="110"/>
        <v>0</v>
      </c>
      <c r="AH105" s="35">
        <f t="shared" si="110"/>
        <v>0</v>
      </c>
      <c r="AI105" s="35">
        <f t="shared" si="110"/>
        <v>0</v>
      </c>
      <c r="AJ105" s="35">
        <f t="shared" si="110"/>
        <v>0</v>
      </c>
      <c r="AK105" s="35">
        <f t="shared" si="110"/>
        <v>0</v>
      </c>
      <c r="AL105" s="35">
        <f t="shared" si="110"/>
        <v>0</v>
      </c>
      <c r="AM105" s="35">
        <f t="shared" si="110"/>
        <v>0</v>
      </c>
      <c r="AN105" s="35">
        <f t="shared" si="110"/>
        <v>0</v>
      </c>
      <c r="AO105" s="35">
        <f t="shared" si="110"/>
        <v>0</v>
      </c>
      <c r="AP105" s="35">
        <f t="shared" si="110"/>
        <v>0</v>
      </c>
    </row>
    <row r="106" spans="1:42" ht="13">
      <c r="A106" s="36">
        <v>44025</v>
      </c>
      <c r="B106" s="40">
        <v>25</v>
      </c>
      <c r="C106" s="40">
        <v>40</v>
      </c>
      <c r="D106" s="40">
        <v>15</v>
      </c>
      <c r="E106" s="40">
        <v>97</v>
      </c>
      <c r="F106" s="40">
        <v>1993</v>
      </c>
      <c r="G106" s="40">
        <v>116</v>
      </c>
      <c r="H106" s="40">
        <v>379</v>
      </c>
      <c r="I106" s="40">
        <v>89</v>
      </c>
      <c r="J106" s="40">
        <v>24</v>
      </c>
      <c r="K106" s="40">
        <v>20</v>
      </c>
      <c r="L106" s="40">
        <v>17</v>
      </c>
      <c r="M106" s="40">
        <v>308</v>
      </c>
      <c r="N106" s="40">
        <v>52</v>
      </c>
      <c r="O106" s="40">
        <v>641</v>
      </c>
      <c r="P106" s="40">
        <v>22</v>
      </c>
      <c r="Q106" s="40">
        <v>53</v>
      </c>
      <c r="R106" s="40">
        <v>13</v>
      </c>
      <c r="S106" s="40">
        <v>18</v>
      </c>
      <c r="T106" s="40">
        <v>63</v>
      </c>
      <c r="U106" s="40">
        <v>262</v>
      </c>
      <c r="V106" s="40">
        <v>4247</v>
      </c>
      <c r="W106" s="35">
        <f t="shared" ref="W106:AP106" si="111">B106-B105</f>
        <v>0</v>
      </c>
      <c r="X106" s="35">
        <f t="shared" si="111"/>
        <v>0</v>
      </c>
      <c r="Y106" s="35">
        <f t="shared" si="111"/>
        <v>0</v>
      </c>
      <c r="Z106" s="35">
        <f t="shared" si="111"/>
        <v>9</v>
      </c>
      <c r="AA106" s="35">
        <f t="shared" si="111"/>
        <v>1</v>
      </c>
      <c r="AB106" s="35">
        <f t="shared" si="111"/>
        <v>0</v>
      </c>
      <c r="AC106" s="35">
        <f t="shared" si="111"/>
        <v>0</v>
      </c>
      <c r="AD106" s="35">
        <f t="shared" si="111"/>
        <v>0</v>
      </c>
      <c r="AE106" s="35">
        <f t="shared" si="111"/>
        <v>1</v>
      </c>
      <c r="AF106" s="35">
        <f t="shared" si="111"/>
        <v>0</v>
      </c>
      <c r="AG106" s="35">
        <f t="shared" si="111"/>
        <v>0</v>
      </c>
      <c r="AH106" s="35">
        <f t="shared" si="111"/>
        <v>0</v>
      </c>
      <c r="AI106" s="35">
        <f t="shared" si="111"/>
        <v>0</v>
      </c>
      <c r="AJ106" s="35">
        <f t="shared" si="111"/>
        <v>1</v>
      </c>
      <c r="AK106" s="35">
        <f t="shared" si="111"/>
        <v>0</v>
      </c>
      <c r="AL106" s="35">
        <f t="shared" si="111"/>
        <v>0</v>
      </c>
      <c r="AM106" s="35">
        <f t="shared" si="111"/>
        <v>0</v>
      </c>
      <c r="AN106" s="35">
        <f t="shared" si="111"/>
        <v>1</v>
      </c>
      <c r="AO106" s="35">
        <f t="shared" si="111"/>
        <v>0</v>
      </c>
      <c r="AP106" s="35">
        <f t="shared" si="111"/>
        <v>0</v>
      </c>
    </row>
    <row r="107" spans="1:42" ht="13">
      <c r="A107" s="36">
        <v>44026</v>
      </c>
      <c r="B107" s="40">
        <v>25</v>
      </c>
      <c r="C107" s="40">
        <v>40</v>
      </c>
      <c r="D107" s="40">
        <v>15</v>
      </c>
      <c r="E107" s="40">
        <v>100</v>
      </c>
      <c r="F107" s="40">
        <v>1994</v>
      </c>
      <c r="G107" s="40">
        <v>116</v>
      </c>
      <c r="H107" s="40">
        <v>379</v>
      </c>
      <c r="I107" s="40">
        <v>89</v>
      </c>
      <c r="J107" s="40">
        <v>26</v>
      </c>
      <c r="K107" s="40">
        <v>22</v>
      </c>
      <c r="L107" s="40">
        <v>17</v>
      </c>
      <c r="M107" s="40">
        <v>308</v>
      </c>
      <c r="N107" s="40">
        <v>52</v>
      </c>
      <c r="O107" s="40">
        <v>644</v>
      </c>
      <c r="P107" s="40">
        <v>22</v>
      </c>
      <c r="Q107" s="40">
        <v>53</v>
      </c>
      <c r="R107" s="40">
        <v>13</v>
      </c>
      <c r="S107" s="40">
        <v>18</v>
      </c>
      <c r="T107" s="40">
        <v>63</v>
      </c>
      <c r="U107" s="40">
        <v>262</v>
      </c>
      <c r="V107" s="40">
        <v>4258</v>
      </c>
      <c r="W107" s="35">
        <f t="shared" ref="W107:AP107" si="112">B107-B106</f>
        <v>0</v>
      </c>
      <c r="X107" s="35">
        <f t="shared" si="112"/>
        <v>0</v>
      </c>
      <c r="Y107" s="35">
        <f t="shared" si="112"/>
        <v>0</v>
      </c>
      <c r="Z107" s="35">
        <f t="shared" si="112"/>
        <v>3</v>
      </c>
      <c r="AA107" s="35">
        <f t="shared" si="112"/>
        <v>1</v>
      </c>
      <c r="AB107" s="35">
        <f t="shared" si="112"/>
        <v>0</v>
      </c>
      <c r="AC107" s="35">
        <f t="shared" si="112"/>
        <v>0</v>
      </c>
      <c r="AD107" s="35">
        <f t="shared" si="112"/>
        <v>0</v>
      </c>
      <c r="AE107" s="35">
        <f t="shared" si="112"/>
        <v>2</v>
      </c>
      <c r="AF107" s="35">
        <f t="shared" si="112"/>
        <v>2</v>
      </c>
      <c r="AG107" s="35">
        <f t="shared" si="112"/>
        <v>0</v>
      </c>
      <c r="AH107" s="35">
        <f t="shared" si="112"/>
        <v>0</v>
      </c>
      <c r="AI107" s="35">
        <f t="shared" si="112"/>
        <v>0</v>
      </c>
      <c r="AJ107" s="35">
        <f t="shared" si="112"/>
        <v>3</v>
      </c>
      <c r="AK107" s="35">
        <f t="shared" si="112"/>
        <v>0</v>
      </c>
      <c r="AL107" s="35">
        <f t="shared" si="112"/>
        <v>0</v>
      </c>
      <c r="AM107" s="35">
        <f t="shared" si="112"/>
        <v>0</v>
      </c>
      <c r="AN107" s="35">
        <f t="shared" si="112"/>
        <v>0</v>
      </c>
      <c r="AO107" s="35">
        <f t="shared" si="112"/>
        <v>0</v>
      </c>
      <c r="AP107" s="35">
        <f t="shared" si="112"/>
        <v>0</v>
      </c>
    </row>
    <row r="108" spans="1:42" ht="13">
      <c r="A108" s="36">
        <v>44027</v>
      </c>
      <c r="B108" s="40">
        <v>25</v>
      </c>
      <c r="C108" s="40">
        <v>40</v>
      </c>
      <c r="D108" s="40">
        <v>15</v>
      </c>
      <c r="E108" s="40">
        <v>100</v>
      </c>
      <c r="F108" s="40">
        <v>1997</v>
      </c>
      <c r="G108" s="40">
        <v>117</v>
      </c>
      <c r="H108" s="40">
        <v>379</v>
      </c>
      <c r="I108" s="40">
        <v>89</v>
      </c>
      <c r="J108" s="40">
        <v>26</v>
      </c>
      <c r="K108" s="40">
        <v>22</v>
      </c>
      <c r="L108" s="40">
        <v>17</v>
      </c>
      <c r="M108" s="40">
        <v>308</v>
      </c>
      <c r="N108" s="40">
        <v>52</v>
      </c>
      <c r="O108" s="40">
        <v>645</v>
      </c>
      <c r="P108" s="40">
        <v>22</v>
      </c>
      <c r="Q108" s="40">
        <v>53</v>
      </c>
      <c r="R108" s="40">
        <v>13</v>
      </c>
      <c r="S108" s="40">
        <v>18</v>
      </c>
      <c r="T108" s="40">
        <v>63</v>
      </c>
      <c r="U108" s="40">
        <v>262</v>
      </c>
      <c r="V108" s="40">
        <v>4263</v>
      </c>
      <c r="W108" s="35">
        <f t="shared" ref="W108:AP108" si="113">B108-B107</f>
        <v>0</v>
      </c>
      <c r="X108" s="35">
        <f t="shared" si="113"/>
        <v>0</v>
      </c>
      <c r="Y108" s="35">
        <f t="shared" si="113"/>
        <v>0</v>
      </c>
      <c r="Z108" s="35">
        <f t="shared" si="113"/>
        <v>0</v>
      </c>
      <c r="AA108" s="35">
        <f t="shared" si="113"/>
        <v>3</v>
      </c>
      <c r="AB108" s="35">
        <f t="shared" si="113"/>
        <v>1</v>
      </c>
      <c r="AC108" s="35">
        <f t="shared" si="113"/>
        <v>0</v>
      </c>
      <c r="AD108" s="35">
        <f t="shared" si="113"/>
        <v>0</v>
      </c>
      <c r="AE108" s="35">
        <f t="shared" si="113"/>
        <v>0</v>
      </c>
      <c r="AF108" s="35">
        <f t="shared" si="113"/>
        <v>0</v>
      </c>
      <c r="AG108" s="35">
        <f t="shared" si="113"/>
        <v>0</v>
      </c>
      <c r="AH108" s="35">
        <f t="shared" si="113"/>
        <v>0</v>
      </c>
      <c r="AI108" s="35">
        <f t="shared" si="113"/>
        <v>0</v>
      </c>
      <c r="AJ108" s="35">
        <f t="shared" si="113"/>
        <v>1</v>
      </c>
      <c r="AK108" s="35">
        <f t="shared" si="113"/>
        <v>0</v>
      </c>
      <c r="AL108" s="35">
        <f t="shared" si="113"/>
        <v>0</v>
      </c>
      <c r="AM108" s="35">
        <f t="shared" si="113"/>
        <v>0</v>
      </c>
      <c r="AN108" s="35">
        <f t="shared" si="113"/>
        <v>0</v>
      </c>
      <c r="AO108" s="35">
        <f t="shared" si="113"/>
        <v>0</v>
      </c>
      <c r="AP108" s="35">
        <f t="shared" si="113"/>
        <v>0</v>
      </c>
    </row>
    <row r="109" spans="1:42" ht="13">
      <c r="A109" s="36">
        <v>44028</v>
      </c>
      <c r="B109" s="40">
        <v>25</v>
      </c>
      <c r="C109" s="40">
        <v>40</v>
      </c>
      <c r="D109" s="40">
        <v>15</v>
      </c>
      <c r="E109" s="40">
        <v>105</v>
      </c>
      <c r="F109" s="40">
        <v>2001</v>
      </c>
      <c r="G109" s="40">
        <v>124</v>
      </c>
      <c r="H109" s="40">
        <v>379</v>
      </c>
      <c r="I109" s="40">
        <v>89</v>
      </c>
      <c r="J109" s="40">
        <v>26</v>
      </c>
      <c r="K109" s="40">
        <v>22</v>
      </c>
      <c r="L109" s="40">
        <v>17</v>
      </c>
      <c r="M109" s="40">
        <v>308</v>
      </c>
      <c r="N109" s="40">
        <v>52</v>
      </c>
      <c r="O109" s="40">
        <v>645</v>
      </c>
      <c r="P109" s="40">
        <v>22</v>
      </c>
      <c r="Q109" s="40">
        <v>53</v>
      </c>
      <c r="R109" s="40">
        <v>13</v>
      </c>
      <c r="S109" s="40">
        <v>18</v>
      </c>
      <c r="T109" s="40">
        <v>63</v>
      </c>
      <c r="U109" s="40">
        <v>262</v>
      </c>
      <c r="V109" s="40">
        <v>4279</v>
      </c>
      <c r="W109" s="35">
        <f t="shared" ref="W109:AP109" si="114">B109-B108</f>
        <v>0</v>
      </c>
      <c r="X109" s="35">
        <f t="shared" si="114"/>
        <v>0</v>
      </c>
      <c r="Y109" s="35">
        <f t="shared" si="114"/>
        <v>0</v>
      </c>
      <c r="Z109" s="35">
        <f t="shared" si="114"/>
        <v>5</v>
      </c>
      <c r="AA109" s="35">
        <f t="shared" si="114"/>
        <v>4</v>
      </c>
      <c r="AB109" s="35">
        <f t="shared" si="114"/>
        <v>7</v>
      </c>
      <c r="AC109" s="35">
        <f t="shared" si="114"/>
        <v>0</v>
      </c>
      <c r="AD109" s="35">
        <f t="shared" si="114"/>
        <v>0</v>
      </c>
      <c r="AE109" s="35">
        <f t="shared" si="114"/>
        <v>0</v>
      </c>
      <c r="AF109" s="35">
        <f t="shared" si="114"/>
        <v>0</v>
      </c>
      <c r="AG109" s="35">
        <f t="shared" si="114"/>
        <v>0</v>
      </c>
      <c r="AH109" s="35">
        <f t="shared" si="114"/>
        <v>0</v>
      </c>
      <c r="AI109" s="35">
        <f t="shared" si="114"/>
        <v>0</v>
      </c>
      <c r="AJ109" s="35">
        <f t="shared" si="114"/>
        <v>0</v>
      </c>
      <c r="AK109" s="35">
        <f t="shared" si="114"/>
        <v>0</v>
      </c>
      <c r="AL109" s="35">
        <f t="shared" si="114"/>
        <v>0</v>
      </c>
      <c r="AM109" s="35">
        <f t="shared" si="114"/>
        <v>0</v>
      </c>
      <c r="AN109" s="35">
        <f t="shared" si="114"/>
        <v>0</v>
      </c>
      <c r="AO109" s="35">
        <f t="shared" si="114"/>
        <v>0</v>
      </c>
      <c r="AP109" s="35">
        <f t="shared" si="114"/>
        <v>0</v>
      </c>
    </row>
    <row r="110" spans="1:42" ht="13">
      <c r="A110" s="36">
        <v>44029</v>
      </c>
      <c r="B110" s="40">
        <v>25</v>
      </c>
      <c r="C110" s="40">
        <v>41</v>
      </c>
      <c r="D110" s="40">
        <v>15</v>
      </c>
      <c r="E110" s="40">
        <v>108</v>
      </c>
      <c r="F110" s="40">
        <v>2006</v>
      </c>
      <c r="G110" s="40">
        <v>125</v>
      </c>
      <c r="H110" s="40">
        <v>379</v>
      </c>
      <c r="I110" s="40">
        <v>89</v>
      </c>
      <c r="J110" s="40">
        <v>26</v>
      </c>
      <c r="K110" s="40">
        <v>22</v>
      </c>
      <c r="L110" s="40">
        <v>18</v>
      </c>
      <c r="M110" s="40">
        <v>308</v>
      </c>
      <c r="N110" s="40">
        <v>52</v>
      </c>
      <c r="O110" s="40">
        <v>648</v>
      </c>
      <c r="P110" s="40">
        <v>22</v>
      </c>
      <c r="Q110" s="40">
        <v>53</v>
      </c>
      <c r="R110" s="40">
        <v>13</v>
      </c>
      <c r="S110" s="40">
        <v>18</v>
      </c>
      <c r="T110" s="40">
        <v>63</v>
      </c>
      <c r="U110" s="40">
        <v>262</v>
      </c>
      <c r="V110" s="40">
        <v>4293</v>
      </c>
      <c r="W110" s="35">
        <f t="shared" ref="W110:AP110" si="115">B110-B109</f>
        <v>0</v>
      </c>
      <c r="X110" s="35">
        <f t="shared" si="115"/>
        <v>1</v>
      </c>
      <c r="Y110" s="35">
        <f t="shared" si="115"/>
        <v>0</v>
      </c>
      <c r="Z110" s="35">
        <f t="shared" si="115"/>
        <v>3</v>
      </c>
      <c r="AA110" s="35">
        <f t="shared" si="115"/>
        <v>5</v>
      </c>
      <c r="AB110" s="35">
        <f t="shared" si="115"/>
        <v>1</v>
      </c>
      <c r="AC110" s="35">
        <f t="shared" si="115"/>
        <v>0</v>
      </c>
      <c r="AD110" s="35">
        <f t="shared" si="115"/>
        <v>0</v>
      </c>
      <c r="AE110" s="35">
        <f t="shared" si="115"/>
        <v>0</v>
      </c>
      <c r="AF110" s="35">
        <f t="shared" si="115"/>
        <v>0</v>
      </c>
      <c r="AG110" s="35">
        <f t="shared" si="115"/>
        <v>1</v>
      </c>
      <c r="AH110" s="35">
        <f t="shared" si="115"/>
        <v>0</v>
      </c>
      <c r="AI110" s="35">
        <f t="shared" si="115"/>
        <v>0</v>
      </c>
      <c r="AJ110" s="35">
        <f t="shared" si="115"/>
        <v>3</v>
      </c>
      <c r="AK110" s="35">
        <f t="shared" si="115"/>
        <v>0</v>
      </c>
      <c r="AL110" s="35">
        <f t="shared" si="115"/>
        <v>0</v>
      </c>
      <c r="AM110" s="35">
        <f t="shared" si="115"/>
        <v>0</v>
      </c>
      <c r="AN110" s="35">
        <f t="shared" si="115"/>
        <v>0</v>
      </c>
      <c r="AO110" s="35">
        <f t="shared" si="115"/>
        <v>0</v>
      </c>
      <c r="AP110" s="35">
        <f t="shared" si="115"/>
        <v>0</v>
      </c>
    </row>
    <row r="111" spans="1:42" ht="13">
      <c r="A111" s="36">
        <v>44030</v>
      </c>
      <c r="B111" s="40">
        <v>25</v>
      </c>
      <c r="C111" s="40">
        <v>41</v>
      </c>
      <c r="D111" s="40">
        <v>15</v>
      </c>
      <c r="E111" s="40">
        <v>115</v>
      </c>
      <c r="F111" s="40">
        <v>2009</v>
      </c>
      <c r="G111" s="40">
        <v>130</v>
      </c>
      <c r="H111" s="40">
        <v>379</v>
      </c>
      <c r="I111" s="40">
        <v>90</v>
      </c>
      <c r="J111" s="40">
        <v>25</v>
      </c>
      <c r="K111" s="40">
        <v>23</v>
      </c>
      <c r="L111" s="40">
        <v>18</v>
      </c>
      <c r="M111" s="40">
        <v>308</v>
      </c>
      <c r="N111" s="40">
        <v>52</v>
      </c>
      <c r="O111" s="40">
        <v>651</v>
      </c>
      <c r="P111" s="40">
        <v>23</v>
      </c>
      <c r="Q111" s="40">
        <v>53</v>
      </c>
      <c r="R111" s="40">
        <v>13</v>
      </c>
      <c r="S111" s="40">
        <v>18</v>
      </c>
      <c r="T111" s="40">
        <v>65</v>
      </c>
      <c r="U111" s="40">
        <v>262</v>
      </c>
      <c r="V111" s="40">
        <v>4315</v>
      </c>
      <c r="W111" s="35">
        <f t="shared" ref="W111:AP111" si="116">B111-B110</f>
        <v>0</v>
      </c>
      <c r="X111" s="35">
        <f t="shared" si="116"/>
        <v>0</v>
      </c>
      <c r="Y111" s="35">
        <f t="shared" si="116"/>
        <v>0</v>
      </c>
      <c r="Z111" s="35">
        <f t="shared" si="116"/>
        <v>7</v>
      </c>
      <c r="AA111" s="35">
        <f t="shared" si="116"/>
        <v>3</v>
      </c>
      <c r="AB111" s="35">
        <f t="shared" si="116"/>
        <v>5</v>
      </c>
      <c r="AC111" s="35">
        <f t="shared" si="116"/>
        <v>0</v>
      </c>
      <c r="AD111" s="35">
        <f t="shared" si="116"/>
        <v>1</v>
      </c>
      <c r="AE111" s="35">
        <f t="shared" si="116"/>
        <v>-1</v>
      </c>
      <c r="AF111" s="35">
        <f t="shared" si="116"/>
        <v>1</v>
      </c>
      <c r="AG111" s="35">
        <f t="shared" si="116"/>
        <v>0</v>
      </c>
      <c r="AH111" s="35">
        <f t="shared" si="116"/>
        <v>0</v>
      </c>
      <c r="AI111" s="35">
        <f t="shared" si="116"/>
        <v>0</v>
      </c>
      <c r="AJ111" s="35">
        <f t="shared" si="116"/>
        <v>3</v>
      </c>
      <c r="AK111" s="35">
        <f t="shared" si="116"/>
        <v>1</v>
      </c>
      <c r="AL111" s="35">
        <f t="shared" si="116"/>
        <v>0</v>
      </c>
      <c r="AM111" s="35">
        <f t="shared" si="116"/>
        <v>0</v>
      </c>
      <c r="AN111" s="35">
        <f t="shared" si="116"/>
        <v>0</v>
      </c>
      <c r="AO111" s="35">
        <f t="shared" si="116"/>
        <v>2</v>
      </c>
      <c r="AP111" s="35">
        <f t="shared" si="116"/>
        <v>0</v>
      </c>
    </row>
    <row r="112" spans="1:42" ht="13">
      <c r="A112" s="36">
        <v>44031</v>
      </c>
      <c r="B112" s="40">
        <v>27</v>
      </c>
      <c r="C112" s="40">
        <v>41</v>
      </c>
      <c r="D112" s="40">
        <v>15</v>
      </c>
      <c r="E112" s="40">
        <v>117</v>
      </c>
      <c r="F112" s="40">
        <v>2012</v>
      </c>
      <c r="G112" s="40">
        <v>133</v>
      </c>
      <c r="H112" s="40">
        <v>379</v>
      </c>
      <c r="I112" s="40">
        <v>90</v>
      </c>
      <c r="J112" s="40">
        <v>26</v>
      </c>
      <c r="K112" s="40">
        <v>23</v>
      </c>
      <c r="L112" s="40">
        <v>18</v>
      </c>
      <c r="M112" s="40">
        <v>308</v>
      </c>
      <c r="N112" s="40">
        <v>52</v>
      </c>
      <c r="O112" s="40">
        <v>656</v>
      </c>
      <c r="P112" s="40">
        <v>23</v>
      </c>
      <c r="Q112" s="40">
        <v>53</v>
      </c>
      <c r="R112" s="40">
        <v>13</v>
      </c>
      <c r="S112" s="40">
        <v>19</v>
      </c>
      <c r="T112" s="40">
        <v>65</v>
      </c>
      <c r="U112" s="40">
        <v>263</v>
      </c>
      <c r="V112" s="40">
        <v>4333</v>
      </c>
      <c r="W112" s="35">
        <f t="shared" ref="W112:AP112" si="117">B112-B111</f>
        <v>2</v>
      </c>
      <c r="X112" s="35">
        <f t="shared" si="117"/>
        <v>0</v>
      </c>
      <c r="Y112" s="35">
        <f t="shared" si="117"/>
        <v>0</v>
      </c>
      <c r="Z112" s="35">
        <f t="shared" si="117"/>
        <v>2</v>
      </c>
      <c r="AA112" s="35">
        <f t="shared" si="117"/>
        <v>3</v>
      </c>
      <c r="AB112" s="35">
        <f t="shared" si="117"/>
        <v>3</v>
      </c>
      <c r="AC112" s="35">
        <f t="shared" si="117"/>
        <v>0</v>
      </c>
      <c r="AD112" s="35">
        <f t="shared" si="117"/>
        <v>0</v>
      </c>
      <c r="AE112" s="35">
        <f t="shared" si="117"/>
        <v>1</v>
      </c>
      <c r="AF112" s="35">
        <f t="shared" si="117"/>
        <v>0</v>
      </c>
      <c r="AG112" s="35">
        <f t="shared" si="117"/>
        <v>0</v>
      </c>
      <c r="AH112" s="35">
        <f t="shared" si="117"/>
        <v>0</v>
      </c>
      <c r="AI112" s="35">
        <f t="shared" si="117"/>
        <v>0</v>
      </c>
      <c r="AJ112" s="35">
        <f t="shared" si="117"/>
        <v>5</v>
      </c>
      <c r="AK112" s="35">
        <f t="shared" si="117"/>
        <v>0</v>
      </c>
      <c r="AL112" s="35">
        <f t="shared" si="117"/>
        <v>0</v>
      </c>
      <c r="AM112" s="35">
        <f t="shared" si="117"/>
        <v>0</v>
      </c>
      <c r="AN112" s="35">
        <f t="shared" si="117"/>
        <v>1</v>
      </c>
      <c r="AO112" s="35">
        <f t="shared" si="117"/>
        <v>0</v>
      </c>
      <c r="AP112" s="35">
        <f t="shared" si="117"/>
        <v>1</v>
      </c>
    </row>
    <row r="113" spans="1:42" ht="13">
      <c r="A113" s="36">
        <v>44032</v>
      </c>
      <c r="B113" s="35">
        <v>27</v>
      </c>
      <c r="C113" s="35">
        <v>41</v>
      </c>
      <c r="D113" s="35">
        <v>15</v>
      </c>
      <c r="E113" s="35">
        <v>118</v>
      </c>
      <c r="F113" s="35">
        <v>2013</v>
      </c>
      <c r="G113" s="35">
        <v>134</v>
      </c>
      <c r="H113" s="35">
        <v>379</v>
      </c>
      <c r="I113" s="35">
        <v>90</v>
      </c>
      <c r="J113" s="35">
        <v>26</v>
      </c>
      <c r="K113" s="35">
        <v>24</v>
      </c>
      <c r="L113" s="35">
        <v>18</v>
      </c>
      <c r="M113" s="35">
        <v>308</v>
      </c>
      <c r="N113" s="35">
        <v>53</v>
      </c>
      <c r="O113" s="35">
        <v>657</v>
      </c>
      <c r="P113" s="35">
        <v>24</v>
      </c>
      <c r="Q113" s="35">
        <v>53</v>
      </c>
      <c r="R113" s="35">
        <v>13</v>
      </c>
      <c r="S113" s="35">
        <v>19</v>
      </c>
      <c r="T113" s="35">
        <v>65</v>
      </c>
      <c r="U113" s="35">
        <v>262</v>
      </c>
      <c r="V113" s="40">
        <f>SUM(B113:U113)</f>
        <v>4339</v>
      </c>
      <c r="W113" s="35">
        <f t="shared" ref="W113:AP113" si="118">B113-B112</f>
        <v>0</v>
      </c>
      <c r="X113" s="35">
        <f t="shared" si="118"/>
        <v>0</v>
      </c>
      <c r="Y113" s="35">
        <f t="shared" si="118"/>
        <v>0</v>
      </c>
      <c r="Z113" s="35">
        <f t="shared" si="118"/>
        <v>1</v>
      </c>
      <c r="AA113" s="35">
        <f t="shared" si="118"/>
        <v>1</v>
      </c>
      <c r="AB113" s="35">
        <f t="shared" si="118"/>
        <v>1</v>
      </c>
      <c r="AC113" s="35">
        <f t="shared" si="118"/>
        <v>0</v>
      </c>
      <c r="AD113" s="35">
        <f t="shared" si="118"/>
        <v>0</v>
      </c>
      <c r="AE113" s="35">
        <f t="shared" si="118"/>
        <v>0</v>
      </c>
      <c r="AF113" s="35">
        <f t="shared" si="118"/>
        <v>1</v>
      </c>
      <c r="AG113" s="35">
        <f t="shared" si="118"/>
        <v>0</v>
      </c>
      <c r="AH113" s="35">
        <f t="shared" si="118"/>
        <v>0</v>
      </c>
      <c r="AI113" s="35">
        <f t="shared" si="118"/>
        <v>1</v>
      </c>
      <c r="AJ113" s="35">
        <f t="shared" si="118"/>
        <v>1</v>
      </c>
      <c r="AK113" s="35">
        <f t="shared" si="118"/>
        <v>1</v>
      </c>
      <c r="AL113" s="35">
        <f t="shared" si="118"/>
        <v>0</v>
      </c>
      <c r="AM113" s="35">
        <f t="shared" si="118"/>
        <v>0</v>
      </c>
      <c r="AN113" s="35">
        <f t="shared" si="118"/>
        <v>0</v>
      </c>
      <c r="AO113" s="35">
        <f t="shared" si="118"/>
        <v>0</v>
      </c>
      <c r="AP113" s="35">
        <f t="shared" si="118"/>
        <v>-1</v>
      </c>
    </row>
    <row r="114" spans="1:42" ht="13">
      <c r="A114" s="36">
        <v>44033</v>
      </c>
      <c r="B114" s="40">
        <v>27</v>
      </c>
      <c r="C114" s="40">
        <v>41</v>
      </c>
      <c r="D114" s="40">
        <v>14</v>
      </c>
      <c r="E114" s="40">
        <v>120</v>
      </c>
      <c r="F114" s="40">
        <v>2014</v>
      </c>
      <c r="G114" s="40">
        <v>134</v>
      </c>
      <c r="H114" s="40">
        <v>379</v>
      </c>
      <c r="I114" s="40">
        <v>90</v>
      </c>
      <c r="J114" s="40">
        <v>28</v>
      </c>
      <c r="K114" s="40">
        <v>24</v>
      </c>
      <c r="L114" s="40">
        <v>19</v>
      </c>
      <c r="M114" s="40">
        <v>308</v>
      </c>
      <c r="N114" s="40">
        <v>53</v>
      </c>
      <c r="O114" s="40">
        <v>660</v>
      </c>
      <c r="P114" s="40">
        <v>24</v>
      </c>
      <c r="Q114" s="40">
        <v>53</v>
      </c>
      <c r="R114" s="40">
        <v>13</v>
      </c>
      <c r="S114" s="40">
        <v>19</v>
      </c>
      <c r="T114" s="40">
        <v>65</v>
      </c>
      <c r="U114" s="40">
        <v>262</v>
      </c>
      <c r="V114" s="40">
        <v>4347</v>
      </c>
      <c r="W114" s="35">
        <f t="shared" ref="W114:AP114" si="119">B114-B113</f>
        <v>0</v>
      </c>
      <c r="X114" s="35">
        <f t="shared" si="119"/>
        <v>0</v>
      </c>
      <c r="Y114" s="35">
        <f t="shared" si="119"/>
        <v>-1</v>
      </c>
      <c r="Z114" s="35">
        <f t="shared" si="119"/>
        <v>2</v>
      </c>
      <c r="AA114" s="35">
        <f t="shared" si="119"/>
        <v>1</v>
      </c>
      <c r="AB114" s="35">
        <f t="shared" si="119"/>
        <v>0</v>
      </c>
      <c r="AC114" s="35">
        <f t="shared" si="119"/>
        <v>0</v>
      </c>
      <c r="AD114" s="35">
        <f t="shared" si="119"/>
        <v>0</v>
      </c>
      <c r="AE114" s="35">
        <f t="shared" si="119"/>
        <v>2</v>
      </c>
      <c r="AF114" s="35">
        <f t="shared" si="119"/>
        <v>0</v>
      </c>
      <c r="AG114" s="35">
        <f t="shared" si="119"/>
        <v>1</v>
      </c>
      <c r="AH114" s="35">
        <f t="shared" si="119"/>
        <v>0</v>
      </c>
      <c r="AI114" s="35">
        <f t="shared" si="119"/>
        <v>0</v>
      </c>
      <c r="AJ114" s="35">
        <f t="shared" si="119"/>
        <v>3</v>
      </c>
      <c r="AK114" s="35">
        <f t="shared" si="119"/>
        <v>0</v>
      </c>
      <c r="AL114" s="35">
        <f t="shared" si="119"/>
        <v>0</v>
      </c>
      <c r="AM114" s="35">
        <f t="shared" si="119"/>
        <v>0</v>
      </c>
      <c r="AN114" s="35">
        <f t="shared" si="119"/>
        <v>0</v>
      </c>
      <c r="AO114" s="35">
        <f t="shared" si="119"/>
        <v>0</v>
      </c>
      <c r="AP114" s="35">
        <f t="shared" si="119"/>
        <v>0</v>
      </c>
    </row>
    <row r="115" spans="1:42" ht="13">
      <c r="A115" s="36">
        <v>44034</v>
      </c>
      <c r="B115" s="40">
        <v>29</v>
      </c>
      <c r="C115" s="40">
        <v>41</v>
      </c>
      <c r="D115" s="40">
        <v>15</v>
      </c>
      <c r="E115" s="40">
        <v>121</v>
      </c>
      <c r="F115" s="40">
        <v>2019</v>
      </c>
      <c r="G115" s="40">
        <v>137</v>
      </c>
      <c r="H115" s="40">
        <v>379</v>
      </c>
      <c r="I115" s="40">
        <v>90</v>
      </c>
      <c r="J115" s="40">
        <v>30</v>
      </c>
      <c r="K115" s="40">
        <v>24</v>
      </c>
      <c r="L115" s="40">
        <v>20</v>
      </c>
      <c r="M115" s="40">
        <v>309</v>
      </c>
      <c r="N115" s="40">
        <v>53</v>
      </c>
      <c r="O115" s="40">
        <v>663</v>
      </c>
      <c r="P115" s="40">
        <v>24</v>
      </c>
      <c r="Q115" s="40">
        <v>53</v>
      </c>
      <c r="R115" s="40">
        <v>13</v>
      </c>
      <c r="S115" s="40">
        <v>19</v>
      </c>
      <c r="T115" s="40">
        <v>65</v>
      </c>
      <c r="U115" s="40">
        <v>262</v>
      </c>
      <c r="V115" s="40">
        <v>4366</v>
      </c>
      <c r="W115" s="35">
        <f t="shared" ref="W115:AP115" si="120">B115-B114</f>
        <v>2</v>
      </c>
      <c r="X115" s="35">
        <f t="shared" si="120"/>
        <v>0</v>
      </c>
      <c r="Y115" s="35">
        <f t="shared" si="120"/>
        <v>1</v>
      </c>
      <c r="Z115" s="35">
        <f t="shared" si="120"/>
        <v>1</v>
      </c>
      <c r="AA115" s="35">
        <f t="shared" si="120"/>
        <v>5</v>
      </c>
      <c r="AB115" s="35">
        <f t="shared" si="120"/>
        <v>3</v>
      </c>
      <c r="AC115" s="35">
        <f t="shared" si="120"/>
        <v>0</v>
      </c>
      <c r="AD115" s="35">
        <f t="shared" si="120"/>
        <v>0</v>
      </c>
      <c r="AE115" s="35">
        <f t="shared" si="120"/>
        <v>2</v>
      </c>
      <c r="AF115" s="35">
        <f t="shared" si="120"/>
        <v>0</v>
      </c>
      <c r="AG115" s="35">
        <f t="shared" si="120"/>
        <v>1</v>
      </c>
      <c r="AH115" s="35">
        <f t="shared" si="120"/>
        <v>1</v>
      </c>
      <c r="AI115" s="35">
        <f t="shared" si="120"/>
        <v>0</v>
      </c>
      <c r="AJ115" s="35">
        <f t="shared" si="120"/>
        <v>3</v>
      </c>
      <c r="AK115" s="35">
        <f t="shared" si="120"/>
        <v>0</v>
      </c>
      <c r="AL115" s="35">
        <f t="shared" si="120"/>
        <v>0</v>
      </c>
      <c r="AM115" s="35">
        <f t="shared" si="120"/>
        <v>0</v>
      </c>
      <c r="AN115" s="35">
        <f t="shared" si="120"/>
        <v>0</v>
      </c>
      <c r="AO115" s="35">
        <f t="shared" si="120"/>
        <v>0</v>
      </c>
      <c r="AP115" s="35">
        <f t="shared" si="120"/>
        <v>0</v>
      </c>
    </row>
    <row r="116" spans="1:42" ht="13">
      <c r="A116" s="36">
        <v>44035</v>
      </c>
      <c r="B116" s="40">
        <v>30</v>
      </c>
      <c r="C116" s="40">
        <v>41</v>
      </c>
      <c r="D116" s="40">
        <v>15</v>
      </c>
      <c r="E116" s="40">
        <v>121</v>
      </c>
      <c r="F116" s="40">
        <v>2019</v>
      </c>
      <c r="G116" s="40">
        <v>138</v>
      </c>
      <c r="H116" s="40">
        <v>379</v>
      </c>
      <c r="I116" s="40">
        <v>91</v>
      </c>
      <c r="J116" s="40">
        <v>40</v>
      </c>
      <c r="K116" s="40">
        <v>24</v>
      </c>
      <c r="L116" s="40">
        <v>20</v>
      </c>
      <c r="M116" s="40">
        <v>309</v>
      </c>
      <c r="N116" s="40">
        <v>53</v>
      </c>
      <c r="O116" s="40">
        <v>663</v>
      </c>
      <c r="P116" s="40">
        <v>24</v>
      </c>
      <c r="Q116" s="40">
        <v>53</v>
      </c>
      <c r="R116" s="40">
        <v>13</v>
      </c>
      <c r="S116" s="40">
        <v>19</v>
      </c>
      <c r="T116" s="40">
        <v>66</v>
      </c>
      <c r="U116" s="40">
        <v>262</v>
      </c>
      <c r="V116" s="40">
        <v>4380</v>
      </c>
      <c r="W116" s="35">
        <f t="shared" ref="W116:AP116" si="121">B116-B115</f>
        <v>1</v>
      </c>
      <c r="X116" s="35">
        <f t="shared" si="121"/>
        <v>0</v>
      </c>
      <c r="Y116" s="35">
        <f t="shared" si="121"/>
        <v>0</v>
      </c>
      <c r="Z116" s="35">
        <f t="shared" si="121"/>
        <v>0</v>
      </c>
      <c r="AA116" s="35">
        <f t="shared" si="121"/>
        <v>0</v>
      </c>
      <c r="AB116" s="35">
        <f t="shared" si="121"/>
        <v>1</v>
      </c>
      <c r="AC116" s="35">
        <f t="shared" si="121"/>
        <v>0</v>
      </c>
      <c r="AD116" s="35">
        <f t="shared" si="121"/>
        <v>1</v>
      </c>
      <c r="AE116" s="35">
        <f t="shared" si="121"/>
        <v>10</v>
      </c>
      <c r="AF116" s="35">
        <f t="shared" si="121"/>
        <v>0</v>
      </c>
      <c r="AG116" s="35">
        <f t="shared" si="121"/>
        <v>0</v>
      </c>
      <c r="AH116" s="35">
        <f t="shared" si="121"/>
        <v>0</v>
      </c>
      <c r="AI116" s="35">
        <f t="shared" si="121"/>
        <v>0</v>
      </c>
      <c r="AJ116" s="35">
        <f t="shared" si="121"/>
        <v>0</v>
      </c>
      <c r="AK116" s="35">
        <f t="shared" si="121"/>
        <v>0</v>
      </c>
      <c r="AL116" s="35">
        <f t="shared" si="121"/>
        <v>0</v>
      </c>
      <c r="AM116" s="35">
        <f t="shared" si="121"/>
        <v>0</v>
      </c>
      <c r="AN116" s="35">
        <f t="shared" si="121"/>
        <v>0</v>
      </c>
      <c r="AO116" s="35">
        <f t="shared" si="121"/>
        <v>1</v>
      </c>
      <c r="AP116" s="35">
        <f t="shared" si="121"/>
        <v>0</v>
      </c>
    </row>
    <row r="117" spans="1:42" ht="13">
      <c r="A117" s="36">
        <v>44036</v>
      </c>
      <c r="B117" s="40">
        <v>30</v>
      </c>
      <c r="C117" s="40">
        <v>41</v>
      </c>
      <c r="D117" s="40">
        <v>15</v>
      </c>
      <c r="E117" s="40">
        <v>122</v>
      </c>
      <c r="F117" s="40">
        <v>2021</v>
      </c>
      <c r="G117" s="40">
        <v>138</v>
      </c>
      <c r="H117" s="40">
        <v>379</v>
      </c>
      <c r="I117" s="40">
        <v>93</v>
      </c>
      <c r="J117" s="40">
        <v>40</v>
      </c>
      <c r="K117" s="40">
        <v>26</v>
      </c>
      <c r="L117" s="40">
        <v>20</v>
      </c>
      <c r="M117" s="40">
        <v>310</v>
      </c>
      <c r="N117" s="40">
        <v>53</v>
      </c>
      <c r="O117" s="40">
        <v>666</v>
      </c>
      <c r="P117" s="40">
        <v>25</v>
      </c>
      <c r="Q117" s="40">
        <v>54</v>
      </c>
      <c r="R117" s="40">
        <v>13</v>
      </c>
      <c r="S117" s="40">
        <v>23</v>
      </c>
      <c r="T117" s="40">
        <v>66</v>
      </c>
      <c r="U117" s="40">
        <v>263</v>
      </c>
      <c r="V117" s="40">
        <v>4398</v>
      </c>
      <c r="W117" s="35">
        <f t="shared" ref="W117:AP117" si="122">B117-B116</f>
        <v>0</v>
      </c>
      <c r="X117" s="35">
        <f t="shared" si="122"/>
        <v>0</v>
      </c>
      <c r="Y117" s="35">
        <f t="shared" si="122"/>
        <v>0</v>
      </c>
      <c r="Z117" s="35">
        <f t="shared" si="122"/>
        <v>1</v>
      </c>
      <c r="AA117" s="35">
        <f t="shared" si="122"/>
        <v>2</v>
      </c>
      <c r="AB117" s="35">
        <f t="shared" si="122"/>
        <v>0</v>
      </c>
      <c r="AC117" s="35">
        <f t="shared" si="122"/>
        <v>0</v>
      </c>
      <c r="AD117" s="35">
        <f t="shared" si="122"/>
        <v>2</v>
      </c>
      <c r="AE117" s="35">
        <f t="shared" si="122"/>
        <v>0</v>
      </c>
      <c r="AF117" s="35">
        <f t="shared" si="122"/>
        <v>2</v>
      </c>
      <c r="AG117" s="35">
        <f t="shared" si="122"/>
        <v>0</v>
      </c>
      <c r="AH117" s="35">
        <f t="shared" si="122"/>
        <v>1</v>
      </c>
      <c r="AI117" s="35">
        <f t="shared" si="122"/>
        <v>0</v>
      </c>
      <c r="AJ117" s="35">
        <f t="shared" si="122"/>
        <v>3</v>
      </c>
      <c r="AK117" s="35">
        <f t="shared" si="122"/>
        <v>1</v>
      </c>
      <c r="AL117" s="35">
        <f t="shared" si="122"/>
        <v>1</v>
      </c>
      <c r="AM117" s="35">
        <f t="shared" si="122"/>
        <v>0</v>
      </c>
      <c r="AN117" s="35">
        <f t="shared" si="122"/>
        <v>4</v>
      </c>
      <c r="AO117" s="35">
        <f t="shared" si="122"/>
        <v>0</v>
      </c>
      <c r="AP117" s="35">
        <f t="shared" si="122"/>
        <v>1</v>
      </c>
    </row>
    <row r="118" spans="1:42" ht="13">
      <c r="A118" s="36">
        <v>44037</v>
      </c>
      <c r="B118" s="40">
        <v>30</v>
      </c>
      <c r="C118" s="40">
        <v>41</v>
      </c>
      <c r="D118" s="40">
        <v>15</v>
      </c>
      <c r="E118" s="40">
        <v>124</v>
      </c>
      <c r="F118" s="40">
        <v>2028</v>
      </c>
      <c r="G118" s="40">
        <v>138</v>
      </c>
      <c r="H118" s="40">
        <v>379</v>
      </c>
      <c r="I118" s="40">
        <v>97</v>
      </c>
      <c r="J118" s="40">
        <v>43</v>
      </c>
      <c r="K118" s="40">
        <v>28</v>
      </c>
      <c r="L118" s="40">
        <v>21</v>
      </c>
      <c r="M118" s="40">
        <v>312</v>
      </c>
      <c r="N118" s="40">
        <v>53</v>
      </c>
      <c r="O118" s="40">
        <v>669</v>
      </c>
      <c r="P118" s="40">
        <v>26</v>
      </c>
      <c r="Q118" s="40">
        <v>54</v>
      </c>
      <c r="R118" s="40">
        <v>13</v>
      </c>
      <c r="S118" s="40">
        <v>23</v>
      </c>
      <c r="T118" s="40">
        <v>66</v>
      </c>
      <c r="U118" s="40">
        <v>264</v>
      </c>
      <c r="V118" s="40">
        <v>4424</v>
      </c>
      <c r="W118" s="35">
        <f t="shared" ref="W118:AP118" si="123">B118-B117</f>
        <v>0</v>
      </c>
      <c r="X118" s="35">
        <f t="shared" si="123"/>
        <v>0</v>
      </c>
      <c r="Y118" s="35">
        <f t="shared" si="123"/>
        <v>0</v>
      </c>
      <c r="Z118" s="35">
        <f t="shared" si="123"/>
        <v>2</v>
      </c>
      <c r="AA118" s="35">
        <f t="shared" si="123"/>
        <v>7</v>
      </c>
      <c r="AB118" s="35">
        <f t="shared" si="123"/>
        <v>0</v>
      </c>
      <c r="AC118" s="35">
        <f t="shared" si="123"/>
        <v>0</v>
      </c>
      <c r="AD118" s="35">
        <f t="shared" si="123"/>
        <v>4</v>
      </c>
      <c r="AE118" s="35">
        <f t="shared" si="123"/>
        <v>3</v>
      </c>
      <c r="AF118" s="35">
        <f t="shared" si="123"/>
        <v>2</v>
      </c>
      <c r="AG118" s="35">
        <f t="shared" si="123"/>
        <v>1</v>
      </c>
      <c r="AH118" s="35">
        <f t="shared" si="123"/>
        <v>2</v>
      </c>
      <c r="AI118" s="35">
        <f t="shared" si="123"/>
        <v>0</v>
      </c>
      <c r="AJ118" s="35">
        <f t="shared" si="123"/>
        <v>3</v>
      </c>
      <c r="AK118" s="35">
        <f t="shared" si="123"/>
        <v>1</v>
      </c>
      <c r="AL118" s="35">
        <f t="shared" si="123"/>
        <v>0</v>
      </c>
      <c r="AM118" s="35">
        <f t="shared" si="123"/>
        <v>0</v>
      </c>
      <c r="AN118" s="35">
        <f t="shared" si="123"/>
        <v>0</v>
      </c>
      <c r="AO118" s="35">
        <f t="shared" si="123"/>
        <v>0</v>
      </c>
      <c r="AP118" s="35">
        <f t="shared" si="123"/>
        <v>1</v>
      </c>
    </row>
    <row r="119" spans="1:42" ht="13">
      <c r="A119" s="36">
        <v>44038</v>
      </c>
      <c r="B119" s="40">
        <v>31</v>
      </c>
      <c r="C119" s="40">
        <v>41</v>
      </c>
      <c r="D119" s="40">
        <v>15</v>
      </c>
      <c r="E119" s="40">
        <v>124</v>
      </c>
      <c r="F119" s="40">
        <v>2029</v>
      </c>
      <c r="G119" s="40">
        <v>138</v>
      </c>
      <c r="H119" s="40">
        <v>380</v>
      </c>
      <c r="I119" s="40">
        <v>97</v>
      </c>
      <c r="J119" s="40">
        <v>43</v>
      </c>
      <c r="K119" s="40">
        <v>28</v>
      </c>
      <c r="L119" s="40">
        <v>22</v>
      </c>
      <c r="M119" s="40">
        <v>312</v>
      </c>
      <c r="N119" s="40">
        <v>53</v>
      </c>
      <c r="O119" s="40">
        <v>675</v>
      </c>
      <c r="P119" s="40">
        <v>27</v>
      </c>
      <c r="Q119" s="40">
        <v>54</v>
      </c>
      <c r="R119" s="40">
        <v>13</v>
      </c>
      <c r="S119" s="40">
        <v>23</v>
      </c>
      <c r="T119" s="40">
        <v>66</v>
      </c>
      <c r="U119" s="40">
        <v>264</v>
      </c>
      <c r="V119" s="40">
        <v>4435</v>
      </c>
      <c r="W119" s="35">
        <f t="shared" ref="W119:AP119" si="124">B119-B118</f>
        <v>1</v>
      </c>
      <c r="X119" s="35">
        <f t="shared" si="124"/>
        <v>0</v>
      </c>
      <c r="Y119" s="35">
        <f t="shared" si="124"/>
        <v>0</v>
      </c>
      <c r="Z119" s="35">
        <f t="shared" si="124"/>
        <v>0</v>
      </c>
      <c r="AA119" s="35">
        <f t="shared" si="124"/>
        <v>1</v>
      </c>
      <c r="AB119" s="35">
        <f t="shared" si="124"/>
        <v>0</v>
      </c>
      <c r="AC119" s="35">
        <f t="shared" si="124"/>
        <v>1</v>
      </c>
      <c r="AD119" s="35">
        <f t="shared" si="124"/>
        <v>0</v>
      </c>
      <c r="AE119" s="35">
        <f t="shared" si="124"/>
        <v>0</v>
      </c>
      <c r="AF119" s="35">
        <f t="shared" si="124"/>
        <v>0</v>
      </c>
      <c r="AG119" s="35">
        <f t="shared" si="124"/>
        <v>1</v>
      </c>
      <c r="AH119" s="35">
        <f t="shared" si="124"/>
        <v>0</v>
      </c>
      <c r="AI119" s="35">
        <f t="shared" si="124"/>
        <v>0</v>
      </c>
      <c r="AJ119" s="35">
        <f t="shared" si="124"/>
        <v>6</v>
      </c>
      <c r="AK119" s="35">
        <f t="shared" si="124"/>
        <v>1</v>
      </c>
      <c r="AL119" s="35">
        <f t="shared" si="124"/>
        <v>0</v>
      </c>
      <c r="AM119" s="35">
        <f t="shared" si="124"/>
        <v>0</v>
      </c>
      <c r="AN119" s="35">
        <f t="shared" si="124"/>
        <v>0</v>
      </c>
      <c r="AO119" s="35">
        <f t="shared" si="124"/>
        <v>0</v>
      </c>
      <c r="AP119" s="35">
        <f t="shared" si="124"/>
        <v>0</v>
      </c>
    </row>
    <row r="120" spans="1:42" ht="13">
      <c r="A120" s="36">
        <v>44039</v>
      </c>
      <c r="B120" s="40">
        <v>31</v>
      </c>
      <c r="C120" s="40">
        <v>41</v>
      </c>
      <c r="D120" s="40">
        <v>15</v>
      </c>
      <c r="E120" s="40">
        <v>125</v>
      </c>
      <c r="F120" s="40">
        <v>2032</v>
      </c>
      <c r="G120" s="40">
        <v>139</v>
      </c>
      <c r="H120" s="40">
        <v>380</v>
      </c>
      <c r="I120" s="40">
        <v>98</v>
      </c>
      <c r="J120" s="40">
        <v>44</v>
      </c>
      <c r="K120" s="40">
        <v>28</v>
      </c>
      <c r="L120" s="40">
        <v>22</v>
      </c>
      <c r="M120" s="40">
        <v>312</v>
      </c>
      <c r="N120" s="40">
        <v>53</v>
      </c>
      <c r="O120" s="40">
        <v>680</v>
      </c>
      <c r="P120" s="40">
        <v>27</v>
      </c>
      <c r="Q120" s="40">
        <v>54</v>
      </c>
      <c r="R120" s="40">
        <v>13</v>
      </c>
      <c r="S120" s="40">
        <v>24</v>
      </c>
      <c r="T120" s="40">
        <v>66</v>
      </c>
      <c r="U120" s="40">
        <v>264</v>
      </c>
      <c r="V120" s="40">
        <v>4448</v>
      </c>
      <c r="W120" s="35">
        <f t="shared" ref="W120:AP120" si="125">B120-B119</f>
        <v>0</v>
      </c>
      <c r="X120" s="35">
        <f t="shared" si="125"/>
        <v>0</v>
      </c>
      <c r="Y120" s="35">
        <f t="shared" si="125"/>
        <v>0</v>
      </c>
      <c r="Z120" s="35">
        <f t="shared" si="125"/>
        <v>1</v>
      </c>
      <c r="AA120" s="35">
        <f t="shared" si="125"/>
        <v>3</v>
      </c>
      <c r="AB120" s="35">
        <f t="shared" si="125"/>
        <v>1</v>
      </c>
      <c r="AC120" s="35">
        <f t="shared" si="125"/>
        <v>0</v>
      </c>
      <c r="AD120" s="35">
        <f t="shared" si="125"/>
        <v>1</v>
      </c>
      <c r="AE120" s="35">
        <f t="shared" si="125"/>
        <v>1</v>
      </c>
      <c r="AF120" s="35">
        <f t="shared" si="125"/>
        <v>0</v>
      </c>
      <c r="AG120" s="35">
        <f t="shared" si="125"/>
        <v>0</v>
      </c>
      <c r="AH120" s="35">
        <f t="shared" si="125"/>
        <v>0</v>
      </c>
      <c r="AI120" s="35">
        <f t="shared" si="125"/>
        <v>0</v>
      </c>
      <c r="AJ120" s="35">
        <f t="shared" si="125"/>
        <v>5</v>
      </c>
      <c r="AK120" s="35">
        <f t="shared" si="125"/>
        <v>0</v>
      </c>
      <c r="AL120" s="35">
        <f t="shared" si="125"/>
        <v>0</v>
      </c>
      <c r="AM120" s="35">
        <f t="shared" si="125"/>
        <v>0</v>
      </c>
      <c r="AN120" s="35">
        <f t="shared" si="125"/>
        <v>1</v>
      </c>
      <c r="AO120" s="35">
        <f t="shared" si="125"/>
        <v>0</v>
      </c>
      <c r="AP120" s="35">
        <f t="shared" si="125"/>
        <v>0</v>
      </c>
    </row>
    <row r="121" spans="1:42" ht="13">
      <c r="A121" s="36">
        <v>44040</v>
      </c>
      <c r="B121" s="40">
        <v>31</v>
      </c>
      <c r="C121" s="40">
        <v>41</v>
      </c>
      <c r="D121" s="40">
        <v>15</v>
      </c>
      <c r="E121" s="40">
        <v>126</v>
      </c>
      <c r="F121" s="40">
        <v>2034</v>
      </c>
      <c r="G121" s="40">
        <v>139</v>
      </c>
      <c r="H121" s="40">
        <v>380</v>
      </c>
      <c r="I121" s="40">
        <v>98</v>
      </c>
      <c r="J121" s="40">
        <v>46</v>
      </c>
      <c r="K121" s="40">
        <v>28</v>
      </c>
      <c r="L121" s="40">
        <v>23</v>
      </c>
      <c r="M121" s="40">
        <v>312</v>
      </c>
      <c r="N121" s="40">
        <v>53</v>
      </c>
      <c r="O121" s="40">
        <v>681</v>
      </c>
      <c r="P121" s="40">
        <v>27</v>
      </c>
      <c r="Q121" s="40">
        <v>54</v>
      </c>
      <c r="R121" s="40">
        <v>14</v>
      </c>
      <c r="S121" s="40">
        <v>24</v>
      </c>
      <c r="T121" s="40">
        <v>66</v>
      </c>
      <c r="U121" s="40">
        <v>264</v>
      </c>
      <c r="V121" s="40">
        <v>4456</v>
      </c>
      <c r="W121" s="35">
        <f t="shared" ref="W121:AP121" si="126">B121-B120</f>
        <v>0</v>
      </c>
      <c r="X121" s="35">
        <f t="shared" si="126"/>
        <v>0</v>
      </c>
      <c r="Y121" s="35">
        <f t="shared" si="126"/>
        <v>0</v>
      </c>
      <c r="Z121" s="35">
        <f t="shared" si="126"/>
        <v>1</v>
      </c>
      <c r="AA121" s="35">
        <f t="shared" si="126"/>
        <v>2</v>
      </c>
      <c r="AB121" s="35">
        <f t="shared" si="126"/>
        <v>0</v>
      </c>
      <c r="AC121" s="35">
        <f t="shared" si="126"/>
        <v>0</v>
      </c>
      <c r="AD121" s="35">
        <f t="shared" si="126"/>
        <v>0</v>
      </c>
      <c r="AE121" s="35">
        <f t="shared" si="126"/>
        <v>2</v>
      </c>
      <c r="AF121" s="35">
        <f t="shared" si="126"/>
        <v>0</v>
      </c>
      <c r="AG121" s="35">
        <f t="shared" si="126"/>
        <v>1</v>
      </c>
      <c r="AH121" s="35">
        <f t="shared" si="126"/>
        <v>0</v>
      </c>
      <c r="AI121" s="35">
        <f t="shared" si="126"/>
        <v>0</v>
      </c>
      <c r="AJ121" s="35">
        <f t="shared" si="126"/>
        <v>1</v>
      </c>
      <c r="AK121" s="35">
        <f t="shared" si="126"/>
        <v>0</v>
      </c>
      <c r="AL121" s="35">
        <f t="shared" si="126"/>
        <v>0</v>
      </c>
      <c r="AM121" s="35">
        <f t="shared" si="126"/>
        <v>1</v>
      </c>
      <c r="AN121" s="35">
        <f t="shared" si="126"/>
        <v>0</v>
      </c>
      <c r="AO121" s="35">
        <f t="shared" si="126"/>
        <v>0</v>
      </c>
      <c r="AP121" s="35">
        <f t="shared" si="126"/>
        <v>0</v>
      </c>
    </row>
    <row r="122" spans="1:42" ht="13">
      <c r="A122" s="36">
        <v>44041</v>
      </c>
      <c r="B122" s="40">
        <v>31</v>
      </c>
      <c r="C122" s="40">
        <v>41</v>
      </c>
      <c r="D122" s="40">
        <v>15</v>
      </c>
      <c r="E122" s="40">
        <v>126</v>
      </c>
      <c r="F122" s="40">
        <v>2037</v>
      </c>
      <c r="G122" s="40">
        <v>139</v>
      </c>
      <c r="H122" s="40">
        <v>380</v>
      </c>
      <c r="I122" s="40">
        <v>98</v>
      </c>
      <c r="J122" s="40">
        <v>49</v>
      </c>
      <c r="K122" s="40">
        <v>28</v>
      </c>
      <c r="L122" s="40">
        <v>23</v>
      </c>
      <c r="M122" s="40">
        <v>312</v>
      </c>
      <c r="N122" s="40">
        <v>53</v>
      </c>
      <c r="O122" s="40">
        <v>682</v>
      </c>
      <c r="P122" s="40">
        <v>27</v>
      </c>
      <c r="Q122" s="40">
        <v>54</v>
      </c>
      <c r="R122" s="40">
        <v>14</v>
      </c>
      <c r="S122" s="40">
        <v>24</v>
      </c>
      <c r="T122" s="40">
        <v>67</v>
      </c>
      <c r="U122" s="40">
        <v>265</v>
      </c>
      <c r="V122" s="40">
        <v>4465</v>
      </c>
      <c r="W122" s="35">
        <f t="shared" ref="W122:AP122" si="127">B122-B121</f>
        <v>0</v>
      </c>
      <c r="X122" s="35">
        <f t="shared" si="127"/>
        <v>0</v>
      </c>
      <c r="Y122" s="35">
        <f t="shared" si="127"/>
        <v>0</v>
      </c>
      <c r="Z122" s="35">
        <f t="shared" si="127"/>
        <v>0</v>
      </c>
      <c r="AA122" s="35">
        <f t="shared" si="127"/>
        <v>3</v>
      </c>
      <c r="AB122" s="35">
        <f t="shared" si="127"/>
        <v>0</v>
      </c>
      <c r="AC122" s="35">
        <f t="shared" si="127"/>
        <v>0</v>
      </c>
      <c r="AD122" s="35">
        <f t="shared" si="127"/>
        <v>0</v>
      </c>
      <c r="AE122" s="35">
        <f t="shared" si="127"/>
        <v>3</v>
      </c>
      <c r="AF122" s="35">
        <f t="shared" si="127"/>
        <v>0</v>
      </c>
      <c r="AG122" s="35">
        <f t="shared" si="127"/>
        <v>0</v>
      </c>
      <c r="AH122" s="35">
        <f t="shared" si="127"/>
        <v>0</v>
      </c>
      <c r="AI122" s="35">
        <f t="shared" si="127"/>
        <v>0</v>
      </c>
      <c r="AJ122" s="35">
        <f t="shared" si="127"/>
        <v>1</v>
      </c>
      <c r="AK122" s="35">
        <f t="shared" si="127"/>
        <v>0</v>
      </c>
      <c r="AL122" s="35">
        <f t="shared" si="127"/>
        <v>0</v>
      </c>
      <c r="AM122" s="35">
        <f t="shared" si="127"/>
        <v>0</v>
      </c>
      <c r="AN122" s="35">
        <f t="shared" si="127"/>
        <v>0</v>
      </c>
      <c r="AO122" s="35">
        <f t="shared" si="127"/>
        <v>1</v>
      </c>
      <c r="AP122" s="35">
        <f t="shared" si="127"/>
        <v>1</v>
      </c>
    </row>
    <row r="123" spans="1:42" ht="13">
      <c r="A123" s="36">
        <v>44042</v>
      </c>
      <c r="B123" s="40">
        <v>31</v>
      </c>
      <c r="C123" s="40">
        <v>41</v>
      </c>
      <c r="D123" s="40">
        <v>15</v>
      </c>
      <c r="E123" s="40">
        <v>127</v>
      </c>
      <c r="F123" s="40">
        <v>2044</v>
      </c>
      <c r="G123" s="40">
        <v>140</v>
      </c>
      <c r="H123" s="40">
        <v>380</v>
      </c>
      <c r="I123" s="40">
        <v>100</v>
      </c>
      <c r="J123" s="40">
        <v>55</v>
      </c>
      <c r="K123" s="40">
        <v>27</v>
      </c>
      <c r="L123" s="40">
        <v>23</v>
      </c>
      <c r="M123" s="40">
        <v>312</v>
      </c>
      <c r="N123" s="40">
        <v>54</v>
      </c>
      <c r="O123" s="40">
        <v>682</v>
      </c>
      <c r="P123" s="40">
        <v>28</v>
      </c>
      <c r="Q123" s="40">
        <v>54</v>
      </c>
      <c r="R123" s="40">
        <v>15</v>
      </c>
      <c r="S123" s="40">
        <v>24</v>
      </c>
      <c r="T123" s="40">
        <v>67</v>
      </c>
      <c r="U123" s="40">
        <v>265</v>
      </c>
      <c r="V123" s="40">
        <v>4484</v>
      </c>
      <c r="W123" s="35">
        <f t="shared" ref="W123:AP123" si="128">B123-B122</f>
        <v>0</v>
      </c>
      <c r="X123" s="35">
        <f t="shared" si="128"/>
        <v>0</v>
      </c>
      <c r="Y123" s="35">
        <f t="shared" si="128"/>
        <v>0</v>
      </c>
      <c r="Z123" s="35">
        <f t="shared" si="128"/>
        <v>1</v>
      </c>
      <c r="AA123" s="35">
        <f t="shared" si="128"/>
        <v>7</v>
      </c>
      <c r="AB123" s="35">
        <f t="shared" si="128"/>
        <v>1</v>
      </c>
      <c r="AC123" s="35">
        <f t="shared" si="128"/>
        <v>0</v>
      </c>
      <c r="AD123" s="35">
        <f t="shared" si="128"/>
        <v>2</v>
      </c>
      <c r="AE123" s="35">
        <f t="shared" si="128"/>
        <v>6</v>
      </c>
      <c r="AF123" s="35">
        <f t="shared" si="128"/>
        <v>-1</v>
      </c>
      <c r="AG123" s="35">
        <f t="shared" si="128"/>
        <v>0</v>
      </c>
      <c r="AH123" s="35">
        <f t="shared" si="128"/>
        <v>0</v>
      </c>
      <c r="AI123" s="35">
        <f t="shared" si="128"/>
        <v>1</v>
      </c>
      <c r="AJ123" s="35">
        <f t="shared" si="128"/>
        <v>0</v>
      </c>
      <c r="AK123" s="35">
        <f t="shared" si="128"/>
        <v>1</v>
      </c>
      <c r="AL123" s="35">
        <f t="shared" si="128"/>
        <v>0</v>
      </c>
      <c r="AM123" s="35">
        <f t="shared" si="128"/>
        <v>1</v>
      </c>
      <c r="AN123" s="35">
        <f t="shared" si="128"/>
        <v>0</v>
      </c>
      <c r="AO123" s="35">
        <f t="shared" si="128"/>
        <v>0</v>
      </c>
      <c r="AP123" s="35">
        <f t="shared" si="128"/>
        <v>0</v>
      </c>
    </row>
    <row r="124" spans="1:42" ht="13">
      <c r="A124" s="36">
        <v>44043</v>
      </c>
      <c r="B124" s="40">
        <v>31</v>
      </c>
      <c r="C124" s="40">
        <v>42</v>
      </c>
      <c r="D124" s="40">
        <v>16</v>
      </c>
      <c r="E124" s="40">
        <v>128</v>
      </c>
      <c r="F124" s="40">
        <v>2053</v>
      </c>
      <c r="G124" s="40">
        <v>143</v>
      </c>
      <c r="H124" s="40">
        <v>380</v>
      </c>
      <c r="I124" s="40">
        <v>102</v>
      </c>
      <c r="J124" s="40">
        <v>55</v>
      </c>
      <c r="K124" s="40">
        <v>27</v>
      </c>
      <c r="L124" s="40">
        <v>24</v>
      </c>
      <c r="M124" s="40">
        <v>312</v>
      </c>
      <c r="N124" s="40">
        <v>53</v>
      </c>
      <c r="O124" s="40">
        <v>685</v>
      </c>
      <c r="P124" s="40">
        <v>28</v>
      </c>
      <c r="Q124" s="40">
        <v>54</v>
      </c>
      <c r="R124" s="40">
        <v>15</v>
      </c>
      <c r="S124" s="40">
        <v>25</v>
      </c>
      <c r="T124" s="40">
        <v>67</v>
      </c>
      <c r="U124" s="40">
        <v>265</v>
      </c>
      <c r="V124" s="40">
        <v>4505</v>
      </c>
      <c r="W124" s="35">
        <f t="shared" ref="W124:AP124" si="129">B124-B123</f>
        <v>0</v>
      </c>
      <c r="X124" s="35">
        <f t="shared" si="129"/>
        <v>1</v>
      </c>
      <c r="Y124" s="35">
        <f t="shared" si="129"/>
        <v>1</v>
      </c>
      <c r="Z124" s="35">
        <f t="shared" si="129"/>
        <v>1</v>
      </c>
      <c r="AA124" s="35">
        <f t="shared" si="129"/>
        <v>9</v>
      </c>
      <c r="AB124" s="35">
        <f t="shared" si="129"/>
        <v>3</v>
      </c>
      <c r="AC124" s="35">
        <f t="shared" si="129"/>
        <v>0</v>
      </c>
      <c r="AD124" s="35">
        <f t="shared" si="129"/>
        <v>2</v>
      </c>
      <c r="AE124" s="35">
        <f t="shared" si="129"/>
        <v>0</v>
      </c>
      <c r="AF124" s="35">
        <f t="shared" si="129"/>
        <v>0</v>
      </c>
      <c r="AG124" s="35">
        <f t="shared" si="129"/>
        <v>1</v>
      </c>
      <c r="AH124" s="35">
        <f t="shared" si="129"/>
        <v>0</v>
      </c>
      <c r="AI124" s="35">
        <f t="shared" si="129"/>
        <v>-1</v>
      </c>
      <c r="AJ124" s="35">
        <f t="shared" si="129"/>
        <v>3</v>
      </c>
      <c r="AK124" s="35">
        <f t="shared" si="129"/>
        <v>0</v>
      </c>
      <c r="AL124" s="35">
        <f t="shared" si="129"/>
        <v>0</v>
      </c>
      <c r="AM124" s="35">
        <f t="shared" si="129"/>
        <v>0</v>
      </c>
      <c r="AN124" s="35">
        <f t="shared" si="129"/>
        <v>1</v>
      </c>
      <c r="AO124" s="35">
        <f t="shared" si="129"/>
        <v>0</v>
      </c>
      <c r="AP124" s="35">
        <f t="shared" si="129"/>
        <v>0</v>
      </c>
    </row>
    <row r="125" spans="1:42" ht="13">
      <c r="A125" s="36">
        <v>44044</v>
      </c>
      <c r="B125" s="40">
        <v>31</v>
      </c>
      <c r="C125" s="40">
        <v>44</v>
      </c>
      <c r="D125" s="40">
        <v>16</v>
      </c>
      <c r="E125" s="40">
        <v>130</v>
      </c>
      <c r="F125" s="40">
        <v>2061</v>
      </c>
      <c r="G125" s="40">
        <v>144</v>
      </c>
      <c r="H125" s="40">
        <v>379</v>
      </c>
      <c r="I125" s="40">
        <v>102</v>
      </c>
      <c r="J125" s="40">
        <v>55</v>
      </c>
      <c r="K125" s="40">
        <v>27</v>
      </c>
      <c r="L125" s="40">
        <v>24</v>
      </c>
      <c r="M125" s="40">
        <v>312</v>
      </c>
      <c r="N125" s="40">
        <v>53</v>
      </c>
      <c r="O125" s="40">
        <v>690</v>
      </c>
      <c r="P125" s="40">
        <v>28</v>
      </c>
      <c r="Q125" s="40">
        <v>54</v>
      </c>
      <c r="R125" s="40">
        <v>15</v>
      </c>
      <c r="S125" s="40">
        <v>25</v>
      </c>
      <c r="T125" s="40">
        <v>71</v>
      </c>
      <c r="U125" s="40">
        <v>265</v>
      </c>
      <c r="V125" s="40">
        <v>4526</v>
      </c>
      <c r="W125" s="35">
        <f t="shared" ref="W125:AP125" si="130">B125-B124</f>
        <v>0</v>
      </c>
      <c r="X125" s="35">
        <f t="shared" si="130"/>
        <v>2</v>
      </c>
      <c r="Y125" s="35">
        <f t="shared" si="130"/>
        <v>0</v>
      </c>
      <c r="Z125" s="35">
        <f t="shared" si="130"/>
        <v>2</v>
      </c>
      <c r="AA125" s="35">
        <f t="shared" si="130"/>
        <v>8</v>
      </c>
      <c r="AB125" s="35">
        <f t="shared" si="130"/>
        <v>1</v>
      </c>
      <c r="AC125" s="35">
        <f t="shared" si="130"/>
        <v>-1</v>
      </c>
      <c r="AD125" s="35">
        <f t="shared" si="130"/>
        <v>0</v>
      </c>
      <c r="AE125" s="35">
        <f t="shared" si="130"/>
        <v>0</v>
      </c>
      <c r="AF125" s="35">
        <f t="shared" si="130"/>
        <v>0</v>
      </c>
      <c r="AG125" s="35">
        <f t="shared" si="130"/>
        <v>0</v>
      </c>
      <c r="AH125" s="35">
        <f t="shared" si="130"/>
        <v>0</v>
      </c>
      <c r="AI125" s="35">
        <f t="shared" si="130"/>
        <v>0</v>
      </c>
      <c r="AJ125" s="35">
        <f t="shared" si="130"/>
        <v>5</v>
      </c>
      <c r="AK125" s="35">
        <f t="shared" si="130"/>
        <v>0</v>
      </c>
      <c r="AL125" s="35">
        <f t="shared" si="130"/>
        <v>0</v>
      </c>
      <c r="AM125" s="35">
        <f t="shared" si="130"/>
        <v>0</v>
      </c>
      <c r="AN125" s="35">
        <f t="shared" si="130"/>
        <v>0</v>
      </c>
      <c r="AO125" s="35">
        <f t="shared" si="130"/>
        <v>4</v>
      </c>
      <c r="AP125" s="35">
        <f t="shared" si="130"/>
        <v>0</v>
      </c>
    </row>
    <row r="126" spans="1:42" ht="13">
      <c r="A126" s="36">
        <v>44045</v>
      </c>
      <c r="B126" s="40">
        <v>31</v>
      </c>
      <c r="C126" s="40">
        <v>45</v>
      </c>
      <c r="D126" s="40">
        <v>17</v>
      </c>
      <c r="E126" s="40">
        <v>130</v>
      </c>
      <c r="F126" s="40">
        <v>2062</v>
      </c>
      <c r="G126" s="40">
        <v>144</v>
      </c>
      <c r="H126" s="40">
        <v>379</v>
      </c>
      <c r="I126" s="40">
        <v>102</v>
      </c>
      <c r="J126" s="40">
        <v>55</v>
      </c>
      <c r="K126" s="40">
        <v>28</v>
      </c>
      <c r="L126" s="40">
        <v>24</v>
      </c>
      <c r="M126" s="40">
        <v>312</v>
      </c>
      <c r="N126" s="40">
        <v>53</v>
      </c>
      <c r="O126" s="40">
        <v>690</v>
      </c>
      <c r="P126" s="40">
        <v>28</v>
      </c>
      <c r="Q126" s="40">
        <v>54</v>
      </c>
      <c r="R126" s="40">
        <v>17</v>
      </c>
      <c r="S126" s="40">
        <v>27</v>
      </c>
      <c r="T126" s="40">
        <v>72</v>
      </c>
      <c r="U126" s="40">
        <v>265</v>
      </c>
      <c r="V126" s="40">
        <v>4535</v>
      </c>
      <c r="W126" s="35">
        <f t="shared" ref="W126:AP126" si="131">B126-B125</f>
        <v>0</v>
      </c>
      <c r="X126" s="35">
        <f t="shared" si="131"/>
        <v>1</v>
      </c>
      <c r="Y126" s="35">
        <f t="shared" si="131"/>
        <v>1</v>
      </c>
      <c r="Z126" s="35">
        <f t="shared" si="131"/>
        <v>0</v>
      </c>
      <c r="AA126" s="35">
        <f t="shared" si="131"/>
        <v>1</v>
      </c>
      <c r="AB126" s="35">
        <f t="shared" si="131"/>
        <v>0</v>
      </c>
      <c r="AC126" s="35">
        <f t="shared" si="131"/>
        <v>0</v>
      </c>
      <c r="AD126" s="35">
        <f t="shared" si="131"/>
        <v>0</v>
      </c>
      <c r="AE126" s="35">
        <f t="shared" si="131"/>
        <v>0</v>
      </c>
      <c r="AF126" s="35">
        <f t="shared" si="131"/>
        <v>1</v>
      </c>
      <c r="AG126" s="35">
        <f t="shared" si="131"/>
        <v>0</v>
      </c>
      <c r="AH126" s="35">
        <f t="shared" si="131"/>
        <v>0</v>
      </c>
      <c r="AI126" s="35">
        <f t="shared" si="131"/>
        <v>0</v>
      </c>
      <c r="AJ126" s="35">
        <f t="shared" si="131"/>
        <v>0</v>
      </c>
      <c r="AK126" s="35">
        <f t="shared" si="131"/>
        <v>0</v>
      </c>
      <c r="AL126" s="35">
        <f t="shared" si="131"/>
        <v>0</v>
      </c>
      <c r="AM126" s="35">
        <f t="shared" si="131"/>
        <v>2</v>
      </c>
      <c r="AN126" s="35">
        <f t="shared" si="131"/>
        <v>2</v>
      </c>
      <c r="AO126" s="35">
        <f t="shared" si="131"/>
        <v>1</v>
      </c>
      <c r="AP126" s="35">
        <f t="shared" si="131"/>
        <v>0</v>
      </c>
    </row>
    <row r="127" spans="1:42" ht="13">
      <c r="A127" s="36">
        <v>44046</v>
      </c>
      <c r="B127" s="40">
        <v>31</v>
      </c>
      <c r="C127" s="40">
        <v>45</v>
      </c>
      <c r="D127" s="40">
        <v>17</v>
      </c>
      <c r="E127" s="40">
        <v>131</v>
      </c>
      <c r="F127" s="40">
        <v>2065</v>
      </c>
      <c r="G127" s="40">
        <v>144</v>
      </c>
      <c r="H127" s="40">
        <v>379</v>
      </c>
      <c r="I127" s="40">
        <v>102</v>
      </c>
      <c r="J127" s="40">
        <v>56</v>
      </c>
      <c r="K127" s="40">
        <v>28</v>
      </c>
      <c r="L127" s="40">
        <v>24</v>
      </c>
      <c r="M127" s="40">
        <v>312</v>
      </c>
      <c r="N127" s="40">
        <v>53</v>
      </c>
      <c r="O127" s="40">
        <v>691</v>
      </c>
      <c r="P127" s="40">
        <v>28</v>
      </c>
      <c r="Q127" s="40">
        <v>54</v>
      </c>
      <c r="R127" s="40">
        <v>18</v>
      </c>
      <c r="S127" s="40">
        <v>27</v>
      </c>
      <c r="T127" s="40">
        <v>74</v>
      </c>
      <c r="U127" s="40">
        <v>265</v>
      </c>
      <c r="V127" s="40">
        <v>4544</v>
      </c>
      <c r="W127" s="35">
        <f t="shared" ref="W127:AP127" si="132">B127-B126</f>
        <v>0</v>
      </c>
      <c r="X127" s="35">
        <f t="shared" si="132"/>
        <v>0</v>
      </c>
      <c r="Y127" s="35">
        <f t="shared" si="132"/>
        <v>0</v>
      </c>
      <c r="Z127" s="35">
        <f t="shared" si="132"/>
        <v>1</v>
      </c>
      <c r="AA127" s="35">
        <f t="shared" si="132"/>
        <v>3</v>
      </c>
      <c r="AB127" s="35">
        <f t="shared" si="132"/>
        <v>0</v>
      </c>
      <c r="AC127" s="35">
        <f t="shared" si="132"/>
        <v>0</v>
      </c>
      <c r="AD127" s="35">
        <f t="shared" si="132"/>
        <v>0</v>
      </c>
      <c r="AE127" s="35">
        <f t="shared" si="132"/>
        <v>1</v>
      </c>
      <c r="AF127" s="35">
        <f t="shared" si="132"/>
        <v>0</v>
      </c>
      <c r="AG127" s="35">
        <f t="shared" si="132"/>
        <v>0</v>
      </c>
      <c r="AH127" s="35">
        <f t="shared" si="132"/>
        <v>0</v>
      </c>
      <c r="AI127" s="35">
        <f t="shared" si="132"/>
        <v>0</v>
      </c>
      <c r="AJ127" s="35">
        <f t="shared" si="132"/>
        <v>1</v>
      </c>
      <c r="AK127" s="35">
        <f t="shared" si="132"/>
        <v>0</v>
      </c>
      <c r="AL127" s="35">
        <f t="shared" si="132"/>
        <v>0</v>
      </c>
      <c r="AM127" s="35">
        <f t="shared" si="132"/>
        <v>1</v>
      </c>
      <c r="AN127" s="35">
        <f t="shared" si="132"/>
        <v>0</v>
      </c>
      <c r="AO127" s="35">
        <f t="shared" si="132"/>
        <v>2</v>
      </c>
      <c r="AP127" s="35">
        <f t="shared" si="132"/>
        <v>0</v>
      </c>
    </row>
    <row r="128" spans="1:42" ht="13">
      <c r="A128" s="36">
        <v>44047</v>
      </c>
      <c r="B128" s="40">
        <v>31</v>
      </c>
      <c r="C128" s="40">
        <v>45</v>
      </c>
      <c r="D128" s="40">
        <v>17</v>
      </c>
      <c r="E128" s="40">
        <v>137</v>
      </c>
      <c r="F128" s="40">
        <v>2067</v>
      </c>
      <c r="G128" s="40">
        <v>144</v>
      </c>
      <c r="H128" s="40">
        <v>379</v>
      </c>
      <c r="I128" s="40">
        <v>102</v>
      </c>
      <c r="J128" s="40">
        <v>57</v>
      </c>
      <c r="K128" s="40">
        <v>28</v>
      </c>
      <c r="L128" s="40">
        <v>24</v>
      </c>
      <c r="M128" s="40">
        <v>312</v>
      </c>
      <c r="N128" s="40">
        <v>53</v>
      </c>
      <c r="O128" s="40">
        <v>691</v>
      </c>
      <c r="P128" s="40">
        <v>28</v>
      </c>
      <c r="Q128" s="40">
        <v>54</v>
      </c>
      <c r="R128" s="40">
        <v>18</v>
      </c>
      <c r="S128" s="40">
        <v>27</v>
      </c>
      <c r="T128" s="40">
        <v>74</v>
      </c>
      <c r="U128" s="40">
        <v>265</v>
      </c>
      <c r="V128" s="40">
        <v>4553</v>
      </c>
      <c r="W128" s="35">
        <f t="shared" ref="W128:AP128" si="133">B128-B127</f>
        <v>0</v>
      </c>
      <c r="X128" s="35">
        <f t="shared" si="133"/>
        <v>0</v>
      </c>
      <c r="Y128" s="35">
        <f t="shared" si="133"/>
        <v>0</v>
      </c>
      <c r="Z128" s="35">
        <f t="shared" si="133"/>
        <v>6</v>
      </c>
      <c r="AA128" s="35">
        <f t="shared" si="133"/>
        <v>2</v>
      </c>
      <c r="AB128" s="35">
        <f t="shared" si="133"/>
        <v>0</v>
      </c>
      <c r="AC128" s="35">
        <f t="shared" si="133"/>
        <v>0</v>
      </c>
      <c r="AD128" s="35">
        <f t="shared" si="133"/>
        <v>0</v>
      </c>
      <c r="AE128" s="35">
        <f t="shared" si="133"/>
        <v>1</v>
      </c>
      <c r="AF128" s="35">
        <f t="shared" si="133"/>
        <v>0</v>
      </c>
      <c r="AG128" s="35">
        <f t="shared" si="133"/>
        <v>0</v>
      </c>
      <c r="AH128" s="35">
        <f t="shared" si="133"/>
        <v>0</v>
      </c>
      <c r="AI128" s="35">
        <f t="shared" si="133"/>
        <v>0</v>
      </c>
      <c r="AJ128" s="35">
        <f t="shared" si="133"/>
        <v>0</v>
      </c>
      <c r="AK128" s="35">
        <f t="shared" si="133"/>
        <v>0</v>
      </c>
      <c r="AL128" s="35">
        <f t="shared" si="133"/>
        <v>0</v>
      </c>
      <c r="AM128" s="35">
        <f t="shared" si="133"/>
        <v>0</v>
      </c>
      <c r="AN128" s="35">
        <f t="shared" si="133"/>
        <v>0</v>
      </c>
      <c r="AO128" s="35">
        <f t="shared" si="133"/>
        <v>0</v>
      </c>
      <c r="AP128" s="35">
        <f t="shared" si="133"/>
        <v>0</v>
      </c>
    </row>
    <row r="129" spans="1:42" ht="13">
      <c r="A129" s="36">
        <v>44048</v>
      </c>
      <c r="B129" s="40">
        <v>31</v>
      </c>
      <c r="C129" s="40">
        <v>45</v>
      </c>
      <c r="D129" s="40">
        <v>17</v>
      </c>
      <c r="E129" s="40">
        <v>139</v>
      </c>
      <c r="F129" s="40">
        <v>2067</v>
      </c>
      <c r="G129" s="40">
        <v>146</v>
      </c>
      <c r="H129" s="40">
        <v>379</v>
      </c>
      <c r="I129" s="40">
        <v>102</v>
      </c>
      <c r="J129" s="40">
        <v>59</v>
      </c>
      <c r="K129" s="40">
        <v>28</v>
      </c>
      <c r="L129" s="40">
        <v>24</v>
      </c>
      <c r="M129" s="40">
        <v>312</v>
      </c>
      <c r="N129" s="40">
        <v>53</v>
      </c>
      <c r="O129" s="40">
        <v>692</v>
      </c>
      <c r="P129" s="40">
        <v>28</v>
      </c>
      <c r="Q129" s="40">
        <v>55</v>
      </c>
      <c r="R129" s="40">
        <v>18</v>
      </c>
      <c r="S129" s="40">
        <v>28</v>
      </c>
      <c r="T129" s="40">
        <v>76</v>
      </c>
      <c r="U129" s="40">
        <v>265</v>
      </c>
      <c r="V129" s="40">
        <v>4564</v>
      </c>
      <c r="W129" s="35">
        <f t="shared" ref="W129:AP129" si="134">B129-B128</f>
        <v>0</v>
      </c>
      <c r="X129" s="35">
        <f t="shared" si="134"/>
        <v>0</v>
      </c>
      <c r="Y129" s="35">
        <f t="shared" si="134"/>
        <v>0</v>
      </c>
      <c r="Z129" s="35">
        <f t="shared" si="134"/>
        <v>2</v>
      </c>
      <c r="AA129" s="35">
        <f t="shared" si="134"/>
        <v>0</v>
      </c>
      <c r="AB129" s="35">
        <f t="shared" si="134"/>
        <v>2</v>
      </c>
      <c r="AC129" s="35">
        <f t="shared" si="134"/>
        <v>0</v>
      </c>
      <c r="AD129" s="35">
        <f t="shared" si="134"/>
        <v>0</v>
      </c>
      <c r="AE129" s="35">
        <f t="shared" si="134"/>
        <v>2</v>
      </c>
      <c r="AF129" s="35">
        <f t="shared" si="134"/>
        <v>0</v>
      </c>
      <c r="AG129" s="35">
        <f t="shared" si="134"/>
        <v>0</v>
      </c>
      <c r="AH129" s="35">
        <f t="shared" si="134"/>
        <v>0</v>
      </c>
      <c r="AI129" s="35">
        <f t="shared" si="134"/>
        <v>0</v>
      </c>
      <c r="AJ129" s="35">
        <f t="shared" si="134"/>
        <v>1</v>
      </c>
      <c r="AK129" s="35">
        <f t="shared" si="134"/>
        <v>0</v>
      </c>
      <c r="AL129" s="35">
        <f t="shared" si="134"/>
        <v>1</v>
      </c>
      <c r="AM129" s="35">
        <f t="shared" si="134"/>
        <v>0</v>
      </c>
      <c r="AN129" s="35">
        <f t="shared" si="134"/>
        <v>1</v>
      </c>
      <c r="AO129" s="35">
        <f t="shared" si="134"/>
        <v>2</v>
      </c>
      <c r="AP129" s="35">
        <f t="shared" si="134"/>
        <v>0</v>
      </c>
    </row>
    <row r="130" spans="1:42" ht="13">
      <c r="A130" s="36">
        <v>44049</v>
      </c>
      <c r="B130" s="40">
        <v>35</v>
      </c>
      <c r="C130" s="40">
        <v>46</v>
      </c>
      <c r="D130" s="40">
        <v>17</v>
      </c>
      <c r="E130" s="40">
        <v>142</v>
      </c>
      <c r="F130" s="40">
        <v>2069</v>
      </c>
      <c r="G130" s="40">
        <v>148</v>
      </c>
      <c r="H130" s="40">
        <v>379</v>
      </c>
      <c r="I130" s="40">
        <v>103</v>
      </c>
      <c r="J130" s="40">
        <v>61</v>
      </c>
      <c r="K130" s="40">
        <v>28</v>
      </c>
      <c r="L130" s="40">
        <v>25</v>
      </c>
      <c r="M130" s="40">
        <v>313</v>
      </c>
      <c r="N130" s="40">
        <v>54</v>
      </c>
      <c r="O130" s="40">
        <v>695</v>
      </c>
      <c r="P130" s="40">
        <v>28</v>
      </c>
      <c r="Q130" s="40">
        <v>56</v>
      </c>
      <c r="R130" s="40">
        <v>18</v>
      </c>
      <c r="S130" s="40">
        <v>28</v>
      </c>
      <c r="T130" s="40">
        <v>87</v>
      </c>
      <c r="U130" s="40">
        <v>265</v>
      </c>
      <c r="V130" s="40">
        <v>4597</v>
      </c>
      <c r="W130" s="35">
        <f t="shared" ref="W130:AP130" si="135">B130-B129</f>
        <v>4</v>
      </c>
      <c r="X130" s="35">
        <f t="shared" si="135"/>
        <v>1</v>
      </c>
      <c r="Y130" s="35">
        <f t="shared" si="135"/>
        <v>0</v>
      </c>
      <c r="Z130" s="35">
        <f t="shared" si="135"/>
        <v>3</v>
      </c>
      <c r="AA130" s="35">
        <f t="shared" si="135"/>
        <v>2</v>
      </c>
      <c r="AB130" s="35">
        <f t="shared" si="135"/>
        <v>2</v>
      </c>
      <c r="AC130" s="35">
        <f t="shared" si="135"/>
        <v>0</v>
      </c>
      <c r="AD130" s="35">
        <f t="shared" si="135"/>
        <v>1</v>
      </c>
      <c r="AE130" s="35">
        <f t="shared" si="135"/>
        <v>2</v>
      </c>
      <c r="AF130" s="35">
        <f t="shared" si="135"/>
        <v>0</v>
      </c>
      <c r="AG130" s="35">
        <f t="shared" si="135"/>
        <v>1</v>
      </c>
      <c r="AH130" s="35">
        <f t="shared" si="135"/>
        <v>1</v>
      </c>
      <c r="AI130" s="35">
        <f t="shared" si="135"/>
        <v>1</v>
      </c>
      <c r="AJ130" s="35">
        <f t="shared" si="135"/>
        <v>3</v>
      </c>
      <c r="AK130" s="35">
        <f t="shared" si="135"/>
        <v>0</v>
      </c>
      <c r="AL130" s="35">
        <f t="shared" si="135"/>
        <v>1</v>
      </c>
      <c r="AM130" s="35">
        <f t="shared" si="135"/>
        <v>0</v>
      </c>
      <c r="AN130" s="35">
        <f t="shared" si="135"/>
        <v>0</v>
      </c>
      <c r="AO130" s="35">
        <f t="shared" si="135"/>
        <v>11</v>
      </c>
      <c r="AP130" s="35">
        <f t="shared" si="135"/>
        <v>0</v>
      </c>
    </row>
    <row r="131" spans="1:42" ht="13">
      <c r="A131" s="36">
        <v>44050</v>
      </c>
      <c r="B131" s="40">
        <v>35</v>
      </c>
      <c r="C131" s="40">
        <v>46</v>
      </c>
      <c r="D131" s="40">
        <v>18</v>
      </c>
      <c r="E131" s="40">
        <v>143</v>
      </c>
      <c r="F131" s="40">
        <v>2074</v>
      </c>
      <c r="G131" s="40">
        <v>150</v>
      </c>
      <c r="H131" s="40">
        <v>379</v>
      </c>
      <c r="I131" s="40">
        <v>103</v>
      </c>
      <c r="J131" s="40">
        <v>62</v>
      </c>
      <c r="K131" s="40">
        <v>28</v>
      </c>
      <c r="L131" s="40">
        <v>25</v>
      </c>
      <c r="M131" s="40">
        <v>315</v>
      </c>
      <c r="N131" s="40">
        <v>54</v>
      </c>
      <c r="O131" s="40">
        <v>695</v>
      </c>
      <c r="P131" s="40">
        <v>33</v>
      </c>
      <c r="Q131" s="40">
        <v>56</v>
      </c>
      <c r="R131" s="40">
        <v>19</v>
      </c>
      <c r="S131" s="40">
        <v>30</v>
      </c>
      <c r="T131" s="40">
        <v>91</v>
      </c>
      <c r="U131" s="40">
        <v>265</v>
      </c>
      <c r="V131" s="40">
        <v>4621</v>
      </c>
      <c r="W131" s="35">
        <f t="shared" ref="W131:AP131" si="136">B131-B130</f>
        <v>0</v>
      </c>
      <c r="X131" s="35">
        <f t="shared" si="136"/>
        <v>0</v>
      </c>
      <c r="Y131" s="35">
        <f t="shared" si="136"/>
        <v>1</v>
      </c>
      <c r="Z131" s="35">
        <f t="shared" si="136"/>
        <v>1</v>
      </c>
      <c r="AA131" s="35">
        <f t="shared" si="136"/>
        <v>5</v>
      </c>
      <c r="AB131" s="35">
        <f t="shared" si="136"/>
        <v>2</v>
      </c>
      <c r="AC131" s="35">
        <f t="shared" si="136"/>
        <v>0</v>
      </c>
      <c r="AD131" s="35">
        <f t="shared" si="136"/>
        <v>0</v>
      </c>
      <c r="AE131" s="35">
        <f t="shared" si="136"/>
        <v>1</v>
      </c>
      <c r="AF131" s="35">
        <f t="shared" si="136"/>
        <v>0</v>
      </c>
      <c r="AG131" s="35">
        <f t="shared" si="136"/>
        <v>0</v>
      </c>
      <c r="AH131" s="35">
        <f t="shared" si="136"/>
        <v>2</v>
      </c>
      <c r="AI131" s="35">
        <f t="shared" si="136"/>
        <v>0</v>
      </c>
      <c r="AJ131" s="35">
        <f t="shared" si="136"/>
        <v>0</v>
      </c>
      <c r="AK131" s="35">
        <f t="shared" si="136"/>
        <v>5</v>
      </c>
      <c r="AL131" s="35">
        <f t="shared" si="136"/>
        <v>0</v>
      </c>
      <c r="AM131" s="35">
        <f t="shared" si="136"/>
        <v>1</v>
      </c>
      <c r="AN131" s="35">
        <f t="shared" si="136"/>
        <v>2</v>
      </c>
      <c r="AO131" s="35">
        <f t="shared" si="136"/>
        <v>4</v>
      </c>
      <c r="AP131" s="35">
        <f t="shared" si="136"/>
        <v>0</v>
      </c>
    </row>
    <row r="132" spans="1:42" ht="13">
      <c r="A132" s="36">
        <v>44051</v>
      </c>
      <c r="B132" s="40">
        <v>35</v>
      </c>
      <c r="C132" s="40">
        <v>47</v>
      </c>
      <c r="D132" s="40">
        <v>18</v>
      </c>
      <c r="E132" s="40">
        <v>144</v>
      </c>
      <c r="F132" s="40">
        <v>2081</v>
      </c>
      <c r="G132" s="40">
        <v>151</v>
      </c>
      <c r="H132" s="40">
        <v>382</v>
      </c>
      <c r="I132" s="40">
        <v>103</v>
      </c>
      <c r="J132" s="40">
        <v>68</v>
      </c>
      <c r="K132" s="40">
        <v>28</v>
      </c>
      <c r="L132" s="40">
        <v>26</v>
      </c>
      <c r="M132" s="40">
        <v>315</v>
      </c>
      <c r="N132" s="40">
        <v>54</v>
      </c>
      <c r="O132" s="40">
        <v>700</v>
      </c>
      <c r="P132" s="40">
        <v>33</v>
      </c>
      <c r="Q132" s="40">
        <v>57</v>
      </c>
      <c r="R132" s="40">
        <v>18</v>
      </c>
      <c r="S132" s="40">
        <v>30</v>
      </c>
      <c r="T132" s="40">
        <v>98</v>
      </c>
      <c r="U132" s="40">
        <v>265</v>
      </c>
      <c r="V132" s="40">
        <v>4653</v>
      </c>
      <c r="W132" s="35">
        <f t="shared" ref="W132:AP132" si="137">B132-B131</f>
        <v>0</v>
      </c>
      <c r="X132" s="35">
        <f t="shared" si="137"/>
        <v>1</v>
      </c>
      <c r="Y132" s="35">
        <f t="shared" si="137"/>
        <v>0</v>
      </c>
      <c r="Z132" s="35">
        <f t="shared" si="137"/>
        <v>1</v>
      </c>
      <c r="AA132" s="35">
        <f t="shared" si="137"/>
        <v>7</v>
      </c>
      <c r="AB132" s="35">
        <f t="shared" si="137"/>
        <v>1</v>
      </c>
      <c r="AC132" s="35">
        <f t="shared" si="137"/>
        <v>3</v>
      </c>
      <c r="AD132" s="35">
        <f t="shared" si="137"/>
        <v>0</v>
      </c>
      <c r="AE132" s="35">
        <f t="shared" si="137"/>
        <v>6</v>
      </c>
      <c r="AF132" s="35">
        <f t="shared" si="137"/>
        <v>0</v>
      </c>
      <c r="AG132" s="35">
        <f t="shared" si="137"/>
        <v>1</v>
      </c>
      <c r="AH132" s="35">
        <f t="shared" si="137"/>
        <v>0</v>
      </c>
      <c r="AI132" s="35">
        <f t="shared" si="137"/>
        <v>0</v>
      </c>
      <c r="AJ132" s="35">
        <f t="shared" si="137"/>
        <v>5</v>
      </c>
      <c r="AK132" s="35">
        <f t="shared" si="137"/>
        <v>0</v>
      </c>
      <c r="AL132" s="35">
        <f t="shared" si="137"/>
        <v>1</v>
      </c>
      <c r="AM132" s="35">
        <f t="shared" si="137"/>
        <v>-1</v>
      </c>
      <c r="AN132" s="35">
        <f t="shared" si="137"/>
        <v>0</v>
      </c>
      <c r="AO132" s="35">
        <f t="shared" si="137"/>
        <v>7</v>
      </c>
      <c r="AP132" s="35">
        <f t="shared" si="137"/>
        <v>0</v>
      </c>
    </row>
    <row r="133" spans="1:42" ht="13">
      <c r="A133" s="36">
        <v>44052</v>
      </c>
      <c r="B133" s="40">
        <v>39</v>
      </c>
      <c r="C133" s="40">
        <v>52</v>
      </c>
      <c r="D133" s="40">
        <v>18</v>
      </c>
      <c r="E133" s="40">
        <v>145</v>
      </c>
      <c r="F133" s="40">
        <v>2091</v>
      </c>
      <c r="G133" s="40">
        <v>151</v>
      </c>
      <c r="H133" s="40">
        <v>382</v>
      </c>
      <c r="I133" s="40">
        <v>103</v>
      </c>
      <c r="J133" s="40">
        <v>70</v>
      </c>
      <c r="K133" s="40">
        <v>28</v>
      </c>
      <c r="L133" s="40">
        <v>26</v>
      </c>
      <c r="M133" s="40">
        <v>315</v>
      </c>
      <c r="N133" s="40">
        <v>56</v>
      </c>
      <c r="O133" s="40">
        <v>703</v>
      </c>
      <c r="P133" s="40">
        <v>33</v>
      </c>
      <c r="Q133" s="40">
        <v>58</v>
      </c>
      <c r="R133" s="40">
        <v>18</v>
      </c>
      <c r="S133" s="40">
        <v>35</v>
      </c>
      <c r="T133" s="40">
        <v>108</v>
      </c>
      <c r="U133" s="40">
        <v>265</v>
      </c>
      <c r="V133" s="40">
        <v>4696</v>
      </c>
      <c r="W133" s="35">
        <f t="shared" ref="W133:AP133" si="138">B133-B132</f>
        <v>4</v>
      </c>
      <c r="X133" s="35">
        <f t="shared" si="138"/>
        <v>5</v>
      </c>
      <c r="Y133" s="35">
        <f t="shared" si="138"/>
        <v>0</v>
      </c>
      <c r="Z133" s="35">
        <f t="shared" si="138"/>
        <v>1</v>
      </c>
      <c r="AA133" s="35">
        <f t="shared" si="138"/>
        <v>10</v>
      </c>
      <c r="AB133" s="35">
        <f t="shared" si="138"/>
        <v>0</v>
      </c>
      <c r="AC133" s="35">
        <f t="shared" si="138"/>
        <v>0</v>
      </c>
      <c r="AD133" s="35">
        <f t="shared" si="138"/>
        <v>0</v>
      </c>
      <c r="AE133" s="35">
        <f t="shared" si="138"/>
        <v>2</v>
      </c>
      <c r="AF133" s="35">
        <f t="shared" si="138"/>
        <v>0</v>
      </c>
      <c r="AG133" s="35">
        <f t="shared" si="138"/>
        <v>0</v>
      </c>
      <c r="AH133" s="35">
        <f t="shared" si="138"/>
        <v>0</v>
      </c>
      <c r="AI133" s="35">
        <f t="shared" si="138"/>
        <v>2</v>
      </c>
      <c r="AJ133" s="35">
        <f t="shared" si="138"/>
        <v>3</v>
      </c>
      <c r="AK133" s="35">
        <f t="shared" si="138"/>
        <v>0</v>
      </c>
      <c r="AL133" s="35">
        <f t="shared" si="138"/>
        <v>1</v>
      </c>
      <c r="AM133" s="35">
        <f t="shared" si="138"/>
        <v>0</v>
      </c>
      <c r="AN133" s="35">
        <f t="shared" si="138"/>
        <v>5</v>
      </c>
      <c r="AO133" s="35">
        <f t="shared" si="138"/>
        <v>10</v>
      </c>
      <c r="AP133" s="35">
        <f t="shared" si="138"/>
        <v>0</v>
      </c>
    </row>
    <row r="134" spans="1:42" ht="13">
      <c r="A134" s="36">
        <v>44053</v>
      </c>
      <c r="B134" s="41">
        <v>40</v>
      </c>
      <c r="C134" s="41">
        <v>53</v>
      </c>
      <c r="D134" s="41">
        <v>18</v>
      </c>
      <c r="E134" s="41">
        <v>145</v>
      </c>
      <c r="F134" s="41">
        <v>2099</v>
      </c>
      <c r="G134" s="41">
        <v>152</v>
      </c>
      <c r="H134" s="41">
        <v>382</v>
      </c>
      <c r="I134" s="41">
        <v>104</v>
      </c>
      <c r="J134" s="41">
        <v>80</v>
      </c>
      <c r="K134" s="41">
        <v>28</v>
      </c>
      <c r="L134" s="41">
        <v>28</v>
      </c>
      <c r="M134" s="41">
        <v>315</v>
      </c>
      <c r="N134" s="41">
        <v>56</v>
      </c>
      <c r="O134" s="41">
        <v>706</v>
      </c>
      <c r="P134" s="41">
        <v>33</v>
      </c>
      <c r="Q134" s="41">
        <v>60</v>
      </c>
      <c r="R134" s="41">
        <v>18</v>
      </c>
      <c r="S134" s="41">
        <v>35</v>
      </c>
      <c r="T134" s="41">
        <v>114</v>
      </c>
      <c r="U134" s="41">
        <v>265</v>
      </c>
      <c r="V134" s="41">
        <v>4731</v>
      </c>
      <c r="W134" s="35">
        <f t="shared" ref="W134:AP134" si="139">B134-B133</f>
        <v>1</v>
      </c>
      <c r="X134" s="35">
        <f t="shared" si="139"/>
        <v>1</v>
      </c>
      <c r="Y134" s="35">
        <f t="shared" si="139"/>
        <v>0</v>
      </c>
      <c r="Z134" s="35">
        <f t="shared" si="139"/>
        <v>0</v>
      </c>
      <c r="AA134" s="35">
        <f t="shared" si="139"/>
        <v>8</v>
      </c>
      <c r="AB134" s="35">
        <f t="shared" si="139"/>
        <v>1</v>
      </c>
      <c r="AC134" s="35">
        <f t="shared" si="139"/>
        <v>0</v>
      </c>
      <c r="AD134" s="35">
        <f t="shared" si="139"/>
        <v>1</v>
      </c>
      <c r="AE134" s="35">
        <f t="shared" si="139"/>
        <v>10</v>
      </c>
      <c r="AF134" s="35">
        <f t="shared" si="139"/>
        <v>0</v>
      </c>
      <c r="AG134" s="35">
        <f t="shared" si="139"/>
        <v>2</v>
      </c>
      <c r="AH134" s="35">
        <f t="shared" si="139"/>
        <v>0</v>
      </c>
      <c r="AI134" s="35">
        <f t="shared" si="139"/>
        <v>0</v>
      </c>
      <c r="AJ134" s="35">
        <f t="shared" si="139"/>
        <v>3</v>
      </c>
      <c r="AK134" s="35">
        <f t="shared" si="139"/>
        <v>0</v>
      </c>
      <c r="AL134" s="35">
        <f t="shared" si="139"/>
        <v>2</v>
      </c>
      <c r="AM134" s="35">
        <f t="shared" si="139"/>
        <v>0</v>
      </c>
      <c r="AN134" s="35">
        <f t="shared" si="139"/>
        <v>0</v>
      </c>
      <c r="AO134" s="35">
        <f t="shared" si="139"/>
        <v>6</v>
      </c>
      <c r="AP134" s="35">
        <f t="shared" si="139"/>
        <v>0</v>
      </c>
    </row>
    <row r="135" spans="1:42" ht="13">
      <c r="A135" s="36">
        <v>44054</v>
      </c>
      <c r="B135" s="40">
        <v>40</v>
      </c>
      <c r="C135" s="40">
        <v>54</v>
      </c>
      <c r="D135" s="40">
        <v>18</v>
      </c>
      <c r="E135" s="40">
        <v>145</v>
      </c>
      <c r="F135" s="40">
        <v>2100</v>
      </c>
      <c r="G135" s="40">
        <v>153</v>
      </c>
      <c r="H135" s="40">
        <v>382</v>
      </c>
      <c r="I135" s="40">
        <v>104</v>
      </c>
      <c r="J135" s="40">
        <v>82</v>
      </c>
      <c r="K135" s="40">
        <v>29</v>
      </c>
      <c r="L135" s="40">
        <v>28</v>
      </c>
      <c r="M135" s="40">
        <v>315</v>
      </c>
      <c r="N135" s="40">
        <v>56</v>
      </c>
      <c r="O135" s="40">
        <v>706</v>
      </c>
      <c r="P135" s="40">
        <v>33</v>
      </c>
      <c r="Q135" s="40">
        <v>61</v>
      </c>
      <c r="R135" s="40">
        <v>18</v>
      </c>
      <c r="S135" s="40">
        <v>35</v>
      </c>
      <c r="T135" s="40">
        <v>122</v>
      </c>
      <c r="U135" s="40">
        <v>265</v>
      </c>
      <c r="V135" s="40">
        <v>4746</v>
      </c>
      <c r="W135" s="35">
        <f t="shared" ref="W135:AP135" si="140">B135-B134</f>
        <v>0</v>
      </c>
      <c r="X135" s="35">
        <f t="shared" si="140"/>
        <v>1</v>
      </c>
      <c r="Y135" s="35">
        <f t="shared" si="140"/>
        <v>0</v>
      </c>
      <c r="Z135" s="35">
        <f t="shared" si="140"/>
        <v>0</v>
      </c>
      <c r="AA135" s="35">
        <f t="shared" si="140"/>
        <v>1</v>
      </c>
      <c r="AB135" s="35">
        <f t="shared" si="140"/>
        <v>1</v>
      </c>
      <c r="AC135" s="35">
        <f t="shared" si="140"/>
        <v>0</v>
      </c>
      <c r="AD135" s="35">
        <f t="shared" si="140"/>
        <v>0</v>
      </c>
      <c r="AE135" s="35">
        <f t="shared" si="140"/>
        <v>2</v>
      </c>
      <c r="AF135" s="35">
        <f t="shared" si="140"/>
        <v>1</v>
      </c>
      <c r="AG135" s="35">
        <f t="shared" si="140"/>
        <v>0</v>
      </c>
      <c r="AH135" s="35">
        <f t="shared" si="140"/>
        <v>0</v>
      </c>
      <c r="AI135" s="35">
        <f t="shared" si="140"/>
        <v>0</v>
      </c>
      <c r="AJ135" s="35">
        <f t="shared" si="140"/>
        <v>0</v>
      </c>
      <c r="AK135" s="35">
        <f t="shared" si="140"/>
        <v>0</v>
      </c>
      <c r="AL135" s="35">
        <f t="shared" si="140"/>
        <v>1</v>
      </c>
      <c r="AM135" s="35">
        <f t="shared" si="140"/>
        <v>0</v>
      </c>
      <c r="AN135" s="35">
        <f t="shared" si="140"/>
        <v>0</v>
      </c>
      <c r="AO135" s="35">
        <f t="shared" si="140"/>
        <v>8</v>
      </c>
      <c r="AP135" s="35">
        <f t="shared" si="140"/>
        <v>0</v>
      </c>
    </row>
    <row r="136" spans="1:42" ht="13">
      <c r="A136" s="36">
        <v>44055</v>
      </c>
      <c r="B136" s="40">
        <v>40</v>
      </c>
      <c r="C136" s="40">
        <v>54</v>
      </c>
      <c r="D136" s="40">
        <v>19</v>
      </c>
      <c r="E136" s="40">
        <v>146</v>
      </c>
      <c r="F136" s="40">
        <v>2102</v>
      </c>
      <c r="G136" s="40">
        <v>153</v>
      </c>
      <c r="H136" s="40">
        <v>382</v>
      </c>
      <c r="I136" s="40">
        <v>104</v>
      </c>
      <c r="J136" s="40">
        <v>83</v>
      </c>
      <c r="K136" s="40">
        <v>29</v>
      </c>
      <c r="L136" s="40">
        <v>28</v>
      </c>
      <c r="M136" s="40">
        <v>315</v>
      </c>
      <c r="N136" s="40">
        <v>56</v>
      </c>
      <c r="O136" s="40">
        <v>706</v>
      </c>
      <c r="P136" s="40">
        <v>33</v>
      </c>
      <c r="Q136" s="40">
        <v>66</v>
      </c>
      <c r="R136" s="40">
        <v>18</v>
      </c>
      <c r="S136" s="40">
        <v>38</v>
      </c>
      <c r="T136" s="40">
        <v>131</v>
      </c>
      <c r="U136" s="40">
        <v>265</v>
      </c>
      <c r="V136" s="40">
        <v>4768</v>
      </c>
      <c r="W136" s="35">
        <f t="shared" ref="W136:AP136" si="141">B136-B135</f>
        <v>0</v>
      </c>
      <c r="X136" s="35">
        <f t="shared" si="141"/>
        <v>0</v>
      </c>
      <c r="Y136" s="35">
        <f t="shared" si="141"/>
        <v>1</v>
      </c>
      <c r="Z136" s="35">
        <f t="shared" si="141"/>
        <v>1</v>
      </c>
      <c r="AA136" s="35">
        <f t="shared" si="141"/>
        <v>2</v>
      </c>
      <c r="AB136" s="35">
        <f t="shared" si="141"/>
        <v>0</v>
      </c>
      <c r="AC136" s="35">
        <f t="shared" si="141"/>
        <v>0</v>
      </c>
      <c r="AD136" s="35">
        <f t="shared" si="141"/>
        <v>0</v>
      </c>
      <c r="AE136" s="35">
        <f t="shared" si="141"/>
        <v>1</v>
      </c>
      <c r="AF136" s="35">
        <f t="shared" si="141"/>
        <v>0</v>
      </c>
      <c r="AG136" s="35">
        <f t="shared" si="141"/>
        <v>0</v>
      </c>
      <c r="AH136" s="35">
        <f t="shared" si="141"/>
        <v>0</v>
      </c>
      <c r="AI136" s="35">
        <f t="shared" si="141"/>
        <v>0</v>
      </c>
      <c r="AJ136" s="35">
        <f t="shared" si="141"/>
        <v>0</v>
      </c>
      <c r="AK136" s="35">
        <f t="shared" si="141"/>
        <v>0</v>
      </c>
      <c r="AL136" s="35">
        <f t="shared" si="141"/>
        <v>5</v>
      </c>
      <c r="AM136" s="35">
        <f t="shared" si="141"/>
        <v>0</v>
      </c>
      <c r="AN136" s="35">
        <f t="shared" si="141"/>
        <v>3</v>
      </c>
      <c r="AO136" s="35">
        <f t="shared" si="141"/>
        <v>9</v>
      </c>
      <c r="AP136" s="35">
        <f t="shared" si="141"/>
        <v>0</v>
      </c>
    </row>
    <row r="137" spans="1:42" ht="13">
      <c r="A137" s="36">
        <v>44056</v>
      </c>
      <c r="B137" s="40">
        <v>41</v>
      </c>
      <c r="C137" s="40">
        <v>54</v>
      </c>
      <c r="D137" s="40">
        <v>19</v>
      </c>
      <c r="E137" s="40">
        <v>147</v>
      </c>
      <c r="F137" s="40">
        <v>2113</v>
      </c>
      <c r="G137" s="40">
        <v>155</v>
      </c>
      <c r="H137" s="40">
        <v>382</v>
      </c>
      <c r="I137" s="40">
        <v>104</v>
      </c>
      <c r="J137" s="40">
        <v>91</v>
      </c>
      <c r="K137" s="40">
        <v>29</v>
      </c>
      <c r="L137" s="40">
        <v>31</v>
      </c>
      <c r="M137" s="40">
        <v>315</v>
      </c>
      <c r="N137" s="40">
        <v>56</v>
      </c>
      <c r="O137" s="40">
        <v>708</v>
      </c>
      <c r="P137" s="40">
        <v>33</v>
      </c>
      <c r="Q137" s="40">
        <v>75</v>
      </c>
      <c r="R137" s="40">
        <v>18</v>
      </c>
      <c r="S137" s="40">
        <v>38</v>
      </c>
      <c r="T137" s="40">
        <v>138</v>
      </c>
      <c r="U137" s="40">
        <v>266</v>
      </c>
      <c r="V137" s="40">
        <v>4813</v>
      </c>
      <c r="W137" s="35">
        <f t="shared" ref="W137:AP137" si="142">B137-B136</f>
        <v>1</v>
      </c>
      <c r="X137" s="35">
        <f t="shared" si="142"/>
        <v>0</v>
      </c>
      <c r="Y137" s="35">
        <f t="shared" si="142"/>
        <v>0</v>
      </c>
      <c r="Z137" s="35">
        <f t="shared" si="142"/>
        <v>1</v>
      </c>
      <c r="AA137" s="35">
        <f t="shared" si="142"/>
        <v>11</v>
      </c>
      <c r="AB137" s="35">
        <f t="shared" si="142"/>
        <v>2</v>
      </c>
      <c r="AC137" s="35">
        <f t="shared" si="142"/>
        <v>0</v>
      </c>
      <c r="AD137" s="35">
        <f t="shared" si="142"/>
        <v>0</v>
      </c>
      <c r="AE137" s="35">
        <f t="shared" si="142"/>
        <v>8</v>
      </c>
      <c r="AF137" s="35">
        <f t="shared" si="142"/>
        <v>0</v>
      </c>
      <c r="AG137" s="35">
        <f t="shared" si="142"/>
        <v>3</v>
      </c>
      <c r="AH137" s="35">
        <f t="shared" si="142"/>
        <v>0</v>
      </c>
      <c r="AI137" s="35">
        <f t="shared" si="142"/>
        <v>0</v>
      </c>
      <c r="AJ137" s="35">
        <f t="shared" si="142"/>
        <v>2</v>
      </c>
      <c r="AK137" s="35">
        <f t="shared" si="142"/>
        <v>0</v>
      </c>
      <c r="AL137" s="35">
        <f t="shared" si="142"/>
        <v>9</v>
      </c>
      <c r="AM137" s="35">
        <f t="shared" si="142"/>
        <v>0</v>
      </c>
      <c r="AN137" s="35">
        <f t="shared" si="142"/>
        <v>0</v>
      </c>
      <c r="AO137" s="35">
        <f t="shared" si="142"/>
        <v>7</v>
      </c>
      <c r="AP137" s="35">
        <f t="shared" si="142"/>
        <v>1</v>
      </c>
    </row>
    <row r="138" spans="1:42" ht="13">
      <c r="A138" s="36">
        <v>44057</v>
      </c>
      <c r="B138" s="40">
        <v>42</v>
      </c>
      <c r="C138" s="40">
        <v>54</v>
      </c>
      <c r="D138" s="40">
        <v>19</v>
      </c>
      <c r="E138" s="40">
        <v>149</v>
      </c>
      <c r="F138" s="40">
        <v>2125</v>
      </c>
      <c r="G138" s="40">
        <v>155</v>
      </c>
      <c r="H138" s="40">
        <v>382</v>
      </c>
      <c r="I138" s="40">
        <v>104</v>
      </c>
      <c r="J138" s="40">
        <v>93</v>
      </c>
      <c r="K138" s="40">
        <v>30</v>
      </c>
      <c r="L138" s="40">
        <v>32</v>
      </c>
      <c r="M138" s="40">
        <v>315</v>
      </c>
      <c r="N138" s="40">
        <v>56</v>
      </c>
      <c r="O138" s="40">
        <v>713</v>
      </c>
      <c r="P138" s="40">
        <v>33</v>
      </c>
      <c r="Q138" s="40">
        <v>85</v>
      </c>
      <c r="R138" s="40">
        <v>20</v>
      </c>
      <c r="S138" s="40">
        <v>39</v>
      </c>
      <c r="T138" s="40">
        <v>141</v>
      </c>
      <c r="U138" s="40">
        <v>266</v>
      </c>
      <c r="V138" s="40">
        <v>4853</v>
      </c>
      <c r="W138" s="35">
        <f t="shared" ref="W138:AP138" si="143">B138-B137</f>
        <v>1</v>
      </c>
      <c r="X138" s="35">
        <f t="shared" si="143"/>
        <v>0</v>
      </c>
      <c r="Y138" s="35">
        <f t="shared" si="143"/>
        <v>0</v>
      </c>
      <c r="Z138" s="35">
        <f t="shared" si="143"/>
        <v>2</v>
      </c>
      <c r="AA138" s="35">
        <f t="shared" si="143"/>
        <v>12</v>
      </c>
      <c r="AB138" s="35">
        <f t="shared" si="143"/>
        <v>0</v>
      </c>
      <c r="AC138" s="35">
        <f t="shared" si="143"/>
        <v>0</v>
      </c>
      <c r="AD138" s="35">
        <f t="shared" si="143"/>
        <v>0</v>
      </c>
      <c r="AE138" s="35">
        <f t="shared" si="143"/>
        <v>2</v>
      </c>
      <c r="AF138" s="35">
        <f t="shared" si="143"/>
        <v>1</v>
      </c>
      <c r="AG138" s="35">
        <f t="shared" si="143"/>
        <v>1</v>
      </c>
      <c r="AH138" s="35">
        <f t="shared" si="143"/>
        <v>0</v>
      </c>
      <c r="AI138" s="35">
        <f t="shared" si="143"/>
        <v>0</v>
      </c>
      <c r="AJ138" s="35">
        <f t="shared" si="143"/>
        <v>5</v>
      </c>
      <c r="AK138" s="35">
        <f t="shared" si="143"/>
        <v>0</v>
      </c>
      <c r="AL138" s="35">
        <f t="shared" si="143"/>
        <v>10</v>
      </c>
      <c r="AM138" s="35">
        <f t="shared" si="143"/>
        <v>2</v>
      </c>
      <c r="AN138" s="35">
        <f t="shared" si="143"/>
        <v>1</v>
      </c>
      <c r="AO138" s="35">
        <f t="shared" si="143"/>
        <v>3</v>
      </c>
      <c r="AP138" s="35">
        <f t="shared" si="143"/>
        <v>0</v>
      </c>
    </row>
    <row r="139" spans="1:42" ht="13">
      <c r="A139" s="36">
        <v>44058</v>
      </c>
      <c r="B139" s="40">
        <v>44</v>
      </c>
      <c r="C139" s="40">
        <v>54</v>
      </c>
      <c r="D139" s="40">
        <v>19</v>
      </c>
      <c r="E139" s="40">
        <v>149</v>
      </c>
      <c r="F139" s="40">
        <v>2132</v>
      </c>
      <c r="G139" s="40">
        <v>156</v>
      </c>
      <c r="H139" s="40">
        <v>382</v>
      </c>
      <c r="I139" s="40">
        <v>106</v>
      </c>
      <c r="J139" s="40">
        <v>89</v>
      </c>
      <c r="K139" s="40">
        <v>30</v>
      </c>
      <c r="L139" s="40">
        <v>32</v>
      </c>
      <c r="M139" s="40">
        <v>315</v>
      </c>
      <c r="N139" s="40">
        <v>56</v>
      </c>
      <c r="O139" s="40">
        <v>721</v>
      </c>
      <c r="P139" s="40">
        <v>33</v>
      </c>
      <c r="Q139" s="40">
        <v>93</v>
      </c>
      <c r="R139" s="40">
        <v>20</v>
      </c>
      <c r="S139" s="40">
        <v>39</v>
      </c>
      <c r="T139" s="40">
        <v>141</v>
      </c>
      <c r="U139" s="40">
        <v>266</v>
      </c>
      <c r="V139" s="40">
        <v>4877</v>
      </c>
      <c r="W139" s="35">
        <f t="shared" ref="W139:AP139" si="144">B139-B138</f>
        <v>2</v>
      </c>
      <c r="X139" s="35">
        <f t="shared" si="144"/>
        <v>0</v>
      </c>
      <c r="Y139" s="35">
        <f t="shared" si="144"/>
        <v>0</v>
      </c>
      <c r="Z139" s="35">
        <f t="shared" si="144"/>
        <v>0</v>
      </c>
      <c r="AA139" s="35">
        <f t="shared" si="144"/>
        <v>7</v>
      </c>
      <c r="AB139" s="35">
        <f t="shared" si="144"/>
        <v>1</v>
      </c>
      <c r="AC139" s="35">
        <f t="shared" si="144"/>
        <v>0</v>
      </c>
      <c r="AD139" s="35">
        <f t="shared" si="144"/>
        <v>2</v>
      </c>
      <c r="AE139" s="35">
        <f t="shared" si="144"/>
        <v>-4</v>
      </c>
      <c r="AF139" s="35">
        <f t="shared" si="144"/>
        <v>0</v>
      </c>
      <c r="AG139" s="35">
        <f t="shared" si="144"/>
        <v>0</v>
      </c>
      <c r="AH139" s="35">
        <f t="shared" si="144"/>
        <v>0</v>
      </c>
      <c r="AI139" s="35">
        <f t="shared" si="144"/>
        <v>0</v>
      </c>
      <c r="AJ139" s="35">
        <f t="shared" si="144"/>
        <v>8</v>
      </c>
      <c r="AK139" s="35">
        <f t="shared" si="144"/>
        <v>0</v>
      </c>
      <c r="AL139" s="35">
        <f t="shared" si="144"/>
        <v>8</v>
      </c>
      <c r="AM139" s="35">
        <f t="shared" si="144"/>
        <v>0</v>
      </c>
      <c r="AN139" s="35">
        <f t="shared" si="144"/>
        <v>0</v>
      </c>
      <c r="AO139" s="35">
        <f t="shared" si="144"/>
        <v>0</v>
      </c>
      <c r="AP139" s="35">
        <f t="shared" si="144"/>
        <v>0</v>
      </c>
    </row>
    <row r="140" spans="1:42" ht="13">
      <c r="A140" s="36">
        <v>44059</v>
      </c>
      <c r="B140" s="40">
        <v>44</v>
      </c>
      <c r="C140" s="40">
        <v>54</v>
      </c>
      <c r="D140" s="40">
        <v>19</v>
      </c>
      <c r="E140" s="40">
        <v>150</v>
      </c>
      <c r="F140" s="40">
        <v>2142</v>
      </c>
      <c r="G140" s="40">
        <v>156</v>
      </c>
      <c r="H140" s="40">
        <v>382</v>
      </c>
      <c r="I140" s="40">
        <v>106</v>
      </c>
      <c r="J140" s="40">
        <v>93</v>
      </c>
      <c r="K140" s="40">
        <v>31</v>
      </c>
      <c r="L140" s="40">
        <v>33</v>
      </c>
      <c r="M140" s="40">
        <v>315</v>
      </c>
      <c r="N140" s="40">
        <v>57</v>
      </c>
      <c r="O140" s="40">
        <v>725</v>
      </c>
      <c r="P140" s="40">
        <v>33</v>
      </c>
      <c r="Q140" s="40">
        <v>98</v>
      </c>
      <c r="R140" s="40">
        <v>20</v>
      </c>
      <c r="S140" s="40">
        <v>39</v>
      </c>
      <c r="T140" s="40">
        <v>142</v>
      </c>
      <c r="U140" s="40">
        <v>277</v>
      </c>
      <c r="V140" s="40">
        <v>4916</v>
      </c>
      <c r="W140" s="35">
        <f t="shared" ref="W140:AP140" si="145">B140-B139</f>
        <v>0</v>
      </c>
      <c r="X140" s="35">
        <f t="shared" si="145"/>
        <v>0</v>
      </c>
      <c r="Y140" s="35">
        <f t="shared" si="145"/>
        <v>0</v>
      </c>
      <c r="Z140" s="35">
        <f t="shared" si="145"/>
        <v>1</v>
      </c>
      <c r="AA140" s="35">
        <f t="shared" si="145"/>
        <v>10</v>
      </c>
      <c r="AB140" s="35">
        <f t="shared" si="145"/>
        <v>0</v>
      </c>
      <c r="AC140" s="35">
        <f t="shared" si="145"/>
        <v>0</v>
      </c>
      <c r="AD140" s="35">
        <f t="shared" si="145"/>
        <v>0</v>
      </c>
      <c r="AE140" s="35">
        <f t="shared" si="145"/>
        <v>4</v>
      </c>
      <c r="AF140" s="35">
        <f t="shared" si="145"/>
        <v>1</v>
      </c>
      <c r="AG140" s="35">
        <f t="shared" si="145"/>
        <v>1</v>
      </c>
      <c r="AH140" s="35">
        <f t="shared" si="145"/>
        <v>0</v>
      </c>
      <c r="AI140" s="35">
        <f t="shared" si="145"/>
        <v>1</v>
      </c>
      <c r="AJ140" s="35">
        <f t="shared" si="145"/>
        <v>4</v>
      </c>
      <c r="AK140" s="35">
        <f t="shared" si="145"/>
        <v>0</v>
      </c>
      <c r="AL140" s="35">
        <f t="shared" si="145"/>
        <v>5</v>
      </c>
      <c r="AM140" s="35">
        <f t="shared" si="145"/>
        <v>0</v>
      </c>
      <c r="AN140" s="35">
        <f t="shared" si="145"/>
        <v>0</v>
      </c>
      <c r="AO140" s="35">
        <f t="shared" si="145"/>
        <v>1</v>
      </c>
      <c r="AP140" s="35">
        <f t="shared" si="145"/>
        <v>11</v>
      </c>
    </row>
    <row r="141" spans="1:42" ht="13">
      <c r="A141" s="36">
        <v>44060</v>
      </c>
      <c r="B141" s="40">
        <v>47</v>
      </c>
      <c r="C141" s="40">
        <v>54</v>
      </c>
      <c r="D141" s="40">
        <v>19</v>
      </c>
      <c r="E141" s="40">
        <v>151</v>
      </c>
      <c r="F141" s="40">
        <v>2154</v>
      </c>
      <c r="G141" s="40">
        <v>156</v>
      </c>
      <c r="H141" s="40">
        <v>386</v>
      </c>
      <c r="I141" s="40">
        <v>106</v>
      </c>
      <c r="J141" s="40">
        <v>95</v>
      </c>
      <c r="K141" s="40">
        <v>31</v>
      </c>
      <c r="L141" s="40">
        <v>33</v>
      </c>
      <c r="M141" s="40">
        <v>315</v>
      </c>
      <c r="N141" s="40">
        <v>57</v>
      </c>
      <c r="O141" s="40">
        <v>727</v>
      </c>
      <c r="P141" s="40">
        <v>33</v>
      </c>
      <c r="Q141" s="40">
        <v>99</v>
      </c>
      <c r="R141" s="40">
        <v>21</v>
      </c>
      <c r="S141" s="40">
        <v>41</v>
      </c>
      <c r="T141" s="40">
        <v>144</v>
      </c>
      <c r="U141" s="40">
        <v>277</v>
      </c>
      <c r="V141" s="40">
        <v>4946</v>
      </c>
      <c r="W141" s="35">
        <f t="shared" ref="W141:AP141" si="146">B141-B140</f>
        <v>3</v>
      </c>
      <c r="X141" s="35">
        <f t="shared" si="146"/>
        <v>0</v>
      </c>
      <c r="Y141" s="35">
        <f t="shared" si="146"/>
        <v>0</v>
      </c>
      <c r="Z141" s="35">
        <f t="shared" si="146"/>
        <v>1</v>
      </c>
      <c r="AA141" s="35">
        <f t="shared" si="146"/>
        <v>12</v>
      </c>
      <c r="AB141" s="35">
        <f t="shared" si="146"/>
        <v>0</v>
      </c>
      <c r="AC141" s="35">
        <f t="shared" si="146"/>
        <v>4</v>
      </c>
      <c r="AD141" s="35">
        <f t="shared" si="146"/>
        <v>0</v>
      </c>
      <c r="AE141" s="35">
        <f t="shared" si="146"/>
        <v>2</v>
      </c>
      <c r="AF141" s="35">
        <f t="shared" si="146"/>
        <v>0</v>
      </c>
      <c r="AG141" s="35">
        <f t="shared" si="146"/>
        <v>0</v>
      </c>
      <c r="AH141" s="35">
        <f t="shared" si="146"/>
        <v>0</v>
      </c>
      <c r="AI141" s="35">
        <f t="shared" si="146"/>
        <v>0</v>
      </c>
      <c r="AJ141" s="35">
        <f t="shared" si="146"/>
        <v>2</v>
      </c>
      <c r="AK141" s="35">
        <f t="shared" si="146"/>
        <v>0</v>
      </c>
      <c r="AL141" s="35">
        <f t="shared" si="146"/>
        <v>1</v>
      </c>
      <c r="AM141" s="35">
        <f t="shared" si="146"/>
        <v>1</v>
      </c>
      <c r="AN141" s="35">
        <f t="shared" si="146"/>
        <v>2</v>
      </c>
      <c r="AO141" s="35">
        <f t="shared" si="146"/>
        <v>2</v>
      </c>
      <c r="AP141" s="35">
        <f t="shared" si="146"/>
        <v>0</v>
      </c>
    </row>
    <row r="142" spans="1:42" ht="13">
      <c r="A142" s="36">
        <v>44061</v>
      </c>
      <c r="B142" s="40">
        <v>47</v>
      </c>
      <c r="C142" s="40">
        <v>54</v>
      </c>
      <c r="D142" s="40">
        <v>19</v>
      </c>
      <c r="E142" s="40">
        <v>151</v>
      </c>
      <c r="F142" s="40">
        <v>2163</v>
      </c>
      <c r="G142" s="40">
        <v>157</v>
      </c>
      <c r="H142" s="40">
        <v>386</v>
      </c>
      <c r="I142" s="40">
        <v>107</v>
      </c>
      <c r="J142" s="40">
        <v>95</v>
      </c>
      <c r="K142" s="40">
        <v>31</v>
      </c>
      <c r="L142" s="40">
        <v>33</v>
      </c>
      <c r="M142" s="40">
        <v>315</v>
      </c>
      <c r="N142" s="40">
        <v>57</v>
      </c>
      <c r="O142" s="40">
        <v>735</v>
      </c>
      <c r="P142" s="40">
        <v>33</v>
      </c>
      <c r="Q142" s="40">
        <v>101</v>
      </c>
      <c r="R142" s="40">
        <v>21</v>
      </c>
      <c r="S142" s="40">
        <v>41</v>
      </c>
      <c r="T142" s="40">
        <v>147</v>
      </c>
      <c r="U142" s="40">
        <v>277</v>
      </c>
      <c r="V142" s="40">
        <v>4970</v>
      </c>
      <c r="W142" s="35">
        <f t="shared" ref="W142:AP142" si="147">B142-B141</f>
        <v>0</v>
      </c>
      <c r="X142" s="35">
        <f t="shared" si="147"/>
        <v>0</v>
      </c>
      <c r="Y142" s="35">
        <f t="shared" si="147"/>
        <v>0</v>
      </c>
      <c r="Z142" s="35">
        <f t="shared" si="147"/>
        <v>0</v>
      </c>
      <c r="AA142" s="35">
        <f t="shared" si="147"/>
        <v>9</v>
      </c>
      <c r="AB142" s="35">
        <f t="shared" si="147"/>
        <v>1</v>
      </c>
      <c r="AC142" s="35">
        <f t="shared" si="147"/>
        <v>0</v>
      </c>
      <c r="AD142" s="35">
        <f t="shared" si="147"/>
        <v>1</v>
      </c>
      <c r="AE142" s="35">
        <f t="shared" si="147"/>
        <v>0</v>
      </c>
      <c r="AF142" s="35">
        <f t="shared" si="147"/>
        <v>0</v>
      </c>
      <c r="AG142" s="35">
        <f t="shared" si="147"/>
        <v>0</v>
      </c>
      <c r="AH142" s="35">
        <f t="shared" si="147"/>
        <v>0</v>
      </c>
      <c r="AI142" s="35">
        <f t="shared" si="147"/>
        <v>0</v>
      </c>
      <c r="AJ142" s="35">
        <f t="shared" si="147"/>
        <v>8</v>
      </c>
      <c r="AK142" s="35">
        <f t="shared" si="147"/>
        <v>0</v>
      </c>
      <c r="AL142" s="35">
        <f t="shared" si="147"/>
        <v>2</v>
      </c>
      <c r="AM142" s="35">
        <f t="shared" si="147"/>
        <v>0</v>
      </c>
      <c r="AN142" s="35">
        <f t="shared" si="147"/>
        <v>0</v>
      </c>
      <c r="AO142" s="35">
        <f t="shared" si="147"/>
        <v>3</v>
      </c>
      <c r="AP142" s="35">
        <f t="shared" si="147"/>
        <v>0</v>
      </c>
    </row>
    <row r="143" spans="1:42" ht="13">
      <c r="A143" s="36">
        <v>44062</v>
      </c>
      <c r="B143" s="40">
        <v>47</v>
      </c>
      <c r="C143" s="40">
        <v>55</v>
      </c>
      <c r="D143" s="40">
        <v>19</v>
      </c>
      <c r="E143" s="40">
        <v>152</v>
      </c>
      <c r="F143" s="40">
        <v>2178</v>
      </c>
      <c r="G143" s="40">
        <v>157</v>
      </c>
      <c r="H143" s="40">
        <v>391</v>
      </c>
      <c r="I143" s="40">
        <v>109</v>
      </c>
      <c r="J143" s="40">
        <v>95</v>
      </c>
      <c r="K143" s="40">
        <v>32</v>
      </c>
      <c r="L143" s="40">
        <v>33</v>
      </c>
      <c r="M143" s="40">
        <v>315</v>
      </c>
      <c r="N143" s="40">
        <v>57</v>
      </c>
      <c r="O143" s="40">
        <v>738</v>
      </c>
      <c r="P143" s="40">
        <v>33</v>
      </c>
      <c r="Q143" s="40">
        <v>101</v>
      </c>
      <c r="R143" s="40">
        <v>21</v>
      </c>
      <c r="S143" s="40">
        <v>42</v>
      </c>
      <c r="T143" s="40">
        <v>148</v>
      </c>
      <c r="U143" s="40">
        <v>279</v>
      </c>
      <c r="V143" s="40">
        <v>5002</v>
      </c>
      <c r="W143" s="35">
        <f t="shared" ref="W143:AP143" si="148">B143-B142</f>
        <v>0</v>
      </c>
      <c r="X143" s="35">
        <f t="shared" si="148"/>
        <v>1</v>
      </c>
      <c r="Y143" s="35">
        <f t="shared" si="148"/>
        <v>0</v>
      </c>
      <c r="Z143" s="35">
        <f t="shared" si="148"/>
        <v>1</v>
      </c>
      <c r="AA143" s="35">
        <f t="shared" si="148"/>
        <v>15</v>
      </c>
      <c r="AB143" s="35">
        <f t="shared" si="148"/>
        <v>0</v>
      </c>
      <c r="AC143" s="35">
        <f t="shared" si="148"/>
        <v>5</v>
      </c>
      <c r="AD143" s="35">
        <f t="shared" si="148"/>
        <v>2</v>
      </c>
      <c r="AE143" s="35">
        <f t="shared" si="148"/>
        <v>0</v>
      </c>
      <c r="AF143" s="35">
        <f t="shared" si="148"/>
        <v>1</v>
      </c>
      <c r="AG143" s="35">
        <f t="shared" si="148"/>
        <v>0</v>
      </c>
      <c r="AH143" s="35">
        <f t="shared" si="148"/>
        <v>0</v>
      </c>
      <c r="AI143" s="35">
        <f t="shared" si="148"/>
        <v>0</v>
      </c>
      <c r="AJ143" s="35">
        <f t="shared" si="148"/>
        <v>3</v>
      </c>
      <c r="AK143" s="35">
        <f t="shared" si="148"/>
        <v>0</v>
      </c>
      <c r="AL143" s="35">
        <f t="shared" si="148"/>
        <v>0</v>
      </c>
      <c r="AM143" s="35">
        <f t="shared" si="148"/>
        <v>0</v>
      </c>
      <c r="AN143" s="35">
        <f t="shared" si="148"/>
        <v>1</v>
      </c>
      <c r="AO143" s="35">
        <f t="shared" si="148"/>
        <v>1</v>
      </c>
      <c r="AP143" s="35">
        <f t="shared" si="148"/>
        <v>2</v>
      </c>
    </row>
    <row r="144" spans="1:42" ht="13">
      <c r="A144" s="36">
        <v>44063</v>
      </c>
      <c r="B144" s="40">
        <v>49</v>
      </c>
      <c r="C144" s="40">
        <v>56</v>
      </c>
      <c r="D144" s="40">
        <v>19</v>
      </c>
      <c r="E144" s="40">
        <v>153</v>
      </c>
      <c r="F144" s="40">
        <v>2198</v>
      </c>
      <c r="G144" s="40">
        <v>158</v>
      </c>
      <c r="H144" s="40">
        <v>392</v>
      </c>
      <c r="I144" s="40">
        <v>109</v>
      </c>
      <c r="J144" s="40">
        <v>97</v>
      </c>
      <c r="K144" s="40">
        <v>32</v>
      </c>
      <c r="L144" s="40">
        <v>35</v>
      </c>
      <c r="M144" s="40">
        <v>315</v>
      </c>
      <c r="N144" s="40">
        <v>59</v>
      </c>
      <c r="O144" s="40">
        <v>741</v>
      </c>
      <c r="P144" s="40">
        <v>33</v>
      </c>
      <c r="Q144" s="40">
        <v>108</v>
      </c>
      <c r="R144" s="40">
        <v>21</v>
      </c>
      <c r="S144" s="40">
        <v>42</v>
      </c>
      <c r="T144" s="40">
        <v>150</v>
      </c>
      <c r="U144" s="40">
        <v>279</v>
      </c>
      <c r="V144" s="40">
        <v>5046</v>
      </c>
      <c r="W144" s="35">
        <f t="shared" ref="W144:AP144" si="149">B144-B143</f>
        <v>2</v>
      </c>
      <c r="X144" s="35">
        <f t="shared" si="149"/>
        <v>1</v>
      </c>
      <c r="Y144" s="35">
        <f t="shared" si="149"/>
        <v>0</v>
      </c>
      <c r="Z144" s="35">
        <f t="shared" si="149"/>
        <v>1</v>
      </c>
      <c r="AA144" s="35">
        <f t="shared" si="149"/>
        <v>20</v>
      </c>
      <c r="AB144" s="35">
        <f t="shared" si="149"/>
        <v>1</v>
      </c>
      <c r="AC144" s="35">
        <f t="shared" si="149"/>
        <v>1</v>
      </c>
      <c r="AD144" s="35">
        <f t="shared" si="149"/>
        <v>0</v>
      </c>
      <c r="AE144" s="35">
        <f t="shared" si="149"/>
        <v>2</v>
      </c>
      <c r="AF144" s="35">
        <f t="shared" si="149"/>
        <v>0</v>
      </c>
      <c r="AG144" s="35">
        <f t="shared" si="149"/>
        <v>2</v>
      </c>
      <c r="AH144" s="35">
        <f t="shared" si="149"/>
        <v>0</v>
      </c>
      <c r="AI144" s="35">
        <f t="shared" si="149"/>
        <v>2</v>
      </c>
      <c r="AJ144" s="35">
        <f t="shared" si="149"/>
        <v>3</v>
      </c>
      <c r="AK144" s="35">
        <f t="shared" si="149"/>
        <v>0</v>
      </c>
      <c r="AL144" s="35">
        <f t="shared" si="149"/>
        <v>7</v>
      </c>
      <c r="AM144" s="35">
        <f t="shared" si="149"/>
        <v>0</v>
      </c>
      <c r="AN144" s="35">
        <f t="shared" si="149"/>
        <v>0</v>
      </c>
      <c r="AO144" s="35">
        <f t="shared" si="149"/>
        <v>2</v>
      </c>
      <c r="AP144" s="35">
        <f t="shared" si="149"/>
        <v>0</v>
      </c>
    </row>
    <row r="145" spans="1:42" ht="13">
      <c r="A145" s="36">
        <v>44064</v>
      </c>
      <c r="B145" s="40">
        <v>50</v>
      </c>
      <c r="C145" s="40">
        <v>58</v>
      </c>
      <c r="D145" s="40">
        <v>19</v>
      </c>
      <c r="E145" s="40">
        <v>154</v>
      </c>
      <c r="F145" s="40">
        <v>2215</v>
      </c>
      <c r="G145" s="40">
        <v>158</v>
      </c>
      <c r="H145" s="40">
        <v>393</v>
      </c>
      <c r="I145" s="40">
        <v>113</v>
      </c>
      <c r="J145" s="40">
        <v>100</v>
      </c>
      <c r="K145" s="40">
        <v>33</v>
      </c>
      <c r="L145" s="40">
        <v>35</v>
      </c>
      <c r="M145" s="40">
        <v>315</v>
      </c>
      <c r="N145" s="40">
        <v>62</v>
      </c>
      <c r="O145" s="40">
        <v>747</v>
      </c>
      <c r="P145" s="40">
        <v>33</v>
      </c>
      <c r="Q145" s="40">
        <v>116</v>
      </c>
      <c r="R145" s="40">
        <v>21</v>
      </c>
      <c r="S145" s="40">
        <v>43</v>
      </c>
      <c r="T145" s="40">
        <v>154</v>
      </c>
      <c r="U145" s="40">
        <v>279</v>
      </c>
      <c r="V145" s="40">
        <v>5098</v>
      </c>
      <c r="W145" s="35">
        <f t="shared" ref="W145:AP145" si="150">B145-B144</f>
        <v>1</v>
      </c>
      <c r="X145" s="35">
        <f t="shared" si="150"/>
        <v>2</v>
      </c>
      <c r="Y145" s="35">
        <f t="shared" si="150"/>
        <v>0</v>
      </c>
      <c r="Z145" s="35">
        <f t="shared" si="150"/>
        <v>1</v>
      </c>
      <c r="AA145" s="35">
        <f t="shared" si="150"/>
        <v>17</v>
      </c>
      <c r="AB145" s="35">
        <f t="shared" si="150"/>
        <v>0</v>
      </c>
      <c r="AC145" s="35">
        <f t="shared" si="150"/>
        <v>1</v>
      </c>
      <c r="AD145" s="35">
        <f t="shared" si="150"/>
        <v>4</v>
      </c>
      <c r="AE145" s="35">
        <f t="shared" si="150"/>
        <v>3</v>
      </c>
      <c r="AF145" s="35">
        <f t="shared" si="150"/>
        <v>1</v>
      </c>
      <c r="AG145" s="35">
        <f t="shared" si="150"/>
        <v>0</v>
      </c>
      <c r="AH145" s="35">
        <f t="shared" si="150"/>
        <v>0</v>
      </c>
      <c r="AI145" s="35">
        <f t="shared" si="150"/>
        <v>3</v>
      </c>
      <c r="AJ145" s="35">
        <f t="shared" si="150"/>
        <v>6</v>
      </c>
      <c r="AK145" s="35">
        <f t="shared" si="150"/>
        <v>0</v>
      </c>
      <c r="AL145" s="35">
        <f t="shared" si="150"/>
        <v>8</v>
      </c>
      <c r="AM145" s="35">
        <f t="shared" si="150"/>
        <v>0</v>
      </c>
      <c r="AN145" s="35">
        <f t="shared" si="150"/>
        <v>1</v>
      </c>
      <c r="AO145" s="35">
        <f t="shared" si="150"/>
        <v>4</v>
      </c>
      <c r="AP145" s="35">
        <f t="shared" si="150"/>
        <v>0</v>
      </c>
    </row>
    <row r="146" spans="1:42" ht="13">
      <c r="A146" s="36">
        <v>44065</v>
      </c>
      <c r="B146" s="40">
        <v>50</v>
      </c>
      <c r="C146" s="40">
        <v>58</v>
      </c>
      <c r="D146" s="40">
        <v>19</v>
      </c>
      <c r="E146" s="40">
        <v>156</v>
      </c>
      <c r="F146" s="40">
        <v>2229</v>
      </c>
      <c r="G146" s="40">
        <v>158</v>
      </c>
      <c r="H146" s="40">
        <v>393</v>
      </c>
      <c r="I146" s="40">
        <v>114</v>
      </c>
      <c r="J146" s="40">
        <v>110</v>
      </c>
      <c r="K146" s="40">
        <v>33</v>
      </c>
      <c r="L146" s="40">
        <v>35</v>
      </c>
      <c r="M146" s="40">
        <v>315</v>
      </c>
      <c r="N146" s="40">
        <v>62</v>
      </c>
      <c r="O146" s="40">
        <v>751</v>
      </c>
      <c r="P146" s="40">
        <v>33</v>
      </c>
      <c r="Q146" s="40">
        <v>120</v>
      </c>
      <c r="R146" s="40">
        <v>21</v>
      </c>
      <c r="S146" s="40">
        <v>43</v>
      </c>
      <c r="T146" s="40">
        <v>154</v>
      </c>
      <c r="U146" s="40">
        <v>279</v>
      </c>
      <c r="V146" s="40">
        <v>5133</v>
      </c>
      <c r="W146" s="35">
        <f t="shared" ref="W146:AP146" si="151">B146-B145</f>
        <v>0</v>
      </c>
      <c r="X146" s="35">
        <f t="shared" si="151"/>
        <v>0</v>
      </c>
      <c r="Y146" s="35">
        <f t="shared" si="151"/>
        <v>0</v>
      </c>
      <c r="Z146" s="35">
        <f t="shared" si="151"/>
        <v>2</v>
      </c>
      <c r="AA146" s="35">
        <f t="shared" si="151"/>
        <v>14</v>
      </c>
      <c r="AB146" s="35">
        <f t="shared" si="151"/>
        <v>0</v>
      </c>
      <c r="AC146" s="35">
        <f t="shared" si="151"/>
        <v>0</v>
      </c>
      <c r="AD146" s="35">
        <f t="shared" si="151"/>
        <v>1</v>
      </c>
      <c r="AE146" s="35">
        <f t="shared" si="151"/>
        <v>10</v>
      </c>
      <c r="AF146" s="35">
        <f t="shared" si="151"/>
        <v>0</v>
      </c>
      <c r="AG146" s="35">
        <f t="shared" si="151"/>
        <v>0</v>
      </c>
      <c r="AH146" s="35">
        <f t="shared" si="151"/>
        <v>0</v>
      </c>
      <c r="AI146" s="35">
        <f t="shared" si="151"/>
        <v>0</v>
      </c>
      <c r="AJ146" s="35">
        <f t="shared" si="151"/>
        <v>4</v>
      </c>
      <c r="AK146" s="35">
        <f t="shared" si="151"/>
        <v>0</v>
      </c>
      <c r="AL146" s="35">
        <f t="shared" si="151"/>
        <v>4</v>
      </c>
      <c r="AM146" s="35">
        <f t="shared" si="151"/>
        <v>0</v>
      </c>
      <c r="AN146" s="35">
        <f t="shared" si="151"/>
        <v>0</v>
      </c>
      <c r="AO146" s="35">
        <f t="shared" si="151"/>
        <v>0</v>
      </c>
      <c r="AP146" s="35">
        <f t="shared" si="151"/>
        <v>0</v>
      </c>
    </row>
    <row r="147" spans="1:42" ht="13">
      <c r="A147" s="36">
        <v>44066</v>
      </c>
      <c r="B147" s="40">
        <v>50</v>
      </c>
      <c r="C147" s="40">
        <v>58</v>
      </c>
      <c r="D147" s="40">
        <v>19</v>
      </c>
      <c r="E147" s="40">
        <v>156</v>
      </c>
      <c r="F147" s="40">
        <v>2246</v>
      </c>
      <c r="G147" s="40">
        <v>158</v>
      </c>
      <c r="H147" s="40">
        <v>393</v>
      </c>
      <c r="I147" s="40">
        <v>114</v>
      </c>
      <c r="J147" s="40">
        <v>110</v>
      </c>
      <c r="K147" s="40">
        <v>33</v>
      </c>
      <c r="L147" s="40">
        <v>36</v>
      </c>
      <c r="M147" s="40">
        <v>316</v>
      </c>
      <c r="N147" s="40">
        <v>62</v>
      </c>
      <c r="O147" s="40">
        <v>754</v>
      </c>
      <c r="P147" s="40">
        <v>33</v>
      </c>
      <c r="Q147" s="40">
        <v>120</v>
      </c>
      <c r="R147" s="40">
        <v>21</v>
      </c>
      <c r="S147" s="40">
        <v>43</v>
      </c>
      <c r="T147" s="40">
        <v>154</v>
      </c>
      <c r="U147" s="40">
        <v>279</v>
      </c>
      <c r="V147" s="40">
        <v>5155</v>
      </c>
      <c r="W147" s="35">
        <f t="shared" ref="W147:AP147" si="152">B147-B146</f>
        <v>0</v>
      </c>
      <c r="X147" s="35">
        <f t="shared" si="152"/>
        <v>0</v>
      </c>
      <c r="Y147" s="35">
        <f t="shared" si="152"/>
        <v>0</v>
      </c>
      <c r="Z147" s="35">
        <f t="shared" si="152"/>
        <v>0</v>
      </c>
      <c r="AA147" s="35">
        <f t="shared" si="152"/>
        <v>17</v>
      </c>
      <c r="AB147" s="35">
        <f t="shared" si="152"/>
        <v>0</v>
      </c>
      <c r="AC147" s="35">
        <f t="shared" si="152"/>
        <v>0</v>
      </c>
      <c r="AD147" s="35">
        <f t="shared" si="152"/>
        <v>0</v>
      </c>
      <c r="AE147" s="35">
        <f t="shared" si="152"/>
        <v>0</v>
      </c>
      <c r="AF147" s="35">
        <f t="shared" si="152"/>
        <v>0</v>
      </c>
      <c r="AG147" s="35">
        <f t="shared" si="152"/>
        <v>1</v>
      </c>
      <c r="AH147" s="35">
        <f t="shared" si="152"/>
        <v>1</v>
      </c>
      <c r="AI147" s="35">
        <f t="shared" si="152"/>
        <v>0</v>
      </c>
      <c r="AJ147" s="35">
        <f t="shared" si="152"/>
        <v>3</v>
      </c>
      <c r="AK147" s="35">
        <f t="shared" si="152"/>
        <v>0</v>
      </c>
      <c r="AL147" s="35">
        <f t="shared" si="152"/>
        <v>0</v>
      </c>
      <c r="AM147" s="35">
        <f t="shared" si="152"/>
        <v>0</v>
      </c>
      <c r="AN147" s="35">
        <f t="shared" si="152"/>
        <v>0</v>
      </c>
      <c r="AO147" s="35">
        <f t="shared" si="152"/>
        <v>0</v>
      </c>
      <c r="AP147" s="35">
        <f t="shared" si="152"/>
        <v>0</v>
      </c>
    </row>
    <row r="148" spans="1:42" ht="13">
      <c r="A148" s="36">
        <v>44067</v>
      </c>
      <c r="B148" s="40">
        <v>51</v>
      </c>
      <c r="C148" s="40">
        <v>58</v>
      </c>
      <c r="D148" s="40">
        <v>19</v>
      </c>
      <c r="E148" s="40">
        <v>157</v>
      </c>
      <c r="F148" s="40">
        <v>2256</v>
      </c>
      <c r="G148" s="40">
        <v>158</v>
      </c>
      <c r="H148" s="40">
        <v>394</v>
      </c>
      <c r="I148" s="40">
        <v>114</v>
      </c>
      <c r="J148" s="40">
        <v>113</v>
      </c>
      <c r="K148" s="40">
        <v>33</v>
      </c>
      <c r="L148" s="40">
        <v>36</v>
      </c>
      <c r="M148" s="40">
        <v>316</v>
      </c>
      <c r="N148" s="40">
        <v>62</v>
      </c>
      <c r="O148" s="40">
        <v>757</v>
      </c>
      <c r="P148" s="40">
        <v>33</v>
      </c>
      <c r="Q148" s="40">
        <v>137</v>
      </c>
      <c r="R148" s="40">
        <v>21</v>
      </c>
      <c r="S148" s="40">
        <v>43</v>
      </c>
      <c r="T148" s="40">
        <v>154</v>
      </c>
      <c r="U148" s="40">
        <v>279</v>
      </c>
      <c r="V148" s="40">
        <v>5191</v>
      </c>
      <c r="W148" s="35">
        <f t="shared" ref="W148:AP148" si="153">B148-B147</f>
        <v>1</v>
      </c>
      <c r="X148" s="35">
        <f t="shared" si="153"/>
        <v>0</v>
      </c>
      <c r="Y148" s="35">
        <f t="shared" si="153"/>
        <v>0</v>
      </c>
      <c r="Z148" s="35">
        <f t="shared" si="153"/>
        <v>1</v>
      </c>
      <c r="AA148" s="35">
        <f t="shared" si="153"/>
        <v>10</v>
      </c>
      <c r="AB148" s="35">
        <f t="shared" si="153"/>
        <v>0</v>
      </c>
      <c r="AC148" s="35">
        <f t="shared" si="153"/>
        <v>1</v>
      </c>
      <c r="AD148" s="35">
        <f t="shared" si="153"/>
        <v>0</v>
      </c>
      <c r="AE148" s="35">
        <f t="shared" si="153"/>
        <v>3</v>
      </c>
      <c r="AF148" s="35">
        <f t="shared" si="153"/>
        <v>0</v>
      </c>
      <c r="AG148" s="35">
        <f t="shared" si="153"/>
        <v>0</v>
      </c>
      <c r="AH148" s="35">
        <f t="shared" si="153"/>
        <v>0</v>
      </c>
      <c r="AI148" s="35">
        <f t="shared" si="153"/>
        <v>0</v>
      </c>
      <c r="AJ148" s="35">
        <f t="shared" si="153"/>
        <v>3</v>
      </c>
      <c r="AK148" s="35">
        <f t="shared" si="153"/>
        <v>0</v>
      </c>
      <c r="AL148" s="35">
        <f t="shared" si="153"/>
        <v>17</v>
      </c>
      <c r="AM148" s="35">
        <f t="shared" si="153"/>
        <v>0</v>
      </c>
      <c r="AN148" s="35">
        <f t="shared" si="153"/>
        <v>0</v>
      </c>
      <c r="AO148" s="35">
        <f t="shared" si="153"/>
        <v>0</v>
      </c>
      <c r="AP148" s="35">
        <f t="shared" si="153"/>
        <v>0</v>
      </c>
    </row>
    <row r="149" spans="1:42" ht="13">
      <c r="A149" s="36">
        <v>44068</v>
      </c>
      <c r="B149" s="40">
        <v>50</v>
      </c>
      <c r="C149" s="40">
        <v>58</v>
      </c>
      <c r="D149" s="40">
        <v>19</v>
      </c>
      <c r="E149" s="40">
        <v>157</v>
      </c>
      <c r="F149" s="40">
        <v>2267</v>
      </c>
      <c r="G149" s="40">
        <v>159</v>
      </c>
      <c r="H149" s="40">
        <v>394</v>
      </c>
      <c r="I149" s="40">
        <v>114</v>
      </c>
      <c r="J149" s="40">
        <v>115</v>
      </c>
      <c r="K149" s="40">
        <v>33</v>
      </c>
      <c r="L149" s="40">
        <v>37</v>
      </c>
      <c r="M149" s="40">
        <v>316</v>
      </c>
      <c r="N149" s="40">
        <v>62</v>
      </c>
      <c r="O149" s="40">
        <v>761</v>
      </c>
      <c r="P149" s="40">
        <v>33</v>
      </c>
      <c r="Q149" s="40">
        <v>143</v>
      </c>
      <c r="R149" s="40">
        <v>21</v>
      </c>
      <c r="S149" s="40">
        <v>43</v>
      </c>
      <c r="T149" s="40">
        <v>154</v>
      </c>
      <c r="U149" s="40">
        <v>279</v>
      </c>
      <c r="V149" s="40">
        <v>5215</v>
      </c>
      <c r="W149" s="35">
        <f t="shared" ref="W149:AP149" si="154">B149-B148</f>
        <v>-1</v>
      </c>
      <c r="X149" s="35">
        <f t="shared" si="154"/>
        <v>0</v>
      </c>
      <c r="Y149" s="35">
        <f t="shared" si="154"/>
        <v>0</v>
      </c>
      <c r="Z149" s="35">
        <f t="shared" si="154"/>
        <v>0</v>
      </c>
      <c r="AA149" s="35">
        <f t="shared" si="154"/>
        <v>11</v>
      </c>
      <c r="AB149" s="35">
        <f t="shared" si="154"/>
        <v>1</v>
      </c>
      <c r="AC149" s="35">
        <f t="shared" si="154"/>
        <v>0</v>
      </c>
      <c r="AD149" s="35">
        <f t="shared" si="154"/>
        <v>0</v>
      </c>
      <c r="AE149" s="35">
        <f t="shared" si="154"/>
        <v>2</v>
      </c>
      <c r="AF149" s="35">
        <f t="shared" si="154"/>
        <v>0</v>
      </c>
      <c r="AG149" s="35">
        <f t="shared" si="154"/>
        <v>1</v>
      </c>
      <c r="AH149" s="35">
        <f t="shared" si="154"/>
        <v>0</v>
      </c>
      <c r="AI149" s="35">
        <f t="shared" si="154"/>
        <v>0</v>
      </c>
      <c r="AJ149" s="35">
        <f t="shared" si="154"/>
        <v>4</v>
      </c>
      <c r="AK149" s="35">
        <f t="shared" si="154"/>
        <v>0</v>
      </c>
      <c r="AL149" s="35">
        <f t="shared" si="154"/>
        <v>6</v>
      </c>
      <c r="AM149" s="35">
        <f t="shared" si="154"/>
        <v>0</v>
      </c>
      <c r="AN149" s="35">
        <f t="shared" si="154"/>
        <v>0</v>
      </c>
      <c r="AO149" s="35">
        <f t="shared" si="154"/>
        <v>0</v>
      </c>
      <c r="AP149" s="35">
        <f t="shared" si="154"/>
        <v>0</v>
      </c>
    </row>
    <row r="150" spans="1:42" ht="13">
      <c r="A150" s="36">
        <v>44069</v>
      </c>
      <c r="B150" s="40">
        <v>50</v>
      </c>
      <c r="C150" s="40">
        <v>59</v>
      </c>
      <c r="D150" s="40">
        <v>20</v>
      </c>
      <c r="E150" s="40">
        <v>163</v>
      </c>
      <c r="F150" s="40">
        <v>2302</v>
      </c>
      <c r="G150" s="40">
        <v>159</v>
      </c>
      <c r="H150" s="40">
        <v>401</v>
      </c>
      <c r="I150" s="40">
        <v>117</v>
      </c>
      <c r="J150" s="40">
        <v>126</v>
      </c>
      <c r="K150" s="40">
        <v>33</v>
      </c>
      <c r="L150" s="40">
        <v>35</v>
      </c>
      <c r="M150" s="40">
        <v>318</v>
      </c>
      <c r="N150" s="40">
        <v>62</v>
      </c>
      <c r="O150" s="40">
        <v>769</v>
      </c>
      <c r="P150" s="40">
        <v>33</v>
      </c>
      <c r="Q150" s="40">
        <v>139</v>
      </c>
      <c r="R150" s="40">
        <v>22</v>
      </c>
      <c r="S150" s="40">
        <v>43</v>
      </c>
      <c r="T150" s="40">
        <v>158</v>
      </c>
      <c r="U150" s="40">
        <v>279</v>
      </c>
      <c r="V150" s="40">
        <v>5288</v>
      </c>
      <c r="W150" s="35">
        <f t="shared" ref="W150:AP150" si="155">B150-B149</f>
        <v>0</v>
      </c>
      <c r="X150" s="35">
        <f t="shared" si="155"/>
        <v>1</v>
      </c>
      <c r="Y150" s="35">
        <f t="shared" si="155"/>
        <v>1</v>
      </c>
      <c r="Z150" s="35">
        <f t="shared" si="155"/>
        <v>6</v>
      </c>
      <c r="AA150" s="35">
        <f t="shared" si="155"/>
        <v>35</v>
      </c>
      <c r="AB150" s="35">
        <f t="shared" si="155"/>
        <v>0</v>
      </c>
      <c r="AC150" s="35">
        <f t="shared" si="155"/>
        <v>7</v>
      </c>
      <c r="AD150" s="35">
        <f t="shared" si="155"/>
        <v>3</v>
      </c>
      <c r="AE150" s="35">
        <f t="shared" si="155"/>
        <v>11</v>
      </c>
      <c r="AF150" s="35">
        <f t="shared" si="155"/>
        <v>0</v>
      </c>
      <c r="AG150" s="35">
        <f t="shared" si="155"/>
        <v>-2</v>
      </c>
      <c r="AH150" s="35">
        <f t="shared" si="155"/>
        <v>2</v>
      </c>
      <c r="AI150" s="35">
        <f t="shared" si="155"/>
        <v>0</v>
      </c>
      <c r="AJ150" s="35">
        <f t="shared" si="155"/>
        <v>8</v>
      </c>
      <c r="AK150" s="35">
        <f t="shared" si="155"/>
        <v>0</v>
      </c>
      <c r="AL150" s="35">
        <f t="shared" si="155"/>
        <v>-4</v>
      </c>
      <c r="AM150" s="35">
        <f t="shared" si="155"/>
        <v>1</v>
      </c>
      <c r="AN150" s="35">
        <f t="shared" si="155"/>
        <v>0</v>
      </c>
      <c r="AO150" s="35">
        <f t="shared" si="155"/>
        <v>4</v>
      </c>
      <c r="AP150" s="35">
        <f t="shared" si="155"/>
        <v>0</v>
      </c>
    </row>
    <row r="151" spans="1:42" ht="13">
      <c r="A151" s="36">
        <v>44070</v>
      </c>
      <c r="B151" s="40">
        <v>50</v>
      </c>
      <c r="C151" s="40">
        <v>63</v>
      </c>
      <c r="D151" s="40">
        <v>21</v>
      </c>
      <c r="E151" s="40">
        <v>166</v>
      </c>
      <c r="F151" s="40">
        <v>2346</v>
      </c>
      <c r="G151" s="40">
        <v>159</v>
      </c>
      <c r="H151" s="40">
        <v>403</v>
      </c>
      <c r="I151" s="40">
        <v>119</v>
      </c>
      <c r="J151" s="40">
        <v>129</v>
      </c>
      <c r="K151" s="40">
        <v>35</v>
      </c>
      <c r="L151" s="40">
        <v>38</v>
      </c>
      <c r="M151" s="40">
        <v>321</v>
      </c>
      <c r="N151" s="40">
        <v>62</v>
      </c>
      <c r="O151" s="40">
        <v>782</v>
      </c>
      <c r="P151" s="40">
        <v>36</v>
      </c>
      <c r="Q151" s="40">
        <v>143</v>
      </c>
      <c r="R151" s="40">
        <v>24</v>
      </c>
      <c r="S151" s="40">
        <v>43</v>
      </c>
      <c r="T151" s="40">
        <v>160</v>
      </c>
      <c r="U151" s="40">
        <v>279</v>
      </c>
      <c r="V151" s="40">
        <v>5379</v>
      </c>
      <c r="W151" s="35">
        <f t="shared" ref="W151:AP151" si="156">B151-B150</f>
        <v>0</v>
      </c>
      <c r="X151" s="35">
        <f t="shared" si="156"/>
        <v>4</v>
      </c>
      <c r="Y151" s="35">
        <f t="shared" si="156"/>
        <v>1</v>
      </c>
      <c r="Z151" s="35">
        <f t="shared" si="156"/>
        <v>3</v>
      </c>
      <c r="AA151" s="35">
        <f t="shared" si="156"/>
        <v>44</v>
      </c>
      <c r="AB151" s="35">
        <f t="shared" si="156"/>
        <v>0</v>
      </c>
      <c r="AC151" s="35">
        <f t="shared" si="156"/>
        <v>2</v>
      </c>
      <c r="AD151" s="35">
        <f t="shared" si="156"/>
        <v>2</v>
      </c>
      <c r="AE151" s="35">
        <f t="shared" si="156"/>
        <v>3</v>
      </c>
      <c r="AF151" s="35">
        <f t="shared" si="156"/>
        <v>2</v>
      </c>
      <c r="AG151" s="35">
        <f t="shared" si="156"/>
        <v>3</v>
      </c>
      <c r="AH151" s="35">
        <f t="shared" si="156"/>
        <v>3</v>
      </c>
      <c r="AI151" s="35">
        <f t="shared" si="156"/>
        <v>0</v>
      </c>
      <c r="AJ151" s="35">
        <f t="shared" si="156"/>
        <v>13</v>
      </c>
      <c r="AK151" s="35">
        <f t="shared" si="156"/>
        <v>3</v>
      </c>
      <c r="AL151" s="35">
        <f t="shared" si="156"/>
        <v>4</v>
      </c>
      <c r="AM151" s="35">
        <f t="shared" si="156"/>
        <v>2</v>
      </c>
      <c r="AN151" s="35">
        <f t="shared" si="156"/>
        <v>0</v>
      </c>
      <c r="AO151" s="35">
        <f t="shared" si="156"/>
        <v>2</v>
      </c>
      <c r="AP151" s="35">
        <f t="shared" si="156"/>
        <v>0</v>
      </c>
    </row>
    <row r="152" spans="1:42" ht="13">
      <c r="A152" s="36">
        <v>44071</v>
      </c>
      <c r="B152" s="40">
        <v>55</v>
      </c>
      <c r="C152" s="40">
        <v>67</v>
      </c>
      <c r="D152" s="40">
        <v>21</v>
      </c>
      <c r="E152" s="40">
        <v>173</v>
      </c>
      <c r="F152" s="40">
        <v>2398</v>
      </c>
      <c r="G152" s="40">
        <v>162</v>
      </c>
      <c r="H152" s="40">
        <v>413</v>
      </c>
      <c r="I152" s="40">
        <v>123</v>
      </c>
      <c r="J152" s="40">
        <v>142</v>
      </c>
      <c r="K152" s="40">
        <v>38</v>
      </c>
      <c r="L152" s="40">
        <v>41</v>
      </c>
      <c r="M152" s="40">
        <v>323</v>
      </c>
      <c r="N152" s="40">
        <v>62</v>
      </c>
      <c r="O152" s="40">
        <v>793</v>
      </c>
      <c r="P152" s="40">
        <v>36</v>
      </c>
      <c r="Q152" s="40">
        <v>155</v>
      </c>
      <c r="R152" s="40">
        <v>25</v>
      </c>
      <c r="S152" s="40">
        <v>44</v>
      </c>
      <c r="T152" s="40">
        <v>161</v>
      </c>
      <c r="U152" s="40">
        <v>279</v>
      </c>
      <c r="V152" s="40">
        <v>5511</v>
      </c>
      <c r="W152" s="35">
        <f t="shared" ref="W152:AP152" si="157">B152-B151</f>
        <v>5</v>
      </c>
      <c r="X152" s="35">
        <f t="shared" si="157"/>
        <v>4</v>
      </c>
      <c r="Y152" s="35">
        <f t="shared" si="157"/>
        <v>0</v>
      </c>
      <c r="Z152" s="35">
        <f t="shared" si="157"/>
        <v>7</v>
      </c>
      <c r="AA152" s="35">
        <f t="shared" si="157"/>
        <v>52</v>
      </c>
      <c r="AB152" s="35">
        <f t="shared" si="157"/>
        <v>3</v>
      </c>
      <c r="AC152" s="35">
        <f t="shared" si="157"/>
        <v>10</v>
      </c>
      <c r="AD152" s="35">
        <f t="shared" si="157"/>
        <v>4</v>
      </c>
      <c r="AE152" s="35">
        <f t="shared" si="157"/>
        <v>13</v>
      </c>
      <c r="AF152" s="35">
        <f t="shared" si="157"/>
        <v>3</v>
      </c>
      <c r="AG152" s="35">
        <f t="shared" si="157"/>
        <v>3</v>
      </c>
      <c r="AH152" s="35">
        <f t="shared" si="157"/>
        <v>2</v>
      </c>
      <c r="AI152" s="35">
        <f t="shared" si="157"/>
        <v>0</v>
      </c>
      <c r="AJ152" s="35">
        <f t="shared" si="157"/>
        <v>11</v>
      </c>
      <c r="AK152" s="35">
        <f t="shared" si="157"/>
        <v>0</v>
      </c>
      <c r="AL152" s="35">
        <f t="shared" si="157"/>
        <v>12</v>
      </c>
      <c r="AM152" s="35">
        <f t="shared" si="157"/>
        <v>1</v>
      </c>
      <c r="AN152" s="35">
        <f t="shared" si="157"/>
        <v>1</v>
      </c>
      <c r="AO152" s="35">
        <f t="shared" si="157"/>
        <v>1</v>
      </c>
      <c r="AP152" s="35">
        <f t="shared" si="157"/>
        <v>0</v>
      </c>
    </row>
    <row r="153" spans="1:42" ht="13">
      <c r="A153" s="36">
        <v>44072</v>
      </c>
      <c r="B153" s="40">
        <v>61</v>
      </c>
      <c r="C153" s="40">
        <v>72</v>
      </c>
      <c r="D153" s="40">
        <v>23</v>
      </c>
      <c r="E153" s="40">
        <v>180</v>
      </c>
      <c r="F153" s="40">
        <v>2468</v>
      </c>
      <c r="G153" s="40">
        <v>165</v>
      </c>
      <c r="H153" s="40">
        <v>415</v>
      </c>
      <c r="I153" s="40">
        <v>129</v>
      </c>
      <c r="J153" s="40">
        <v>148</v>
      </c>
      <c r="K153" s="40">
        <v>38</v>
      </c>
      <c r="L153" s="40">
        <v>44</v>
      </c>
      <c r="M153" s="40">
        <v>326</v>
      </c>
      <c r="N153" s="40">
        <v>64</v>
      </c>
      <c r="O153" s="40">
        <v>823</v>
      </c>
      <c r="P153" s="40">
        <v>38</v>
      </c>
      <c r="Q153" s="40">
        <v>160</v>
      </c>
      <c r="R153" s="40">
        <v>27</v>
      </c>
      <c r="S153" s="40">
        <v>44</v>
      </c>
      <c r="T153" s="40">
        <v>164</v>
      </c>
      <c r="U153" s="40">
        <v>280</v>
      </c>
      <c r="V153" s="40">
        <v>5669</v>
      </c>
      <c r="W153" s="35">
        <f t="shared" ref="W153:AP153" si="158">B153-B152</f>
        <v>6</v>
      </c>
      <c r="X153" s="35">
        <f t="shared" si="158"/>
        <v>5</v>
      </c>
      <c r="Y153" s="35">
        <f t="shared" si="158"/>
        <v>2</v>
      </c>
      <c r="Z153" s="35">
        <f t="shared" si="158"/>
        <v>7</v>
      </c>
      <c r="AA153" s="35">
        <f t="shared" si="158"/>
        <v>70</v>
      </c>
      <c r="AB153" s="35">
        <f t="shared" si="158"/>
        <v>3</v>
      </c>
      <c r="AC153" s="35">
        <f t="shared" si="158"/>
        <v>2</v>
      </c>
      <c r="AD153" s="35">
        <f t="shared" si="158"/>
        <v>6</v>
      </c>
      <c r="AE153" s="35">
        <f t="shared" si="158"/>
        <v>6</v>
      </c>
      <c r="AF153" s="35">
        <f t="shared" si="158"/>
        <v>0</v>
      </c>
      <c r="AG153" s="35">
        <f t="shared" si="158"/>
        <v>3</v>
      </c>
      <c r="AH153" s="35">
        <f t="shared" si="158"/>
        <v>3</v>
      </c>
      <c r="AI153" s="35">
        <f t="shared" si="158"/>
        <v>2</v>
      </c>
      <c r="AJ153" s="35">
        <f t="shared" si="158"/>
        <v>30</v>
      </c>
      <c r="AK153" s="35">
        <f t="shared" si="158"/>
        <v>2</v>
      </c>
      <c r="AL153" s="35">
        <f t="shared" si="158"/>
        <v>5</v>
      </c>
      <c r="AM153" s="35">
        <f t="shared" si="158"/>
        <v>2</v>
      </c>
      <c r="AN153" s="35">
        <f t="shared" si="158"/>
        <v>0</v>
      </c>
      <c r="AO153" s="35">
        <f t="shared" si="158"/>
        <v>3</v>
      </c>
      <c r="AP153" s="35">
        <f t="shared" si="158"/>
        <v>1</v>
      </c>
    </row>
    <row r="154" spans="1:42" ht="13">
      <c r="A154" s="36">
        <v>44073</v>
      </c>
      <c r="B154" s="40">
        <v>69</v>
      </c>
      <c r="C154" s="40">
        <v>83</v>
      </c>
      <c r="D154" s="40">
        <v>22</v>
      </c>
      <c r="E154" s="40">
        <v>183</v>
      </c>
      <c r="F154" s="40">
        <v>2603</v>
      </c>
      <c r="G154" s="40">
        <v>170</v>
      </c>
      <c r="H154" s="40">
        <v>429</v>
      </c>
      <c r="I154" s="40">
        <v>154</v>
      </c>
      <c r="J154" s="40">
        <v>172</v>
      </c>
      <c r="K154" s="40">
        <v>40</v>
      </c>
      <c r="L154" s="40">
        <v>47</v>
      </c>
      <c r="M154" s="40">
        <v>328</v>
      </c>
      <c r="N154" s="40">
        <v>63</v>
      </c>
      <c r="O154" s="40">
        <v>854</v>
      </c>
      <c r="P154" s="40">
        <v>39</v>
      </c>
      <c r="Q154" s="40">
        <v>167</v>
      </c>
      <c r="R154" s="40">
        <v>31</v>
      </c>
      <c r="S154" s="40">
        <v>48</v>
      </c>
      <c r="T154" s="40">
        <v>176</v>
      </c>
      <c r="U154" s="40">
        <v>283</v>
      </c>
      <c r="V154" s="40">
        <v>5961</v>
      </c>
      <c r="W154" s="35">
        <f t="shared" ref="W154:AP154" si="159">B154-B153</f>
        <v>8</v>
      </c>
      <c r="X154" s="35">
        <f t="shared" si="159"/>
        <v>11</v>
      </c>
      <c r="Y154" s="35">
        <f t="shared" si="159"/>
        <v>-1</v>
      </c>
      <c r="Z154" s="35">
        <f t="shared" si="159"/>
        <v>3</v>
      </c>
      <c r="AA154" s="35">
        <f t="shared" si="159"/>
        <v>135</v>
      </c>
      <c r="AB154" s="35">
        <f t="shared" si="159"/>
        <v>5</v>
      </c>
      <c r="AC154" s="35">
        <f t="shared" si="159"/>
        <v>14</v>
      </c>
      <c r="AD154" s="35">
        <f t="shared" si="159"/>
        <v>25</v>
      </c>
      <c r="AE154" s="35">
        <f t="shared" si="159"/>
        <v>24</v>
      </c>
      <c r="AF154" s="35">
        <f t="shared" si="159"/>
        <v>2</v>
      </c>
      <c r="AG154" s="35">
        <f t="shared" si="159"/>
        <v>3</v>
      </c>
      <c r="AH154" s="35">
        <f t="shared" si="159"/>
        <v>2</v>
      </c>
      <c r="AI154" s="35">
        <f t="shared" si="159"/>
        <v>-1</v>
      </c>
      <c r="AJ154" s="35">
        <f t="shared" si="159"/>
        <v>31</v>
      </c>
      <c r="AK154" s="35">
        <f t="shared" si="159"/>
        <v>1</v>
      </c>
      <c r="AL154" s="35">
        <f t="shared" si="159"/>
        <v>7</v>
      </c>
      <c r="AM154" s="35">
        <f t="shared" si="159"/>
        <v>4</v>
      </c>
      <c r="AN154" s="35">
        <f t="shared" si="159"/>
        <v>4</v>
      </c>
      <c r="AO154" s="35">
        <f t="shared" si="159"/>
        <v>12</v>
      </c>
      <c r="AP154" s="35">
        <f t="shared" si="159"/>
        <v>3</v>
      </c>
    </row>
    <row r="155" spans="1:42" ht="13">
      <c r="A155" s="36">
        <v>44074</v>
      </c>
      <c r="B155" s="35">
        <v>72</v>
      </c>
      <c r="C155" s="35">
        <v>87</v>
      </c>
      <c r="D155" s="35">
        <v>25</v>
      </c>
      <c r="E155" s="35">
        <v>186</v>
      </c>
      <c r="F155" s="35">
        <v>2700</v>
      </c>
      <c r="G155" s="35">
        <v>176</v>
      </c>
      <c r="H155" s="35">
        <v>435</v>
      </c>
      <c r="I155" s="35">
        <v>156</v>
      </c>
      <c r="J155" s="35">
        <v>185</v>
      </c>
      <c r="K155" s="35">
        <v>40</v>
      </c>
      <c r="L155" s="35">
        <v>50</v>
      </c>
      <c r="M155" s="35">
        <v>334</v>
      </c>
      <c r="N155" s="35">
        <v>65</v>
      </c>
      <c r="O155" s="35">
        <v>869</v>
      </c>
      <c r="P155" s="35">
        <v>41</v>
      </c>
      <c r="Q155" s="35">
        <v>172</v>
      </c>
      <c r="R155" s="35">
        <v>32</v>
      </c>
      <c r="S155" s="35">
        <v>49</v>
      </c>
      <c r="T155" s="35">
        <v>179</v>
      </c>
      <c r="U155" s="35">
        <v>286</v>
      </c>
      <c r="V155" s="35">
        <v>6139</v>
      </c>
      <c r="W155" s="35">
        <f t="shared" ref="W155:AP155" si="160">B155-B154</f>
        <v>3</v>
      </c>
      <c r="X155" s="35">
        <f t="shared" si="160"/>
        <v>4</v>
      </c>
      <c r="Y155" s="35">
        <f t="shared" si="160"/>
        <v>3</v>
      </c>
      <c r="Z155" s="35">
        <f t="shared" si="160"/>
        <v>3</v>
      </c>
      <c r="AA155" s="35">
        <f t="shared" si="160"/>
        <v>97</v>
      </c>
      <c r="AB155" s="35">
        <f t="shared" si="160"/>
        <v>6</v>
      </c>
      <c r="AC155" s="35">
        <f t="shared" si="160"/>
        <v>6</v>
      </c>
      <c r="AD155" s="35">
        <f t="shared" si="160"/>
        <v>2</v>
      </c>
      <c r="AE155" s="35">
        <f t="shared" si="160"/>
        <v>13</v>
      </c>
      <c r="AF155" s="35">
        <f t="shared" si="160"/>
        <v>0</v>
      </c>
      <c r="AG155" s="35">
        <f t="shared" si="160"/>
        <v>3</v>
      </c>
      <c r="AH155" s="35">
        <f t="shared" si="160"/>
        <v>6</v>
      </c>
      <c r="AI155" s="35">
        <f t="shared" si="160"/>
        <v>2</v>
      </c>
      <c r="AJ155" s="35">
        <f t="shared" si="160"/>
        <v>15</v>
      </c>
      <c r="AK155" s="35">
        <f t="shared" si="160"/>
        <v>2</v>
      </c>
      <c r="AL155" s="35">
        <f t="shared" si="160"/>
        <v>5</v>
      </c>
      <c r="AM155" s="35">
        <f t="shared" si="160"/>
        <v>1</v>
      </c>
      <c r="AN155" s="35">
        <f t="shared" si="160"/>
        <v>1</v>
      </c>
      <c r="AO155" s="35">
        <f t="shared" si="160"/>
        <v>3</v>
      </c>
      <c r="AP155" s="35">
        <f t="shared" si="160"/>
        <v>3</v>
      </c>
    </row>
    <row r="156" spans="1:42" ht="13">
      <c r="A156" s="36">
        <v>44075</v>
      </c>
      <c r="B156" s="35">
        <v>72</v>
      </c>
      <c r="C156" s="35">
        <v>96</v>
      </c>
      <c r="D156" s="35">
        <v>26</v>
      </c>
      <c r="E156" s="35">
        <v>188</v>
      </c>
      <c r="F156" s="35">
        <v>2762</v>
      </c>
      <c r="G156" s="35">
        <v>176</v>
      </c>
      <c r="H156" s="35">
        <v>432</v>
      </c>
      <c r="I156" s="35">
        <v>156</v>
      </c>
      <c r="J156" s="35">
        <v>189</v>
      </c>
      <c r="K156" s="35">
        <v>47</v>
      </c>
      <c r="L156" s="35">
        <v>50</v>
      </c>
      <c r="M156" s="35">
        <v>336</v>
      </c>
      <c r="N156" s="35">
        <v>70</v>
      </c>
      <c r="O156" s="35">
        <v>886</v>
      </c>
      <c r="P156" s="35">
        <v>41</v>
      </c>
      <c r="Q156" s="35">
        <v>172</v>
      </c>
      <c r="R156" s="35">
        <v>33</v>
      </c>
      <c r="S156" s="35">
        <v>49</v>
      </c>
      <c r="T156" s="35">
        <v>189</v>
      </c>
      <c r="U156" s="35">
        <v>287</v>
      </c>
      <c r="V156" s="35">
        <v>6257</v>
      </c>
      <c r="W156" s="35">
        <f t="shared" ref="W156:AP156" si="161">B156-B155</f>
        <v>0</v>
      </c>
      <c r="X156" s="35">
        <f t="shared" si="161"/>
        <v>9</v>
      </c>
      <c r="Y156" s="35">
        <f t="shared" si="161"/>
        <v>1</v>
      </c>
      <c r="Z156" s="35">
        <f t="shared" si="161"/>
        <v>2</v>
      </c>
      <c r="AA156" s="35">
        <f t="shared" si="161"/>
        <v>62</v>
      </c>
      <c r="AB156" s="35">
        <f t="shared" si="161"/>
        <v>0</v>
      </c>
      <c r="AC156" s="35">
        <f t="shared" si="161"/>
        <v>-3</v>
      </c>
      <c r="AD156" s="35">
        <f t="shared" si="161"/>
        <v>0</v>
      </c>
      <c r="AE156" s="35">
        <f t="shared" si="161"/>
        <v>4</v>
      </c>
      <c r="AF156" s="35">
        <f t="shared" si="161"/>
        <v>7</v>
      </c>
      <c r="AG156" s="35">
        <f t="shared" si="161"/>
        <v>0</v>
      </c>
      <c r="AH156" s="35">
        <f t="shared" si="161"/>
        <v>2</v>
      </c>
      <c r="AI156" s="35">
        <f t="shared" si="161"/>
        <v>5</v>
      </c>
      <c r="AJ156" s="35">
        <f t="shared" si="161"/>
        <v>17</v>
      </c>
      <c r="AK156" s="35">
        <f t="shared" si="161"/>
        <v>0</v>
      </c>
      <c r="AL156" s="35">
        <f t="shared" si="161"/>
        <v>0</v>
      </c>
      <c r="AM156" s="35">
        <f t="shared" si="161"/>
        <v>1</v>
      </c>
      <c r="AN156" s="35">
        <f t="shared" si="161"/>
        <v>0</v>
      </c>
      <c r="AO156" s="35">
        <f t="shared" si="161"/>
        <v>10</v>
      </c>
      <c r="AP156" s="35">
        <f t="shared" si="161"/>
        <v>1</v>
      </c>
    </row>
    <row r="157" spans="1:42" ht="13">
      <c r="A157" s="36">
        <v>44076</v>
      </c>
      <c r="B157" s="35">
        <v>78</v>
      </c>
      <c r="C157" s="35">
        <v>96</v>
      </c>
      <c r="D157" s="35">
        <v>29</v>
      </c>
      <c r="E157" s="35">
        <v>194</v>
      </c>
      <c r="F157" s="35">
        <v>2960</v>
      </c>
      <c r="G157" s="35">
        <v>187</v>
      </c>
      <c r="H157" s="35">
        <v>437</v>
      </c>
      <c r="I157" s="35">
        <v>164</v>
      </c>
      <c r="J157" s="35">
        <v>210</v>
      </c>
      <c r="K157" s="35">
        <v>45</v>
      </c>
      <c r="L157" s="35">
        <v>51</v>
      </c>
      <c r="M157" s="35">
        <v>346</v>
      </c>
      <c r="N157" s="35">
        <v>71</v>
      </c>
      <c r="O157" s="35">
        <v>945</v>
      </c>
      <c r="P157" s="35">
        <v>43</v>
      </c>
      <c r="Q157" s="35">
        <v>184</v>
      </c>
      <c r="R157" s="35">
        <v>34</v>
      </c>
      <c r="S157" s="35">
        <v>51</v>
      </c>
      <c r="T157" s="35">
        <v>201</v>
      </c>
      <c r="U157" s="35">
        <v>296</v>
      </c>
      <c r="V157" s="35">
        <v>6622</v>
      </c>
      <c r="W157" s="35">
        <f t="shared" ref="W157:AP157" si="162">B157-B156</f>
        <v>6</v>
      </c>
      <c r="X157" s="35">
        <f t="shared" si="162"/>
        <v>0</v>
      </c>
      <c r="Y157" s="35">
        <f t="shared" si="162"/>
        <v>3</v>
      </c>
      <c r="Z157" s="35">
        <f t="shared" si="162"/>
        <v>6</v>
      </c>
      <c r="AA157" s="35">
        <f t="shared" si="162"/>
        <v>198</v>
      </c>
      <c r="AB157" s="35">
        <f t="shared" si="162"/>
        <v>11</v>
      </c>
      <c r="AC157" s="35">
        <f t="shared" si="162"/>
        <v>5</v>
      </c>
      <c r="AD157" s="35">
        <f t="shared" si="162"/>
        <v>8</v>
      </c>
      <c r="AE157" s="35">
        <f t="shared" si="162"/>
        <v>21</v>
      </c>
      <c r="AF157" s="35">
        <f t="shared" si="162"/>
        <v>-2</v>
      </c>
      <c r="AG157" s="35">
        <f t="shared" si="162"/>
        <v>1</v>
      </c>
      <c r="AH157" s="35">
        <f t="shared" si="162"/>
        <v>10</v>
      </c>
      <c r="AI157" s="35">
        <f t="shared" si="162"/>
        <v>1</v>
      </c>
      <c r="AJ157" s="35">
        <f t="shared" si="162"/>
        <v>59</v>
      </c>
      <c r="AK157" s="35">
        <f t="shared" si="162"/>
        <v>2</v>
      </c>
      <c r="AL157" s="35">
        <f t="shared" si="162"/>
        <v>12</v>
      </c>
      <c r="AM157" s="35">
        <f t="shared" si="162"/>
        <v>1</v>
      </c>
      <c r="AN157" s="35">
        <f t="shared" si="162"/>
        <v>2</v>
      </c>
      <c r="AO157" s="35">
        <f t="shared" si="162"/>
        <v>12</v>
      </c>
      <c r="AP157" s="35">
        <f t="shared" si="162"/>
        <v>9</v>
      </c>
    </row>
    <row r="158" spans="1:42" ht="13">
      <c r="A158" s="36">
        <v>44077</v>
      </c>
      <c r="B158" s="35">
        <v>86</v>
      </c>
      <c r="C158" s="35">
        <v>111</v>
      </c>
      <c r="D158" s="35">
        <v>29</v>
      </c>
      <c r="E158" s="35">
        <v>201</v>
      </c>
      <c r="F158" s="35">
        <v>3076</v>
      </c>
      <c r="G158" s="35">
        <v>195</v>
      </c>
      <c r="H158" s="35">
        <v>452</v>
      </c>
      <c r="I158" s="35">
        <v>175</v>
      </c>
      <c r="J158" s="35">
        <v>228</v>
      </c>
      <c r="K158" s="35">
        <v>66</v>
      </c>
      <c r="L158" s="35">
        <v>53</v>
      </c>
      <c r="M158" s="35">
        <v>348</v>
      </c>
      <c r="N158" s="35">
        <v>78</v>
      </c>
      <c r="O158" s="35">
        <v>987</v>
      </c>
      <c r="P158" s="35">
        <v>45</v>
      </c>
      <c r="Q158" s="35">
        <v>198</v>
      </c>
      <c r="R158" s="35">
        <v>40</v>
      </c>
      <c r="S158" s="35">
        <v>55</v>
      </c>
      <c r="T158" s="35">
        <v>204</v>
      </c>
      <c r="U158" s="35">
        <v>296</v>
      </c>
      <c r="V158" s="35">
        <v>6923</v>
      </c>
      <c r="W158" s="35">
        <f t="shared" ref="W158:AP158" si="163">B158-B157</f>
        <v>8</v>
      </c>
      <c r="X158" s="35">
        <f t="shared" si="163"/>
        <v>15</v>
      </c>
      <c r="Y158" s="35">
        <f t="shared" si="163"/>
        <v>0</v>
      </c>
      <c r="Z158" s="35">
        <f t="shared" si="163"/>
        <v>7</v>
      </c>
      <c r="AA158" s="35">
        <f t="shared" si="163"/>
        <v>116</v>
      </c>
      <c r="AB158" s="35">
        <f t="shared" si="163"/>
        <v>8</v>
      </c>
      <c r="AC158" s="35">
        <f t="shared" si="163"/>
        <v>15</v>
      </c>
      <c r="AD158" s="35">
        <f t="shared" si="163"/>
        <v>11</v>
      </c>
      <c r="AE158" s="35">
        <f t="shared" si="163"/>
        <v>18</v>
      </c>
      <c r="AF158" s="35">
        <f t="shared" si="163"/>
        <v>21</v>
      </c>
      <c r="AG158" s="35">
        <f t="shared" si="163"/>
        <v>2</v>
      </c>
      <c r="AH158" s="35">
        <f t="shared" si="163"/>
        <v>2</v>
      </c>
      <c r="AI158" s="35">
        <f t="shared" si="163"/>
        <v>7</v>
      </c>
      <c r="AJ158" s="35">
        <f t="shared" si="163"/>
        <v>42</v>
      </c>
      <c r="AK158" s="35">
        <f t="shared" si="163"/>
        <v>2</v>
      </c>
      <c r="AL158" s="35">
        <f t="shared" si="163"/>
        <v>14</v>
      </c>
      <c r="AM158" s="35">
        <f t="shared" si="163"/>
        <v>6</v>
      </c>
      <c r="AN158" s="35">
        <f t="shared" si="163"/>
        <v>4</v>
      </c>
      <c r="AO158" s="35">
        <f t="shared" si="163"/>
        <v>3</v>
      </c>
      <c r="AP158" s="35">
        <f t="shared" si="163"/>
        <v>0</v>
      </c>
    </row>
    <row r="159" spans="1:42" ht="13">
      <c r="A159" s="36">
        <v>44078</v>
      </c>
      <c r="B159" s="35">
        <v>103</v>
      </c>
      <c r="C159" s="35">
        <v>118</v>
      </c>
      <c r="D159" s="35">
        <v>33</v>
      </c>
      <c r="E159" s="35">
        <v>210</v>
      </c>
      <c r="F159" s="35">
        <v>3262</v>
      </c>
      <c r="G159" s="35">
        <v>220</v>
      </c>
      <c r="H159" s="35">
        <v>463</v>
      </c>
      <c r="I159" s="35">
        <v>191</v>
      </c>
      <c r="J159" s="35">
        <v>254</v>
      </c>
      <c r="K159" s="35">
        <v>77</v>
      </c>
      <c r="L159" s="35">
        <v>63</v>
      </c>
      <c r="M159" s="35">
        <v>352</v>
      </c>
      <c r="N159" s="35">
        <v>78</v>
      </c>
      <c r="O159" s="35">
        <v>1054</v>
      </c>
      <c r="P159" s="35">
        <v>54</v>
      </c>
      <c r="Q159" s="35">
        <v>221</v>
      </c>
      <c r="R159" s="35">
        <v>47</v>
      </c>
      <c r="S159" s="35">
        <v>57</v>
      </c>
      <c r="T159" s="35">
        <v>223</v>
      </c>
      <c r="U159" s="35">
        <v>302</v>
      </c>
      <c r="V159" s="35">
        <v>7382</v>
      </c>
      <c r="W159" s="35">
        <f t="shared" ref="W159:AP159" si="164">B159-B158</f>
        <v>17</v>
      </c>
      <c r="X159" s="35">
        <f t="shared" si="164"/>
        <v>7</v>
      </c>
      <c r="Y159" s="35">
        <f t="shared" si="164"/>
        <v>4</v>
      </c>
      <c r="Z159" s="35">
        <f t="shared" si="164"/>
        <v>9</v>
      </c>
      <c r="AA159" s="35">
        <f t="shared" si="164"/>
        <v>186</v>
      </c>
      <c r="AB159" s="35">
        <f t="shared" si="164"/>
        <v>25</v>
      </c>
      <c r="AC159" s="35">
        <f t="shared" si="164"/>
        <v>11</v>
      </c>
      <c r="AD159" s="35">
        <f t="shared" si="164"/>
        <v>16</v>
      </c>
      <c r="AE159" s="35">
        <f t="shared" si="164"/>
        <v>26</v>
      </c>
      <c r="AF159" s="35">
        <f t="shared" si="164"/>
        <v>11</v>
      </c>
      <c r="AG159" s="35">
        <f t="shared" si="164"/>
        <v>10</v>
      </c>
      <c r="AH159" s="35">
        <f t="shared" si="164"/>
        <v>4</v>
      </c>
      <c r="AI159" s="35">
        <f t="shared" si="164"/>
        <v>0</v>
      </c>
      <c r="AJ159" s="35">
        <f t="shared" si="164"/>
        <v>67</v>
      </c>
      <c r="AK159" s="35">
        <f t="shared" si="164"/>
        <v>9</v>
      </c>
      <c r="AL159" s="35">
        <f t="shared" si="164"/>
        <v>23</v>
      </c>
      <c r="AM159" s="35">
        <f t="shared" si="164"/>
        <v>7</v>
      </c>
      <c r="AN159" s="35">
        <f t="shared" si="164"/>
        <v>2</v>
      </c>
      <c r="AO159" s="35">
        <f t="shared" si="164"/>
        <v>19</v>
      </c>
      <c r="AP159" s="35">
        <f t="shared" si="164"/>
        <v>6</v>
      </c>
    </row>
    <row r="160" spans="1:42" ht="13">
      <c r="A160" s="36">
        <v>44079</v>
      </c>
      <c r="B160" s="35">
        <v>112</v>
      </c>
      <c r="C160" s="35">
        <v>121</v>
      </c>
      <c r="D160" s="35">
        <v>34</v>
      </c>
      <c r="E160" s="35">
        <v>223</v>
      </c>
      <c r="F160" s="35">
        <v>3471</v>
      </c>
      <c r="G160" s="35">
        <v>231</v>
      </c>
      <c r="H160" s="35">
        <v>498</v>
      </c>
      <c r="I160" s="35">
        <v>204</v>
      </c>
      <c r="J160" s="35">
        <v>282</v>
      </c>
      <c r="K160" s="35">
        <v>81</v>
      </c>
      <c r="L160" s="35">
        <v>69</v>
      </c>
      <c r="M160" s="35">
        <v>358</v>
      </c>
      <c r="N160" s="35">
        <v>84</v>
      </c>
      <c r="O160" s="35">
        <v>1147</v>
      </c>
      <c r="P160" s="35">
        <v>60</v>
      </c>
      <c r="Q160" s="35">
        <v>250</v>
      </c>
      <c r="R160" s="35">
        <v>54</v>
      </c>
      <c r="S160" s="35">
        <v>63</v>
      </c>
      <c r="T160" s="35">
        <v>235</v>
      </c>
      <c r="U160" s="35">
        <v>315</v>
      </c>
      <c r="V160" s="35">
        <v>7892</v>
      </c>
      <c r="W160" s="35">
        <f t="shared" ref="W160:AP160" si="165">B160-B159</f>
        <v>9</v>
      </c>
      <c r="X160" s="35">
        <f t="shared" si="165"/>
        <v>3</v>
      </c>
      <c r="Y160" s="35">
        <f t="shared" si="165"/>
        <v>1</v>
      </c>
      <c r="Z160" s="35">
        <f t="shared" si="165"/>
        <v>13</v>
      </c>
      <c r="AA160" s="35">
        <f t="shared" si="165"/>
        <v>209</v>
      </c>
      <c r="AB160" s="35">
        <f t="shared" si="165"/>
        <v>11</v>
      </c>
      <c r="AC160" s="35">
        <f t="shared" si="165"/>
        <v>35</v>
      </c>
      <c r="AD160" s="35">
        <f t="shared" si="165"/>
        <v>13</v>
      </c>
      <c r="AE160" s="35">
        <f t="shared" si="165"/>
        <v>28</v>
      </c>
      <c r="AF160" s="35">
        <f t="shared" si="165"/>
        <v>4</v>
      </c>
      <c r="AG160" s="35">
        <f t="shared" si="165"/>
        <v>6</v>
      </c>
      <c r="AH160" s="35">
        <f t="shared" si="165"/>
        <v>6</v>
      </c>
      <c r="AI160" s="35">
        <f t="shared" si="165"/>
        <v>6</v>
      </c>
      <c r="AJ160" s="35">
        <f t="shared" si="165"/>
        <v>93</v>
      </c>
      <c r="AK160" s="35">
        <f t="shared" si="165"/>
        <v>6</v>
      </c>
      <c r="AL160" s="35">
        <f t="shared" si="165"/>
        <v>29</v>
      </c>
      <c r="AM160" s="35">
        <f t="shared" si="165"/>
        <v>7</v>
      </c>
      <c r="AN160" s="35">
        <f t="shared" si="165"/>
        <v>6</v>
      </c>
      <c r="AO160" s="35">
        <f t="shared" si="165"/>
        <v>12</v>
      </c>
      <c r="AP160" s="35">
        <f t="shared" si="165"/>
        <v>13</v>
      </c>
    </row>
    <row r="161" spans="1:42" ht="13">
      <c r="A161" s="36">
        <v>44080</v>
      </c>
      <c r="B161" s="35">
        <v>120</v>
      </c>
      <c r="C161" s="35">
        <v>149</v>
      </c>
      <c r="D161" s="35">
        <v>36</v>
      </c>
      <c r="E161" s="35">
        <v>230</v>
      </c>
      <c r="F161" s="35">
        <v>3669</v>
      </c>
      <c r="G161" s="35">
        <v>259</v>
      </c>
      <c r="H161" s="35">
        <v>534</v>
      </c>
      <c r="I161" s="35">
        <v>225</v>
      </c>
      <c r="J161" s="35">
        <v>287</v>
      </c>
      <c r="K161" s="35">
        <v>81</v>
      </c>
      <c r="L161" s="35">
        <v>72</v>
      </c>
      <c r="M161" s="35">
        <v>372</v>
      </c>
      <c r="N161" s="35">
        <v>87</v>
      </c>
      <c r="O161" s="35">
        <v>1202</v>
      </c>
      <c r="P161" s="35">
        <v>75</v>
      </c>
      <c r="Q161" s="35">
        <v>270</v>
      </c>
      <c r="R161" s="35">
        <v>70</v>
      </c>
      <c r="S161" s="35">
        <v>69</v>
      </c>
      <c r="T161" s="35">
        <v>248</v>
      </c>
      <c r="U161" s="35">
        <v>322</v>
      </c>
      <c r="V161" s="35">
        <v>8387</v>
      </c>
      <c r="W161" s="35">
        <f t="shared" ref="W161:AP161" si="166">B161-B160</f>
        <v>8</v>
      </c>
      <c r="X161" s="35">
        <f t="shared" si="166"/>
        <v>28</v>
      </c>
      <c r="Y161" s="35">
        <f t="shared" si="166"/>
        <v>2</v>
      </c>
      <c r="Z161" s="35">
        <f t="shared" si="166"/>
        <v>7</v>
      </c>
      <c r="AA161" s="35">
        <f t="shared" si="166"/>
        <v>198</v>
      </c>
      <c r="AB161" s="35">
        <f t="shared" si="166"/>
        <v>28</v>
      </c>
      <c r="AC161" s="35">
        <f t="shared" si="166"/>
        <v>36</v>
      </c>
      <c r="AD161" s="35">
        <f t="shared" si="166"/>
        <v>21</v>
      </c>
      <c r="AE161" s="35">
        <f t="shared" si="166"/>
        <v>5</v>
      </c>
      <c r="AF161" s="35">
        <f t="shared" si="166"/>
        <v>0</v>
      </c>
      <c r="AG161" s="35">
        <f t="shared" si="166"/>
        <v>3</v>
      </c>
      <c r="AH161" s="35">
        <f t="shared" si="166"/>
        <v>14</v>
      </c>
      <c r="AI161" s="35">
        <f t="shared" si="166"/>
        <v>3</v>
      </c>
      <c r="AJ161" s="35">
        <f t="shared" si="166"/>
        <v>55</v>
      </c>
      <c r="AK161" s="35">
        <f t="shared" si="166"/>
        <v>15</v>
      </c>
      <c r="AL161" s="35">
        <f t="shared" si="166"/>
        <v>20</v>
      </c>
      <c r="AM161" s="35">
        <f t="shared" si="166"/>
        <v>16</v>
      </c>
      <c r="AN161" s="35">
        <f t="shared" si="166"/>
        <v>6</v>
      </c>
      <c r="AO161" s="35">
        <f t="shared" si="166"/>
        <v>13</v>
      </c>
      <c r="AP161" s="35">
        <f t="shared" si="166"/>
        <v>7</v>
      </c>
    </row>
    <row r="162" spans="1:42" ht="13">
      <c r="A162" s="36">
        <v>44081</v>
      </c>
      <c r="B162" s="35">
        <v>127</v>
      </c>
      <c r="C162" s="35">
        <v>174</v>
      </c>
      <c r="D162" s="35">
        <v>38</v>
      </c>
      <c r="E162" s="35">
        <v>253</v>
      </c>
      <c r="F162" s="35">
        <v>3921</v>
      </c>
      <c r="G162" s="35">
        <v>263</v>
      </c>
      <c r="H162" s="35">
        <v>556</v>
      </c>
      <c r="I162" s="35">
        <v>244</v>
      </c>
      <c r="J162" s="35">
        <v>322</v>
      </c>
      <c r="K162" s="35">
        <v>105</v>
      </c>
      <c r="L162" s="35">
        <v>76</v>
      </c>
      <c r="M162" s="35">
        <v>377</v>
      </c>
      <c r="N162" s="35">
        <v>97</v>
      </c>
      <c r="O162" s="35">
        <v>1284</v>
      </c>
      <c r="P162" s="35">
        <v>83</v>
      </c>
      <c r="Q162" s="35">
        <v>293</v>
      </c>
      <c r="R162" s="35">
        <v>84</v>
      </c>
      <c r="S162" s="35">
        <v>75</v>
      </c>
      <c r="T162" s="35">
        <v>255</v>
      </c>
      <c r="U162" s="35">
        <v>336</v>
      </c>
      <c r="V162" s="35">
        <v>8963</v>
      </c>
      <c r="W162" s="35">
        <f t="shared" ref="W162:AP162" si="167">B162-B161</f>
        <v>7</v>
      </c>
      <c r="X162" s="35">
        <f t="shared" si="167"/>
        <v>25</v>
      </c>
      <c r="Y162" s="35">
        <f t="shared" si="167"/>
        <v>2</v>
      </c>
      <c r="Z162" s="35">
        <f t="shared" si="167"/>
        <v>23</v>
      </c>
      <c r="AA162" s="35">
        <f t="shared" si="167"/>
        <v>252</v>
      </c>
      <c r="AB162" s="35">
        <f t="shared" si="167"/>
        <v>4</v>
      </c>
      <c r="AC162" s="35">
        <f t="shared" si="167"/>
        <v>22</v>
      </c>
      <c r="AD162" s="35">
        <f t="shared" si="167"/>
        <v>19</v>
      </c>
      <c r="AE162" s="35">
        <f t="shared" si="167"/>
        <v>35</v>
      </c>
      <c r="AF162" s="35">
        <f t="shared" si="167"/>
        <v>24</v>
      </c>
      <c r="AG162" s="35">
        <f t="shared" si="167"/>
        <v>4</v>
      </c>
      <c r="AH162" s="35">
        <f t="shared" si="167"/>
        <v>5</v>
      </c>
      <c r="AI162" s="35">
        <f t="shared" si="167"/>
        <v>10</v>
      </c>
      <c r="AJ162" s="35">
        <f t="shared" si="167"/>
        <v>82</v>
      </c>
      <c r="AK162" s="35">
        <f t="shared" si="167"/>
        <v>8</v>
      </c>
      <c r="AL162" s="35">
        <f t="shared" si="167"/>
        <v>23</v>
      </c>
      <c r="AM162" s="35">
        <f t="shared" si="167"/>
        <v>14</v>
      </c>
      <c r="AN162" s="35">
        <f t="shared" si="167"/>
        <v>6</v>
      </c>
      <c r="AO162" s="35">
        <f t="shared" si="167"/>
        <v>7</v>
      </c>
      <c r="AP162" s="35">
        <f t="shared" si="167"/>
        <v>14</v>
      </c>
    </row>
    <row r="163" spans="1:42" ht="13">
      <c r="A163" s="36">
        <v>44082</v>
      </c>
      <c r="B163" s="35">
        <v>143</v>
      </c>
      <c r="C163" s="35">
        <v>181</v>
      </c>
      <c r="D163" s="35">
        <v>41</v>
      </c>
      <c r="E163" s="35">
        <v>276</v>
      </c>
      <c r="F163" s="35">
        <v>4069</v>
      </c>
      <c r="G163" s="35">
        <v>277</v>
      </c>
      <c r="H163" s="35">
        <v>554</v>
      </c>
      <c r="I163" s="35">
        <v>253</v>
      </c>
      <c r="J163" s="35">
        <v>340</v>
      </c>
      <c r="K163" s="35">
        <v>111</v>
      </c>
      <c r="L163" s="35">
        <v>84</v>
      </c>
      <c r="M163" s="35">
        <v>383</v>
      </c>
      <c r="N163" s="35">
        <v>102</v>
      </c>
      <c r="O163" s="35">
        <v>1314</v>
      </c>
      <c r="P163" s="35">
        <v>94</v>
      </c>
      <c r="Q163" s="35">
        <v>310</v>
      </c>
      <c r="R163" s="35">
        <v>87</v>
      </c>
      <c r="S163" s="35">
        <v>76</v>
      </c>
      <c r="T163" s="35">
        <v>266</v>
      </c>
      <c r="U163" s="35">
        <v>343</v>
      </c>
      <c r="V163" s="35">
        <v>9304</v>
      </c>
      <c r="W163" s="35">
        <f t="shared" ref="W163:AP163" si="168">B163-B162</f>
        <v>16</v>
      </c>
      <c r="X163" s="35">
        <f t="shared" si="168"/>
        <v>7</v>
      </c>
      <c r="Y163" s="35">
        <f t="shared" si="168"/>
        <v>3</v>
      </c>
      <c r="Z163" s="35">
        <f t="shared" si="168"/>
        <v>23</v>
      </c>
      <c r="AA163" s="35">
        <f t="shared" si="168"/>
        <v>148</v>
      </c>
      <c r="AB163" s="35">
        <f t="shared" si="168"/>
        <v>14</v>
      </c>
      <c r="AC163" s="35">
        <f t="shared" si="168"/>
        <v>-2</v>
      </c>
      <c r="AD163" s="35">
        <f t="shared" si="168"/>
        <v>9</v>
      </c>
      <c r="AE163" s="35">
        <f t="shared" si="168"/>
        <v>18</v>
      </c>
      <c r="AF163" s="35">
        <f t="shared" si="168"/>
        <v>6</v>
      </c>
      <c r="AG163" s="35">
        <f t="shared" si="168"/>
        <v>8</v>
      </c>
      <c r="AH163" s="35">
        <f t="shared" si="168"/>
        <v>6</v>
      </c>
      <c r="AI163" s="35">
        <f t="shared" si="168"/>
        <v>5</v>
      </c>
      <c r="AJ163" s="35">
        <f t="shared" si="168"/>
        <v>30</v>
      </c>
      <c r="AK163" s="35">
        <f t="shared" si="168"/>
        <v>11</v>
      </c>
      <c r="AL163" s="35">
        <f t="shared" si="168"/>
        <v>17</v>
      </c>
      <c r="AM163" s="35">
        <f t="shared" si="168"/>
        <v>3</v>
      </c>
      <c r="AN163" s="35">
        <f t="shared" si="168"/>
        <v>1</v>
      </c>
      <c r="AO163" s="35">
        <f t="shared" si="168"/>
        <v>11</v>
      </c>
      <c r="AP163" s="35">
        <f t="shared" si="168"/>
        <v>7</v>
      </c>
    </row>
    <row r="164" spans="1:42" ht="13">
      <c r="A164" s="36">
        <v>44083</v>
      </c>
      <c r="B164" s="35">
        <v>153</v>
      </c>
      <c r="C164" s="35">
        <v>182</v>
      </c>
      <c r="D164" s="35">
        <v>53</v>
      </c>
      <c r="E164" s="35">
        <v>283</v>
      </c>
      <c r="F164" s="35">
        <v>4260</v>
      </c>
      <c r="G164" s="35">
        <v>300</v>
      </c>
      <c r="H164" s="35">
        <v>575</v>
      </c>
      <c r="I164" s="35">
        <v>262</v>
      </c>
      <c r="J164" s="35">
        <v>347</v>
      </c>
      <c r="K164" s="35">
        <v>111</v>
      </c>
      <c r="L164" s="35">
        <v>88</v>
      </c>
      <c r="M164" s="35">
        <v>389</v>
      </c>
      <c r="N164" s="35">
        <v>102</v>
      </c>
      <c r="O164" s="35">
        <v>1404</v>
      </c>
      <c r="P164" s="35">
        <v>97</v>
      </c>
      <c r="Q164" s="35">
        <v>315</v>
      </c>
      <c r="R164" s="35">
        <v>85</v>
      </c>
      <c r="S164" s="35">
        <v>85</v>
      </c>
      <c r="T164" s="35">
        <v>279</v>
      </c>
      <c r="U164" s="35">
        <v>345</v>
      </c>
      <c r="V164" s="35">
        <v>9715</v>
      </c>
      <c r="W164" s="35">
        <f t="shared" ref="W164:AP164" si="169">B164-B163</f>
        <v>10</v>
      </c>
      <c r="X164" s="35">
        <f t="shared" si="169"/>
        <v>1</v>
      </c>
      <c r="Y164" s="35">
        <f t="shared" si="169"/>
        <v>12</v>
      </c>
      <c r="Z164" s="35">
        <f t="shared" si="169"/>
        <v>7</v>
      </c>
      <c r="AA164" s="35">
        <f t="shared" si="169"/>
        <v>191</v>
      </c>
      <c r="AB164" s="35">
        <f t="shared" si="169"/>
        <v>23</v>
      </c>
      <c r="AC164" s="35">
        <f t="shared" si="169"/>
        <v>21</v>
      </c>
      <c r="AD164" s="35">
        <f t="shared" si="169"/>
        <v>9</v>
      </c>
      <c r="AE164" s="35">
        <f t="shared" si="169"/>
        <v>7</v>
      </c>
      <c r="AF164" s="35">
        <f t="shared" si="169"/>
        <v>0</v>
      </c>
      <c r="AG164" s="35">
        <f t="shared" si="169"/>
        <v>4</v>
      </c>
      <c r="AH164" s="35">
        <f t="shared" si="169"/>
        <v>6</v>
      </c>
      <c r="AI164" s="35">
        <f t="shared" si="169"/>
        <v>0</v>
      </c>
      <c r="AJ164" s="35">
        <f t="shared" si="169"/>
        <v>90</v>
      </c>
      <c r="AK164" s="35">
        <f t="shared" si="169"/>
        <v>3</v>
      </c>
      <c r="AL164" s="35">
        <f t="shared" si="169"/>
        <v>5</v>
      </c>
      <c r="AM164" s="35">
        <f t="shared" si="169"/>
        <v>-2</v>
      </c>
      <c r="AN164" s="35">
        <f t="shared" si="169"/>
        <v>9</v>
      </c>
      <c r="AO164" s="35">
        <f t="shared" si="169"/>
        <v>13</v>
      </c>
      <c r="AP164" s="35">
        <f t="shared" si="169"/>
        <v>2</v>
      </c>
    </row>
    <row r="165" spans="1:42" ht="13">
      <c r="A165" s="36">
        <v>44084</v>
      </c>
      <c r="B165" s="40">
        <v>161</v>
      </c>
      <c r="C165" s="40">
        <v>205</v>
      </c>
      <c r="D165" s="40">
        <v>55</v>
      </c>
      <c r="E165" s="40">
        <v>295</v>
      </c>
      <c r="F165" s="40">
        <v>4466</v>
      </c>
      <c r="G165" s="40">
        <v>316</v>
      </c>
      <c r="H165" s="40">
        <v>598</v>
      </c>
      <c r="I165" s="40">
        <v>274</v>
      </c>
      <c r="J165" s="40">
        <v>363</v>
      </c>
      <c r="K165" s="40">
        <v>120</v>
      </c>
      <c r="L165" s="40">
        <v>98</v>
      </c>
      <c r="M165" s="40">
        <v>401</v>
      </c>
      <c r="N165" s="40">
        <v>106</v>
      </c>
      <c r="O165" s="40">
        <v>1464</v>
      </c>
      <c r="P165" s="40">
        <v>108</v>
      </c>
      <c r="Q165" s="40">
        <v>333</v>
      </c>
      <c r="R165" s="40">
        <v>96</v>
      </c>
      <c r="S165" s="40">
        <v>88</v>
      </c>
      <c r="T165" s="40">
        <v>295</v>
      </c>
      <c r="U165" s="40">
        <v>349</v>
      </c>
      <c r="V165" s="40">
        <v>10191</v>
      </c>
      <c r="W165" s="35">
        <f t="shared" ref="W165:AP165" si="170">B165-B164</f>
        <v>8</v>
      </c>
      <c r="X165" s="35">
        <f t="shared" si="170"/>
        <v>23</v>
      </c>
      <c r="Y165" s="35">
        <f t="shared" si="170"/>
        <v>2</v>
      </c>
      <c r="Z165" s="35">
        <f t="shared" si="170"/>
        <v>12</v>
      </c>
      <c r="AA165" s="35">
        <f t="shared" si="170"/>
        <v>206</v>
      </c>
      <c r="AB165" s="35">
        <f t="shared" si="170"/>
        <v>16</v>
      </c>
      <c r="AC165" s="35">
        <f t="shared" si="170"/>
        <v>23</v>
      </c>
      <c r="AD165" s="35">
        <f t="shared" si="170"/>
        <v>12</v>
      </c>
      <c r="AE165" s="35">
        <f t="shared" si="170"/>
        <v>16</v>
      </c>
      <c r="AF165" s="35">
        <f t="shared" si="170"/>
        <v>9</v>
      </c>
      <c r="AG165" s="35">
        <f t="shared" si="170"/>
        <v>10</v>
      </c>
      <c r="AH165" s="35">
        <f t="shared" si="170"/>
        <v>12</v>
      </c>
      <c r="AI165" s="35">
        <f t="shared" si="170"/>
        <v>4</v>
      </c>
      <c r="AJ165" s="35">
        <f t="shared" si="170"/>
        <v>60</v>
      </c>
      <c r="AK165" s="35">
        <f t="shared" si="170"/>
        <v>11</v>
      </c>
      <c r="AL165" s="35">
        <f t="shared" si="170"/>
        <v>18</v>
      </c>
      <c r="AM165" s="35">
        <f t="shared" si="170"/>
        <v>11</v>
      </c>
      <c r="AN165" s="35">
        <f t="shared" si="170"/>
        <v>3</v>
      </c>
      <c r="AO165" s="35">
        <f t="shared" si="170"/>
        <v>16</v>
      </c>
      <c r="AP165" s="35">
        <f t="shared" si="170"/>
        <v>4</v>
      </c>
    </row>
    <row r="166" spans="1:42" ht="13">
      <c r="A166" s="36">
        <v>44085</v>
      </c>
      <c r="B166" s="35">
        <v>195</v>
      </c>
      <c r="C166" s="35">
        <v>219</v>
      </c>
      <c r="D166" s="35">
        <v>68</v>
      </c>
      <c r="E166" s="35">
        <v>315</v>
      </c>
      <c r="F166" s="35">
        <v>4735</v>
      </c>
      <c r="G166" s="35">
        <v>334</v>
      </c>
      <c r="H166" s="35">
        <v>630</v>
      </c>
      <c r="I166" s="35">
        <v>303</v>
      </c>
      <c r="J166" s="35">
        <v>410</v>
      </c>
      <c r="K166" s="35">
        <v>134</v>
      </c>
      <c r="L166" s="35">
        <v>118</v>
      </c>
      <c r="M166" s="35">
        <v>407</v>
      </c>
      <c r="N166" s="35">
        <v>113</v>
      </c>
      <c r="O166" s="35">
        <v>1568</v>
      </c>
      <c r="P166" s="35">
        <v>120</v>
      </c>
      <c r="Q166" s="35">
        <v>375</v>
      </c>
      <c r="R166" s="35">
        <v>111</v>
      </c>
      <c r="S166" s="35">
        <v>91</v>
      </c>
      <c r="T166" s="35">
        <v>311</v>
      </c>
      <c r="U166" s="35">
        <v>352</v>
      </c>
      <c r="V166" s="35">
        <v>10909</v>
      </c>
      <c r="W166" s="35">
        <f t="shared" ref="W166:AP166" si="171">B166-B165</f>
        <v>34</v>
      </c>
      <c r="X166" s="35">
        <f t="shared" si="171"/>
        <v>14</v>
      </c>
      <c r="Y166" s="35">
        <f t="shared" si="171"/>
        <v>13</v>
      </c>
      <c r="Z166" s="35">
        <f t="shared" si="171"/>
        <v>20</v>
      </c>
      <c r="AA166" s="35">
        <f t="shared" si="171"/>
        <v>269</v>
      </c>
      <c r="AB166" s="35">
        <f t="shared" si="171"/>
        <v>18</v>
      </c>
      <c r="AC166" s="35">
        <f t="shared" si="171"/>
        <v>32</v>
      </c>
      <c r="AD166" s="35">
        <f t="shared" si="171"/>
        <v>29</v>
      </c>
      <c r="AE166" s="35">
        <f t="shared" si="171"/>
        <v>47</v>
      </c>
      <c r="AF166" s="35">
        <f t="shared" si="171"/>
        <v>14</v>
      </c>
      <c r="AG166" s="35">
        <f t="shared" si="171"/>
        <v>20</v>
      </c>
      <c r="AH166" s="35">
        <f t="shared" si="171"/>
        <v>6</v>
      </c>
      <c r="AI166" s="35">
        <f t="shared" si="171"/>
        <v>7</v>
      </c>
      <c r="AJ166" s="35">
        <f t="shared" si="171"/>
        <v>104</v>
      </c>
      <c r="AK166" s="35">
        <f t="shared" si="171"/>
        <v>12</v>
      </c>
      <c r="AL166" s="35">
        <f t="shared" si="171"/>
        <v>42</v>
      </c>
      <c r="AM166" s="35">
        <f t="shared" si="171"/>
        <v>15</v>
      </c>
      <c r="AN166" s="35">
        <f t="shared" si="171"/>
        <v>3</v>
      </c>
      <c r="AO166" s="35">
        <f t="shared" si="171"/>
        <v>16</v>
      </c>
      <c r="AP166" s="35">
        <f t="shared" si="171"/>
        <v>3</v>
      </c>
    </row>
    <row r="167" spans="1:42" ht="13">
      <c r="A167" s="36">
        <v>44086</v>
      </c>
      <c r="B167" s="35">
        <v>211</v>
      </c>
      <c r="C167" s="35">
        <v>234</v>
      </c>
      <c r="D167" s="35">
        <v>75</v>
      </c>
      <c r="E167" s="35">
        <v>346</v>
      </c>
      <c r="F167" s="35">
        <v>5092</v>
      </c>
      <c r="G167" s="35">
        <v>372</v>
      </c>
      <c r="H167" s="35">
        <v>671</v>
      </c>
      <c r="I167" s="35">
        <v>363</v>
      </c>
      <c r="J167" s="35">
        <v>437</v>
      </c>
      <c r="K167" s="35">
        <v>149</v>
      </c>
      <c r="L167" s="35">
        <v>148</v>
      </c>
      <c r="M167" s="35">
        <v>445</v>
      </c>
      <c r="N167" s="35">
        <v>129</v>
      </c>
      <c r="O167" s="35">
        <v>1681</v>
      </c>
      <c r="P167" s="35">
        <v>135</v>
      </c>
      <c r="Q167" s="35">
        <v>379</v>
      </c>
      <c r="R167" s="35">
        <v>126</v>
      </c>
      <c r="S167" s="35">
        <v>117</v>
      </c>
      <c r="T167" s="35">
        <v>333</v>
      </c>
      <c r="U167" s="35">
        <v>382</v>
      </c>
      <c r="V167" s="35">
        <v>11825</v>
      </c>
      <c r="W167" s="35">
        <f t="shared" ref="W167:AP167" si="172">B167-B166</f>
        <v>16</v>
      </c>
      <c r="X167" s="35">
        <f t="shared" si="172"/>
        <v>15</v>
      </c>
      <c r="Y167" s="35">
        <f t="shared" si="172"/>
        <v>7</v>
      </c>
      <c r="Z167" s="35">
        <f t="shared" si="172"/>
        <v>31</v>
      </c>
      <c r="AA167" s="35">
        <f t="shared" si="172"/>
        <v>357</v>
      </c>
      <c r="AB167" s="35">
        <f t="shared" si="172"/>
        <v>38</v>
      </c>
      <c r="AC167" s="35">
        <f t="shared" si="172"/>
        <v>41</v>
      </c>
      <c r="AD167" s="35">
        <f t="shared" si="172"/>
        <v>60</v>
      </c>
      <c r="AE167" s="35">
        <f t="shared" si="172"/>
        <v>27</v>
      </c>
      <c r="AF167" s="35">
        <f t="shared" si="172"/>
        <v>15</v>
      </c>
      <c r="AG167" s="35">
        <f t="shared" si="172"/>
        <v>30</v>
      </c>
      <c r="AH167" s="35">
        <f t="shared" si="172"/>
        <v>38</v>
      </c>
      <c r="AI167" s="35">
        <f t="shared" si="172"/>
        <v>16</v>
      </c>
      <c r="AJ167" s="35">
        <f t="shared" si="172"/>
        <v>113</v>
      </c>
      <c r="AK167" s="35">
        <f t="shared" si="172"/>
        <v>15</v>
      </c>
      <c r="AL167" s="35">
        <f t="shared" si="172"/>
        <v>4</v>
      </c>
      <c r="AM167" s="35">
        <f t="shared" si="172"/>
        <v>15</v>
      </c>
      <c r="AN167" s="35">
        <f t="shared" si="172"/>
        <v>26</v>
      </c>
      <c r="AO167" s="35">
        <f t="shared" si="172"/>
        <v>22</v>
      </c>
      <c r="AP167" s="35">
        <f t="shared" si="172"/>
        <v>30</v>
      </c>
    </row>
    <row r="168" spans="1:42" ht="13">
      <c r="A168" s="36">
        <v>44087</v>
      </c>
      <c r="B168" s="35">
        <v>214</v>
      </c>
      <c r="C168" s="35">
        <v>247</v>
      </c>
      <c r="D168" s="35">
        <v>76</v>
      </c>
      <c r="E168" s="35">
        <v>348</v>
      </c>
      <c r="F168" s="35">
        <v>5330</v>
      </c>
      <c r="G168" s="35">
        <v>388</v>
      </c>
      <c r="H168" s="35">
        <v>697</v>
      </c>
      <c r="I168" s="35">
        <v>394</v>
      </c>
      <c r="J168" s="35">
        <v>460</v>
      </c>
      <c r="K168" s="35">
        <v>153</v>
      </c>
      <c r="L168" s="35">
        <v>153</v>
      </c>
      <c r="M168" s="35">
        <v>454</v>
      </c>
      <c r="N168" s="35">
        <v>139</v>
      </c>
      <c r="O168" s="35">
        <v>1752</v>
      </c>
      <c r="P168" s="35">
        <v>145</v>
      </c>
      <c r="Q168" s="35">
        <v>381</v>
      </c>
      <c r="R168" s="35">
        <v>130</v>
      </c>
      <c r="S168" s="35">
        <v>121</v>
      </c>
      <c r="T168" s="35">
        <v>342</v>
      </c>
      <c r="U168" s="35">
        <v>385</v>
      </c>
      <c r="V168" s="35">
        <v>12309</v>
      </c>
      <c r="W168" s="35">
        <f t="shared" ref="W168:AP168" si="173">B168-B167</f>
        <v>3</v>
      </c>
      <c r="X168" s="35">
        <f t="shared" si="173"/>
        <v>13</v>
      </c>
      <c r="Y168" s="35">
        <f t="shared" si="173"/>
        <v>1</v>
      </c>
      <c r="Z168" s="35">
        <f t="shared" si="173"/>
        <v>2</v>
      </c>
      <c r="AA168" s="35">
        <f t="shared" si="173"/>
        <v>238</v>
      </c>
      <c r="AB168" s="35">
        <f t="shared" si="173"/>
        <v>16</v>
      </c>
      <c r="AC168" s="35">
        <f t="shared" si="173"/>
        <v>26</v>
      </c>
      <c r="AD168" s="35">
        <f t="shared" si="173"/>
        <v>31</v>
      </c>
      <c r="AE168" s="35">
        <f t="shared" si="173"/>
        <v>23</v>
      </c>
      <c r="AF168" s="35">
        <f t="shared" si="173"/>
        <v>4</v>
      </c>
      <c r="AG168" s="35">
        <f t="shared" si="173"/>
        <v>5</v>
      </c>
      <c r="AH168" s="35">
        <f t="shared" si="173"/>
        <v>9</v>
      </c>
      <c r="AI168" s="35">
        <f t="shared" si="173"/>
        <v>10</v>
      </c>
      <c r="AJ168" s="35">
        <f t="shared" si="173"/>
        <v>71</v>
      </c>
      <c r="AK168" s="35">
        <f t="shared" si="173"/>
        <v>10</v>
      </c>
      <c r="AL168" s="35">
        <f t="shared" si="173"/>
        <v>2</v>
      </c>
      <c r="AM168" s="35">
        <f t="shared" si="173"/>
        <v>4</v>
      </c>
      <c r="AN168" s="35">
        <f t="shared" si="173"/>
        <v>4</v>
      </c>
      <c r="AO168" s="35">
        <f t="shared" si="173"/>
        <v>9</v>
      </c>
      <c r="AP168" s="35">
        <f t="shared" si="173"/>
        <v>3</v>
      </c>
    </row>
    <row r="169" spans="1:42" ht="13">
      <c r="A169" s="36">
        <v>44088</v>
      </c>
      <c r="B169" s="35">
        <v>229</v>
      </c>
      <c r="C169" s="35">
        <v>260</v>
      </c>
      <c r="D169" s="35">
        <v>85</v>
      </c>
      <c r="E169" s="35">
        <v>391</v>
      </c>
      <c r="F169" s="35">
        <v>5640</v>
      </c>
      <c r="G169" s="35">
        <v>423</v>
      </c>
      <c r="H169" s="35">
        <v>748</v>
      </c>
      <c r="I169" s="35">
        <v>442</v>
      </c>
      <c r="J169" s="35">
        <v>491</v>
      </c>
      <c r="K169" s="35">
        <v>172</v>
      </c>
      <c r="L169" s="35">
        <v>181</v>
      </c>
      <c r="M169" s="35">
        <v>469</v>
      </c>
      <c r="N169" s="35">
        <v>149</v>
      </c>
      <c r="O169" s="35">
        <v>1852</v>
      </c>
      <c r="P169" s="35">
        <v>156</v>
      </c>
      <c r="Q169" s="35">
        <v>430</v>
      </c>
      <c r="R169" s="35">
        <v>142</v>
      </c>
      <c r="S169" s="35">
        <v>137</v>
      </c>
      <c r="T169" s="35">
        <v>365</v>
      </c>
      <c r="U169" s="35">
        <v>391</v>
      </c>
      <c r="V169" s="35">
        <v>13153</v>
      </c>
      <c r="W169" s="35">
        <f t="shared" ref="W169:AP169" si="174">B169-B168</f>
        <v>15</v>
      </c>
      <c r="X169" s="35">
        <f t="shared" si="174"/>
        <v>13</v>
      </c>
      <c r="Y169" s="35">
        <f t="shared" si="174"/>
        <v>9</v>
      </c>
      <c r="Z169" s="35">
        <f t="shared" si="174"/>
        <v>43</v>
      </c>
      <c r="AA169" s="35">
        <f t="shared" si="174"/>
        <v>310</v>
      </c>
      <c r="AB169" s="35">
        <f t="shared" si="174"/>
        <v>35</v>
      </c>
      <c r="AC169" s="35">
        <f t="shared" si="174"/>
        <v>51</v>
      </c>
      <c r="AD169" s="35">
        <f t="shared" si="174"/>
        <v>48</v>
      </c>
      <c r="AE169" s="35">
        <f t="shared" si="174"/>
        <v>31</v>
      </c>
      <c r="AF169" s="35">
        <f t="shared" si="174"/>
        <v>19</v>
      </c>
      <c r="AG169" s="35">
        <f t="shared" si="174"/>
        <v>28</v>
      </c>
      <c r="AH169" s="35">
        <f t="shared" si="174"/>
        <v>15</v>
      </c>
      <c r="AI169" s="35">
        <f t="shared" si="174"/>
        <v>10</v>
      </c>
      <c r="AJ169" s="35">
        <f t="shared" si="174"/>
        <v>100</v>
      </c>
      <c r="AK169" s="35">
        <f t="shared" si="174"/>
        <v>11</v>
      </c>
      <c r="AL169" s="35">
        <f t="shared" si="174"/>
        <v>49</v>
      </c>
      <c r="AM169" s="35">
        <f t="shared" si="174"/>
        <v>12</v>
      </c>
      <c r="AN169" s="35">
        <f t="shared" si="174"/>
        <v>16</v>
      </c>
      <c r="AO169" s="35">
        <f t="shared" si="174"/>
        <v>23</v>
      </c>
      <c r="AP169" s="35">
        <f t="shared" si="174"/>
        <v>6</v>
      </c>
    </row>
    <row r="170" spans="1:42" ht="13">
      <c r="A170" s="36">
        <v>44089</v>
      </c>
      <c r="B170" s="35">
        <v>254</v>
      </c>
      <c r="C170" s="35">
        <v>270</v>
      </c>
      <c r="D170" s="35">
        <v>88</v>
      </c>
      <c r="E170" s="35">
        <v>392</v>
      </c>
      <c r="F170" s="35">
        <v>5992</v>
      </c>
      <c r="G170" s="35">
        <v>476</v>
      </c>
      <c r="H170" s="35">
        <v>770</v>
      </c>
      <c r="I170" s="35">
        <v>487</v>
      </c>
      <c r="J170" s="35">
        <v>495</v>
      </c>
      <c r="K170" s="35">
        <v>192</v>
      </c>
      <c r="L170" s="35">
        <v>207</v>
      </c>
      <c r="M170" s="35">
        <v>488</v>
      </c>
      <c r="N170" s="35">
        <v>153</v>
      </c>
      <c r="O170" s="35">
        <v>1960</v>
      </c>
      <c r="P170" s="35">
        <v>159</v>
      </c>
      <c r="Q170" s="35">
        <v>417</v>
      </c>
      <c r="R170" s="35">
        <v>155</v>
      </c>
      <c r="S170" s="35">
        <v>145</v>
      </c>
      <c r="T170" s="35">
        <v>378</v>
      </c>
      <c r="U170" s="35">
        <v>401</v>
      </c>
      <c r="V170" s="35">
        <v>13879</v>
      </c>
      <c r="W170" s="35">
        <f t="shared" ref="W170:AP170" si="175">B170-B169</f>
        <v>25</v>
      </c>
      <c r="X170" s="35">
        <f t="shared" si="175"/>
        <v>10</v>
      </c>
      <c r="Y170" s="35">
        <f t="shared" si="175"/>
        <v>3</v>
      </c>
      <c r="Z170" s="35">
        <f t="shared" si="175"/>
        <v>1</v>
      </c>
      <c r="AA170" s="35">
        <f t="shared" si="175"/>
        <v>352</v>
      </c>
      <c r="AB170" s="35">
        <f t="shared" si="175"/>
        <v>53</v>
      </c>
      <c r="AC170" s="35">
        <f t="shared" si="175"/>
        <v>22</v>
      </c>
      <c r="AD170" s="35">
        <f t="shared" si="175"/>
        <v>45</v>
      </c>
      <c r="AE170" s="35">
        <f t="shared" si="175"/>
        <v>4</v>
      </c>
      <c r="AF170" s="35">
        <f t="shared" si="175"/>
        <v>20</v>
      </c>
      <c r="AG170" s="35">
        <f t="shared" si="175"/>
        <v>26</v>
      </c>
      <c r="AH170" s="35">
        <f t="shared" si="175"/>
        <v>19</v>
      </c>
      <c r="AI170" s="35">
        <f t="shared" si="175"/>
        <v>4</v>
      </c>
      <c r="AJ170" s="35">
        <f t="shared" si="175"/>
        <v>108</v>
      </c>
      <c r="AK170" s="35">
        <f t="shared" si="175"/>
        <v>3</v>
      </c>
      <c r="AL170" s="35">
        <f t="shared" si="175"/>
        <v>-13</v>
      </c>
      <c r="AM170" s="35">
        <f t="shared" si="175"/>
        <v>13</v>
      </c>
      <c r="AN170" s="35">
        <f t="shared" si="175"/>
        <v>8</v>
      </c>
      <c r="AO170" s="35">
        <f t="shared" si="175"/>
        <v>13</v>
      </c>
      <c r="AP170" s="35">
        <f t="shared" si="175"/>
        <v>10</v>
      </c>
    </row>
    <row r="171" spans="1:42" ht="13">
      <c r="A171" s="36">
        <v>44090</v>
      </c>
      <c r="B171" s="35">
        <v>267</v>
      </c>
      <c r="C171" s="35">
        <v>283</v>
      </c>
      <c r="D171" s="35">
        <v>90</v>
      </c>
      <c r="E171" s="35">
        <v>407</v>
      </c>
      <c r="F171" s="35">
        <v>6202</v>
      </c>
      <c r="G171" s="35">
        <v>495</v>
      </c>
      <c r="H171" s="35">
        <v>799</v>
      </c>
      <c r="I171" s="35">
        <v>523</v>
      </c>
      <c r="J171" s="35">
        <v>532</v>
      </c>
      <c r="K171" s="35">
        <v>193</v>
      </c>
      <c r="L171" s="35">
        <v>214</v>
      </c>
      <c r="M171" s="35">
        <v>502</v>
      </c>
      <c r="N171" s="35">
        <v>168</v>
      </c>
      <c r="O171" s="35">
        <v>2031</v>
      </c>
      <c r="P171" s="35">
        <v>165</v>
      </c>
      <c r="Q171" s="35">
        <v>468</v>
      </c>
      <c r="R171" s="35">
        <v>155</v>
      </c>
      <c r="S171" s="35">
        <v>151</v>
      </c>
      <c r="T171" s="35">
        <v>407</v>
      </c>
      <c r="U171" s="35">
        <v>408</v>
      </c>
      <c r="V171" s="35">
        <v>14460</v>
      </c>
      <c r="W171" s="35">
        <f t="shared" ref="W171:AP171" si="176">B171-B170</f>
        <v>13</v>
      </c>
      <c r="X171" s="35">
        <f t="shared" si="176"/>
        <v>13</v>
      </c>
      <c r="Y171" s="35">
        <f t="shared" si="176"/>
        <v>2</v>
      </c>
      <c r="Z171" s="35">
        <f t="shared" si="176"/>
        <v>15</v>
      </c>
      <c r="AA171" s="35">
        <f t="shared" si="176"/>
        <v>210</v>
      </c>
      <c r="AB171" s="35">
        <f t="shared" si="176"/>
        <v>19</v>
      </c>
      <c r="AC171" s="35">
        <f t="shared" si="176"/>
        <v>29</v>
      </c>
      <c r="AD171" s="35">
        <f t="shared" si="176"/>
        <v>36</v>
      </c>
      <c r="AE171" s="35">
        <f t="shared" si="176"/>
        <v>37</v>
      </c>
      <c r="AF171" s="35">
        <f t="shared" si="176"/>
        <v>1</v>
      </c>
      <c r="AG171" s="35">
        <f t="shared" si="176"/>
        <v>7</v>
      </c>
      <c r="AH171" s="35">
        <f t="shared" si="176"/>
        <v>14</v>
      </c>
      <c r="AI171" s="35">
        <f t="shared" si="176"/>
        <v>15</v>
      </c>
      <c r="AJ171" s="35">
        <f t="shared" si="176"/>
        <v>71</v>
      </c>
      <c r="AK171" s="35">
        <f t="shared" si="176"/>
        <v>6</v>
      </c>
      <c r="AL171" s="35">
        <f t="shared" si="176"/>
        <v>51</v>
      </c>
      <c r="AM171" s="35">
        <f t="shared" si="176"/>
        <v>0</v>
      </c>
      <c r="AN171" s="35">
        <f t="shared" si="176"/>
        <v>6</v>
      </c>
      <c r="AO171" s="35">
        <f t="shared" si="176"/>
        <v>29</v>
      </c>
      <c r="AP171" s="35">
        <f t="shared" si="176"/>
        <v>7</v>
      </c>
    </row>
    <row r="172" spans="1:42" ht="13">
      <c r="A172" s="36">
        <v>44091</v>
      </c>
      <c r="B172" s="35">
        <v>279</v>
      </c>
      <c r="C172" s="35">
        <v>299</v>
      </c>
      <c r="D172" s="35">
        <v>103</v>
      </c>
      <c r="E172" s="35">
        <v>438</v>
      </c>
      <c r="F172" s="35">
        <v>6500</v>
      </c>
      <c r="G172" s="35">
        <v>515</v>
      </c>
      <c r="H172" s="35">
        <v>802</v>
      </c>
      <c r="I172" s="35">
        <v>556</v>
      </c>
      <c r="J172" s="35">
        <v>546</v>
      </c>
      <c r="K172" s="35">
        <v>201</v>
      </c>
      <c r="L172" s="35">
        <v>232</v>
      </c>
      <c r="M172" s="35">
        <v>533</v>
      </c>
      <c r="N172" s="35">
        <v>168</v>
      </c>
      <c r="O172" s="35">
        <v>2138</v>
      </c>
      <c r="P172" s="35">
        <v>178</v>
      </c>
      <c r="Q172" s="35">
        <v>501</v>
      </c>
      <c r="R172" s="35">
        <v>162</v>
      </c>
      <c r="S172" s="35">
        <v>173</v>
      </c>
      <c r="T172" s="35">
        <v>430</v>
      </c>
      <c r="U172" s="35">
        <v>416</v>
      </c>
      <c r="V172" s="35">
        <v>15170</v>
      </c>
      <c r="W172" s="35">
        <f t="shared" ref="W172:AP172" si="177">B172-B171</f>
        <v>12</v>
      </c>
      <c r="X172" s="35">
        <f t="shared" si="177"/>
        <v>16</v>
      </c>
      <c r="Y172" s="35">
        <f t="shared" si="177"/>
        <v>13</v>
      </c>
      <c r="Z172" s="35">
        <f t="shared" si="177"/>
        <v>31</v>
      </c>
      <c r="AA172" s="35">
        <f t="shared" si="177"/>
        <v>298</v>
      </c>
      <c r="AB172" s="35">
        <f t="shared" si="177"/>
        <v>20</v>
      </c>
      <c r="AC172" s="35">
        <f t="shared" si="177"/>
        <v>3</v>
      </c>
      <c r="AD172" s="35">
        <f t="shared" si="177"/>
        <v>33</v>
      </c>
      <c r="AE172" s="35">
        <f t="shared" si="177"/>
        <v>14</v>
      </c>
      <c r="AF172" s="35">
        <f t="shared" si="177"/>
        <v>8</v>
      </c>
      <c r="AG172" s="35">
        <f t="shared" si="177"/>
        <v>18</v>
      </c>
      <c r="AH172" s="35">
        <f t="shared" si="177"/>
        <v>31</v>
      </c>
      <c r="AI172" s="35">
        <f t="shared" si="177"/>
        <v>0</v>
      </c>
      <c r="AJ172" s="35">
        <f t="shared" si="177"/>
        <v>107</v>
      </c>
      <c r="AK172" s="35">
        <f t="shared" si="177"/>
        <v>13</v>
      </c>
      <c r="AL172" s="35">
        <f t="shared" si="177"/>
        <v>33</v>
      </c>
      <c r="AM172" s="35">
        <f t="shared" si="177"/>
        <v>7</v>
      </c>
      <c r="AN172" s="35">
        <f t="shared" si="177"/>
        <v>22</v>
      </c>
      <c r="AO172" s="35">
        <f t="shared" si="177"/>
        <v>23</v>
      </c>
      <c r="AP172" s="35">
        <f t="shared" si="177"/>
        <v>8</v>
      </c>
    </row>
    <row r="173" spans="1:42" ht="13">
      <c r="A173" s="36">
        <v>44092</v>
      </c>
      <c r="B173" s="35">
        <v>302</v>
      </c>
      <c r="C173" s="35">
        <v>318</v>
      </c>
      <c r="D173" s="35">
        <v>111</v>
      </c>
      <c r="E173" s="35">
        <v>465</v>
      </c>
      <c r="F173" s="35">
        <v>6822</v>
      </c>
      <c r="G173" s="35">
        <v>587</v>
      </c>
      <c r="H173" s="35">
        <v>818</v>
      </c>
      <c r="I173" s="35">
        <v>622</v>
      </c>
      <c r="J173" s="35">
        <v>614</v>
      </c>
      <c r="K173" s="35">
        <v>202</v>
      </c>
      <c r="L173" s="35">
        <v>248</v>
      </c>
      <c r="M173" s="35">
        <v>562</v>
      </c>
      <c r="N173" s="35">
        <v>172</v>
      </c>
      <c r="O173" s="35">
        <v>2225</v>
      </c>
      <c r="P173" s="35">
        <v>197</v>
      </c>
      <c r="Q173" s="35">
        <v>566</v>
      </c>
      <c r="R173" s="35">
        <v>181</v>
      </c>
      <c r="S173" s="35">
        <v>195</v>
      </c>
      <c r="T173" s="35">
        <v>474</v>
      </c>
      <c r="U173" s="35">
        <v>430</v>
      </c>
      <c r="V173" s="35">
        <v>16111</v>
      </c>
      <c r="W173" s="35">
        <f t="shared" ref="W173:AP173" si="178">B173-B172</f>
        <v>23</v>
      </c>
      <c r="X173" s="35">
        <f t="shared" si="178"/>
        <v>19</v>
      </c>
      <c r="Y173" s="35">
        <f t="shared" si="178"/>
        <v>8</v>
      </c>
      <c r="Z173" s="35">
        <f t="shared" si="178"/>
        <v>27</v>
      </c>
      <c r="AA173" s="35">
        <f t="shared" si="178"/>
        <v>322</v>
      </c>
      <c r="AB173" s="35">
        <f t="shared" si="178"/>
        <v>72</v>
      </c>
      <c r="AC173" s="35">
        <f t="shared" si="178"/>
        <v>16</v>
      </c>
      <c r="AD173" s="35">
        <f t="shared" si="178"/>
        <v>66</v>
      </c>
      <c r="AE173" s="35">
        <f t="shared" si="178"/>
        <v>68</v>
      </c>
      <c r="AF173" s="35">
        <f t="shared" si="178"/>
        <v>1</v>
      </c>
      <c r="AG173" s="35">
        <f t="shared" si="178"/>
        <v>16</v>
      </c>
      <c r="AH173" s="35">
        <f t="shared" si="178"/>
        <v>29</v>
      </c>
      <c r="AI173" s="35">
        <f t="shared" si="178"/>
        <v>4</v>
      </c>
      <c r="AJ173" s="35">
        <f t="shared" si="178"/>
        <v>87</v>
      </c>
      <c r="AK173" s="35">
        <f t="shared" si="178"/>
        <v>19</v>
      </c>
      <c r="AL173" s="35">
        <f t="shared" si="178"/>
        <v>65</v>
      </c>
      <c r="AM173" s="35">
        <f t="shared" si="178"/>
        <v>19</v>
      </c>
      <c r="AN173" s="35">
        <f t="shared" si="178"/>
        <v>22</v>
      </c>
      <c r="AO173" s="35">
        <f t="shared" si="178"/>
        <v>44</v>
      </c>
      <c r="AP173" s="35">
        <f t="shared" si="178"/>
        <v>14</v>
      </c>
    </row>
    <row r="174" spans="1:42" ht="13">
      <c r="A174" s="36">
        <v>44093</v>
      </c>
      <c r="B174" s="35">
        <v>321</v>
      </c>
      <c r="C174" s="35">
        <v>349</v>
      </c>
      <c r="D174" s="35">
        <v>118</v>
      </c>
      <c r="E174" s="35">
        <v>506</v>
      </c>
      <c r="F174" s="35">
        <v>7059</v>
      </c>
      <c r="G174" s="35">
        <v>637</v>
      </c>
      <c r="H174" s="35">
        <v>850</v>
      </c>
      <c r="I174" s="35">
        <v>664</v>
      </c>
      <c r="J174" s="35">
        <v>648</v>
      </c>
      <c r="K174" s="35">
        <v>213</v>
      </c>
      <c r="L174" s="35">
        <v>276</v>
      </c>
      <c r="M174" s="35">
        <v>586</v>
      </c>
      <c r="N174" s="35">
        <v>199</v>
      </c>
      <c r="O174" s="35">
        <v>2296</v>
      </c>
      <c r="P174" s="35">
        <v>227</v>
      </c>
      <c r="Q174" s="35">
        <v>608</v>
      </c>
      <c r="R174" s="35">
        <v>191</v>
      </c>
      <c r="S174" s="35">
        <v>228</v>
      </c>
      <c r="T174" s="35">
        <v>492</v>
      </c>
      <c r="U174" s="35">
        <v>452</v>
      </c>
      <c r="V174" s="35">
        <v>16920</v>
      </c>
      <c r="W174" s="35">
        <f t="shared" ref="W174:AP174" si="179">B174-B173</f>
        <v>19</v>
      </c>
      <c r="X174" s="35">
        <f t="shared" si="179"/>
        <v>31</v>
      </c>
      <c r="Y174" s="35">
        <f t="shared" si="179"/>
        <v>7</v>
      </c>
      <c r="Z174" s="35">
        <f t="shared" si="179"/>
        <v>41</v>
      </c>
      <c r="AA174" s="35">
        <f t="shared" si="179"/>
        <v>237</v>
      </c>
      <c r="AB174" s="35">
        <f t="shared" si="179"/>
        <v>50</v>
      </c>
      <c r="AC174" s="35">
        <f t="shared" si="179"/>
        <v>32</v>
      </c>
      <c r="AD174" s="35">
        <f t="shared" si="179"/>
        <v>42</v>
      </c>
      <c r="AE174" s="35">
        <f t="shared" si="179"/>
        <v>34</v>
      </c>
      <c r="AF174" s="35">
        <f t="shared" si="179"/>
        <v>11</v>
      </c>
      <c r="AG174" s="35">
        <f t="shared" si="179"/>
        <v>28</v>
      </c>
      <c r="AH174" s="35">
        <f t="shared" si="179"/>
        <v>24</v>
      </c>
      <c r="AI174" s="35">
        <f t="shared" si="179"/>
        <v>27</v>
      </c>
      <c r="AJ174" s="35">
        <f t="shared" si="179"/>
        <v>71</v>
      </c>
      <c r="AK174" s="35">
        <f t="shared" si="179"/>
        <v>30</v>
      </c>
      <c r="AL174" s="35">
        <f t="shared" si="179"/>
        <v>42</v>
      </c>
      <c r="AM174" s="35">
        <f t="shared" si="179"/>
        <v>10</v>
      </c>
      <c r="AN174" s="35">
        <f t="shared" si="179"/>
        <v>33</v>
      </c>
      <c r="AO174" s="35">
        <f t="shared" si="179"/>
        <v>18</v>
      </c>
      <c r="AP174" s="35">
        <f t="shared" si="179"/>
        <v>22</v>
      </c>
    </row>
    <row r="175" spans="1:42" ht="13">
      <c r="A175" s="36">
        <v>44094</v>
      </c>
      <c r="B175" s="35">
        <v>335</v>
      </c>
      <c r="C175" s="35">
        <v>370</v>
      </c>
      <c r="D175" s="35">
        <v>134</v>
      </c>
      <c r="E175" s="35">
        <v>557</v>
      </c>
      <c r="F175" s="35">
        <v>7442</v>
      </c>
      <c r="G175" s="35">
        <v>666</v>
      </c>
      <c r="H175" s="35">
        <v>899</v>
      </c>
      <c r="I175" s="35">
        <v>703</v>
      </c>
      <c r="J175" s="35">
        <v>694</v>
      </c>
      <c r="K175" s="35">
        <v>231</v>
      </c>
      <c r="L175" s="35">
        <v>299</v>
      </c>
      <c r="M175" s="35">
        <v>619</v>
      </c>
      <c r="N175" s="35">
        <v>207</v>
      </c>
      <c r="O175" s="35">
        <v>2455</v>
      </c>
      <c r="P175" s="35">
        <v>257</v>
      </c>
      <c r="Q175" s="35">
        <v>667</v>
      </c>
      <c r="R175" s="35">
        <v>199</v>
      </c>
      <c r="S175" s="35">
        <v>239</v>
      </c>
      <c r="T175" s="35">
        <v>520</v>
      </c>
      <c r="U175" s="35">
        <v>467</v>
      </c>
      <c r="V175" s="35">
        <v>17990</v>
      </c>
      <c r="W175" s="35">
        <f t="shared" ref="W175:AP175" si="180">B175-B174</f>
        <v>14</v>
      </c>
      <c r="X175" s="35">
        <f t="shared" si="180"/>
        <v>21</v>
      </c>
      <c r="Y175" s="35">
        <f t="shared" si="180"/>
        <v>16</v>
      </c>
      <c r="Z175" s="35">
        <f t="shared" si="180"/>
        <v>51</v>
      </c>
      <c r="AA175" s="35">
        <f t="shared" si="180"/>
        <v>383</v>
      </c>
      <c r="AB175" s="35">
        <f t="shared" si="180"/>
        <v>29</v>
      </c>
      <c r="AC175" s="35">
        <f t="shared" si="180"/>
        <v>49</v>
      </c>
      <c r="AD175" s="35">
        <f t="shared" si="180"/>
        <v>39</v>
      </c>
      <c r="AE175" s="35">
        <f t="shared" si="180"/>
        <v>46</v>
      </c>
      <c r="AF175" s="35">
        <f t="shared" si="180"/>
        <v>18</v>
      </c>
      <c r="AG175" s="35">
        <f t="shared" si="180"/>
        <v>23</v>
      </c>
      <c r="AH175" s="35">
        <f t="shared" si="180"/>
        <v>33</v>
      </c>
      <c r="AI175" s="35">
        <f t="shared" si="180"/>
        <v>8</v>
      </c>
      <c r="AJ175" s="35">
        <f t="shared" si="180"/>
        <v>159</v>
      </c>
      <c r="AK175" s="35">
        <f t="shared" si="180"/>
        <v>30</v>
      </c>
      <c r="AL175" s="35">
        <f t="shared" si="180"/>
        <v>59</v>
      </c>
      <c r="AM175" s="35">
        <f t="shared" si="180"/>
        <v>8</v>
      </c>
      <c r="AN175" s="35">
        <f t="shared" si="180"/>
        <v>11</v>
      </c>
      <c r="AO175" s="35">
        <f t="shared" si="180"/>
        <v>28</v>
      </c>
      <c r="AP175" s="35">
        <f t="shared" si="180"/>
        <v>15</v>
      </c>
    </row>
    <row r="176" spans="1:42" ht="13">
      <c r="A176" s="36">
        <v>44095</v>
      </c>
      <c r="B176" s="35">
        <v>350</v>
      </c>
      <c r="C176" s="35">
        <v>395</v>
      </c>
      <c r="D176" s="35">
        <v>141</v>
      </c>
      <c r="E176" s="35">
        <v>581</v>
      </c>
      <c r="F176" s="35">
        <v>7734</v>
      </c>
      <c r="G176" s="35">
        <v>712</v>
      </c>
      <c r="H176" s="35">
        <v>926</v>
      </c>
      <c r="I176" s="35">
        <v>783</v>
      </c>
      <c r="J176" s="35">
        <v>733</v>
      </c>
      <c r="K176" s="35">
        <v>241</v>
      </c>
      <c r="L176" s="35">
        <v>328</v>
      </c>
      <c r="M176" s="35">
        <v>647</v>
      </c>
      <c r="N176" s="35">
        <v>219</v>
      </c>
      <c r="O176" s="35">
        <v>2634</v>
      </c>
      <c r="P176" s="35">
        <v>262</v>
      </c>
      <c r="Q176" s="35">
        <v>709</v>
      </c>
      <c r="R176" s="35">
        <v>206</v>
      </c>
      <c r="S176" s="35">
        <v>250</v>
      </c>
      <c r="T176" s="35">
        <v>541</v>
      </c>
      <c r="U176" s="35">
        <v>474</v>
      </c>
      <c r="V176" s="35">
        <v>18866</v>
      </c>
      <c r="W176" s="35">
        <f t="shared" ref="W176:AP176" si="181">B176-B175</f>
        <v>15</v>
      </c>
      <c r="X176" s="35">
        <f t="shared" si="181"/>
        <v>25</v>
      </c>
      <c r="Y176" s="35">
        <f t="shared" si="181"/>
        <v>7</v>
      </c>
      <c r="Z176" s="35">
        <f t="shared" si="181"/>
        <v>24</v>
      </c>
      <c r="AA176" s="35">
        <f t="shared" si="181"/>
        <v>292</v>
      </c>
      <c r="AB176" s="35">
        <f t="shared" si="181"/>
        <v>46</v>
      </c>
      <c r="AC176" s="35">
        <f t="shared" si="181"/>
        <v>27</v>
      </c>
      <c r="AD176" s="35">
        <f t="shared" si="181"/>
        <v>80</v>
      </c>
      <c r="AE176" s="35">
        <f t="shared" si="181"/>
        <v>39</v>
      </c>
      <c r="AF176" s="35">
        <f t="shared" si="181"/>
        <v>10</v>
      </c>
      <c r="AG176" s="35">
        <f t="shared" si="181"/>
        <v>29</v>
      </c>
      <c r="AH176" s="35">
        <f t="shared" si="181"/>
        <v>28</v>
      </c>
      <c r="AI176" s="35">
        <f t="shared" si="181"/>
        <v>12</v>
      </c>
      <c r="AJ176" s="35">
        <f t="shared" si="181"/>
        <v>179</v>
      </c>
      <c r="AK176" s="35">
        <f t="shared" si="181"/>
        <v>5</v>
      </c>
      <c r="AL176" s="35">
        <f t="shared" si="181"/>
        <v>42</v>
      </c>
      <c r="AM176" s="35">
        <f t="shared" si="181"/>
        <v>7</v>
      </c>
      <c r="AN176" s="35">
        <f t="shared" si="181"/>
        <v>11</v>
      </c>
      <c r="AO176" s="35">
        <f t="shared" si="181"/>
        <v>21</v>
      </c>
      <c r="AP176" s="35">
        <f t="shared" si="181"/>
        <v>7</v>
      </c>
    </row>
    <row r="177" spans="1:42" ht="13">
      <c r="A177" s="36">
        <v>44096</v>
      </c>
      <c r="B177" s="35">
        <v>372</v>
      </c>
      <c r="C177" s="35">
        <v>409</v>
      </c>
      <c r="D177" s="35">
        <v>153</v>
      </c>
      <c r="E177" s="35">
        <v>622</v>
      </c>
      <c r="F177" s="35">
        <v>7883</v>
      </c>
      <c r="G177" s="35">
        <v>786</v>
      </c>
      <c r="H177" s="35">
        <v>945</v>
      </c>
      <c r="I177" s="35">
        <v>811</v>
      </c>
      <c r="J177" s="35">
        <v>803</v>
      </c>
      <c r="K177" s="35">
        <v>256</v>
      </c>
      <c r="L177" s="35">
        <v>343</v>
      </c>
      <c r="M177" s="35">
        <v>679</v>
      </c>
      <c r="N177" s="35">
        <v>227</v>
      </c>
      <c r="O177" s="35">
        <v>2679</v>
      </c>
      <c r="P177" s="35">
        <v>268</v>
      </c>
      <c r="Q177" s="35">
        <v>779</v>
      </c>
      <c r="R177" s="35">
        <v>203</v>
      </c>
      <c r="S177" s="35">
        <v>257</v>
      </c>
      <c r="T177" s="35">
        <v>550</v>
      </c>
      <c r="U177" s="35">
        <v>474</v>
      </c>
      <c r="V177" s="35">
        <v>19449</v>
      </c>
      <c r="W177" s="35">
        <f t="shared" ref="W177:AP177" si="182">B177-B176</f>
        <v>22</v>
      </c>
      <c r="X177" s="35">
        <f t="shared" si="182"/>
        <v>14</v>
      </c>
      <c r="Y177" s="35">
        <f t="shared" si="182"/>
        <v>12</v>
      </c>
      <c r="Z177" s="35">
        <f t="shared" si="182"/>
        <v>41</v>
      </c>
      <c r="AA177" s="35">
        <f t="shared" si="182"/>
        <v>149</v>
      </c>
      <c r="AB177" s="35">
        <f t="shared" si="182"/>
        <v>74</v>
      </c>
      <c r="AC177" s="35">
        <f t="shared" si="182"/>
        <v>19</v>
      </c>
      <c r="AD177" s="35">
        <f t="shared" si="182"/>
        <v>28</v>
      </c>
      <c r="AE177" s="35">
        <f t="shared" si="182"/>
        <v>70</v>
      </c>
      <c r="AF177" s="35">
        <f t="shared" si="182"/>
        <v>15</v>
      </c>
      <c r="AG177" s="35">
        <f t="shared" si="182"/>
        <v>15</v>
      </c>
      <c r="AH177" s="35">
        <f t="shared" si="182"/>
        <v>32</v>
      </c>
      <c r="AI177" s="35">
        <f t="shared" si="182"/>
        <v>8</v>
      </c>
      <c r="AJ177" s="35">
        <f t="shared" si="182"/>
        <v>45</v>
      </c>
      <c r="AK177" s="35">
        <f t="shared" si="182"/>
        <v>6</v>
      </c>
      <c r="AL177" s="35">
        <f t="shared" si="182"/>
        <v>70</v>
      </c>
      <c r="AM177" s="35">
        <f t="shared" si="182"/>
        <v>-3</v>
      </c>
      <c r="AN177" s="35">
        <f t="shared" si="182"/>
        <v>7</v>
      </c>
      <c r="AO177" s="35">
        <f t="shared" si="182"/>
        <v>9</v>
      </c>
      <c r="AP177" s="35">
        <f t="shared" si="182"/>
        <v>0</v>
      </c>
    </row>
    <row r="178" spans="1:42" ht="13">
      <c r="A178" s="36">
        <v>44097</v>
      </c>
      <c r="B178" s="35">
        <v>407</v>
      </c>
      <c r="C178" s="35">
        <v>424</v>
      </c>
      <c r="D178" s="35">
        <v>186</v>
      </c>
      <c r="E178" s="35">
        <v>669</v>
      </c>
      <c r="F178" s="35">
        <v>8114</v>
      </c>
      <c r="G178" s="35">
        <v>870</v>
      </c>
      <c r="H178" s="35">
        <v>1009</v>
      </c>
      <c r="I178" s="35">
        <v>886</v>
      </c>
      <c r="J178" s="35">
        <v>813</v>
      </c>
      <c r="K178" s="35">
        <v>269</v>
      </c>
      <c r="L178" s="35">
        <v>375</v>
      </c>
      <c r="M178" s="35">
        <v>697</v>
      </c>
      <c r="N178" s="35">
        <v>242</v>
      </c>
      <c r="O178" s="35">
        <v>2771</v>
      </c>
      <c r="P178" s="35">
        <v>277</v>
      </c>
      <c r="Q178" s="35">
        <v>820</v>
      </c>
      <c r="R178" s="35">
        <v>221</v>
      </c>
      <c r="S178" s="35">
        <v>344</v>
      </c>
      <c r="T178" s="35">
        <v>570</v>
      </c>
      <c r="U178" s="35">
        <v>486</v>
      </c>
      <c r="V178" s="35">
        <v>20450</v>
      </c>
      <c r="W178" s="35">
        <f t="shared" ref="W178:AP178" si="183">B178-B177</f>
        <v>35</v>
      </c>
      <c r="X178" s="35">
        <f t="shared" si="183"/>
        <v>15</v>
      </c>
      <c r="Y178" s="35">
        <f t="shared" si="183"/>
        <v>33</v>
      </c>
      <c r="Z178" s="35">
        <f t="shared" si="183"/>
        <v>47</v>
      </c>
      <c r="AA178" s="35">
        <f t="shared" si="183"/>
        <v>231</v>
      </c>
      <c r="AB178" s="35">
        <f t="shared" si="183"/>
        <v>84</v>
      </c>
      <c r="AC178" s="35">
        <f t="shared" si="183"/>
        <v>64</v>
      </c>
      <c r="AD178" s="35">
        <f t="shared" si="183"/>
        <v>75</v>
      </c>
      <c r="AE178" s="35">
        <f t="shared" si="183"/>
        <v>10</v>
      </c>
      <c r="AF178" s="35">
        <f t="shared" si="183"/>
        <v>13</v>
      </c>
      <c r="AG178" s="35">
        <f t="shared" si="183"/>
        <v>32</v>
      </c>
      <c r="AH178" s="35">
        <f t="shared" si="183"/>
        <v>18</v>
      </c>
      <c r="AI178" s="35">
        <f t="shared" si="183"/>
        <v>15</v>
      </c>
      <c r="AJ178" s="35">
        <f t="shared" si="183"/>
        <v>92</v>
      </c>
      <c r="AK178" s="35">
        <f t="shared" si="183"/>
        <v>9</v>
      </c>
      <c r="AL178" s="35">
        <f t="shared" si="183"/>
        <v>41</v>
      </c>
      <c r="AM178" s="35">
        <f t="shared" si="183"/>
        <v>18</v>
      </c>
      <c r="AN178" s="35">
        <f t="shared" si="183"/>
        <v>87</v>
      </c>
      <c r="AO178" s="35">
        <f t="shared" si="183"/>
        <v>20</v>
      </c>
      <c r="AP178" s="35">
        <f t="shared" si="183"/>
        <v>12</v>
      </c>
    </row>
    <row r="179" spans="1:42" ht="13">
      <c r="A179" s="36">
        <v>44098</v>
      </c>
      <c r="B179" s="35">
        <v>428</v>
      </c>
      <c r="C179" s="35">
        <v>450</v>
      </c>
      <c r="D179" s="35">
        <v>226</v>
      </c>
      <c r="E179" s="35">
        <v>686</v>
      </c>
      <c r="F179" s="35">
        <v>8337</v>
      </c>
      <c r="G179" s="35">
        <v>944</v>
      </c>
      <c r="H179" s="35">
        <v>1026</v>
      </c>
      <c r="I179" s="35">
        <v>937</v>
      </c>
      <c r="J179" s="35">
        <v>834</v>
      </c>
      <c r="K179" s="35">
        <v>282</v>
      </c>
      <c r="L179" s="35">
        <v>403</v>
      </c>
      <c r="M179" s="35">
        <v>717</v>
      </c>
      <c r="N179" s="35">
        <v>250</v>
      </c>
      <c r="O179" s="35">
        <v>2883</v>
      </c>
      <c r="P179" s="35">
        <v>310</v>
      </c>
      <c r="Q179" s="35">
        <v>840</v>
      </c>
      <c r="R179" s="35">
        <v>225</v>
      </c>
      <c r="S179" s="35">
        <v>351</v>
      </c>
      <c r="T179" s="35">
        <v>576</v>
      </c>
      <c r="U179" s="35">
        <v>495</v>
      </c>
      <c r="V179" s="35">
        <v>21200</v>
      </c>
      <c r="W179" s="35">
        <f t="shared" ref="W179:AP179" si="184">B179-B178</f>
        <v>21</v>
      </c>
      <c r="X179" s="35">
        <f t="shared" si="184"/>
        <v>26</v>
      </c>
      <c r="Y179" s="35">
        <f t="shared" si="184"/>
        <v>40</v>
      </c>
      <c r="Z179" s="35">
        <f t="shared" si="184"/>
        <v>17</v>
      </c>
      <c r="AA179" s="35">
        <f t="shared" si="184"/>
        <v>223</v>
      </c>
      <c r="AB179" s="35">
        <f t="shared" si="184"/>
        <v>74</v>
      </c>
      <c r="AC179" s="35">
        <f t="shared" si="184"/>
        <v>17</v>
      </c>
      <c r="AD179" s="35">
        <f t="shared" si="184"/>
        <v>51</v>
      </c>
      <c r="AE179" s="35">
        <f t="shared" si="184"/>
        <v>21</v>
      </c>
      <c r="AF179" s="35">
        <f t="shared" si="184"/>
        <v>13</v>
      </c>
      <c r="AG179" s="35">
        <f t="shared" si="184"/>
        <v>28</v>
      </c>
      <c r="AH179" s="35">
        <f t="shared" si="184"/>
        <v>20</v>
      </c>
      <c r="AI179" s="35">
        <f t="shared" si="184"/>
        <v>8</v>
      </c>
      <c r="AJ179" s="35">
        <f t="shared" si="184"/>
        <v>112</v>
      </c>
      <c r="AK179" s="35">
        <f t="shared" si="184"/>
        <v>33</v>
      </c>
      <c r="AL179" s="35">
        <f t="shared" si="184"/>
        <v>20</v>
      </c>
      <c r="AM179" s="35">
        <f t="shared" si="184"/>
        <v>4</v>
      </c>
      <c r="AN179" s="35">
        <f t="shared" si="184"/>
        <v>7</v>
      </c>
      <c r="AO179" s="35">
        <f t="shared" si="184"/>
        <v>6</v>
      </c>
      <c r="AP179" s="35">
        <f t="shared" si="184"/>
        <v>9</v>
      </c>
    </row>
    <row r="180" spans="1:42" ht="13">
      <c r="A180" s="36">
        <v>44099</v>
      </c>
      <c r="B180" s="35">
        <v>459</v>
      </c>
      <c r="C180" s="35">
        <v>476</v>
      </c>
      <c r="D180" s="35">
        <v>244</v>
      </c>
      <c r="E180" s="35">
        <v>740</v>
      </c>
      <c r="F180" s="35">
        <v>8618</v>
      </c>
      <c r="G180" s="35">
        <v>1002</v>
      </c>
      <c r="H180" s="35">
        <v>1046</v>
      </c>
      <c r="I180" s="35">
        <v>1048</v>
      </c>
      <c r="J180" s="35">
        <v>861</v>
      </c>
      <c r="K180" s="35">
        <v>300</v>
      </c>
      <c r="L180" s="35">
        <v>430</v>
      </c>
      <c r="M180" s="35">
        <v>728</v>
      </c>
      <c r="N180" s="35">
        <v>287</v>
      </c>
      <c r="O180" s="35">
        <v>2973</v>
      </c>
      <c r="P180" s="35">
        <v>342</v>
      </c>
      <c r="Q180" s="35">
        <v>854</v>
      </c>
      <c r="R180" s="35">
        <v>231</v>
      </c>
      <c r="S180" s="35">
        <v>376</v>
      </c>
      <c r="T180" s="35">
        <v>603</v>
      </c>
      <c r="U180" s="35">
        <v>509</v>
      </c>
      <c r="V180" s="35">
        <v>22127</v>
      </c>
      <c r="W180" s="35">
        <f t="shared" ref="W180:AP180" si="185">B180-B179</f>
        <v>31</v>
      </c>
      <c r="X180" s="35">
        <f t="shared" si="185"/>
        <v>26</v>
      </c>
      <c r="Y180" s="35">
        <f t="shared" si="185"/>
        <v>18</v>
      </c>
      <c r="Z180" s="35">
        <f t="shared" si="185"/>
        <v>54</v>
      </c>
      <c r="AA180" s="35">
        <f t="shared" si="185"/>
        <v>281</v>
      </c>
      <c r="AB180" s="35">
        <f t="shared" si="185"/>
        <v>58</v>
      </c>
      <c r="AC180" s="35">
        <f t="shared" si="185"/>
        <v>20</v>
      </c>
      <c r="AD180" s="35">
        <f t="shared" si="185"/>
        <v>111</v>
      </c>
      <c r="AE180" s="35">
        <f t="shared" si="185"/>
        <v>27</v>
      </c>
      <c r="AF180" s="35">
        <f t="shared" si="185"/>
        <v>18</v>
      </c>
      <c r="AG180" s="35">
        <f t="shared" si="185"/>
        <v>27</v>
      </c>
      <c r="AH180" s="35">
        <f t="shared" si="185"/>
        <v>11</v>
      </c>
      <c r="AI180" s="35">
        <f t="shared" si="185"/>
        <v>37</v>
      </c>
      <c r="AJ180" s="35">
        <f t="shared" si="185"/>
        <v>90</v>
      </c>
      <c r="AK180" s="35">
        <f t="shared" si="185"/>
        <v>32</v>
      </c>
      <c r="AL180" s="35">
        <f t="shared" si="185"/>
        <v>14</v>
      </c>
      <c r="AM180" s="35">
        <f t="shared" si="185"/>
        <v>6</v>
      </c>
      <c r="AN180" s="35">
        <f t="shared" si="185"/>
        <v>25</v>
      </c>
      <c r="AO180" s="35">
        <f t="shared" si="185"/>
        <v>27</v>
      </c>
      <c r="AP180" s="35">
        <f t="shared" si="185"/>
        <v>14</v>
      </c>
    </row>
    <row r="181" spans="1:42" ht="13">
      <c r="A181" s="36">
        <v>44100</v>
      </c>
      <c r="B181" s="35">
        <v>474</v>
      </c>
      <c r="C181" s="35">
        <v>503</v>
      </c>
      <c r="D181" s="35">
        <v>259</v>
      </c>
      <c r="E181" s="35">
        <v>803</v>
      </c>
      <c r="F181" s="35">
        <v>8852</v>
      </c>
      <c r="G181" s="35">
        <v>1042</v>
      </c>
      <c r="H181" s="35">
        <v>1079</v>
      </c>
      <c r="I181" s="35">
        <v>1138</v>
      </c>
      <c r="J181" s="35">
        <v>913</v>
      </c>
      <c r="K181" s="35">
        <v>337</v>
      </c>
      <c r="L181" s="35">
        <v>495</v>
      </c>
      <c r="M181" s="35">
        <v>745</v>
      </c>
      <c r="N181" s="35">
        <v>311</v>
      </c>
      <c r="O181" s="35">
        <v>3050</v>
      </c>
      <c r="P181" s="35">
        <v>358</v>
      </c>
      <c r="Q181" s="35">
        <v>923</v>
      </c>
      <c r="R181" s="35">
        <v>235</v>
      </c>
      <c r="S181" s="35">
        <v>400</v>
      </c>
      <c r="T181" s="35">
        <v>632</v>
      </c>
      <c r="U181" s="35">
        <v>528</v>
      </c>
      <c r="V181" s="35">
        <v>23077</v>
      </c>
      <c r="W181" s="35">
        <f t="shared" ref="W181:AP181" si="186">B181-B180</f>
        <v>15</v>
      </c>
      <c r="X181" s="35">
        <f t="shared" si="186"/>
        <v>27</v>
      </c>
      <c r="Y181" s="35">
        <f t="shared" si="186"/>
        <v>15</v>
      </c>
      <c r="Z181" s="35">
        <f t="shared" si="186"/>
        <v>63</v>
      </c>
      <c r="AA181" s="35">
        <f t="shared" si="186"/>
        <v>234</v>
      </c>
      <c r="AB181" s="35">
        <f t="shared" si="186"/>
        <v>40</v>
      </c>
      <c r="AC181" s="35">
        <f t="shared" si="186"/>
        <v>33</v>
      </c>
      <c r="AD181" s="35">
        <f t="shared" si="186"/>
        <v>90</v>
      </c>
      <c r="AE181" s="35">
        <f t="shared" si="186"/>
        <v>52</v>
      </c>
      <c r="AF181" s="35">
        <f t="shared" si="186"/>
        <v>37</v>
      </c>
      <c r="AG181" s="35">
        <f t="shared" si="186"/>
        <v>65</v>
      </c>
      <c r="AH181" s="35">
        <f t="shared" si="186"/>
        <v>17</v>
      </c>
      <c r="AI181" s="35">
        <f t="shared" si="186"/>
        <v>24</v>
      </c>
      <c r="AJ181" s="35">
        <f t="shared" si="186"/>
        <v>77</v>
      </c>
      <c r="AK181" s="35">
        <f t="shared" si="186"/>
        <v>16</v>
      </c>
      <c r="AL181" s="35">
        <f t="shared" si="186"/>
        <v>69</v>
      </c>
      <c r="AM181" s="35">
        <f t="shared" si="186"/>
        <v>4</v>
      </c>
      <c r="AN181" s="35">
        <f t="shared" si="186"/>
        <v>24</v>
      </c>
      <c r="AO181" s="35">
        <f t="shared" si="186"/>
        <v>29</v>
      </c>
      <c r="AP181" s="35">
        <f t="shared" si="186"/>
        <v>19</v>
      </c>
    </row>
    <row r="182" spans="1:42" ht="13">
      <c r="A182" s="36">
        <v>44101</v>
      </c>
      <c r="B182" s="35">
        <v>493</v>
      </c>
      <c r="C182" s="35">
        <v>568</v>
      </c>
      <c r="D182" s="35">
        <v>270</v>
      </c>
      <c r="E182" s="35">
        <v>840</v>
      </c>
      <c r="F182" s="35">
        <v>9155</v>
      </c>
      <c r="G182" s="35">
        <v>1068</v>
      </c>
      <c r="H182" s="35">
        <v>1115</v>
      </c>
      <c r="I182" s="35">
        <v>1182</v>
      </c>
      <c r="J182" s="35">
        <v>955</v>
      </c>
      <c r="K182" s="35">
        <v>358</v>
      </c>
      <c r="L182" s="35">
        <v>514</v>
      </c>
      <c r="M182" s="35">
        <v>767</v>
      </c>
      <c r="N182" s="35">
        <v>323</v>
      </c>
      <c r="O182" s="35">
        <v>3165</v>
      </c>
      <c r="P182" s="35">
        <v>382</v>
      </c>
      <c r="Q182" s="35">
        <v>970</v>
      </c>
      <c r="R182" s="35">
        <v>250</v>
      </c>
      <c r="S182" s="35">
        <v>440</v>
      </c>
      <c r="T182" s="35">
        <v>654</v>
      </c>
      <c r="U182" s="35">
        <v>545</v>
      </c>
      <c r="V182" s="35">
        <v>24014</v>
      </c>
      <c r="W182" s="35">
        <f t="shared" ref="W182:AP182" si="187">B182-B181</f>
        <v>19</v>
      </c>
      <c r="X182" s="35">
        <f t="shared" si="187"/>
        <v>65</v>
      </c>
      <c r="Y182" s="35">
        <f t="shared" si="187"/>
        <v>11</v>
      </c>
      <c r="Z182" s="35">
        <f t="shared" si="187"/>
        <v>37</v>
      </c>
      <c r="AA182" s="35">
        <f t="shared" si="187"/>
        <v>303</v>
      </c>
      <c r="AB182" s="35">
        <f t="shared" si="187"/>
        <v>26</v>
      </c>
      <c r="AC182" s="35">
        <f t="shared" si="187"/>
        <v>36</v>
      </c>
      <c r="AD182" s="35">
        <f t="shared" si="187"/>
        <v>44</v>
      </c>
      <c r="AE182" s="35">
        <f t="shared" si="187"/>
        <v>42</v>
      </c>
      <c r="AF182" s="35">
        <f t="shared" si="187"/>
        <v>21</v>
      </c>
      <c r="AG182" s="35">
        <f t="shared" si="187"/>
        <v>19</v>
      </c>
      <c r="AH182" s="35">
        <f t="shared" si="187"/>
        <v>22</v>
      </c>
      <c r="AI182" s="35">
        <f t="shared" si="187"/>
        <v>12</v>
      </c>
      <c r="AJ182" s="35">
        <f t="shared" si="187"/>
        <v>115</v>
      </c>
      <c r="AK182" s="35">
        <f t="shared" si="187"/>
        <v>24</v>
      </c>
      <c r="AL182" s="35">
        <f t="shared" si="187"/>
        <v>47</v>
      </c>
      <c r="AM182" s="35">
        <f t="shared" si="187"/>
        <v>15</v>
      </c>
      <c r="AN182" s="35">
        <f t="shared" si="187"/>
        <v>40</v>
      </c>
      <c r="AO182" s="35">
        <f t="shared" si="187"/>
        <v>22</v>
      </c>
      <c r="AP182" s="35">
        <f t="shared" si="187"/>
        <v>17</v>
      </c>
    </row>
    <row r="183" spans="1:42" ht="13">
      <c r="A183" s="36">
        <v>44102</v>
      </c>
      <c r="B183" s="35">
        <v>513</v>
      </c>
      <c r="C183" s="35">
        <v>611</v>
      </c>
      <c r="D183" s="35">
        <v>283</v>
      </c>
      <c r="E183" s="35">
        <v>846</v>
      </c>
      <c r="F183" s="35">
        <v>9362</v>
      </c>
      <c r="G183" s="35">
        <v>1097</v>
      </c>
      <c r="H183" s="35">
        <v>1177</v>
      </c>
      <c r="I183" s="35">
        <v>1233</v>
      </c>
      <c r="J183" s="35">
        <v>958</v>
      </c>
      <c r="K183" s="35">
        <v>368</v>
      </c>
      <c r="L183" s="35">
        <v>546</v>
      </c>
      <c r="M183" s="35">
        <v>799</v>
      </c>
      <c r="N183" s="35">
        <v>337</v>
      </c>
      <c r="O183" s="35">
        <v>3238</v>
      </c>
      <c r="P183" s="35">
        <v>420</v>
      </c>
      <c r="Q183" s="35">
        <v>970</v>
      </c>
      <c r="R183" s="35">
        <v>261</v>
      </c>
      <c r="S183" s="35">
        <v>459</v>
      </c>
      <c r="T183" s="35">
        <v>670</v>
      </c>
      <c r="U183" s="35">
        <v>568</v>
      </c>
      <c r="V183" s="35">
        <v>24716</v>
      </c>
      <c r="W183" s="35">
        <f t="shared" ref="W183:AP183" si="188">B183-B182</f>
        <v>20</v>
      </c>
      <c r="X183" s="35">
        <f t="shared" si="188"/>
        <v>43</v>
      </c>
      <c r="Y183" s="35">
        <f t="shared" si="188"/>
        <v>13</v>
      </c>
      <c r="Z183" s="35">
        <f t="shared" si="188"/>
        <v>6</v>
      </c>
      <c r="AA183" s="35">
        <f t="shared" si="188"/>
        <v>207</v>
      </c>
      <c r="AB183" s="35">
        <f t="shared" si="188"/>
        <v>29</v>
      </c>
      <c r="AC183" s="35">
        <f t="shared" si="188"/>
        <v>62</v>
      </c>
      <c r="AD183" s="35">
        <f t="shared" si="188"/>
        <v>51</v>
      </c>
      <c r="AE183" s="35">
        <f t="shared" si="188"/>
        <v>3</v>
      </c>
      <c r="AF183" s="35">
        <f t="shared" si="188"/>
        <v>10</v>
      </c>
      <c r="AG183" s="35">
        <f t="shared" si="188"/>
        <v>32</v>
      </c>
      <c r="AH183" s="35">
        <f t="shared" si="188"/>
        <v>32</v>
      </c>
      <c r="AI183" s="35">
        <f t="shared" si="188"/>
        <v>14</v>
      </c>
      <c r="AJ183" s="35">
        <f t="shared" si="188"/>
        <v>73</v>
      </c>
      <c r="AK183" s="35">
        <f t="shared" si="188"/>
        <v>38</v>
      </c>
      <c r="AL183" s="35">
        <f t="shared" si="188"/>
        <v>0</v>
      </c>
      <c r="AM183" s="35">
        <f t="shared" si="188"/>
        <v>11</v>
      </c>
      <c r="AN183" s="35">
        <f t="shared" si="188"/>
        <v>19</v>
      </c>
      <c r="AO183" s="35">
        <f t="shared" si="188"/>
        <v>16</v>
      </c>
      <c r="AP183" s="35">
        <f t="shared" si="188"/>
        <v>23</v>
      </c>
    </row>
    <row r="184" spans="1:42" ht="13">
      <c r="A184" s="36">
        <v>44103</v>
      </c>
      <c r="B184" s="35">
        <v>548</v>
      </c>
      <c r="C184" s="35">
        <v>616</v>
      </c>
      <c r="D184" s="35">
        <v>293</v>
      </c>
      <c r="E184" s="35">
        <v>896</v>
      </c>
      <c r="F184" s="35">
        <v>9649</v>
      </c>
      <c r="G184" s="35">
        <v>1129</v>
      </c>
      <c r="H184" s="35">
        <v>1200</v>
      </c>
      <c r="I184" s="35">
        <v>1275</v>
      </c>
      <c r="J184" s="35">
        <v>981</v>
      </c>
      <c r="K184" s="35">
        <v>385</v>
      </c>
      <c r="L184" s="35">
        <v>598</v>
      </c>
      <c r="M184" s="35">
        <v>802</v>
      </c>
      <c r="N184" s="35">
        <v>362</v>
      </c>
      <c r="O184" s="35">
        <v>3362</v>
      </c>
      <c r="P184" s="35">
        <v>424</v>
      </c>
      <c r="Q184" s="35">
        <v>1006</v>
      </c>
      <c r="R184" s="35">
        <v>263</v>
      </c>
      <c r="S184" s="35">
        <v>506</v>
      </c>
      <c r="T184" s="35">
        <v>688</v>
      </c>
      <c r="U184" s="35">
        <v>584</v>
      </c>
      <c r="V184" s="35">
        <v>25567</v>
      </c>
      <c r="W184" s="35">
        <f t="shared" ref="W184:AP184" si="189">B184-B183</f>
        <v>35</v>
      </c>
      <c r="X184" s="35">
        <f t="shared" si="189"/>
        <v>5</v>
      </c>
      <c r="Y184" s="35">
        <f t="shared" si="189"/>
        <v>10</v>
      </c>
      <c r="Z184" s="35">
        <f t="shared" si="189"/>
        <v>50</v>
      </c>
      <c r="AA184" s="35">
        <f t="shared" si="189"/>
        <v>287</v>
      </c>
      <c r="AB184" s="35">
        <f t="shared" si="189"/>
        <v>32</v>
      </c>
      <c r="AC184" s="35">
        <f t="shared" si="189"/>
        <v>23</v>
      </c>
      <c r="AD184" s="35">
        <f t="shared" si="189"/>
        <v>42</v>
      </c>
      <c r="AE184" s="35">
        <f t="shared" si="189"/>
        <v>23</v>
      </c>
      <c r="AF184" s="35">
        <f t="shared" si="189"/>
        <v>17</v>
      </c>
      <c r="AG184" s="35">
        <f t="shared" si="189"/>
        <v>52</v>
      </c>
      <c r="AH184" s="35">
        <f t="shared" si="189"/>
        <v>3</v>
      </c>
      <c r="AI184" s="35">
        <f t="shared" si="189"/>
        <v>25</v>
      </c>
      <c r="AJ184" s="35">
        <f t="shared" si="189"/>
        <v>124</v>
      </c>
      <c r="AK184" s="35">
        <f t="shared" si="189"/>
        <v>4</v>
      </c>
      <c r="AL184" s="35">
        <f t="shared" si="189"/>
        <v>36</v>
      </c>
      <c r="AM184" s="35">
        <f t="shared" si="189"/>
        <v>2</v>
      </c>
      <c r="AN184" s="35">
        <f t="shared" si="189"/>
        <v>47</v>
      </c>
      <c r="AO184" s="35">
        <f t="shared" si="189"/>
        <v>18</v>
      </c>
      <c r="AP184" s="35">
        <f t="shared" si="189"/>
        <v>16</v>
      </c>
    </row>
    <row r="185" spans="1:42" ht="13">
      <c r="A185" s="36">
        <v>44104</v>
      </c>
      <c r="B185" s="35">
        <v>563</v>
      </c>
      <c r="C185" s="35">
        <v>657</v>
      </c>
      <c r="D185" s="35">
        <v>299</v>
      </c>
      <c r="E185" s="35">
        <v>955</v>
      </c>
      <c r="F185" s="35">
        <v>9961</v>
      </c>
      <c r="G185" s="35">
        <v>1157</v>
      </c>
      <c r="H185" s="35">
        <v>1212</v>
      </c>
      <c r="I185" s="35">
        <v>1329</v>
      </c>
      <c r="J185" s="35">
        <v>1052</v>
      </c>
      <c r="K185" s="35">
        <v>391</v>
      </c>
      <c r="L185" s="35">
        <v>621</v>
      </c>
      <c r="M185" s="35">
        <v>831</v>
      </c>
      <c r="N185" s="35">
        <v>379</v>
      </c>
      <c r="O185" s="35">
        <v>3489</v>
      </c>
      <c r="P185" s="35">
        <v>433</v>
      </c>
      <c r="Q185" s="35">
        <v>1055</v>
      </c>
      <c r="R185" s="35">
        <v>265</v>
      </c>
      <c r="S185" s="35">
        <v>522</v>
      </c>
      <c r="T185" s="35">
        <v>696</v>
      </c>
      <c r="U185" s="35">
        <v>594</v>
      </c>
      <c r="V185" s="35">
        <v>26461</v>
      </c>
      <c r="W185" s="35">
        <f t="shared" ref="W185:AP185" si="190">B185-B184</f>
        <v>15</v>
      </c>
      <c r="X185" s="35">
        <f t="shared" si="190"/>
        <v>41</v>
      </c>
      <c r="Y185" s="35">
        <f t="shared" si="190"/>
        <v>6</v>
      </c>
      <c r="Z185" s="35">
        <f t="shared" si="190"/>
        <v>59</v>
      </c>
      <c r="AA185" s="35">
        <f t="shared" si="190"/>
        <v>312</v>
      </c>
      <c r="AB185" s="35">
        <f t="shared" si="190"/>
        <v>28</v>
      </c>
      <c r="AC185" s="35">
        <f t="shared" si="190"/>
        <v>12</v>
      </c>
      <c r="AD185" s="35">
        <f t="shared" si="190"/>
        <v>54</v>
      </c>
      <c r="AE185" s="35">
        <f t="shared" si="190"/>
        <v>71</v>
      </c>
      <c r="AF185" s="35">
        <f t="shared" si="190"/>
        <v>6</v>
      </c>
      <c r="AG185" s="35">
        <f t="shared" si="190"/>
        <v>23</v>
      </c>
      <c r="AH185" s="35">
        <f t="shared" si="190"/>
        <v>29</v>
      </c>
      <c r="AI185" s="35">
        <f t="shared" si="190"/>
        <v>17</v>
      </c>
      <c r="AJ185" s="35">
        <f t="shared" si="190"/>
        <v>127</v>
      </c>
      <c r="AK185" s="35">
        <f t="shared" si="190"/>
        <v>9</v>
      </c>
      <c r="AL185" s="35">
        <f t="shared" si="190"/>
        <v>49</v>
      </c>
      <c r="AM185" s="35">
        <f t="shared" si="190"/>
        <v>2</v>
      </c>
      <c r="AN185" s="35">
        <f t="shared" si="190"/>
        <v>16</v>
      </c>
      <c r="AO185" s="35">
        <f t="shared" si="190"/>
        <v>8</v>
      </c>
      <c r="AP185" s="35">
        <f t="shared" si="190"/>
        <v>10</v>
      </c>
    </row>
    <row r="186" spans="1:42" ht="13">
      <c r="A186" s="36">
        <v>44105</v>
      </c>
      <c r="B186" s="35">
        <v>583</v>
      </c>
      <c r="C186" s="35">
        <v>688</v>
      </c>
      <c r="D186" s="35">
        <v>308</v>
      </c>
      <c r="E186" s="35">
        <v>962</v>
      </c>
      <c r="F186" s="35">
        <v>10293</v>
      </c>
      <c r="G186" s="35">
        <v>1178</v>
      </c>
      <c r="H186" s="35">
        <v>1231</v>
      </c>
      <c r="I186" s="35">
        <v>1367</v>
      </c>
      <c r="J186" s="35">
        <v>1060</v>
      </c>
      <c r="K186" s="35">
        <v>417</v>
      </c>
      <c r="L186" s="35">
        <v>655</v>
      </c>
      <c r="M186" s="35">
        <v>843</v>
      </c>
      <c r="N186" s="35">
        <v>388</v>
      </c>
      <c r="O186" s="35">
        <v>3737</v>
      </c>
      <c r="P186" s="35">
        <v>440</v>
      </c>
      <c r="Q186" s="35">
        <v>1056</v>
      </c>
      <c r="R186" s="35">
        <v>272</v>
      </c>
      <c r="S186" s="35">
        <v>525</v>
      </c>
      <c r="T186" s="35">
        <v>702</v>
      </c>
      <c r="U186" s="35">
        <v>604</v>
      </c>
      <c r="V186" s="35">
        <v>27309</v>
      </c>
      <c r="W186" s="35">
        <f t="shared" ref="W186:AP186" si="191">B186-B185</f>
        <v>20</v>
      </c>
      <c r="X186" s="35">
        <f t="shared" si="191"/>
        <v>31</v>
      </c>
      <c r="Y186" s="35">
        <f t="shared" si="191"/>
        <v>9</v>
      </c>
      <c r="Z186" s="35">
        <f t="shared" si="191"/>
        <v>7</v>
      </c>
      <c r="AA186" s="35">
        <f t="shared" si="191"/>
        <v>332</v>
      </c>
      <c r="AB186" s="35">
        <f t="shared" si="191"/>
        <v>21</v>
      </c>
      <c r="AC186" s="35">
        <f t="shared" si="191"/>
        <v>19</v>
      </c>
      <c r="AD186" s="35">
        <f t="shared" si="191"/>
        <v>38</v>
      </c>
      <c r="AE186" s="35">
        <f t="shared" si="191"/>
        <v>8</v>
      </c>
      <c r="AF186" s="35">
        <f t="shared" si="191"/>
        <v>26</v>
      </c>
      <c r="AG186" s="35">
        <f t="shared" si="191"/>
        <v>34</v>
      </c>
      <c r="AH186" s="35">
        <f t="shared" si="191"/>
        <v>12</v>
      </c>
      <c r="AI186" s="35">
        <f t="shared" si="191"/>
        <v>9</v>
      </c>
      <c r="AJ186" s="35">
        <f t="shared" si="191"/>
        <v>248</v>
      </c>
      <c r="AK186" s="35">
        <f t="shared" si="191"/>
        <v>7</v>
      </c>
      <c r="AL186" s="35">
        <f t="shared" si="191"/>
        <v>1</v>
      </c>
      <c r="AM186" s="35">
        <f t="shared" si="191"/>
        <v>7</v>
      </c>
      <c r="AN186" s="35">
        <f t="shared" si="191"/>
        <v>3</v>
      </c>
      <c r="AO186" s="35">
        <f t="shared" si="191"/>
        <v>6</v>
      </c>
      <c r="AP186" s="35">
        <f t="shared" si="191"/>
        <v>10</v>
      </c>
    </row>
    <row r="187" spans="1:42" ht="13">
      <c r="A187" s="36">
        <v>44106</v>
      </c>
      <c r="B187" s="35">
        <v>605</v>
      </c>
      <c r="C187" s="35">
        <v>712</v>
      </c>
      <c r="D187" s="35">
        <v>328</v>
      </c>
      <c r="E187" s="35">
        <v>1128</v>
      </c>
      <c r="F187" s="35">
        <v>10576</v>
      </c>
      <c r="G187" s="35">
        <v>1234</v>
      </c>
      <c r="H187" s="35">
        <v>1290</v>
      </c>
      <c r="I187" s="35">
        <v>1466</v>
      </c>
      <c r="J187" s="35">
        <v>1190</v>
      </c>
      <c r="K187" s="35">
        <v>431</v>
      </c>
      <c r="L187" s="35">
        <v>676</v>
      </c>
      <c r="M187" s="35">
        <v>869</v>
      </c>
      <c r="N187" s="35">
        <v>428</v>
      </c>
      <c r="O187" s="35">
        <v>3866</v>
      </c>
      <c r="P187" s="35">
        <v>471</v>
      </c>
      <c r="Q187" s="35">
        <v>1174</v>
      </c>
      <c r="R187" s="35">
        <v>282</v>
      </c>
      <c r="S187" s="35">
        <v>565</v>
      </c>
      <c r="T187" s="35">
        <v>730</v>
      </c>
      <c r="U187" s="35">
        <v>610</v>
      </c>
      <c r="V187" s="35">
        <v>28631</v>
      </c>
      <c r="W187" s="35">
        <f t="shared" ref="W187:AP187" si="192">B187-B186</f>
        <v>22</v>
      </c>
      <c r="X187" s="35">
        <f t="shared" si="192"/>
        <v>24</v>
      </c>
      <c r="Y187" s="35">
        <f t="shared" si="192"/>
        <v>20</v>
      </c>
      <c r="Z187" s="35">
        <f t="shared" si="192"/>
        <v>166</v>
      </c>
      <c r="AA187" s="35">
        <f t="shared" si="192"/>
        <v>283</v>
      </c>
      <c r="AB187" s="35">
        <f t="shared" si="192"/>
        <v>56</v>
      </c>
      <c r="AC187" s="35">
        <f t="shared" si="192"/>
        <v>59</v>
      </c>
      <c r="AD187" s="35">
        <f t="shared" si="192"/>
        <v>99</v>
      </c>
      <c r="AE187" s="35">
        <f t="shared" si="192"/>
        <v>130</v>
      </c>
      <c r="AF187" s="35">
        <f t="shared" si="192"/>
        <v>14</v>
      </c>
      <c r="AG187" s="35">
        <f t="shared" si="192"/>
        <v>21</v>
      </c>
      <c r="AH187" s="35">
        <f t="shared" si="192"/>
        <v>26</v>
      </c>
      <c r="AI187" s="35">
        <f t="shared" si="192"/>
        <v>40</v>
      </c>
      <c r="AJ187" s="35">
        <f t="shared" si="192"/>
        <v>129</v>
      </c>
      <c r="AK187" s="35">
        <f t="shared" si="192"/>
        <v>31</v>
      </c>
      <c r="AL187" s="35">
        <f t="shared" si="192"/>
        <v>118</v>
      </c>
      <c r="AM187" s="35">
        <f t="shared" si="192"/>
        <v>10</v>
      </c>
      <c r="AN187" s="35">
        <f t="shared" si="192"/>
        <v>40</v>
      </c>
      <c r="AO187" s="35">
        <f t="shared" si="192"/>
        <v>28</v>
      </c>
      <c r="AP187" s="35">
        <f t="shared" si="192"/>
        <v>6</v>
      </c>
    </row>
    <row r="188" spans="1:42" ht="13">
      <c r="A188" s="36">
        <v>44107</v>
      </c>
      <c r="B188" s="35">
        <v>643</v>
      </c>
      <c r="C188" s="35">
        <v>759</v>
      </c>
      <c r="D188" s="35">
        <v>348</v>
      </c>
      <c r="E188" s="35">
        <v>1203</v>
      </c>
      <c r="F188" s="35">
        <v>10835</v>
      </c>
      <c r="G188" s="35">
        <v>1295</v>
      </c>
      <c r="H188" s="35">
        <v>1316</v>
      </c>
      <c r="I188" s="35">
        <v>1539</v>
      </c>
      <c r="J188" s="35">
        <v>1263</v>
      </c>
      <c r="K188" s="35">
        <v>471</v>
      </c>
      <c r="L188" s="35">
        <v>726</v>
      </c>
      <c r="M188" s="35">
        <v>910</v>
      </c>
      <c r="N188" s="35">
        <v>448</v>
      </c>
      <c r="O188" s="35">
        <v>3974</v>
      </c>
      <c r="P188" s="35">
        <v>496</v>
      </c>
      <c r="Q188" s="35">
        <v>1220</v>
      </c>
      <c r="R188" s="35">
        <v>292</v>
      </c>
      <c r="S188" s="35">
        <v>603</v>
      </c>
      <c r="T188" s="35">
        <v>756</v>
      </c>
      <c r="U188" s="35">
        <v>620</v>
      </c>
      <c r="V188" s="35">
        <v>29717</v>
      </c>
      <c r="W188" s="35">
        <f t="shared" ref="W188:AP188" si="193">B188-B187</f>
        <v>38</v>
      </c>
      <c r="X188" s="35">
        <f t="shared" si="193"/>
        <v>47</v>
      </c>
      <c r="Y188" s="35">
        <f t="shared" si="193"/>
        <v>20</v>
      </c>
      <c r="Z188" s="35">
        <f t="shared" si="193"/>
        <v>75</v>
      </c>
      <c r="AA188" s="35">
        <f t="shared" si="193"/>
        <v>259</v>
      </c>
      <c r="AB188" s="35">
        <f t="shared" si="193"/>
        <v>61</v>
      </c>
      <c r="AC188" s="35">
        <f t="shared" si="193"/>
        <v>26</v>
      </c>
      <c r="AD188" s="35">
        <f t="shared" si="193"/>
        <v>73</v>
      </c>
      <c r="AE188" s="35">
        <f t="shared" si="193"/>
        <v>73</v>
      </c>
      <c r="AF188" s="35">
        <f t="shared" si="193"/>
        <v>40</v>
      </c>
      <c r="AG188" s="35">
        <f t="shared" si="193"/>
        <v>50</v>
      </c>
      <c r="AH188" s="35">
        <f t="shared" si="193"/>
        <v>41</v>
      </c>
      <c r="AI188" s="35">
        <f t="shared" si="193"/>
        <v>20</v>
      </c>
      <c r="AJ188" s="35">
        <f t="shared" si="193"/>
        <v>108</v>
      </c>
      <c r="AK188" s="35">
        <f t="shared" si="193"/>
        <v>25</v>
      </c>
      <c r="AL188" s="35">
        <f t="shared" si="193"/>
        <v>46</v>
      </c>
      <c r="AM188" s="35">
        <f t="shared" si="193"/>
        <v>10</v>
      </c>
      <c r="AN188" s="35">
        <f t="shared" si="193"/>
        <v>38</v>
      </c>
      <c r="AO188" s="35">
        <f t="shared" si="193"/>
        <v>26</v>
      </c>
      <c r="AP188" s="35">
        <f t="shared" si="193"/>
        <v>10</v>
      </c>
    </row>
    <row r="189" spans="1:42" ht="13">
      <c r="A189" s="36">
        <v>44108</v>
      </c>
      <c r="B189" s="35">
        <v>656</v>
      </c>
      <c r="C189" s="35">
        <v>784</v>
      </c>
      <c r="D189" s="35">
        <v>355</v>
      </c>
      <c r="E189" s="35">
        <v>1262</v>
      </c>
      <c r="F189" s="35">
        <v>11015</v>
      </c>
      <c r="G189" s="35">
        <v>1319</v>
      </c>
      <c r="H189" s="35">
        <v>1333</v>
      </c>
      <c r="I189" s="35">
        <v>1623</v>
      </c>
      <c r="J189" s="35">
        <v>1363</v>
      </c>
      <c r="K189" s="35">
        <v>487</v>
      </c>
      <c r="L189" s="35">
        <v>754</v>
      </c>
      <c r="M189" s="35">
        <v>940</v>
      </c>
      <c r="N189" s="35">
        <v>481</v>
      </c>
      <c r="O189" s="35">
        <v>4049</v>
      </c>
      <c r="P189" s="35">
        <v>504</v>
      </c>
      <c r="Q189" s="35">
        <v>1302</v>
      </c>
      <c r="R189" s="35">
        <v>301</v>
      </c>
      <c r="S189" s="35">
        <v>631</v>
      </c>
      <c r="T189" s="35">
        <v>786</v>
      </c>
      <c r="U189" s="35">
        <v>630</v>
      </c>
      <c r="V189" s="35">
        <v>30575</v>
      </c>
      <c r="W189" s="35">
        <f t="shared" ref="W189:AP189" si="194">B189-B188</f>
        <v>13</v>
      </c>
      <c r="X189" s="35">
        <f t="shared" si="194"/>
        <v>25</v>
      </c>
      <c r="Y189" s="35">
        <f t="shared" si="194"/>
        <v>7</v>
      </c>
      <c r="Z189" s="35">
        <f t="shared" si="194"/>
        <v>59</v>
      </c>
      <c r="AA189" s="35">
        <f t="shared" si="194"/>
        <v>180</v>
      </c>
      <c r="AB189" s="35">
        <f t="shared" si="194"/>
        <v>24</v>
      </c>
      <c r="AC189" s="35">
        <f t="shared" si="194"/>
        <v>17</v>
      </c>
      <c r="AD189" s="35">
        <f t="shared" si="194"/>
        <v>84</v>
      </c>
      <c r="AE189" s="35">
        <f t="shared" si="194"/>
        <v>100</v>
      </c>
      <c r="AF189" s="35">
        <f t="shared" si="194"/>
        <v>16</v>
      </c>
      <c r="AG189" s="35">
        <f t="shared" si="194"/>
        <v>28</v>
      </c>
      <c r="AH189" s="35">
        <f t="shared" si="194"/>
        <v>30</v>
      </c>
      <c r="AI189" s="35">
        <f t="shared" si="194"/>
        <v>33</v>
      </c>
      <c r="AJ189" s="35">
        <f t="shared" si="194"/>
        <v>75</v>
      </c>
      <c r="AK189" s="35">
        <f t="shared" si="194"/>
        <v>8</v>
      </c>
      <c r="AL189" s="35">
        <f t="shared" si="194"/>
        <v>82</v>
      </c>
      <c r="AM189" s="35">
        <f t="shared" si="194"/>
        <v>9</v>
      </c>
      <c r="AN189" s="35">
        <f t="shared" si="194"/>
        <v>28</v>
      </c>
      <c r="AO189" s="35">
        <f t="shared" si="194"/>
        <v>30</v>
      </c>
      <c r="AP189" s="35">
        <f t="shared" si="194"/>
        <v>10</v>
      </c>
    </row>
    <row r="190" spans="1:42" ht="13">
      <c r="A190" s="36">
        <v>44109</v>
      </c>
      <c r="B190" s="35">
        <v>664</v>
      </c>
      <c r="C190" s="35">
        <v>798</v>
      </c>
      <c r="D190" s="35">
        <v>350</v>
      </c>
      <c r="E190" s="35">
        <v>1424</v>
      </c>
      <c r="F190" s="35">
        <v>11231</v>
      </c>
      <c r="G190" s="35">
        <v>1335</v>
      </c>
      <c r="H190" s="35">
        <v>1353</v>
      </c>
      <c r="I190" s="35">
        <v>1667</v>
      </c>
      <c r="J190" s="35">
        <v>1400</v>
      </c>
      <c r="K190" s="35">
        <v>527</v>
      </c>
      <c r="L190" s="35">
        <v>771</v>
      </c>
      <c r="M190" s="35">
        <v>954</v>
      </c>
      <c r="N190" s="35">
        <v>556</v>
      </c>
      <c r="O190" s="35">
        <v>4164</v>
      </c>
      <c r="P190" s="35">
        <v>514</v>
      </c>
      <c r="Q190" s="35">
        <v>1328</v>
      </c>
      <c r="R190" s="35">
        <v>303</v>
      </c>
      <c r="S190" s="35">
        <v>656</v>
      </c>
      <c r="T190" s="35">
        <v>837</v>
      </c>
      <c r="U190" s="35">
        <v>648</v>
      </c>
      <c r="V190" s="35">
        <v>31480</v>
      </c>
      <c r="W190" s="35">
        <f t="shared" ref="W190:AP190" si="195">B190-B189</f>
        <v>8</v>
      </c>
      <c r="X190" s="35">
        <f t="shared" si="195"/>
        <v>14</v>
      </c>
      <c r="Y190" s="35">
        <f t="shared" si="195"/>
        <v>-5</v>
      </c>
      <c r="Z190" s="35">
        <f t="shared" si="195"/>
        <v>162</v>
      </c>
      <c r="AA190" s="35">
        <f t="shared" si="195"/>
        <v>216</v>
      </c>
      <c r="AB190" s="35">
        <f t="shared" si="195"/>
        <v>16</v>
      </c>
      <c r="AC190" s="35">
        <f t="shared" si="195"/>
        <v>20</v>
      </c>
      <c r="AD190" s="35">
        <f t="shared" si="195"/>
        <v>44</v>
      </c>
      <c r="AE190" s="35">
        <f t="shared" si="195"/>
        <v>37</v>
      </c>
      <c r="AF190" s="35">
        <f t="shared" si="195"/>
        <v>40</v>
      </c>
      <c r="AG190" s="35">
        <f t="shared" si="195"/>
        <v>17</v>
      </c>
      <c r="AH190" s="35">
        <f t="shared" si="195"/>
        <v>14</v>
      </c>
      <c r="AI190" s="35">
        <f t="shared" si="195"/>
        <v>75</v>
      </c>
      <c r="AJ190" s="35">
        <f t="shared" si="195"/>
        <v>115</v>
      </c>
      <c r="AK190" s="35">
        <f t="shared" si="195"/>
        <v>10</v>
      </c>
      <c r="AL190" s="35">
        <f t="shared" si="195"/>
        <v>26</v>
      </c>
      <c r="AM190" s="35">
        <f t="shared" si="195"/>
        <v>2</v>
      </c>
      <c r="AN190" s="35">
        <f t="shared" si="195"/>
        <v>25</v>
      </c>
      <c r="AO190" s="35">
        <f t="shared" si="195"/>
        <v>51</v>
      </c>
      <c r="AP190" s="35">
        <f t="shared" si="195"/>
        <v>18</v>
      </c>
    </row>
    <row r="191" spans="1:42" ht="13">
      <c r="A191" s="36">
        <v>44110</v>
      </c>
      <c r="B191" s="35">
        <v>677</v>
      </c>
      <c r="C191" s="35">
        <v>822</v>
      </c>
      <c r="D191" s="35">
        <v>364</v>
      </c>
      <c r="E191" s="35">
        <v>1541</v>
      </c>
      <c r="F191" s="35">
        <v>11424</v>
      </c>
      <c r="G191" s="35">
        <v>1371</v>
      </c>
      <c r="H191" s="35">
        <v>1370</v>
      </c>
      <c r="I191" s="35">
        <v>1737</v>
      </c>
      <c r="J191" s="35">
        <v>1419</v>
      </c>
      <c r="K191" s="35">
        <v>538</v>
      </c>
      <c r="L191" s="35">
        <v>798</v>
      </c>
      <c r="M191" s="35">
        <v>983</v>
      </c>
      <c r="N191" s="35">
        <v>575</v>
      </c>
      <c r="O191" s="35">
        <v>4254</v>
      </c>
      <c r="P191" s="35">
        <v>552</v>
      </c>
      <c r="Q191" s="35">
        <v>1349</v>
      </c>
      <c r="R191" s="35">
        <v>311</v>
      </c>
      <c r="S191" s="35">
        <v>675</v>
      </c>
      <c r="T191" s="35">
        <v>865</v>
      </c>
      <c r="U191" s="35">
        <v>673</v>
      </c>
      <c r="V191" s="35">
        <v>32298</v>
      </c>
      <c r="W191" s="35">
        <f t="shared" ref="W191:AP191" si="196">B191-B190</f>
        <v>13</v>
      </c>
      <c r="X191" s="35">
        <f t="shared" si="196"/>
        <v>24</v>
      </c>
      <c r="Y191" s="35">
        <f t="shared" si="196"/>
        <v>14</v>
      </c>
      <c r="Z191" s="35">
        <f t="shared" si="196"/>
        <v>117</v>
      </c>
      <c r="AA191" s="35">
        <f t="shared" si="196"/>
        <v>193</v>
      </c>
      <c r="AB191" s="35">
        <f t="shared" si="196"/>
        <v>36</v>
      </c>
      <c r="AC191" s="35">
        <f t="shared" si="196"/>
        <v>17</v>
      </c>
      <c r="AD191" s="35">
        <f t="shared" si="196"/>
        <v>70</v>
      </c>
      <c r="AE191" s="35">
        <f t="shared" si="196"/>
        <v>19</v>
      </c>
      <c r="AF191" s="35">
        <f t="shared" si="196"/>
        <v>11</v>
      </c>
      <c r="AG191" s="35">
        <f t="shared" si="196"/>
        <v>27</v>
      </c>
      <c r="AH191" s="35">
        <f t="shared" si="196"/>
        <v>29</v>
      </c>
      <c r="AI191" s="35">
        <f t="shared" si="196"/>
        <v>19</v>
      </c>
      <c r="AJ191" s="35">
        <f t="shared" si="196"/>
        <v>90</v>
      </c>
      <c r="AK191" s="35">
        <f t="shared" si="196"/>
        <v>38</v>
      </c>
      <c r="AL191" s="35">
        <f t="shared" si="196"/>
        <v>21</v>
      </c>
      <c r="AM191" s="35">
        <f t="shared" si="196"/>
        <v>8</v>
      </c>
      <c r="AN191" s="35">
        <f t="shared" si="196"/>
        <v>19</v>
      </c>
      <c r="AO191" s="35">
        <f t="shared" si="196"/>
        <v>28</v>
      </c>
      <c r="AP191" s="35">
        <f t="shared" si="196"/>
        <v>25</v>
      </c>
    </row>
    <row r="192" spans="1:42" ht="13">
      <c r="A192" s="36">
        <v>44111</v>
      </c>
      <c r="B192" s="35">
        <v>704</v>
      </c>
      <c r="C192" s="35">
        <v>845</v>
      </c>
      <c r="D192" s="35">
        <v>378</v>
      </c>
      <c r="E192" s="35">
        <v>1672</v>
      </c>
      <c r="F192" s="35">
        <v>11572</v>
      </c>
      <c r="G192" s="35">
        <v>1398</v>
      </c>
      <c r="H192" s="35">
        <v>1402</v>
      </c>
      <c r="I192" s="35">
        <v>1805</v>
      </c>
      <c r="J192" s="35">
        <v>1498</v>
      </c>
      <c r="K192" s="35">
        <v>558</v>
      </c>
      <c r="L192" s="35">
        <v>812</v>
      </c>
      <c r="M192" s="35">
        <v>999</v>
      </c>
      <c r="N192" s="35">
        <v>584</v>
      </c>
      <c r="O192" s="35">
        <v>4324</v>
      </c>
      <c r="P192" s="35">
        <v>557</v>
      </c>
      <c r="Q192" s="35">
        <v>1433</v>
      </c>
      <c r="R192" s="35">
        <v>313</v>
      </c>
      <c r="S192" s="35">
        <v>688</v>
      </c>
      <c r="T192" s="35">
        <v>876</v>
      </c>
      <c r="U192" s="35">
        <v>696</v>
      </c>
      <c r="V192" s="35">
        <v>33114</v>
      </c>
      <c r="W192" s="35">
        <f t="shared" ref="W192:AP192" si="197">B192-B191</f>
        <v>27</v>
      </c>
      <c r="X192" s="35">
        <f t="shared" si="197"/>
        <v>23</v>
      </c>
      <c r="Y192" s="35">
        <f t="shared" si="197"/>
        <v>14</v>
      </c>
      <c r="Z192" s="35">
        <f t="shared" si="197"/>
        <v>131</v>
      </c>
      <c r="AA192" s="35">
        <f t="shared" si="197"/>
        <v>148</v>
      </c>
      <c r="AB192" s="35">
        <f t="shared" si="197"/>
        <v>27</v>
      </c>
      <c r="AC192" s="35">
        <f t="shared" si="197"/>
        <v>32</v>
      </c>
      <c r="AD192" s="35">
        <f t="shared" si="197"/>
        <v>68</v>
      </c>
      <c r="AE192" s="35">
        <f t="shared" si="197"/>
        <v>79</v>
      </c>
      <c r="AF192" s="35">
        <f t="shared" si="197"/>
        <v>20</v>
      </c>
      <c r="AG192" s="35">
        <f t="shared" si="197"/>
        <v>14</v>
      </c>
      <c r="AH192" s="35">
        <f t="shared" si="197"/>
        <v>16</v>
      </c>
      <c r="AI192" s="35">
        <f t="shared" si="197"/>
        <v>9</v>
      </c>
      <c r="AJ192" s="35">
        <f t="shared" si="197"/>
        <v>70</v>
      </c>
      <c r="AK192" s="35">
        <f t="shared" si="197"/>
        <v>5</v>
      </c>
      <c r="AL192" s="35">
        <f t="shared" si="197"/>
        <v>84</v>
      </c>
      <c r="AM192" s="35">
        <f t="shared" si="197"/>
        <v>2</v>
      </c>
      <c r="AN192" s="35">
        <f t="shared" si="197"/>
        <v>13</v>
      </c>
      <c r="AO192" s="35">
        <f t="shared" si="197"/>
        <v>11</v>
      </c>
      <c r="AP192" s="35">
        <f t="shared" si="197"/>
        <v>23</v>
      </c>
    </row>
    <row r="193" spans="1:42" ht="13">
      <c r="A193" s="36">
        <v>44112</v>
      </c>
      <c r="B193" s="35">
        <v>719</v>
      </c>
      <c r="C193" s="35">
        <v>900</v>
      </c>
      <c r="D193" s="35">
        <v>398</v>
      </c>
      <c r="E193" s="35">
        <v>1697</v>
      </c>
      <c r="F193" s="35">
        <v>11876</v>
      </c>
      <c r="G193" s="35">
        <v>1456</v>
      </c>
      <c r="H193" s="35">
        <v>1429</v>
      </c>
      <c r="I193" s="35">
        <v>1857</v>
      </c>
      <c r="J193" s="35">
        <v>1509</v>
      </c>
      <c r="K193" s="35">
        <v>549</v>
      </c>
      <c r="L193" s="35">
        <v>893</v>
      </c>
      <c r="M193" s="35">
        <v>1008</v>
      </c>
      <c r="N193" s="35">
        <v>605</v>
      </c>
      <c r="O193" s="35">
        <v>4444</v>
      </c>
      <c r="P193" s="35">
        <v>586</v>
      </c>
      <c r="Q193" s="35">
        <v>1444</v>
      </c>
      <c r="R193" s="35">
        <v>326</v>
      </c>
      <c r="S193" s="35">
        <v>727</v>
      </c>
      <c r="T193" s="35">
        <v>901</v>
      </c>
      <c r="U193" s="35">
        <v>722</v>
      </c>
      <c r="V193" s="35">
        <v>34046</v>
      </c>
      <c r="W193" s="35">
        <f t="shared" ref="W193:AP193" si="198">B193-B192</f>
        <v>15</v>
      </c>
      <c r="X193" s="35">
        <f t="shared" si="198"/>
        <v>55</v>
      </c>
      <c r="Y193" s="35">
        <f t="shared" si="198"/>
        <v>20</v>
      </c>
      <c r="Z193" s="35">
        <f t="shared" si="198"/>
        <v>25</v>
      </c>
      <c r="AA193" s="35">
        <f t="shared" si="198"/>
        <v>304</v>
      </c>
      <c r="AB193" s="35">
        <f t="shared" si="198"/>
        <v>58</v>
      </c>
      <c r="AC193" s="35">
        <f t="shared" si="198"/>
        <v>27</v>
      </c>
      <c r="AD193" s="35">
        <f t="shared" si="198"/>
        <v>52</v>
      </c>
      <c r="AE193" s="35">
        <f t="shared" si="198"/>
        <v>11</v>
      </c>
      <c r="AF193" s="35">
        <f t="shared" si="198"/>
        <v>-9</v>
      </c>
      <c r="AG193" s="35">
        <f t="shared" si="198"/>
        <v>81</v>
      </c>
      <c r="AH193" s="35">
        <f t="shared" si="198"/>
        <v>9</v>
      </c>
      <c r="AI193" s="35">
        <f t="shared" si="198"/>
        <v>21</v>
      </c>
      <c r="AJ193" s="35">
        <f t="shared" si="198"/>
        <v>120</v>
      </c>
      <c r="AK193" s="35">
        <f t="shared" si="198"/>
        <v>29</v>
      </c>
      <c r="AL193" s="35">
        <f t="shared" si="198"/>
        <v>11</v>
      </c>
      <c r="AM193" s="35">
        <f t="shared" si="198"/>
        <v>13</v>
      </c>
      <c r="AN193" s="35">
        <f t="shared" si="198"/>
        <v>39</v>
      </c>
      <c r="AO193" s="35">
        <f t="shared" si="198"/>
        <v>25</v>
      </c>
      <c r="AP193" s="35">
        <f t="shared" si="198"/>
        <v>26</v>
      </c>
    </row>
    <row r="194" spans="1:42" ht="13">
      <c r="A194" s="36">
        <v>44113</v>
      </c>
      <c r="B194" s="35">
        <v>787</v>
      </c>
      <c r="C194" s="35">
        <v>939</v>
      </c>
      <c r="D194" s="35">
        <v>439</v>
      </c>
      <c r="E194" s="35">
        <v>1728</v>
      </c>
      <c r="F194" s="35">
        <v>12066</v>
      </c>
      <c r="G194" s="35">
        <v>1536</v>
      </c>
      <c r="H194" s="35">
        <v>1445</v>
      </c>
      <c r="I194" s="35">
        <v>1994</v>
      </c>
      <c r="J194" s="35">
        <v>1600</v>
      </c>
      <c r="K194" s="35">
        <v>582</v>
      </c>
      <c r="L194" s="35">
        <v>920</v>
      </c>
      <c r="M194" s="35">
        <v>1033</v>
      </c>
      <c r="N194" s="35">
        <v>655</v>
      </c>
      <c r="O194" s="35">
        <v>4562</v>
      </c>
      <c r="P194" s="35">
        <v>624</v>
      </c>
      <c r="Q194" s="35">
        <v>1513</v>
      </c>
      <c r="R194" s="35">
        <v>335</v>
      </c>
      <c r="S194" s="35">
        <v>764</v>
      </c>
      <c r="T194" s="35">
        <v>944</v>
      </c>
      <c r="U194" s="35">
        <v>756</v>
      </c>
      <c r="V194" s="35">
        <v>35222</v>
      </c>
      <c r="W194" s="35">
        <f t="shared" ref="W194:AP194" si="199">B194-B193</f>
        <v>68</v>
      </c>
      <c r="X194" s="35">
        <f t="shared" si="199"/>
        <v>39</v>
      </c>
      <c r="Y194" s="35">
        <f t="shared" si="199"/>
        <v>41</v>
      </c>
      <c r="Z194" s="35">
        <f t="shared" si="199"/>
        <v>31</v>
      </c>
      <c r="AA194" s="35">
        <f t="shared" si="199"/>
        <v>190</v>
      </c>
      <c r="AB194" s="35">
        <f t="shared" si="199"/>
        <v>80</v>
      </c>
      <c r="AC194" s="35">
        <f t="shared" si="199"/>
        <v>16</v>
      </c>
      <c r="AD194" s="35">
        <f t="shared" si="199"/>
        <v>137</v>
      </c>
      <c r="AE194" s="35">
        <f t="shared" si="199"/>
        <v>91</v>
      </c>
      <c r="AF194" s="35">
        <f t="shared" si="199"/>
        <v>33</v>
      </c>
      <c r="AG194" s="35">
        <f t="shared" si="199"/>
        <v>27</v>
      </c>
      <c r="AH194" s="35">
        <f t="shared" si="199"/>
        <v>25</v>
      </c>
      <c r="AI194" s="35">
        <f t="shared" si="199"/>
        <v>50</v>
      </c>
      <c r="AJ194" s="35">
        <f t="shared" si="199"/>
        <v>118</v>
      </c>
      <c r="AK194" s="35">
        <f t="shared" si="199"/>
        <v>38</v>
      </c>
      <c r="AL194" s="35">
        <f t="shared" si="199"/>
        <v>69</v>
      </c>
      <c r="AM194" s="35">
        <f t="shared" si="199"/>
        <v>9</v>
      </c>
      <c r="AN194" s="35">
        <f t="shared" si="199"/>
        <v>37</v>
      </c>
      <c r="AO194" s="35">
        <f t="shared" si="199"/>
        <v>43</v>
      </c>
      <c r="AP194" s="35">
        <f t="shared" si="199"/>
        <v>34</v>
      </c>
    </row>
    <row r="195" spans="1:42" ht="13">
      <c r="A195" s="36">
        <v>44114</v>
      </c>
      <c r="B195" s="35">
        <v>816</v>
      </c>
      <c r="C195" s="35">
        <v>939</v>
      </c>
      <c r="D195" s="35">
        <v>486</v>
      </c>
      <c r="E195" s="35">
        <v>1849</v>
      </c>
      <c r="F195" s="35">
        <v>12372</v>
      </c>
      <c r="G195" s="35">
        <v>1603</v>
      </c>
      <c r="H195" s="35">
        <v>1509</v>
      </c>
      <c r="I195" s="35">
        <v>2155</v>
      </c>
      <c r="J195" s="35">
        <v>1685</v>
      </c>
      <c r="K195" s="35">
        <v>611</v>
      </c>
      <c r="L195" s="35">
        <v>992</v>
      </c>
      <c r="M195" s="35">
        <v>1059</v>
      </c>
      <c r="N195" s="35">
        <v>696</v>
      </c>
      <c r="O195" s="35">
        <v>4699</v>
      </c>
      <c r="P195" s="35">
        <v>629</v>
      </c>
      <c r="Q195" s="35">
        <v>1584</v>
      </c>
      <c r="R195" s="35">
        <v>335</v>
      </c>
      <c r="S195" s="35">
        <v>807</v>
      </c>
      <c r="T195" s="35">
        <v>974</v>
      </c>
      <c r="U195" s="35">
        <v>796</v>
      </c>
      <c r="V195" s="35">
        <v>36596</v>
      </c>
      <c r="W195" s="35">
        <f t="shared" ref="W195:AP195" si="200">B195-B194</f>
        <v>29</v>
      </c>
      <c r="X195" s="35">
        <f t="shared" si="200"/>
        <v>0</v>
      </c>
      <c r="Y195" s="35">
        <f t="shared" si="200"/>
        <v>47</v>
      </c>
      <c r="Z195" s="35">
        <f t="shared" si="200"/>
        <v>121</v>
      </c>
      <c r="AA195" s="35">
        <f t="shared" si="200"/>
        <v>306</v>
      </c>
      <c r="AB195" s="35">
        <f t="shared" si="200"/>
        <v>67</v>
      </c>
      <c r="AC195" s="35">
        <f t="shared" si="200"/>
        <v>64</v>
      </c>
      <c r="AD195" s="35">
        <f t="shared" si="200"/>
        <v>161</v>
      </c>
      <c r="AE195" s="35">
        <f t="shared" si="200"/>
        <v>85</v>
      </c>
      <c r="AF195" s="35">
        <f t="shared" si="200"/>
        <v>29</v>
      </c>
      <c r="AG195" s="35">
        <f t="shared" si="200"/>
        <v>72</v>
      </c>
      <c r="AH195" s="35">
        <f t="shared" si="200"/>
        <v>26</v>
      </c>
      <c r="AI195" s="35">
        <f t="shared" si="200"/>
        <v>41</v>
      </c>
      <c r="AJ195" s="35">
        <f t="shared" si="200"/>
        <v>137</v>
      </c>
      <c r="AK195" s="35">
        <f t="shared" si="200"/>
        <v>5</v>
      </c>
      <c r="AL195" s="35">
        <f t="shared" si="200"/>
        <v>71</v>
      </c>
      <c r="AM195" s="35">
        <f t="shared" si="200"/>
        <v>0</v>
      </c>
      <c r="AN195" s="35">
        <f t="shared" si="200"/>
        <v>43</v>
      </c>
      <c r="AO195" s="35">
        <f t="shared" si="200"/>
        <v>30</v>
      </c>
      <c r="AP195" s="35">
        <f t="shared" si="200"/>
        <v>40</v>
      </c>
    </row>
    <row r="196" spans="1:42" ht="13">
      <c r="A196" s="36">
        <v>44115</v>
      </c>
      <c r="B196" s="35">
        <v>856</v>
      </c>
      <c r="C196" s="35">
        <v>1015</v>
      </c>
      <c r="D196" s="35">
        <v>500</v>
      </c>
      <c r="E196" s="35">
        <v>1898</v>
      </c>
      <c r="F196" s="35">
        <v>12545</v>
      </c>
      <c r="G196" s="35">
        <v>1658</v>
      </c>
      <c r="H196" s="35">
        <v>1527</v>
      </c>
      <c r="I196" s="35">
        <v>2252</v>
      </c>
      <c r="J196" s="35">
        <v>1734</v>
      </c>
      <c r="K196" s="35">
        <v>683</v>
      </c>
      <c r="L196" s="35">
        <v>1006</v>
      </c>
      <c r="M196" s="35">
        <v>1071</v>
      </c>
      <c r="N196" s="35">
        <v>723</v>
      </c>
      <c r="O196" s="35">
        <v>4791</v>
      </c>
      <c r="P196" s="35">
        <v>683</v>
      </c>
      <c r="Q196" s="35">
        <v>1706</v>
      </c>
      <c r="R196" s="35">
        <v>355</v>
      </c>
      <c r="S196" s="35">
        <v>831</v>
      </c>
      <c r="T196" s="35">
        <v>1007</v>
      </c>
      <c r="U196" s="35">
        <v>823</v>
      </c>
      <c r="V196" s="35">
        <v>37664</v>
      </c>
      <c r="W196" s="35">
        <f t="shared" ref="W196:AP196" si="201">B196-B195</f>
        <v>40</v>
      </c>
      <c r="X196" s="35">
        <f t="shared" si="201"/>
        <v>76</v>
      </c>
      <c r="Y196" s="35">
        <f t="shared" si="201"/>
        <v>14</v>
      </c>
      <c r="Z196" s="35">
        <f t="shared" si="201"/>
        <v>49</v>
      </c>
      <c r="AA196" s="35">
        <f t="shared" si="201"/>
        <v>173</v>
      </c>
      <c r="AB196" s="35">
        <f t="shared" si="201"/>
        <v>55</v>
      </c>
      <c r="AC196" s="35">
        <f t="shared" si="201"/>
        <v>18</v>
      </c>
      <c r="AD196" s="35">
        <f t="shared" si="201"/>
        <v>97</v>
      </c>
      <c r="AE196" s="35">
        <f t="shared" si="201"/>
        <v>49</v>
      </c>
      <c r="AF196" s="35">
        <f t="shared" si="201"/>
        <v>72</v>
      </c>
      <c r="AG196" s="35">
        <f t="shared" si="201"/>
        <v>14</v>
      </c>
      <c r="AH196" s="35">
        <f t="shared" si="201"/>
        <v>12</v>
      </c>
      <c r="AI196" s="35">
        <f t="shared" si="201"/>
        <v>27</v>
      </c>
      <c r="AJ196" s="35">
        <f t="shared" si="201"/>
        <v>92</v>
      </c>
      <c r="AK196" s="35">
        <f t="shared" si="201"/>
        <v>54</v>
      </c>
      <c r="AL196" s="35">
        <f t="shared" si="201"/>
        <v>122</v>
      </c>
      <c r="AM196" s="35">
        <f t="shared" si="201"/>
        <v>20</v>
      </c>
      <c r="AN196" s="35">
        <f t="shared" si="201"/>
        <v>24</v>
      </c>
      <c r="AO196" s="35">
        <f t="shared" si="201"/>
        <v>33</v>
      </c>
      <c r="AP196" s="35">
        <f t="shared" si="201"/>
        <v>27</v>
      </c>
    </row>
    <row r="197" spans="1:42" ht="13">
      <c r="A197" s="36">
        <v>44116</v>
      </c>
      <c r="B197" s="35">
        <v>863</v>
      </c>
      <c r="C197" s="35">
        <v>1063</v>
      </c>
      <c r="D197" s="35">
        <v>526</v>
      </c>
      <c r="E197" s="35">
        <v>1987</v>
      </c>
      <c r="F197" s="35">
        <v>12842</v>
      </c>
      <c r="G197" s="35">
        <v>1702</v>
      </c>
      <c r="H197" s="35">
        <v>1582</v>
      </c>
      <c r="I197" s="35">
        <v>2348</v>
      </c>
      <c r="J197" s="35">
        <v>1781</v>
      </c>
      <c r="K197" s="35">
        <v>696</v>
      </c>
      <c r="L197" s="35">
        <v>1052</v>
      </c>
      <c r="M197" s="35">
        <v>1110</v>
      </c>
      <c r="N197" s="35">
        <v>766</v>
      </c>
      <c r="O197" s="35">
        <v>4957</v>
      </c>
      <c r="P197" s="35">
        <v>704</v>
      </c>
      <c r="Q197" s="35">
        <v>1714</v>
      </c>
      <c r="R197" s="35">
        <v>371</v>
      </c>
      <c r="S197" s="35">
        <v>865</v>
      </c>
      <c r="T197" s="35">
        <v>1054</v>
      </c>
      <c r="U197" s="35">
        <v>854</v>
      </c>
      <c r="V197" s="35">
        <v>38837</v>
      </c>
      <c r="W197" s="35">
        <f t="shared" ref="W197:AP197" si="202">B197-B196</f>
        <v>7</v>
      </c>
      <c r="X197" s="35">
        <f t="shared" si="202"/>
        <v>48</v>
      </c>
      <c r="Y197" s="35">
        <f t="shared" si="202"/>
        <v>26</v>
      </c>
      <c r="Z197" s="35">
        <f t="shared" si="202"/>
        <v>89</v>
      </c>
      <c r="AA197" s="35">
        <f t="shared" si="202"/>
        <v>297</v>
      </c>
      <c r="AB197" s="35">
        <f t="shared" si="202"/>
        <v>44</v>
      </c>
      <c r="AC197" s="35">
        <f t="shared" si="202"/>
        <v>55</v>
      </c>
      <c r="AD197" s="35">
        <f t="shared" si="202"/>
        <v>96</v>
      </c>
      <c r="AE197" s="35">
        <f t="shared" si="202"/>
        <v>47</v>
      </c>
      <c r="AF197" s="35">
        <f t="shared" si="202"/>
        <v>13</v>
      </c>
      <c r="AG197" s="35">
        <f t="shared" si="202"/>
        <v>46</v>
      </c>
      <c r="AH197" s="35">
        <f t="shared" si="202"/>
        <v>39</v>
      </c>
      <c r="AI197" s="35">
        <f t="shared" si="202"/>
        <v>43</v>
      </c>
      <c r="AJ197" s="35">
        <f t="shared" si="202"/>
        <v>166</v>
      </c>
      <c r="AK197" s="35">
        <f t="shared" si="202"/>
        <v>21</v>
      </c>
      <c r="AL197" s="35">
        <f t="shared" si="202"/>
        <v>8</v>
      </c>
      <c r="AM197" s="35">
        <f t="shared" si="202"/>
        <v>16</v>
      </c>
      <c r="AN197" s="35">
        <f t="shared" si="202"/>
        <v>34</v>
      </c>
      <c r="AO197" s="35">
        <f t="shared" si="202"/>
        <v>47</v>
      </c>
      <c r="AP197" s="35">
        <f t="shared" si="202"/>
        <v>31</v>
      </c>
    </row>
    <row r="198" spans="1:42" ht="13">
      <c r="A198" s="36">
        <v>44117</v>
      </c>
      <c r="B198" s="35">
        <v>884</v>
      </c>
      <c r="C198" s="35">
        <v>1075</v>
      </c>
      <c r="D198" s="35">
        <v>538</v>
      </c>
      <c r="E198" s="35">
        <v>2079</v>
      </c>
      <c r="F198" s="35">
        <v>13035</v>
      </c>
      <c r="G198" s="35">
        <v>1719</v>
      </c>
      <c r="H198" s="35">
        <v>1585</v>
      </c>
      <c r="I198" s="35">
        <v>2385</v>
      </c>
      <c r="J198" s="35">
        <v>1853</v>
      </c>
      <c r="K198" s="35">
        <v>746</v>
      </c>
      <c r="L198" s="35">
        <v>1071</v>
      </c>
      <c r="M198" s="35">
        <v>1137</v>
      </c>
      <c r="N198" s="35">
        <v>799</v>
      </c>
      <c r="O198" s="35">
        <v>5081</v>
      </c>
      <c r="P198" s="35">
        <v>718</v>
      </c>
      <c r="Q198" s="35">
        <v>1886</v>
      </c>
      <c r="R198" s="35">
        <v>384</v>
      </c>
      <c r="S198" s="35">
        <v>915</v>
      </c>
      <c r="T198" s="35">
        <v>1103</v>
      </c>
      <c r="U198" s="35">
        <v>869</v>
      </c>
      <c r="V198" s="35">
        <v>39862</v>
      </c>
      <c r="W198" s="35">
        <f t="shared" ref="W198:AP198" si="203">B198-B197</f>
        <v>21</v>
      </c>
      <c r="X198" s="35">
        <f t="shared" si="203"/>
        <v>12</v>
      </c>
      <c r="Y198" s="35">
        <f t="shared" si="203"/>
        <v>12</v>
      </c>
      <c r="Z198" s="35">
        <f t="shared" si="203"/>
        <v>92</v>
      </c>
      <c r="AA198" s="35">
        <f t="shared" si="203"/>
        <v>193</v>
      </c>
      <c r="AB198" s="35">
        <f t="shared" si="203"/>
        <v>17</v>
      </c>
      <c r="AC198" s="35">
        <f t="shared" si="203"/>
        <v>3</v>
      </c>
      <c r="AD198" s="35">
        <f t="shared" si="203"/>
        <v>37</v>
      </c>
      <c r="AE198" s="35">
        <f t="shared" si="203"/>
        <v>72</v>
      </c>
      <c r="AF198" s="35">
        <f t="shared" si="203"/>
        <v>50</v>
      </c>
      <c r="AG198" s="35">
        <f t="shared" si="203"/>
        <v>19</v>
      </c>
      <c r="AH198" s="35">
        <f t="shared" si="203"/>
        <v>27</v>
      </c>
      <c r="AI198" s="35">
        <f t="shared" si="203"/>
        <v>33</v>
      </c>
      <c r="AJ198" s="35">
        <f t="shared" si="203"/>
        <v>124</v>
      </c>
      <c r="AK198" s="35">
        <f t="shared" si="203"/>
        <v>14</v>
      </c>
      <c r="AL198" s="35">
        <f t="shared" si="203"/>
        <v>172</v>
      </c>
      <c r="AM198" s="35">
        <f t="shared" si="203"/>
        <v>13</v>
      </c>
      <c r="AN198" s="35">
        <f t="shared" si="203"/>
        <v>50</v>
      </c>
      <c r="AO198" s="35">
        <f t="shared" si="203"/>
        <v>49</v>
      </c>
      <c r="AP198" s="35">
        <f t="shared" si="203"/>
        <v>15</v>
      </c>
    </row>
    <row r="199" spans="1:42" ht="13">
      <c r="A199" s="36">
        <v>44118</v>
      </c>
      <c r="B199" s="35">
        <v>900</v>
      </c>
      <c r="C199" s="35">
        <v>1095</v>
      </c>
      <c r="D199" s="35">
        <v>552</v>
      </c>
      <c r="E199" s="35">
        <v>2214</v>
      </c>
      <c r="F199" s="35">
        <v>13232</v>
      </c>
      <c r="G199" s="35">
        <v>1770</v>
      </c>
      <c r="H199" s="35">
        <v>1594</v>
      </c>
      <c r="I199" s="35">
        <v>2494</v>
      </c>
      <c r="J199" s="35">
        <v>1912</v>
      </c>
      <c r="K199" s="35">
        <v>786</v>
      </c>
      <c r="L199" s="35">
        <v>1097</v>
      </c>
      <c r="M199" s="35">
        <v>1152</v>
      </c>
      <c r="N199" s="35">
        <v>820</v>
      </c>
      <c r="O199" s="35">
        <v>5179</v>
      </c>
      <c r="P199" s="35">
        <v>728</v>
      </c>
      <c r="Q199" s="35">
        <v>1923</v>
      </c>
      <c r="R199" s="35">
        <v>381</v>
      </c>
      <c r="S199" s="35">
        <v>949</v>
      </c>
      <c r="T199" s="35">
        <v>1126</v>
      </c>
      <c r="U199" s="35">
        <v>878</v>
      </c>
      <c r="V199" s="35">
        <v>40782</v>
      </c>
      <c r="W199" s="35">
        <f t="shared" ref="W199:AP199" si="204">B199-B198</f>
        <v>16</v>
      </c>
      <c r="X199" s="35">
        <f t="shared" si="204"/>
        <v>20</v>
      </c>
      <c r="Y199" s="35">
        <f t="shared" si="204"/>
        <v>14</v>
      </c>
      <c r="Z199" s="35">
        <f t="shared" si="204"/>
        <v>135</v>
      </c>
      <c r="AA199" s="35">
        <f t="shared" si="204"/>
        <v>197</v>
      </c>
      <c r="AB199" s="35">
        <f t="shared" si="204"/>
        <v>51</v>
      </c>
      <c r="AC199" s="35">
        <f t="shared" si="204"/>
        <v>9</v>
      </c>
      <c r="AD199" s="35">
        <f t="shared" si="204"/>
        <v>109</v>
      </c>
      <c r="AE199" s="35">
        <f t="shared" si="204"/>
        <v>59</v>
      </c>
      <c r="AF199" s="35">
        <f t="shared" si="204"/>
        <v>40</v>
      </c>
      <c r="AG199" s="35">
        <f t="shared" si="204"/>
        <v>26</v>
      </c>
      <c r="AH199" s="35">
        <f t="shared" si="204"/>
        <v>15</v>
      </c>
      <c r="AI199" s="35">
        <f t="shared" si="204"/>
        <v>21</v>
      </c>
      <c r="AJ199" s="35">
        <f t="shared" si="204"/>
        <v>98</v>
      </c>
      <c r="AK199" s="35">
        <f t="shared" si="204"/>
        <v>10</v>
      </c>
      <c r="AL199" s="35">
        <f t="shared" si="204"/>
        <v>37</v>
      </c>
      <c r="AM199" s="35">
        <f t="shared" si="204"/>
        <v>-3</v>
      </c>
      <c r="AN199" s="35">
        <f t="shared" si="204"/>
        <v>34</v>
      </c>
      <c r="AO199" s="35">
        <f t="shared" si="204"/>
        <v>23</v>
      </c>
      <c r="AP199" s="35">
        <f t="shared" si="204"/>
        <v>9</v>
      </c>
    </row>
    <row r="200" spans="1:42" ht="13">
      <c r="A200" s="36">
        <v>44119</v>
      </c>
      <c r="B200" s="35">
        <v>926</v>
      </c>
      <c r="C200" s="35">
        <v>1124</v>
      </c>
      <c r="D200" s="35">
        <v>555</v>
      </c>
      <c r="E200" s="35">
        <v>2268</v>
      </c>
      <c r="F200" s="35">
        <v>13525</v>
      </c>
      <c r="G200" s="35">
        <v>1820</v>
      </c>
      <c r="H200" s="35">
        <v>1645</v>
      </c>
      <c r="I200" s="35">
        <v>2557</v>
      </c>
      <c r="J200" s="35">
        <v>1948</v>
      </c>
      <c r="K200" s="35">
        <v>827</v>
      </c>
      <c r="L200" s="35">
        <v>1158</v>
      </c>
      <c r="M200" s="35">
        <v>1161</v>
      </c>
      <c r="N200" s="35">
        <v>836</v>
      </c>
      <c r="O200" s="35">
        <v>5298</v>
      </c>
      <c r="P200" s="35">
        <v>756</v>
      </c>
      <c r="Q200" s="35">
        <v>1943</v>
      </c>
      <c r="R200" s="35">
        <v>390</v>
      </c>
      <c r="S200" s="35">
        <v>953</v>
      </c>
      <c r="T200" s="35">
        <v>1149</v>
      </c>
      <c r="U200" s="35">
        <v>893</v>
      </c>
      <c r="V200" s="35">
        <v>41732</v>
      </c>
      <c r="W200" s="35">
        <f t="shared" ref="W200:AP200" si="205">B200-B199</f>
        <v>26</v>
      </c>
      <c r="X200" s="35">
        <f t="shared" si="205"/>
        <v>29</v>
      </c>
      <c r="Y200" s="35">
        <f t="shared" si="205"/>
        <v>3</v>
      </c>
      <c r="Z200" s="35">
        <f t="shared" si="205"/>
        <v>54</v>
      </c>
      <c r="AA200" s="35">
        <f t="shared" si="205"/>
        <v>293</v>
      </c>
      <c r="AB200" s="35">
        <f t="shared" si="205"/>
        <v>50</v>
      </c>
      <c r="AC200" s="35">
        <f t="shared" si="205"/>
        <v>51</v>
      </c>
      <c r="AD200" s="35">
        <f t="shared" si="205"/>
        <v>63</v>
      </c>
      <c r="AE200" s="35">
        <f t="shared" si="205"/>
        <v>36</v>
      </c>
      <c r="AF200" s="35">
        <f t="shared" si="205"/>
        <v>41</v>
      </c>
      <c r="AG200" s="35">
        <f t="shared" si="205"/>
        <v>61</v>
      </c>
      <c r="AH200" s="35">
        <f t="shared" si="205"/>
        <v>9</v>
      </c>
      <c r="AI200" s="35">
        <f t="shared" si="205"/>
        <v>16</v>
      </c>
      <c r="AJ200" s="35">
        <f t="shared" si="205"/>
        <v>119</v>
      </c>
      <c r="AK200" s="35">
        <f t="shared" si="205"/>
        <v>28</v>
      </c>
      <c r="AL200" s="35">
        <f t="shared" si="205"/>
        <v>20</v>
      </c>
      <c r="AM200" s="35">
        <f t="shared" si="205"/>
        <v>9</v>
      </c>
      <c r="AN200" s="35">
        <f t="shared" si="205"/>
        <v>4</v>
      </c>
      <c r="AO200" s="35">
        <f t="shared" si="205"/>
        <v>23</v>
      </c>
      <c r="AP200" s="35">
        <f t="shared" si="205"/>
        <v>15</v>
      </c>
    </row>
    <row r="201" spans="1:42" ht="13">
      <c r="A201" s="36">
        <v>44120</v>
      </c>
      <c r="B201" s="35">
        <v>980</v>
      </c>
      <c r="C201" s="35">
        <v>1172</v>
      </c>
      <c r="D201" s="35">
        <v>583</v>
      </c>
      <c r="E201" s="35">
        <v>2311</v>
      </c>
      <c r="F201" s="35">
        <v>13804</v>
      </c>
      <c r="G201" s="35">
        <v>1876</v>
      </c>
      <c r="H201" s="35">
        <v>1687</v>
      </c>
      <c r="I201" s="35">
        <v>2632</v>
      </c>
      <c r="J201" s="35">
        <v>1979</v>
      </c>
      <c r="K201" s="35">
        <v>854</v>
      </c>
      <c r="L201" s="35">
        <v>1177</v>
      </c>
      <c r="M201" s="35">
        <v>1213</v>
      </c>
      <c r="N201" s="35">
        <v>879</v>
      </c>
      <c r="O201" s="35">
        <v>5546</v>
      </c>
      <c r="P201" s="35">
        <v>781</v>
      </c>
      <c r="Q201" s="35">
        <v>1989</v>
      </c>
      <c r="R201" s="35">
        <v>422</v>
      </c>
      <c r="S201" s="35">
        <v>1008</v>
      </c>
      <c r="T201" s="35">
        <v>1192</v>
      </c>
      <c r="U201" s="35">
        <v>940</v>
      </c>
      <c r="V201" s="35">
        <v>43025</v>
      </c>
      <c r="W201" s="35">
        <f t="shared" ref="W201:AP201" si="206">B201-B200</f>
        <v>54</v>
      </c>
      <c r="X201" s="35">
        <f t="shared" si="206"/>
        <v>48</v>
      </c>
      <c r="Y201" s="35">
        <f t="shared" si="206"/>
        <v>28</v>
      </c>
      <c r="Z201" s="35">
        <f t="shared" si="206"/>
        <v>43</v>
      </c>
      <c r="AA201" s="35">
        <f t="shared" si="206"/>
        <v>279</v>
      </c>
      <c r="AB201" s="35">
        <f t="shared" si="206"/>
        <v>56</v>
      </c>
      <c r="AC201" s="35">
        <f t="shared" si="206"/>
        <v>42</v>
      </c>
      <c r="AD201" s="35">
        <f t="shared" si="206"/>
        <v>75</v>
      </c>
      <c r="AE201" s="35">
        <f t="shared" si="206"/>
        <v>31</v>
      </c>
      <c r="AF201" s="35">
        <f t="shared" si="206"/>
        <v>27</v>
      </c>
      <c r="AG201" s="35">
        <f t="shared" si="206"/>
        <v>19</v>
      </c>
      <c r="AH201" s="35">
        <f t="shared" si="206"/>
        <v>52</v>
      </c>
      <c r="AI201" s="35">
        <f t="shared" si="206"/>
        <v>43</v>
      </c>
      <c r="AJ201" s="35">
        <f t="shared" si="206"/>
        <v>248</v>
      </c>
      <c r="AK201" s="35">
        <f t="shared" si="206"/>
        <v>25</v>
      </c>
      <c r="AL201" s="35">
        <f t="shared" si="206"/>
        <v>46</v>
      </c>
      <c r="AM201" s="35">
        <f t="shared" si="206"/>
        <v>32</v>
      </c>
      <c r="AN201" s="35">
        <f t="shared" si="206"/>
        <v>55</v>
      </c>
      <c r="AO201" s="35">
        <f t="shared" si="206"/>
        <v>43</v>
      </c>
      <c r="AP201" s="35">
        <f t="shared" si="206"/>
        <v>47</v>
      </c>
    </row>
    <row r="202" spans="1:42" ht="13">
      <c r="A202" s="36">
        <v>44121</v>
      </c>
      <c r="B202" s="35">
        <v>1029</v>
      </c>
      <c r="C202" s="35">
        <v>1225</v>
      </c>
      <c r="D202" s="35">
        <v>620</v>
      </c>
      <c r="E202" s="35">
        <v>2460</v>
      </c>
      <c r="F202" s="35">
        <v>14172</v>
      </c>
      <c r="G202" s="35">
        <v>1961</v>
      </c>
      <c r="H202" s="35">
        <v>1738</v>
      </c>
      <c r="I202" s="35">
        <v>2784</v>
      </c>
      <c r="J202" s="35">
        <v>2043</v>
      </c>
      <c r="K202" s="35">
        <v>928</v>
      </c>
      <c r="L202" s="35">
        <v>1212</v>
      </c>
      <c r="M202" s="35">
        <v>1246</v>
      </c>
      <c r="N202" s="35">
        <v>938</v>
      </c>
      <c r="O202" s="35">
        <v>5744</v>
      </c>
      <c r="P202" s="35">
        <v>818</v>
      </c>
      <c r="Q202" s="35">
        <v>2090</v>
      </c>
      <c r="R202" s="35">
        <v>460</v>
      </c>
      <c r="S202" s="35">
        <v>1100</v>
      </c>
      <c r="T202" s="35">
        <v>1256</v>
      </c>
      <c r="U202" s="35">
        <v>992</v>
      </c>
      <c r="V202" s="35">
        <v>44816</v>
      </c>
      <c r="W202" s="35">
        <f t="shared" ref="W202:AP202" si="207">B202-B201</f>
        <v>49</v>
      </c>
      <c r="X202" s="35">
        <f t="shared" si="207"/>
        <v>53</v>
      </c>
      <c r="Y202" s="35">
        <f t="shared" si="207"/>
        <v>37</v>
      </c>
      <c r="Z202" s="35">
        <f t="shared" si="207"/>
        <v>149</v>
      </c>
      <c r="AA202" s="35">
        <f t="shared" si="207"/>
        <v>368</v>
      </c>
      <c r="AB202" s="35">
        <f t="shared" si="207"/>
        <v>85</v>
      </c>
      <c r="AC202" s="35">
        <f t="shared" si="207"/>
        <v>51</v>
      </c>
      <c r="AD202" s="35">
        <f t="shared" si="207"/>
        <v>152</v>
      </c>
      <c r="AE202" s="35">
        <f t="shared" si="207"/>
        <v>64</v>
      </c>
      <c r="AF202" s="35">
        <f t="shared" si="207"/>
        <v>74</v>
      </c>
      <c r="AG202" s="35">
        <f t="shared" si="207"/>
        <v>35</v>
      </c>
      <c r="AH202" s="35">
        <f t="shared" si="207"/>
        <v>33</v>
      </c>
      <c r="AI202" s="35">
        <f t="shared" si="207"/>
        <v>59</v>
      </c>
      <c r="AJ202" s="35">
        <f t="shared" si="207"/>
        <v>198</v>
      </c>
      <c r="AK202" s="35">
        <f t="shared" si="207"/>
        <v>37</v>
      </c>
      <c r="AL202" s="35">
        <f t="shared" si="207"/>
        <v>101</v>
      </c>
      <c r="AM202" s="35">
        <f t="shared" si="207"/>
        <v>38</v>
      </c>
      <c r="AN202" s="35">
        <f t="shared" si="207"/>
        <v>92</v>
      </c>
      <c r="AO202" s="35">
        <f t="shared" si="207"/>
        <v>64</v>
      </c>
      <c r="AP202" s="35">
        <f t="shared" si="207"/>
        <v>52</v>
      </c>
    </row>
    <row r="203" spans="1:42" ht="13">
      <c r="A203" s="36">
        <v>44122</v>
      </c>
      <c r="B203" s="35">
        <v>1067</v>
      </c>
      <c r="C203" s="35">
        <v>1281</v>
      </c>
      <c r="D203" s="35">
        <v>642</v>
      </c>
      <c r="E203" s="35">
        <v>2585</v>
      </c>
      <c r="F203" s="35">
        <v>14434</v>
      </c>
      <c r="G203" s="35">
        <v>1992</v>
      </c>
      <c r="H203" s="35">
        <v>1778</v>
      </c>
      <c r="I203" s="35">
        <v>2873</v>
      </c>
      <c r="J203" s="35">
        <v>2136</v>
      </c>
      <c r="K203" s="35">
        <v>990</v>
      </c>
      <c r="L203" s="35">
        <v>1232</v>
      </c>
      <c r="M203" s="35">
        <v>1265</v>
      </c>
      <c r="N203" s="35">
        <v>1028</v>
      </c>
      <c r="O203" s="35">
        <v>5989</v>
      </c>
      <c r="P203" s="35">
        <v>867</v>
      </c>
      <c r="Q203" s="35">
        <v>2217</v>
      </c>
      <c r="R203" s="35">
        <v>471</v>
      </c>
      <c r="S203" s="35">
        <v>1159</v>
      </c>
      <c r="T203" s="35">
        <v>1258</v>
      </c>
      <c r="U203" s="35">
        <v>1026</v>
      </c>
      <c r="V203" s="35">
        <v>46290</v>
      </c>
      <c r="W203" s="35">
        <f t="shared" ref="W203:AP203" si="208">B203-B202</f>
        <v>38</v>
      </c>
      <c r="X203" s="35">
        <f t="shared" si="208"/>
        <v>56</v>
      </c>
      <c r="Y203" s="35">
        <f t="shared" si="208"/>
        <v>22</v>
      </c>
      <c r="Z203" s="35">
        <f t="shared" si="208"/>
        <v>125</v>
      </c>
      <c r="AA203" s="35">
        <f t="shared" si="208"/>
        <v>262</v>
      </c>
      <c r="AB203" s="35">
        <f t="shared" si="208"/>
        <v>31</v>
      </c>
      <c r="AC203" s="35">
        <f t="shared" si="208"/>
        <v>40</v>
      </c>
      <c r="AD203" s="35">
        <f t="shared" si="208"/>
        <v>89</v>
      </c>
      <c r="AE203" s="35">
        <f t="shared" si="208"/>
        <v>93</v>
      </c>
      <c r="AF203" s="35">
        <f t="shared" si="208"/>
        <v>62</v>
      </c>
      <c r="AG203" s="35">
        <f t="shared" si="208"/>
        <v>20</v>
      </c>
      <c r="AH203" s="35">
        <f t="shared" si="208"/>
        <v>19</v>
      </c>
      <c r="AI203" s="35">
        <f t="shared" si="208"/>
        <v>90</v>
      </c>
      <c r="AJ203" s="35">
        <f t="shared" si="208"/>
        <v>245</v>
      </c>
      <c r="AK203" s="35">
        <f t="shared" si="208"/>
        <v>49</v>
      </c>
      <c r="AL203" s="35">
        <f t="shared" si="208"/>
        <v>127</v>
      </c>
      <c r="AM203" s="35">
        <f t="shared" si="208"/>
        <v>11</v>
      </c>
      <c r="AN203" s="35">
        <f t="shared" si="208"/>
        <v>59</v>
      </c>
      <c r="AO203" s="35">
        <f t="shared" si="208"/>
        <v>2</v>
      </c>
      <c r="AP203" s="35">
        <f t="shared" si="208"/>
        <v>34</v>
      </c>
    </row>
    <row r="204" spans="1:42" ht="13">
      <c r="A204" s="36">
        <v>44123</v>
      </c>
      <c r="B204" s="35">
        <v>1114</v>
      </c>
      <c r="C204" s="35">
        <v>1310</v>
      </c>
      <c r="D204" s="35">
        <v>688</v>
      </c>
      <c r="E204" s="35">
        <v>2711</v>
      </c>
      <c r="F204" s="35">
        <v>14622</v>
      </c>
      <c r="G204" s="35">
        <v>2070</v>
      </c>
      <c r="H204" s="35">
        <v>1819</v>
      </c>
      <c r="I204" s="35">
        <v>2961</v>
      </c>
      <c r="J204" s="35">
        <v>2312</v>
      </c>
      <c r="K204" s="35">
        <v>1011</v>
      </c>
      <c r="L204" s="35">
        <v>1292</v>
      </c>
      <c r="M204" s="35">
        <v>1305</v>
      </c>
      <c r="N204" s="35">
        <v>1061</v>
      </c>
      <c r="O204" s="35">
        <v>6103</v>
      </c>
      <c r="P204" s="35">
        <v>881</v>
      </c>
      <c r="Q204" s="35">
        <v>2340</v>
      </c>
      <c r="R204" s="35">
        <v>492</v>
      </c>
      <c r="S204" s="35">
        <v>1249</v>
      </c>
      <c r="T204" s="35">
        <v>1349</v>
      </c>
      <c r="U204" s="35">
        <v>1078</v>
      </c>
      <c r="V204" s="35">
        <v>47768</v>
      </c>
      <c r="W204" s="35">
        <f t="shared" ref="W204:AP204" si="209">B204-B203</f>
        <v>47</v>
      </c>
      <c r="X204" s="35">
        <f t="shared" si="209"/>
        <v>29</v>
      </c>
      <c r="Y204" s="35">
        <f t="shared" si="209"/>
        <v>46</v>
      </c>
      <c r="Z204" s="35">
        <f t="shared" si="209"/>
        <v>126</v>
      </c>
      <c r="AA204" s="35">
        <f t="shared" si="209"/>
        <v>188</v>
      </c>
      <c r="AB204" s="35">
        <f t="shared" si="209"/>
        <v>78</v>
      </c>
      <c r="AC204" s="35">
        <f t="shared" si="209"/>
        <v>41</v>
      </c>
      <c r="AD204" s="35">
        <f t="shared" si="209"/>
        <v>88</v>
      </c>
      <c r="AE204" s="35">
        <f t="shared" si="209"/>
        <v>176</v>
      </c>
      <c r="AF204" s="35">
        <f t="shared" si="209"/>
        <v>21</v>
      </c>
      <c r="AG204" s="35">
        <f t="shared" si="209"/>
        <v>60</v>
      </c>
      <c r="AH204" s="35">
        <f t="shared" si="209"/>
        <v>40</v>
      </c>
      <c r="AI204" s="35">
        <f t="shared" si="209"/>
        <v>33</v>
      </c>
      <c r="AJ204" s="35">
        <f t="shared" si="209"/>
        <v>114</v>
      </c>
      <c r="AK204" s="35">
        <f t="shared" si="209"/>
        <v>14</v>
      </c>
      <c r="AL204" s="35">
        <f t="shared" si="209"/>
        <v>123</v>
      </c>
      <c r="AM204" s="35">
        <f t="shared" si="209"/>
        <v>21</v>
      </c>
      <c r="AN204" s="35">
        <f t="shared" si="209"/>
        <v>90</v>
      </c>
      <c r="AO204" s="35">
        <f t="shared" si="209"/>
        <v>91</v>
      </c>
      <c r="AP204" s="35">
        <f t="shared" si="209"/>
        <v>52</v>
      </c>
    </row>
    <row r="205" spans="1:42" ht="13">
      <c r="A205" s="36">
        <v>44124</v>
      </c>
      <c r="B205" s="35">
        <v>1161</v>
      </c>
      <c r="C205" s="35">
        <v>1338</v>
      </c>
      <c r="D205" s="35">
        <v>704</v>
      </c>
      <c r="E205" s="35">
        <v>2715</v>
      </c>
      <c r="F205" s="35">
        <v>14889</v>
      </c>
      <c r="G205" s="35">
        <v>2121</v>
      </c>
      <c r="H205" s="35">
        <v>1831</v>
      </c>
      <c r="I205" s="35">
        <v>3000</v>
      </c>
      <c r="J205" s="35">
        <v>2314</v>
      </c>
      <c r="K205" s="35">
        <v>1071</v>
      </c>
      <c r="L205" s="35">
        <v>1317</v>
      </c>
      <c r="M205" s="35">
        <v>1355</v>
      </c>
      <c r="N205" s="35">
        <v>1095</v>
      </c>
      <c r="O205" s="35">
        <v>6244</v>
      </c>
      <c r="P205" s="35">
        <v>890</v>
      </c>
      <c r="Q205" s="35">
        <v>2351</v>
      </c>
      <c r="R205" s="35">
        <v>504</v>
      </c>
      <c r="S205" s="35">
        <v>1315</v>
      </c>
      <c r="T205" s="35">
        <v>1413</v>
      </c>
      <c r="U205" s="35">
        <v>1129</v>
      </c>
      <c r="V205" s="35">
        <v>48757</v>
      </c>
      <c r="W205" s="35">
        <f t="shared" ref="W205:AP205" si="210">B205-B204</f>
        <v>47</v>
      </c>
      <c r="X205" s="35">
        <f t="shared" si="210"/>
        <v>28</v>
      </c>
      <c r="Y205" s="35">
        <f t="shared" si="210"/>
        <v>16</v>
      </c>
      <c r="Z205" s="35">
        <f t="shared" si="210"/>
        <v>4</v>
      </c>
      <c r="AA205" s="35">
        <f t="shared" si="210"/>
        <v>267</v>
      </c>
      <c r="AB205" s="35">
        <f t="shared" si="210"/>
        <v>51</v>
      </c>
      <c r="AC205" s="35">
        <f t="shared" si="210"/>
        <v>12</v>
      </c>
      <c r="AD205" s="35">
        <f t="shared" si="210"/>
        <v>39</v>
      </c>
      <c r="AE205" s="35">
        <f t="shared" si="210"/>
        <v>2</v>
      </c>
      <c r="AF205" s="35">
        <f t="shared" si="210"/>
        <v>60</v>
      </c>
      <c r="AG205" s="35">
        <f t="shared" si="210"/>
        <v>25</v>
      </c>
      <c r="AH205" s="35">
        <f t="shared" si="210"/>
        <v>50</v>
      </c>
      <c r="AI205" s="35">
        <f t="shared" si="210"/>
        <v>34</v>
      </c>
      <c r="AJ205" s="35">
        <f t="shared" si="210"/>
        <v>141</v>
      </c>
      <c r="AK205" s="35">
        <f t="shared" si="210"/>
        <v>9</v>
      </c>
      <c r="AL205" s="35">
        <f t="shared" si="210"/>
        <v>11</v>
      </c>
      <c r="AM205" s="35">
        <f t="shared" si="210"/>
        <v>12</v>
      </c>
      <c r="AN205" s="35">
        <f t="shared" si="210"/>
        <v>66</v>
      </c>
      <c r="AO205" s="35">
        <f t="shared" si="210"/>
        <v>64</v>
      </c>
      <c r="AP205" s="35">
        <f t="shared" si="210"/>
        <v>51</v>
      </c>
    </row>
    <row r="206" spans="1:42" ht="13">
      <c r="A206" s="36">
        <v>44125</v>
      </c>
      <c r="B206" s="35">
        <v>1181</v>
      </c>
      <c r="C206" s="35">
        <v>1361</v>
      </c>
      <c r="D206" s="35">
        <v>726</v>
      </c>
      <c r="E206" s="35">
        <v>2939</v>
      </c>
      <c r="F206" s="35">
        <v>15173</v>
      </c>
      <c r="G206" s="35">
        <v>2135</v>
      </c>
      <c r="H206" s="35">
        <v>1862</v>
      </c>
      <c r="I206" s="35">
        <v>3133</v>
      </c>
      <c r="J206" s="35">
        <v>2413</v>
      </c>
      <c r="K206" s="35">
        <v>1110</v>
      </c>
      <c r="L206" s="35">
        <v>1334</v>
      </c>
      <c r="M206" s="35">
        <v>1397</v>
      </c>
      <c r="N206" s="35">
        <v>1126</v>
      </c>
      <c r="O206" s="35">
        <v>6387</v>
      </c>
      <c r="P206" s="35">
        <v>898</v>
      </c>
      <c r="Q206" s="35">
        <v>2523</v>
      </c>
      <c r="R206" s="35">
        <v>516</v>
      </c>
      <c r="S206" s="35">
        <v>1363</v>
      </c>
      <c r="T206" s="35">
        <v>1446</v>
      </c>
      <c r="U206" s="35">
        <v>1157</v>
      </c>
      <c r="V206" s="35">
        <v>50180</v>
      </c>
      <c r="W206" s="35">
        <f t="shared" ref="W206:AP206" si="211">B206-B205</f>
        <v>20</v>
      </c>
      <c r="X206" s="35">
        <f t="shared" si="211"/>
        <v>23</v>
      </c>
      <c r="Y206" s="35">
        <f t="shared" si="211"/>
        <v>22</v>
      </c>
      <c r="Z206" s="35">
        <f t="shared" si="211"/>
        <v>224</v>
      </c>
      <c r="AA206" s="35">
        <f t="shared" si="211"/>
        <v>284</v>
      </c>
      <c r="AB206" s="35">
        <f t="shared" si="211"/>
        <v>14</v>
      </c>
      <c r="AC206" s="35">
        <f t="shared" si="211"/>
        <v>31</v>
      </c>
      <c r="AD206" s="35">
        <f t="shared" si="211"/>
        <v>133</v>
      </c>
      <c r="AE206" s="35">
        <f t="shared" si="211"/>
        <v>99</v>
      </c>
      <c r="AF206" s="35">
        <f t="shared" si="211"/>
        <v>39</v>
      </c>
      <c r="AG206" s="35">
        <f t="shared" si="211"/>
        <v>17</v>
      </c>
      <c r="AH206" s="35">
        <f t="shared" si="211"/>
        <v>42</v>
      </c>
      <c r="AI206" s="35">
        <f t="shared" si="211"/>
        <v>31</v>
      </c>
      <c r="AJ206" s="35">
        <f t="shared" si="211"/>
        <v>143</v>
      </c>
      <c r="AK206" s="35">
        <f t="shared" si="211"/>
        <v>8</v>
      </c>
      <c r="AL206" s="35">
        <f t="shared" si="211"/>
        <v>172</v>
      </c>
      <c r="AM206" s="35">
        <f t="shared" si="211"/>
        <v>12</v>
      </c>
      <c r="AN206" s="35">
        <f t="shared" si="211"/>
        <v>48</v>
      </c>
      <c r="AO206" s="35">
        <f t="shared" si="211"/>
        <v>33</v>
      </c>
      <c r="AP206" s="35">
        <f t="shared" si="211"/>
        <v>28</v>
      </c>
    </row>
    <row r="207" spans="1:42" ht="13">
      <c r="A207" s="36">
        <v>44126</v>
      </c>
      <c r="B207" s="35">
        <v>1244</v>
      </c>
      <c r="C207" s="35">
        <v>1416</v>
      </c>
      <c r="D207" s="35">
        <v>752</v>
      </c>
      <c r="E207" s="35">
        <v>3185</v>
      </c>
      <c r="F207" s="35">
        <v>15623</v>
      </c>
      <c r="G207" s="35">
        <v>2197</v>
      </c>
      <c r="H207" s="35">
        <v>1927</v>
      </c>
      <c r="I207" s="35">
        <v>3276</v>
      </c>
      <c r="J207" s="35">
        <v>2557</v>
      </c>
      <c r="K207" s="35">
        <v>1173</v>
      </c>
      <c r="L207" s="35">
        <v>1436</v>
      </c>
      <c r="M207" s="35">
        <v>1401</v>
      </c>
      <c r="N207" s="35">
        <v>1190</v>
      </c>
      <c r="O207" s="35">
        <v>6565</v>
      </c>
      <c r="P207" s="35">
        <v>917</v>
      </c>
      <c r="Q207" s="35">
        <v>2698</v>
      </c>
      <c r="R207" s="35">
        <v>534</v>
      </c>
      <c r="S207" s="35">
        <v>1399</v>
      </c>
      <c r="T207" s="35">
        <v>1532</v>
      </c>
      <c r="U207" s="35">
        <v>1190</v>
      </c>
      <c r="V207" s="35">
        <v>52212</v>
      </c>
      <c r="W207" s="35">
        <f t="shared" ref="W207:AP207" si="212">B207-B206</f>
        <v>63</v>
      </c>
      <c r="X207" s="35">
        <f t="shared" si="212"/>
        <v>55</v>
      </c>
      <c r="Y207" s="35">
        <f t="shared" si="212"/>
        <v>26</v>
      </c>
      <c r="Z207" s="35">
        <f t="shared" si="212"/>
        <v>246</v>
      </c>
      <c r="AA207" s="35">
        <f t="shared" si="212"/>
        <v>450</v>
      </c>
      <c r="AB207" s="35">
        <f t="shared" si="212"/>
        <v>62</v>
      </c>
      <c r="AC207" s="35">
        <f t="shared" si="212"/>
        <v>65</v>
      </c>
      <c r="AD207" s="35">
        <f t="shared" si="212"/>
        <v>143</v>
      </c>
      <c r="AE207" s="35">
        <f t="shared" si="212"/>
        <v>144</v>
      </c>
      <c r="AF207" s="35">
        <f t="shared" si="212"/>
        <v>63</v>
      </c>
      <c r="AG207" s="35">
        <f t="shared" si="212"/>
        <v>102</v>
      </c>
      <c r="AH207" s="35">
        <f t="shared" si="212"/>
        <v>4</v>
      </c>
      <c r="AI207" s="35">
        <f t="shared" si="212"/>
        <v>64</v>
      </c>
      <c r="AJ207" s="35">
        <f t="shared" si="212"/>
        <v>178</v>
      </c>
      <c r="AK207" s="35">
        <f t="shared" si="212"/>
        <v>19</v>
      </c>
      <c r="AL207" s="35">
        <f t="shared" si="212"/>
        <v>175</v>
      </c>
      <c r="AM207" s="35">
        <f t="shared" si="212"/>
        <v>18</v>
      </c>
      <c r="AN207" s="35">
        <f t="shared" si="212"/>
        <v>36</v>
      </c>
      <c r="AO207" s="35">
        <f t="shared" si="212"/>
        <v>86</v>
      </c>
      <c r="AP207" s="35">
        <f t="shared" si="212"/>
        <v>33</v>
      </c>
    </row>
    <row r="208" spans="1:42" ht="13">
      <c r="A208" s="36">
        <v>44127</v>
      </c>
      <c r="B208" s="35">
        <v>1330</v>
      </c>
      <c r="C208" s="35">
        <v>1460</v>
      </c>
      <c r="D208" s="35">
        <v>793</v>
      </c>
      <c r="E208" s="35">
        <v>3248</v>
      </c>
      <c r="F208" s="35">
        <v>16047</v>
      </c>
      <c r="G208" s="35">
        <v>2326</v>
      </c>
      <c r="H208" s="35">
        <v>1961</v>
      </c>
      <c r="I208" s="35">
        <v>3371</v>
      </c>
      <c r="J208" s="35">
        <v>2755</v>
      </c>
      <c r="K208" s="35">
        <v>1207</v>
      </c>
      <c r="L208" s="35">
        <v>1547</v>
      </c>
      <c r="M208" s="35">
        <v>1436</v>
      </c>
      <c r="N208" s="35">
        <v>1273</v>
      </c>
      <c r="O208" s="35">
        <v>6827</v>
      </c>
      <c r="P208" s="35">
        <v>942</v>
      </c>
      <c r="Q208" s="35">
        <v>2847</v>
      </c>
      <c r="R208" s="35">
        <v>561</v>
      </c>
      <c r="S208" s="35">
        <v>1464</v>
      </c>
      <c r="T208" s="35">
        <v>1628</v>
      </c>
      <c r="U208" s="35">
        <v>1255</v>
      </c>
      <c r="V208" s="35">
        <v>54278</v>
      </c>
      <c r="W208" s="35">
        <f t="shared" ref="W208:AP208" si="213">B208-B207</f>
        <v>86</v>
      </c>
      <c r="X208" s="35">
        <f t="shared" si="213"/>
        <v>44</v>
      </c>
      <c r="Y208" s="35">
        <f t="shared" si="213"/>
        <v>41</v>
      </c>
      <c r="Z208" s="35">
        <f t="shared" si="213"/>
        <v>63</v>
      </c>
      <c r="AA208" s="35">
        <f t="shared" si="213"/>
        <v>424</v>
      </c>
      <c r="AB208" s="35">
        <f t="shared" si="213"/>
        <v>129</v>
      </c>
      <c r="AC208" s="35">
        <f t="shared" si="213"/>
        <v>34</v>
      </c>
      <c r="AD208" s="35">
        <f t="shared" si="213"/>
        <v>95</v>
      </c>
      <c r="AE208" s="35">
        <f t="shared" si="213"/>
        <v>198</v>
      </c>
      <c r="AF208" s="35">
        <f t="shared" si="213"/>
        <v>34</v>
      </c>
      <c r="AG208" s="35">
        <f t="shared" si="213"/>
        <v>111</v>
      </c>
      <c r="AH208" s="35">
        <f t="shared" si="213"/>
        <v>35</v>
      </c>
      <c r="AI208" s="35">
        <f t="shared" si="213"/>
        <v>83</v>
      </c>
      <c r="AJ208" s="35">
        <f t="shared" si="213"/>
        <v>262</v>
      </c>
      <c r="AK208" s="35">
        <f t="shared" si="213"/>
        <v>25</v>
      </c>
      <c r="AL208" s="35">
        <f t="shared" si="213"/>
        <v>149</v>
      </c>
      <c r="AM208" s="35">
        <f t="shared" si="213"/>
        <v>27</v>
      </c>
      <c r="AN208" s="35">
        <f t="shared" si="213"/>
        <v>65</v>
      </c>
      <c r="AO208" s="35">
        <f t="shared" si="213"/>
        <v>96</v>
      </c>
      <c r="AP208" s="35">
        <f t="shared" si="213"/>
        <v>65</v>
      </c>
    </row>
    <row r="209" spans="1:42" ht="13">
      <c r="A209" s="36">
        <v>44128</v>
      </c>
      <c r="B209" s="35">
        <v>1419</v>
      </c>
      <c r="C209" s="35">
        <v>1541</v>
      </c>
      <c r="D209" s="35">
        <v>843</v>
      </c>
      <c r="E209" s="35">
        <v>3275</v>
      </c>
      <c r="F209" s="35">
        <v>16472</v>
      </c>
      <c r="G209" s="35">
        <v>2456</v>
      </c>
      <c r="H209" s="35">
        <v>2028</v>
      </c>
      <c r="I209" s="35">
        <v>3511</v>
      </c>
      <c r="J209" s="35">
        <v>2767</v>
      </c>
      <c r="K209" s="35">
        <v>1297</v>
      </c>
      <c r="L209" s="35">
        <v>1603</v>
      </c>
      <c r="M209" s="35">
        <v>1495</v>
      </c>
      <c r="N209" s="35">
        <v>1310</v>
      </c>
      <c r="O209" s="35">
        <v>6998</v>
      </c>
      <c r="P209" s="35">
        <v>971</v>
      </c>
      <c r="Q209" s="35">
        <v>2851</v>
      </c>
      <c r="R209" s="35">
        <v>580</v>
      </c>
      <c r="S209" s="35">
        <v>1560</v>
      </c>
      <c r="T209" s="35">
        <v>1735</v>
      </c>
      <c r="U209" s="35">
        <v>1386</v>
      </c>
      <c r="V209" s="35">
        <v>56098</v>
      </c>
      <c r="W209" s="35">
        <f t="shared" ref="W209:AP209" si="214">B209-B208</f>
        <v>89</v>
      </c>
      <c r="X209" s="35">
        <f t="shared" si="214"/>
        <v>81</v>
      </c>
      <c r="Y209" s="35">
        <f t="shared" si="214"/>
        <v>50</v>
      </c>
      <c r="Z209" s="35">
        <f t="shared" si="214"/>
        <v>27</v>
      </c>
      <c r="AA209" s="35">
        <f t="shared" si="214"/>
        <v>425</v>
      </c>
      <c r="AB209" s="35">
        <f t="shared" si="214"/>
        <v>130</v>
      </c>
      <c r="AC209" s="35">
        <f t="shared" si="214"/>
        <v>67</v>
      </c>
      <c r="AD209" s="35">
        <f t="shared" si="214"/>
        <v>140</v>
      </c>
      <c r="AE209" s="35">
        <f t="shared" si="214"/>
        <v>12</v>
      </c>
      <c r="AF209" s="35">
        <f t="shared" si="214"/>
        <v>90</v>
      </c>
      <c r="AG209" s="35">
        <f t="shared" si="214"/>
        <v>56</v>
      </c>
      <c r="AH209" s="35">
        <f t="shared" si="214"/>
        <v>59</v>
      </c>
      <c r="AI209" s="35">
        <f t="shared" si="214"/>
        <v>37</v>
      </c>
      <c r="AJ209" s="35">
        <f t="shared" si="214"/>
        <v>171</v>
      </c>
      <c r="AK209" s="35">
        <f t="shared" si="214"/>
        <v>29</v>
      </c>
      <c r="AL209" s="35">
        <f t="shared" si="214"/>
        <v>4</v>
      </c>
      <c r="AM209" s="35">
        <f t="shared" si="214"/>
        <v>19</v>
      </c>
      <c r="AN209" s="35">
        <f t="shared" si="214"/>
        <v>96</v>
      </c>
      <c r="AO209" s="35">
        <f t="shared" si="214"/>
        <v>107</v>
      </c>
      <c r="AP209" s="35">
        <f t="shared" si="214"/>
        <v>131</v>
      </c>
    </row>
    <row r="210" spans="1:42" ht="13">
      <c r="A210" s="36">
        <v>44129</v>
      </c>
      <c r="B210" s="35">
        <v>1526</v>
      </c>
      <c r="C210" s="35">
        <v>1657</v>
      </c>
      <c r="D210" s="35">
        <v>879</v>
      </c>
      <c r="E210" s="35">
        <v>3632</v>
      </c>
      <c r="F210" s="35">
        <v>16958</v>
      </c>
      <c r="G210" s="35">
        <v>2657</v>
      </c>
      <c r="H210" s="35">
        <v>2141</v>
      </c>
      <c r="I210" s="35">
        <v>3667</v>
      </c>
      <c r="J210" s="35">
        <v>2879</v>
      </c>
      <c r="K210" s="35">
        <v>1410</v>
      </c>
      <c r="L210" s="35">
        <v>1762</v>
      </c>
      <c r="M210" s="35">
        <v>1555</v>
      </c>
      <c r="N210" s="35">
        <v>1414</v>
      </c>
      <c r="O210" s="35">
        <v>7350</v>
      </c>
      <c r="P210" s="35">
        <v>1022</v>
      </c>
      <c r="Q210" s="35">
        <v>2941</v>
      </c>
      <c r="R210" s="35">
        <v>609</v>
      </c>
      <c r="S210" s="35">
        <v>1771</v>
      </c>
      <c r="T210" s="35">
        <v>1951</v>
      </c>
      <c r="U210" s="35">
        <v>1466</v>
      </c>
      <c r="V210" s="35">
        <f t="shared" ref="V210:V218" si="215">SUM(B210:U210)</f>
        <v>59247</v>
      </c>
      <c r="W210" s="35">
        <f t="shared" ref="W210:AP210" si="216">B210-B209</f>
        <v>107</v>
      </c>
      <c r="X210" s="35">
        <f t="shared" si="216"/>
        <v>116</v>
      </c>
      <c r="Y210" s="35">
        <f t="shared" si="216"/>
        <v>36</v>
      </c>
      <c r="Z210" s="35">
        <f t="shared" si="216"/>
        <v>357</v>
      </c>
      <c r="AA210" s="35">
        <f t="shared" si="216"/>
        <v>486</v>
      </c>
      <c r="AB210" s="35">
        <f t="shared" si="216"/>
        <v>201</v>
      </c>
      <c r="AC210" s="35">
        <f t="shared" si="216"/>
        <v>113</v>
      </c>
      <c r="AD210" s="35">
        <f t="shared" si="216"/>
        <v>156</v>
      </c>
      <c r="AE210" s="35">
        <f t="shared" si="216"/>
        <v>112</v>
      </c>
      <c r="AF210" s="35">
        <f t="shared" si="216"/>
        <v>113</v>
      </c>
      <c r="AG210" s="35">
        <f t="shared" si="216"/>
        <v>159</v>
      </c>
      <c r="AH210" s="35">
        <f t="shared" si="216"/>
        <v>60</v>
      </c>
      <c r="AI210" s="35">
        <f t="shared" si="216"/>
        <v>104</v>
      </c>
      <c r="AJ210" s="35">
        <f t="shared" si="216"/>
        <v>352</v>
      </c>
      <c r="AK210" s="35">
        <f t="shared" si="216"/>
        <v>51</v>
      </c>
      <c r="AL210" s="35">
        <f t="shared" si="216"/>
        <v>90</v>
      </c>
      <c r="AM210" s="35">
        <f t="shared" si="216"/>
        <v>29</v>
      </c>
      <c r="AN210" s="35">
        <f t="shared" si="216"/>
        <v>211</v>
      </c>
      <c r="AO210" s="35">
        <f t="shared" si="216"/>
        <v>216</v>
      </c>
      <c r="AP210" s="35">
        <f t="shared" si="216"/>
        <v>80</v>
      </c>
    </row>
    <row r="211" spans="1:42" ht="13">
      <c r="A211" s="36">
        <v>44130</v>
      </c>
      <c r="B211" s="35">
        <v>1619</v>
      </c>
      <c r="C211" s="35">
        <v>1691</v>
      </c>
      <c r="D211" s="35">
        <v>975</v>
      </c>
      <c r="E211" s="35">
        <v>3735</v>
      </c>
      <c r="F211" s="35">
        <v>17381</v>
      </c>
      <c r="G211" s="35">
        <v>2752</v>
      </c>
      <c r="H211" s="35">
        <v>2192</v>
      </c>
      <c r="I211" s="35">
        <v>3832</v>
      </c>
      <c r="J211" s="35">
        <v>2913</v>
      </c>
      <c r="K211" s="35">
        <v>1466</v>
      </c>
      <c r="L211" s="35">
        <v>1876</v>
      </c>
      <c r="M211" s="35">
        <v>1559</v>
      </c>
      <c r="N211" s="35">
        <v>1500</v>
      </c>
      <c r="O211" s="35">
        <v>7714</v>
      </c>
      <c r="P211" s="35">
        <v>1027</v>
      </c>
      <c r="Q211" s="35">
        <v>3178</v>
      </c>
      <c r="R211" s="35">
        <v>627</v>
      </c>
      <c r="S211" s="35">
        <v>1873</v>
      </c>
      <c r="T211" s="35">
        <v>2056</v>
      </c>
      <c r="U211" s="35">
        <v>1597</v>
      </c>
      <c r="V211" s="35">
        <f t="shared" si="215"/>
        <v>61563</v>
      </c>
      <c r="W211" s="35">
        <f t="shared" ref="W211:AP211" si="217">B211-B210</f>
        <v>93</v>
      </c>
      <c r="X211" s="35">
        <f t="shared" si="217"/>
        <v>34</v>
      </c>
      <c r="Y211" s="35">
        <f t="shared" si="217"/>
        <v>96</v>
      </c>
      <c r="Z211" s="35">
        <f t="shared" si="217"/>
        <v>103</v>
      </c>
      <c r="AA211" s="35">
        <f t="shared" si="217"/>
        <v>423</v>
      </c>
      <c r="AB211" s="35">
        <f t="shared" si="217"/>
        <v>95</v>
      </c>
      <c r="AC211" s="35">
        <f t="shared" si="217"/>
        <v>51</v>
      </c>
      <c r="AD211" s="35">
        <f t="shared" si="217"/>
        <v>165</v>
      </c>
      <c r="AE211" s="35">
        <f t="shared" si="217"/>
        <v>34</v>
      </c>
      <c r="AF211" s="35">
        <f t="shared" si="217"/>
        <v>56</v>
      </c>
      <c r="AG211" s="35">
        <f t="shared" si="217"/>
        <v>114</v>
      </c>
      <c r="AH211" s="35">
        <f t="shared" si="217"/>
        <v>4</v>
      </c>
      <c r="AI211" s="35">
        <f t="shared" si="217"/>
        <v>86</v>
      </c>
      <c r="AJ211" s="35">
        <f t="shared" si="217"/>
        <v>364</v>
      </c>
      <c r="AK211" s="35">
        <f t="shared" si="217"/>
        <v>5</v>
      </c>
      <c r="AL211" s="35">
        <f t="shared" si="217"/>
        <v>237</v>
      </c>
      <c r="AM211" s="35">
        <f t="shared" si="217"/>
        <v>18</v>
      </c>
      <c r="AN211" s="35">
        <f t="shared" si="217"/>
        <v>102</v>
      </c>
      <c r="AO211" s="35">
        <f t="shared" si="217"/>
        <v>105</v>
      </c>
      <c r="AP211" s="35">
        <f t="shared" si="217"/>
        <v>131</v>
      </c>
    </row>
    <row r="212" spans="1:42" ht="13">
      <c r="A212" s="36">
        <v>44131</v>
      </c>
      <c r="B212" s="35">
        <v>1659</v>
      </c>
      <c r="C212" s="35">
        <v>1716</v>
      </c>
      <c r="D212" s="35">
        <v>1021</v>
      </c>
      <c r="E212" s="35">
        <v>4014</v>
      </c>
      <c r="F212" s="35">
        <v>17781</v>
      </c>
      <c r="G212" s="35">
        <v>2794</v>
      </c>
      <c r="H212" s="35">
        <v>2249</v>
      </c>
      <c r="I212" s="35">
        <v>3912</v>
      </c>
      <c r="J212" s="35">
        <v>3082</v>
      </c>
      <c r="K212" s="35">
        <v>1508</v>
      </c>
      <c r="L212" s="35">
        <v>1909</v>
      </c>
      <c r="M212" s="35">
        <v>1648</v>
      </c>
      <c r="N212" s="35">
        <v>1615</v>
      </c>
      <c r="O212" s="35">
        <v>7971</v>
      </c>
      <c r="P212" s="35">
        <v>1038</v>
      </c>
      <c r="Q212" s="35">
        <v>3322</v>
      </c>
      <c r="R212" s="35">
        <v>638</v>
      </c>
      <c r="S212" s="35">
        <v>1946</v>
      </c>
      <c r="T212" s="35">
        <v>2204</v>
      </c>
      <c r="U212" s="35">
        <v>1615</v>
      </c>
      <c r="V212" s="35">
        <f t="shared" si="215"/>
        <v>63642</v>
      </c>
      <c r="W212" s="35">
        <f t="shared" ref="W212:AP212" si="218">B212-B211</f>
        <v>40</v>
      </c>
      <c r="X212" s="35">
        <f t="shared" si="218"/>
        <v>25</v>
      </c>
      <c r="Y212" s="35">
        <f t="shared" si="218"/>
        <v>46</v>
      </c>
      <c r="Z212" s="35">
        <f t="shared" si="218"/>
        <v>279</v>
      </c>
      <c r="AA212" s="35">
        <f t="shared" si="218"/>
        <v>400</v>
      </c>
      <c r="AB212" s="35">
        <f t="shared" si="218"/>
        <v>42</v>
      </c>
      <c r="AC212" s="35">
        <f t="shared" si="218"/>
        <v>57</v>
      </c>
      <c r="AD212" s="35">
        <f t="shared" si="218"/>
        <v>80</v>
      </c>
      <c r="AE212" s="35">
        <f t="shared" si="218"/>
        <v>169</v>
      </c>
      <c r="AF212" s="35">
        <f t="shared" si="218"/>
        <v>42</v>
      </c>
      <c r="AG212" s="35">
        <f t="shared" si="218"/>
        <v>33</v>
      </c>
      <c r="AH212" s="35">
        <f t="shared" si="218"/>
        <v>89</v>
      </c>
      <c r="AI212" s="35">
        <f t="shared" si="218"/>
        <v>115</v>
      </c>
      <c r="AJ212" s="35">
        <f t="shared" si="218"/>
        <v>257</v>
      </c>
      <c r="AK212" s="35">
        <f t="shared" si="218"/>
        <v>11</v>
      </c>
      <c r="AL212" s="35">
        <f t="shared" si="218"/>
        <v>144</v>
      </c>
      <c r="AM212" s="35">
        <f t="shared" si="218"/>
        <v>11</v>
      </c>
      <c r="AN212" s="35">
        <f t="shared" si="218"/>
        <v>73</v>
      </c>
      <c r="AO212" s="35">
        <f t="shared" si="218"/>
        <v>148</v>
      </c>
      <c r="AP212" s="35">
        <f t="shared" si="218"/>
        <v>18</v>
      </c>
    </row>
    <row r="213" spans="1:42" ht="13">
      <c r="A213" s="36">
        <v>44132</v>
      </c>
      <c r="B213" s="35">
        <v>1742</v>
      </c>
      <c r="C213" s="35">
        <v>1747</v>
      </c>
      <c r="D213" s="35">
        <v>1067</v>
      </c>
      <c r="E213" s="35">
        <v>4230</v>
      </c>
      <c r="F213" s="35">
        <v>18339</v>
      </c>
      <c r="G213" s="35">
        <v>2863</v>
      </c>
      <c r="H213" s="35">
        <v>2301</v>
      </c>
      <c r="I213" s="35">
        <v>4049</v>
      </c>
      <c r="J213" s="35">
        <v>3174</v>
      </c>
      <c r="K213" s="35">
        <v>1561</v>
      </c>
      <c r="L213" s="35">
        <v>1935</v>
      </c>
      <c r="M213" s="35">
        <v>1754</v>
      </c>
      <c r="N213" s="35">
        <v>1670</v>
      </c>
      <c r="O213" s="35">
        <v>8275</v>
      </c>
      <c r="P213" s="35">
        <v>1055</v>
      </c>
      <c r="Q213" s="35">
        <v>3495</v>
      </c>
      <c r="R213" s="35">
        <v>650</v>
      </c>
      <c r="S213" s="35">
        <v>2105</v>
      </c>
      <c r="T213" s="35">
        <v>2261</v>
      </c>
      <c r="U213" s="35">
        <v>1660</v>
      </c>
      <c r="V213" s="35">
        <f t="shared" si="215"/>
        <v>65933</v>
      </c>
      <c r="W213" s="35">
        <f t="shared" ref="W213:AP213" si="219">B213-B212</f>
        <v>83</v>
      </c>
      <c r="X213" s="35">
        <f t="shared" si="219"/>
        <v>31</v>
      </c>
      <c r="Y213" s="35">
        <f t="shared" si="219"/>
        <v>46</v>
      </c>
      <c r="Z213" s="35">
        <f t="shared" si="219"/>
        <v>216</v>
      </c>
      <c r="AA213" s="35">
        <f t="shared" si="219"/>
        <v>558</v>
      </c>
      <c r="AB213" s="35">
        <f t="shared" si="219"/>
        <v>69</v>
      </c>
      <c r="AC213" s="35">
        <f t="shared" si="219"/>
        <v>52</v>
      </c>
      <c r="AD213" s="35">
        <f t="shared" si="219"/>
        <v>137</v>
      </c>
      <c r="AE213" s="35">
        <f t="shared" si="219"/>
        <v>92</v>
      </c>
      <c r="AF213" s="35">
        <f t="shared" si="219"/>
        <v>53</v>
      </c>
      <c r="AG213" s="35">
        <f t="shared" si="219"/>
        <v>26</v>
      </c>
      <c r="AH213" s="35">
        <f t="shared" si="219"/>
        <v>106</v>
      </c>
      <c r="AI213" s="35">
        <f t="shared" si="219"/>
        <v>55</v>
      </c>
      <c r="AJ213" s="35">
        <f t="shared" si="219"/>
        <v>304</v>
      </c>
      <c r="AK213" s="35">
        <f t="shared" si="219"/>
        <v>17</v>
      </c>
      <c r="AL213" s="35">
        <f t="shared" si="219"/>
        <v>173</v>
      </c>
      <c r="AM213" s="35">
        <f t="shared" si="219"/>
        <v>12</v>
      </c>
      <c r="AN213" s="35">
        <f t="shared" si="219"/>
        <v>159</v>
      </c>
      <c r="AO213" s="35">
        <f t="shared" si="219"/>
        <v>57</v>
      </c>
      <c r="AP213" s="35">
        <f t="shared" si="219"/>
        <v>45</v>
      </c>
    </row>
    <row r="214" spans="1:42" ht="13">
      <c r="A214" s="36">
        <v>44133</v>
      </c>
      <c r="B214" s="35">
        <v>1836</v>
      </c>
      <c r="C214" s="35">
        <v>1878</v>
      </c>
      <c r="D214" s="35">
        <v>1121</v>
      </c>
      <c r="E214" s="35">
        <v>4334</v>
      </c>
      <c r="F214" s="35">
        <v>18874</v>
      </c>
      <c r="G214" s="35">
        <v>2952</v>
      </c>
      <c r="H214" s="35">
        <v>2383</v>
      </c>
      <c r="I214" s="35">
        <v>4114</v>
      </c>
      <c r="J214" s="35">
        <v>3297</v>
      </c>
      <c r="K214" s="35">
        <v>1645</v>
      </c>
      <c r="L214" s="35">
        <v>1989</v>
      </c>
      <c r="M214" s="35">
        <v>1780</v>
      </c>
      <c r="N214" s="35">
        <v>1711</v>
      </c>
      <c r="O214" s="35">
        <v>8601</v>
      </c>
      <c r="P214" s="35">
        <v>1109</v>
      </c>
      <c r="Q214" s="35">
        <v>3624</v>
      </c>
      <c r="R214" s="35">
        <v>666</v>
      </c>
      <c r="S214" s="35">
        <v>2177</v>
      </c>
      <c r="T214" s="35">
        <v>2307</v>
      </c>
      <c r="U214" s="35">
        <v>1729</v>
      </c>
      <c r="V214" s="35">
        <f t="shared" si="215"/>
        <v>68127</v>
      </c>
      <c r="W214" s="35">
        <f t="shared" ref="W214:AP214" si="220">B214-B213</f>
        <v>94</v>
      </c>
      <c r="X214" s="35">
        <f t="shared" si="220"/>
        <v>131</v>
      </c>
      <c r="Y214" s="35">
        <f t="shared" si="220"/>
        <v>54</v>
      </c>
      <c r="Z214" s="35">
        <f t="shared" si="220"/>
        <v>104</v>
      </c>
      <c r="AA214" s="35">
        <f t="shared" si="220"/>
        <v>535</v>
      </c>
      <c r="AB214" s="35">
        <f t="shared" si="220"/>
        <v>89</v>
      </c>
      <c r="AC214" s="35">
        <f t="shared" si="220"/>
        <v>82</v>
      </c>
      <c r="AD214" s="35">
        <f t="shared" si="220"/>
        <v>65</v>
      </c>
      <c r="AE214" s="35">
        <f t="shared" si="220"/>
        <v>123</v>
      </c>
      <c r="AF214" s="35">
        <f t="shared" si="220"/>
        <v>84</v>
      </c>
      <c r="AG214" s="35">
        <f t="shared" si="220"/>
        <v>54</v>
      </c>
      <c r="AH214" s="35">
        <f t="shared" si="220"/>
        <v>26</v>
      </c>
      <c r="AI214" s="35">
        <f t="shared" si="220"/>
        <v>41</v>
      </c>
      <c r="AJ214" s="35">
        <f t="shared" si="220"/>
        <v>326</v>
      </c>
      <c r="AK214" s="35">
        <f t="shared" si="220"/>
        <v>54</v>
      </c>
      <c r="AL214" s="35">
        <f t="shared" si="220"/>
        <v>129</v>
      </c>
      <c r="AM214" s="35">
        <f t="shared" si="220"/>
        <v>16</v>
      </c>
      <c r="AN214" s="35">
        <f t="shared" si="220"/>
        <v>72</v>
      </c>
      <c r="AO214" s="35">
        <f t="shared" si="220"/>
        <v>46</v>
      </c>
      <c r="AP214" s="35">
        <f t="shared" si="220"/>
        <v>69</v>
      </c>
    </row>
    <row r="215" spans="1:42" ht="13">
      <c r="A215" s="36">
        <v>44134</v>
      </c>
      <c r="B215" s="35">
        <v>2092</v>
      </c>
      <c r="C215" s="35">
        <v>2006</v>
      </c>
      <c r="D215" s="35">
        <v>1220</v>
      </c>
      <c r="E215" s="35">
        <v>4517</v>
      </c>
      <c r="F215" s="35">
        <v>19562</v>
      </c>
      <c r="G215" s="35">
        <v>3228</v>
      </c>
      <c r="H215" s="35">
        <v>2525</v>
      </c>
      <c r="I215" s="35">
        <v>4362</v>
      </c>
      <c r="J215" s="35">
        <v>3434</v>
      </c>
      <c r="K215" s="35">
        <v>1680</v>
      </c>
      <c r="L215" s="35">
        <v>2023</v>
      </c>
      <c r="M215" s="35">
        <v>1842</v>
      </c>
      <c r="N215" s="35">
        <v>1767</v>
      </c>
      <c r="O215" s="35">
        <v>8985</v>
      </c>
      <c r="P215" s="35">
        <v>1195</v>
      </c>
      <c r="Q215" s="35">
        <v>3737</v>
      </c>
      <c r="R215" s="35">
        <v>717</v>
      </c>
      <c r="S215" s="35">
        <v>2239</v>
      </c>
      <c r="T215" s="35">
        <v>2466</v>
      </c>
      <c r="U215" s="35">
        <v>1816</v>
      </c>
      <c r="V215" s="35">
        <f t="shared" si="215"/>
        <v>71413</v>
      </c>
      <c r="W215" s="35">
        <f t="shared" ref="W215:AP215" si="221">B215-B214</f>
        <v>256</v>
      </c>
      <c r="X215" s="35">
        <f t="shared" si="221"/>
        <v>128</v>
      </c>
      <c r="Y215" s="35">
        <f t="shared" si="221"/>
        <v>99</v>
      </c>
      <c r="Z215" s="35">
        <f t="shared" si="221"/>
        <v>183</v>
      </c>
      <c r="AA215" s="35">
        <f t="shared" si="221"/>
        <v>688</v>
      </c>
      <c r="AB215" s="35">
        <f t="shared" si="221"/>
        <v>276</v>
      </c>
      <c r="AC215" s="35">
        <f t="shared" si="221"/>
        <v>142</v>
      </c>
      <c r="AD215" s="35">
        <f t="shared" si="221"/>
        <v>248</v>
      </c>
      <c r="AE215" s="35">
        <f t="shared" si="221"/>
        <v>137</v>
      </c>
      <c r="AF215" s="35">
        <f t="shared" si="221"/>
        <v>35</v>
      </c>
      <c r="AG215" s="35">
        <f t="shared" si="221"/>
        <v>34</v>
      </c>
      <c r="AH215" s="35">
        <f t="shared" si="221"/>
        <v>62</v>
      </c>
      <c r="AI215" s="35">
        <f t="shared" si="221"/>
        <v>56</v>
      </c>
      <c r="AJ215" s="35">
        <f t="shared" si="221"/>
        <v>384</v>
      </c>
      <c r="AK215" s="35">
        <f t="shared" si="221"/>
        <v>86</v>
      </c>
      <c r="AL215" s="35">
        <f t="shared" si="221"/>
        <v>113</v>
      </c>
      <c r="AM215" s="35">
        <f t="shared" si="221"/>
        <v>51</v>
      </c>
      <c r="AN215" s="35">
        <f t="shared" si="221"/>
        <v>62</v>
      </c>
      <c r="AO215" s="35">
        <f t="shared" si="221"/>
        <v>159</v>
      </c>
      <c r="AP215" s="35">
        <f t="shared" si="221"/>
        <v>87</v>
      </c>
    </row>
    <row r="216" spans="1:42" ht="13">
      <c r="A216" s="36">
        <v>44135</v>
      </c>
      <c r="B216" s="35">
        <v>2288</v>
      </c>
      <c r="C216" s="35">
        <v>2106</v>
      </c>
      <c r="D216" s="35">
        <v>1372</v>
      </c>
      <c r="E216" s="35">
        <v>4836</v>
      </c>
      <c r="F216" s="35">
        <v>20231</v>
      </c>
      <c r="G216" s="35">
        <v>3413</v>
      </c>
      <c r="H216" s="35">
        <v>2641</v>
      </c>
      <c r="I216" s="35">
        <v>4797</v>
      </c>
      <c r="J216" s="35">
        <v>3834</v>
      </c>
      <c r="K216" s="35">
        <v>1753</v>
      </c>
      <c r="L216" s="35">
        <v>2038</v>
      </c>
      <c r="M216" s="35">
        <v>1907</v>
      </c>
      <c r="N216" s="35">
        <v>1857</v>
      </c>
      <c r="O216" s="35">
        <v>9276</v>
      </c>
      <c r="P216" s="35">
        <v>1264</v>
      </c>
      <c r="Q216" s="35">
        <v>3961</v>
      </c>
      <c r="R216" s="35">
        <v>773</v>
      </c>
      <c r="S216" s="35">
        <v>2419</v>
      </c>
      <c r="T216" s="35">
        <v>2584</v>
      </c>
      <c r="U216" s="35">
        <v>1971</v>
      </c>
      <c r="V216" s="35">
        <f t="shared" si="215"/>
        <v>75321</v>
      </c>
      <c r="W216" s="35">
        <f t="shared" ref="W216:AP216" si="222">B216-B215</f>
        <v>196</v>
      </c>
      <c r="X216" s="35">
        <f t="shared" si="222"/>
        <v>100</v>
      </c>
      <c r="Y216" s="35">
        <f t="shared" si="222"/>
        <v>152</v>
      </c>
      <c r="Z216" s="35">
        <f t="shared" si="222"/>
        <v>319</v>
      </c>
      <c r="AA216" s="35">
        <f t="shared" si="222"/>
        <v>669</v>
      </c>
      <c r="AB216" s="35">
        <f t="shared" si="222"/>
        <v>185</v>
      </c>
      <c r="AC216" s="35">
        <f t="shared" si="222"/>
        <v>116</v>
      </c>
      <c r="AD216" s="35">
        <f t="shared" si="222"/>
        <v>435</v>
      </c>
      <c r="AE216" s="35">
        <f t="shared" si="222"/>
        <v>400</v>
      </c>
      <c r="AF216" s="35">
        <f t="shared" si="222"/>
        <v>73</v>
      </c>
      <c r="AG216" s="35">
        <f t="shared" si="222"/>
        <v>15</v>
      </c>
      <c r="AH216" s="35">
        <f t="shared" si="222"/>
        <v>65</v>
      </c>
      <c r="AI216" s="35">
        <f t="shared" si="222"/>
        <v>90</v>
      </c>
      <c r="AJ216" s="35">
        <f t="shared" si="222"/>
        <v>291</v>
      </c>
      <c r="AK216" s="35">
        <f t="shared" si="222"/>
        <v>69</v>
      </c>
      <c r="AL216" s="35">
        <f t="shared" si="222"/>
        <v>224</v>
      </c>
      <c r="AM216" s="35">
        <f t="shared" si="222"/>
        <v>56</v>
      </c>
      <c r="AN216" s="35">
        <f t="shared" si="222"/>
        <v>180</v>
      </c>
      <c r="AO216" s="35">
        <f t="shared" si="222"/>
        <v>118</v>
      </c>
      <c r="AP216" s="35">
        <f t="shared" si="222"/>
        <v>155</v>
      </c>
    </row>
    <row r="217" spans="1:42" ht="13">
      <c r="A217" s="36">
        <v>44136</v>
      </c>
      <c r="B217" s="35">
        <v>2438</v>
      </c>
      <c r="C217" s="35">
        <v>2245</v>
      </c>
      <c r="D217" s="35">
        <v>1356</v>
      </c>
      <c r="E217" s="35">
        <v>6459</v>
      </c>
      <c r="F217" s="35">
        <v>20735</v>
      </c>
      <c r="G217" s="35">
        <v>3588</v>
      </c>
      <c r="H217" s="35">
        <v>2744</v>
      </c>
      <c r="I217" s="35">
        <v>4738</v>
      </c>
      <c r="J217" s="35">
        <v>4027</v>
      </c>
      <c r="K217" s="35">
        <v>1821</v>
      </c>
      <c r="L217" s="35">
        <v>2427</v>
      </c>
      <c r="M217" s="35">
        <v>1930</v>
      </c>
      <c r="N217" s="35">
        <v>1918</v>
      </c>
      <c r="O217" s="35">
        <v>9567</v>
      </c>
      <c r="P217" s="35">
        <v>1332</v>
      </c>
      <c r="Q217" s="35">
        <v>4055</v>
      </c>
      <c r="R217" s="35">
        <v>817</v>
      </c>
      <c r="S217" s="35">
        <v>2322</v>
      </c>
      <c r="T217" s="35">
        <v>2718</v>
      </c>
      <c r="U217" s="35">
        <v>1962</v>
      </c>
      <c r="V217" s="35">
        <f t="shared" si="215"/>
        <v>79199</v>
      </c>
      <c r="W217" s="35">
        <f t="shared" ref="W217:Y217" si="223">B217-B216</f>
        <v>150</v>
      </c>
      <c r="X217" s="35">
        <f t="shared" si="223"/>
        <v>139</v>
      </c>
      <c r="Y217" s="35">
        <f t="shared" si="223"/>
        <v>-16</v>
      </c>
      <c r="Z217" s="35">
        <v>1400</v>
      </c>
      <c r="AA217" s="35">
        <f t="shared" ref="AA217:AP217" si="224">F217-F216</f>
        <v>504</v>
      </c>
      <c r="AB217" s="35">
        <f t="shared" si="224"/>
        <v>175</v>
      </c>
      <c r="AC217" s="35">
        <f t="shared" si="224"/>
        <v>103</v>
      </c>
      <c r="AD217" s="35">
        <f t="shared" si="224"/>
        <v>-59</v>
      </c>
      <c r="AE217" s="35">
        <f t="shared" si="224"/>
        <v>193</v>
      </c>
      <c r="AF217" s="35">
        <f t="shared" si="224"/>
        <v>68</v>
      </c>
      <c r="AG217" s="35">
        <f t="shared" si="224"/>
        <v>389</v>
      </c>
      <c r="AH217" s="35">
        <f t="shared" si="224"/>
        <v>23</v>
      </c>
      <c r="AI217" s="35">
        <f t="shared" si="224"/>
        <v>61</v>
      </c>
      <c r="AJ217" s="35">
        <f t="shared" si="224"/>
        <v>291</v>
      </c>
      <c r="AK217" s="35">
        <f t="shared" si="224"/>
        <v>68</v>
      </c>
      <c r="AL217" s="35">
        <f t="shared" si="224"/>
        <v>94</v>
      </c>
      <c r="AM217" s="35">
        <f t="shared" si="224"/>
        <v>44</v>
      </c>
      <c r="AN217" s="35">
        <f t="shared" si="224"/>
        <v>-97</v>
      </c>
      <c r="AO217" s="35">
        <f t="shared" si="224"/>
        <v>134</v>
      </c>
      <c r="AP217" s="35">
        <f t="shared" si="224"/>
        <v>-9</v>
      </c>
    </row>
    <row r="218" spans="1:42" ht="13">
      <c r="A218" s="36">
        <v>44137</v>
      </c>
      <c r="B218" s="42">
        <v>2597</v>
      </c>
      <c r="C218" s="42">
        <v>2389</v>
      </c>
      <c r="D218" s="42">
        <v>1458</v>
      </c>
      <c r="E218" s="42">
        <v>5282</v>
      </c>
      <c r="F218" s="42">
        <v>21462</v>
      </c>
      <c r="G218" s="42">
        <v>3799</v>
      </c>
      <c r="H218" s="42">
        <v>2955</v>
      </c>
      <c r="I218" s="42">
        <v>5247</v>
      </c>
      <c r="J218" s="42">
        <v>4297</v>
      </c>
      <c r="K218" s="42">
        <v>1984</v>
      </c>
      <c r="L218" s="42">
        <v>2633</v>
      </c>
      <c r="M218" s="42">
        <v>2043</v>
      </c>
      <c r="N218" s="42">
        <v>2058</v>
      </c>
      <c r="O218" s="42">
        <v>10168</v>
      </c>
      <c r="P218" s="42">
        <v>1466</v>
      </c>
      <c r="Q218" s="42">
        <v>4495</v>
      </c>
      <c r="R218" s="42">
        <v>891</v>
      </c>
      <c r="S218" s="42">
        <v>2504</v>
      </c>
      <c r="T218" s="42">
        <v>2873</v>
      </c>
      <c r="U218" s="42">
        <v>2179</v>
      </c>
      <c r="V218" s="35">
        <f t="shared" si="215"/>
        <v>82780</v>
      </c>
      <c r="W218" s="35">
        <f t="shared" ref="W218:Y218" si="225">B218-B217</f>
        <v>159</v>
      </c>
      <c r="X218" s="35">
        <f t="shared" si="225"/>
        <v>144</v>
      </c>
      <c r="Y218" s="35">
        <f t="shared" si="225"/>
        <v>102</v>
      </c>
      <c r="Z218" s="35">
        <v>1400</v>
      </c>
      <c r="AA218" s="35">
        <f t="shared" ref="AA218:AP218" si="226">F218-F217</f>
        <v>727</v>
      </c>
      <c r="AB218" s="35">
        <f t="shared" si="226"/>
        <v>211</v>
      </c>
      <c r="AC218" s="35">
        <f t="shared" si="226"/>
        <v>211</v>
      </c>
      <c r="AD218" s="35">
        <f t="shared" si="226"/>
        <v>509</v>
      </c>
      <c r="AE218" s="35">
        <f t="shared" si="226"/>
        <v>270</v>
      </c>
      <c r="AF218" s="35">
        <f t="shared" si="226"/>
        <v>163</v>
      </c>
      <c r="AG218" s="35">
        <f t="shared" si="226"/>
        <v>206</v>
      </c>
      <c r="AH218" s="35">
        <f t="shared" si="226"/>
        <v>113</v>
      </c>
      <c r="AI218" s="35">
        <f t="shared" si="226"/>
        <v>140</v>
      </c>
      <c r="AJ218" s="35">
        <f t="shared" si="226"/>
        <v>601</v>
      </c>
      <c r="AK218" s="35">
        <f t="shared" si="226"/>
        <v>134</v>
      </c>
      <c r="AL218" s="35">
        <f t="shared" si="226"/>
        <v>440</v>
      </c>
      <c r="AM218" s="35">
        <f t="shared" si="226"/>
        <v>74</v>
      </c>
      <c r="AN218" s="35">
        <f t="shared" si="226"/>
        <v>182</v>
      </c>
      <c r="AO218" s="35">
        <f t="shared" si="226"/>
        <v>155</v>
      </c>
      <c r="AP218" s="35">
        <f t="shared" si="226"/>
        <v>217</v>
      </c>
    </row>
    <row r="219" spans="1:42" ht="13">
      <c r="A219" s="36">
        <v>44138</v>
      </c>
      <c r="B219" s="35">
        <v>2836</v>
      </c>
      <c r="C219" s="35">
        <v>2452</v>
      </c>
      <c r="D219" s="35">
        <v>1643</v>
      </c>
      <c r="E219" s="35">
        <v>5582</v>
      </c>
      <c r="F219" s="35">
        <v>22269</v>
      </c>
      <c r="G219" s="35">
        <v>3892</v>
      </c>
      <c r="H219" s="35">
        <v>3111</v>
      </c>
      <c r="I219" s="35">
        <v>5557</v>
      </c>
      <c r="J219" s="35">
        <v>4432</v>
      </c>
      <c r="K219" s="35">
        <v>2014</v>
      </c>
      <c r="L219" s="35">
        <v>2938</v>
      </c>
      <c r="M219" s="35">
        <v>2142</v>
      </c>
      <c r="N219" s="35">
        <v>2160</v>
      </c>
      <c r="O219" s="35">
        <v>10748</v>
      </c>
      <c r="P219" s="35">
        <v>1481</v>
      </c>
      <c r="Q219" s="35">
        <v>4643</v>
      </c>
      <c r="R219" s="35">
        <v>949</v>
      </c>
      <c r="S219" s="35">
        <v>2689</v>
      </c>
      <c r="T219" s="35">
        <v>2980</v>
      </c>
      <c r="U219" s="35">
        <v>2251</v>
      </c>
      <c r="V219" s="35">
        <v>86769</v>
      </c>
      <c r="W219" s="35">
        <f t="shared" ref="W219:AP219" si="227">B219-B218</f>
        <v>239</v>
      </c>
      <c r="X219" s="35">
        <f t="shared" si="227"/>
        <v>63</v>
      </c>
      <c r="Y219" s="35">
        <f t="shared" si="227"/>
        <v>185</v>
      </c>
      <c r="Z219" s="35">
        <f t="shared" si="227"/>
        <v>300</v>
      </c>
      <c r="AA219" s="35">
        <f t="shared" si="227"/>
        <v>807</v>
      </c>
      <c r="AB219" s="35">
        <f t="shared" si="227"/>
        <v>93</v>
      </c>
      <c r="AC219" s="35">
        <f t="shared" si="227"/>
        <v>156</v>
      </c>
      <c r="AD219" s="35">
        <f t="shared" si="227"/>
        <v>310</v>
      </c>
      <c r="AE219" s="35">
        <f t="shared" si="227"/>
        <v>135</v>
      </c>
      <c r="AF219" s="35">
        <f t="shared" si="227"/>
        <v>30</v>
      </c>
      <c r="AG219" s="35">
        <f t="shared" si="227"/>
        <v>305</v>
      </c>
      <c r="AH219" s="35">
        <f t="shared" si="227"/>
        <v>99</v>
      </c>
      <c r="AI219" s="35">
        <f t="shared" si="227"/>
        <v>102</v>
      </c>
      <c r="AJ219" s="35">
        <f t="shared" si="227"/>
        <v>580</v>
      </c>
      <c r="AK219" s="35">
        <f t="shared" si="227"/>
        <v>15</v>
      </c>
      <c r="AL219" s="35">
        <f t="shared" si="227"/>
        <v>148</v>
      </c>
      <c r="AM219" s="35">
        <f t="shared" si="227"/>
        <v>58</v>
      </c>
      <c r="AN219" s="35">
        <f t="shared" si="227"/>
        <v>185</v>
      </c>
      <c r="AO219" s="35">
        <f t="shared" si="227"/>
        <v>107</v>
      </c>
      <c r="AP219" s="35">
        <f t="shared" si="227"/>
        <v>72</v>
      </c>
    </row>
    <row r="220" spans="1:42" ht="13">
      <c r="A220" s="36">
        <v>44139</v>
      </c>
      <c r="B220" s="35">
        <v>3219</v>
      </c>
      <c r="C220" s="35">
        <v>2562</v>
      </c>
      <c r="D220" s="35">
        <v>1704</v>
      </c>
      <c r="E220" s="35">
        <v>5792</v>
      </c>
      <c r="F220" s="35">
        <v>23297</v>
      </c>
      <c r="G220" s="35">
        <v>4076</v>
      </c>
      <c r="H220" s="35">
        <v>3240</v>
      </c>
      <c r="I220" s="35">
        <v>5761</v>
      </c>
      <c r="J220" s="35">
        <v>4632</v>
      </c>
      <c r="K220" s="35">
        <v>2046</v>
      </c>
      <c r="L220" s="35">
        <v>3018</v>
      </c>
      <c r="M220" s="35">
        <v>2183</v>
      </c>
      <c r="N220" s="35">
        <v>2246</v>
      </c>
      <c r="O220" s="35">
        <v>11418</v>
      </c>
      <c r="P220" s="35">
        <v>1554</v>
      </c>
      <c r="Q220" s="35">
        <v>4977</v>
      </c>
      <c r="R220" s="35">
        <v>969</v>
      </c>
      <c r="S220" s="35">
        <v>2798</v>
      </c>
      <c r="T220" s="35">
        <v>3085</v>
      </c>
      <c r="U220" s="35">
        <v>2411</v>
      </c>
      <c r="V220" s="35">
        <v>90988</v>
      </c>
      <c r="W220" s="35">
        <f t="shared" ref="W220:AP220" si="228">B220-B219</f>
        <v>383</v>
      </c>
      <c r="X220" s="35">
        <f t="shared" si="228"/>
        <v>110</v>
      </c>
      <c r="Y220" s="35">
        <f t="shared" si="228"/>
        <v>61</v>
      </c>
      <c r="Z220" s="35">
        <f t="shared" si="228"/>
        <v>210</v>
      </c>
      <c r="AA220" s="35">
        <f t="shared" si="228"/>
        <v>1028</v>
      </c>
      <c r="AB220" s="35">
        <f t="shared" si="228"/>
        <v>184</v>
      </c>
      <c r="AC220" s="35">
        <f t="shared" si="228"/>
        <v>129</v>
      </c>
      <c r="AD220" s="35">
        <f t="shared" si="228"/>
        <v>204</v>
      </c>
      <c r="AE220" s="35">
        <f t="shared" si="228"/>
        <v>200</v>
      </c>
      <c r="AF220" s="35">
        <f t="shared" si="228"/>
        <v>32</v>
      </c>
      <c r="AG220" s="35">
        <f t="shared" si="228"/>
        <v>80</v>
      </c>
      <c r="AH220" s="35">
        <f t="shared" si="228"/>
        <v>41</v>
      </c>
      <c r="AI220" s="35">
        <f t="shared" si="228"/>
        <v>86</v>
      </c>
      <c r="AJ220" s="35">
        <f t="shared" si="228"/>
        <v>670</v>
      </c>
      <c r="AK220" s="35">
        <f t="shared" si="228"/>
        <v>73</v>
      </c>
      <c r="AL220" s="35">
        <f t="shared" si="228"/>
        <v>334</v>
      </c>
      <c r="AM220" s="35">
        <f t="shared" si="228"/>
        <v>20</v>
      </c>
      <c r="AN220" s="35">
        <f t="shared" si="228"/>
        <v>109</v>
      </c>
      <c r="AO220" s="35">
        <f t="shared" si="228"/>
        <v>105</v>
      </c>
      <c r="AP220" s="35">
        <f t="shared" si="228"/>
        <v>160</v>
      </c>
    </row>
    <row r="221" spans="1:42" ht="13">
      <c r="A221" s="36">
        <v>44140</v>
      </c>
      <c r="B221" s="35">
        <v>3408</v>
      </c>
      <c r="C221" s="35">
        <v>2623</v>
      </c>
      <c r="D221" s="35">
        <v>1776</v>
      </c>
      <c r="E221" s="35">
        <v>5906</v>
      </c>
      <c r="F221" s="35">
        <v>24253</v>
      </c>
      <c r="G221" s="35">
        <v>4262</v>
      </c>
      <c r="H221" s="35">
        <v>3358</v>
      </c>
      <c r="I221" s="35">
        <v>6005</v>
      </c>
      <c r="J221" s="35">
        <v>4778</v>
      </c>
      <c r="K221" s="35">
        <v>2165</v>
      </c>
      <c r="L221" s="35">
        <v>3093</v>
      </c>
      <c r="M221" s="35">
        <v>2280</v>
      </c>
      <c r="N221" s="35">
        <v>2389</v>
      </c>
      <c r="O221" s="35">
        <v>12049</v>
      </c>
      <c r="P221" s="35">
        <v>1638</v>
      </c>
      <c r="Q221" s="35">
        <v>5264</v>
      </c>
      <c r="R221" s="35">
        <v>1018</v>
      </c>
      <c r="S221" s="35">
        <v>2887</v>
      </c>
      <c r="T221" s="35">
        <v>3267</v>
      </c>
      <c r="U221" s="35">
        <v>2497</v>
      </c>
      <c r="V221" s="35">
        <v>94916</v>
      </c>
      <c r="W221" s="35">
        <f t="shared" ref="W221:AP221" si="229">B221-B220</f>
        <v>189</v>
      </c>
      <c r="X221" s="35">
        <f t="shared" si="229"/>
        <v>61</v>
      </c>
      <c r="Y221" s="35">
        <f t="shared" si="229"/>
        <v>72</v>
      </c>
      <c r="Z221" s="35">
        <f t="shared" si="229"/>
        <v>114</v>
      </c>
      <c r="AA221" s="35">
        <f t="shared" si="229"/>
        <v>956</v>
      </c>
      <c r="AB221" s="35">
        <f t="shared" si="229"/>
        <v>186</v>
      </c>
      <c r="AC221" s="35">
        <f t="shared" si="229"/>
        <v>118</v>
      </c>
      <c r="AD221" s="35">
        <f t="shared" si="229"/>
        <v>244</v>
      </c>
      <c r="AE221" s="35">
        <f t="shared" si="229"/>
        <v>146</v>
      </c>
      <c r="AF221" s="35">
        <f t="shared" si="229"/>
        <v>119</v>
      </c>
      <c r="AG221" s="35">
        <f t="shared" si="229"/>
        <v>75</v>
      </c>
      <c r="AH221" s="35">
        <f t="shared" si="229"/>
        <v>97</v>
      </c>
      <c r="AI221" s="35">
        <f t="shared" si="229"/>
        <v>143</v>
      </c>
      <c r="AJ221" s="35">
        <f t="shared" si="229"/>
        <v>631</v>
      </c>
      <c r="AK221" s="35">
        <f t="shared" si="229"/>
        <v>84</v>
      </c>
      <c r="AL221" s="35">
        <f t="shared" si="229"/>
        <v>287</v>
      </c>
      <c r="AM221" s="35">
        <f t="shared" si="229"/>
        <v>49</v>
      </c>
      <c r="AN221" s="35">
        <f t="shared" si="229"/>
        <v>89</v>
      </c>
      <c r="AO221" s="35">
        <f t="shared" si="229"/>
        <v>182</v>
      </c>
      <c r="AP221" s="35">
        <f t="shared" si="229"/>
        <v>86</v>
      </c>
    </row>
    <row r="222" spans="1:42" ht="13">
      <c r="A222" s="36">
        <v>44141</v>
      </c>
      <c r="B222" s="35">
        <v>3624</v>
      </c>
      <c r="C222" s="35">
        <v>2730</v>
      </c>
      <c r="D222" s="35">
        <v>1895</v>
      </c>
      <c r="E222" s="35">
        <v>6109</v>
      </c>
      <c r="F222" s="35">
        <v>25595</v>
      </c>
      <c r="G222" s="35">
        <v>4457</v>
      </c>
      <c r="H222" s="35">
        <v>3435</v>
      </c>
      <c r="I222" s="35">
        <v>6322</v>
      </c>
      <c r="J222" s="35">
        <v>5031</v>
      </c>
      <c r="K222" s="35">
        <v>2271</v>
      </c>
      <c r="L222" s="35">
        <v>3148</v>
      </c>
      <c r="M222" s="35">
        <v>2417</v>
      </c>
      <c r="N222" s="35">
        <v>2468</v>
      </c>
      <c r="O222" s="35">
        <v>12849</v>
      </c>
      <c r="P222" s="35">
        <v>1674</v>
      </c>
      <c r="Q222" s="35">
        <v>5460</v>
      </c>
      <c r="R222" s="35">
        <v>1108</v>
      </c>
      <c r="S222" s="35">
        <v>2911</v>
      </c>
      <c r="T222" s="35">
        <v>3550</v>
      </c>
      <c r="U222" s="35">
        <v>2571</v>
      </c>
      <c r="V222" s="35">
        <v>99625</v>
      </c>
      <c r="W222" s="35">
        <f t="shared" ref="W222:AP222" si="230">B222-B221</f>
        <v>216</v>
      </c>
      <c r="X222" s="35">
        <f t="shared" si="230"/>
        <v>107</v>
      </c>
      <c r="Y222" s="35">
        <f t="shared" si="230"/>
        <v>119</v>
      </c>
      <c r="Z222" s="35">
        <f t="shared" si="230"/>
        <v>203</v>
      </c>
      <c r="AA222" s="35">
        <f t="shared" si="230"/>
        <v>1342</v>
      </c>
      <c r="AB222" s="35">
        <f t="shared" si="230"/>
        <v>195</v>
      </c>
      <c r="AC222" s="35">
        <f t="shared" si="230"/>
        <v>77</v>
      </c>
      <c r="AD222" s="35">
        <f t="shared" si="230"/>
        <v>317</v>
      </c>
      <c r="AE222" s="35">
        <f t="shared" si="230"/>
        <v>253</v>
      </c>
      <c r="AF222" s="35">
        <f t="shared" si="230"/>
        <v>106</v>
      </c>
      <c r="AG222" s="35">
        <f t="shared" si="230"/>
        <v>55</v>
      </c>
      <c r="AH222" s="35">
        <f t="shared" si="230"/>
        <v>137</v>
      </c>
      <c r="AI222" s="35">
        <f t="shared" si="230"/>
        <v>79</v>
      </c>
      <c r="AJ222" s="35">
        <f t="shared" si="230"/>
        <v>800</v>
      </c>
      <c r="AK222" s="35">
        <f t="shared" si="230"/>
        <v>36</v>
      </c>
      <c r="AL222" s="35">
        <f t="shared" si="230"/>
        <v>196</v>
      </c>
      <c r="AM222" s="35">
        <f t="shared" si="230"/>
        <v>90</v>
      </c>
      <c r="AN222" s="35">
        <f t="shared" si="230"/>
        <v>24</v>
      </c>
      <c r="AO222" s="35">
        <f t="shared" si="230"/>
        <v>283</v>
      </c>
      <c r="AP222" s="35">
        <f t="shared" si="230"/>
        <v>74</v>
      </c>
    </row>
    <row r="223" spans="1:42" ht="13">
      <c r="A223" s="36">
        <v>44142</v>
      </c>
      <c r="B223" s="35">
        <v>3779</v>
      </c>
      <c r="C223" s="35">
        <v>2972</v>
      </c>
      <c r="D223" s="35">
        <v>1984</v>
      </c>
      <c r="E223" s="35">
        <v>6343</v>
      </c>
      <c r="F223" s="35">
        <v>26697</v>
      </c>
      <c r="G223" s="35">
        <v>4533</v>
      </c>
      <c r="H223" s="35">
        <v>3602</v>
      </c>
      <c r="I223" s="35">
        <v>6928</v>
      </c>
      <c r="J223" s="35">
        <v>5215</v>
      </c>
      <c r="K223" s="35">
        <v>2423</v>
      </c>
      <c r="L223" s="35">
        <v>3486</v>
      </c>
      <c r="M223" s="35">
        <v>2544</v>
      </c>
      <c r="N223" s="35">
        <v>2529</v>
      </c>
      <c r="O223" s="35">
        <v>13605</v>
      </c>
      <c r="P223" s="35">
        <v>1938</v>
      </c>
      <c r="Q223" s="35">
        <v>5662</v>
      </c>
      <c r="R223" s="35">
        <v>1124</v>
      </c>
      <c r="S223" s="35">
        <v>3129</v>
      </c>
      <c r="T223" s="35">
        <v>3681</v>
      </c>
      <c r="U223" s="35">
        <v>2769</v>
      </c>
      <c r="V223" s="35">
        <v>104943</v>
      </c>
      <c r="W223" s="35">
        <f t="shared" ref="W223:AP223" si="231">B223-B222</f>
        <v>155</v>
      </c>
      <c r="X223" s="35">
        <f t="shared" si="231"/>
        <v>242</v>
      </c>
      <c r="Y223" s="35">
        <f t="shared" si="231"/>
        <v>89</v>
      </c>
      <c r="Z223" s="35">
        <f t="shared" si="231"/>
        <v>234</v>
      </c>
      <c r="AA223" s="35">
        <f t="shared" si="231"/>
        <v>1102</v>
      </c>
      <c r="AB223" s="35">
        <f t="shared" si="231"/>
        <v>76</v>
      </c>
      <c r="AC223" s="35">
        <f t="shared" si="231"/>
        <v>167</v>
      </c>
      <c r="AD223" s="35">
        <f t="shared" si="231"/>
        <v>606</v>
      </c>
      <c r="AE223" s="35">
        <f t="shared" si="231"/>
        <v>184</v>
      </c>
      <c r="AF223" s="35">
        <f t="shared" si="231"/>
        <v>152</v>
      </c>
      <c r="AG223" s="35">
        <f t="shared" si="231"/>
        <v>338</v>
      </c>
      <c r="AH223" s="35">
        <f t="shared" si="231"/>
        <v>127</v>
      </c>
      <c r="AI223" s="35">
        <f t="shared" si="231"/>
        <v>61</v>
      </c>
      <c r="AJ223" s="35">
        <f t="shared" si="231"/>
        <v>756</v>
      </c>
      <c r="AK223" s="35">
        <f t="shared" si="231"/>
        <v>264</v>
      </c>
      <c r="AL223" s="35">
        <f t="shared" si="231"/>
        <v>202</v>
      </c>
      <c r="AM223" s="35">
        <f t="shared" si="231"/>
        <v>16</v>
      </c>
      <c r="AN223" s="35">
        <f t="shared" si="231"/>
        <v>218</v>
      </c>
      <c r="AO223" s="35">
        <f t="shared" si="231"/>
        <v>131</v>
      </c>
      <c r="AP223" s="35">
        <f t="shared" si="231"/>
        <v>198</v>
      </c>
    </row>
    <row r="224" spans="1:42" ht="13">
      <c r="A224" s="36">
        <v>44143</v>
      </c>
      <c r="B224" s="35">
        <v>4031</v>
      </c>
      <c r="C224" s="35">
        <v>3093</v>
      </c>
      <c r="D224" s="35">
        <v>2184</v>
      </c>
      <c r="E224" s="35">
        <v>6490</v>
      </c>
      <c r="F224" s="35">
        <v>27692</v>
      </c>
      <c r="G224" s="35">
        <v>4686</v>
      </c>
      <c r="H224" s="35">
        <v>3729</v>
      </c>
      <c r="I224" s="35">
        <v>7429</v>
      </c>
      <c r="J224" s="35">
        <v>5526</v>
      </c>
      <c r="K224" s="35">
        <v>2546</v>
      </c>
      <c r="L224" s="35">
        <v>3562</v>
      </c>
      <c r="M224" s="35">
        <v>2702</v>
      </c>
      <c r="N224" s="35">
        <v>2671</v>
      </c>
      <c r="O224" s="35">
        <v>14197</v>
      </c>
      <c r="P224" s="35">
        <v>2052</v>
      </c>
      <c r="Q224" s="35">
        <v>5727</v>
      </c>
      <c r="R224" s="35">
        <v>1347</v>
      </c>
      <c r="S224" s="35">
        <v>3181</v>
      </c>
      <c r="T224" s="35">
        <v>3909</v>
      </c>
      <c r="U224" s="35">
        <v>2895</v>
      </c>
      <c r="V224" s="35">
        <v>109616</v>
      </c>
      <c r="W224" s="35">
        <f t="shared" ref="W224:AP224" si="232">B224-B223</f>
        <v>252</v>
      </c>
      <c r="X224" s="35">
        <f t="shared" si="232"/>
        <v>121</v>
      </c>
      <c r="Y224" s="35">
        <f t="shared" si="232"/>
        <v>200</v>
      </c>
      <c r="Z224" s="35">
        <f t="shared" si="232"/>
        <v>147</v>
      </c>
      <c r="AA224" s="35">
        <f t="shared" si="232"/>
        <v>995</v>
      </c>
      <c r="AB224" s="35">
        <f t="shared" si="232"/>
        <v>153</v>
      </c>
      <c r="AC224" s="35">
        <f t="shared" si="232"/>
        <v>127</v>
      </c>
      <c r="AD224" s="35">
        <f t="shared" si="232"/>
        <v>501</v>
      </c>
      <c r="AE224" s="35">
        <f t="shared" si="232"/>
        <v>311</v>
      </c>
      <c r="AF224" s="35">
        <f t="shared" si="232"/>
        <v>123</v>
      </c>
      <c r="AG224" s="35">
        <f t="shared" si="232"/>
        <v>76</v>
      </c>
      <c r="AH224" s="35">
        <f t="shared" si="232"/>
        <v>158</v>
      </c>
      <c r="AI224" s="35">
        <f t="shared" si="232"/>
        <v>142</v>
      </c>
      <c r="AJ224" s="35">
        <f t="shared" si="232"/>
        <v>592</v>
      </c>
      <c r="AK224" s="35">
        <f t="shared" si="232"/>
        <v>114</v>
      </c>
      <c r="AL224" s="35">
        <f t="shared" si="232"/>
        <v>65</v>
      </c>
      <c r="AM224" s="35">
        <f t="shared" si="232"/>
        <v>223</v>
      </c>
      <c r="AN224" s="35">
        <f t="shared" si="232"/>
        <v>52</v>
      </c>
      <c r="AO224" s="35">
        <f t="shared" si="232"/>
        <v>228</v>
      </c>
      <c r="AP224" s="35">
        <f t="shared" si="232"/>
        <v>126</v>
      </c>
    </row>
    <row r="225" spans="1:42" ht="13">
      <c r="A225" s="36">
        <v>44144</v>
      </c>
      <c r="B225" s="35">
        <v>4207</v>
      </c>
      <c r="C225" s="35">
        <v>3262</v>
      </c>
      <c r="D225" s="35">
        <v>2321</v>
      </c>
      <c r="E225" s="35">
        <v>6836</v>
      </c>
      <c r="F225" s="35">
        <v>28722</v>
      </c>
      <c r="G225" s="35">
        <v>4807</v>
      </c>
      <c r="H225" s="35">
        <v>4076</v>
      </c>
      <c r="I225" s="35">
        <v>8048</v>
      </c>
      <c r="J225" s="35">
        <v>5771</v>
      </c>
      <c r="K225" s="35">
        <v>2640</v>
      </c>
      <c r="L225" s="35">
        <v>3760</v>
      </c>
      <c r="M225" s="35">
        <v>2821</v>
      </c>
      <c r="N225" s="35">
        <v>2706</v>
      </c>
      <c r="O225" s="35">
        <v>14851</v>
      </c>
      <c r="P225" s="35">
        <v>2162</v>
      </c>
      <c r="Q225" s="35">
        <v>6015</v>
      </c>
      <c r="R225" s="35">
        <v>1379</v>
      </c>
      <c r="S225" s="35">
        <v>3236</v>
      </c>
      <c r="T225" s="35">
        <v>4139</v>
      </c>
      <c r="U225" s="35">
        <v>3019</v>
      </c>
      <c r="V225" s="35">
        <v>114778</v>
      </c>
      <c r="W225" s="35">
        <f t="shared" ref="W225:AP225" si="233">B225-B224</f>
        <v>176</v>
      </c>
      <c r="X225" s="35">
        <f t="shared" si="233"/>
        <v>169</v>
      </c>
      <c r="Y225" s="35">
        <f t="shared" si="233"/>
        <v>137</v>
      </c>
      <c r="Z225" s="35">
        <f t="shared" si="233"/>
        <v>346</v>
      </c>
      <c r="AA225" s="35">
        <f t="shared" si="233"/>
        <v>1030</v>
      </c>
      <c r="AB225" s="35">
        <f t="shared" si="233"/>
        <v>121</v>
      </c>
      <c r="AC225" s="35">
        <f t="shared" si="233"/>
        <v>347</v>
      </c>
      <c r="AD225" s="35">
        <f t="shared" si="233"/>
        <v>619</v>
      </c>
      <c r="AE225" s="35">
        <f t="shared" si="233"/>
        <v>245</v>
      </c>
      <c r="AF225" s="35">
        <f t="shared" si="233"/>
        <v>94</v>
      </c>
      <c r="AG225" s="35">
        <f t="shared" si="233"/>
        <v>198</v>
      </c>
      <c r="AH225" s="35">
        <f t="shared" si="233"/>
        <v>119</v>
      </c>
      <c r="AI225" s="35">
        <f t="shared" si="233"/>
        <v>35</v>
      </c>
      <c r="AJ225" s="35">
        <f t="shared" si="233"/>
        <v>654</v>
      </c>
      <c r="AK225" s="35">
        <f t="shared" si="233"/>
        <v>110</v>
      </c>
      <c r="AL225" s="35">
        <f t="shared" si="233"/>
        <v>288</v>
      </c>
      <c r="AM225" s="35">
        <f t="shared" si="233"/>
        <v>32</v>
      </c>
      <c r="AN225" s="35">
        <f t="shared" si="233"/>
        <v>55</v>
      </c>
      <c r="AO225" s="35">
        <f t="shared" si="233"/>
        <v>230</v>
      </c>
      <c r="AP225" s="35">
        <f t="shared" si="233"/>
        <v>124</v>
      </c>
    </row>
    <row r="226" spans="1:42" ht="13">
      <c r="A226" s="36">
        <v>44145</v>
      </c>
      <c r="B226" s="35">
        <v>4331</v>
      </c>
      <c r="C226" s="35">
        <v>3361</v>
      </c>
      <c r="D226" s="35">
        <v>2466</v>
      </c>
      <c r="E226" s="35">
        <v>7002</v>
      </c>
      <c r="F226" s="35">
        <v>29358</v>
      </c>
      <c r="G226" s="35">
        <v>4992</v>
      </c>
      <c r="H226" s="35">
        <v>4128</v>
      </c>
      <c r="I226" s="35">
        <v>8468</v>
      </c>
      <c r="J226" s="35">
        <v>6057</v>
      </c>
      <c r="K226" s="35">
        <v>2809</v>
      </c>
      <c r="L226" s="35">
        <v>4071</v>
      </c>
      <c r="M226" s="35">
        <v>2938</v>
      </c>
      <c r="N226" s="35">
        <v>2793</v>
      </c>
      <c r="O226" s="35">
        <v>15451</v>
      </c>
      <c r="P226" s="35">
        <v>2196</v>
      </c>
      <c r="Q226" s="35">
        <v>6236</v>
      </c>
      <c r="R226" s="35">
        <v>1478</v>
      </c>
      <c r="S226" s="35">
        <v>3394</v>
      </c>
      <c r="T226" s="35">
        <v>4327</v>
      </c>
      <c r="U226" s="35">
        <v>3062</v>
      </c>
      <c r="V226" s="35">
        <v>118918</v>
      </c>
      <c r="W226" s="35">
        <f t="shared" ref="W226:AP226" si="234">B226-B225</f>
        <v>124</v>
      </c>
      <c r="X226" s="35">
        <f t="shared" si="234"/>
        <v>99</v>
      </c>
      <c r="Y226" s="35">
        <f t="shared" si="234"/>
        <v>145</v>
      </c>
      <c r="Z226" s="35">
        <f t="shared" si="234"/>
        <v>166</v>
      </c>
      <c r="AA226" s="35">
        <f t="shared" si="234"/>
        <v>636</v>
      </c>
      <c r="AB226" s="35">
        <f t="shared" si="234"/>
        <v>185</v>
      </c>
      <c r="AC226" s="35">
        <f t="shared" si="234"/>
        <v>52</v>
      </c>
      <c r="AD226" s="35">
        <f t="shared" si="234"/>
        <v>420</v>
      </c>
      <c r="AE226" s="35">
        <f t="shared" si="234"/>
        <v>286</v>
      </c>
      <c r="AF226" s="35">
        <f t="shared" si="234"/>
        <v>169</v>
      </c>
      <c r="AG226" s="35">
        <f t="shared" si="234"/>
        <v>311</v>
      </c>
      <c r="AH226" s="35">
        <f t="shared" si="234"/>
        <v>117</v>
      </c>
      <c r="AI226" s="35">
        <f t="shared" si="234"/>
        <v>87</v>
      </c>
      <c r="AJ226" s="35">
        <f t="shared" si="234"/>
        <v>600</v>
      </c>
      <c r="AK226" s="35">
        <f t="shared" si="234"/>
        <v>34</v>
      </c>
      <c r="AL226" s="35">
        <f t="shared" si="234"/>
        <v>221</v>
      </c>
      <c r="AM226" s="35">
        <f t="shared" si="234"/>
        <v>99</v>
      </c>
      <c r="AN226" s="35">
        <f t="shared" si="234"/>
        <v>158</v>
      </c>
      <c r="AO226" s="35">
        <f t="shared" si="234"/>
        <v>188</v>
      </c>
      <c r="AP226" s="35">
        <f t="shared" si="234"/>
        <v>43</v>
      </c>
    </row>
    <row r="227" spans="1:42" ht="13">
      <c r="A227" s="36">
        <v>44146</v>
      </c>
      <c r="B227" s="35">
        <v>4402</v>
      </c>
      <c r="C227" s="35">
        <v>3468</v>
      </c>
      <c r="D227" s="35">
        <v>2492</v>
      </c>
      <c r="E227" s="35">
        <v>7135</v>
      </c>
      <c r="F227" s="35">
        <v>30345</v>
      </c>
      <c r="G227" s="35">
        <v>5058</v>
      </c>
      <c r="H227" s="35">
        <v>4222</v>
      </c>
      <c r="I227" s="35">
        <v>8939</v>
      </c>
      <c r="J227" s="35">
        <v>6408</v>
      </c>
      <c r="K227" s="35">
        <v>2867</v>
      </c>
      <c r="L227" s="35">
        <v>4089</v>
      </c>
      <c r="M227" s="35">
        <v>3049</v>
      </c>
      <c r="N227" s="35">
        <v>2946</v>
      </c>
      <c r="O227" s="35">
        <v>16107</v>
      </c>
      <c r="P227" s="35">
        <v>2293</v>
      </c>
      <c r="Q227" s="35">
        <v>6397</v>
      </c>
      <c r="R227" s="35">
        <v>1502</v>
      </c>
      <c r="S227" s="35">
        <v>3517</v>
      </c>
      <c r="T227" s="35">
        <v>4458</v>
      </c>
      <c r="U227" s="35">
        <v>3169</v>
      </c>
      <c r="V227" s="35">
        <v>122863</v>
      </c>
      <c r="W227" s="35">
        <f t="shared" ref="W227:AP227" si="235">B227-B226</f>
        <v>71</v>
      </c>
      <c r="X227" s="35">
        <f t="shared" si="235"/>
        <v>107</v>
      </c>
      <c r="Y227" s="35">
        <f t="shared" si="235"/>
        <v>26</v>
      </c>
      <c r="Z227" s="35">
        <f t="shared" si="235"/>
        <v>133</v>
      </c>
      <c r="AA227" s="35">
        <f t="shared" si="235"/>
        <v>987</v>
      </c>
      <c r="AB227" s="35">
        <f t="shared" si="235"/>
        <v>66</v>
      </c>
      <c r="AC227" s="35">
        <f t="shared" si="235"/>
        <v>94</v>
      </c>
      <c r="AD227" s="35">
        <f t="shared" si="235"/>
        <v>471</v>
      </c>
      <c r="AE227" s="35">
        <f t="shared" si="235"/>
        <v>351</v>
      </c>
      <c r="AF227" s="35">
        <f t="shared" si="235"/>
        <v>58</v>
      </c>
      <c r="AG227" s="35">
        <f t="shared" si="235"/>
        <v>18</v>
      </c>
      <c r="AH227" s="35">
        <f t="shared" si="235"/>
        <v>111</v>
      </c>
      <c r="AI227" s="35">
        <f t="shared" si="235"/>
        <v>153</v>
      </c>
      <c r="AJ227" s="35">
        <f t="shared" si="235"/>
        <v>656</v>
      </c>
      <c r="AK227" s="35">
        <f t="shared" si="235"/>
        <v>97</v>
      </c>
      <c r="AL227" s="35">
        <f t="shared" si="235"/>
        <v>161</v>
      </c>
      <c r="AM227" s="35">
        <f t="shared" si="235"/>
        <v>24</v>
      </c>
      <c r="AN227" s="35">
        <f t="shared" si="235"/>
        <v>123</v>
      </c>
      <c r="AO227" s="35">
        <f t="shared" si="235"/>
        <v>131</v>
      </c>
      <c r="AP227" s="35">
        <f t="shared" si="235"/>
        <v>107</v>
      </c>
    </row>
    <row r="228" spans="1:42" ht="13">
      <c r="A228" s="36">
        <v>44147</v>
      </c>
      <c r="B228" s="35">
        <v>4731</v>
      </c>
      <c r="C228" s="35">
        <v>3532</v>
      </c>
      <c r="D228" s="35">
        <v>2578</v>
      </c>
      <c r="E228" s="35">
        <v>7204</v>
      </c>
      <c r="F228" s="35">
        <v>31111</v>
      </c>
      <c r="G228" s="35">
        <v>5274</v>
      </c>
      <c r="H228" s="35">
        <v>4351</v>
      </c>
      <c r="I228" s="35">
        <v>9250</v>
      </c>
      <c r="J228" s="35">
        <v>6433</v>
      </c>
      <c r="K228" s="35">
        <v>3050</v>
      </c>
      <c r="L228" s="35">
        <v>4250</v>
      </c>
      <c r="M228" s="35">
        <v>3208</v>
      </c>
      <c r="N228" s="35">
        <v>3059</v>
      </c>
      <c r="O228" s="35">
        <v>16673</v>
      </c>
      <c r="P228" s="35">
        <v>2399</v>
      </c>
      <c r="Q228" s="35">
        <v>6406</v>
      </c>
      <c r="R228" s="35">
        <v>1593</v>
      </c>
      <c r="S228" s="35">
        <v>3702</v>
      </c>
      <c r="T228" s="35">
        <v>4629</v>
      </c>
      <c r="U228" s="35">
        <v>3357</v>
      </c>
      <c r="V228" s="35">
        <v>126790</v>
      </c>
      <c r="W228" s="35">
        <f t="shared" ref="W228:AP228" si="236">B228-B227</f>
        <v>329</v>
      </c>
      <c r="X228" s="35">
        <f t="shared" si="236"/>
        <v>64</v>
      </c>
      <c r="Y228" s="35">
        <f t="shared" si="236"/>
        <v>86</v>
      </c>
      <c r="Z228" s="35">
        <f t="shared" si="236"/>
        <v>69</v>
      </c>
      <c r="AA228" s="35">
        <f t="shared" si="236"/>
        <v>766</v>
      </c>
      <c r="AB228" s="35">
        <f t="shared" si="236"/>
        <v>216</v>
      </c>
      <c r="AC228" s="35">
        <f t="shared" si="236"/>
        <v>129</v>
      </c>
      <c r="AD228" s="35">
        <f t="shared" si="236"/>
        <v>311</v>
      </c>
      <c r="AE228" s="35">
        <f t="shared" si="236"/>
        <v>25</v>
      </c>
      <c r="AF228" s="35">
        <f t="shared" si="236"/>
        <v>183</v>
      </c>
      <c r="AG228" s="35">
        <f t="shared" si="236"/>
        <v>161</v>
      </c>
      <c r="AH228" s="35">
        <f t="shared" si="236"/>
        <v>159</v>
      </c>
      <c r="AI228" s="35">
        <f t="shared" si="236"/>
        <v>113</v>
      </c>
      <c r="AJ228" s="35">
        <f t="shared" si="236"/>
        <v>566</v>
      </c>
      <c r="AK228" s="35">
        <f t="shared" si="236"/>
        <v>106</v>
      </c>
      <c r="AL228" s="35">
        <f t="shared" si="236"/>
        <v>9</v>
      </c>
      <c r="AM228" s="35">
        <f t="shared" si="236"/>
        <v>91</v>
      </c>
      <c r="AN228" s="35">
        <f t="shared" si="236"/>
        <v>185</v>
      </c>
      <c r="AO228" s="35">
        <f t="shared" si="236"/>
        <v>171</v>
      </c>
      <c r="AP228" s="35">
        <f t="shared" si="236"/>
        <v>188</v>
      </c>
    </row>
    <row r="229" spans="1:42" ht="13">
      <c r="A229" s="36">
        <v>44148</v>
      </c>
      <c r="B229" s="35">
        <v>4995</v>
      </c>
      <c r="C229" s="35">
        <v>3655</v>
      </c>
      <c r="D229" s="35">
        <v>2824</v>
      </c>
      <c r="E229" s="35">
        <v>7219</v>
      </c>
      <c r="F229" s="35">
        <v>32302</v>
      </c>
      <c r="G229" s="35">
        <v>5476</v>
      </c>
      <c r="H229" s="35">
        <v>4468</v>
      </c>
      <c r="I229" s="35">
        <v>9796</v>
      </c>
      <c r="J229" s="35">
        <v>6434</v>
      </c>
      <c r="K229" s="35">
        <v>3299</v>
      </c>
      <c r="L229" s="35">
        <v>4495</v>
      </c>
      <c r="M229" s="35">
        <v>3386</v>
      </c>
      <c r="N229" s="35">
        <v>3220</v>
      </c>
      <c r="O229" s="35">
        <v>17423</v>
      </c>
      <c r="P229" s="35">
        <v>2569</v>
      </c>
      <c r="Q229" s="35">
        <v>6405</v>
      </c>
      <c r="R229" s="35">
        <v>1678</v>
      </c>
      <c r="S229" s="35">
        <v>3943</v>
      </c>
      <c r="T229" s="35">
        <v>4878</v>
      </c>
      <c r="U229" s="35">
        <v>3422</v>
      </c>
      <c r="V229" s="35">
        <v>131887</v>
      </c>
      <c r="W229" s="35">
        <f t="shared" ref="W229:AP229" si="237">B229-B228</f>
        <v>264</v>
      </c>
      <c r="X229" s="35">
        <f t="shared" si="237"/>
        <v>123</v>
      </c>
      <c r="Y229" s="35">
        <f t="shared" si="237"/>
        <v>246</v>
      </c>
      <c r="Z229" s="35">
        <f t="shared" si="237"/>
        <v>15</v>
      </c>
      <c r="AA229" s="35">
        <f t="shared" si="237"/>
        <v>1191</v>
      </c>
      <c r="AB229" s="35">
        <f t="shared" si="237"/>
        <v>202</v>
      </c>
      <c r="AC229" s="35">
        <f t="shared" si="237"/>
        <v>117</v>
      </c>
      <c r="AD229" s="35">
        <f t="shared" si="237"/>
        <v>546</v>
      </c>
      <c r="AE229" s="35">
        <f t="shared" si="237"/>
        <v>1</v>
      </c>
      <c r="AF229" s="35">
        <f t="shared" si="237"/>
        <v>249</v>
      </c>
      <c r="AG229" s="35">
        <f t="shared" si="237"/>
        <v>245</v>
      </c>
      <c r="AH229" s="35">
        <f t="shared" si="237"/>
        <v>178</v>
      </c>
      <c r="AI229" s="35">
        <f t="shared" si="237"/>
        <v>161</v>
      </c>
      <c r="AJ229" s="35">
        <f t="shared" si="237"/>
        <v>750</v>
      </c>
      <c r="AK229" s="35">
        <f t="shared" si="237"/>
        <v>170</v>
      </c>
      <c r="AL229" s="35">
        <f t="shared" si="237"/>
        <v>-1</v>
      </c>
      <c r="AM229" s="35">
        <f t="shared" si="237"/>
        <v>85</v>
      </c>
      <c r="AN229" s="35">
        <f t="shared" si="237"/>
        <v>241</v>
      </c>
      <c r="AO229" s="35">
        <f t="shared" si="237"/>
        <v>249</v>
      </c>
      <c r="AP229" s="35">
        <f t="shared" si="237"/>
        <v>65</v>
      </c>
    </row>
    <row r="230" spans="1:42" ht="13">
      <c r="A230" s="36">
        <v>44149</v>
      </c>
      <c r="B230" s="35">
        <v>5328</v>
      </c>
      <c r="C230" s="35">
        <v>3761</v>
      </c>
      <c r="D230" s="35">
        <v>2962</v>
      </c>
      <c r="E230" s="35">
        <v>7250</v>
      </c>
      <c r="F230" s="35">
        <v>33256</v>
      </c>
      <c r="G230" s="35">
        <v>5700</v>
      </c>
      <c r="H230" s="35">
        <v>4690</v>
      </c>
      <c r="I230" s="35">
        <v>10235</v>
      </c>
      <c r="J230" s="35">
        <v>6454</v>
      </c>
      <c r="K230" s="35">
        <v>3516</v>
      </c>
      <c r="L230" s="35">
        <v>4761</v>
      </c>
      <c r="M230" s="35">
        <v>3510</v>
      </c>
      <c r="N230" s="35">
        <v>3493</v>
      </c>
      <c r="O230" s="35">
        <v>17993</v>
      </c>
      <c r="P230" s="35">
        <v>2692</v>
      </c>
      <c r="Q230" s="35">
        <v>6428</v>
      </c>
      <c r="R230" s="35">
        <v>1928</v>
      </c>
      <c r="S230" s="35">
        <v>4230</v>
      </c>
      <c r="T230" s="35">
        <v>5057</v>
      </c>
      <c r="U230" s="35">
        <v>3479</v>
      </c>
      <c r="V230" s="35">
        <v>136723</v>
      </c>
      <c r="W230" s="35">
        <f t="shared" ref="W230:AP230" si="238">B230-B229</f>
        <v>333</v>
      </c>
      <c r="X230" s="35">
        <f t="shared" si="238"/>
        <v>106</v>
      </c>
      <c r="Y230" s="35">
        <f t="shared" si="238"/>
        <v>138</v>
      </c>
      <c r="Z230" s="35">
        <f t="shared" si="238"/>
        <v>31</v>
      </c>
      <c r="AA230" s="35">
        <f t="shared" si="238"/>
        <v>954</v>
      </c>
      <c r="AB230" s="35">
        <f t="shared" si="238"/>
        <v>224</v>
      </c>
      <c r="AC230" s="35">
        <f t="shared" si="238"/>
        <v>222</v>
      </c>
      <c r="AD230" s="35">
        <f t="shared" si="238"/>
        <v>439</v>
      </c>
      <c r="AE230" s="35">
        <f t="shared" si="238"/>
        <v>20</v>
      </c>
      <c r="AF230" s="35">
        <f t="shared" si="238"/>
        <v>217</v>
      </c>
      <c r="AG230" s="35">
        <f t="shared" si="238"/>
        <v>266</v>
      </c>
      <c r="AH230" s="35">
        <f t="shared" si="238"/>
        <v>124</v>
      </c>
      <c r="AI230" s="35">
        <f t="shared" si="238"/>
        <v>273</v>
      </c>
      <c r="AJ230" s="35">
        <f t="shared" si="238"/>
        <v>570</v>
      </c>
      <c r="AK230" s="35">
        <f t="shared" si="238"/>
        <v>123</v>
      </c>
      <c r="AL230" s="35">
        <f t="shared" si="238"/>
        <v>23</v>
      </c>
      <c r="AM230" s="35">
        <f t="shared" si="238"/>
        <v>250</v>
      </c>
      <c r="AN230" s="35">
        <f t="shared" si="238"/>
        <v>287</v>
      </c>
      <c r="AO230" s="35">
        <f t="shared" si="238"/>
        <v>179</v>
      </c>
      <c r="AP230" s="35">
        <f t="shared" si="238"/>
        <v>57</v>
      </c>
    </row>
    <row r="231" spans="1:42" ht="13">
      <c r="A231" s="36">
        <v>44150</v>
      </c>
      <c r="B231" s="35">
        <v>5477</v>
      </c>
      <c r="C231" s="35">
        <v>3874</v>
      </c>
      <c r="D231" s="35">
        <v>3025</v>
      </c>
      <c r="E231" s="35">
        <v>7357</v>
      </c>
      <c r="F231" s="35">
        <v>34384</v>
      </c>
      <c r="G231" s="35">
        <v>5769</v>
      </c>
      <c r="H231" s="35">
        <v>4812</v>
      </c>
      <c r="I231" s="35">
        <v>10538</v>
      </c>
      <c r="J231" s="35">
        <v>6484</v>
      </c>
      <c r="K231" s="35">
        <v>3702</v>
      </c>
      <c r="L231" s="35">
        <v>4858</v>
      </c>
      <c r="M231" s="35">
        <v>3722</v>
      </c>
      <c r="N231" s="35">
        <v>3658</v>
      </c>
      <c r="O231" s="35">
        <v>18635</v>
      </c>
      <c r="P231" s="35">
        <v>2810</v>
      </c>
      <c r="Q231" s="35">
        <v>6443</v>
      </c>
      <c r="R231" s="35">
        <v>1976</v>
      </c>
      <c r="S231" s="35">
        <v>4471</v>
      </c>
      <c r="T231" s="35">
        <v>5365</v>
      </c>
      <c r="U231" s="35">
        <v>3599</v>
      </c>
      <c r="V231" s="35">
        <v>140961</v>
      </c>
      <c r="W231" s="35">
        <f t="shared" ref="W231:AP231" si="239">B231-B230</f>
        <v>149</v>
      </c>
      <c r="X231" s="35">
        <f t="shared" si="239"/>
        <v>113</v>
      </c>
      <c r="Y231" s="35">
        <f t="shared" si="239"/>
        <v>63</v>
      </c>
      <c r="Z231" s="35">
        <f t="shared" si="239"/>
        <v>107</v>
      </c>
      <c r="AA231" s="35">
        <f t="shared" si="239"/>
        <v>1128</v>
      </c>
      <c r="AB231" s="35">
        <f t="shared" si="239"/>
        <v>69</v>
      </c>
      <c r="AC231" s="35">
        <f t="shared" si="239"/>
        <v>122</v>
      </c>
      <c r="AD231" s="35">
        <f t="shared" si="239"/>
        <v>303</v>
      </c>
      <c r="AE231" s="35">
        <f t="shared" si="239"/>
        <v>30</v>
      </c>
      <c r="AF231" s="35">
        <f t="shared" si="239"/>
        <v>186</v>
      </c>
      <c r="AG231" s="35">
        <f t="shared" si="239"/>
        <v>97</v>
      </c>
      <c r="AH231" s="35">
        <f t="shared" si="239"/>
        <v>212</v>
      </c>
      <c r="AI231" s="35">
        <f t="shared" si="239"/>
        <v>165</v>
      </c>
      <c r="AJ231" s="35">
        <f t="shared" si="239"/>
        <v>642</v>
      </c>
      <c r="AK231" s="35">
        <f t="shared" si="239"/>
        <v>118</v>
      </c>
      <c r="AL231" s="35">
        <f t="shared" si="239"/>
        <v>15</v>
      </c>
      <c r="AM231" s="35">
        <f t="shared" si="239"/>
        <v>48</v>
      </c>
      <c r="AN231" s="35">
        <f t="shared" si="239"/>
        <v>241</v>
      </c>
      <c r="AO231" s="35">
        <f t="shared" si="239"/>
        <v>308</v>
      </c>
      <c r="AP231" s="35">
        <f t="shared" si="239"/>
        <v>120</v>
      </c>
    </row>
    <row r="232" spans="1:42" ht="13">
      <c r="A232" s="36">
        <v>44151</v>
      </c>
      <c r="B232" s="35">
        <v>5647</v>
      </c>
      <c r="C232" s="35">
        <v>3990</v>
      </c>
      <c r="D232" s="35">
        <v>3306</v>
      </c>
      <c r="E232" s="35">
        <v>8217</v>
      </c>
      <c r="F232" s="35">
        <v>35147</v>
      </c>
      <c r="G232" s="35">
        <v>6045</v>
      </c>
      <c r="H232" s="35">
        <v>4843</v>
      </c>
      <c r="I232" s="35">
        <v>10639</v>
      </c>
      <c r="J232" s="35">
        <v>7353</v>
      </c>
      <c r="K232" s="35">
        <v>3889</v>
      </c>
      <c r="L232" s="35">
        <v>4965</v>
      </c>
      <c r="M232" s="35">
        <v>3914</v>
      </c>
      <c r="N232" s="35">
        <v>3711</v>
      </c>
      <c r="O232" s="35">
        <v>19247</v>
      </c>
      <c r="P232" s="35">
        <v>2857</v>
      </c>
      <c r="Q232" s="35">
        <v>7938</v>
      </c>
      <c r="R232" s="35">
        <v>2026</v>
      </c>
      <c r="S232" s="35">
        <v>4504</v>
      </c>
      <c r="T232" s="35">
        <v>5580</v>
      </c>
      <c r="U232" s="35">
        <v>3611</v>
      </c>
      <c r="V232" s="35">
        <v>147456</v>
      </c>
      <c r="W232" s="35">
        <f t="shared" ref="W232:AP232" si="240">B232-B231</f>
        <v>170</v>
      </c>
      <c r="X232" s="35">
        <f t="shared" si="240"/>
        <v>116</v>
      </c>
      <c r="Y232" s="35">
        <f t="shared" si="240"/>
        <v>281</v>
      </c>
      <c r="Z232" s="35">
        <f t="shared" si="240"/>
        <v>860</v>
      </c>
      <c r="AA232" s="35">
        <f t="shared" si="240"/>
        <v>763</v>
      </c>
      <c r="AB232" s="35">
        <f t="shared" si="240"/>
        <v>276</v>
      </c>
      <c r="AC232" s="35">
        <f t="shared" si="240"/>
        <v>31</v>
      </c>
      <c r="AD232" s="35">
        <f t="shared" si="240"/>
        <v>101</v>
      </c>
      <c r="AE232" s="35">
        <f t="shared" si="240"/>
        <v>869</v>
      </c>
      <c r="AF232" s="35">
        <f t="shared" si="240"/>
        <v>187</v>
      </c>
      <c r="AG232" s="35">
        <f t="shared" si="240"/>
        <v>107</v>
      </c>
      <c r="AH232" s="35">
        <f t="shared" si="240"/>
        <v>192</v>
      </c>
      <c r="AI232" s="35">
        <f t="shared" si="240"/>
        <v>53</v>
      </c>
      <c r="AJ232" s="35">
        <f t="shared" si="240"/>
        <v>612</v>
      </c>
      <c r="AK232" s="35">
        <f t="shared" si="240"/>
        <v>47</v>
      </c>
      <c r="AL232" s="35">
        <f t="shared" si="240"/>
        <v>1495</v>
      </c>
      <c r="AM232" s="35">
        <f t="shared" si="240"/>
        <v>50</v>
      </c>
      <c r="AN232" s="35">
        <f t="shared" si="240"/>
        <v>33</v>
      </c>
      <c r="AO232" s="35">
        <f t="shared" si="240"/>
        <v>215</v>
      </c>
      <c r="AP232" s="35">
        <f t="shared" si="240"/>
        <v>12</v>
      </c>
    </row>
    <row r="233" spans="1:42" ht="13">
      <c r="A233" s="43">
        <v>44152</v>
      </c>
      <c r="B233" s="38">
        <v>5848</v>
      </c>
      <c r="C233" s="38">
        <v>4046</v>
      </c>
      <c r="D233" s="38">
        <v>3424</v>
      </c>
      <c r="E233" s="38">
        <v>8766</v>
      </c>
      <c r="F233" s="38">
        <v>36137</v>
      </c>
      <c r="G233" s="38">
        <v>6266</v>
      </c>
      <c r="H233" s="38">
        <v>4991</v>
      </c>
      <c r="I233" s="38">
        <v>10895</v>
      </c>
      <c r="J233" s="38">
        <v>7705</v>
      </c>
      <c r="K233" s="38">
        <v>4043</v>
      </c>
      <c r="L233" s="38">
        <v>5114</v>
      </c>
      <c r="M233" s="38">
        <v>4133</v>
      </c>
      <c r="N233" s="38">
        <v>3782</v>
      </c>
      <c r="O233" s="38">
        <v>19821</v>
      </c>
      <c r="P233" s="38">
        <v>2967</v>
      </c>
      <c r="Q233" s="38">
        <v>8216</v>
      </c>
      <c r="R233" s="38">
        <v>2060</v>
      </c>
      <c r="S233" s="38">
        <v>4716</v>
      </c>
      <c r="T233" s="38">
        <v>5866</v>
      </c>
      <c r="U233" s="38">
        <v>3863</v>
      </c>
      <c r="V233" s="38">
        <v>152659</v>
      </c>
      <c r="W233" s="35">
        <f t="shared" ref="W233:AP233" si="241">B233-B232</f>
        <v>201</v>
      </c>
      <c r="X233" s="35">
        <f t="shared" si="241"/>
        <v>56</v>
      </c>
      <c r="Y233" s="35">
        <f t="shared" si="241"/>
        <v>118</v>
      </c>
      <c r="Z233" s="35">
        <f t="shared" si="241"/>
        <v>549</v>
      </c>
      <c r="AA233" s="35">
        <f t="shared" si="241"/>
        <v>990</v>
      </c>
      <c r="AB233" s="35">
        <f t="shared" si="241"/>
        <v>221</v>
      </c>
      <c r="AC233" s="35">
        <f t="shared" si="241"/>
        <v>148</v>
      </c>
      <c r="AD233" s="35">
        <f t="shared" si="241"/>
        <v>256</v>
      </c>
      <c r="AE233" s="35">
        <f t="shared" si="241"/>
        <v>352</v>
      </c>
      <c r="AF233" s="35">
        <f t="shared" si="241"/>
        <v>154</v>
      </c>
      <c r="AG233" s="35">
        <f t="shared" si="241"/>
        <v>149</v>
      </c>
      <c r="AH233" s="35">
        <f t="shared" si="241"/>
        <v>219</v>
      </c>
      <c r="AI233" s="35">
        <f t="shared" si="241"/>
        <v>71</v>
      </c>
      <c r="AJ233" s="35">
        <f t="shared" si="241"/>
        <v>574</v>
      </c>
      <c r="AK233" s="35">
        <f t="shared" si="241"/>
        <v>110</v>
      </c>
      <c r="AL233" s="35">
        <f t="shared" si="241"/>
        <v>278</v>
      </c>
      <c r="AM233" s="35">
        <f t="shared" si="241"/>
        <v>34</v>
      </c>
      <c r="AN233" s="35">
        <f t="shared" si="241"/>
        <v>212</v>
      </c>
      <c r="AO233" s="35">
        <f t="shared" si="241"/>
        <v>286</v>
      </c>
      <c r="AP233" s="35">
        <f t="shared" si="241"/>
        <v>252</v>
      </c>
    </row>
    <row r="234" spans="1:42" ht="13">
      <c r="A234" s="43">
        <v>44153</v>
      </c>
      <c r="B234" s="35">
        <v>6123</v>
      </c>
      <c r="C234" s="35">
        <v>4132</v>
      </c>
      <c r="D234" s="35">
        <v>3498</v>
      </c>
      <c r="E234" s="35">
        <v>9026</v>
      </c>
      <c r="F234" s="35">
        <v>37222</v>
      </c>
      <c r="G234" s="35">
        <v>6447</v>
      </c>
      <c r="H234" s="35">
        <v>5270</v>
      </c>
      <c r="I234" s="35">
        <v>11032</v>
      </c>
      <c r="J234" s="35">
        <v>8086</v>
      </c>
      <c r="K234" s="35">
        <v>4140</v>
      </c>
      <c r="L234" s="35">
        <v>5152</v>
      </c>
      <c r="M234" s="35">
        <v>4237</v>
      </c>
      <c r="N234" s="35">
        <v>3827</v>
      </c>
      <c r="O234" s="35">
        <v>20385</v>
      </c>
      <c r="P234" s="35">
        <v>2997</v>
      </c>
      <c r="Q234" s="35">
        <v>8480</v>
      </c>
      <c r="R234" s="35">
        <v>2093</v>
      </c>
      <c r="S234" s="35">
        <v>4795</v>
      </c>
      <c r="T234" s="35">
        <v>5975</v>
      </c>
      <c r="U234" s="35">
        <v>4032</v>
      </c>
      <c r="V234" s="35">
        <v>156949</v>
      </c>
      <c r="W234" s="35">
        <f t="shared" ref="W234:AP234" si="242">B234-B233</f>
        <v>275</v>
      </c>
      <c r="X234" s="35">
        <f t="shared" si="242"/>
        <v>86</v>
      </c>
      <c r="Y234" s="35">
        <f t="shared" si="242"/>
        <v>74</v>
      </c>
      <c r="Z234" s="35">
        <f t="shared" si="242"/>
        <v>260</v>
      </c>
      <c r="AA234" s="35">
        <f t="shared" si="242"/>
        <v>1085</v>
      </c>
      <c r="AB234" s="35">
        <f t="shared" si="242"/>
        <v>181</v>
      </c>
      <c r="AC234" s="35">
        <f t="shared" si="242"/>
        <v>279</v>
      </c>
      <c r="AD234" s="35">
        <f t="shared" si="242"/>
        <v>137</v>
      </c>
      <c r="AE234" s="35">
        <f t="shared" si="242"/>
        <v>381</v>
      </c>
      <c r="AF234" s="35">
        <f t="shared" si="242"/>
        <v>97</v>
      </c>
      <c r="AG234" s="35">
        <f t="shared" si="242"/>
        <v>38</v>
      </c>
      <c r="AH234" s="35">
        <f t="shared" si="242"/>
        <v>104</v>
      </c>
      <c r="AI234" s="35">
        <f t="shared" si="242"/>
        <v>45</v>
      </c>
      <c r="AJ234" s="35">
        <f t="shared" si="242"/>
        <v>564</v>
      </c>
      <c r="AK234" s="35">
        <f t="shared" si="242"/>
        <v>30</v>
      </c>
      <c r="AL234" s="35">
        <f t="shared" si="242"/>
        <v>264</v>
      </c>
      <c r="AM234" s="35">
        <f t="shared" si="242"/>
        <v>33</v>
      </c>
      <c r="AN234" s="35">
        <f t="shared" si="242"/>
        <v>79</v>
      </c>
      <c r="AO234" s="35">
        <f t="shared" si="242"/>
        <v>109</v>
      </c>
      <c r="AP234" s="35">
        <f t="shared" si="242"/>
        <v>169</v>
      </c>
    </row>
    <row r="235" spans="1:42" ht="13">
      <c r="A235" s="43">
        <v>44154</v>
      </c>
      <c r="B235" s="35">
        <v>6318</v>
      </c>
      <c r="C235" s="35">
        <v>4241</v>
      </c>
      <c r="D235" s="35">
        <v>3632</v>
      </c>
      <c r="E235" s="35">
        <v>9173</v>
      </c>
      <c r="F235" s="35">
        <v>38149</v>
      </c>
      <c r="G235" s="35">
        <v>6636</v>
      </c>
      <c r="H235" s="35">
        <v>5507</v>
      </c>
      <c r="I235" s="35">
        <v>11144</v>
      </c>
      <c r="J235" s="35">
        <v>8539</v>
      </c>
      <c r="K235" s="35">
        <v>4329</v>
      </c>
      <c r="L235" s="35">
        <v>5298</v>
      </c>
      <c r="M235" s="35">
        <v>4431</v>
      </c>
      <c r="N235" s="35">
        <v>3879</v>
      </c>
      <c r="O235" s="35">
        <v>21041</v>
      </c>
      <c r="P235" s="35">
        <v>3071</v>
      </c>
      <c r="Q235" s="35">
        <v>8592</v>
      </c>
      <c r="R235" s="35">
        <v>2141</v>
      </c>
      <c r="S235" s="35">
        <v>4943</v>
      </c>
      <c r="T235" s="35">
        <v>6193</v>
      </c>
      <c r="U235" s="35">
        <v>4204</v>
      </c>
      <c r="V235" s="35">
        <v>161461</v>
      </c>
      <c r="W235" s="35">
        <f t="shared" ref="W235:AP235" si="243">B235-B234</f>
        <v>195</v>
      </c>
      <c r="X235" s="35">
        <f t="shared" si="243"/>
        <v>109</v>
      </c>
      <c r="Y235" s="35">
        <f t="shared" si="243"/>
        <v>134</v>
      </c>
      <c r="Z235" s="35">
        <f t="shared" si="243"/>
        <v>147</v>
      </c>
      <c r="AA235" s="35">
        <f t="shared" si="243"/>
        <v>927</v>
      </c>
      <c r="AB235" s="35">
        <f t="shared" si="243"/>
        <v>189</v>
      </c>
      <c r="AC235" s="35">
        <f t="shared" si="243"/>
        <v>237</v>
      </c>
      <c r="AD235" s="35">
        <f t="shared" si="243"/>
        <v>112</v>
      </c>
      <c r="AE235" s="35">
        <f t="shared" si="243"/>
        <v>453</v>
      </c>
      <c r="AF235" s="35">
        <f t="shared" si="243"/>
        <v>189</v>
      </c>
      <c r="AG235" s="35">
        <f t="shared" si="243"/>
        <v>146</v>
      </c>
      <c r="AH235" s="35">
        <f t="shared" si="243"/>
        <v>194</v>
      </c>
      <c r="AI235" s="35">
        <f t="shared" si="243"/>
        <v>52</v>
      </c>
      <c r="AJ235" s="35">
        <f t="shared" si="243"/>
        <v>656</v>
      </c>
      <c r="AK235" s="35">
        <f t="shared" si="243"/>
        <v>74</v>
      </c>
      <c r="AL235" s="35">
        <f t="shared" si="243"/>
        <v>112</v>
      </c>
      <c r="AM235" s="35">
        <f t="shared" si="243"/>
        <v>48</v>
      </c>
      <c r="AN235" s="35">
        <f t="shared" si="243"/>
        <v>148</v>
      </c>
      <c r="AO235" s="35">
        <f t="shared" si="243"/>
        <v>218</v>
      </c>
      <c r="AP235" s="35">
        <f t="shared" si="243"/>
        <v>172</v>
      </c>
    </row>
    <row r="236" spans="1:42" ht="13">
      <c r="A236" s="43">
        <v>44155</v>
      </c>
      <c r="B236" s="35">
        <v>6574</v>
      </c>
      <c r="C236" s="35">
        <v>4394</v>
      </c>
      <c r="D236" s="35">
        <v>3835</v>
      </c>
      <c r="E236" s="35">
        <v>9423</v>
      </c>
      <c r="F236" s="35">
        <v>38979</v>
      </c>
      <c r="G236" s="35">
        <v>6865</v>
      </c>
      <c r="H236" s="35">
        <v>5718</v>
      </c>
      <c r="I236" s="35">
        <v>11326</v>
      </c>
      <c r="J236" s="35">
        <v>8809</v>
      </c>
      <c r="K236" s="35">
        <v>4388</v>
      </c>
      <c r="L236" s="35">
        <v>5375</v>
      </c>
      <c r="M236" s="35">
        <v>4624</v>
      </c>
      <c r="N236" s="35">
        <v>3983</v>
      </c>
      <c r="O236" s="35">
        <v>21715</v>
      </c>
      <c r="P236" s="35">
        <v>3147</v>
      </c>
      <c r="Q236" s="35">
        <v>8702</v>
      </c>
      <c r="R236" s="35">
        <v>2231</v>
      </c>
      <c r="S236" s="35">
        <v>5051</v>
      </c>
      <c r="T236" s="35">
        <v>6386</v>
      </c>
      <c r="U236" s="35">
        <v>4376</v>
      </c>
      <c r="V236" s="35">
        <v>165901</v>
      </c>
      <c r="W236" s="35">
        <f t="shared" ref="W236:AP236" si="244">B236-B235</f>
        <v>256</v>
      </c>
      <c r="X236" s="35">
        <f t="shared" si="244"/>
        <v>153</v>
      </c>
      <c r="Y236" s="35">
        <f t="shared" si="244"/>
        <v>203</v>
      </c>
      <c r="Z236" s="35">
        <f t="shared" si="244"/>
        <v>250</v>
      </c>
      <c r="AA236" s="35">
        <f t="shared" si="244"/>
        <v>830</v>
      </c>
      <c r="AB236" s="35">
        <f t="shared" si="244"/>
        <v>229</v>
      </c>
      <c r="AC236" s="35">
        <f t="shared" si="244"/>
        <v>211</v>
      </c>
      <c r="AD236" s="35">
        <f t="shared" si="244"/>
        <v>182</v>
      </c>
      <c r="AE236" s="35">
        <f t="shared" si="244"/>
        <v>270</v>
      </c>
      <c r="AF236" s="35">
        <f t="shared" si="244"/>
        <v>59</v>
      </c>
      <c r="AG236" s="35">
        <f t="shared" si="244"/>
        <v>77</v>
      </c>
      <c r="AH236" s="35">
        <f t="shared" si="244"/>
        <v>193</v>
      </c>
      <c r="AI236" s="35">
        <f t="shared" si="244"/>
        <v>104</v>
      </c>
      <c r="AJ236" s="35">
        <f t="shared" si="244"/>
        <v>674</v>
      </c>
      <c r="AK236" s="35">
        <f t="shared" si="244"/>
        <v>76</v>
      </c>
      <c r="AL236" s="35">
        <f t="shared" si="244"/>
        <v>110</v>
      </c>
      <c r="AM236" s="35">
        <f t="shared" si="244"/>
        <v>90</v>
      </c>
      <c r="AN236" s="35">
        <f t="shared" si="244"/>
        <v>108</v>
      </c>
      <c r="AO236" s="35">
        <f t="shared" si="244"/>
        <v>193</v>
      </c>
      <c r="AP236" s="35">
        <f t="shared" si="244"/>
        <v>172</v>
      </c>
    </row>
    <row r="237" spans="1:42" ht="13">
      <c r="A237" s="36">
        <v>44156</v>
      </c>
      <c r="B237" s="35">
        <v>6792</v>
      </c>
      <c r="C237" s="35">
        <v>4521</v>
      </c>
      <c r="D237" s="35">
        <v>4003</v>
      </c>
      <c r="E237" s="35">
        <v>9674</v>
      </c>
      <c r="F237" s="35">
        <v>39759</v>
      </c>
      <c r="G237" s="35">
        <v>7002</v>
      </c>
      <c r="H237" s="35">
        <v>5954</v>
      </c>
      <c r="I237" s="35">
        <v>11628</v>
      </c>
      <c r="J237" s="35">
        <v>9026</v>
      </c>
      <c r="K237" s="35">
        <v>4490</v>
      </c>
      <c r="L237" s="35">
        <v>5474</v>
      </c>
      <c r="M237" s="35">
        <v>4744</v>
      </c>
      <c r="N237" s="35">
        <v>4041</v>
      </c>
      <c r="O237" s="35">
        <v>22311</v>
      </c>
      <c r="P237" s="35">
        <v>3247</v>
      </c>
      <c r="Q237" s="35">
        <v>8942</v>
      </c>
      <c r="R237" s="35">
        <v>2297</v>
      </c>
      <c r="S237" s="35">
        <v>5302</v>
      </c>
      <c r="T237" s="35">
        <v>6564</v>
      </c>
      <c r="U237" s="35">
        <v>4527</v>
      </c>
      <c r="V237" s="35">
        <v>170298</v>
      </c>
      <c r="W237" s="35">
        <f t="shared" ref="W237:AP237" si="245">B237-B236</f>
        <v>218</v>
      </c>
      <c r="X237" s="35">
        <f t="shared" si="245"/>
        <v>127</v>
      </c>
      <c r="Y237" s="35">
        <f t="shared" si="245"/>
        <v>168</v>
      </c>
      <c r="Z237" s="35">
        <f t="shared" si="245"/>
        <v>251</v>
      </c>
      <c r="AA237" s="35">
        <f t="shared" si="245"/>
        <v>780</v>
      </c>
      <c r="AB237" s="35">
        <f t="shared" si="245"/>
        <v>137</v>
      </c>
      <c r="AC237" s="35">
        <f t="shared" si="245"/>
        <v>236</v>
      </c>
      <c r="AD237" s="35">
        <f t="shared" si="245"/>
        <v>302</v>
      </c>
      <c r="AE237" s="35">
        <f t="shared" si="245"/>
        <v>217</v>
      </c>
      <c r="AF237" s="35">
        <f t="shared" si="245"/>
        <v>102</v>
      </c>
      <c r="AG237" s="35">
        <f t="shared" si="245"/>
        <v>99</v>
      </c>
      <c r="AH237" s="35">
        <f t="shared" si="245"/>
        <v>120</v>
      </c>
      <c r="AI237" s="35">
        <f t="shared" si="245"/>
        <v>58</v>
      </c>
      <c r="AJ237" s="35">
        <f t="shared" si="245"/>
        <v>596</v>
      </c>
      <c r="AK237" s="35">
        <f t="shared" si="245"/>
        <v>100</v>
      </c>
      <c r="AL237" s="35">
        <f t="shared" si="245"/>
        <v>240</v>
      </c>
      <c r="AM237" s="35">
        <f t="shared" si="245"/>
        <v>66</v>
      </c>
      <c r="AN237" s="35">
        <f t="shared" si="245"/>
        <v>251</v>
      </c>
      <c r="AO237" s="35">
        <f t="shared" si="245"/>
        <v>178</v>
      </c>
      <c r="AP237" s="35">
        <f t="shared" si="245"/>
        <v>151</v>
      </c>
    </row>
    <row r="238" spans="1:42" ht="13">
      <c r="A238" s="36">
        <v>44157</v>
      </c>
      <c r="B238" s="35">
        <v>6935</v>
      </c>
      <c r="C238" s="35">
        <v>4641</v>
      </c>
      <c r="D238" s="35">
        <v>4127</v>
      </c>
      <c r="E238" s="35">
        <v>10039</v>
      </c>
      <c r="F238" s="35">
        <v>40636</v>
      </c>
      <c r="G238" s="35">
        <v>7223</v>
      </c>
      <c r="H238" s="35">
        <v>6058</v>
      </c>
      <c r="I238" s="35">
        <v>11918</v>
      </c>
      <c r="J238" s="35">
        <v>9162</v>
      </c>
      <c r="K238" s="35">
        <v>4616</v>
      </c>
      <c r="L238" s="35">
        <v>5653</v>
      </c>
      <c r="M238" s="35">
        <v>4890</v>
      </c>
      <c r="N238" s="35">
        <v>4105</v>
      </c>
      <c r="O238" s="35">
        <v>22889</v>
      </c>
      <c r="P238" s="35">
        <v>3385</v>
      </c>
      <c r="Q238" s="35">
        <v>9064</v>
      </c>
      <c r="R238" s="35">
        <v>2349</v>
      </c>
      <c r="S238" s="35">
        <v>5563</v>
      </c>
      <c r="T238" s="35">
        <v>6723</v>
      </c>
      <c r="U238" s="35">
        <v>4642</v>
      </c>
      <c r="V238" s="35">
        <v>174618</v>
      </c>
      <c r="W238" s="35">
        <f t="shared" ref="W238:AP238" si="246">B238-B237</f>
        <v>143</v>
      </c>
      <c r="X238" s="35">
        <f t="shared" si="246"/>
        <v>120</v>
      </c>
      <c r="Y238" s="35">
        <f t="shared" si="246"/>
        <v>124</v>
      </c>
      <c r="Z238" s="35">
        <f t="shared" si="246"/>
        <v>365</v>
      </c>
      <c r="AA238" s="35">
        <f t="shared" si="246"/>
        <v>877</v>
      </c>
      <c r="AB238" s="35">
        <f t="shared" si="246"/>
        <v>221</v>
      </c>
      <c r="AC238" s="35">
        <f t="shared" si="246"/>
        <v>104</v>
      </c>
      <c r="AD238" s="35">
        <f t="shared" si="246"/>
        <v>290</v>
      </c>
      <c r="AE238" s="35">
        <f t="shared" si="246"/>
        <v>136</v>
      </c>
      <c r="AF238" s="35">
        <f t="shared" si="246"/>
        <v>126</v>
      </c>
      <c r="AG238" s="35">
        <f t="shared" si="246"/>
        <v>179</v>
      </c>
      <c r="AH238" s="35">
        <f t="shared" si="246"/>
        <v>146</v>
      </c>
      <c r="AI238" s="35">
        <f t="shared" si="246"/>
        <v>64</v>
      </c>
      <c r="AJ238" s="35">
        <f t="shared" si="246"/>
        <v>578</v>
      </c>
      <c r="AK238" s="35">
        <f t="shared" si="246"/>
        <v>138</v>
      </c>
      <c r="AL238" s="35">
        <f t="shared" si="246"/>
        <v>122</v>
      </c>
      <c r="AM238" s="35">
        <f t="shared" si="246"/>
        <v>52</v>
      </c>
      <c r="AN238" s="35">
        <f t="shared" si="246"/>
        <v>261</v>
      </c>
      <c r="AO238" s="35">
        <f t="shared" si="246"/>
        <v>159</v>
      </c>
      <c r="AP238" s="35">
        <f t="shared" si="246"/>
        <v>115</v>
      </c>
    </row>
    <row r="239" spans="1:42" ht="13">
      <c r="A239" s="36">
        <v>44158</v>
      </c>
      <c r="B239" s="35">
        <v>7150</v>
      </c>
      <c r="C239" s="35">
        <v>4785</v>
      </c>
      <c r="D239" s="35">
        <v>4248</v>
      </c>
      <c r="E239" s="35">
        <v>10377</v>
      </c>
      <c r="F239" s="35">
        <v>41251</v>
      </c>
      <c r="G239" s="35">
        <v>7303</v>
      </c>
      <c r="H239" s="35">
        <v>6157</v>
      </c>
      <c r="I239" s="35">
        <v>12079</v>
      </c>
      <c r="J239" s="35">
        <v>9220</v>
      </c>
      <c r="K239" s="35">
        <v>4687</v>
      </c>
      <c r="L239" s="35">
        <v>5766</v>
      </c>
      <c r="M239" s="35">
        <v>4970</v>
      </c>
      <c r="N239" s="35">
        <v>4162</v>
      </c>
      <c r="O239" s="35">
        <v>23372</v>
      </c>
      <c r="P239" s="35">
        <v>3436</v>
      </c>
      <c r="Q239" s="35">
        <v>9229</v>
      </c>
      <c r="R239" s="35">
        <v>2468</v>
      </c>
      <c r="S239" s="35">
        <v>5762</v>
      </c>
      <c r="T239" s="35">
        <v>6859</v>
      </c>
      <c r="U239" s="35">
        <v>4711</v>
      </c>
      <c r="V239" s="35">
        <v>177952</v>
      </c>
      <c r="W239" s="35">
        <f t="shared" ref="W239:AP239" si="247">B239-B238</f>
        <v>215</v>
      </c>
      <c r="X239" s="35">
        <f t="shared" si="247"/>
        <v>144</v>
      </c>
      <c r="Y239" s="35">
        <f t="shared" si="247"/>
        <v>121</v>
      </c>
      <c r="Z239" s="35">
        <f t="shared" si="247"/>
        <v>338</v>
      </c>
      <c r="AA239" s="35">
        <f t="shared" si="247"/>
        <v>615</v>
      </c>
      <c r="AB239" s="35">
        <f t="shared" si="247"/>
        <v>80</v>
      </c>
      <c r="AC239" s="35">
        <f t="shared" si="247"/>
        <v>99</v>
      </c>
      <c r="AD239" s="35">
        <f t="shared" si="247"/>
        <v>161</v>
      </c>
      <c r="AE239" s="35">
        <f t="shared" si="247"/>
        <v>58</v>
      </c>
      <c r="AF239" s="35">
        <f t="shared" si="247"/>
        <v>71</v>
      </c>
      <c r="AG239" s="35">
        <f t="shared" si="247"/>
        <v>113</v>
      </c>
      <c r="AH239" s="35">
        <f t="shared" si="247"/>
        <v>80</v>
      </c>
      <c r="AI239" s="35">
        <f t="shared" si="247"/>
        <v>57</v>
      </c>
      <c r="AJ239" s="35">
        <f t="shared" si="247"/>
        <v>483</v>
      </c>
      <c r="AK239" s="35">
        <f t="shared" si="247"/>
        <v>51</v>
      </c>
      <c r="AL239" s="35">
        <f t="shared" si="247"/>
        <v>165</v>
      </c>
      <c r="AM239" s="35">
        <f t="shared" si="247"/>
        <v>119</v>
      </c>
      <c r="AN239" s="35">
        <f t="shared" si="247"/>
        <v>199</v>
      </c>
      <c r="AO239" s="35">
        <f t="shared" si="247"/>
        <v>136</v>
      </c>
      <c r="AP239" s="35">
        <f t="shared" si="247"/>
        <v>69</v>
      </c>
    </row>
    <row r="240" spans="1:42" ht="13">
      <c r="A240" s="36">
        <v>44159</v>
      </c>
      <c r="B240" s="35">
        <v>7412</v>
      </c>
      <c r="C240" s="35">
        <v>4874</v>
      </c>
      <c r="D240" s="35">
        <v>4380</v>
      </c>
      <c r="E240" s="35">
        <v>10744</v>
      </c>
      <c r="F240" s="35">
        <v>41741</v>
      </c>
      <c r="G240" s="35">
        <v>7471</v>
      </c>
      <c r="H240" s="35">
        <v>6229</v>
      </c>
      <c r="I240" s="35">
        <v>12410</v>
      </c>
      <c r="J240" s="35">
        <v>9571</v>
      </c>
      <c r="K240" s="35">
        <v>4755</v>
      </c>
      <c r="L240" s="35">
        <v>5928</v>
      </c>
      <c r="M240" s="35">
        <v>5154</v>
      </c>
      <c r="N240" s="35">
        <v>4188</v>
      </c>
      <c r="O240" s="35">
        <v>23873</v>
      </c>
      <c r="P240" s="35">
        <v>3521</v>
      </c>
      <c r="Q240" s="35">
        <v>9449</v>
      </c>
      <c r="R240" s="35">
        <v>2565</v>
      </c>
      <c r="S240" s="35">
        <v>5844</v>
      </c>
      <c r="T240" s="35">
        <v>6987</v>
      </c>
      <c r="U240" s="35">
        <v>4785</v>
      </c>
      <c r="V240" s="35">
        <v>181881</v>
      </c>
      <c r="W240" s="35">
        <f t="shared" ref="W240:AP240" si="248">B240-B239</f>
        <v>262</v>
      </c>
      <c r="X240" s="35">
        <f t="shared" si="248"/>
        <v>89</v>
      </c>
      <c r="Y240" s="35">
        <f t="shared" si="248"/>
        <v>132</v>
      </c>
      <c r="Z240" s="35">
        <f t="shared" si="248"/>
        <v>367</v>
      </c>
      <c r="AA240" s="35">
        <f t="shared" si="248"/>
        <v>490</v>
      </c>
      <c r="AB240" s="35">
        <f t="shared" si="248"/>
        <v>168</v>
      </c>
      <c r="AC240" s="35">
        <f t="shared" si="248"/>
        <v>72</v>
      </c>
      <c r="AD240" s="35">
        <f t="shared" si="248"/>
        <v>331</v>
      </c>
      <c r="AE240" s="35">
        <f t="shared" si="248"/>
        <v>351</v>
      </c>
      <c r="AF240" s="35">
        <f t="shared" si="248"/>
        <v>68</v>
      </c>
      <c r="AG240" s="35">
        <f t="shared" si="248"/>
        <v>162</v>
      </c>
      <c r="AH240" s="35">
        <f t="shared" si="248"/>
        <v>184</v>
      </c>
      <c r="AI240" s="35">
        <f t="shared" si="248"/>
        <v>26</v>
      </c>
      <c r="AJ240" s="35">
        <f t="shared" si="248"/>
        <v>501</v>
      </c>
      <c r="AK240" s="35">
        <f t="shared" si="248"/>
        <v>85</v>
      </c>
      <c r="AL240" s="35">
        <f t="shared" si="248"/>
        <v>220</v>
      </c>
      <c r="AM240" s="35">
        <f t="shared" si="248"/>
        <v>97</v>
      </c>
      <c r="AN240" s="35">
        <f t="shared" si="248"/>
        <v>82</v>
      </c>
      <c r="AO240" s="35">
        <f t="shared" si="248"/>
        <v>128</v>
      </c>
      <c r="AP240" s="35">
        <f t="shared" si="248"/>
        <v>74</v>
      </c>
    </row>
    <row r="241" spans="1:42" ht="13">
      <c r="A241" s="36">
        <v>44160</v>
      </c>
      <c r="B241" s="35">
        <v>7659</v>
      </c>
      <c r="C241" s="35">
        <v>5035</v>
      </c>
      <c r="D241" s="35">
        <v>4674</v>
      </c>
      <c r="E241" s="35">
        <v>11040</v>
      </c>
      <c r="F241" s="35">
        <v>42454</v>
      </c>
      <c r="G241" s="35">
        <v>7660</v>
      </c>
      <c r="H241" s="35">
        <v>6312</v>
      </c>
      <c r="I241" s="35">
        <v>12522</v>
      </c>
      <c r="J241" s="35">
        <v>9716</v>
      </c>
      <c r="K241" s="35">
        <v>4831</v>
      </c>
      <c r="L241" s="35">
        <v>5995</v>
      </c>
      <c r="M241" s="35">
        <v>5283</v>
      </c>
      <c r="N241" s="35">
        <v>4306</v>
      </c>
      <c r="O241" s="35">
        <v>24439</v>
      </c>
      <c r="P241" s="35">
        <v>3578</v>
      </c>
      <c r="Q241" s="35">
        <v>9670</v>
      </c>
      <c r="R241" s="35">
        <v>2572</v>
      </c>
      <c r="S241" s="35">
        <v>5999</v>
      </c>
      <c r="T241" s="35">
        <v>7091</v>
      </c>
      <c r="U241" s="35">
        <v>4851</v>
      </c>
      <c r="V241" s="35">
        <v>185687</v>
      </c>
      <c r="W241" s="35">
        <f t="shared" ref="W241:AP241" si="249">B241-B240</f>
        <v>247</v>
      </c>
      <c r="X241" s="35">
        <f t="shared" si="249"/>
        <v>161</v>
      </c>
      <c r="Y241" s="35">
        <f t="shared" si="249"/>
        <v>294</v>
      </c>
      <c r="Z241" s="35">
        <f t="shared" si="249"/>
        <v>296</v>
      </c>
      <c r="AA241" s="35">
        <f t="shared" si="249"/>
        <v>713</v>
      </c>
      <c r="AB241" s="35">
        <f t="shared" si="249"/>
        <v>189</v>
      </c>
      <c r="AC241" s="35">
        <f t="shared" si="249"/>
        <v>83</v>
      </c>
      <c r="AD241" s="35">
        <f t="shared" si="249"/>
        <v>112</v>
      </c>
      <c r="AE241" s="35">
        <f t="shared" si="249"/>
        <v>145</v>
      </c>
      <c r="AF241" s="35">
        <f t="shared" si="249"/>
        <v>76</v>
      </c>
      <c r="AG241" s="35">
        <f t="shared" si="249"/>
        <v>67</v>
      </c>
      <c r="AH241" s="35">
        <f t="shared" si="249"/>
        <v>129</v>
      </c>
      <c r="AI241" s="35">
        <f t="shared" si="249"/>
        <v>118</v>
      </c>
      <c r="AJ241" s="35">
        <f t="shared" si="249"/>
        <v>566</v>
      </c>
      <c r="AK241" s="35">
        <f t="shared" si="249"/>
        <v>57</v>
      </c>
      <c r="AL241" s="35">
        <f t="shared" si="249"/>
        <v>221</v>
      </c>
      <c r="AM241" s="35">
        <f t="shared" si="249"/>
        <v>7</v>
      </c>
      <c r="AN241" s="35">
        <f t="shared" si="249"/>
        <v>155</v>
      </c>
      <c r="AO241" s="35">
        <f t="shared" si="249"/>
        <v>104</v>
      </c>
      <c r="AP241" s="35">
        <f t="shared" si="249"/>
        <v>66</v>
      </c>
    </row>
    <row r="242" spans="1:42" ht="13">
      <c r="A242" s="36">
        <v>44161</v>
      </c>
      <c r="B242" s="35">
        <v>8034</v>
      </c>
      <c r="C242" s="35">
        <v>5197</v>
      </c>
      <c r="D242" s="35">
        <v>4945</v>
      </c>
      <c r="E242" s="35">
        <v>11346</v>
      </c>
      <c r="F242" s="35">
        <v>43564</v>
      </c>
      <c r="G242" s="35">
        <v>8037</v>
      </c>
      <c r="H242" s="35">
        <v>6528</v>
      </c>
      <c r="I242" s="35">
        <v>12823</v>
      </c>
      <c r="J242" s="35">
        <v>10111</v>
      </c>
      <c r="K242" s="35">
        <v>4909</v>
      </c>
      <c r="L242" s="35">
        <v>6261</v>
      </c>
      <c r="M242" s="35">
        <v>5471</v>
      </c>
      <c r="N242" s="35">
        <v>4466</v>
      </c>
      <c r="O242" s="35">
        <v>25329</v>
      </c>
      <c r="P242" s="35">
        <v>3729</v>
      </c>
      <c r="Q242" s="35">
        <v>9966</v>
      </c>
      <c r="R242" s="35">
        <v>2682</v>
      </c>
      <c r="S242" s="35">
        <v>6158</v>
      </c>
      <c r="T242" s="35">
        <v>7442</v>
      </c>
      <c r="U242" s="35">
        <v>5049</v>
      </c>
      <c r="V242" s="35">
        <v>192047</v>
      </c>
      <c r="W242" s="35">
        <f t="shared" ref="W242:AP242" si="250">B242-B241</f>
        <v>375</v>
      </c>
      <c r="X242" s="35">
        <f t="shared" si="250"/>
        <v>162</v>
      </c>
      <c r="Y242" s="35">
        <f t="shared" si="250"/>
        <v>271</v>
      </c>
      <c r="Z242" s="35">
        <f t="shared" si="250"/>
        <v>306</v>
      </c>
      <c r="AA242" s="35">
        <f t="shared" si="250"/>
        <v>1110</v>
      </c>
      <c r="AB242" s="35">
        <f t="shared" si="250"/>
        <v>377</v>
      </c>
      <c r="AC242" s="35">
        <f t="shared" si="250"/>
        <v>216</v>
      </c>
      <c r="AD242" s="35">
        <f t="shared" si="250"/>
        <v>301</v>
      </c>
      <c r="AE242" s="35">
        <f t="shared" si="250"/>
        <v>395</v>
      </c>
      <c r="AF242" s="35">
        <f t="shared" si="250"/>
        <v>78</v>
      </c>
      <c r="AG242" s="35">
        <f t="shared" si="250"/>
        <v>266</v>
      </c>
      <c r="AH242" s="35">
        <f t="shared" si="250"/>
        <v>188</v>
      </c>
      <c r="AI242" s="35">
        <f t="shared" si="250"/>
        <v>160</v>
      </c>
      <c r="AJ242" s="35">
        <f t="shared" si="250"/>
        <v>890</v>
      </c>
      <c r="AK242" s="35">
        <f t="shared" si="250"/>
        <v>151</v>
      </c>
      <c r="AL242" s="35">
        <f t="shared" si="250"/>
        <v>296</v>
      </c>
      <c r="AM242" s="35">
        <f t="shared" si="250"/>
        <v>110</v>
      </c>
      <c r="AN242" s="35">
        <f t="shared" si="250"/>
        <v>159</v>
      </c>
      <c r="AO242" s="35">
        <f t="shared" si="250"/>
        <v>351</v>
      </c>
      <c r="AP242" s="35">
        <f t="shared" si="250"/>
        <v>198</v>
      </c>
    </row>
    <row r="243" spans="1:42" ht="13">
      <c r="A243" s="36">
        <v>44162</v>
      </c>
      <c r="B243" s="35">
        <v>8558</v>
      </c>
      <c r="C243" s="35">
        <v>5338</v>
      </c>
      <c r="D243" s="35">
        <v>5458</v>
      </c>
      <c r="E243" s="35">
        <v>11677</v>
      </c>
      <c r="F243" s="35">
        <v>44276</v>
      </c>
      <c r="G243" s="35">
        <v>8501</v>
      </c>
      <c r="H243" s="35">
        <v>6709</v>
      </c>
      <c r="I243" s="35">
        <v>13065</v>
      </c>
      <c r="J243" s="35">
        <v>10405</v>
      </c>
      <c r="K243" s="35">
        <v>5118</v>
      </c>
      <c r="L243" s="35">
        <v>6586</v>
      </c>
      <c r="M243" s="35">
        <v>5653</v>
      </c>
      <c r="N243" s="35">
        <v>4629</v>
      </c>
      <c r="O243" s="35">
        <v>25964</v>
      </c>
      <c r="P243" s="35">
        <v>3875</v>
      </c>
      <c r="Q243" s="35">
        <v>10246</v>
      </c>
      <c r="R243" s="35">
        <v>2818</v>
      </c>
      <c r="S243" s="35">
        <v>6503</v>
      </c>
      <c r="T243" s="35">
        <v>7794</v>
      </c>
      <c r="U243" s="35">
        <v>5267</v>
      </c>
      <c r="V243" s="35">
        <v>198440</v>
      </c>
      <c r="W243" s="35">
        <f t="shared" ref="W243:AP243" si="251">B243-B242</f>
        <v>524</v>
      </c>
      <c r="X243" s="35">
        <f t="shared" si="251"/>
        <v>141</v>
      </c>
      <c r="Y243" s="35">
        <f t="shared" si="251"/>
        <v>513</v>
      </c>
      <c r="Z243" s="35">
        <f t="shared" si="251"/>
        <v>331</v>
      </c>
      <c r="AA243" s="35">
        <f t="shared" si="251"/>
        <v>712</v>
      </c>
      <c r="AB243" s="35">
        <f t="shared" si="251"/>
        <v>464</v>
      </c>
      <c r="AC243" s="35">
        <f t="shared" si="251"/>
        <v>181</v>
      </c>
      <c r="AD243" s="35">
        <f t="shared" si="251"/>
        <v>242</v>
      </c>
      <c r="AE243" s="35">
        <f t="shared" si="251"/>
        <v>294</v>
      </c>
      <c r="AF243" s="35">
        <f t="shared" si="251"/>
        <v>209</v>
      </c>
      <c r="AG243" s="35">
        <f t="shared" si="251"/>
        <v>325</v>
      </c>
      <c r="AH243" s="35">
        <f t="shared" si="251"/>
        <v>182</v>
      </c>
      <c r="AI243" s="35">
        <f t="shared" si="251"/>
        <v>163</v>
      </c>
      <c r="AJ243" s="35">
        <f t="shared" si="251"/>
        <v>635</v>
      </c>
      <c r="AK243" s="35">
        <f t="shared" si="251"/>
        <v>146</v>
      </c>
      <c r="AL243" s="35">
        <f t="shared" si="251"/>
        <v>280</v>
      </c>
      <c r="AM243" s="35">
        <f t="shared" si="251"/>
        <v>136</v>
      </c>
      <c r="AN243" s="35">
        <f t="shared" si="251"/>
        <v>345</v>
      </c>
      <c r="AO243" s="35">
        <f t="shared" si="251"/>
        <v>352</v>
      </c>
      <c r="AP243" s="35">
        <f t="shared" si="251"/>
        <v>218</v>
      </c>
    </row>
    <row r="244" spans="1:42" ht="13">
      <c r="A244" s="36">
        <v>44163</v>
      </c>
      <c r="B244" s="35">
        <v>8963</v>
      </c>
      <c r="C244" s="35">
        <v>5509</v>
      </c>
      <c r="D244" s="35">
        <v>5873</v>
      </c>
      <c r="E244" s="35">
        <v>12180</v>
      </c>
      <c r="F244" s="35">
        <v>45054</v>
      </c>
      <c r="G244" s="35">
        <v>8840</v>
      </c>
      <c r="H244" s="35">
        <v>6937</v>
      </c>
      <c r="I244" s="35">
        <v>13454</v>
      </c>
      <c r="J244" s="35">
        <v>10707</v>
      </c>
      <c r="K244" s="35">
        <v>5318</v>
      </c>
      <c r="L244" s="35">
        <v>6898</v>
      </c>
      <c r="M244" s="35">
        <v>5828</v>
      </c>
      <c r="N244" s="35">
        <v>4718</v>
      </c>
      <c r="O244" s="35">
        <v>26582</v>
      </c>
      <c r="P244" s="35">
        <v>4138</v>
      </c>
      <c r="Q244" s="35">
        <v>10510</v>
      </c>
      <c r="R244" s="35">
        <v>3006</v>
      </c>
      <c r="S244" s="35">
        <v>6715</v>
      </c>
      <c r="T244" s="35">
        <v>8011</v>
      </c>
      <c r="U244" s="35">
        <v>5467</v>
      </c>
      <c r="V244" s="35">
        <v>204708</v>
      </c>
      <c r="W244" s="35">
        <f t="shared" ref="W244:AP244" si="252">B244-B243</f>
        <v>405</v>
      </c>
      <c r="X244" s="35">
        <f t="shared" si="252"/>
        <v>171</v>
      </c>
      <c r="Y244" s="35">
        <f t="shared" si="252"/>
        <v>415</v>
      </c>
      <c r="Z244" s="35">
        <f t="shared" si="252"/>
        <v>503</v>
      </c>
      <c r="AA244" s="35">
        <f t="shared" si="252"/>
        <v>778</v>
      </c>
      <c r="AB244" s="35">
        <f t="shared" si="252"/>
        <v>339</v>
      </c>
      <c r="AC244" s="35">
        <f t="shared" si="252"/>
        <v>228</v>
      </c>
      <c r="AD244" s="35">
        <f t="shared" si="252"/>
        <v>389</v>
      </c>
      <c r="AE244" s="35">
        <f t="shared" si="252"/>
        <v>302</v>
      </c>
      <c r="AF244" s="35">
        <f t="shared" si="252"/>
        <v>200</v>
      </c>
      <c r="AG244" s="35">
        <f t="shared" si="252"/>
        <v>312</v>
      </c>
      <c r="AH244" s="35">
        <f t="shared" si="252"/>
        <v>175</v>
      </c>
      <c r="AI244" s="35">
        <f t="shared" si="252"/>
        <v>89</v>
      </c>
      <c r="AJ244" s="35">
        <f t="shared" si="252"/>
        <v>618</v>
      </c>
      <c r="AK244" s="35">
        <f t="shared" si="252"/>
        <v>263</v>
      </c>
      <c r="AL244" s="35">
        <f t="shared" si="252"/>
        <v>264</v>
      </c>
      <c r="AM244" s="35">
        <f t="shared" si="252"/>
        <v>188</v>
      </c>
      <c r="AN244" s="35">
        <f t="shared" si="252"/>
        <v>212</v>
      </c>
      <c r="AO244" s="35">
        <f t="shared" si="252"/>
        <v>217</v>
      </c>
      <c r="AP244" s="35">
        <f t="shared" si="252"/>
        <v>200</v>
      </c>
    </row>
    <row r="245" spans="1:42" ht="13">
      <c r="A245" s="36">
        <v>44164</v>
      </c>
      <c r="B245" s="35">
        <v>9329</v>
      </c>
      <c r="C245" s="35">
        <v>5737</v>
      </c>
      <c r="D245" s="35">
        <v>6286</v>
      </c>
      <c r="E245" s="35">
        <v>12814</v>
      </c>
      <c r="F245" s="35">
        <v>45918</v>
      </c>
      <c r="G245" s="35">
        <v>9120</v>
      </c>
      <c r="H245" s="35">
        <v>7150</v>
      </c>
      <c r="I245" s="35">
        <v>13883</v>
      </c>
      <c r="J245" s="35">
        <v>11015</v>
      </c>
      <c r="K245" s="35">
        <v>5601</v>
      </c>
      <c r="L245" s="35">
        <v>7267</v>
      </c>
      <c r="M245" s="35">
        <v>6036</v>
      </c>
      <c r="N245" s="35">
        <v>4952</v>
      </c>
      <c r="O245" s="35">
        <v>27272</v>
      </c>
      <c r="P245" s="35">
        <v>4309</v>
      </c>
      <c r="Q245" s="35">
        <v>10723</v>
      </c>
      <c r="R245" s="35">
        <v>3237</v>
      </c>
      <c r="S245" s="35">
        <v>6986</v>
      </c>
      <c r="T245" s="35">
        <v>8293</v>
      </c>
      <c r="U245" s="35">
        <v>5599</v>
      </c>
      <c r="V245" s="35">
        <v>211527</v>
      </c>
      <c r="W245" s="35">
        <f t="shared" ref="W245:AP245" si="253">B245-B244</f>
        <v>366</v>
      </c>
      <c r="X245" s="35">
        <f t="shared" si="253"/>
        <v>228</v>
      </c>
      <c r="Y245" s="35">
        <f t="shared" si="253"/>
        <v>413</v>
      </c>
      <c r="Z245" s="35">
        <f t="shared" si="253"/>
        <v>634</v>
      </c>
      <c r="AA245" s="35">
        <f t="shared" si="253"/>
        <v>864</v>
      </c>
      <c r="AB245" s="35">
        <f t="shared" si="253"/>
        <v>280</v>
      </c>
      <c r="AC245" s="35">
        <f t="shared" si="253"/>
        <v>213</v>
      </c>
      <c r="AD245" s="35">
        <f t="shared" si="253"/>
        <v>429</v>
      </c>
      <c r="AE245" s="35">
        <f t="shared" si="253"/>
        <v>308</v>
      </c>
      <c r="AF245" s="35">
        <f t="shared" si="253"/>
        <v>283</v>
      </c>
      <c r="AG245" s="35">
        <f t="shared" si="253"/>
        <v>369</v>
      </c>
      <c r="AH245" s="35">
        <f t="shared" si="253"/>
        <v>208</v>
      </c>
      <c r="AI245" s="35">
        <f t="shared" si="253"/>
        <v>234</v>
      </c>
      <c r="AJ245" s="35">
        <f t="shared" si="253"/>
        <v>690</v>
      </c>
      <c r="AK245" s="35">
        <f t="shared" si="253"/>
        <v>171</v>
      </c>
      <c r="AL245" s="35">
        <f t="shared" si="253"/>
        <v>213</v>
      </c>
      <c r="AM245" s="35">
        <f t="shared" si="253"/>
        <v>231</v>
      </c>
      <c r="AN245" s="35">
        <f t="shared" si="253"/>
        <v>271</v>
      </c>
      <c r="AO245" s="35">
        <f t="shared" si="253"/>
        <v>282</v>
      </c>
      <c r="AP245" s="35">
        <f t="shared" si="253"/>
        <v>132</v>
      </c>
    </row>
    <row r="246" spans="1:42" ht="13">
      <c r="A246" s="36">
        <v>44165</v>
      </c>
      <c r="B246" s="35">
        <v>9555</v>
      </c>
      <c r="C246" s="35">
        <v>5873</v>
      </c>
      <c r="D246" s="35">
        <v>6491</v>
      </c>
      <c r="E246" s="35">
        <v>13216</v>
      </c>
      <c r="F246" s="35">
        <v>46814</v>
      </c>
      <c r="G246" s="35">
        <v>9305</v>
      </c>
      <c r="H246" s="35">
        <v>7425</v>
      </c>
      <c r="I246" s="35">
        <v>14155</v>
      </c>
      <c r="J246" s="35">
        <v>11565</v>
      </c>
      <c r="K246" s="35">
        <v>5801</v>
      </c>
      <c r="L246" s="35">
        <v>7434</v>
      </c>
      <c r="M246" s="35">
        <v>6231</v>
      </c>
      <c r="N246" s="35">
        <v>5030</v>
      </c>
      <c r="O246" s="35">
        <v>28015</v>
      </c>
      <c r="P246" s="35">
        <v>4434</v>
      </c>
      <c r="Q246" s="35">
        <v>11022</v>
      </c>
      <c r="R246" s="35">
        <v>3353</v>
      </c>
      <c r="S246" s="35">
        <v>7079</v>
      </c>
      <c r="T246" s="35">
        <v>8494</v>
      </c>
      <c r="U246" s="35">
        <v>5831</v>
      </c>
      <c r="V246" s="35">
        <v>217122</v>
      </c>
      <c r="W246" s="35">
        <f t="shared" ref="W246:AP246" si="254">B246-B245</f>
        <v>226</v>
      </c>
      <c r="X246" s="35">
        <f t="shared" si="254"/>
        <v>136</v>
      </c>
      <c r="Y246" s="35">
        <f t="shared" si="254"/>
        <v>205</v>
      </c>
      <c r="Z246" s="35">
        <f t="shared" si="254"/>
        <v>402</v>
      </c>
      <c r="AA246" s="35">
        <f t="shared" si="254"/>
        <v>896</v>
      </c>
      <c r="AB246" s="35">
        <f t="shared" si="254"/>
        <v>185</v>
      </c>
      <c r="AC246" s="35">
        <f t="shared" si="254"/>
        <v>275</v>
      </c>
      <c r="AD246" s="35">
        <f t="shared" si="254"/>
        <v>272</v>
      </c>
      <c r="AE246" s="35">
        <f t="shared" si="254"/>
        <v>550</v>
      </c>
      <c r="AF246" s="35">
        <f t="shared" si="254"/>
        <v>200</v>
      </c>
      <c r="AG246" s="35">
        <f t="shared" si="254"/>
        <v>167</v>
      </c>
      <c r="AH246" s="35">
        <f t="shared" si="254"/>
        <v>195</v>
      </c>
      <c r="AI246" s="35">
        <f t="shared" si="254"/>
        <v>78</v>
      </c>
      <c r="AJ246" s="35">
        <f t="shared" si="254"/>
        <v>743</v>
      </c>
      <c r="AK246" s="35">
        <f t="shared" si="254"/>
        <v>125</v>
      </c>
      <c r="AL246" s="35">
        <f t="shared" si="254"/>
        <v>299</v>
      </c>
      <c r="AM246" s="35">
        <f t="shared" si="254"/>
        <v>116</v>
      </c>
      <c r="AN246" s="35">
        <f t="shared" si="254"/>
        <v>93</v>
      </c>
      <c r="AO246" s="35">
        <f t="shared" si="254"/>
        <v>201</v>
      </c>
      <c r="AP246" s="35">
        <f t="shared" si="254"/>
        <v>232</v>
      </c>
    </row>
    <row r="247" spans="1:42" ht="13">
      <c r="A247" s="36">
        <v>44166</v>
      </c>
      <c r="B247" s="35">
        <v>9719</v>
      </c>
      <c r="C247" s="35">
        <v>5966</v>
      </c>
      <c r="D247" s="35">
        <v>6659</v>
      </c>
      <c r="E247" s="35">
        <v>13496</v>
      </c>
      <c r="F247" s="35">
        <v>47340</v>
      </c>
      <c r="G247" s="35">
        <v>9360</v>
      </c>
      <c r="H247" s="35">
        <v>7469</v>
      </c>
      <c r="I247" s="35">
        <v>14384</v>
      </c>
      <c r="J247" s="35">
        <v>11900</v>
      </c>
      <c r="K247" s="35">
        <v>5892</v>
      </c>
      <c r="L247" s="35">
        <v>7664</v>
      </c>
      <c r="M247" s="35">
        <v>6425</v>
      </c>
      <c r="N247" s="35">
        <v>5099</v>
      </c>
      <c r="O247" s="35">
        <v>28542</v>
      </c>
      <c r="P247" s="35">
        <v>4525</v>
      </c>
      <c r="Q247" s="35">
        <v>11398</v>
      </c>
      <c r="R247" s="35">
        <v>3411</v>
      </c>
      <c r="S247" s="35">
        <v>7224</v>
      </c>
      <c r="T247" s="35">
        <v>8662</v>
      </c>
      <c r="U247" s="35">
        <v>5938</v>
      </c>
      <c r="V247" s="35">
        <v>221073</v>
      </c>
      <c r="W247" s="35">
        <f t="shared" ref="W247:AP247" si="255">B247-B246</f>
        <v>164</v>
      </c>
      <c r="X247" s="35">
        <f t="shared" si="255"/>
        <v>93</v>
      </c>
      <c r="Y247" s="35">
        <f t="shared" si="255"/>
        <v>168</v>
      </c>
      <c r="Z247" s="35">
        <f t="shared" si="255"/>
        <v>280</v>
      </c>
      <c r="AA247" s="35">
        <f t="shared" si="255"/>
        <v>526</v>
      </c>
      <c r="AB247" s="35">
        <f t="shared" si="255"/>
        <v>55</v>
      </c>
      <c r="AC247" s="35">
        <f t="shared" si="255"/>
        <v>44</v>
      </c>
      <c r="AD247" s="35">
        <f t="shared" si="255"/>
        <v>229</v>
      </c>
      <c r="AE247" s="35">
        <f t="shared" si="255"/>
        <v>335</v>
      </c>
      <c r="AF247" s="35">
        <f t="shared" si="255"/>
        <v>91</v>
      </c>
      <c r="AG247" s="35">
        <f t="shared" si="255"/>
        <v>230</v>
      </c>
      <c r="AH247" s="35">
        <f t="shared" si="255"/>
        <v>194</v>
      </c>
      <c r="AI247" s="35">
        <f t="shared" si="255"/>
        <v>69</v>
      </c>
      <c r="AJ247" s="35">
        <f t="shared" si="255"/>
        <v>527</v>
      </c>
      <c r="AK247" s="35">
        <f t="shared" si="255"/>
        <v>91</v>
      </c>
      <c r="AL247" s="35">
        <f t="shared" si="255"/>
        <v>376</v>
      </c>
      <c r="AM247" s="35">
        <f t="shared" si="255"/>
        <v>58</v>
      </c>
      <c r="AN247" s="35">
        <f t="shared" si="255"/>
        <v>145</v>
      </c>
      <c r="AO247" s="35">
        <f t="shared" si="255"/>
        <v>168</v>
      </c>
      <c r="AP247" s="35">
        <f t="shared" si="255"/>
        <v>107</v>
      </c>
    </row>
    <row r="248" spans="1:42" ht="13">
      <c r="A248" s="36">
        <v>44167</v>
      </c>
      <c r="B248" s="35">
        <v>9908</v>
      </c>
      <c r="C248" s="35">
        <v>6083</v>
      </c>
      <c r="D248" s="35">
        <v>6811</v>
      </c>
      <c r="E248" s="35">
        <v>13733</v>
      </c>
      <c r="F248" s="35">
        <v>47985</v>
      </c>
      <c r="G248" s="35">
        <v>9593</v>
      </c>
      <c r="H248" s="35">
        <v>7579</v>
      </c>
      <c r="I248" s="35">
        <v>14593</v>
      </c>
      <c r="J248" s="35">
        <v>12122</v>
      </c>
      <c r="K248" s="35">
        <v>6080</v>
      </c>
      <c r="L248" s="35">
        <v>7849</v>
      </c>
      <c r="M248" s="35">
        <v>6566</v>
      </c>
      <c r="N248" s="35">
        <v>5238</v>
      </c>
      <c r="O248" s="35">
        <v>29124</v>
      </c>
      <c r="P248" s="35">
        <v>4690</v>
      </c>
      <c r="Q248" s="35">
        <v>11548</v>
      </c>
      <c r="R248" s="35">
        <v>3468</v>
      </c>
      <c r="S248" s="35">
        <v>7327</v>
      </c>
      <c r="T248" s="35">
        <v>8861</v>
      </c>
      <c r="U248" s="35">
        <v>6051</v>
      </c>
      <c r="V248" s="35">
        <v>225209</v>
      </c>
      <c r="W248" s="35">
        <f t="shared" ref="W248:AP248" si="256">B248-B247</f>
        <v>189</v>
      </c>
      <c r="X248" s="35">
        <f t="shared" si="256"/>
        <v>117</v>
      </c>
      <c r="Y248" s="35">
        <f t="shared" si="256"/>
        <v>152</v>
      </c>
      <c r="Z248" s="35">
        <f t="shared" si="256"/>
        <v>237</v>
      </c>
      <c r="AA248" s="35">
        <f t="shared" si="256"/>
        <v>645</v>
      </c>
      <c r="AB248" s="35">
        <f t="shared" si="256"/>
        <v>233</v>
      </c>
      <c r="AC248" s="35">
        <f t="shared" si="256"/>
        <v>110</v>
      </c>
      <c r="AD248" s="35">
        <f t="shared" si="256"/>
        <v>209</v>
      </c>
      <c r="AE248" s="35">
        <f t="shared" si="256"/>
        <v>222</v>
      </c>
      <c r="AF248" s="35">
        <f t="shared" si="256"/>
        <v>188</v>
      </c>
      <c r="AG248" s="35">
        <f t="shared" si="256"/>
        <v>185</v>
      </c>
      <c r="AH248" s="35">
        <f t="shared" si="256"/>
        <v>141</v>
      </c>
      <c r="AI248" s="35">
        <f t="shared" si="256"/>
        <v>139</v>
      </c>
      <c r="AJ248" s="35">
        <f t="shared" si="256"/>
        <v>582</v>
      </c>
      <c r="AK248" s="35">
        <f t="shared" si="256"/>
        <v>165</v>
      </c>
      <c r="AL248" s="35">
        <f t="shared" si="256"/>
        <v>150</v>
      </c>
      <c r="AM248" s="35">
        <f t="shared" si="256"/>
        <v>57</v>
      </c>
      <c r="AN248" s="35">
        <f t="shared" si="256"/>
        <v>103</v>
      </c>
      <c r="AO248" s="35">
        <f t="shared" si="256"/>
        <v>199</v>
      </c>
      <c r="AP248" s="35">
        <f t="shared" si="256"/>
        <v>113</v>
      </c>
    </row>
    <row r="249" spans="1:42" ht="13">
      <c r="A249" s="36">
        <v>44168</v>
      </c>
      <c r="B249" s="35">
        <v>10177</v>
      </c>
      <c r="C249" s="35">
        <v>6233</v>
      </c>
      <c r="D249" s="35">
        <v>7129</v>
      </c>
      <c r="E249" s="35">
        <v>14098</v>
      </c>
      <c r="F249" s="35">
        <v>48746</v>
      </c>
      <c r="G249" s="35">
        <v>9966</v>
      </c>
      <c r="H249" s="35">
        <v>7859</v>
      </c>
      <c r="I249" s="35">
        <v>14917</v>
      </c>
      <c r="J249" s="35">
        <v>12544</v>
      </c>
      <c r="K249" s="35">
        <v>6291</v>
      </c>
      <c r="L249" s="35">
        <v>8150</v>
      </c>
      <c r="M249" s="35">
        <v>6735</v>
      </c>
      <c r="N249" s="35">
        <v>5439</v>
      </c>
      <c r="O249" s="35">
        <v>30187</v>
      </c>
      <c r="P249" s="35">
        <v>4903</v>
      </c>
      <c r="Q249" s="35">
        <v>11889</v>
      </c>
      <c r="R249" s="35">
        <v>3704</v>
      </c>
      <c r="S249" s="35">
        <v>7514</v>
      </c>
      <c r="T249" s="35">
        <v>9131</v>
      </c>
      <c r="U249" s="35">
        <v>6232</v>
      </c>
      <c r="V249" s="35">
        <v>231844</v>
      </c>
      <c r="W249" s="35">
        <f t="shared" ref="W249:AP249" si="257">B249-B248</f>
        <v>269</v>
      </c>
      <c r="X249" s="35">
        <f t="shared" si="257"/>
        <v>150</v>
      </c>
      <c r="Y249" s="35">
        <f t="shared" si="257"/>
        <v>318</v>
      </c>
      <c r="Z249" s="35">
        <f t="shared" si="257"/>
        <v>365</v>
      </c>
      <c r="AA249" s="35">
        <f t="shared" si="257"/>
        <v>761</v>
      </c>
      <c r="AB249" s="35">
        <f t="shared" si="257"/>
        <v>373</v>
      </c>
      <c r="AC249" s="35">
        <f t="shared" si="257"/>
        <v>280</v>
      </c>
      <c r="AD249" s="35">
        <f t="shared" si="257"/>
        <v>324</v>
      </c>
      <c r="AE249" s="35">
        <f t="shared" si="257"/>
        <v>422</v>
      </c>
      <c r="AF249" s="35">
        <f t="shared" si="257"/>
        <v>211</v>
      </c>
      <c r="AG249" s="35">
        <f t="shared" si="257"/>
        <v>301</v>
      </c>
      <c r="AH249" s="35">
        <f t="shared" si="257"/>
        <v>169</v>
      </c>
      <c r="AI249" s="35">
        <f t="shared" si="257"/>
        <v>201</v>
      </c>
      <c r="AJ249" s="35">
        <f t="shared" si="257"/>
        <v>1063</v>
      </c>
      <c r="AK249" s="35">
        <f t="shared" si="257"/>
        <v>213</v>
      </c>
      <c r="AL249" s="35">
        <f t="shared" si="257"/>
        <v>341</v>
      </c>
      <c r="AM249" s="35">
        <f t="shared" si="257"/>
        <v>236</v>
      </c>
      <c r="AN249" s="35">
        <f t="shared" si="257"/>
        <v>187</v>
      </c>
      <c r="AO249" s="35">
        <f t="shared" si="257"/>
        <v>270</v>
      </c>
      <c r="AP249" s="35">
        <f t="shared" si="257"/>
        <v>181</v>
      </c>
    </row>
    <row r="250" spans="1:42" ht="13">
      <c r="A250" s="36">
        <v>44169</v>
      </c>
      <c r="B250" s="35">
        <v>10534</v>
      </c>
      <c r="C250" s="35">
        <v>6423</v>
      </c>
      <c r="D250" s="35">
        <v>7429</v>
      </c>
      <c r="E250" s="35">
        <v>14387</v>
      </c>
      <c r="F250" s="35">
        <v>49680</v>
      </c>
      <c r="G250" s="35">
        <v>10227</v>
      </c>
      <c r="H250" s="35">
        <v>8098</v>
      </c>
      <c r="I250" s="35">
        <v>15201</v>
      </c>
      <c r="J250" s="35">
        <v>12992</v>
      </c>
      <c r="K250" s="35">
        <v>6451</v>
      </c>
      <c r="L250" s="35">
        <v>8418</v>
      </c>
      <c r="M250" s="35">
        <v>6924</v>
      </c>
      <c r="N250" s="35">
        <v>5610</v>
      </c>
      <c r="O250" s="35">
        <v>30897</v>
      </c>
      <c r="P250" s="35">
        <v>5094</v>
      </c>
      <c r="Q250" s="35">
        <v>12283</v>
      </c>
      <c r="R250" s="35">
        <v>3859</v>
      </c>
      <c r="S250" s="35">
        <v>7704</v>
      </c>
      <c r="T250" s="35">
        <v>9379</v>
      </c>
      <c r="U250" s="35">
        <v>6466</v>
      </c>
      <c r="V250" s="35">
        <v>238056</v>
      </c>
      <c r="W250" s="35">
        <f t="shared" ref="W250:AP250" si="258">B250-B249</f>
        <v>357</v>
      </c>
      <c r="X250" s="35">
        <f t="shared" si="258"/>
        <v>190</v>
      </c>
      <c r="Y250" s="35">
        <f t="shared" si="258"/>
        <v>300</v>
      </c>
      <c r="Z250" s="35">
        <f t="shared" si="258"/>
        <v>289</v>
      </c>
      <c r="AA250" s="35">
        <f t="shared" si="258"/>
        <v>934</v>
      </c>
      <c r="AB250" s="35">
        <f t="shared" si="258"/>
        <v>261</v>
      </c>
      <c r="AC250" s="35">
        <f t="shared" si="258"/>
        <v>239</v>
      </c>
      <c r="AD250" s="35">
        <f t="shared" si="258"/>
        <v>284</v>
      </c>
      <c r="AE250" s="35">
        <f t="shared" si="258"/>
        <v>448</v>
      </c>
      <c r="AF250" s="35">
        <f t="shared" si="258"/>
        <v>160</v>
      </c>
      <c r="AG250" s="35">
        <f t="shared" si="258"/>
        <v>268</v>
      </c>
      <c r="AH250" s="35">
        <f t="shared" si="258"/>
        <v>189</v>
      </c>
      <c r="AI250" s="35">
        <f t="shared" si="258"/>
        <v>171</v>
      </c>
      <c r="AJ250" s="35">
        <f t="shared" si="258"/>
        <v>710</v>
      </c>
      <c r="AK250" s="35">
        <f t="shared" si="258"/>
        <v>191</v>
      </c>
      <c r="AL250" s="35">
        <f t="shared" si="258"/>
        <v>394</v>
      </c>
      <c r="AM250" s="35">
        <f t="shared" si="258"/>
        <v>155</v>
      </c>
      <c r="AN250" s="35">
        <f t="shared" si="258"/>
        <v>190</v>
      </c>
      <c r="AO250" s="35">
        <f t="shared" si="258"/>
        <v>248</v>
      </c>
      <c r="AP250" s="35">
        <f t="shared" si="258"/>
        <v>234</v>
      </c>
    </row>
    <row r="251" spans="1:42" ht="13">
      <c r="A251" s="36">
        <v>44170</v>
      </c>
      <c r="B251" s="35">
        <v>10759</v>
      </c>
      <c r="C251" s="35">
        <v>6612</v>
      </c>
      <c r="D251" s="35">
        <v>7654</v>
      </c>
      <c r="E251" s="35">
        <v>14604</v>
      </c>
      <c r="F251" s="35">
        <v>50786</v>
      </c>
      <c r="G251" s="35">
        <v>10462</v>
      </c>
      <c r="H251" s="35">
        <v>8279</v>
      </c>
      <c r="I251" s="35">
        <v>15479</v>
      </c>
      <c r="J251" s="35">
        <v>13335</v>
      </c>
      <c r="K251" s="35">
        <v>6619</v>
      </c>
      <c r="L251" s="35">
        <v>8611</v>
      </c>
      <c r="M251" s="35">
        <v>7089</v>
      </c>
      <c r="N251" s="35">
        <v>5733</v>
      </c>
      <c r="O251" s="35">
        <v>31617</v>
      </c>
      <c r="P251" s="35">
        <v>5275</v>
      </c>
      <c r="Q251" s="35">
        <v>12454</v>
      </c>
      <c r="R251" s="35">
        <v>4007</v>
      </c>
      <c r="S251" s="35">
        <v>7913</v>
      </c>
      <c r="T251" s="35">
        <v>9640</v>
      </c>
      <c r="U251" s="35">
        <v>6653</v>
      </c>
      <c r="V251" s="35">
        <v>243581</v>
      </c>
      <c r="W251" s="35">
        <f t="shared" ref="W251:AP251" si="259">B251-B250</f>
        <v>225</v>
      </c>
      <c r="X251" s="35">
        <f t="shared" si="259"/>
        <v>189</v>
      </c>
      <c r="Y251" s="35">
        <f t="shared" si="259"/>
        <v>225</v>
      </c>
      <c r="Z251" s="35">
        <f t="shared" si="259"/>
        <v>217</v>
      </c>
      <c r="AA251" s="35">
        <f t="shared" si="259"/>
        <v>1106</v>
      </c>
      <c r="AB251" s="35">
        <f t="shared" si="259"/>
        <v>235</v>
      </c>
      <c r="AC251" s="35">
        <f t="shared" si="259"/>
        <v>181</v>
      </c>
      <c r="AD251" s="35">
        <f t="shared" si="259"/>
        <v>278</v>
      </c>
      <c r="AE251" s="35">
        <f t="shared" si="259"/>
        <v>343</v>
      </c>
      <c r="AF251" s="35">
        <f t="shared" si="259"/>
        <v>168</v>
      </c>
      <c r="AG251" s="35">
        <f t="shared" si="259"/>
        <v>193</v>
      </c>
      <c r="AH251" s="35">
        <f t="shared" si="259"/>
        <v>165</v>
      </c>
      <c r="AI251" s="35">
        <f t="shared" si="259"/>
        <v>123</v>
      </c>
      <c r="AJ251" s="35">
        <f t="shared" si="259"/>
        <v>720</v>
      </c>
      <c r="AK251" s="35">
        <f t="shared" si="259"/>
        <v>181</v>
      </c>
      <c r="AL251" s="35">
        <f t="shared" si="259"/>
        <v>171</v>
      </c>
      <c r="AM251" s="35">
        <f t="shared" si="259"/>
        <v>148</v>
      </c>
      <c r="AN251" s="35">
        <f t="shared" si="259"/>
        <v>209</v>
      </c>
      <c r="AO251" s="35">
        <f t="shared" si="259"/>
        <v>261</v>
      </c>
      <c r="AP251" s="35">
        <f t="shared" si="259"/>
        <v>187</v>
      </c>
    </row>
    <row r="252" spans="1:42" ht="13">
      <c r="A252" s="36">
        <v>44171</v>
      </c>
      <c r="B252" s="35">
        <v>11051</v>
      </c>
      <c r="C252" s="35">
        <v>6871</v>
      </c>
      <c r="D252" s="35">
        <v>7946</v>
      </c>
      <c r="E252" s="35">
        <v>14970</v>
      </c>
      <c r="F252" s="35">
        <v>51753</v>
      </c>
      <c r="G252" s="35">
        <v>10735</v>
      </c>
      <c r="H252" s="35">
        <v>8505</v>
      </c>
      <c r="I252" s="35">
        <v>15762</v>
      </c>
      <c r="J252" s="35">
        <v>13836</v>
      </c>
      <c r="K252" s="35">
        <v>6823</v>
      </c>
      <c r="L252" s="35">
        <v>8955</v>
      </c>
      <c r="M252" s="35">
        <v>7346</v>
      </c>
      <c r="N252" s="35">
        <v>5885</v>
      </c>
      <c r="O252" s="35">
        <v>32317</v>
      </c>
      <c r="P252" s="35">
        <v>5448</v>
      </c>
      <c r="Q252" s="35">
        <v>12813</v>
      </c>
      <c r="R252" s="35">
        <v>4227</v>
      </c>
      <c r="S252" s="35">
        <v>8224</v>
      </c>
      <c r="T252" s="35">
        <v>9929</v>
      </c>
      <c r="U252" s="35">
        <v>6882</v>
      </c>
      <c r="V252" s="35">
        <v>250278</v>
      </c>
      <c r="W252" s="35">
        <f t="shared" ref="W252:AP252" si="260">B252-B251</f>
        <v>292</v>
      </c>
      <c r="X252" s="35">
        <f t="shared" si="260"/>
        <v>259</v>
      </c>
      <c r="Y252" s="35">
        <f t="shared" si="260"/>
        <v>292</v>
      </c>
      <c r="Z252" s="35">
        <f t="shared" si="260"/>
        <v>366</v>
      </c>
      <c r="AA252" s="35">
        <f t="shared" si="260"/>
        <v>967</v>
      </c>
      <c r="AB252" s="35">
        <f t="shared" si="260"/>
        <v>273</v>
      </c>
      <c r="AC252" s="35">
        <f t="shared" si="260"/>
        <v>226</v>
      </c>
      <c r="AD252" s="35">
        <f t="shared" si="260"/>
        <v>283</v>
      </c>
      <c r="AE252" s="35">
        <f t="shared" si="260"/>
        <v>501</v>
      </c>
      <c r="AF252" s="35">
        <f t="shared" si="260"/>
        <v>204</v>
      </c>
      <c r="AG252" s="35">
        <f t="shared" si="260"/>
        <v>344</v>
      </c>
      <c r="AH252" s="35">
        <f t="shared" si="260"/>
        <v>257</v>
      </c>
      <c r="AI252" s="35">
        <f t="shared" si="260"/>
        <v>152</v>
      </c>
      <c r="AJ252" s="35">
        <f t="shared" si="260"/>
        <v>700</v>
      </c>
      <c r="AK252" s="35">
        <f t="shared" si="260"/>
        <v>173</v>
      </c>
      <c r="AL252" s="35">
        <f t="shared" si="260"/>
        <v>359</v>
      </c>
      <c r="AM252" s="35">
        <f t="shared" si="260"/>
        <v>220</v>
      </c>
      <c r="AN252" s="35">
        <f t="shared" si="260"/>
        <v>311</v>
      </c>
      <c r="AO252" s="35">
        <f t="shared" si="260"/>
        <v>289</v>
      </c>
      <c r="AP252" s="35">
        <f t="shared" si="260"/>
        <v>229</v>
      </c>
    </row>
    <row r="253" spans="1:42" ht="13">
      <c r="A253" s="36">
        <v>44172</v>
      </c>
      <c r="B253" s="35">
        <v>11238</v>
      </c>
      <c r="C253" s="35">
        <v>6983</v>
      </c>
      <c r="D253" s="35">
        <v>8092</v>
      </c>
      <c r="E253" s="35">
        <v>15174</v>
      </c>
      <c r="F253" s="35">
        <v>52416</v>
      </c>
      <c r="G253" s="35">
        <v>10912</v>
      </c>
      <c r="H253" s="35">
        <v>8665</v>
      </c>
      <c r="I253" s="35">
        <v>15917</v>
      </c>
      <c r="J253" s="35">
        <v>14026</v>
      </c>
      <c r="K253" s="35">
        <v>6937</v>
      </c>
      <c r="L253" s="35">
        <v>9086</v>
      </c>
      <c r="M253" s="35">
        <v>7476</v>
      </c>
      <c r="N253" s="35">
        <v>5967</v>
      </c>
      <c r="O253" s="35">
        <v>32934</v>
      </c>
      <c r="P253" s="35">
        <v>5538</v>
      </c>
      <c r="Q253" s="35">
        <v>12961</v>
      </c>
      <c r="R253" s="35">
        <v>4323</v>
      </c>
      <c r="S253" s="35">
        <v>8357</v>
      </c>
      <c r="T253" s="35">
        <v>10089</v>
      </c>
      <c r="U253" s="35">
        <v>7057</v>
      </c>
      <c r="V253" s="35">
        <v>254158</v>
      </c>
      <c r="W253" s="35">
        <f t="shared" ref="W253:AP253" si="261">B253-B252</f>
        <v>187</v>
      </c>
      <c r="X253" s="35">
        <f t="shared" si="261"/>
        <v>112</v>
      </c>
      <c r="Y253" s="35">
        <f t="shared" si="261"/>
        <v>146</v>
      </c>
      <c r="Z253" s="35">
        <f t="shared" si="261"/>
        <v>204</v>
      </c>
      <c r="AA253" s="35">
        <f t="shared" si="261"/>
        <v>663</v>
      </c>
      <c r="AB253" s="35">
        <f t="shared" si="261"/>
        <v>177</v>
      </c>
      <c r="AC253" s="35">
        <f t="shared" si="261"/>
        <v>160</v>
      </c>
      <c r="AD253" s="35">
        <f t="shared" si="261"/>
        <v>155</v>
      </c>
      <c r="AE253" s="35">
        <f t="shared" si="261"/>
        <v>190</v>
      </c>
      <c r="AF253" s="35">
        <f t="shared" si="261"/>
        <v>114</v>
      </c>
      <c r="AG253" s="35">
        <f t="shared" si="261"/>
        <v>131</v>
      </c>
      <c r="AH253" s="35">
        <f t="shared" si="261"/>
        <v>130</v>
      </c>
      <c r="AI253" s="35">
        <f t="shared" si="261"/>
        <v>82</v>
      </c>
      <c r="AJ253" s="35">
        <f t="shared" si="261"/>
        <v>617</v>
      </c>
      <c r="AK253" s="35">
        <f t="shared" si="261"/>
        <v>90</v>
      </c>
      <c r="AL253" s="35">
        <f t="shared" si="261"/>
        <v>148</v>
      </c>
      <c r="AM253" s="35">
        <f t="shared" si="261"/>
        <v>96</v>
      </c>
      <c r="AN253" s="35">
        <f t="shared" si="261"/>
        <v>133</v>
      </c>
      <c r="AO253" s="35">
        <f t="shared" si="261"/>
        <v>160</v>
      </c>
      <c r="AP253" s="35">
        <f t="shared" si="261"/>
        <v>175</v>
      </c>
    </row>
    <row r="254" spans="1:42" ht="13">
      <c r="A254" s="36">
        <v>44173</v>
      </c>
      <c r="B254" s="35">
        <v>11331</v>
      </c>
      <c r="C254" s="35">
        <v>7051</v>
      </c>
      <c r="D254" s="35">
        <v>8185</v>
      </c>
      <c r="E254" s="35">
        <v>15208</v>
      </c>
      <c r="F254" s="35">
        <v>52788</v>
      </c>
      <c r="G254" s="35">
        <v>10984</v>
      </c>
      <c r="H254" s="35">
        <v>8756</v>
      </c>
      <c r="I254" s="35">
        <v>16034</v>
      </c>
      <c r="J254" s="35">
        <v>14117</v>
      </c>
      <c r="K254" s="35">
        <v>7029</v>
      </c>
      <c r="L254" s="35">
        <v>9208</v>
      </c>
      <c r="M254" s="35">
        <v>7607</v>
      </c>
      <c r="N254" s="35">
        <v>6017</v>
      </c>
      <c r="O254" s="35">
        <v>33252</v>
      </c>
      <c r="P254" s="35">
        <v>5614</v>
      </c>
      <c r="Q254" s="35">
        <v>13068</v>
      </c>
      <c r="R254" s="35">
        <v>4393</v>
      </c>
      <c r="S254" s="35">
        <v>8433</v>
      </c>
      <c r="T254" s="35">
        <v>10171</v>
      </c>
      <c r="U254" s="35">
        <v>7121</v>
      </c>
      <c r="V254" s="35">
        <v>256367</v>
      </c>
      <c r="W254" s="35">
        <f t="shared" ref="W254:AP254" si="262">B254-B253</f>
        <v>93</v>
      </c>
      <c r="X254" s="35">
        <f t="shared" si="262"/>
        <v>68</v>
      </c>
      <c r="Y254" s="35">
        <f t="shared" si="262"/>
        <v>93</v>
      </c>
      <c r="Z254" s="35">
        <f t="shared" si="262"/>
        <v>34</v>
      </c>
      <c r="AA254" s="35">
        <f t="shared" si="262"/>
        <v>372</v>
      </c>
      <c r="AB254" s="35">
        <f t="shared" si="262"/>
        <v>72</v>
      </c>
      <c r="AC254" s="35">
        <f t="shared" si="262"/>
        <v>91</v>
      </c>
      <c r="AD254" s="35">
        <f t="shared" si="262"/>
        <v>117</v>
      </c>
      <c r="AE254" s="35">
        <f t="shared" si="262"/>
        <v>91</v>
      </c>
      <c r="AF254" s="35">
        <f t="shared" si="262"/>
        <v>92</v>
      </c>
      <c r="AG254" s="35">
        <f t="shared" si="262"/>
        <v>122</v>
      </c>
      <c r="AH254" s="35">
        <f t="shared" si="262"/>
        <v>131</v>
      </c>
      <c r="AI254" s="35">
        <f t="shared" si="262"/>
        <v>50</v>
      </c>
      <c r="AJ254" s="35">
        <f t="shared" si="262"/>
        <v>318</v>
      </c>
      <c r="AK254" s="35">
        <f t="shared" si="262"/>
        <v>76</v>
      </c>
      <c r="AL254" s="35">
        <f t="shared" si="262"/>
        <v>107</v>
      </c>
      <c r="AM254" s="35">
        <f t="shared" si="262"/>
        <v>70</v>
      </c>
      <c r="AN254" s="35">
        <f t="shared" si="262"/>
        <v>76</v>
      </c>
      <c r="AO254" s="35">
        <f t="shared" si="262"/>
        <v>82</v>
      </c>
      <c r="AP254" s="35">
        <f t="shared" si="262"/>
        <v>64</v>
      </c>
    </row>
    <row r="255" spans="1:42" ht="13">
      <c r="A255" s="44">
        <v>44174</v>
      </c>
      <c r="B255" s="35">
        <v>11427</v>
      </c>
      <c r="C255" s="35">
        <v>7187</v>
      </c>
      <c r="D255" s="35">
        <v>8354</v>
      </c>
      <c r="E255" s="35">
        <v>15381</v>
      </c>
      <c r="F255" s="35">
        <v>53263</v>
      </c>
      <c r="G255" s="35">
        <v>11122</v>
      </c>
      <c r="H255" s="35">
        <v>8842</v>
      </c>
      <c r="I255" s="35">
        <v>16170</v>
      </c>
      <c r="J255" s="35">
        <v>14336</v>
      </c>
      <c r="K255" s="35">
        <v>7140</v>
      </c>
      <c r="L255" s="35">
        <v>9382</v>
      </c>
      <c r="M255" s="35">
        <v>7749</v>
      </c>
      <c r="N255" s="35">
        <v>6105</v>
      </c>
      <c r="O255" s="35">
        <v>33611</v>
      </c>
      <c r="P255" s="38">
        <v>5753</v>
      </c>
      <c r="Q255" s="35">
        <v>13197</v>
      </c>
      <c r="R255" s="35">
        <v>4460</v>
      </c>
      <c r="S255" s="35">
        <v>8568</v>
      </c>
      <c r="T255" s="35">
        <v>10350</v>
      </c>
      <c r="U255" s="35">
        <v>7191</v>
      </c>
      <c r="V255" s="35">
        <v>259588</v>
      </c>
      <c r="W255" s="35">
        <f t="shared" ref="W255:AP255" si="263">B255-B254</f>
        <v>96</v>
      </c>
      <c r="X255" s="35">
        <f t="shared" si="263"/>
        <v>136</v>
      </c>
      <c r="Y255" s="35">
        <f t="shared" si="263"/>
        <v>169</v>
      </c>
      <c r="Z255" s="35">
        <f t="shared" si="263"/>
        <v>173</v>
      </c>
      <c r="AA255" s="35">
        <f t="shared" si="263"/>
        <v>475</v>
      </c>
      <c r="AB255" s="35">
        <f t="shared" si="263"/>
        <v>138</v>
      </c>
      <c r="AC255" s="35">
        <f t="shared" si="263"/>
        <v>86</v>
      </c>
      <c r="AD255" s="35">
        <f t="shared" si="263"/>
        <v>136</v>
      </c>
      <c r="AE255" s="35">
        <f t="shared" si="263"/>
        <v>219</v>
      </c>
      <c r="AF255" s="35">
        <f t="shared" si="263"/>
        <v>111</v>
      </c>
      <c r="AG255" s="35">
        <f t="shared" si="263"/>
        <v>174</v>
      </c>
      <c r="AH255" s="35">
        <f t="shared" si="263"/>
        <v>142</v>
      </c>
      <c r="AI255" s="35">
        <f t="shared" si="263"/>
        <v>88</v>
      </c>
      <c r="AJ255" s="35">
        <f t="shared" si="263"/>
        <v>359</v>
      </c>
      <c r="AK255" s="35">
        <f t="shared" si="263"/>
        <v>139</v>
      </c>
      <c r="AL255" s="35">
        <f t="shared" si="263"/>
        <v>129</v>
      </c>
      <c r="AM255" s="35">
        <f t="shared" si="263"/>
        <v>67</v>
      </c>
      <c r="AN255" s="35">
        <f t="shared" si="263"/>
        <v>135</v>
      </c>
      <c r="AO255" s="35">
        <f t="shared" si="263"/>
        <v>179</v>
      </c>
      <c r="AP255" s="35">
        <f t="shared" si="263"/>
        <v>70</v>
      </c>
    </row>
    <row r="256" spans="1:42" ht="13">
      <c r="A256" s="44">
        <v>44175</v>
      </c>
      <c r="B256" s="35">
        <v>11720</v>
      </c>
      <c r="C256" s="35">
        <v>7374</v>
      </c>
      <c r="D256" s="35">
        <v>8628</v>
      </c>
      <c r="E256" s="35">
        <v>15625</v>
      </c>
      <c r="F256" s="35">
        <v>53901</v>
      </c>
      <c r="G256" s="35">
        <v>11461</v>
      </c>
      <c r="H256" s="35">
        <v>9073</v>
      </c>
      <c r="I256" s="35">
        <v>16425</v>
      </c>
      <c r="J256" s="35">
        <v>14709</v>
      </c>
      <c r="K256" s="35">
        <v>7279</v>
      </c>
      <c r="L256" s="35">
        <v>9600</v>
      </c>
      <c r="M256" s="35">
        <v>7902</v>
      </c>
      <c r="N256" s="35">
        <v>6311</v>
      </c>
      <c r="O256" s="35">
        <v>34142</v>
      </c>
      <c r="P256" s="35">
        <v>6031</v>
      </c>
      <c r="Q256" s="35">
        <v>13455</v>
      </c>
      <c r="R256" s="35">
        <v>4617</v>
      </c>
      <c r="S256" s="35">
        <v>8767</v>
      </c>
      <c r="T256" s="35">
        <v>10589</v>
      </c>
      <c r="U256" s="35">
        <v>7384</v>
      </c>
      <c r="V256" s="35">
        <v>265003</v>
      </c>
      <c r="W256" s="35">
        <f t="shared" ref="W256:AP256" si="264">B256-B255</f>
        <v>293</v>
      </c>
      <c r="X256" s="35">
        <f t="shared" si="264"/>
        <v>187</v>
      </c>
      <c r="Y256" s="35">
        <f t="shared" si="264"/>
        <v>274</v>
      </c>
      <c r="Z256" s="35">
        <f t="shared" si="264"/>
        <v>244</v>
      </c>
      <c r="AA256" s="35">
        <f t="shared" si="264"/>
        <v>638</v>
      </c>
      <c r="AB256" s="35">
        <f t="shared" si="264"/>
        <v>339</v>
      </c>
      <c r="AC256" s="35">
        <f t="shared" si="264"/>
        <v>231</v>
      </c>
      <c r="AD256" s="35">
        <f t="shared" si="264"/>
        <v>255</v>
      </c>
      <c r="AE256" s="35">
        <f t="shared" si="264"/>
        <v>373</v>
      </c>
      <c r="AF256" s="35">
        <f t="shared" si="264"/>
        <v>139</v>
      </c>
      <c r="AG256" s="35">
        <f t="shared" si="264"/>
        <v>218</v>
      </c>
      <c r="AH256" s="35">
        <f t="shared" si="264"/>
        <v>153</v>
      </c>
      <c r="AI256" s="35">
        <f t="shared" si="264"/>
        <v>206</v>
      </c>
      <c r="AJ256" s="35">
        <f t="shared" si="264"/>
        <v>531</v>
      </c>
      <c r="AK256" s="35">
        <f t="shared" si="264"/>
        <v>278</v>
      </c>
      <c r="AL256" s="35">
        <f t="shared" si="264"/>
        <v>258</v>
      </c>
      <c r="AM256" s="35">
        <f t="shared" si="264"/>
        <v>157</v>
      </c>
      <c r="AN256" s="35">
        <f t="shared" si="264"/>
        <v>199</v>
      </c>
      <c r="AO256" s="35">
        <f t="shared" si="264"/>
        <v>239</v>
      </c>
      <c r="AP256" s="35">
        <f t="shared" si="264"/>
        <v>193</v>
      </c>
    </row>
    <row r="257" spans="1:42" ht="13">
      <c r="A257" s="44">
        <v>44176</v>
      </c>
      <c r="B257" s="35">
        <v>11990</v>
      </c>
      <c r="C257" s="35">
        <v>7610</v>
      </c>
      <c r="D257" s="35">
        <v>8932</v>
      </c>
      <c r="E257" s="35">
        <v>15899</v>
      </c>
      <c r="F257" s="35">
        <v>54691</v>
      </c>
      <c r="G257" s="35">
        <v>11781</v>
      </c>
      <c r="H257" s="35">
        <v>9350</v>
      </c>
      <c r="I257" s="35">
        <v>16673</v>
      </c>
      <c r="J257" s="35">
        <v>15114</v>
      </c>
      <c r="K257" s="35">
        <v>7431</v>
      </c>
      <c r="L257" s="35">
        <v>9911</v>
      </c>
      <c r="M257" s="35">
        <v>8110</v>
      </c>
      <c r="N257" s="35">
        <v>6501</v>
      </c>
      <c r="O257" s="35">
        <v>34893</v>
      </c>
      <c r="P257" s="35">
        <v>6294</v>
      </c>
      <c r="Q257" s="35">
        <v>13752</v>
      </c>
      <c r="R257" s="35">
        <v>4845</v>
      </c>
      <c r="S257" s="35">
        <v>8956</v>
      </c>
      <c r="T257" s="35">
        <v>10834</v>
      </c>
      <c r="U257" s="35">
        <v>7633</v>
      </c>
      <c r="V257" s="35">
        <v>271200</v>
      </c>
      <c r="W257" s="35">
        <f t="shared" ref="W257:AP257" si="265">B257-B256</f>
        <v>270</v>
      </c>
      <c r="X257" s="35">
        <f t="shared" si="265"/>
        <v>236</v>
      </c>
      <c r="Y257" s="35">
        <f t="shared" si="265"/>
        <v>304</v>
      </c>
      <c r="Z257" s="35">
        <f t="shared" si="265"/>
        <v>274</v>
      </c>
      <c r="AA257" s="35">
        <f t="shared" si="265"/>
        <v>790</v>
      </c>
      <c r="AB257" s="35">
        <f t="shared" si="265"/>
        <v>320</v>
      </c>
      <c r="AC257" s="35">
        <f t="shared" si="265"/>
        <v>277</v>
      </c>
      <c r="AD257" s="35">
        <f t="shared" si="265"/>
        <v>248</v>
      </c>
      <c r="AE257" s="35">
        <f t="shared" si="265"/>
        <v>405</v>
      </c>
      <c r="AF257" s="35">
        <f t="shared" si="265"/>
        <v>152</v>
      </c>
      <c r="AG257" s="35">
        <f t="shared" si="265"/>
        <v>311</v>
      </c>
      <c r="AH257" s="35">
        <f t="shared" si="265"/>
        <v>208</v>
      </c>
      <c r="AI257" s="35">
        <f t="shared" si="265"/>
        <v>190</v>
      </c>
      <c r="AJ257" s="35">
        <f t="shared" si="265"/>
        <v>751</v>
      </c>
      <c r="AK257" s="35">
        <f t="shared" si="265"/>
        <v>263</v>
      </c>
      <c r="AL257" s="35">
        <f t="shared" si="265"/>
        <v>297</v>
      </c>
      <c r="AM257" s="35">
        <f t="shared" si="265"/>
        <v>228</v>
      </c>
      <c r="AN257" s="35">
        <f t="shared" si="265"/>
        <v>189</v>
      </c>
      <c r="AO257" s="35">
        <f t="shared" si="265"/>
        <v>245</v>
      </c>
      <c r="AP257" s="35">
        <f t="shared" si="265"/>
        <v>249</v>
      </c>
    </row>
    <row r="258" spans="1:42" ht="13">
      <c r="A258" s="44">
        <v>44177</v>
      </c>
      <c r="B258" s="35">
        <v>12226</v>
      </c>
      <c r="C258" s="35">
        <v>7854</v>
      </c>
      <c r="D258" s="35">
        <v>9231</v>
      </c>
      <c r="E258" s="35">
        <v>16196</v>
      </c>
      <c r="F258" s="38">
        <v>55310</v>
      </c>
      <c r="G258" s="35">
        <v>12075</v>
      </c>
      <c r="H258" s="35">
        <v>9569</v>
      </c>
      <c r="I258" s="35">
        <v>16903</v>
      </c>
      <c r="J258" s="35">
        <v>15387</v>
      </c>
      <c r="K258" s="35">
        <v>7601</v>
      </c>
      <c r="L258" s="35">
        <v>10183</v>
      </c>
      <c r="M258" s="35">
        <v>8283</v>
      </c>
      <c r="N258" s="35">
        <v>6662</v>
      </c>
      <c r="O258" s="35">
        <v>35351</v>
      </c>
      <c r="P258" s="35">
        <v>6523</v>
      </c>
      <c r="Q258" s="35">
        <v>13959</v>
      </c>
      <c r="R258" s="35">
        <v>4976</v>
      </c>
      <c r="S258" s="35">
        <v>9130</v>
      </c>
      <c r="T258" s="35">
        <v>11076</v>
      </c>
      <c r="U258" s="35">
        <v>7752</v>
      </c>
      <c r="V258" s="35">
        <v>276247</v>
      </c>
      <c r="W258" s="35">
        <f t="shared" ref="W258:AP258" si="266">B258-B257</f>
        <v>236</v>
      </c>
      <c r="X258" s="35">
        <f t="shared" si="266"/>
        <v>244</v>
      </c>
      <c r="Y258" s="35">
        <f t="shared" si="266"/>
        <v>299</v>
      </c>
      <c r="Z258" s="35">
        <f t="shared" si="266"/>
        <v>297</v>
      </c>
      <c r="AA258" s="35">
        <f t="shared" si="266"/>
        <v>619</v>
      </c>
      <c r="AB258" s="35">
        <f t="shared" si="266"/>
        <v>294</v>
      </c>
      <c r="AC258" s="35">
        <f t="shared" si="266"/>
        <v>219</v>
      </c>
      <c r="AD258" s="35">
        <f t="shared" si="266"/>
        <v>230</v>
      </c>
      <c r="AE258" s="35">
        <f t="shared" si="266"/>
        <v>273</v>
      </c>
      <c r="AF258" s="35">
        <f t="shared" si="266"/>
        <v>170</v>
      </c>
      <c r="AG258" s="35">
        <f t="shared" si="266"/>
        <v>272</v>
      </c>
      <c r="AH258" s="35">
        <f t="shared" si="266"/>
        <v>173</v>
      </c>
      <c r="AI258" s="35">
        <f t="shared" si="266"/>
        <v>161</v>
      </c>
      <c r="AJ258" s="35">
        <f t="shared" si="266"/>
        <v>458</v>
      </c>
      <c r="AK258" s="35">
        <f t="shared" si="266"/>
        <v>229</v>
      </c>
      <c r="AL258" s="35">
        <f t="shared" si="266"/>
        <v>207</v>
      </c>
      <c r="AM258" s="35">
        <f t="shared" si="266"/>
        <v>131</v>
      </c>
      <c r="AN258" s="35">
        <f t="shared" si="266"/>
        <v>174</v>
      </c>
      <c r="AO258" s="35">
        <f t="shared" si="266"/>
        <v>242</v>
      </c>
      <c r="AP258" s="35">
        <f t="shared" si="266"/>
        <v>119</v>
      </c>
    </row>
    <row r="259" spans="1:42" ht="13">
      <c r="A259" s="44">
        <v>44178</v>
      </c>
      <c r="B259" s="35">
        <v>12374</v>
      </c>
      <c r="C259" s="35">
        <v>8023</v>
      </c>
      <c r="D259" s="35">
        <v>9384</v>
      </c>
      <c r="E259" s="35">
        <v>16465</v>
      </c>
      <c r="F259" s="35">
        <v>55801</v>
      </c>
      <c r="G259" s="35">
        <v>12262</v>
      </c>
      <c r="H259" s="35">
        <v>9783</v>
      </c>
      <c r="I259" s="35">
        <v>17090</v>
      </c>
      <c r="J259" s="35">
        <v>15612</v>
      </c>
      <c r="K259" s="35">
        <v>7713</v>
      </c>
      <c r="L259" s="35">
        <v>10442</v>
      </c>
      <c r="M259" s="35">
        <v>8428</v>
      </c>
      <c r="N259" s="35">
        <v>6788</v>
      </c>
      <c r="O259" s="35">
        <v>35776</v>
      </c>
      <c r="P259" s="35">
        <v>6736</v>
      </c>
      <c r="Q259" s="35">
        <v>14125</v>
      </c>
      <c r="R259" s="35">
        <v>5121</v>
      </c>
      <c r="S259" s="35">
        <v>9282</v>
      </c>
      <c r="T259" s="35">
        <v>11264</v>
      </c>
      <c r="U259" s="35">
        <v>7931</v>
      </c>
      <c r="V259" s="35">
        <v>280400</v>
      </c>
      <c r="W259" s="35">
        <f t="shared" ref="W259:AP259" si="267">B259-B258</f>
        <v>148</v>
      </c>
      <c r="X259" s="35">
        <f t="shared" si="267"/>
        <v>169</v>
      </c>
      <c r="Y259" s="35">
        <f t="shared" si="267"/>
        <v>153</v>
      </c>
      <c r="Z259" s="35">
        <f t="shared" si="267"/>
        <v>269</v>
      </c>
      <c r="AA259" s="35">
        <f t="shared" si="267"/>
        <v>491</v>
      </c>
      <c r="AB259" s="35">
        <f t="shared" si="267"/>
        <v>187</v>
      </c>
      <c r="AC259" s="35">
        <f t="shared" si="267"/>
        <v>214</v>
      </c>
      <c r="AD259" s="35">
        <f t="shared" si="267"/>
        <v>187</v>
      </c>
      <c r="AE259" s="35">
        <f t="shared" si="267"/>
        <v>225</v>
      </c>
      <c r="AF259" s="35">
        <f t="shared" si="267"/>
        <v>112</v>
      </c>
      <c r="AG259" s="35">
        <f t="shared" si="267"/>
        <v>259</v>
      </c>
      <c r="AH259" s="35">
        <f t="shared" si="267"/>
        <v>145</v>
      </c>
      <c r="AI259" s="35">
        <f t="shared" si="267"/>
        <v>126</v>
      </c>
      <c r="AJ259" s="35">
        <f t="shared" si="267"/>
        <v>425</v>
      </c>
      <c r="AK259" s="35">
        <f t="shared" si="267"/>
        <v>213</v>
      </c>
      <c r="AL259" s="35">
        <f t="shared" si="267"/>
        <v>166</v>
      </c>
      <c r="AM259" s="35">
        <f t="shared" si="267"/>
        <v>145</v>
      </c>
      <c r="AN259" s="35">
        <f t="shared" si="267"/>
        <v>152</v>
      </c>
      <c r="AO259" s="35">
        <f t="shared" si="267"/>
        <v>188</v>
      </c>
      <c r="AP259" s="35">
        <f t="shared" si="267"/>
        <v>179</v>
      </c>
    </row>
    <row r="260" spans="1:42" ht="13">
      <c r="A260" s="36">
        <v>44179</v>
      </c>
      <c r="B260" s="35">
        <v>12568</v>
      </c>
      <c r="C260" s="35">
        <v>8169</v>
      </c>
      <c r="D260" s="35">
        <v>9531</v>
      </c>
      <c r="E260" s="35">
        <v>16608</v>
      </c>
      <c r="F260" s="35">
        <v>56312</v>
      </c>
      <c r="G260" s="35">
        <v>12468</v>
      </c>
      <c r="H260" s="35">
        <v>9950</v>
      </c>
      <c r="I260" s="35">
        <v>17254</v>
      </c>
      <c r="J260" s="35">
        <v>15795</v>
      </c>
      <c r="K260" s="35">
        <v>7806</v>
      </c>
      <c r="L260" s="35">
        <v>10575</v>
      </c>
      <c r="M260" s="35">
        <v>8558</v>
      </c>
      <c r="N260" s="35">
        <v>6903</v>
      </c>
      <c r="O260" s="35">
        <v>36231</v>
      </c>
      <c r="P260" s="35">
        <v>6828</v>
      </c>
      <c r="Q260" s="35">
        <v>14269</v>
      </c>
      <c r="R260" s="35">
        <v>5278</v>
      </c>
      <c r="S260" s="35">
        <v>9369</v>
      </c>
      <c r="T260" s="35">
        <v>11364</v>
      </c>
      <c r="U260" s="35">
        <v>8034</v>
      </c>
      <c r="V260" s="35">
        <v>283870</v>
      </c>
      <c r="W260" s="35">
        <f t="shared" ref="W260:AP260" si="268">B260-B259</f>
        <v>194</v>
      </c>
      <c r="X260" s="35">
        <f t="shared" si="268"/>
        <v>146</v>
      </c>
      <c r="Y260" s="35">
        <f t="shared" si="268"/>
        <v>147</v>
      </c>
      <c r="Z260" s="35">
        <f t="shared" si="268"/>
        <v>143</v>
      </c>
      <c r="AA260" s="35">
        <f t="shared" si="268"/>
        <v>511</v>
      </c>
      <c r="AB260" s="35">
        <f t="shared" si="268"/>
        <v>206</v>
      </c>
      <c r="AC260" s="35">
        <f t="shared" si="268"/>
        <v>167</v>
      </c>
      <c r="AD260" s="35">
        <f t="shared" si="268"/>
        <v>164</v>
      </c>
      <c r="AE260" s="35">
        <f t="shared" si="268"/>
        <v>183</v>
      </c>
      <c r="AF260" s="35">
        <f t="shared" si="268"/>
        <v>93</v>
      </c>
      <c r="AG260" s="35">
        <f t="shared" si="268"/>
        <v>133</v>
      </c>
      <c r="AH260" s="35">
        <f t="shared" si="268"/>
        <v>130</v>
      </c>
      <c r="AI260" s="35">
        <f t="shared" si="268"/>
        <v>115</v>
      </c>
      <c r="AJ260" s="35">
        <f t="shared" si="268"/>
        <v>455</v>
      </c>
      <c r="AK260" s="35">
        <f t="shared" si="268"/>
        <v>92</v>
      </c>
      <c r="AL260" s="35">
        <f t="shared" si="268"/>
        <v>144</v>
      </c>
      <c r="AM260" s="35">
        <f t="shared" si="268"/>
        <v>157</v>
      </c>
      <c r="AN260" s="35">
        <f t="shared" si="268"/>
        <v>87</v>
      </c>
      <c r="AO260" s="35">
        <f t="shared" si="268"/>
        <v>100</v>
      </c>
      <c r="AP260" s="35">
        <f t="shared" si="268"/>
        <v>103</v>
      </c>
    </row>
    <row r="261" spans="1:42" ht="13">
      <c r="A261" s="36">
        <v>44180</v>
      </c>
      <c r="B261" s="35">
        <v>12638</v>
      </c>
      <c r="C261" s="35">
        <v>8245</v>
      </c>
      <c r="D261" s="35">
        <v>9629</v>
      </c>
      <c r="E261" s="35">
        <v>16690</v>
      </c>
      <c r="F261" s="35">
        <v>56579</v>
      </c>
      <c r="G261" s="35">
        <v>12560</v>
      </c>
      <c r="H261" s="35">
        <v>9993</v>
      </c>
      <c r="I261" s="35">
        <v>17287</v>
      </c>
      <c r="J261" s="35">
        <v>15891</v>
      </c>
      <c r="K261" s="35">
        <v>7858</v>
      </c>
      <c r="L261" s="35">
        <v>10716</v>
      </c>
      <c r="M261" s="35">
        <v>8668</v>
      </c>
      <c r="N261" s="35">
        <v>6929</v>
      </c>
      <c r="O261" s="35">
        <v>36494</v>
      </c>
      <c r="P261" s="35">
        <v>6896</v>
      </c>
      <c r="Q261" s="35">
        <v>14351</v>
      </c>
      <c r="R261" s="35">
        <v>5323</v>
      </c>
      <c r="S261" s="35">
        <v>9442</v>
      </c>
      <c r="T261" s="35">
        <v>11465</v>
      </c>
      <c r="U261" s="35">
        <v>8109</v>
      </c>
      <c r="V261" s="35">
        <v>285763</v>
      </c>
      <c r="W261" s="35">
        <f t="shared" ref="W261:AP261" si="269">B261-B260</f>
        <v>70</v>
      </c>
      <c r="X261" s="35">
        <f t="shared" si="269"/>
        <v>76</v>
      </c>
      <c r="Y261" s="35">
        <f t="shared" si="269"/>
        <v>98</v>
      </c>
      <c r="Z261" s="35">
        <f t="shared" si="269"/>
        <v>82</v>
      </c>
      <c r="AA261" s="35">
        <f t="shared" si="269"/>
        <v>267</v>
      </c>
      <c r="AB261" s="35">
        <f t="shared" si="269"/>
        <v>92</v>
      </c>
      <c r="AC261" s="35">
        <f t="shared" si="269"/>
        <v>43</v>
      </c>
      <c r="AD261" s="35">
        <f t="shared" si="269"/>
        <v>33</v>
      </c>
      <c r="AE261" s="35">
        <f t="shared" si="269"/>
        <v>96</v>
      </c>
      <c r="AF261" s="35">
        <f t="shared" si="269"/>
        <v>52</v>
      </c>
      <c r="AG261" s="35">
        <f t="shared" si="269"/>
        <v>141</v>
      </c>
      <c r="AH261" s="35">
        <f t="shared" si="269"/>
        <v>110</v>
      </c>
      <c r="AI261" s="35">
        <f t="shared" si="269"/>
        <v>26</v>
      </c>
      <c r="AJ261" s="35">
        <f t="shared" si="269"/>
        <v>263</v>
      </c>
      <c r="AK261" s="35">
        <f t="shared" si="269"/>
        <v>68</v>
      </c>
      <c r="AL261" s="35">
        <f t="shared" si="269"/>
        <v>82</v>
      </c>
      <c r="AM261" s="35">
        <f t="shared" si="269"/>
        <v>45</v>
      </c>
      <c r="AN261" s="35">
        <f t="shared" si="269"/>
        <v>73</v>
      </c>
      <c r="AO261" s="35">
        <f t="shared" si="269"/>
        <v>101</v>
      </c>
      <c r="AP261" s="35">
        <f t="shared" si="269"/>
        <v>75</v>
      </c>
    </row>
    <row r="262" spans="1:42" ht="13">
      <c r="A262" s="36">
        <v>44181</v>
      </c>
      <c r="B262" s="35">
        <v>12728</v>
      </c>
      <c r="C262" s="35">
        <v>8361</v>
      </c>
      <c r="D262" s="35">
        <v>9765</v>
      </c>
      <c r="E262" s="35">
        <v>16854</v>
      </c>
      <c r="F262" s="35">
        <v>57000</v>
      </c>
      <c r="G262" s="35">
        <v>12737</v>
      </c>
      <c r="H262" s="35">
        <v>10106</v>
      </c>
      <c r="I262" s="35">
        <v>17381</v>
      </c>
      <c r="J262" s="35">
        <v>16151</v>
      </c>
      <c r="K262" s="35">
        <v>7948</v>
      </c>
      <c r="L262" s="35">
        <v>10834</v>
      </c>
      <c r="M262" s="35">
        <v>8769</v>
      </c>
      <c r="N262" s="35">
        <v>7056</v>
      </c>
      <c r="O262" s="35">
        <v>36780</v>
      </c>
      <c r="P262" s="35">
        <v>6937</v>
      </c>
      <c r="Q262" s="35">
        <v>14507</v>
      </c>
      <c r="R262" s="35">
        <v>5366</v>
      </c>
      <c r="S262" s="35">
        <v>9549</v>
      </c>
      <c r="T262" s="35">
        <v>11574</v>
      </c>
      <c r="U262" s="35">
        <v>8164</v>
      </c>
      <c r="V262" s="35">
        <v>288567</v>
      </c>
      <c r="W262" s="35">
        <f t="shared" ref="W262:AP262" si="270">B262-B261</f>
        <v>90</v>
      </c>
      <c r="X262" s="35">
        <f t="shared" si="270"/>
        <v>116</v>
      </c>
      <c r="Y262" s="35">
        <f t="shared" si="270"/>
        <v>136</v>
      </c>
      <c r="Z262" s="35">
        <f t="shared" si="270"/>
        <v>164</v>
      </c>
      <c r="AA262" s="35">
        <f t="shared" si="270"/>
        <v>421</v>
      </c>
      <c r="AB262" s="35">
        <f t="shared" si="270"/>
        <v>177</v>
      </c>
      <c r="AC262" s="35">
        <f t="shared" si="270"/>
        <v>113</v>
      </c>
      <c r="AD262" s="35">
        <f t="shared" si="270"/>
        <v>94</v>
      </c>
      <c r="AE262" s="35">
        <f t="shared" si="270"/>
        <v>260</v>
      </c>
      <c r="AF262" s="35">
        <f t="shared" si="270"/>
        <v>90</v>
      </c>
      <c r="AG262" s="35">
        <f t="shared" si="270"/>
        <v>118</v>
      </c>
      <c r="AH262" s="35">
        <f t="shared" si="270"/>
        <v>101</v>
      </c>
      <c r="AI262" s="35">
        <f t="shared" si="270"/>
        <v>127</v>
      </c>
      <c r="AJ262" s="35">
        <f t="shared" si="270"/>
        <v>286</v>
      </c>
      <c r="AK262" s="35">
        <f t="shared" si="270"/>
        <v>41</v>
      </c>
      <c r="AL262" s="35">
        <f t="shared" si="270"/>
        <v>156</v>
      </c>
      <c r="AM262" s="35">
        <f t="shared" si="270"/>
        <v>43</v>
      </c>
      <c r="AN262" s="35">
        <f t="shared" si="270"/>
        <v>107</v>
      </c>
      <c r="AO262" s="35">
        <f t="shared" si="270"/>
        <v>109</v>
      </c>
      <c r="AP262" s="35">
        <f t="shared" si="270"/>
        <v>55</v>
      </c>
    </row>
    <row r="263" spans="1:42" ht="13">
      <c r="A263" s="36">
        <v>44182</v>
      </c>
      <c r="B263" s="35">
        <v>12899</v>
      </c>
      <c r="C263" s="35">
        <v>8514</v>
      </c>
      <c r="D263" s="35">
        <v>9845</v>
      </c>
      <c r="E263" s="35">
        <v>17028</v>
      </c>
      <c r="F263" s="35">
        <v>57352</v>
      </c>
      <c r="G263" s="35">
        <v>12865</v>
      </c>
      <c r="H263" s="35">
        <v>10206</v>
      </c>
      <c r="I263" s="35">
        <v>17502</v>
      </c>
      <c r="J263" s="35">
        <v>16439</v>
      </c>
      <c r="K263" s="35">
        <v>8046</v>
      </c>
      <c r="L263" s="35">
        <v>10990</v>
      </c>
      <c r="M263" s="35">
        <v>8860</v>
      </c>
      <c r="N263" s="35">
        <v>7174</v>
      </c>
      <c r="O263" s="35">
        <v>37044</v>
      </c>
      <c r="P263" s="35">
        <v>7020</v>
      </c>
      <c r="Q263" s="35">
        <v>14662</v>
      </c>
      <c r="R263" s="35">
        <v>5484</v>
      </c>
      <c r="S263" s="35">
        <v>9611</v>
      </c>
      <c r="T263" s="35">
        <v>11709</v>
      </c>
      <c r="U263" s="35">
        <v>8299</v>
      </c>
      <c r="V263" s="35">
        <v>291549</v>
      </c>
      <c r="W263" s="35">
        <f t="shared" ref="W263:AP263" si="271">B263-B262</f>
        <v>171</v>
      </c>
      <c r="X263" s="35">
        <f t="shared" si="271"/>
        <v>153</v>
      </c>
      <c r="Y263" s="35">
        <f t="shared" si="271"/>
        <v>80</v>
      </c>
      <c r="Z263" s="35">
        <f t="shared" si="271"/>
        <v>174</v>
      </c>
      <c r="AA263" s="35">
        <f t="shared" si="271"/>
        <v>352</v>
      </c>
      <c r="AB263" s="35">
        <f t="shared" si="271"/>
        <v>128</v>
      </c>
      <c r="AC263" s="35">
        <f t="shared" si="271"/>
        <v>100</v>
      </c>
      <c r="AD263" s="35">
        <f t="shared" si="271"/>
        <v>121</v>
      </c>
      <c r="AE263" s="35">
        <f t="shared" si="271"/>
        <v>288</v>
      </c>
      <c r="AF263" s="35">
        <f t="shared" si="271"/>
        <v>98</v>
      </c>
      <c r="AG263" s="35">
        <f t="shared" si="271"/>
        <v>156</v>
      </c>
      <c r="AH263" s="35">
        <f t="shared" si="271"/>
        <v>91</v>
      </c>
      <c r="AI263" s="35">
        <f t="shared" si="271"/>
        <v>118</v>
      </c>
      <c r="AJ263" s="35">
        <f t="shared" si="271"/>
        <v>264</v>
      </c>
      <c r="AK263" s="35">
        <f t="shared" si="271"/>
        <v>83</v>
      </c>
      <c r="AL263" s="35">
        <f t="shared" si="271"/>
        <v>155</v>
      </c>
      <c r="AM263" s="35">
        <f t="shared" si="271"/>
        <v>118</v>
      </c>
      <c r="AN263" s="35">
        <f t="shared" si="271"/>
        <v>62</v>
      </c>
      <c r="AO263" s="35">
        <f t="shared" si="271"/>
        <v>135</v>
      </c>
      <c r="AP263" s="35">
        <f t="shared" si="271"/>
        <v>135</v>
      </c>
    </row>
    <row r="264" spans="1:42" ht="13">
      <c r="A264" s="36">
        <v>44183</v>
      </c>
      <c r="B264" s="35">
        <v>13084</v>
      </c>
      <c r="C264" s="35">
        <v>8709</v>
      </c>
      <c r="D264" s="35">
        <v>9939</v>
      </c>
      <c r="E264" s="35">
        <v>17173</v>
      </c>
      <c r="F264" s="35">
        <v>58036</v>
      </c>
      <c r="G264" s="35">
        <v>13155</v>
      </c>
      <c r="H264" s="35">
        <v>10432</v>
      </c>
      <c r="I264" s="35">
        <v>17693</v>
      </c>
      <c r="J264" s="35">
        <v>16694</v>
      </c>
      <c r="K264" s="35">
        <v>8191</v>
      </c>
      <c r="L264" s="35">
        <v>11196</v>
      </c>
      <c r="M264" s="35">
        <v>9053</v>
      </c>
      <c r="N264" s="35">
        <v>7268</v>
      </c>
      <c r="O264" s="35">
        <v>37623</v>
      </c>
      <c r="P264" s="35">
        <v>7184</v>
      </c>
      <c r="Q264" s="35">
        <v>14870</v>
      </c>
      <c r="R264" s="35">
        <v>5659</v>
      </c>
      <c r="S264" s="35">
        <v>9713</v>
      </c>
      <c r="T264" s="35">
        <v>11870</v>
      </c>
      <c r="U264" s="35">
        <v>8435</v>
      </c>
      <c r="V264" s="35">
        <v>295977</v>
      </c>
      <c r="W264" s="35">
        <f t="shared" ref="W264:AP264" si="272">B264-B263</f>
        <v>185</v>
      </c>
      <c r="X264" s="35">
        <f t="shared" si="272"/>
        <v>195</v>
      </c>
      <c r="Y264" s="35">
        <f t="shared" si="272"/>
        <v>94</v>
      </c>
      <c r="Z264" s="35">
        <f t="shared" si="272"/>
        <v>145</v>
      </c>
      <c r="AA264" s="35">
        <f t="shared" si="272"/>
        <v>684</v>
      </c>
      <c r="AB264" s="35">
        <f t="shared" si="272"/>
        <v>290</v>
      </c>
      <c r="AC264" s="35">
        <f t="shared" si="272"/>
        <v>226</v>
      </c>
      <c r="AD264" s="35">
        <f t="shared" si="272"/>
        <v>191</v>
      </c>
      <c r="AE264" s="35">
        <f t="shared" si="272"/>
        <v>255</v>
      </c>
      <c r="AF264" s="35">
        <f t="shared" si="272"/>
        <v>145</v>
      </c>
      <c r="AG264" s="35">
        <f t="shared" si="272"/>
        <v>206</v>
      </c>
      <c r="AH264" s="35">
        <f t="shared" si="272"/>
        <v>193</v>
      </c>
      <c r="AI264" s="35">
        <f t="shared" si="272"/>
        <v>94</v>
      </c>
      <c r="AJ264" s="35">
        <f t="shared" si="272"/>
        <v>579</v>
      </c>
      <c r="AK264" s="35">
        <f t="shared" si="272"/>
        <v>164</v>
      </c>
      <c r="AL264" s="35">
        <f t="shared" si="272"/>
        <v>208</v>
      </c>
      <c r="AM264" s="35">
        <f t="shared" si="272"/>
        <v>175</v>
      </c>
      <c r="AN264" s="35">
        <f t="shared" si="272"/>
        <v>102</v>
      </c>
      <c r="AO264" s="35">
        <f t="shared" si="272"/>
        <v>161</v>
      </c>
      <c r="AP264" s="35">
        <f t="shared" si="272"/>
        <v>136</v>
      </c>
    </row>
    <row r="265" spans="1:42" ht="13">
      <c r="A265" s="36">
        <v>44184</v>
      </c>
      <c r="B265" s="35">
        <v>13346</v>
      </c>
      <c r="C265" s="35">
        <v>8856</v>
      </c>
      <c r="D265" s="35">
        <v>10189</v>
      </c>
      <c r="E265" s="35">
        <v>17402</v>
      </c>
      <c r="F265" s="35">
        <v>58454</v>
      </c>
      <c r="G265" s="35">
        <v>13528</v>
      </c>
      <c r="H265" s="35">
        <v>10598</v>
      </c>
      <c r="I265" s="35">
        <v>17827</v>
      </c>
      <c r="J265" s="35">
        <v>16928</v>
      </c>
      <c r="K265" s="35">
        <v>8316</v>
      </c>
      <c r="L265" s="35">
        <v>11321</v>
      </c>
      <c r="M265" s="35">
        <v>9176</v>
      </c>
      <c r="N265" s="35">
        <v>7422</v>
      </c>
      <c r="O265" s="35">
        <v>38076</v>
      </c>
      <c r="P265" s="35">
        <v>7415</v>
      </c>
      <c r="Q265" s="35">
        <v>15015</v>
      </c>
      <c r="R265" s="35">
        <v>5742</v>
      </c>
      <c r="S265" s="35">
        <v>9816</v>
      </c>
      <c r="T265" s="35">
        <v>12015</v>
      </c>
      <c r="U265" s="35">
        <v>8580</v>
      </c>
      <c r="V265" s="35">
        <v>300022</v>
      </c>
      <c r="W265" s="35">
        <f t="shared" ref="W265:AP265" si="273">B265-B264</f>
        <v>262</v>
      </c>
      <c r="X265" s="35">
        <f t="shared" si="273"/>
        <v>147</v>
      </c>
      <c r="Y265" s="35">
        <f t="shared" si="273"/>
        <v>250</v>
      </c>
      <c r="Z265" s="35">
        <f t="shared" si="273"/>
        <v>229</v>
      </c>
      <c r="AA265" s="35">
        <f t="shared" si="273"/>
        <v>418</v>
      </c>
      <c r="AB265" s="35">
        <f t="shared" si="273"/>
        <v>373</v>
      </c>
      <c r="AC265" s="35">
        <f t="shared" si="273"/>
        <v>166</v>
      </c>
      <c r="AD265" s="35">
        <f t="shared" si="273"/>
        <v>134</v>
      </c>
      <c r="AE265" s="35">
        <f t="shared" si="273"/>
        <v>234</v>
      </c>
      <c r="AF265" s="35">
        <f t="shared" si="273"/>
        <v>125</v>
      </c>
      <c r="AG265" s="35">
        <f t="shared" si="273"/>
        <v>125</v>
      </c>
      <c r="AH265" s="35">
        <f t="shared" si="273"/>
        <v>123</v>
      </c>
      <c r="AI265" s="35">
        <f t="shared" si="273"/>
        <v>154</v>
      </c>
      <c r="AJ265" s="35">
        <f t="shared" si="273"/>
        <v>453</v>
      </c>
      <c r="AK265" s="35">
        <f t="shared" si="273"/>
        <v>231</v>
      </c>
      <c r="AL265" s="35">
        <f t="shared" si="273"/>
        <v>145</v>
      </c>
      <c r="AM265" s="35">
        <f t="shared" si="273"/>
        <v>83</v>
      </c>
      <c r="AN265" s="35">
        <f t="shared" si="273"/>
        <v>103</v>
      </c>
      <c r="AO265" s="35">
        <f t="shared" si="273"/>
        <v>145</v>
      </c>
      <c r="AP265" s="35">
        <f t="shared" si="273"/>
        <v>145</v>
      </c>
    </row>
    <row r="266" spans="1:42" ht="13">
      <c r="A266" s="36">
        <v>44185</v>
      </c>
      <c r="B266" s="35">
        <v>13474</v>
      </c>
      <c r="C266" s="35">
        <v>9056</v>
      </c>
      <c r="D266" s="35">
        <v>10292</v>
      </c>
      <c r="E266" s="35">
        <v>17557</v>
      </c>
      <c r="F266" s="35">
        <v>58948</v>
      </c>
      <c r="G266" s="35">
        <v>13686</v>
      </c>
      <c r="H266" s="35">
        <v>10741</v>
      </c>
      <c r="I266" s="35">
        <v>17926</v>
      </c>
      <c r="J266" s="35">
        <v>17054</v>
      </c>
      <c r="K266" s="35">
        <v>8392</v>
      </c>
      <c r="L266" s="35">
        <v>11443</v>
      </c>
      <c r="M266" s="35">
        <v>9351</v>
      </c>
      <c r="N266" s="35">
        <v>7480</v>
      </c>
      <c r="O266" s="35">
        <v>38412</v>
      </c>
      <c r="P266" s="35">
        <v>7508</v>
      </c>
      <c r="Q266" s="35">
        <v>15138</v>
      </c>
      <c r="R266" s="35">
        <v>5817</v>
      </c>
      <c r="S266" s="35">
        <v>9896</v>
      </c>
      <c r="T266" s="35">
        <v>12140</v>
      </c>
      <c r="U266" s="35">
        <v>8678</v>
      </c>
      <c r="V266" s="35">
        <v>302989</v>
      </c>
      <c r="W266" s="35">
        <f t="shared" ref="W266:AP266" si="274">B266-B265</f>
        <v>128</v>
      </c>
      <c r="X266" s="35">
        <f t="shared" si="274"/>
        <v>200</v>
      </c>
      <c r="Y266" s="35">
        <f t="shared" si="274"/>
        <v>103</v>
      </c>
      <c r="Z266" s="35">
        <f t="shared" si="274"/>
        <v>155</v>
      </c>
      <c r="AA266" s="35">
        <f t="shared" si="274"/>
        <v>494</v>
      </c>
      <c r="AB266" s="35">
        <f t="shared" si="274"/>
        <v>158</v>
      </c>
      <c r="AC266" s="35">
        <f t="shared" si="274"/>
        <v>143</v>
      </c>
      <c r="AD266" s="35">
        <f t="shared" si="274"/>
        <v>99</v>
      </c>
      <c r="AE266" s="35">
        <f t="shared" si="274"/>
        <v>126</v>
      </c>
      <c r="AF266" s="35">
        <f t="shared" si="274"/>
        <v>76</v>
      </c>
      <c r="AG266" s="35">
        <f t="shared" si="274"/>
        <v>122</v>
      </c>
      <c r="AH266" s="35">
        <f t="shared" si="274"/>
        <v>175</v>
      </c>
      <c r="AI266" s="35">
        <f t="shared" si="274"/>
        <v>58</v>
      </c>
      <c r="AJ266" s="35">
        <f t="shared" si="274"/>
        <v>336</v>
      </c>
      <c r="AK266" s="35">
        <f t="shared" si="274"/>
        <v>93</v>
      </c>
      <c r="AL266" s="35">
        <f t="shared" si="274"/>
        <v>123</v>
      </c>
      <c r="AM266" s="35">
        <f t="shared" si="274"/>
        <v>75</v>
      </c>
      <c r="AN266" s="35">
        <f t="shared" si="274"/>
        <v>80</v>
      </c>
      <c r="AO266" s="35">
        <f t="shared" si="274"/>
        <v>125</v>
      </c>
      <c r="AP266" s="35">
        <f t="shared" si="274"/>
        <v>98</v>
      </c>
    </row>
    <row r="267" spans="1:42" ht="13">
      <c r="A267" s="36">
        <v>44186</v>
      </c>
      <c r="B267" s="35">
        <v>13632</v>
      </c>
      <c r="C267" s="35">
        <v>9163</v>
      </c>
      <c r="D267" s="35">
        <v>10359</v>
      </c>
      <c r="E267" s="35">
        <v>17619</v>
      </c>
      <c r="F267" s="35">
        <v>59235</v>
      </c>
      <c r="G267" s="35">
        <v>13820</v>
      </c>
      <c r="H267" s="35">
        <v>10833</v>
      </c>
      <c r="I267" s="35">
        <v>17980</v>
      </c>
      <c r="J267" s="35">
        <v>17197</v>
      </c>
      <c r="K267" s="35">
        <v>8465</v>
      </c>
      <c r="L267" s="35">
        <v>11533</v>
      </c>
      <c r="M267" s="35">
        <v>9409</v>
      </c>
      <c r="N267" s="35">
        <v>7525</v>
      </c>
      <c r="O267" s="35">
        <v>38700</v>
      </c>
      <c r="P267" s="35">
        <v>7650</v>
      </c>
      <c r="Q267" s="35">
        <v>15220</v>
      </c>
      <c r="R267" s="35">
        <v>5884</v>
      </c>
      <c r="S267" s="35">
        <v>9964</v>
      </c>
      <c r="T267" s="35">
        <v>12210</v>
      </c>
      <c r="U267" s="35">
        <v>8732</v>
      </c>
      <c r="V267" s="35">
        <v>305130</v>
      </c>
      <c r="W267" s="35">
        <f t="shared" ref="W267:AP267" si="275">B267-B266</f>
        <v>158</v>
      </c>
      <c r="X267" s="35">
        <f t="shared" si="275"/>
        <v>107</v>
      </c>
      <c r="Y267" s="35">
        <f t="shared" si="275"/>
        <v>67</v>
      </c>
      <c r="Z267" s="35">
        <f t="shared" si="275"/>
        <v>62</v>
      </c>
      <c r="AA267" s="35">
        <f t="shared" si="275"/>
        <v>287</v>
      </c>
      <c r="AB267" s="35">
        <f t="shared" si="275"/>
        <v>134</v>
      </c>
      <c r="AC267" s="35">
        <f t="shared" si="275"/>
        <v>92</v>
      </c>
      <c r="AD267" s="35">
        <f t="shared" si="275"/>
        <v>54</v>
      </c>
      <c r="AE267" s="35">
        <f t="shared" si="275"/>
        <v>143</v>
      </c>
      <c r="AF267" s="35">
        <f t="shared" si="275"/>
        <v>73</v>
      </c>
      <c r="AG267" s="35">
        <f t="shared" si="275"/>
        <v>90</v>
      </c>
      <c r="AH267" s="35">
        <f t="shared" si="275"/>
        <v>58</v>
      </c>
      <c r="AI267" s="35">
        <f t="shared" si="275"/>
        <v>45</v>
      </c>
      <c r="AJ267" s="35">
        <f t="shared" si="275"/>
        <v>288</v>
      </c>
      <c r="AK267" s="35">
        <f t="shared" si="275"/>
        <v>142</v>
      </c>
      <c r="AL267" s="35">
        <f t="shared" si="275"/>
        <v>82</v>
      </c>
      <c r="AM267" s="35">
        <f t="shared" si="275"/>
        <v>67</v>
      </c>
      <c r="AN267" s="35">
        <f t="shared" si="275"/>
        <v>68</v>
      </c>
      <c r="AO267" s="35">
        <f t="shared" si="275"/>
        <v>70</v>
      </c>
      <c r="AP267" s="35">
        <f t="shared" si="275"/>
        <v>54</v>
      </c>
    </row>
    <row r="268" spans="1:42" ht="13">
      <c r="A268" s="36">
        <v>44187</v>
      </c>
      <c r="B268" s="35">
        <v>13680</v>
      </c>
      <c r="C268" s="35">
        <v>9256</v>
      </c>
      <c r="D268" s="35">
        <v>10405</v>
      </c>
      <c r="E268" s="35">
        <v>17654</v>
      </c>
      <c r="F268" s="35">
        <v>59396</v>
      </c>
      <c r="G268" s="35">
        <v>13868</v>
      </c>
      <c r="H268" s="35">
        <v>10879</v>
      </c>
      <c r="I268" s="35">
        <v>18000</v>
      </c>
      <c r="J268" s="35">
        <v>17291</v>
      </c>
      <c r="K268" s="35">
        <v>8494</v>
      </c>
      <c r="L268" s="35">
        <v>11591</v>
      </c>
      <c r="M268" s="35">
        <v>9446</v>
      </c>
      <c r="N268" s="35">
        <v>7537</v>
      </c>
      <c r="O268" s="35">
        <v>38839</v>
      </c>
      <c r="P268" s="35">
        <v>7712</v>
      </c>
      <c r="Q268" s="35">
        <v>15323</v>
      </c>
      <c r="R268" s="35">
        <v>5909</v>
      </c>
      <c r="S268" s="35">
        <v>10018</v>
      </c>
      <c r="T268" s="35">
        <v>12288</v>
      </c>
      <c r="U268" s="35">
        <v>8782</v>
      </c>
      <c r="V268" s="35">
        <v>306368</v>
      </c>
      <c r="W268" s="35">
        <f t="shared" ref="W268:AP268" si="276">B268-B267</f>
        <v>48</v>
      </c>
      <c r="X268" s="35">
        <f t="shared" si="276"/>
        <v>93</v>
      </c>
      <c r="Y268" s="35">
        <f t="shared" si="276"/>
        <v>46</v>
      </c>
      <c r="Z268" s="35">
        <f t="shared" si="276"/>
        <v>35</v>
      </c>
      <c r="AA268" s="35">
        <f t="shared" si="276"/>
        <v>161</v>
      </c>
      <c r="AB268" s="35">
        <f t="shared" si="276"/>
        <v>48</v>
      </c>
      <c r="AC268" s="35">
        <f t="shared" si="276"/>
        <v>46</v>
      </c>
      <c r="AD268" s="35">
        <f t="shared" si="276"/>
        <v>20</v>
      </c>
      <c r="AE268" s="35">
        <f t="shared" si="276"/>
        <v>94</v>
      </c>
      <c r="AF268" s="35">
        <f t="shared" si="276"/>
        <v>29</v>
      </c>
      <c r="AG268" s="35">
        <f t="shared" si="276"/>
        <v>58</v>
      </c>
      <c r="AH268" s="35">
        <f t="shared" si="276"/>
        <v>37</v>
      </c>
      <c r="AI268" s="35">
        <f t="shared" si="276"/>
        <v>12</v>
      </c>
      <c r="AJ268" s="35">
        <f t="shared" si="276"/>
        <v>139</v>
      </c>
      <c r="AK268" s="35">
        <f t="shared" si="276"/>
        <v>62</v>
      </c>
      <c r="AL268" s="35">
        <f t="shared" si="276"/>
        <v>103</v>
      </c>
      <c r="AM268" s="35">
        <f t="shared" si="276"/>
        <v>25</v>
      </c>
      <c r="AN268" s="35">
        <f t="shared" si="276"/>
        <v>54</v>
      </c>
      <c r="AO268" s="35">
        <f t="shared" si="276"/>
        <v>78</v>
      </c>
      <c r="AP268" s="35">
        <f t="shared" si="276"/>
        <v>50</v>
      </c>
    </row>
    <row r="269" spans="1:42" ht="13">
      <c r="A269" s="36">
        <v>44188</v>
      </c>
      <c r="B269" s="35">
        <v>13746</v>
      </c>
      <c r="C269" s="35">
        <v>9361</v>
      </c>
      <c r="D269" s="35">
        <v>10500</v>
      </c>
      <c r="E269" s="35">
        <v>17747</v>
      </c>
      <c r="F269" s="35">
        <v>59694</v>
      </c>
      <c r="G269" s="35">
        <v>13959</v>
      </c>
      <c r="H269" s="35">
        <v>10969</v>
      </c>
      <c r="I269" s="35">
        <v>18085</v>
      </c>
      <c r="J269" s="35">
        <v>17416</v>
      </c>
      <c r="K269" s="35">
        <v>8555</v>
      </c>
      <c r="L269" s="35">
        <v>11700</v>
      </c>
      <c r="M269" s="35">
        <v>9511</v>
      </c>
      <c r="N269" s="35">
        <v>7618</v>
      </c>
      <c r="O269" s="35">
        <v>39001</v>
      </c>
      <c r="P269" s="35">
        <v>7812</v>
      </c>
      <c r="Q269" s="35">
        <v>15398</v>
      </c>
      <c r="R269" s="35">
        <v>5944</v>
      </c>
      <c r="S269" s="35">
        <v>10060</v>
      </c>
      <c r="T269" s="35">
        <v>12372</v>
      </c>
      <c r="U269" s="35">
        <v>8814</v>
      </c>
      <c r="V269" s="35">
        <v>308262</v>
      </c>
      <c r="W269" s="35">
        <f t="shared" ref="W269:AP269" si="277">B269-B268</f>
        <v>66</v>
      </c>
      <c r="X269" s="35">
        <f t="shared" si="277"/>
        <v>105</v>
      </c>
      <c r="Y269" s="35">
        <f t="shared" si="277"/>
        <v>95</v>
      </c>
      <c r="Z269" s="35">
        <f t="shared" si="277"/>
        <v>93</v>
      </c>
      <c r="AA269" s="35">
        <f t="shared" si="277"/>
        <v>298</v>
      </c>
      <c r="AB269" s="35">
        <f t="shared" si="277"/>
        <v>91</v>
      </c>
      <c r="AC269" s="35">
        <f t="shared" si="277"/>
        <v>90</v>
      </c>
      <c r="AD269" s="35">
        <f t="shared" si="277"/>
        <v>85</v>
      </c>
      <c r="AE269" s="35">
        <f t="shared" si="277"/>
        <v>125</v>
      </c>
      <c r="AF269" s="35">
        <f t="shared" si="277"/>
        <v>61</v>
      </c>
      <c r="AG269" s="35">
        <f t="shared" si="277"/>
        <v>109</v>
      </c>
      <c r="AH269" s="35">
        <f t="shared" si="277"/>
        <v>65</v>
      </c>
      <c r="AI269" s="35">
        <f t="shared" si="277"/>
        <v>81</v>
      </c>
      <c r="AJ269" s="35">
        <f t="shared" si="277"/>
        <v>162</v>
      </c>
      <c r="AK269" s="35">
        <f t="shared" si="277"/>
        <v>100</v>
      </c>
      <c r="AL269" s="35">
        <f t="shared" si="277"/>
        <v>75</v>
      </c>
      <c r="AM269" s="35">
        <f t="shared" si="277"/>
        <v>35</v>
      </c>
      <c r="AN269" s="35">
        <f t="shared" si="277"/>
        <v>42</v>
      </c>
      <c r="AO269" s="35">
        <f t="shared" si="277"/>
        <v>84</v>
      </c>
      <c r="AP269" s="35">
        <f t="shared" si="277"/>
        <v>32</v>
      </c>
    </row>
    <row r="270" spans="1:42" ht="13">
      <c r="A270" s="36">
        <v>44189</v>
      </c>
      <c r="B270" s="45">
        <v>13953</v>
      </c>
      <c r="C270" s="42">
        <v>9561</v>
      </c>
      <c r="D270" s="42">
        <v>10639</v>
      </c>
      <c r="E270" s="42">
        <v>17869</v>
      </c>
      <c r="F270" s="42">
        <v>60125</v>
      </c>
      <c r="G270" s="42">
        <v>14157</v>
      </c>
      <c r="H270" s="42">
        <v>11113</v>
      </c>
      <c r="I270" s="42">
        <v>18292</v>
      </c>
      <c r="J270" s="42">
        <v>17660</v>
      </c>
      <c r="K270" s="42">
        <v>8650</v>
      </c>
      <c r="L270" s="42">
        <v>11829</v>
      </c>
      <c r="M270" s="42">
        <v>9613</v>
      </c>
      <c r="N270" s="42">
        <v>7692</v>
      </c>
      <c r="O270" s="42">
        <v>39332</v>
      </c>
      <c r="P270" s="42">
        <v>7994</v>
      </c>
      <c r="Q270" s="42">
        <v>15510</v>
      </c>
      <c r="R270" s="42">
        <v>6018</v>
      </c>
      <c r="S270" s="42">
        <v>10137</v>
      </c>
      <c r="T270" s="42">
        <v>12518</v>
      </c>
      <c r="U270" s="42">
        <v>8892</v>
      </c>
      <c r="V270" s="35">
        <v>311554</v>
      </c>
      <c r="W270" s="35">
        <f t="shared" ref="W270:AP270" si="278">B270-B269</f>
        <v>207</v>
      </c>
      <c r="X270" s="35">
        <f t="shared" si="278"/>
        <v>200</v>
      </c>
      <c r="Y270" s="35">
        <f t="shared" si="278"/>
        <v>139</v>
      </c>
      <c r="Z270" s="35">
        <f t="shared" si="278"/>
        <v>122</v>
      </c>
      <c r="AA270" s="35">
        <f t="shared" si="278"/>
        <v>431</v>
      </c>
      <c r="AB270" s="35">
        <f t="shared" si="278"/>
        <v>198</v>
      </c>
      <c r="AC270" s="35">
        <f t="shared" si="278"/>
        <v>144</v>
      </c>
      <c r="AD270" s="35">
        <f t="shared" si="278"/>
        <v>207</v>
      </c>
      <c r="AE270" s="35">
        <f t="shared" si="278"/>
        <v>244</v>
      </c>
      <c r="AF270" s="35">
        <f t="shared" si="278"/>
        <v>95</v>
      </c>
      <c r="AG270" s="35">
        <f t="shared" si="278"/>
        <v>129</v>
      </c>
      <c r="AH270" s="35">
        <f t="shared" si="278"/>
        <v>102</v>
      </c>
      <c r="AI270" s="35">
        <f t="shared" si="278"/>
        <v>74</v>
      </c>
      <c r="AJ270" s="35">
        <f t="shared" si="278"/>
        <v>331</v>
      </c>
      <c r="AK270" s="35">
        <f t="shared" si="278"/>
        <v>182</v>
      </c>
      <c r="AL270" s="35">
        <f t="shared" si="278"/>
        <v>112</v>
      </c>
      <c r="AM270" s="35">
        <f t="shared" si="278"/>
        <v>74</v>
      </c>
      <c r="AN270" s="35">
        <f t="shared" si="278"/>
        <v>77</v>
      </c>
      <c r="AO270" s="35">
        <f t="shared" si="278"/>
        <v>146</v>
      </c>
      <c r="AP270" s="35">
        <f t="shared" si="278"/>
        <v>78</v>
      </c>
    </row>
    <row r="271" spans="1:42" ht="13">
      <c r="A271" s="36">
        <v>44190</v>
      </c>
      <c r="B271" s="35">
        <v>14084</v>
      </c>
      <c r="C271" s="35">
        <v>9739</v>
      </c>
      <c r="D271" s="35">
        <v>10717</v>
      </c>
      <c r="E271" s="35">
        <v>18005</v>
      </c>
      <c r="F271" s="35">
        <v>60562</v>
      </c>
      <c r="G271" s="35">
        <v>14264</v>
      </c>
      <c r="H271" s="35">
        <v>11216</v>
      </c>
      <c r="I271" s="35">
        <v>18419</v>
      </c>
      <c r="J271" s="35">
        <v>17858</v>
      </c>
      <c r="K271" s="35">
        <v>8694</v>
      </c>
      <c r="L271" s="35">
        <v>11954</v>
      </c>
      <c r="M271" s="35">
        <v>9670</v>
      </c>
      <c r="N271" s="35">
        <v>7752</v>
      </c>
      <c r="O271" s="35">
        <v>39601</v>
      </c>
      <c r="P271" s="35">
        <v>8113</v>
      </c>
      <c r="Q271" s="35">
        <v>15630</v>
      </c>
      <c r="R271" s="35">
        <v>6067</v>
      </c>
      <c r="S271" s="35">
        <v>10203</v>
      </c>
      <c r="T271" s="35">
        <v>12646</v>
      </c>
      <c r="U271" s="35">
        <v>8970</v>
      </c>
      <c r="V271" s="35">
        <v>314164</v>
      </c>
      <c r="W271" s="35">
        <f t="shared" ref="W271:AP271" si="279">B271-B270</f>
        <v>131</v>
      </c>
      <c r="X271" s="35">
        <f t="shared" si="279"/>
        <v>178</v>
      </c>
      <c r="Y271" s="35">
        <f t="shared" si="279"/>
        <v>78</v>
      </c>
      <c r="Z271" s="35">
        <f t="shared" si="279"/>
        <v>136</v>
      </c>
      <c r="AA271" s="35">
        <f t="shared" si="279"/>
        <v>437</v>
      </c>
      <c r="AB271" s="35">
        <f t="shared" si="279"/>
        <v>107</v>
      </c>
      <c r="AC271" s="35">
        <f t="shared" si="279"/>
        <v>103</v>
      </c>
      <c r="AD271" s="35">
        <f t="shared" si="279"/>
        <v>127</v>
      </c>
      <c r="AE271" s="35">
        <f t="shared" si="279"/>
        <v>198</v>
      </c>
      <c r="AF271" s="35">
        <f t="shared" si="279"/>
        <v>44</v>
      </c>
      <c r="AG271" s="35">
        <f t="shared" si="279"/>
        <v>125</v>
      </c>
      <c r="AH271" s="35">
        <f t="shared" si="279"/>
        <v>57</v>
      </c>
      <c r="AI271" s="35">
        <f t="shared" si="279"/>
        <v>60</v>
      </c>
      <c r="AJ271" s="35">
        <f t="shared" si="279"/>
        <v>269</v>
      </c>
      <c r="AK271" s="35">
        <f t="shared" si="279"/>
        <v>119</v>
      </c>
      <c r="AL271" s="35">
        <f t="shared" si="279"/>
        <v>120</v>
      </c>
      <c r="AM271" s="35">
        <f t="shared" si="279"/>
        <v>49</v>
      </c>
      <c r="AN271" s="35">
        <f t="shared" si="279"/>
        <v>66</v>
      </c>
      <c r="AO271" s="35">
        <f t="shared" si="279"/>
        <v>128</v>
      </c>
      <c r="AP271" s="35">
        <f t="shared" si="279"/>
        <v>78</v>
      </c>
    </row>
    <row r="272" spans="1:42" ht="13">
      <c r="A272" s="36">
        <v>44191</v>
      </c>
      <c r="B272" s="35">
        <v>14197</v>
      </c>
      <c r="C272" s="35">
        <v>9839</v>
      </c>
      <c r="D272" s="35">
        <v>10770</v>
      </c>
      <c r="E272" s="35">
        <v>18020</v>
      </c>
      <c r="F272" s="35">
        <v>60752</v>
      </c>
      <c r="G272" s="35">
        <v>14331</v>
      </c>
      <c r="H272" s="35">
        <v>11244</v>
      </c>
      <c r="I272" s="35">
        <v>18457</v>
      </c>
      <c r="J272" s="35">
        <v>17947</v>
      </c>
      <c r="K272" s="35">
        <v>8752</v>
      </c>
      <c r="L272" s="35">
        <v>12034</v>
      </c>
      <c r="M272" s="35">
        <v>9711</v>
      </c>
      <c r="N272" s="35">
        <v>7754</v>
      </c>
      <c r="O272" s="35">
        <v>39734</v>
      </c>
      <c r="P272" s="35">
        <v>8166</v>
      </c>
      <c r="Q272" s="35">
        <v>15711</v>
      </c>
      <c r="R272" s="35">
        <v>6082</v>
      </c>
      <c r="S272" s="35">
        <v>10208</v>
      </c>
      <c r="T272" s="35">
        <v>12665</v>
      </c>
      <c r="U272" s="35">
        <v>8988</v>
      </c>
      <c r="V272" s="35">
        <v>315362</v>
      </c>
      <c r="W272" s="35">
        <f t="shared" ref="W272:AP272" si="280">B272-B271</f>
        <v>113</v>
      </c>
      <c r="X272" s="35">
        <f t="shared" si="280"/>
        <v>100</v>
      </c>
      <c r="Y272" s="35">
        <f t="shared" si="280"/>
        <v>53</v>
      </c>
      <c r="Z272" s="35">
        <f t="shared" si="280"/>
        <v>15</v>
      </c>
      <c r="AA272" s="35">
        <f t="shared" si="280"/>
        <v>190</v>
      </c>
      <c r="AB272" s="35">
        <f t="shared" si="280"/>
        <v>67</v>
      </c>
      <c r="AC272" s="35">
        <f t="shared" si="280"/>
        <v>28</v>
      </c>
      <c r="AD272" s="35">
        <f t="shared" si="280"/>
        <v>38</v>
      </c>
      <c r="AE272" s="35">
        <f t="shared" si="280"/>
        <v>89</v>
      </c>
      <c r="AF272" s="35">
        <f t="shared" si="280"/>
        <v>58</v>
      </c>
      <c r="AG272" s="35">
        <f t="shared" si="280"/>
        <v>80</v>
      </c>
      <c r="AH272" s="35">
        <f t="shared" si="280"/>
        <v>41</v>
      </c>
      <c r="AI272" s="35">
        <f t="shared" si="280"/>
        <v>2</v>
      </c>
      <c r="AJ272" s="35">
        <f t="shared" si="280"/>
        <v>133</v>
      </c>
      <c r="AK272" s="35">
        <f t="shared" si="280"/>
        <v>53</v>
      </c>
      <c r="AL272" s="35">
        <f t="shared" si="280"/>
        <v>81</v>
      </c>
      <c r="AM272" s="35">
        <f t="shared" si="280"/>
        <v>15</v>
      </c>
      <c r="AN272" s="35">
        <f t="shared" si="280"/>
        <v>5</v>
      </c>
      <c r="AO272" s="35">
        <f t="shared" si="280"/>
        <v>19</v>
      </c>
      <c r="AP272" s="35">
        <f t="shared" si="280"/>
        <v>18</v>
      </c>
    </row>
    <row r="273" spans="1:42" ht="13">
      <c r="A273" s="36">
        <v>44192</v>
      </c>
      <c r="B273" s="35">
        <v>14247</v>
      </c>
      <c r="C273" s="35">
        <v>9879</v>
      </c>
      <c r="D273" s="35">
        <v>10804</v>
      </c>
      <c r="E273" s="35">
        <v>18076</v>
      </c>
      <c r="F273" s="35">
        <v>60814</v>
      </c>
      <c r="G273" s="35">
        <v>14394</v>
      </c>
      <c r="H273" s="35">
        <v>11275</v>
      </c>
      <c r="I273" s="35">
        <v>18481</v>
      </c>
      <c r="J273" s="35">
        <v>17999</v>
      </c>
      <c r="K273" s="35">
        <v>8760</v>
      </c>
      <c r="L273" s="35">
        <v>12062</v>
      </c>
      <c r="M273" s="35">
        <v>9721</v>
      </c>
      <c r="N273" s="35">
        <v>7755</v>
      </c>
      <c r="O273" s="35">
        <v>39784</v>
      </c>
      <c r="P273" s="35">
        <v>8180</v>
      </c>
      <c r="Q273" s="35">
        <v>15762</v>
      </c>
      <c r="R273" s="35">
        <v>6092</v>
      </c>
      <c r="S273" s="35">
        <v>10248</v>
      </c>
      <c r="T273" s="35">
        <v>12696</v>
      </c>
      <c r="U273" s="35">
        <v>9031</v>
      </c>
      <c r="V273" s="35">
        <v>316060</v>
      </c>
      <c r="W273" s="35">
        <f t="shared" ref="W273:AP273" si="281">B273-B272</f>
        <v>50</v>
      </c>
      <c r="X273" s="35">
        <f t="shared" si="281"/>
        <v>40</v>
      </c>
      <c r="Y273" s="35">
        <f t="shared" si="281"/>
        <v>34</v>
      </c>
      <c r="Z273" s="35">
        <f t="shared" si="281"/>
        <v>56</v>
      </c>
      <c r="AA273" s="35">
        <f t="shared" si="281"/>
        <v>62</v>
      </c>
      <c r="AB273" s="35">
        <f t="shared" si="281"/>
        <v>63</v>
      </c>
      <c r="AC273" s="35">
        <f t="shared" si="281"/>
        <v>31</v>
      </c>
      <c r="AD273" s="35">
        <f t="shared" si="281"/>
        <v>24</v>
      </c>
      <c r="AE273" s="35">
        <f t="shared" si="281"/>
        <v>52</v>
      </c>
      <c r="AF273" s="35">
        <f t="shared" si="281"/>
        <v>8</v>
      </c>
      <c r="AG273" s="35">
        <f t="shared" si="281"/>
        <v>28</v>
      </c>
      <c r="AH273" s="35">
        <f t="shared" si="281"/>
        <v>10</v>
      </c>
      <c r="AI273" s="35">
        <f t="shared" si="281"/>
        <v>1</v>
      </c>
      <c r="AJ273" s="35">
        <f t="shared" si="281"/>
        <v>50</v>
      </c>
      <c r="AK273" s="35">
        <f t="shared" si="281"/>
        <v>14</v>
      </c>
      <c r="AL273" s="35">
        <f t="shared" si="281"/>
        <v>51</v>
      </c>
      <c r="AM273" s="35">
        <f t="shared" si="281"/>
        <v>10</v>
      </c>
      <c r="AN273" s="35">
        <f t="shared" si="281"/>
        <v>40</v>
      </c>
      <c r="AO273" s="35">
        <f t="shared" si="281"/>
        <v>31</v>
      </c>
      <c r="AP273" s="35">
        <f t="shared" si="281"/>
        <v>43</v>
      </c>
    </row>
    <row r="274" spans="1:42" ht="13">
      <c r="A274" s="36">
        <v>44193</v>
      </c>
      <c r="B274" s="35">
        <v>14280</v>
      </c>
      <c r="C274" s="35">
        <v>9915</v>
      </c>
      <c r="D274" s="35">
        <v>10811</v>
      </c>
      <c r="E274" s="35">
        <v>18100</v>
      </c>
      <c r="F274" s="35">
        <v>60924</v>
      </c>
      <c r="G274" s="35">
        <v>14433</v>
      </c>
      <c r="H274" s="35">
        <v>11292</v>
      </c>
      <c r="I274" s="35">
        <v>18486</v>
      </c>
      <c r="J274" s="35">
        <v>18025</v>
      </c>
      <c r="K274" s="35">
        <v>8771</v>
      </c>
      <c r="L274" s="35">
        <v>12127</v>
      </c>
      <c r="M274" s="35">
        <v>9727</v>
      </c>
      <c r="N274" s="35">
        <v>7779</v>
      </c>
      <c r="O274" s="35">
        <v>39843</v>
      </c>
      <c r="P274" s="35">
        <v>8208</v>
      </c>
      <c r="Q274" s="35">
        <v>15786</v>
      </c>
      <c r="R274" s="35">
        <v>6140</v>
      </c>
      <c r="S274" s="35">
        <v>10256</v>
      </c>
      <c r="T274" s="35">
        <v>12724</v>
      </c>
      <c r="U274" s="35">
        <v>9042</v>
      </c>
      <c r="V274" s="35">
        <v>316669</v>
      </c>
      <c r="W274" s="35">
        <f t="shared" ref="W274:AP274" si="282">B274-B273</f>
        <v>33</v>
      </c>
      <c r="X274" s="35">
        <f t="shared" si="282"/>
        <v>36</v>
      </c>
      <c r="Y274" s="35">
        <f t="shared" si="282"/>
        <v>7</v>
      </c>
      <c r="Z274" s="35">
        <f t="shared" si="282"/>
        <v>24</v>
      </c>
      <c r="AA274" s="35">
        <f t="shared" si="282"/>
        <v>110</v>
      </c>
      <c r="AB274" s="35">
        <f t="shared" si="282"/>
        <v>39</v>
      </c>
      <c r="AC274" s="35">
        <f t="shared" si="282"/>
        <v>17</v>
      </c>
      <c r="AD274" s="35">
        <f t="shared" si="282"/>
        <v>5</v>
      </c>
      <c r="AE274" s="35">
        <f t="shared" si="282"/>
        <v>26</v>
      </c>
      <c r="AF274" s="35">
        <f t="shared" si="282"/>
        <v>11</v>
      </c>
      <c r="AG274" s="35">
        <f t="shared" si="282"/>
        <v>65</v>
      </c>
      <c r="AH274" s="35">
        <f t="shared" si="282"/>
        <v>6</v>
      </c>
      <c r="AI274" s="35">
        <f t="shared" si="282"/>
        <v>24</v>
      </c>
      <c r="AJ274" s="35">
        <f t="shared" si="282"/>
        <v>59</v>
      </c>
      <c r="AK274" s="35">
        <f t="shared" si="282"/>
        <v>28</v>
      </c>
      <c r="AL274" s="35">
        <f t="shared" si="282"/>
        <v>24</v>
      </c>
      <c r="AM274" s="35">
        <f t="shared" si="282"/>
        <v>48</v>
      </c>
      <c r="AN274" s="35">
        <f t="shared" si="282"/>
        <v>8</v>
      </c>
      <c r="AO274" s="35">
        <f t="shared" si="282"/>
        <v>28</v>
      </c>
      <c r="AP274" s="35">
        <f t="shared" si="282"/>
        <v>11</v>
      </c>
    </row>
    <row r="275" spans="1:42" ht="13">
      <c r="A275" s="36">
        <v>44194</v>
      </c>
      <c r="B275" s="35">
        <v>14318</v>
      </c>
      <c r="C275" s="35">
        <v>9984</v>
      </c>
      <c r="D275" s="35">
        <v>10842</v>
      </c>
      <c r="E275" s="35">
        <v>18146</v>
      </c>
      <c r="F275" s="35">
        <v>61041</v>
      </c>
      <c r="G275" s="35">
        <v>14503</v>
      </c>
      <c r="H275" s="35">
        <v>11337</v>
      </c>
      <c r="I275" s="35">
        <v>18521</v>
      </c>
      <c r="J275" s="35">
        <v>18092</v>
      </c>
      <c r="K275" s="35">
        <v>8801</v>
      </c>
      <c r="L275" s="35">
        <v>12167</v>
      </c>
      <c r="M275" s="35">
        <v>9754</v>
      </c>
      <c r="N275" s="35">
        <v>7789</v>
      </c>
      <c r="O275" s="35">
        <v>39909</v>
      </c>
      <c r="P275" s="35">
        <v>8260</v>
      </c>
      <c r="Q275" s="35">
        <v>15848</v>
      </c>
      <c r="R275" s="35">
        <v>6172</v>
      </c>
      <c r="S275" s="35">
        <v>10269</v>
      </c>
      <c r="T275" s="35">
        <v>12750</v>
      </c>
      <c r="U275" s="35">
        <v>9068</v>
      </c>
      <c r="V275" s="35">
        <v>317571</v>
      </c>
      <c r="W275" s="35">
        <f t="shared" ref="W275:AP275" si="283">B275-B274</f>
        <v>38</v>
      </c>
      <c r="X275" s="35">
        <f t="shared" si="283"/>
        <v>69</v>
      </c>
      <c r="Y275" s="35">
        <f t="shared" si="283"/>
        <v>31</v>
      </c>
      <c r="Z275" s="35">
        <f t="shared" si="283"/>
        <v>46</v>
      </c>
      <c r="AA275" s="35">
        <f t="shared" si="283"/>
        <v>117</v>
      </c>
      <c r="AB275" s="35">
        <f t="shared" si="283"/>
        <v>70</v>
      </c>
      <c r="AC275" s="35">
        <f t="shared" si="283"/>
        <v>45</v>
      </c>
      <c r="AD275" s="35">
        <f t="shared" si="283"/>
        <v>35</v>
      </c>
      <c r="AE275" s="35">
        <f t="shared" si="283"/>
        <v>67</v>
      </c>
      <c r="AF275" s="35">
        <f t="shared" si="283"/>
        <v>30</v>
      </c>
      <c r="AG275" s="35">
        <f t="shared" si="283"/>
        <v>40</v>
      </c>
      <c r="AH275" s="35">
        <f t="shared" si="283"/>
        <v>27</v>
      </c>
      <c r="AI275" s="35">
        <f t="shared" si="283"/>
        <v>10</v>
      </c>
      <c r="AJ275" s="35">
        <f t="shared" si="283"/>
        <v>66</v>
      </c>
      <c r="AK275" s="35">
        <f t="shared" si="283"/>
        <v>52</v>
      </c>
      <c r="AL275" s="35">
        <f t="shared" si="283"/>
        <v>62</v>
      </c>
      <c r="AM275" s="35">
        <f t="shared" si="283"/>
        <v>32</v>
      </c>
      <c r="AN275" s="35">
        <f t="shared" si="283"/>
        <v>13</v>
      </c>
      <c r="AO275" s="35">
        <f t="shared" si="283"/>
        <v>26</v>
      </c>
      <c r="AP275" s="35">
        <f t="shared" si="283"/>
        <v>26</v>
      </c>
    </row>
    <row r="276" spans="1:42" ht="13">
      <c r="A276" s="36">
        <v>44195</v>
      </c>
      <c r="B276" s="35">
        <v>14387</v>
      </c>
      <c r="C276" s="35">
        <v>10098</v>
      </c>
      <c r="D276" s="35">
        <v>10894</v>
      </c>
      <c r="E276" s="35">
        <v>18193</v>
      </c>
      <c r="F276" s="35">
        <v>61405</v>
      </c>
      <c r="G276" s="35">
        <v>14588</v>
      </c>
      <c r="H276" s="35">
        <v>11441</v>
      </c>
      <c r="I276" s="35">
        <v>18606</v>
      </c>
      <c r="J276" s="35">
        <v>18264</v>
      </c>
      <c r="K276" s="35">
        <v>8866</v>
      </c>
      <c r="L276" s="35">
        <v>12256</v>
      </c>
      <c r="M276" s="35">
        <v>9814</v>
      </c>
      <c r="N276" s="35">
        <v>7849</v>
      </c>
      <c r="O276" s="35">
        <v>40131</v>
      </c>
      <c r="P276" s="35">
        <v>8349</v>
      </c>
      <c r="Q276" s="35">
        <v>15906</v>
      </c>
      <c r="R276" s="35">
        <v>6206</v>
      </c>
      <c r="S276" s="35">
        <v>10336</v>
      </c>
      <c r="T276" s="35">
        <v>12823</v>
      </c>
      <c r="U276" s="35">
        <v>9131</v>
      </c>
      <c r="V276" s="35">
        <v>319543</v>
      </c>
      <c r="W276" s="35">
        <f t="shared" ref="W276:AP276" si="284">B276-B275</f>
        <v>69</v>
      </c>
      <c r="X276" s="35">
        <f t="shared" si="284"/>
        <v>114</v>
      </c>
      <c r="Y276" s="35">
        <f t="shared" si="284"/>
        <v>52</v>
      </c>
      <c r="Z276" s="35">
        <f t="shared" si="284"/>
        <v>47</v>
      </c>
      <c r="AA276" s="35">
        <f t="shared" si="284"/>
        <v>364</v>
      </c>
      <c r="AB276" s="35">
        <f t="shared" si="284"/>
        <v>85</v>
      </c>
      <c r="AC276" s="35">
        <f t="shared" si="284"/>
        <v>104</v>
      </c>
      <c r="AD276" s="35">
        <f t="shared" si="284"/>
        <v>85</v>
      </c>
      <c r="AE276" s="35">
        <f t="shared" si="284"/>
        <v>172</v>
      </c>
      <c r="AF276" s="35">
        <f t="shared" si="284"/>
        <v>65</v>
      </c>
      <c r="AG276" s="35">
        <f t="shared" si="284"/>
        <v>89</v>
      </c>
      <c r="AH276" s="35">
        <f t="shared" si="284"/>
        <v>60</v>
      </c>
      <c r="AI276" s="35">
        <f t="shared" si="284"/>
        <v>60</v>
      </c>
      <c r="AJ276" s="35">
        <f t="shared" si="284"/>
        <v>222</v>
      </c>
      <c r="AK276" s="35">
        <f t="shared" si="284"/>
        <v>89</v>
      </c>
      <c r="AL276" s="35">
        <f t="shared" si="284"/>
        <v>58</v>
      </c>
      <c r="AM276" s="35">
        <f t="shared" si="284"/>
        <v>34</v>
      </c>
      <c r="AN276" s="35">
        <f t="shared" si="284"/>
        <v>67</v>
      </c>
      <c r="AO276" s="35">
        <f t="shared" si="284"/>
        <v>73</v>
      </c>
      <c r="AP276" s="35">
        <f t="shared" si="284"/>
        <v>63</v>
      </c>
    </row>
    <row r="277" spans="1:42" ht="13">
      <c r="A277" s="36">
        <v>44196</v>
      </c>
      <c r="B277" s="35">
        <v>14557</v>
      </c>
      <c r="C277" s="35">
        <v>10291</v>
      </c>
      <c r="D277" s="35">
        <v>10977</v>
      </c>
      <c r="E277" s="35">
        <v>18327</v>
      </c>
      <c r="F277" s="35">
        <v>61752</v>
      </c>
      <c r="G277" s="35">
        <v>14783</v>
      </c>
      <c r="H277" s="35">
        <v>11577</v>
      </c>
      <c r="I277" s="35">
        <v>18730</v>
      </c>
      <c r="J277" s="35">
        <v>18490</v>
      </c>
      <c r="K277" s="35">
        <v>8946</v>
      </c>
      <c r="L277" s="35">
        <v>12398</v>
      </c>
      <c r="M277" s="35">
        <v>9904</v>
      </c>
      <c r="N277" s="35">
        <v>7963</v>
      </c>
      <c r="O277" s="35">
        <v>40421</v>
      </c>
      <c r="P277" s="35">
        <v>8471</v>
      </c>
      <c r="Q277" s="35">
        <v>16014</v>
      </c>
      <c r="R277" s="35">
        <v>6294</v>
      </c>
      <c r="S277" s="35">
        <v>10414</v>
      </c>
      <c r="T277" s="35">
        <v>12984</v>
      </c>
      <c r="U277" s="35">
        <v>9221</v>
      </c>
      <c r="V277" s="35">
        <v>322514</v>
      </c>
      <c r="W277" s="35">
        <f t="shared" ref="W277:AP277" si="285">B277-B276</f>
        <v>170</v>
      </c>
      <c r="X277" s="35">
        <f t="shared" si="285"/>
        <v>193</v>
      </c>
      <c r="Y277" s="35">
        <f t="shared" si="285"/>
        <v>83</v>
      </c>
      <c r="Z277" s="35">
        <f t="shared" si="285"/>
        <v>134</v>
      </c>
      <c r="AA277" s="35">
        <f t="shared" si="285"/>
        <v>347</v>
      </c>
      <c r="AB277" s="35">
        <f t="shared" si="285"/>
        <v>195</v>
      </c>
      <c r="AC277" s="35">
        <f t="shared" si="285"/>
        <v>136</v>
      </c>
      <c r="AD277" s="35">
        <f t="shared" si="285"/>
        <v>124</v>
      </c>
      <c r="AE277" s="35">
        <f t="shared" si="285"/>
        <v>226</v>
      </c>
      <c r="AF277" s="35">
        <f t="shared" si="285"/>
        <v>80</v>
      </c>
      <c r="AG277" s="35">
        <f t="shared" si="285"/>
        <v>142</v>
      </c>
      <c r="AH277" s="35">
        <f t="shared" si="285"/>
        <v>90</v>
      </c>
      <c r="AI277" s="35">
        <f t="shared" si="285"/>
        <v>114</v>
      </c>
      <c r="AJ277" s="35">
        <f t="shared" si="285"/>
        <v>290</v>
      </c>
      <c r="AK277" s="35">
        <f t="shared" si="285"/>
        <v>122</v>
      </c>
      <c r="AL277" s="35">
        <f t="shared" si="285"/>
        <v>108</v>
      </c>
      <c r="AM277" s="35">
        <f t="shared" si="285"/>
        <v>88</v>
      </c>
      <c r="AN277" s="35">
        <f t="shared" si="285"/>
        <v>78</v>
      </c>
      <c r="AO277" s="35">
        <f t="shared" si="285"/>
        <v>161</v>
      </c>
      <c r="AP277" s="35">
        <f t="shared" si="285"/>
        <v>90</v>
      </c>
    </row>
    <row r="278" spans="1:42" ht="13">
      <c r="A278" s="36">
        <v>44197</v>
      </c>
      <c r="B278" s="35">
        <v>14751</v>
      </c>
      <c r="C278" s="35">
        <v>10473</v>
      </c>
      <c r="D278" s="35">
        <v>11075</v>
      </c>
      <c r="E278" s="35">
        <v>18481</v>
      </c>
      <c r="F278" s="35">
        <v>62080</v>
      </c>
      <c r="G278" s="35">
        <v>14942</v>
      </c>
      <c r="H278" s="35">
        <v>11736</v>
      </c>
      <c r="I278" s="35">
        <v>18814</v>
      </c>
      <c r="J278" s="35">
        <v>18652</v>
      </c>
      <c r="K278" s="35">
        <v>9029</v>
      </c>
      <c r="L278" s="35">
        <v>12489</v>
      </c>
      <c r="M278" s="35">
        <v>9986</v>
      </c>
      <c r="N278" s="35">
        <v>8018</v>
      </c>
      <c r="O278" s="35">
        <v>40667</v>
      </c>
      <c r="P278" s="35">
        <v>8594</v>
      </c>
      <c r="Q278" s="35">
        <v>16121</v>
      </c>
      <c r="R278" s="35">
        <v>6403</v>
      </c>
      <c r="S278" s="35">
        <v>10482</v>
      </c>
      <c r="T278" s="35">
        <v>13137</v>
      </c>
      <c r="U278" s="35">
        <v>9348</v>
      </c>
      <c r="V278" s="20">
        <v>325278</v>
      </c>
      <c r="W278" s="35">
        <f t="shared" ref="W278:AP278" si="286">B278-B277</f>
        <v>194</v>
      </c>
      <c r="X278" s="35">
        <f t="shared" si="286"/>
        <v>182</v>
      </c>
      <c r="Y278" s="35">
        <f t="shared" si="286"/>
        <v>98</v>
      </c>
      <c r="Z278" s="35">
        <f t="shared" si="286"/>
        <v>154</v>
      </c>
      <c r="AA278" s="35">
        <f t="shared" si="286"/>
        <v>328</v>
      </c>
      <c r="AB278" s="35">
        <f t="shared" si="286"/>
        <v>159</v>
      </c>
      <c r="AC278" s="35">
        <f t="shared" si="286"/>
        <v>159</v>
      </c>
      <c r="AD278" s="35">
        <f t="shared" si="286"/>
        <v>84</v>
      </c>
      <c r="AE278" s="35">
        <f t="shared" si="286"/>
        <v>162</v>
      </c>
      <c r="AF278" s="35">
        <f t="shared" si="286"/>
        <v>83</v>
      </c>
      <c r="AG278" s="35">
        <f t="shared" si="286"/>
        <v>91</v>
      </c>
      <c r="AH278" s="35">
        <f t="shared" si="286"/>
        <v>82</v>
      </c>
      <c r="AI278" s="35">
        <f t="shared" si="286"/>
        <v>55</v>
      </c>
      <c r="AJ278" s="35">
        <f t="shared" si="286"/>
        <v>246</v>
      </c>
      <c r="AK278" s="35">
        <f t="shared" si="286"/>
        <v>123</v>
      </c>
      <c r="AL278" s="35">
        <f t="shared" si="286"/>
        <v>107</v>
      </c>
      <c r="AM278" s="35">
        <f t="shared" si="286"/>
        <v>109</v>
      </c>
      <c r="AN278" s="35">
        <f t="shared" si="286"/>
        <v>68</v>
      </c>
      <c r="AO278" s="35">
        <f t="shared" si="286"/>
        <v>153</v>
      </c>
      <c r="AP278" s="35">
        <f t="shared" si="286"/>
        <v>127</v>
      </c>
    </row>
    <row r="279" spans="1:42" ht="13">
      <c r="A279" s="36">
        <v>44198</v>
      </c>
      <c r="B279" s="35">
        <v>14845</v>
      </c>
      <c r="C279" s="35">
        <v>10537</v>
      </c>
      <c r="D279" s="35">
        <v>11152</v>
      </c>
      <c r="E279" s="35">
        <v>18522</v>
      </c>
      <c r="F279" s="35">
        <v>62298</v>
      </c>
      <c r="G279" s="35">
        <v>14994</v>
      </c>
      <c r="H279" s="35">
        <v>11816</v>
      </c>
      <c r="I279" s="35">
        <v>18871</v>
      </c>
      <c r="J279" s="35">
        <v>18747</v>
      </c>
      <c r="K279" s="35">
        <v>9073</v>
      </c>
      <c r="L279" s="35">
        <v>12568</v>
      </c>
      <c r="M279" s="35">
        <v>9999</v>
      </c>
      <c r="N279" s="35">
        <v>8046</v>
      </c>
      <c r="O279" s="35">
        <v>40847</v>
      </c>
      <c r="P279" s="35">
        <v>8679</v>
      </c>
      <c r="Q279" s="35">
        <v>16209</v>
      </c>
      <c r="R279" s="35">
        <v>6413</v>
      </c>
      <c r="S279" s="35">
        <v>10512</v>
      </c>
      <c r="T279" s="35">
        <v>13182</v>
      </c>
      <c r="U279" s="35">
        <v>9378</v>
      </c>
      <c r="V279" s="35">
        <v>326688</v>
      </c>
      <c r="W279" s="35">
        <f t="shared" ref="W279:AP279" si="287">B279-B278</f>
        <v>94</v>
      </c>
      <c r="X279" s="35">
        <f t="shared" si="287"/>
        <v>64</v>
      </c>
      <c r="Y279" s="35">
        <f t="shared" si="287"/>
        <v>77</v>
      </c>
      <c r="Z279" s="35">
        <f t="shared" si="287"/>
        <v>41</v>
      </c>
      <c r="AA279" s="35">
        <f t="shared" si="287"/>
        <v>218</v>
      </c>
      <c r="AB279" s="35">
        <f t="shared" si="287"/>
        <v>52</v>
      </c>
      <c r="AC279" s="35">
        <f t="shared" si="287"/>
        <v>80</v>
      </c>
      <c r="AD279" s="35">
        <f t="shared" si="287"/>
        <v>57</v>
      </c>
      <c r="AE279" s="35">
        <f t="shared" si="287"/>
        <v>95</v>
      </c>
      <c r="AF279" s="35">
        <f t="shared" si="287"/>
        <v>44</v>
      </c>
      <c r="AG279" s="35">
        <f t="shared" si="287"/>
        <v>79</v>
      </c>
      <c r="AH279" s="35">
        <f t="shared" si="287"/>
        <v>13</v>
      </c>
      <c r="AI279" s="35">
        <f t="shared" si="287"/>
        <v>28</v>
      </c>
      <c r="AJ279" s="35">
        <f t="shared" si="287"/>
        <v>180</v>
      </c>
      <c r="AK279" s="35">
        <f t="shared" si="287"/>
        <v>85</v>
      </c>
      <c r="AL279" s="35">
        <f t="shared" si="287"/>
        <v>88</v>
      </c>
      <c r="AM279" s="35">
        <f t="shared" si="287"/>
        <v>10</v>
      </c>
      <c r="AN279" s="35">
        <f t="shared" si="287"/>
        <v>30</v>
      </c>
      <c r="AO279" s="35">
        <f t="shared" si="287"/>
        <v>45</v>
      </c>
      <c r="AP279" s="35">
        <f t="shared" si="287"/>
        <v>30</v>
      </c>
    </row>
    <row r="280" spans="1:42" ht="13">
      <c r="A280" s="36">
        <v>44199</v>
      </c>
      <c r="B280" s="35">
        <v>14934</v>
      </c>
      <c r="C280" s="35">
        <v>10613</v>
      </c>
      <c r="D280" s="35">
        <v>11194</v>
      </c>
      <c r="E280" s="35">
        <v>18607</v>
      </c>
      <c r="F280" s="35">
        <v>62423</v>
      </c>
      <c r="G280" s="35">
        <v>15056</v>
      </c>
      <c r="H280" s="35">
        <v>11890</v>
      </c>
      <c r="I280" s="35">
        <v>18939</v>
      </c>
      <c r="J280" s="35">
        <v>18796</v>
      </c>
      <c r="K280" s="35">
        <v>9102</v>
      </c>
      <c r="L280" s="35">
        <v>12631</v>
      </c>
      <c r="M280" s="35">
        <v>10048</v>
      </c>
      <c r="N280" s="35">
        <v>8049</v>
      </c>
      <c r="O280" s="35">
        <v>41036</v>
      </c>
      <c r="P280" s="35">
        <v>8720</v>
      </c>
      <c r="Q280" s="35">
        <v>16277</v>
      </c>
      <c r="R280" s="35">
        <v>6503</v>
      </c>
      <c r="S280" s="35">
        <v>10517</v>
      </c>
      <c r="T280" s="35">
        <v>13205</v>
      </c>
      <c r="U280" s="35">
        <v>9455</v>
      </c>
      <c r="V280" s="35">
        <v>327995</v>
      </c>
      <c r="W280" s="35">
        <f t="shared" ref="W280:AP280" si="288">B280-B279</f>
        <v>89</v>
      </c>
      <c r="X280" s="35">
        <f t="shared" si="288"/>
        <v>76</v>
      </c>
      <c r="Y280" s="35">
        <f t="shared" si="288"/>
        <v>42</v>
      </c>
      <c r="Z280" s="35">
        <f t="shared" si="288"/>
        <v>85</v>
      </c>
      <c r="AA280" s="35">
        <f t="shared" si="288"/>
        <v>125</v>
      </c>
      <c r="AB280" s="35">
        <f t="shared" si="288"/>
        <v>62</v>
      </c>
      <c r="AC280" s="35">
        <f t="shared" si="288"/>
        <v>74</v>
      </c>
      <c r="AD280" s="35">
        <f t="shared" si="288"/>
        <v>68</v>
      </c>
      <c r="AE280" s="35">
        <f t="shared" si="288"/>
        <v>49</v>
      </c>
      <c r="AF280" s="35">
        <f t="shared" si="288"/>
        <v>29</v>
      </c>
      <c r="AG280" s="35">
        <f t="shared" si="288"/>
        <v>63</v>
      </c>
      <c r="AH280" s="35">
        <f t="shared" si="288"/>
        <v>49</v>
      </c>
      <c r="AI280" s="35">
        <f t="shared" si="288"/>
        <v>3</v>
      </c>
      <c r="AJ280" s="35">
        <f t="shared" si="288"/>
        <v>189</v>
      </c>
      <c r="AK280" s="35">
        <f t="shared" si="288"/>
        <v>41</v>
      </c>
      <c r="AL280" s="35">
        <f t="shared" si="288"/>
        <v>68</v>
      </c>
      <c r="AM280" s="35">
        <f t="shared" si="288"/>
        <v>90</v>
      </c>
      <c r="AN280" s="35">
        <f t="shared" si="288"/>
        <v>5</v>
      </c>
      <c r="AO280" s="35">
        <f t="shared" si="288"/>
        <v>23</v>
      </c>
      <c r="AP280" s="35">
        <f t="shared" si="288"/>
        <v>77</v>
      </c>
    </row>
    <row r="281" spans="1:42" ht="13">
      <c r="A281" s="36">
        <v>44200</v>
      </c>
      <c r="B281" s="35">
        <v>14967</v>
      </c>
      <c r="C281" s="35">
        <v>10658</v>
      </c>
      <c r="D281" s="35">
        <v>11222</v>
      </c>
      <c r="E281" s="35">
        <v>18651</v>
      </c>
      <c r="F281" s="35">
        <v>62579</v>
      </c>
      <c r="G281" s="35">
        <v>15110</v>
      </c>
      <c r="H281" s="35">
        <v>11956</v>
      </c>
      <c r="I281" s="35">
        <v>18950</v>
      </c>
      <c r="J281" s="35">
        <v>18847</v>
      </c>
      <c r="K281" s="35">
        <v>9124</v>
      </c>
      <c r="L281" s="35">
        <v>12645</v>
      </c>
      <c r="M281" s="35">
        <v>10071</v>
      </c>
      <c r="N281" s="35">
        <v>8052</v>
      </c>
      <c r="O281" s="35">
        <v>41179</v>
      </c>
      <c r="P281" s="35">
        <v>8748</v>
      </c>
      <c r="Q281" s="35">
        <v>16324</v>
      </c>
      <c r="R281" s="35">
        <v>6521</v>
      </c>
      <c r="S281" s="35">
        <v>10560</v>
      </c>
      <c r="T281" s="35">
        <v>13214</v>
      </c>
      <c r="U281" s="35">
        <v>9473</v>
      </c>
      <c r="V281" s="35">
        <v>328851</v>
      </c>
      <c r="W281" s="35">
        <f t="shared" ref="W281:AP281" si="289">B281-B280</f>
        <v>33</v>
      </c>
      <c r="X281" s="35">
        <f t="shared" si="289"/>
        <v>45</v>
      </c>
      <c r="Y281" s="35">
        <f t="shared" si="289"/>
        <v>28</v>
      </c>
      <c r="Z281" s="35">
        <f t="shared" si="289"/>
        <v>44</v>
      </c>
      <c r="AA281" s="35">
        <f t="shared" si="289"/>
        <v>156</v>
      </c>
      <c r="AB281" s="35">
        <f t="shared" si="289"/>
        <v>54</v>
      </c>
      <c r="AC281" s="35">
        <f t="shared" si="289"/>
        <v>66</v>
      </c>
      <c r="AD281" s="35">
        <f t="shared" si="289"/>
        <v>11</v>
      </c>
      <c r="AE281" s="35">
        <f t="shared" si="289"/>
        <v>51</v>
      </c>
      <c r="AF281" s="35">
        <f t="shared" si="289"/>
        <v>22</v>
      </c>
      <c r="AG281" s="35">
        <f t="shared" si="289"/>
        <v>14</v>
      </c>
      <c r="AH281" s="35">
        <f t="shared" si="289"/>
        <v>23</v>
      </c>
      <c r="AI281" s="35">
        <f t="shared" si="289"/>
        <v>3</v>
      </c>
      <c r="AJ281" s="35">
        <f t="shared" si="289"/>
        <v>143</v>
      </c>
      <c r="AK281" s="35">
        <f t="shared" si="289"/>
        <v>28</v>
      </c>
      <c r="AL281" s="35">
        <f t="shared" si="289"/>
        <v>47</v>
      </c>
      <c r="AM281" s="35">
        <f t="shared" si="289"/>
        <v>18</v>
      </c>
      <c r="AN281" s="35">
        <f t="shared" si="289"/>
        <v>43</v>
      </c>
      <c r="AO281" s="35">
        <f t="shared" si="289"/>
        <v>9</v>
      </c>
      <c r="AP281" s="35">
        <f t="shared" si="289"/>
        <v>18</v>
      </c>
    </row>
    <row r="282" spans="1:42" ht="13">
      <c r="A282" s="36">
        <v>44201</v>
      </c>
      <c r="B282" s="35">
        <v>15007</v>
      </c>
      <c r="C282" s="35">
        <v>10730</v>
      </c>
      <c r="D282" s="35">
        <v>11255</v>
      </c>
      <c r="E282" s="35">
        <v>18682</v>
      </c>
      <c r="F282" s="35">
        <v>62695</v>
      </c>
      <c r="G282" s="35">
        <v>15162</v>
      </c>
      <c r="H282" s="35">
        <v>12007</v>
      </c>
      <c r="I282" s="35">
        <v>18974</v>
      </c>
      <c r="J282" s="35">
        <v>18901</v>
      </c>
      <c r="K282" s="35">
        <v>9152</v>
      </c>
      <c r="L282" s="35">
        <v>12674</v>
      </c>
      <c r="M282" s="35">
        <v>10094</v>
      </c>
      <c r="N282" s="35">
        <v>8063</v>
      </c>
      <c r="O282" s="35">
        <v>41258</v>
      </c>
      <c r="P282" s="35">
        <v>8793</v>
      </c>
      <c r="Q282" s="35">
        <v>16396</v>
      </c>
      <c r="R282" s="35">
        <v>6569</v>
      </c>
      <c r="S282" s="35">
        <v>10574</v>
      </c>
      <c r="T282" s="35">
        <v>13230</v>
      </c>
      <c r="U282" s="35">
        <v>9505</v>
      </c>
      <c r="V282" s="35">
        <v>329721</v>
      </c>
      <c r="W282" s="35">
        <f t="shared" ref="W282:AP282" si="290">B282-B281</f>
        <v>40</v>
      </c>
      <c r="X282" s="35">
        <f t="shared" si="290"/>
        <v>72</v>
      </c>
      <c r="Y282" s="35">
        <f t="shared" si="290"/>
        <v>33</v>
      </c>
      <c r="Z282" s="35">
        <f t="shared" si="290"/>
        <v>31</v>
      </c>
      <c r="AA282" s="35">
        <f t="shared" si="290"/>
        <v>116</v>
      </c>
      <c r="AB282" s="35">
        <f t="shared" si="290"/>
        <v>52</v>
      </c>
      <c r="AC282" s="35">
        <f t="shared" si="290"/>
        <v>51</v>
      </c>
      <c r="AD282" s="35">
        <f t="shared" si="290"/>
        <v>24</v>
      </c>
      <c r="AE282" s="35">
        <f t="shared" si="290"/>
        <v>54</v>
      </c>
      <c r="AF282" s="35">
        <f t="shared" si="290"/>
        <v>28</v>
      </c>
      <c r="AG282" s="35">
        <f t="shared" si="290"/>
        <v>29</v>
      </c>
      <c r="AH282" s="35">
        <f t="shared" si="290"/>
        <v>23</v>
      </c>
      <c r="AI282" s="35">
        <f t="shared" si="290"/>
        <v>11</v>
      </c>
      <c r="AJ282" s="35">
        <f t="shared" si="290"/>
        <v>79</v>
      </c>
      <c r="AK282" s="35">
        <f t="shared" si="290"/>
        <v>45</v>
      </c>
      <c r="AL282" s="35">
        <f t="shared" si="290"/>
        <v>72</v>
      </c>
      <c r="AM282" s="35">
        <f t="shared" si="290"/>
        <v>48</v>
      </c>
      <c r="AN282" s="35">
        <f t="shared" si="290"/>
        <v>14</v>
      </c>
      <c r="AO282" s="35">
        <f t="shared" si="290"/>
        <v>16</v>
      </c>
      <c r="AP282" s="35">
        <f t="shared" si="290"/>
        <v>32</v>
      </c>
    </row>
    <row r="283" spans="1:42" ht="13">
      <c r="A283" s="36">
        <v>44202</v>
      </c>
      <c r="B283" s="35">
        <v>15095</v>
      </c>
      <c r="C283" s="35">
        <v>10860</v>
      </c>
      <c r="D283" s="35">
        <v>11340</v>
      </c>
      <c r="E283" s="35">
        <v>18769</v>
      </c>
      <c r="F283" s="35">
        <v>62989</v>
      </c>
      <c r="G283" s="35">
        <v>15257</v>
      </c>
      <c r="H283" s="35">
        <v>12137</v>
      </c>
      <c r="I283" s="35">
        <v>19079</v>
      </c>
      <c r="J283" s="35">
        <v>19008</v>
      </c>
      <c r="K283" s="35">
        <v>9201</v>
      </c>
      <c r="L283" s="35">
        <v>12745</v>
      </c>
      <c r="M283" s="35">
        <v>10165</v>
      </c>
      <c r="N283" s="35">
        <v>8133</v>
      </c>
      <c r="O283" s="35">
        <v>41471</v>
      </c>
      <c r="P283" s="35">
        <v>8942</v>
      </c>
      <c r="Q283" s="35">
        <v>16458</v>
      </c>
      <c r="R283" s="35">
        <v>6634</v>
      </c>
      <c r="S283" s="35">
        <v>10634</v>
      </c>
      <c r="T283" s="35">
        <v>13308</v>
      </c>
      <c r="U283" s="35">
        <v>9543</v>
      </c>
      <c r="V283" s="35">
        <v>331768</v>
      </c>
      <c r="W283" s="35">
        <f t="shared" ref="W283:AP283" si="291">B283-B282</f>
        <v>88</v>
      </c>
      <c r="X283" s="35">
        <f t="shared" si="291"/>
        <v>130</v>
      </c>
      <c r="Y283" s="35">
        <f t="shared" si="291"/>
        <v>85</v>
      </c>
      <c r="Z283" s="35">
        <f t="shared" si="291"/>
        <v>87</v>
      </c>
      <c r="AA283" s="35">
        <f t="shared" si="291"/>
        <v>294</v>
      </c>
      <c r="AB283" s="35">
        <f t="shared" si="291"/>
        <v>95</v>
      </c>
      <c r="AC283" s="35">
        <f t="shared" si="291"/>
        <v>130</v>
      </c>
      <c r="AD283" s="35">
        <f t="shared" si="291"/>
        <v>105</v>
      </c>
      <c r="AE283" s="35">
        <f t="shared" si="291"/>
        <v>107</v>
      </c>
      <c r="AF283" s="35">
        <f t="shared" si="291"/>
        <v>49</v>
      </c>
      <c r="AG283" s="35">
        <f t="shared" si="291"/>
        <v>71</v>
      </c>
      <c r="AH283" s="35">
        <f t="shared" si="291"/>
        <v>71</v>
      </c>
      <c r="AI283" s="35">
        <f t="shared" si="291"/>
        <v>70</v>
      </c>
      <c r="AJ283" s="35">
        <f t="shared" si="291"/>
        <v>213</v>
      </c>
      <c r="AK283" s="35">
        <f t="shared" si="291"/>
        <v>149</v>
      </c>
      <c r="AL283" s="35">
        <f t="shared" si="291"/>
        <v>62</v>
      </c>
      <c r="AM283" s="35">
        <f t="shared" si="291"/>
        <v>65</v>
      </c>
      <c r="AN283" s="35">
        <f t="shared" si="291"/>
        <v>60</v>
      </c>
      <c r="AO283" s="35">
        <f t="shared" si="291"/>
        <v>78</v>
      </c>
      <c r="AP283" s="35">
        <f t="shared" si="291"/>
        <v>38</v>
      </c>
    </row>
    <row r="284" spans="1:42" ht="13">
      <c r="A284" s="36">
        <v>44203</v>
      </c>
      <c r="B284" s="35">
        <v>15261</v>
      </c>
      <c r="C284" s="35">
        <v>10984</v>
      </c>
      <c r="D284" s="35">
        <v>11462</v>
      </c>
      <c r="E284" s="35">
        <v>18884</v>
      </c>
      <c r="F284" s="35">
        <v>63438</v>
      </c>
      <c r="G284" s="35">
        <v>15371</v>
      </c>
      <c r="H284" s="35">
        <v>12314</v>
      </c>
      <c r="I284" s="35">
        <v>19225</v>
      </c>
      <c r="J284" s="35">
        <v>19205</v>
      </c>
      <c r="K284" s="35">
        <v>9249</v>
      </c>
      <c r="L284" s="35">
        <v>12843</v>
      </c>
      <c r="M284" s="35">
        <v>10269</v>
      </c>
      <c r="N284" s="35">
        <v>8230</v>
      </c>
      <c r="O284" s="35">
        <v>41880</v>
      </c>
      <c r="P284" s="35">
        <v>9075</v>
      </c>
      <c r="Q284" s="35">
        <v>16576</v>
      </c>
      <c r="R284" s="35">
        <v>6702</v>
      </c>
      <c r="S284" s="35">
        <v>10696</v>
      </c>
      <c r="T284" s="35">
        <v>13507</v>
      </c>
      <c r="U284" s="35">
        <v>9665</v>
      </c>
      <c r="V284" s="35">
        <v>334836</v>
      </c>
      <c r="W284" s="35">
        <f t="shared" ref="W284:AP284" si="292">B284-B283</f>
        <v>166</v>
      </c>
      <c r="X284" s="35">
        <f t="shared" si="292"/>
        <v>124</v>
      </c>
      <c r="Y284" s="35">
        <f t="shared" si="292"/>
        <v>122</v>
      </c>
      <c r="Z284" s="35">
        <f t="shared" si="292"/>
        <v>115</v>
      </c>
      <c r="AA284" s="35">
        <f t="shared" si="292"/>
        <v>449</v>
      </c>
      <c r="AB284" s="35">
        <f t="shared" si="292"/>
        <v>114</v>
      </c>
      <c r="AC284" s="35">
        <f t="shared" si="292"/>
        <v>177</v>
      </c>
      <c r="AD284" s="35">
        <f t="shared" si="292"/>
        <v>146</v>
      </c>
      <c r="AE284" s="35">
        <f t="shared" si="292"/>
        <v>197</v>
      </c>
      <c r="AF284" s="35">
        <f t="shared" si="292"/>
        <v>48</v>
      </c>
      <c r="AG284" s="35">
        <f t="shared" si="292"/>
        <v>98</v>
      </c>
      <c r="AH284" s="35">
        <f t="shared" si="292"/>
        <v>104</v>
      </c>
      <c r="AI284" s="35">
        <f t="shared" si="292"/>
        <v>97</v>
      </c>
      <c r="AJ284" s="35">
        <f t="shared" si="292"/>
        <v>409</v>
      </c>
      <c r="AK284" s="35">
        <f t="shared" si="292"/>
        <v>133</v>
      </c>
      <c r="AL284" s="35">
        <f t="shared" si="292"/>
        <v>118</v>
      </c>
      <c r="AM284" s="35">
        <f t="shared" si="292"/>
        <v>68</v>
      </c>
      <c r="AN284" s="35">
        <f t="shared" si="292"/>
        <v>62</v>
      </c>
      <c r="AO284" s="35">
        <f t="shared" si="292"/>
        <v>199</v>
      </c>
      <c r="AP284" s="35">
        <f t="shared" si="292"/>
        <v>122</v>
      </c>
    </row>
    <row r="285" spans="1:42" ht="13">
      <c r="A285" s="36">
        <v>44204</v>
      </c>
      <c r="B285" s="35">
        <v>15412</v>
      </c>
      <c r="C285" s="35">
        <v>11119</v>
      </c>
      <c r="D285" s="35">
        <v>11553</v>
      </c>
      <c r="E285" s="35">
        <v>18989</v>
      </c>
      <c r="F285" s="35">
        <v>63738</v>
      </c>
      <c r="G285" s="35">
        <v>15575</v>
      </c>
      <c r="H285" s="35">
        <v>12453</v>
      </c>
      <c r="I285" s="35">
        <v>19376</v>
      </c>
      <c r="J285" s="35">
        <v>19368</v>
      </c>
      <c r="K285" s="35">
        <v>9367</v>
      </c>
      <c r="L285" s="35">
        <v>12968</v>
      </c>
      <c r="M285" s="35">
        <v>10343</v>
      </c>
      <c r="N285" s="35">
        <v>8304</v>
      </c>
      <c r="O285" s="35">
        <v>42135</v>
      </c>
      <c r="P285" s="35">
        <v>9257</v>
      </c>
      <c r="Q285" s="35">
        <v>16726</v>
      </c>
      <c r="R285" s="35">
        <v>6827</v>
      </c>
      <c r="S285" s="35">
        <v>10789</v>
      </c>
      <c r="T285" s="35">
        <v>13689</v>
      </c>
      <c r="U285" s="35">
        <v>9755</v>
      </c>
      <c r="V285" s="35">
        <v>337743</v>
      </c>
      <c r="W285" s="35">
        <f t="shared" ref="W285:AP285" si="293">B285-B284</f>
        <v>151</v>
      </c>
      <c r="X285" s="35">
        <f t="shared" si="293"/>
        <v>135</v>
      </c>
      <c r="Y285" s="35">
        <f t="shared" si="293"/>
        <v>91</v>
      </c>
      <c r="Z285" s="35">
        <f t="shared" si="293"/>
        <v>105</v>
      </c>
      <c r="AA285" s="35">
        <f t="shared" si="293"/>
        <v>300</v>
      </c>
      <c r="AB285" s="35">
        <f t="shared" si="293"/>
        <v>204</v>
      </c>
      <c r="AC285" s="35">
        <f t="shared" si="293"/>
        <v>139</v>
      </c>
      <c r="AD285" s="35">
        <f t="shared" si="293"/>
        <v>151</v>
      </c>
      <c r="AE285" s="35">
        <f t="shared" si="293"/>
        <v>163</v>
      </c>
      <c r="AF285" s="35">
        <f t="shared" si="293"/>
        <v>118</v>
      </c>
      <c r="AG285" s="35">
        <f t="shared" si="293"/>
        <v>125</v>
      </c>
      <c r="AH285" s="35">
        <f t="shared" si="293"/>
        <v>74</v>
      </c>
      <c r="AI285" s="35">
        <f t="shared" si="293"/>
        <v>74</v>
      </c>
      <c r="AJ285" s="35">
        <f t="shared" si="293"/>
        <v>255</v>
      </c>
      <c r="AK285" s="35">
        <f t="shared" si="293"/>
        <v>182</v>
      </c>
      <c r="AL285" s="35">
        <f t="shared" si="293"/>
        <v>150</v>
      </c>
      <c r="AM285" s="35">
        <f t="shared" si="293"/>
        <v>125</v>
      </c>
      <c r="AN285" s="35">
        <f t="shared" si="293"/>
        <v>93</v>
      </c>
      <c r="AO285" s="35">
        <f t="shared" si="293"/>
        <v>182</v>
      </c>
      <c r="AP285" s="35">
        <f t="shared" si="293"/>
        <v>90</v>
      </c>
    </row>
    <row r="286" spans="1:42" ht="13">
      <c r="A286" s="36">
        <v>44205</v>
      </c>
      <c r="B286" s="35">
        <v>15549</v>
      </c>
      <c r="C286" s="35">
        <v>11298</v>
      </c>
      <c r="D286" s="35">
        <v>11612</v>
      </c>
      <c r="E286" s="35">
        <v>19124</v>
      </c>
      <c r="F286" s="35">
        <v>64187</v>
      </c>
      <c r="G286" s="35">
        <v>15666</v>
      </c>
      <c r="H286" s="35">
        <v>12620</v>
      </c>
      <c r="I286" s="35">
        <v>19478</v>
      </c>
      <c r="J286" s="35">
        <v>19446</v>
      </c>
      <c r="K286" s="35">
        <v>9419</v>
      </c>
      <c r="L286" s="35">
        <v>13017</v>
      </c>
      <c r="M286" s="35">
        <v>10407</v>
      </c>
      <c r="N286" s="35">
        <v>8324</v>
      </c>
      <c r="O286" s="35">
        <v>42499</v>
      </c>
      <c r="P286" s="35">
        <v>9400</v>
      </c>
      <c r="Q286" s="35">
        <v>16863</v>
      </c>
      <c r="R286" s="35">
        <v>7055</v>
      </c>
      <c r="S286" s="35">
        <v>10848</v>
      </c>
      <c r="T286" s="35">
        <v>13798</v>
      </c>
      <c r="U286" s="35">
        <v>9849</v>
      </c>
      <c r="V286" s="35">
        <v>340459</v>
      </c>
      <c r="W286" s="35">
        <f t="shared" ref="W286:AP286" si="294">B286-B285</f>
        <v>137</v>
      </c>
      <c r="X286" s="35">
        <f t="shared" si="294"/>
        <v>179</v>
      </c>
      <c r="Y286" s="35">
        <f t="shared" si="294"/>
        <v>59</v>
      </c>
      <c r="Z286" s="35">
        <f t="shared" si="294"/>
        <v>135</v>
      </c>
      <c r="AA286" s="35">
        <f t="shared" si="294"/>
        <v>449</v>
      </c>
      <c r="AB286" s="35">
        <f t="shared" si="294"/>
        <v>91</v>
      </c>
      <c r="AC286" s="35">
        <f t="shared" si="294"/>
        <v>167</v>
      </c>
      <c r="AD286" s="35">
        <f t="shared" si="294"/>
        <v>102</v>
      </c>
      <c r="AE286" s="35">
        <f t="shared" si="294"/>
        <v>78</v>
      </c>
      <c r="AF286" s="35">
        <f t="shared" si="294"/>
        <v>52</v>
      </c>
      <c r="AG286" s="35">
        <f t="shared" si="294"/>
        <v>49</v>
      </c>
      <c r="AH286" s="35">
        <f t="shared" si="294"/>
        <v>64</v>
      </c>
      <c r="AI286" s="35">
        <f t="shared" si="294"/>
        <v>20</v>
      </c>
      <c r="AJ286" s="35">
        <f t="shared" si="294"/>
        <v>364</v>
      </c>
      <c r="AK286" s="35">
        <f t="shared" si="294"/>
        <v>143</v>
      </c>
      <c r="AL286" s="35">
        <f t="shared" si="294"/>
        <v>137</v>
      </c>
      <c r="AM286" s="35">
        <f t="shared" si="294"/>
        <v>228</v>
      </c>
      <c r="AN286" s="35">
        <f t="shared" si="294"/>
        <v>59</v>
      </c>
      <c r="AO286" s="35">
        <f t="shared" si="294"/>
        <v>109</v>
      </c>
      <c r="AP286" s="35">
        <f t="shared" si="294"/>
        <v>94</v>
      </c>
    </row>
    <row r="287" spans="1:42" ht="13">
      <c r="A287" s="36">
        <v>44206</v>
      </c>
      <c r="B287" s="35">
        <v>15622</v>
      </c>
      <c r="C287" s="35">
        <v>11428</v>
      </c>
      <c r="D287" s="35">
        <v>11653</v>
      </c>
      <c r="E287" s="35">
        <v>19227</v>
      </c>
      <c r="F287" s="35">
        <v>64422</v>
      </c>
      <c r="G287" s="35">
        <v>15735</v>
      </c>
      <c r="H287" s="35">
        <v>12725</v>
      </c>
      <c r="I287" s="35">
        <v>19540</v>
      </c>
      <c r="J287" s="35">
        <v>19535</v>
      </c>
      <c r="K287" s="35">
        <v>9475</v>
      </c>
      <c r="L287" s="35">
        <v>13116</v>
      </c>
      <c r="M287" s="35">
        <v>10526</v>
      </c>
      <c r="N287" s="35">
        <v>8367</v>
      </c>
      <c r="O287" s="35">
        <v>42703</v>
      </c>
      <c r="P287" s="35">
        <v>9470</v>
      </c>
      <c r="Q287" s="35">
        <v>16930</v>
      </c>
      <c r="R287" s="35">
        <v>7101</v>
      </c>
      <c r="S287" s="35">
        <v>10895</v>
      </c>
      <c r="T287" s="35">
        <v>13875</v>
      </c>
      <c r="U287" s="35">
        <v>9892</v>
      </c>
      <c r="V287" s="35">
        <v>342237</v>
      </c>
      <c r="W287" s="35">
        <f t="shared" ref="W287:AP287" si="295">B287-B286</f>
        <v>73</v>
      </c>
      <c r="X287" s="35">
        <f t="shared" si="295"/>
        <v>130</v>
      </c>
      <c r="Y287" s="35">
        <f t="shared" si="295"/>
        <v>41</v>
      </c>
      <c r="Z287" s="35">
        <f t="shared" si="295"/>
        <v>103</v>
      </c>
      <c r="AA287" s="35">
        <f t="shared" si="295"/>
        <v>235</v>
      </c>
      <c r="AB287" s="35">
        <f t="shared" si="295"/>
        <v>69</v>
      </c>
      <c r="AC287" s="35">
        <f t="shared" si="295"/>
        <v>105</v>
      </c>
      <c r="AD287" s="35">
        <f t="shared" si="295"/>
        <v>62</v>
      </c>
      <c r="AE287" s="35">
        <f t="shared" si="295"/>
        <v>89</v>
      </c>
      <c r="AF287" s="35">
        <f t="shared" si="295"/>
        <v>56</v>
      </c>
      <c r="AG287" s="35">
        <f t="shared" si="295"/>
        <v>99</v>
      </c>
      <c r="AH287" s="35">
        <f t="shared" si="295"/>
        <v>119</v>
      </c>
      <c r="AI287" s="35">
        <f t="shared" si="295"/>
        <v>43</v>
      </c>
      <c r="AJ287" s="35">
        <f t="shared" si="295"/>
        <v>204</v>
      </c>
      <c r="AK287" s="35">
        <f t="shared" si="295"/>
        <v>70</v>
      </c>
      <c r="AL287" s="35">
        <f t="shared" si="295"/>
        <v>67</v>
      </c>
      <c r="AM287" s="35">
        <f t="shared" si="295"/>
        <v>46</v>
      </c>
      <c r="AN287" s="35">
        <f t="shared" si="295"/>
        <v>47</v>
      </c>
      <c r="AO287" s="35">
        <f t="shared" si="295"/>
        <v>77</v>
      </c>
      <c r="AP287" s="35">
        <f t="shared" si="295"/>
        <v>43</v>
      </c>
    </row>
    <row r="288" spans="1:42" ht="13">
      <c r="A288" s="36">
        <v>44207</v>
      </c>
      <c r="B288" s="35">
        <v>15701</v>
      </c>
      <c r="C288" s="35">
        <v>11567</v>
      </c>
      <c r="D288" s="35">
        <v>11685</v>
      </c>
      <c r="E288" s="35">
        <v>19276</v>
      </c>
      <c r="F288" s="35">
        <v>64603</v>
      </c>
      <c r="G288" s="35">
        <v>15777</v>
      </c>
      <c r="H288" s="35">
        <v>12853</v>
      </c>
      <c r="I288" s="35">
        <v>19586</v>
      </c>
      <c r="J288" s="35">
        <v>19576</v>
      </c>
      <c r="K288" s="35">
        <v>9511</v>
      </c>
      <c r="L288" s="35">
        <v>13162</v>
      </c>
      <c r="M288" s="35">
        <v>10578</v>
      </c>
      <c r="N288" s="35">
        <v>8406</v>
      </c>
      <c r="O288" s="35">
        <v>42880</v>
      </c>
      <c r="P288" s="35">
        <v>9534</v>
      </c>
      <c r="Q288" s="35">
        <v>16989</v>
      </c>
      <c r="R288" s="35">
        <v>7158</v>
      </c>
      <c r="S288" s="35">
        <v>10921</v>
      </c>
      <c r="T288" s="35">
        <v>13955</v>
      </c>
      <c r="U288" s="35">
        <v>9938</v>
      </c>
      <c r="V288" s="35">
        <v>343656</v>
      </c>
      <c r="W288" s="35">
        <f t="shared" ref="W288:AP288" si="296">B288-B287</f>
        <v>79</v>
      </c>
      <c r="X288" s="35">
        <f t="shared" si="296"/>
        <v>139</v>
      </c>
      <c r="Y288" s="35">
        <f t="shared" si="296"/>
        <v>32</v>
      </c>
      <c r="Z288" s="35">
        <f t="shared" si="296"/>
        <v>49</v>
      </c>
      <c r="AA288" s="35">
        <f t="shared" si="296"/>
        <v>181</v>
      </c>
      <c r="AB288" s="35">
        <f t="shared" si="296"/>
        <v>42</v>
      </c>
      <c r="AC288" s="35">
        <f t="shared" si="296"/>
        <v>128</v>
      </c>
      <c r="AD288" s="35">
        <f t="shared" si="296"/>
        <v>46</v>
      </c>
      <c r="AE288" s="35">
        <f t="shared" si="296"/>
        <v>41</v>
      </c>
      <c r="AF288" s="35">
        <f t="shared" si="296"/>
        <v>36</v>
      </c>
      <c r="AG288" s="35">
        <f t="shared" si="296"/>
        <v>46</v>
      </c>
      <c r="AH288" s="35">
        <f t="shared" si="296"/>
        <v>52</v>
      </c>
      <c r="AI288" s="35">
        <f t="shared" si="296"/>
        <v>39</v>
      </c>
      <c r="AJ288" s="35">
        <f t="shared" si="296"/>
        <v>177</v>
      </c>
      <c r="AK288" s="35">
        <f t="shared" si="296"/>
        <v>64</v>
      </c>
      <c r="AL288" s="35">
        <f t="shared" si="296"/>
        <v>59</v>
      </c>
      <c r="AM288" s="35">
        <f t="shared" si="296"/>
        <v>57</v>
      </c>
      <c r="AN288" s="35">
        <f t="shared" si="296"/>
        <v>26</v>
      </c>
      <c r="AO288" s="35">
        <f t="shared" si="296"/>
        <v>80</v>
      </c>
      <c r="AP288" s="35">
        <f t="shared" si="296"/>
        <v>46</v>
      </c>
    </row>
    <row r="289" spans="1:42" ht="13">
      <c r="A289" s="36">
        <v>44208</v>
      </c>
      <c r="B289" s="35">
        <v>15743</v>
      </c>
      <c r="C289" s="35">
        <v>11634</v>
      </c>
      <c r="D289" s="35">
        <v>11694</v>
      </c>
      <c r="E289" s="35">
        <v>19294</v>
      </c>
      <c r="F289" s="35">
        <v>64729</v>
      </c>
      <c r="G289" s="35">
        <v>15813</v>
      </c>
      <c r="H289" s="35">
        <v>12897</v>
      </c>
      <c r="I289" s="35">
        <v>19591</v>
      </c>
      <c r="J289" s="35">
        <v>19596</v>
      </c>
      <c r="K289" s="35">
        <v>9516</v>
      </c>
      <c r="L289" s="35">
        <v>13188</v>
      </c>
      <c r="M289" s="35">
        <v>10597</v>
      </c>
      <c r="N289" s="35">
        <v>8412</v>
      </c>
      <c r="O289" s="35">
        <v>42992</v>
      </c>
      <c r="P289" s="35">
        <v>9547</v>
      </c>
      <c r="Q289" s="35">
        <v>17024</v>
      </c>
      <c r="R289" s="35">
        <v>7211</v>
      </c>
      <c r="S289" s="35">
        <v>10947</v>
      </c>
      <c r="T289" s="35">
        <v>13982</v>
      </c>
      <c r="U289" s="35">
        <v>9945</v>
      </c>
      <c r="V289" s="35">
        <v>344352</v>
      </c>
      <c r="W289" s="35">
        <f t="shared" ref="W289:AP289" si="297">B289-B288</f>
        <v>42</v>
      </c>
      <c r="X289" s="35">
        <f t="shared" si="297"/>
        <v>67</v>
      </c>
      <c r="Y289" s="35">
        <f t="shared" si="297"/>
        <v>9</v>
      </c>
      <c r="Z289" s="35">
        <f t="shared" si="297"/>
        <v>18</v>
      </c>
      <c r="AA289" s="35">
        <f t="shared" si="297"/>
        <v>126</v>
      </c>
      <c r="AB289" s="35">
        <f t="shared" si="297"/>
        <v>36</v>
      </c>
      <c r="AC289" s="35">
        <f t="shared" si="297"/>
        <v>44</v>
      </c>
      <c r="AD289" s="35">
        <f t="shared" si="297"/>
        <v>5</v>
      </c>
      <c r="AE289" s="35">
        <f t="shared" si="297"/>
        <v>20</v>
      </c>
      <c r="AF289" s="35">
        <f t="shared" si="297"/>
        <v>5</v>
      </c>
      <c r="AG289" s="35">
        <f t="shared" si="297"/>
        <v>26</v>
      </c>
      <c r="AH289" s="35">
        <f t="shared" si="297"/>
        <v>19</v>
      </c>
      <c r="AI289" s="35">
        <f t="shared" si="297"/>
        <v>6</v>
      </c>
      <c r="AJ289" s="35">
        <f t="shared" si="297"/>
        <v>112</v>
      </c>
      <c r="AK289" s="35">
        <f t="shared" si="297"/>
        <v>13</v>
      </c>
      <c r="AL289" s="35">
        <f t="shared" si="297"/>
        <v>35</v>
      </c>
      <c r="AM289" s="35">
        <f t="shared" si="297"/>
        <v>53</v>
      </c>
      <c r="AN289" s="35">
        <f t="shared" si="297"/>
        <v>26</v>
      </c>
      <c r="AO289" s="35">
        <f t="shared" si="297"/>
        <v>27</v>
      </c>
      <c r="AP289" s="35">
        <f t="shared" si="297"/>
        <v>7</v>
      </c>
    </row>
    <row r="290" spans="1:42" ht="13">
      <c r="A290" s="36">
        <v>44209</v>
      </c>
      <c r="B290" s="35">
        <v>15807</v>
      </c>
      <c r="C290" s="35">
        <v>11718</v>
      </c>
      <c r="D290" s="35">
        <v>11710</v>
      </c>
      <c r="E290" s="35">
        <v>19350</v>
      </c>
      <c r="F290" s="35">
        <v>64944</v>
      </c>
      <c r="G290" s="35">
        <v>15882</v>
      </c>
      <c r="H290" s="35">
        <v>12940</v>
      </c>
      <c r="I290" s="35">
        <v>19666</v>
      </c>
      <c r="J290" s="35">
        <v>19681</v>
      </c>
      <c r="K290" s="35">
        <v>9585</v>
      </c>
      <c r="L290" s="35">
        <v>13250</v>
      </c>
      <c r="M290" s="35">
        <v>10680</v>
      </c>
      <c r="N290" s="35">
        <v>8454</v>
      </c>
      <c r="O290" s="35">
        <v>43115</v>
      </c>
      <c r="P290" s="35">
        <v>9612</v>
      </c>
      <c r="Q290" s="35">
        <v>17063</v>
      </c>
      <c r="R290" s="35">
        <v>7259</v>
      </c>
      <c r="S290" s="35">
        <v>10976</v>
      </c>
      <c r="T290" s="35">
        <v>14035</v>
      </c>
      <c r="U290" s="35">
        <v>9983</v>
      </c>
      <c r="V290" s="35">
        <v>345710</v>
      </c>
      <c r="W290" s="35">
        <f t="shared" ref="W290:AP290" si="298">B290-B289</f>
        <v>64</v>
      </c>
      <c r="X290" s="35">
        <f t="shared" si="298"/>
        <v>84</v>
      </c>
      <c r="Y290" s="35">
        <f t="shared" si="298"/>
        <v>16</v>
      </c>
      <c r="Z290" s="35">
        <f t="shared" si="298"/>
        <v>56</v>
      </c>
      <c r="AA290" s="35">
        <f t="shared" si="298"/>
        <v>215</v>
      </c>
      <c r="AB290" s="35">
        <f t="shared" si="298"/>
        <v>69</v>
      </c>
      <c r="AC290" s="35">
        <f t="shared" si="298"/>
        <v>43</v>
      </c>
      <c r="AD290" s="35">
        <f t="shared" si="298"/>
        <v>75</v>
      </c>
      <c r="AE290" s="35">
        <f t="shared" si="298"/>
        <v>85</v>
      </c>
      <c r="AF290" s="35">
        <f t="shared" si="298"/>
        <v>69</v>
      </c>
      <c r="AG290" s="35">
        <f t="shared" si="298"/>
        <v>62</v>
      </c>
      <c r="AH290" s="35">
        <f t="shared" si="298"/>
        <v>83</v>
      </c>
      <c r="AI290" s="35">
        <f t="shared" si="298"/>
        <v>42</v>
      </c>
      <c r="AJ290" s="35">
        <f t="shared" si="298"/>
        <v>123</v>
      </c>
      <c r="AK290" s="35">
        <f t="shared" si="298"/>
        <v>65</v>
      </c>
      <c r="AL290" s="35">
        <f t="shared" si="298"/>
        <v>39</v>
      </c>
      <c r="AM290" s="35">
        <f t="shared" si="298"/>
        <v>48</v>
      </c>
      <c r="AN290" s="35">
        <f t="shared" si="298"/>
        <v>29</v>
      </c>
      <c r="AO290" s="35">
        <f t="shared" si="298"/>
        <v>53</v>
      </c>
      <c r="AP290" s="35">
        <f t="shared" si="298"/>
        <v>38</v>
      </c>
    </row>
    <row r="291" spans="1:42" ht="13">
      <c r="A291" s="36">
        <v>44210</v>
      </c>
      <c r="B291" s="35">
        <v>15946</v>
      </c>
      <c r="C291" s="35">
        <v>11811</v>
      </c>
      <c r="D291" s="35">
        <v>11748</v>
      </c>
      <c r="E291" s="35">
        <v>19433</v>
      </c>
      <c r="F291" s="35">
        <v>65206</v>
      </c>
      <c r="G291" s="35">
        <v>15958</v>
      </c>
      <c r="H291" s="35">
        <v>13078</v>
      </c>
      <c r="I291" s="35">
        <v>19740</v>
      </c>
      <c r="J291" s="35">
        <v>19800</v>
      </c>
      <c r="K291" s="35">
        <v>9688</v>
      </c>
      <c r="L291" s="35">
        <v>13306</v>
      </c>
      <c r="M291" s="35">
        <v>10781</v>
      </c>
      <c r="N291" s="35">
        <v>8502</v>
      </c>
      <c r="O291" s="35">
        <v>43298</v>
      </c>
      <c r="P291" s="35">
        <v>9705</v>
      </c>
      <c r="Q291" s="35">
        <v>17138</v>
      </c>
      <c r="R291" s="35">
        <v>7325</v>
      </c>
      <c r="S291" s="35">
        <v>11033</v>
      </c>
      <c r="T291" s="35">
        <v>14118</v>
      </c>
      <c r="U291" s="35">
        <v>10022</v>
      </c>
      <c r="V291" s="35">
        <v>347636</v>
      </c>
      <c r="W291" s="35">
        <f t="shared" ref="W291:AP291" si="299">B291-B290</f>
        <v>139</v>
      </c>
      <c r="X291" s="35">
        <f t="shared" si="299"/>
        <v>93</v>
      </c>
      <c r="Y291" s="35">
        <f t="shared" si="299"/>
        <v>38</v>
      </c>
      <c r="Z291" s="35">
        <f t="shared" si="299"/>
        <v>83</v>
      </c>
      <c r="AA291" s="35">
        <f t="shared" si="299"/>
        <v>262</v>
      </c>
      <c r="AB291" s="35">
        <f t="shared" si="299"/>
        <v>76</v>
      </c>
      <c r="AC291" s="35">
        <f t="shared" si="299"/>
        <v>138</v>
      </c>
      <c r="AD291" s="35">
        <f t="shared" si="299"/>
        <v>74</v>
      </c>
      <c r="AE291" s="35">
        <f t="shared" si="299"/>
        <v>119</v>
      </c>
      <c r="AF291" s="35">
        <f t="shared" si="299"/>
        <v>103</v>
      </c>
      <c r="AG291" s="35">
        <f t="shared" si="299"/>
        <v>56</v>
      </c>
      <c r="AH291" s="35">
        <f t="shared" si="299"/>
        <v>101</v>
      </c>
      <c r="AI291" s="35">
        <f t="shared" si="299"/>
        <v>48</v>
      </c>
      <c r="AJ291" s="35">
        <f t="shared" si="299"/>
        <v>183</v>
      </c>
      <c r="AK291" s="35">
        <f t="shared" si="299"/>
        <v>93</v>
      </c>
      <c r="AL291" s="35">
        <f t="shared" si="299"/>
        <v>75</v>
      </c>
      <c r="AM291" s="35">
        <f t="shared" si="299"/>
        <v>66</v>
      </c>
      <c r="AN291" s="35">
        <f t="shared" si="299"/>
        <v>57</v>
      </c>
      <c r="AO291" s="35">
        <f t="shared" si="299"/>
        <v>83</v>
      </c>
      <c r="AP291" s="35">
        <f t="shared" si="299"/>
        <v>39</v>
      </c>
    </row>
    <row r="292" spans="1:42" ht="13">
      <c r="A292" s="36">
        <v>44211</v>
      </c>
      <c r="B292" s="35">
        <v>16034</v>
      </c>
      <c r="C292" s="35">
        <v>11918</v>
      </c>
      <c r="D292" s="35">
        <v>11780</v>
      </c>
      <c r="E292" s="35">
        <v>19515</v>
      </c>
      <c r="F292" s="35">
        <v>65375</v>
      </c>
      <c r="G292" s="35">
        <v>16029</v>
      </c>
      <c r="H292" s="35">
        <v>13158</v>
      </c>
      <c r="I292" s="35">
        <v>19806</v>
      </c>
      <c r="J292" s="35">
        <v>19870</v>
      </c>
      <c r="K292" s="35">
        <v>9759</v>
      </c>
      <c r="L292" s="35">
        <v>13362</v>
      </c>
      <c r="M292" s="35">
        <v>10819</v>
      </c>
      <c r="N292" s="35">
        <v>8537</v>
      </c>
      <c r="O292" s="35">
        <v>43434</v>
      </c>
      <c r="P292" s="35">
        <v>9805</v>
      </c>
      <c r="Q292" s="35">
        <v>17217</v>
      </c>
      <c r="R292" s="35">
        <v>7383</v>
      </c>
      <c r="S292" s="35">
        <v>11068</v>
      </c>
      <c r="T292" s="35">
        <v>14178</v>
      </c>
      <c r="U292" s="35">
        <v>10102</v>
      </c>
      <c r="V292" s="35">
        <v>349149</v>
      </c>
      <c r="W292" s="35">
        <f t="shared" ref="W292:AP292" si="300">B292-B291</f>
        <v>88</v>
      </c>
      <c r="X292" s="35">
        <f t="shared" si="300"/>
        <v>107</v>
      </c>
      <c r="Y292" s="35">
        <f t="shared" si="300"/>
        <v>32</v>
      </c>
      <c r="Z292" s="35">
        <f t="shared" si="300"/>
        <v>82</v>
      </c>
      <c r="AA292" s="35">
        <f t="shared" si="300"/>
        <v>169</v>
      </c>
      <c r="AB292" s="35">
        <f t="shared" si="300"/>
        <v>71</v>
      </c>
      <c r="AC292" s="35">
        <f t="shared" si="300"/>
        <v>80</v>
      </c>
      <c r="AD292" s="35">
        <f t="shared" si="300"/>
        <v>66</v>
      </c>
      <c r="AE292" s="35">
        <f t="shared" si="300"/>
        <v>70</v>
      </c>
      <c r="AF292" s="35">
        <f t="shared" si="300"/>
        <v>71</v>
      </c>
      <c r="AG292" s="35">
        <f t="shared" si="300"/>
        <v>56</v>
      </c>
      <c r="AH292" s="35">
        <f t="shared" si="300"/>
        <v>38</v>
      </c>
      <c r="AI292" s="35">
        <f t="shared" si="300"/>
        <v>35</v>
      </c>
      <c r="AJ292" s="35">
        <f t="shared" si="300"/>
        <v>136</v>
      </c>
      <c r="AK292" s="35">
        <f t="shared" si="300"/>
        <v>100</v>
      </c>
      <c r="AL292" s="35">
        <f t="shared" si="300"/>
        <v>79</v>
      </c>
      <c r="AM292" s="35">
        <f t="shared" si="300"/>
        <v>58</v>
      </c>
      <c r="AN292" s="35">
        <f t="shared" si="300"/>
        <v>35</v>
      </c>
      <c r="AO292" s="35">
        <f t="shared" si="300"/>
        <v>60</v>
      </c>
      <c r="AP292" s="35">
        <f t="shared" si="300"/>
        <v>80</v>
      </c>
    </row>
    <row r="293" spans="1:42" ht="13">
      <c r="A293" s="36">
        <v>44212</v>
      </c>
      <c r="B293" s="35">
        <v>16120</v>
      </c>
      <c r="C293" s="35">
        <v>11999</v>
      </c>
      <c r="D293" s="35">
        <v>11818</v>
      </c>
      <c r="E293" s="35">
        <v>19599</v>
      </c>
      <c r="F293" s="35">
        <v>65614</v>
      </c>
      <c r="G293" s="35">
        <v>16089</v>
      </c>
      <c r="H293" s="35">
        <v>13229</v>
      </c>
      <c r="I293" s="35">
        <v>19863</v>
      </c>
      <c r="J293" s="35">
        <v>19948</v>
      </c>
      <c r="K293" s="35">
        <v>9796</v>
      </c>
      <c r="L293" s="35">
        <v>13403</v>
      </c>
      <c r="M293" s="35">
        <v>10872</v>
      </c>
      <c r="N293" s="35">
        <v>8564</v>
      </c>
      <c r="O293" s="35">
        <v>43608</v>
      </c>
      <c r="P293" s="35">
        <v>9864</v>
      </c>
      <c r="Q293" s="35">
        <v>17288</v>
      </c>
      <c r="R293" s="35">
        <v>7431</v>
      </c>
      <c r="S293" s="35">
        <v>11096</v>
      </c>
      <c r="T293" s="35">
        <v>14227</v>
      </c>
      <c r="U293" s="35">
        <v>10159</v>
      </c>
      <c r="V293" s="35">
        <v>350587</v>
      </c>
      <c r="W293" s="35">
        <f t="shared" ref="W293:AP293" si="301">B293-B292</f>
        <v>86</v>
      </c>
      <c r="X293" s="35">
        <f t="shared" si="301"/>
        <v>81</v>
      </c>
      <c r="Y293" s="35">
        <f t="shared" si="301"/>
        <v>38</v>
      </c>
      <c r="Z293" s="35">
        <f t="shared" si="301"/>
        <v>84</v>
      </c>
      <c r="AA293" s="35">
        <f t="shared" si="301"/>
        <v>239</v>
      </c>
      <c r="AB293" s="35">
        <f t="shared" si="301"/>
        <v>60</v>
      </c>
      <c r="AC293" s="35">
        <f t="shared" si="301"/>
        <v>71</v>
      </c>
      <c r="AD293" s="35">
        <f t="shared" si="301"/>
        <v>57</v>
      </c>
      <c r="AE293" s="35">
        <f t="shared" si="301"/>
        <v>78</v>
      </c>
      <c r="AF293" s="35">
        <f t="shared" si="301"/>
        <v>37</v>
      </c>
      <c r="AG293" s="35">
        <f t="shared" si="301"/>
        <v>41</v>
      </c>
      <c r="AH293" s="35">
        <f t="shared" si="301"/>
        <v>53</v>
      </c>
      <c r="AI293" s="35">
        <f t="shared" si="301"/>
        <v>27</v>
      </c>
      <c r="AJ293" s="35">
        <f t="shared" si="301"/>
        <v>174</v>
      </c>
      <c r="AK293" s="35">
        <f t="shared" si="301"/>
        <v>59</v>
      </c>
      <c r="AL293" s="35">
        <f t="shared" si="301"/>
        <v>71</v>
      </c>
      <c r="AM293" s="35">
        <f t="shared" si="301"/>
        <v>48</v>
      </c>
      <c r="AN293" s="35">
        <f t="shared" si="301"/>
        <v>28</v>
      </c>
      <c r="AO293" s="35">
        <f t="shared" si="301"/>
        <v>49</v>
      </c>
      <c r="AP293" s="35">
        <f t="shared" si="301"/>
        <v>57</v>
      </c>
    </row>
    <row r="294" spans="1:42" ht="13">
      <c r="A294" s="36">
        <v>44213</v>
      </c>
      <c r="B294" s="35">
        <v>16162</v>
      </c>
      <c r="C294" s="35">
        <v>12076</v>
      </c>
      <c r="D294" s="35">
        <v>11854</v>
      </c>
      <c r="E294" s="35">
        <v>19675</v>
      </c>
      <c r="F294" s="35">
        <v>65791</v>
      </c>
      <c r="G294" s="35">
        <v>16153</v>
      </c>
      <c r="H294" s="35">
        <v>13327</v>
      </c>
      <c r="I294" s="35">
        <v>19900</v>
      </c>
      <c r="J294" s="35">
        <v>19992</v>
      </c>
      <c r="K294" s="35">
        <v>9834</v>
      </c>
      <c r="L294" s="35">
        <v>13458</v>
      </c>
      <c r="M294" s="35">
        <v>10910</v>
      </c>
      <c r="N294" s="35">
        <v>8590</v>
      </c>
      <c r="O294" s="35">
        <v>43802</v>
      </c>
      <c r="P294" s="35">
        <v>9896</v>
      </c>
      <c r="Q294" s="35">
        <v>17325</v>
      </c>
      <c r="R294" s="35">
        <v>7500</v>
      </c>
      <c r="S294" s="35">
        <v>11128</v>
      </c>
      <c r="T294" s="35">
        <v>14264</v>
      </c>
      <c r="U294" s="35">
        <v>10191</v>
      </c>
      <c r="V294" s="35">
        <v>351828</v>
      </c>
      <c r="W294" s="35">
        <f t="shared" ref="W294:AP294" si="302">B294-B293</f>
        <v>42</v>
      </c>
      <c r="X294" s="35">
        <f t="shared" si="302"/>
        <v>77</v>
      </c>
      <c r="Y294" s="35">
        <f t="shared" si="302"/>
        <v>36</v>
      </c>
      <c r="Z294" s="35">
        <f t="shared" si="302"/>
        <v>76</v>
      </c>
      <c r="AA294" s="35">
        <f t="shared" si="302"/>
        <v>177</v>
      </c>
      <c r="AB294" s="35">
        <f t="shared" si="302"/>
        <v>64</v>
      </c>
      <c r="AC294" s="35">
        <f t="shared" si="302"/>
        <v>98</v>
      </c>
      <c r="AD294" s="35">
        <f t="shared" si="302"/>
        <v>37</v>
      </c>
      <c r="AE294" s="35">
        <f t="shared" si="302"/>
        <v>44</v>
      </c>
      <c r="AF294" s="35">
        <f t="shared" si="302"/>
        <v>38</v>
      </c>
      <c r="AG294" s="35">
        <f t="shared" si="302"/>
        <v>55</v>
      </c>
      <c r="AH294" s="35">
        <f t="shared" si="302"/>
        <v>38</v>
      </c>
      <c r="AI294" s="35">
        <f t="shared" si="302"/>
        <v>26</v>
      </c>
      <c r="AJ294" s="35">
        <f t="shared" si="302"/>
        <v>194</v>
      </c>
      <c r="AK294" s="35">
        <f t="shared" si="302"/>
        <v>32</v>
      </c>
      <c r="AL294" s="35">
        <f t="shared" si="302"/>
        <v>37</v>
      </c>
      <c r="AM294" s="35">
        <f t="shared" si="302"/>
        <v>69</v>
      </c>
      <c r="AN294" s="35">
        <f t="shared" si="302"/>
        <v>32</v>
      </c>
      <c r="AO294" s="35">
        <f t="shared" si="302"/>
        <v>37</v>
      </c>
      <c r="AP294" s="35">
        <f t="shared" si="302"/>
        <v>32</v>
      </c>
    </row>
    <row r="295" spans="1:42" ht="13">
      <c r="A295" s="36">
        <v>44214</v>
      </c>
      <c r="B295" s="35">
        <v>16201</v>
      </c>
      <c r="C295" s="35">
        <v>12118</v>
      </c>
      <c r="D295" s="35">
        <v>11883</v>
      </c>
      <c r="E295" s="35">
        <v>19722</v>
      </c>
      <c r="F295" s="35">
        <v>65923</v>
      </c>
      <c r="G295" s="35">
        <v>16175</v>
      </c>
      <c r="H295" s="35">
        <v>13377</v>
      </c>
      <c r="I295" s="35">
        <v>19980</v>
      </c>
      <c r="J295" s="35">
        <v>20028</v>
      </c>
      <c r="K295" s="35">
        <v>9848</v>
      </c>
      <c r="L295" s="35">
        <v>13492</v>
      </c>
      <c r="M295" s="35">
        <v>10948</v>
      </c>
      <c r="N295" s="35">
        <v>8603</v>
      </c>
      <c r="O295" s="35">
        <v>43912</v>
      </c>
      <c r="P295" s="35">
        <v>9933</v>
      </c>
      <c r="Q295" s="35">
        <v>17352</v>
      </c>
      <c r="R295" s="35">
        <v>7526</v>
      </c>
      <c r="S295" s="35">
        <v>11141</v>
      </c>
      <c r="T295" s="35">
        <v>14319</v>
      </c>
      <c r="U295" s="35">
        <v>10222</v>
      </c>
      <c r="V295" s="35">
        <v>352703</v>
      </c>
      <c r="W295" s="35">
        <f t="shared" ref="W295:AP295" si="303">B295-B294</f>
        <v>39</v>
      </c>
      <c r="X295" s="35">
        <f t="shared" si="303"/>
        <v>42</v>
      </c>
      <c r="Y295" s="35">
        <f t="shared" si="303"/>
        <v>29</v>
      </c>
      <c r="Z295" s="35">
        <f t="shared" si="303"/>
        <v>47</v>
      </c>
      <c r="AA295" s="35">
        <f t="shared" si="303"/>
        <v>132</v>
      </c>
      <c r="AB295" s="35">
        <f t="shared" si="303"/>
        <v>22</v>
      </c>
      <c r="AC295" s="35">
        <f t="shared" si="303"/>
        <v>50</v>
      </c>
      <c r="AD295" s="35">
        <f t="shared" si="303"/>
        <v>80</v>
      </c>
      <c r="AE295" s="35">
        <f t="shared" si="303"/>
        <v>36</v>
      </c>
      <c r="AF295" s="35">
        <f t="shared" si="303"/>
        <v>14</v>
      </c>
      <c r="AG295" s="35">
        <f t="shared" si="303"/>
        <v>34</v>
      </c>
      <c r="AH295" s="35">
        <f t="shared" si="303"/>
        <v>38</v>
      </c>
      <c r="AI295" s="35">
        <f t="shared" si="303"/>
        <v>13</v>
      </c>
      <c r="AJ295" s="35">
        <f t="shared" si="303"/>
        <v>110</v>
      </c>
      <c r="AK295" s="35">
        <f t="shared" si="303"/>
        <v>37</v>
      </c>
      <c r="AL295" s="35">
        <f t="shared" si="303"/>
        <v>27</v>
      </c>
      <c r="AM295" s="35">
        <f t="shared" si="303"/>
        <v>26</v>
      </c>
      <c r="AN295" s="35">
        <f t="shared" si="303"/>
        <v>13</v>
      </c>
      <c r="AO295" s="35">
        <f t="shared" si="303"/>
        <v>55</v>
      </c>
      <c r="AP295" s="35">
        <f t="shared" si="303"/>
        <v>31</v>
      </c>
    </row>
    <row r="296" spans="1:42" ht="13">
      <c r="A296" s="36">
        <v>44215</v>
      </c>
      <c r="B296" s="35">
        <v>16232</v>
      </c>
      <c r="C296" s="35">
        <v>12151</v>
      </c>
      <c r="D296" s="35">
        <v>11904</v>
      </c>
      <c r="E296" s="35">
        <v>19744</v>
      </c>
      <c r="F296" s="35">
        <v>65993</v>
      </c>
      <c r="G296" s="35">
        <v>16192</v>
      </c>
      <c r="H296" s="35">
        <v>13401</v>
      </c>
      <c r="I296" s="35">
        <v>19988</v>
      </c>
      <c r="J296" s="35">
        <v>20056</v>
      </c>
      <c r="K296" s="35">
        <v>9868</v>
      </c>
      <c r="L296" s="35">
        <v>13515</v>
      </c>
      <c r="M296" s="35">
        <v>10975</v>
      </c>
      <c r="N296" s="35">
        <v>8612</v>
      </c>
      <c r="O296" s="35">
        <v>43966</v>
      </c>
      <c r="P296" s="35">
        <v>9959</v>
      </c>
      <c r="Q296" s="35">
        <v>17409</v>
      </c>
      <c r="R296" s="35">
        <v>7550</v>
      </c>
      <c r="S296" s="35">
        <v>11164</v>
      </c>
      <c r="T296" s="35">
        <v>14346</v>
      </c>
      <c r="U296" s="35">
        <v>10251</v>
      </c>
      <c r="V296" s="35">
        <v>353276</v>
      </c>
      <c r="W296" s="35">
        <f t="shared" ref="W296:AP296" si="304">B296-B295</f>
        <v>31</v>
      </c>
      <c r="X296" s="35">
        <f t="shared" si="304"/>
        <v>33</v>
      </c>
      <c r="Y296" s="35">
        <f t="shared" si="304"/>
        <v>21</v>
      </c>
      <c r="Z296" s="35">
        <f t="shared" si="304"/>
        <v>22</v>
      </c>
      <c r="AA296" s="35">
        <f t="shared" si="304"/>
        <v>70</v>
      </c>
      <c r="AB296" s="35">
        <f t="shared" si="304"/>
        <v>17</v>
      </c>
      <c r="AC296" s="35">
        <f t="shared" si="304"/>
        <v>24</v>
      </c>
      <c r="AD296" s="35">
        <f t="shared" si="304"/>
        <v>8</v>
      </c>
      <c r="AE296" s="35">
        <f t="shared" si="304"/>
        <v>28</v>
      </c>
      <c r="AF296" s="35">
        <f t="shared" si="304"/>
        <v>20</v>
      </c>
      <c r="AG296" s="35">
        <f t="shared" si="304"/>
        <v>23</v>
      </c>
      <c r="AH296" s="35">
        <f t="shared" si="304"/>
        <v>27</v>
      </c>
      <c r="AI296" s="35">
        <f t="shared" si="304"/>
        <v>9</v>
      </c>
      <c r="AJ296" s="35">
        <f t="shared" si="304"/>
        <v>54</v>
      </c>
      <c r="AK296" s="35">
        <f t="shared" si="304"/>
        <v>26</v>
      </c>
      <c r="AL296" s="35">
        <f t="shared" si="304"/>
        <v>57</v>
      </c>
      <c r="AM296" s="35">
        <f t="shared" si="304"/>
        <v>24</v>
      </c>
      <c r="AN296" s="35">
        <f t="shared" si="304"/>
        <v>23</v>
      </c>
      <c r="AO296" s="35">
        <f t="shared" si="304"/>
        <v>27</v>
      </c>
      <c r="AP296" s="35">
        <f t="shared" si="304"/>
        <v>29</v>
      </c>
    </row>
    <row r="297" spans="1:42" ht="13">
      <c r="A297" s="36">
        <v>44216</v>
      </c>
      <c r="B297" s="35">
        <v>16284</v>
      </c>
      <c r="C297" s="35">
        <v>12220</v>
      </c>
      <c r="D297" s="35">
        <v>11959</v>
      </c>
      <c r="E297" s="35">
        <v>19803</v>
      </c>
      <c r="F297" s="35">
        <v>66138</v>
      </c>
      <c r="G297" s="35">
        <v>16227</v>
      </c>
      <c r="H297" s="35">
        <v>13457</v>
      </c>
      <c r="I297" s="35">
        <v>20006</v>
      </c>
      <c r="J297" s="35">
        <v>20100</v>
      </c>
      <c r="K297" s="35">
        <v>9900</v>
      </c>
      <c r="L297" s="35">
        <v>13544</v>
      </c>
      <c r="M297" s="35">
        <v>11005</v>
      </c>
      <c r="N297" s="35">
        <v>8643</v>
      </c>
      <c r="O297" s="35">
        <v>44065</v>
      </c>
      <c r="P297" s="35">
        <v>10010</v>
      </c>
      <c r="Q297" s="35">
        <v>17444</v>
      </c>
      <c r="R297" s="35">
        <v>7569</v>
      </c>
      <c r="S297" s="35">
        <v>11196</v>
      </c>
      <c r="T297" s="35">
        <v>14408</v>
      </c>
      <c r="U297" s="35">
        <v>10274</v>
      </c>
      <c r="V297" s="35">
        <v>354252</v>
      </c>
      <c r="W297" s="35">
        <f t="shared" ref="W297:AP297" si="305">B297-B296</f>
        <v>52</v>
      </c>
      <c r="X297" s="35">
        <f t="shared" si="305"/>
        <v>69</v>
      </c>
      <c r="Y297" s="35">
        <f t="shared" si="305"/>
        <v>55</v>
      </c>
      <c r="Z297" s="35">
        <f t="shared" si="305"/>
        <v>59</v>
      </c>
      <c r="AA297" s="35">
        <f t="shared" si="305"/>
        <v>145</v>
      </c>
      <c r="AB297" s="35">
        <f t="shared" si="305"/>
        <v>35</v>
      </c>
      <c r="AC297" s="35">
        <f t="shared" si="305"/>
        <v>56</v>
      </c>
      <c r="AD297" s="35">
        <f t="shared" si="305"/>
        <v>18</v>
      </c>
      <c r="AE297" s="35">
        <f t="shared" si="305"/>
        <v>44</v>
      </c>
      <c r="AF297" s="35">
        <f t="shared" si="305"/>
        <v>32</v>
      </c>
      <c r="AG297" s="35">
        <f t="shared" si="305"/>
        <v>29</v>
      </c>
      <c r="AH297" s="35">
        <f t="shared" si="305"/>
        <v>30</v>
      </c>
      <c r="AI297" s="35">
        <f t="shared" si="305"/>
        <v>31</v>
      </c>
      <c r="AJ297" s="35">
        <f t="shared" si="305"/>
        <v>99</v>
      </c>
      <c r="AK297" s="35">
        <f t="shared" si="305"/>
        <v>51</v>
      </c>
      <c r="AL297" s="35">
        <f t="shared" si="305"/>
        <v>35</v>
      </c>
      <c r="AM297" s="35">
        <f t="shared" si="305"/>
        <v>19</v>
      </c>
      <c r="AN297" s="35">
        <f t="shared" si="305"/>
        <v>32</v>
      </c>
      <c r="AO297" s="35">
        <f t="shared" si="305"/>
        <v>62</v>
      </c>
      <c r="AP297" s="35">
        <f t="shared" si="305"/>
        <v>23</v>
      </c>
    </row>
    <row r="298" spans="1:42" ht="13">
      <c r="A298" s="36">
        <v>44217</v>
      </c>
      <c r="B298" s="35">
        <v>16342</v>
      </c>
      <c r="C298" s="35">
        <v>12319</v>
      </c>
      <c r="D298" s="35">
        <v>11990</v>
      </c>
      <c r="E298" s="35">
        <v>19855</v>
      </c>
      <c r="F298" s="35">
        <v>66347</v>
      </c>
      <c r="G298" s="35">
        <v>16281</v>
      </c>
      <c r="H298" s="35">
        <v>13574</v>
      </c>
      <c r="I298" s="35">
        <v>20067</v>
      </c>
      <c r="J298" s="35">
        <v>20161</v>
      </c>
      <c r="K298" s="35">
        <v>9956</v>
      </c>
      <c r="L298" s="35">
        <v>13591</v>
      </c>
      <c r="M298" s="35">
        <v>11048</v>
      </c>
      <c r="N298" s="35">
        <v>8680</v>
      </c>
      <c r="O298" s="35">
        <v>44218</v>
      </c>
      <c r="P298" s="35">
        <v>10077</v>
      </c>
      <c r="Q298" s="35">
        <v>17513</v>
      </c>
      <c r="R298" s="35">
        <v>7614</v>
      </c>
      <c r="S298" s="35">
        <v>11238</v>
      </c>
      <c r="T298" s="35">
        <v>14475</v>
      </c>
      <c r="U298" s="35">
        <v>10316</v>
      </c>
      <c r="V298" s="35">
        <v>355662</v>
      </c>
      <c r="W298" s="35">
        <f t="shared" ref="W298:AP298" si="306">B298-B297</f>
        <v>58</v>
      </c>
      <c r="X298" s="35">
        <f t="shared" si="306"/>
        <v>99</v>
      </c>
      <c r="Y298" s="35">
        <f t="shared" si="306"/>
        <v>31</v>
      </c>
      <c r="Z298" s="35">
        <f t="shared" si="306"/>
        <v>52</v>
      </c>
      <c r="AA298" s="35">
        <f t="shared" si="306"/>
        <v>209</v>
      </c>
      <c r="AB298" s="35">
        <f t="shared" si="306"/>
        <v>54</v>
      </c>
      <c r="AC298" s="35">
        <f t="shared" si="306"/>
        <v>117</v>
      </c>
      <c r="AD298" s="35">
        <f t="shared" si="306"/>
        <v>61</v>
      </c>
      <c r="AE298" s="35">
        <f t="shared" si="306"/>
        <v>61</v>
      </c>
      <c r="AF298" s="35">
        <f t="shared" si="306"/>
        <v>56</v>
      </c>
      <c r="AG298" s="35">
        <f t="shared" si="306"/>
        <v>47</v>
      </c>
      <c r="AH298" s="35">
        <f t="shared" si="306"/>
        <v>43</v>
      </c>
      <c r="AI298" s="35">
        <f t="shared" si="306"/>
        <v>37</v>
      </c>
      <c r="AJ298" s="35">
        <f t="shared" si="306"/>
        <v>153</v>
      </c>
      <c r="AK298" s="35">
        <f t="shared" si="306"/>
        <v>67</v>
      </c>
      <c r="AL298" s="35">
        <f t="shared" si="306"/>
        <v>69</v>
      </c>
      <c r="AM298" s="35">
        <f t="shared" si="306"/>
        <v>45</v>
      </c>
      <c r="AN298" s="35">
        <f t="shared" si="306"/>
        <v>42</v>
      </c>
      <c r="AO298" s="35">
        <f t="shared" si="306"/>
        <v>67</v>
      </c>
      <c r="AP298" s="35">
        <f t="shared" si="306"/>
        <v>42</v>
      </c>
    </row>
    <row r="299" spans="1:42" ht="13">
      <c r="A299" s="36">
        <v>44218</v>
      </c>
      <c r="B299" s="35">
        <v>16404</v>
      </c>
      <c r="C299" s="35">
        <v>12404</v>
      </c>
      <c r="D299" s="35">
        <v>12041</v>
      </c>
      <c r="E299" s="35">
        <v>19916</v>
      </c>
      <c r="F299" s="35">
        <v>66525</v>
      </c>
      <c r="G299" s="35">
        <v>16343</v>
      </c>
      <c r="H299" s="35">
        <v>13643</v>
      </c>
      <c r="I299" s="35">
        <v>20133</v>
      </c>
      <c r="J299" s="35">
        <v>20205</v>
      </c>
      <c r="K299" s="35">
        <v>9996</v>
      </c>
      <c r="L299" s="35">
        <v>13631</v>
      </c>
      <c r="M299" s="35">
        <v>11099</v>
      </c>
      <c r="N299" s="35">
        <v>8720</v>
      </c>
      <c r="O299" s="35">
        <v>44361</v>
      </c>
      <c r="P299" s="35">
        <v>10124</v>
      </c>
      <c r="Q299" s="35">
        <v>17580</v>
      </c>
      <c r="R299" s="35">
        <v>7661</v>
      </c>
      <c r="S299" s="35">
        <v>11270</v>
      </c>
      <c r="T299" s="35">
        <v>14535</v>
      </c>
      <c r="U299" s="35">
        <v>10382</v>
      </c>
      <c r="V299" s="35">
        <v>356973</v>
      </c>
      <c r="W299" s="35">
        <f t="shared" ref="W299:AP299" si="307">B299-B298</f>
        <v>62</v>
      </c>
      <c r="X299" s="35">
        <f t="shared" si="307"/>
        <v>85</v>
      </c>
      <c r="Y299" s="35">
        <f t="shared" si="307"/>
        <v>51</v>
      </c>
      <c r="Z299" s="35">
        <f t="shared" si="307"/>
        <v>61</v>
      </c>
      <c r="AA299" s="35">
        <f t="shared" si="307"/>
        <v>178</v>
      </c>
      <c r="AB299" s="35">
        <f t="shared" si="307"/>
        <v>62</v>
      </c>
      <c r="AC299" s="35">
        <f t="shared" si="307"/>
        <v>69</v>
      </c>
      <c r="AD299" s="35">
        <f t="shared" si="307"/>
        <v>66</v>
      </c>
      <c r="AE299" s="35">
        <f t="shared" si="307"/>
        <v>44</v>
      </c>
      <c r="AF299" s="35">
        <f t="shared" si="307"/>
        <v>40</v>
      </c>
      <c r="AG299" s="35">
        <f t="shared" si="307"/>
        <v>40</v>
      </c>
      <c r="AH299" s="35">
        <f t="shared" si="307"/>
        <v>51</v>
      </c>
      <c r="AI299" s="35">
        <f t="shared" si="307"/>
        <v>40</v>
      </c>
      <c r="AJ299" s="35">
        <f t="shared" si="307"/>
        <v>143</v>
      </c>
      <c r="AK299" s="35">
        <f t="shared" si="307"/>
        <v>47</v>
      </c>
      <c r="AL299" s="35">
        <f t="shared" si="307"/>
        <v>67</v>
      </c>
      <c r="AM299" s="35">
        <f t="shared" si="307"/>
        <v>47</v>
      </c>
      <c r="AN299" s="35">
        <f t="shared" si="307"/>
        <v>32</v>
      </c>
      <c r="AO299" s="35">
        <f t="shared" si="307"/>
        <v>60</v>
      </c>
      <c r="AP299" s="35">
        <f t="shared" si="307"/>
        <v>66</v>
      </c>
    </row>
    <row r="300" spans="1:42" ht="13">
      <c r="A300" s="36">
        <v>44219</v>
      </c>
      <c r="B300" s="35">
        <v>16474</v>
      </c>
      <c r="C300" s="35">
        <v>12470</v>
      </c>
      <c r="D300" s="35">
        <v>12065</v>
      </c>
      <c r="E300" s="35">
        <v>19971</v>
      </c>
      <c r="F300" s="35">
        <v>66711</v>
      </c>
      <c r="G300" s="35">
        <v>16413</v>
      </c>
      <c r="H300" s="35">
        <v>13751</v>
      </c>
      <c r="I300" s="35">
        <v>20180</v>
      </c>
      <c r="J300" s="35">
        <v>20253</v>
      </c>
      <c r="K300" s="35">
        <v>10034</v>
      </c>
      <c r="L300" s="35">
        <v>13679</v>
      </c>
      <c r="M300" s="35">
        <v>11161</v>
      </c>
      <c r="N300" s="35">
        <v>8760</v>
      </c>
      <c r="O300" s="35">
        <v>44537</v>
      </c>
      <c r="P300" s="35">
        <v>10179</v>
      </c>
      <c r="Q300" s="35">
        <v>17634</v>
      </c>
      <c r="R300" s="35">
        <v>7709</v>
      </c>
      <c r="S300" s="35">
        <v>11322</v>
      </c>
      <c r="T300" s="35">
        <v>14587</v>
      </c>
      <c r="U300" s="35">
        <v>10427</v>
      </c>
      <c r="V300" s="35">
        <v>358317</v>
      </c>
      <c r="W300" s="35">
        <f t="shared" ref="W300:AP300" si="308">B300-B299</f>
        <v>70</v>
      </c>
      <c r="X300" s="35">
        <f t="shared" si="308"/>
        <v>66</v>
      </c>
      <c r="Y300" s="35">
        <f t="shared" si="308"/>
        <v>24</v>
      </c>
      <c r="Z300" s="35">
        <f t="shared" si="308"/>
        <v>55</v>
      </c>
      <c r="AA300" s="35">
        <f t="shared" si="308"/>
        <v>186</v>
      </c>
      <c r="AB300" s="35">
        <f t="shared" si="308"/>
        <v>70</v>
      </c>
      <c r="AC300" s="35">
        <f t="shared" si="308"/>
        <v>108</v>
      </c>
      <c r="AD300" s="35">
        <f t="shared" si="308"/>
        <v>47</v>
      </c>
      <c r="AE300" s="35">
        <f t="shared" si="308"/>
        <v>48</v>
      </c>
      <c r="AF300" s="35">
        <f t="shared" si="308"/>
        <v>38</v>
      </c>
      <c r="AG300" s="35">
        <f t="shared" si="308"/>
        <v>48</v>
      </c>
      <c r="AH300" s="35">
        <f t="shared" si="308"/>
        <v>62</v>
      </c>
      <c r="AI300" s="35">
        <f t="shared" si="308"/>
        <v>40</v>
      </c>
      <c r="AJ300" s="35">
        <f t="shared" si="308"/>
        <v>176</v>
      </c>
      <c r="AK300" s="35">
        <f t="shared" si="308"/>
        <v>55</v>
      </c>
      <c r="AL300" s="35">
        <f t="shared" si="308"/>
        <v>54</v>
      </c>
      <c r="AM300" s="35">
        <f t="shared" si="308"/>
        <v>48</v>
      </c>
      <c r="AN300" s="35">
        <f t="shared" si="308"/>
        <v>52</v>
      </c>
      <c r="AO300" s="35">
        <f t="shared" si="308"/>
        <v>52</v>
      </c>
      <c r="AP300" s="35">
        <f t="shared" si="308"/>
        <v>45</v>
      </c>
    </row>
    <row r="301" spans="1:42" ht="13">
      <c r="A301" s="36">
        <v>44220</v>
      </c>
      <c r="B301" s="35">
        <v>16534</v>
      </c>
      <c r="C301" s="35">
        <v>12559</v>
      </c>
      <c r="D301" s="35">
        <v>12085</v>
      </c>
      <c r="E301" s="35">
        <v>20091</v>
      </c>
      <c r="F301" s="35">
        <v>66917</v>
      </c>
      <c r="G301" s="35">
        <v>16468</v>
      </c>
      <c r="H301" s="35">
        <v>13812</v>
      </c>
      <c r="I301" s="35">
        <v>20218</v>
      </c>
      <c r="J301" s="35">
        <v>20344</v>
      </c>
      <c r="K301" s="35">
        <v>10064</v>
      </c>
      <c r="L301" s="35">
        <v>13706</v>
      </c>
      <c r="M301" s="35">
        <v>11193</v>
      </c>
      <c r="N301" s="35">
        <v>8789</v>
      </c>
      <c r="O301" s="35">
        <v>44693</v>
      </c>
      <c r="P301" s="35">
        <v>10233</v>
      </c>
      <c r="Q301" s="35">
        <v>17678</v>
      </c>
      <c r="R301" s="35">
        <v>7747</v>
      </c>
      <c r="S301" s="35">
        <v>11347</v>
      </c>
      <c r="T301" s="35">
        <v>14635</v>
      </c>
      <c r="U301" s="35">
        <v>10461</v>
      </c>
      <c r="V301" s="35">
        <f t="shared" ref="V301:V439" si="309">SUM(B301:U301)</f>
        <v>359574</v>
      </c>
      <c r="W301" s="35">
        <f t="shared" ref="W301:AP301" si="310">B301-B300</f>
        <v>60</v>
      </c>
      <c r="X301" s="35">
        <f t="shared" si="310"/>
        <v>89</v>
      </c>
      <c r="Y301" s="35">
        <f t="shared" si="310"/>
        <v>20</v>
      </c>
      <c r="Z301" s="35">
        <f t="shared" si="310"/>
        <v>120</v>
      </c>
      <c r="AA301" s="35">
        <f t="shared" si="310"/>
        <v>206</v>
      </c>
      <c r="AB301" s="35">
        <f t="shared" si="310"/>
        <v>55</v>
      </c>
      <c r="AC301" s="35">
        <f t="shared" si="310"/>
        <v>61</v>
      </c>
      <c r="AD301" s="35">
        <f t="shared" si="310"/>
        <v>38</v>
      </c>
      <c r="AE301" s="35">
        <f t="shared" si="310"/>
        <v>91</v>
      </c>
      <c r="AF301" s="35">
        <f t="shared" si="310"/>
        <v>30</v>
      </c>
      <c r="AG301" s="35">
        <f t="shared" si="310"/>
        <v>27</v>
      </c>
      <c r="AH301" s="35">
        <f t="shared" si="310"/>
        <v>32</v>
      </c>
      <c r="AI301" s="35">
        <f t="shared" si="310"/>
        <v>29</v>
      </c>
      <c r="AJ301" s="35">
        <f t="shared" si="310"/>
        <v>156</v>
      </c>
      <c r="AK301" s="35">
        <f t="shared" si="310"/>
        <v>54</v>
      </c>
      <c r="AL301" s="35">
        <f t="shared" si="310"/>
        <v>44</v>
      </c>
      <c r="AM301" s="35">
        <f t="shared" si="310"/>
        <v>38</v>
      </c>
      <c r="AN301" s="35">
        <f t="shared" si="310"/>
        <v>25</v>
      </c>
      <c r="AO301" s="35">
        <f t="shared" si="310"/>
        <v>48</v>
      </c>
      <c r="AP301" s="35">
        <f t="shared" si="310"/>
        <v>34</v>
      </c>
    </row>
    <row r="302" spans="1:42" ht="13">
      <c r="A302" s="36">
        <v>44221</v>
      </c>
      <c r="B302" s="35">
        <v>16584</v>
      </c>
      <c r="C302" s="35">
        <v>12609</v>
      </c>
      <c r="D302" s="35">
        <v>12108</v>
      </c>
      <c r="E302" s="35">
        <v>20125</v>
      </c>
      <c r="F302" s="35">
        <v>67068</v>
      </c>
      <c r="G302" s="35">
        <v>16501</v>
      </c>
      <c r="H302" s="35">
        <v>13845</v>
      </c>
      <c r="I302" s="35">
        <v>20246</v>
      </c>
      <c r="J302" s="35">
        <v>20389</v>
      </c>
      <c r="K302" s="35">
        <v>10075</v>
      </c>
      <c r="L302" s="35">
        <v>13734</v>
      </c>
      <c r="M302" s="35">
        <v>11235</v>
      </c>
      <c r="N302" s="35">
        <v>8805</v>
      </c>
      <c r="O302" s="35">
        <v>44819</v>
      </c>
      <c r="P302" s="35">
        <v>10257</v>
      </c>
      <c r="Q302" s="35">
        <v>17723</v>
      </c>
      <c r="R302" s="35">
        <v>7777</v>
      </c>
      <c r="S302" s="35">
        <v>11360</v>
      </c>
      <c r="T302" s="35">
        <v>14673</v>
      </c>
      <c r="U302" s="35">
        <v>10485</v>
      </c>
      <c r="V302" s="35">
        <f t="shared" si="309"/>
        <v>360418</v>
      </c>
      <c r="W302" s="35">
        <f t="shared" ref="W302:AP302" si="311">B302-B301</f>
        <v>50</v>
      </c>
      <c r="X302" s="35">
        <f t="shared" si="311"/>
        <v>50</v>
      </c>
      <c r="Y302" s="35">
        <f t="shared" si="311"/>
        <v>23</v>
      </c>
      <c r="Z302" s="35">
        <f t="shared" si="311"/>
        <v>34</v>
      </c>
      <c r="AA302" s="35">
        <f t="shared" si="311"/>
        <v>151</v>
      </c>
      <c r="AB302" s="35">
        <f t="shared" si="311"/>
        <v>33</v>
      </c>
      <c r="AC302" s="35">
        <f t="shared" si="311"/>
        <v>33</v>
      </c>
      <c r="AD302" s="35">
        <f t="shared" si="311"/>
        <v>28</v>
      </c>
      <c r="AE302" s="35">
        <f t="shared" si="311"/>
        <v>45</v>
      </c>
      <c r="AF302" s="35">
        <f t="shared" si="311"/>
        <v>11</v>
      </c>
      <c r="AG302" s="35">
        <f t="shared" si="311"/>
        <v>28</v>
      </c>
      <c r="AH302" s="35">
        <f t="shared" si="311"/>
        <v>42</v>
      </c>
      <c r="AI302" s="35">
        <f t="shared" si="311"/>
        <v>16</v>
      </c>
      <c r="AJ302" s="35">
        <f t="shared" si="311"/>
        <v>126</v>
      </c>
      <c r="AK302" s="35">
        <f t="shared" si="311"/>
        <v>24</v>
      </c>
      <c r="AL302" s="35">
        <f t="shared" si="311"/>
        <v>45</v>
      </c>
      <c r="AM302" s="35">
        <f t="shared" si="311"/>
        <v>30</v>
      </c>
      <c r="AN302" s="35">
        <f t="shared" si="311"/>
        <v>13</v>
      </c>
      <c r="AO302" s="35">
        <f t="shared" si="311"/>
        <v>38</v>
      </c>
      <c r="AP302" s="35">
        <f t="shared" si="311"/>
        <v>24</v>
      </c>
    </row>
    <row r="303" spans="1:42" ht="13">
      <c r="A303" s="36">
        <v>44222</v>
      </c>
      <c r="B303" s="35">
        <v>16614</v>
      </c>
      <c r="C303" s="35">
        <v>12637</v>
      </c>
      <c r="D303" s="35">
        <v>12128</v>
      </c>
      <c r="E303" s="35">
        <v>20139</v>
      </c>
      <c r="F303" s="35">
        <v>67138</v>
      </c>
      <c r="G303" s="35">
        <v>16529</v>
      </c>
      <c r="H303" s="35">
        <v>13872</v>
      </c>
      <c r="I303" s="35">
        <v>20254</v>
      </c>
      <c r="J303" s="35">
        <v>20405</v>
      </c>
      <c r="K303" s="35">
        <v>10080</v>
      </c>
      <c r="L303" s="35">
        <v>13751</v>
      </c>
      <c r="M303" s="35">
        <v>11251</v>
      </c>
      <c r="N303" s="35">
        <v>8812</v>
      </c>
      <c r="O303" s="35">
        <v>44871</v>
      </c>
      <c r="P303" s="35">
        <v>10278</v>
      </c>
      <c r="Q303" s="35">
        <v>17753</v>
      </c>
      <c r="R303" s="35">
        <v>7789</v>
      </c>
      <c r="S303" s="35">
        <v>11379</v>
      </c>
      <c r="T303" s="35">
        <v>14691</v>
      </c>
      <c r="U303" s="35">
        <v>10506</v>
      </c>
      <c r="V303" s="35">
        <f t="shared" si="309"/>
        <v>360877</v>
      </c>
      <c r="W303" s="35">
        <f t="shared" ref="W303:AP303" si="312">B303-B302</f>
        <v>30</v>
      </c>
      <c r="X303" s="35">
        <f t="shared" si="312"/>
        <v>28</v>
      </c>
      <c r="Y303" s="35">
        <f t="shared" si="312"/>
        <v>20</v>
      </c>
      <c r="Z303" s="35">
        <f t="shared" si="312"/>
        <v>14</v>
      </c>
      <c r="AA303" s="35">
        <f t="shared" si="312"/>
        <v>70</v>
      </c>
      <c r="AB303" s="35">
        <f t="shared" si="312"/>
        <v>28</v>
      </c>
      <c r="AC303" s="35">
        <f t="shared" si="312"/>
        <v>27</v>
      </c>
      <c r="AD303" s="35">
        <f t="shared" si="312"/>
        <v>8</v>
      </c>
      <c r="AE303" s="35">
        <f t="shared" si="312"/>
        <v>16</v>
      </c>
      <c r="AF303" s="35">
        <f t="shared" si="312"/>
        <v>5</v>
      </c>
      <c r="AG303" s="35">
        <f t="shared" si="312"/>
        <v>17</v>
      </c>
      <c r="AH303" s="35">
        <f t="shared" si="312"/>
        <v>16</v>
      </c>
      <c r="AI303" s="35">
        <f t="shared" si="312"/>
        <v>7</v>
      </c>
      <c r="AJ303" s="35">
        <f t="shared" si="312"/>
        <v>52</v>
      </c>
      <c r="AK303" s="35">
        <f t="shared" si="312"/>
        <v>21</v>
      </c>
      <c r="AL303" s="35">
        <f t="shared" si="312"/>
        <v>30</v>
      </c>
      <c r="AM303" s="35">
        <f t="shared" si="312"/>
        <v>12</v>
      </c>
      <c r="AN303" s="35">
        <f t="shared" si="312"/>
        <v>19</v>
      </c>
      <c r="AO303" s="35">
        <f t="shared" si="312"/>
        <v>18</v>
      </c>
      <c r="AP303" s="35">
        <f t="shared" si="312"/>
        <v>21</v>
      </c>
    </row>
    <row r="304" spans="1:42" ht="13">
      <c r="A304" s="36">
        <v>44223</v>
      </c>
      <c r="B304" s="35">
        <v>16670</v>
      </c>
      <c r="C304" s="35">
        <v>12690</v>
      </c>
      <c r="D304" s="35">
        <v>12144</v>
      </c>
      <c r="E304" s="35">
        <v>20209</v>
      </c>
      <c r="F304" s="35">
        <v>67306</v>
      </c>
      <c r="G304" s="35">
        <v>16559</v>
      </c>
      <c r="H304" s="35">
        <v>13905</v>
      </c>
      <c r="I304" s="35">
        <v>20291</v>
      </c>
      <c r="J304" s="35">
        <v>20477</v>
      </c>
      <c r="K304" s="35">
        <v>10122</v>
      </c>
      <c r="L304" s="35">
        <v>13790</v>
      </c>
      <c r="M304" s="35">
        <v>11278</v>
      </c>
      <c r="N304" s="35">
        <v>8850</v>
      </c>
      <c r="O304" s="35">
        <v>44983</v>
      </c>
      <c r="P304" s="35">
        <v>10319</v>
      </c>
      <c r="Q304" s="35">
        <v>17774</v>
      </c>
      <c r="R304" s="35">
        <v>7809</v>
      </c>
      <c r="S304" s="35">
        <v>11412</v>
      </c>
      <c r="T304" s="35">
        <v>14743</v>
      </c>
      <c r="U304" s="35">
        <v>10550</v>
      </c>
      <c r="V304" s="35">
        <f t="shared" si="309"/>
        <v>361881</v>
      </c>
      <c r="W304" s="35">
        <f t="shared" ref="W304:AP304" si="313">B304-B303</f>
        <v>56</v>
      </c>
      <c r="X304" s="35">
        <f t="shared" si="313"/>
        <v>53</v>
      </c>
      <c r="Y304" s="35">
        <f t="shared" si="313"/>
        <v>16</v>
      </c>
      <c r="Z304" s="35">
        <f t="shared" si="313"/>
        <v>70</v>
      </c>
      <c r="AA304" s="35">
        <f t="shared" si="313"/>
        <v>168</v>
      </c>
      <c r="AB304" s="35">
        <f t="shared" si="313"/>
        <v>30</v>
      </c>
      <c r="AC304" s="35">
        <f t="shared" si="313"/>
        <v>33</v>
      </c>
      <c r="AD304" s="35">
        <f t="shared" si="313"/>
        <v>37</v>
      </c>
      <c r="AE304" s="35">
        <f t="shared" si="313"/>
        <v>72</v>
      </c>
      <c r="AF304" s="35">
        <f t="shared" si="313"/>
        <v>42</v>
      </c>
      <c r="AG304" s="35">
        <f t="shared" si="313"/>
        <v>39</v>
      </c>
      <c r="AH304" s="35">
        <f t="shared" si="313"/>
        <v>27</v>
      </c>
      <c r="AI304" s="35">
        <f t="shared" si="313"/>
        <v>38</v>
      </c>
      <c r="AJ304" s="35">
        <f t="shared" si="313"/>
        <v>112</v>
      </c>
      <c r="AK304" s="35">
        <f t="shared" si="313"/>
        <v>41</v>
      </c>
      <c r="AL304" s="35">
        <f t="shared" si="313"/>
        <v>21</v>
      </c>
      <c r="AM304" s="35">
        <f t="shared" si="313"/>
        <v>20</v>
      </c>
      <c r="AN304" s="35">
        <f t="shared" si="313"/>
        <v>33</v>
      </c>
      <c r="AO304" s="35">
        <f t="shared" si="313"/>
        <v>52</v>
      </c>
      <c r="AP304" s="35">
        <f t="shared" si="313"/>
        <v>44</v>
      </c>
    </row>
    <row r="305" spans="1:42" ht="13">
      <c r="A305" s="36">
        <v>44224</v>
      </c>
      <c r="B305" s="35">
        <v>16767</v>
      </c>
      <c r="C305" s="35">
        <v>12759</v>
      </c>
      <c r="D305" s="35">
        <v>12184</v>
      </c>
      <c r="E305" s="35">
        <v>20278</v>
      </c>
      <c r="F305" s="35">
        <v>67557</v>
      </c>
      <c r="G305" s="35">
        <v>16615</v>
      </c>
      <c r="H305" s="35">
        <v>13976</v>
      </c>
      <c r="I305" s="35">
        <v>20366</v>
      </c>
      <c r="J305" s="35">
        <v>20567</v>
      </c>
      <c r="K305" s="35">
        <v>10173</v>
      </c>
      <c r="L305" s="35">
        <v>13855</v>
      </c>
      <c r="M305" s="35">
        <v>11363</v>
      </c>
      <c r="N305" s="35">
        <v>8891</v>
      </c>
      <c r="O305" s="35">
        <v>45168</v>
      </c>
      <c r="P305" s="35">
        <v>10359</v>
      </c>
      <c r="Q305" s="35">
        <v>17827</v>
      </c>
      <c r="R305" s="35">
        <v>7863</v>
      </c>
      <c r="S305" s="35">
        <v>11464</v>
      </c>
      <c r="T305" s="35">
        <v>14824</v>
      </c>
      <c r="U305" s="35">
        <v>10594</v>
      </c>
      <c r="V305" s="35">
        <f t="shared" si="309"/>
        <v>363450</v>
      </c>
      <c r="W305" s="35">
        <f t="shared" ref="W305:AP305" si="314">B305-B304</f>
        <v>97</v>
      </c>
      <c r="X305" s="35">
        <f t="shared" si="314"/>
        <v>69</v>
      </c>
      <c r="Y305" s="35">
        <f t="shared" si="314"/>
        <v>40</v>
      </c>
      <c r="Z305" s="35">
        <f t="shared" si="314"/>
        <v>69</v>
      </c>
      <c r="AA305" s="35">
        <f t="shared" si="314"/>
        <v>251</v>
      </c>
      <c r="AB305" s="35">
        <f t="shared" si="314"/>
        <v>56</v>
      </c>
      <c r="AC305" s="35">
        <f t="shared" si="314"/>
        <v>71</v>
      </c>
      <c r="AD305" s="35">
        <f t="shared" si="314"/>
        <v>75</v>
      </c>
      <c r="AE305" s="35">
        <f t="shared" si="314"/>
        <v>90</v>
      </c>
      <c r="AF305" s="35">
        <f t="shared" si="314"/>
        <v>51</v>
      </c>
      <c r="AG305" s="35">
        <f t="shared" si="314"/>
        <v>65</v>
      </c>
      <c r="AH305" s="35">
        <f t="shared" si="314"/>
        <v>85</v>
      </c>
      <c r="AI305" s="35">
        <f t="shared" si="314"/>
        <v>41</v>
      </c>
      <c r="AJ305" s="35">
        <f t="shared" si="314"/>
        <v>185</v>
      </c>
      <c r="AK305" s="35">
        <f t="shared" si="314"/>
        <v>40</v>
      </c>
      <c r="AL305" s="35">
        <f t="shared" si="314"/>
        <v>53</v>
      </c>
      <c r="AM305" s="35">
        <f t="shared" si="314"/>
        <v>54</v>
      </c>
      <c r="AN305" s="35">
        <f t="shared" si="314"/>
        <v>52</v>
      </c>
      <c r="AO305" s="35">
        <f t="shared" si="314"/>
        <v>81</v>
      </c>
      <c r="AP305" s="35">
        <f t="shared" si="314"/>
        <v>44</v>
      </c>
    </row>
    <row r="306" spans="1:42" ht="13">
      <c r="A306" s="36">
        <v>44225</v>
      </c>
      <c r="B306" s="35">
        <v>16837</v>
      </c>
      <c r="C306" s="35">
        <v>12827</v>
      </c>
      <c r="D306" s="35">
        <v>12228</v>
      </c>
      <c r="E306" s="35">
        <v>20373</v>
      </c>
      <c r="F306" s="35">
        <v>67766</v>
      </c>
      <c r="G306" s="35">
        <v>16687</v>
      </c>
      <c r="H306" s="35">
        <v>14063</v>
      </c>
      <c r="I306" s="35">
        <v>20416</v>
      </c>
      <c r="J306" s="35">
        <v>20662</v>
      </c>
      <c r="K306" s="35">
        <v>10200</v>
      </c>
      <c r="L306" s="35">
        <v>13912</v>
      </c>
      <c r="M306" s="35">
        <v>11430</v>
      </c>
      <c r="N306" s="35">
        <v>8923</v>
      </c>
      <c r="O306" s="35">
        <v>45321</v>
      </c>
      <c r="P306" s="35">
        <v>10413</v>
      </c>
      <c r="Q306" s="35">
        <v>17895</v>
      </c>
      <c r="R306" s="35">
        <v>7928</v>
      </c>
      <c r="S306" s="35">
        <v>11505</v>
      </c>
      <c r="T306" s="35">
        <v>14879</v>
      </c>
      <c r="U306" s="35">
        <v>10644</v>
      </c>
      <c r="V306" s="35">
        <f t="shared" si="309"/>
        <v>364909</v>
      </c>
      <c r="W306" s="35">
        <f t="shared" ref="W306:AP306" si="315">B306-B305</f>
        <v>70</v>
      </c>
      <c r="X306" s="35">
        <f t="shared" si="315"/>
        <v>68</v>
      </c>
      <c r="Y306" s="35">
        <f t="shared" si="315"/>
        <v>44</v>
      </c>
      <c r="Z306" s="35">
        <f t="shared" si="315"/>
        <v>95</v>
      </c>
      <c r="AA306" s="35">
        <f t="shared" si="315"/>
        <v>209</v>
      </c>
      <c r="AB306" s="35">
        <f t="shared" si="315"/>
        <v>72</v>
      </c>
      <c r="AC306" s="35">
        <f t="shared" si="315"/>
        <v>87</v>
      </c>
      <c r="AD306" s="35">
        <f t="shared" si="315"/>
        <v>50</v>
      </c>
      <c r="AE306" s="35">
        <f t="shared" si="315"/>
        <v>95</v>
      </c>
      <c r="AF306" s="35">
        <f t="shared" si="315"/>
        <v>27</v>
      </c>
      <c r="AG306" s="35">
        <f t="shared" si="315"/>
        <v>57</v>
      </c>
      <c r="AH306" s="35">
        <f t="shared" si="315"/>
        <v>67</v>
      </c>
      <c r="AI306" s="35">
        <f t="shared" si="315"/>
        <v>32</v>
      </c>
      <c r="AJ306" s="35">
        <f t="shared" si="315"/>
        <v>153</v>
      </c>
      <c r="AK306" s="35">
        <f t="shared" si="315"/>
        <v>54</v>
      </c>
      <c r="AL306" s="35">
        <f t="shared" si="315"/>
        <v>68</v>
      </c>
      <c r="AM306" s="35">
        <f t="shared" si="315"/>
        <v>65</v>
      </c>
      <c r="AN306" s="35">
        <f t="shared" si="315"/>
        <v>41</v>
      </c>
      <c r="AO306" s="35">
        <f t="shared" si="315"/>
        <v>55</v>
      </c>
      <c r="AP306" s="35">
        <f t="shared" si="315"/>
        <v>50</v>
      </c>
    </row>
    <row r="307" spans="1:42" ht="13">
      <c r="A307" s="36">
        <v>44226</v>
      </c>
      <c r="B307" s="35">
        <v>16914</v>
      </c>
      <c r="C307" s="35">
        <v>12903</v>
      </c>
      <c r="D307" s="35">
        <v>12274</v>
      </c>
      <c r="E307" s="35">
        <v>20420</v>
      </c>
      <c r="F307" s="35">
        <v>67988</v>
      </c>
      <c r="G307" s="35">
        <v>16747</v>
      </c>
      <c r="H307" s="35">
        <v>14127</v>
      </c>
      <c r="I307" s="35">
        <v>20484</v>
      </c>
      <c r="J307" s="35">
        <v>20754</v>
      </c>
      <c r="K307" s="35">
        <v>10229</v>
      </c>
      <c r="L307" s="35">
        <v>13956</v>
      </c>
      <c r="M307" s="35">
        <v>11475</v>
      </c>
      <c r="N307" s="35">
        <v>8959</v>
      </c>
      <c r="O307" s="35">
        <v>45489</v>
      </c>
      <c r="P307" s="35">
        <v>10457</v>
      </c>
      <c r="Q307" s="35">
        <v>17967</v>
      </c>
      <c r="R307" s="35">
        <v>7979</v>
      </c>
      <c r="S307" s="35">
        <v>11548</v>
      </c>
      <c r="T307" s="35">
        <v>14934</v>
      </c>
      <c r="U307" s="35">
        <v>10675</v>
      </c>
      <c r="V307" s="35">
        <f t="shared" si="309"/>
        <v>366279</v>
      </c>
      <c r="W307" s="35">
        <f t="shared" ref="W307:AP307" si="316">B307-B306</f>
        <v>77</v>
      </c>
      <c r="X307" s="35">
        <f t="shared" si="316"/>
        <v>76</v>
      </c>
      <c r="Y307" s="35">
        <f t="shared" si="316"/>
        <v>46</v>
      </c>
      <c r="Z307" s="35">
        <f t="shared" si="316"/>
        <v>47</v>
      </c>
      <c r="AA307" s="35">
        <f t="shared" si="316"/>
        <v>222</v>
      </c>
      <c r="AB307" s="35">
        <f t="shared" si="316"/>
        <v>60</v>
      </c>
      <c r="AC307" s="35">
        <f t="shared" si="316"/>
        <v>64</v>
      </c>
      <c r="AD307" s="35">
        <f t="shared" si="316"/>
        <v>68</v>
      </c>
      <c r="AE307" s="35">
        <f t="shared" si="316"/>
        <v>92</v>
      </c>
      <c r="AF307" s="35">
        <f t="shared" si="316"/>
        <v>29</v>
      </c>
      <c r="AG307" s="35">
        <f t="shared" si="316"/>
        <v>44</v>
      </c>
      <c r="AH307" s="35">
        <f t="shared" si="316"/>
        <v>45</v>
      </c>
      <c r="AI307" s="35">
        <f t="shared" si="316"/>
        <v>36</v>
      </c>
      <c r="AJ307" s="35">
        <f t="shared" si="316"/>
        <v>168</v>
      </c>
      <c r="AK307" s="35">
        <f t="shared" si="316"/>
        <v>44</v>
      </c>
      <c r="AL307" s="35">
        <f t="shared" si="316"/>
        <v>72</v>
      </c>
      <c r="AM307" s="35">
        <f t="shared" si="316"/>
        <v>51</v>
      </c>
      <c r="AN307" s="35">
        <f t="shared" si="316"/>
        <v>43</v>
      </c>
      <c r="AO307" s="35">
        <f t="shared" si="316"/>
        <v>55</v>
      </c>
      <c r="AP307" s="35">
        <f t="shared" si="316"/>
        <v>31</v>
      </c>
    </row>
    <row r="308" spans="1:42" ht="13">
      <c r="A308" s="36">
        <v>44227</v>
      </c>
      <c r="B308" s="35">
        <v>17031</v>
      </c>
      <c r="C308" s="35">
        <v>12969</v>
      </c>
      <c r="D308" s="35">
        <v>12303</v>
      </c>
      <c r="E308" s="35">
        <v>20549</v>
      </c>
      <c r="F308" s="35">
        <v>68233</v>
      </c>
      <c r="G308" s="35">
        <v>16784</v>
      </c>
      <c r="H308" s="35">
        <v>14177</v>
      </c>
      <c r="I308" s="35">
        <v>20513</v>
      </c>
      <c r="J308" s="35">
        <v>20800</v>
      </c>
      <c r="K308" s="35">
        <v>10255</v>
      </c>
      <c r="L308" s="35">
        <v>14003</v>
      </c>
      <c r="M308" s="35">
        <v>11540</v>
      </c>
      <c r="N308" s="35">
        <v>8994</v>
      </c>
      <c r="O308" s="35">
        <v>45658</v>
      </c>
      <c r="P308" s="35">
        <v>10491</v>
      </c>
      <c r="Q308" s="35">
        <v>18008</v>
      </c>
      <c r="R308" s="35">
        <v>7998</v>
      </c>
      <c r="S308" s="35">
        <v>11599</v>
      </c>
      <c r="T308" s="35">
        <v>14975</v>
      </c>
      <c r="U308" s="35">
        <v>10706</v>
      </c>
      <c r="V308" s="35">
        <f t="shared" si="309"/>
        <v>367586</v>
      </c>
      <c r="W308" s="35">
        <f t="shared" ref="W308:AP308" si="317">B308-B307</f>
        <v>117</v>
      </c>
      <c r="X308" s="35">
        <f t="shared" si="317"/>
        <v>66</v>
      </c>
      <c r="Y308" s="35">
        <f t="shared" si="317"/>
        <v>29</v>
      </c>
      <c r="Z308" s="35">
        <f t="shared" si="317"/>
        <v>129</v>
      </c>
      <c r="AA308" s="35">
        <f t="shared" si="317"/>
        <v>245</v>
      </c>
      <c r="AB308" s="35">
        <f t="shared" si="317"/>
        <v>37</v>
      </c>
      <c r="AC308" s="35">
        <f t="shared" si="317"/>
        <v>50</v>
      </c>
      <c r="AD308" s="35">
        <f t="shared" si="317"/>
        <v>29</v>
      </c>
      <c r="AE308" s="35">
        <f t="shared" si="317"/>
        <v>46</v>
      </c>
      <c r="AF308" s="35">
        <f t="shared" si="317"/>
        <v>26</v>
      </c>
      <c r="AG308" s="35">
        <f t="shared" si="317"/>
        <v>47</v>
      </c>
      <c r="AH308" s="35">
        <f t="shared" si="317"/>
        <v>65</v>
      </c>
      <c r="AI308" s="35">
        <f t="shared" si="317"/>
        <v>35</v>
      </c>
      <c r="AJ308" s="35">
        <f t="shared" si="317"/>
        <v>169</v>
      </c>
      <c r="AK308" s="35">
        <f t="shared" si="317"/>
        <v>34</v>
      </c>
      <c r="AL308" s="35">
        <f t="shared" si="317"/>
        <v>41</v>
      </c>
      <c r="AM308" s="35">
        <f t="shared" si="317"/>
        <v>19</v>
      </c>
      <c r="AN308" s="35">
        <f t="shared" si="317"/>
        <v>51</v>
      </c>
      <c r="AO308" s="35">
        <f t="shared" si="317"/>
        <v>41</v>
      </c>
      <c r="AP308" s="35">
        <f t="shared" si="317"/>
        <v>31</v>
      </c>
    </row>
    <row r="309" spans="1:42" ht="13">
      <c r="A309" s="36">
        <v>44228</v>
      </c>
      <c r="B309" s="35">
        <v>17098</v>
      </c>
      <c r="C309" s="35">
        <v>13017</v>
      </c>
      <c r="D309" s="35">
        <v>12316</v>
      </c>
      <c r="E309" s="35">
        <v>20608</v>
      </c>
      <c r="F309" s="35">
        <v>68430</v>
      </c>
      <c r="G309" s="35">
        <v>16832</v>
      </c>
      <c r="H309" s="35">
        <v>14221</v>
      </c>
      <c r="I309" s="35">
        <v>20580</v>
      </c>
      <c r="J309" s="35">
        <v>20858</v>
      </c>
      <c r="K309" s="35">
        <v>10273</v>
      </c>
      <c r="L309" s="35">
        <v>14042</v>
      </c>
      <c r="M309" s="35">
        <v>11569</v>
      </c>
      <c r="N309" s="35">
        <v>9003</v>
      </c>
      <c r="O309" s="35">
        <v>45830</v>
      </c>
      <c r="P309" s="35">
        <v>10549</v>
      </c>
      <c r="Q309" s="35">
        <v>18058</v>
      </c>
      <c r="R309" s="35">
        <v>8032</v>
      </c>
      <c r="S309" s="35">
        <v>11628</v>
      </c>
      <c r="T309" s="35">
        <v>15028</v>
      </c>
      <c r="U309" s="35">
        <v>10738</v>
      </c>
      <c r="V309" s="35">
        <f t="shared" si="309"/>
        <v>368710</v>
      </c>
      <c r="W309" s="35">
        <f t="shared" ref="W309:AP309" si="318">B309-B308</f>
        <v>67</v>
      </c>
      <c r="X309" s="35">
        <f t="shared" si="318"/>
        <v>48</v>
      </c>
      <c r="Y309" s="35">
        <f t="shared" si="318"/>
        <v>13</v>
      </c>
      <c r="Z309" s="35">
        <f t="shared" si="318"/>
        <v>59</v>
      </c>
      <c r="AA309" s="35">
        <f t="shared" si="318"/>
        <v>197</v>
      </c>
      <c r="AB309" s="35">
        <f t="shared" si="318"/>
        <v>48</v>
      </c>
      <c r="AC309" s="35">
        <f t="shared" si="318"/>
        <v>44</v>
      </c>
      <c r="AD309" s="35">
        <f t="shared" si="318"/>
        <v>67</v>
      </c>
      <c r="AE309" s="35">
        <f t="shared" si="318"/>
        <v>58</v>
      </c>
      <c r="AF309" s="35">
        <f t="shared" si="318"/>
        <v>18</v>
      </c>
      <c r="AG309" s="35">
        <f t="shared" si="318"/>
        <v>39</v>
      </c>
      <c r="AH309" s="35">
        <f t="shared" si="318"/>
        <v>29</v>
      </c>
      <c r="AI309" s="35">
        <f t="shared" si="318"/>
        <v>9</v>
      </c>
      <c r="AJ309" s="35">
        <f t="shared" si="318"/>
        <v>172</v>
      </c>
      <c r="AK309" s="35">
        <f t="shared" si="318"/>
        <v>58</v>
      </c>
      <c r="AL309" s="35">
        <f t="shared" si="318"/>
        <v>50</v>
      </c>
      <c r="AM309" s="35">
        <f t="shared" si="318"/>
        <v>34</v>
      </c>
      <c r="AN309" s="35">
        <f t="shared" si="318"/>
        <v>29</v>
      </c>
      <c r="AO309" s="35">
        <f t="shared" si="318"/>
        <v>53</v>
      </c>
      <c r="AP309" s="35">
        <f t="shared" si="318"/>
        <v>32</v>
      </c>
    </row>
    <row r="310" spans="1:42" ht="13">
      <c r="A310" s="36">
        <v>44229</v>
      </c>
      <c r="B310" s="35">
        <v>17131</v>
      </c>
      <c r="C310" s="35">
        <v>13029</v>
      </c>
      <c r="D310" s="35">
        <v>12338</v>
      </c>
      <c r="E310" s="35">
        <v>20627</v>
      </c>
      <c r="F310" s="35">
        <v>68548</v>
      </c>
      <c r="G310" s="35">
        <v>16852</v>
      </c>
      <c r="H310" s="35">
        <v>14236</v>
      </c>
      <c r="I310" s="35">
        <v>20595</v>
      </c>
      <c r="J310" s="35">
        <v>20872</v>
      </c>
      <c r="K310" s="35">
        <v>10285</v>
      </c>
      <c r="L310" s="35">
        <v>14065</v>
      </c>
      <c r="M310" s="35">
        <v>11612</v>
      </c>
      <c r="N310" s="35">
        <v>9016</v>
      </c>
      <c r="O310" s="35">
        <v>45908</v>
      </c>
      <c r="P310" s="35">
        <v>10577</v>
      </c>
      <c r="Q310" s="35">
        <v>18078</v>
      </c>
      <c r="R310" s="35">
        <v>8048</v>
      </c>
      <c r="S310" s="35">
        <v>11655</v>
      </c>
      <c r="T310" s="35">
        <v>15055</v>
      </c>
      <c r="U310" s="35">
        <v>10761</v>
      </c>
      <c r="V310" s="35">
        <f t="shared" si="309"/>
        <v>369288</v>
      </c>
      <c r="W310" s="35">
        <f t="shared" ref="W310:AP310" si="319">B310-B309</f>
        <v>33</v>
      </c>
      <c r="X310" s="35">
        <f t="shared" si="319"/>
        <v>12</v>
      </c>
      <c r="Y310" s="35">
        <f t="shared" si="319"/>
        <v>22</v>
      </c>
      <c r="Z310" s="35">
        <f t="shared" si="319"/>
        <v>19</v>
      </c>
      <c r="AA310" s="35">
        <f t="shared" si="319"/>
        <v>118</v>
      </c>
      <c r="AB310" s="35">
        <f t="shared" si="319"/>
        <v>20</v>
      </c>
      <c r="AC310" s="35">
        <f t="shared" si="319"/>
        <v>15</v>
      </c>
      <c r="AD310" s="35">
        <f t="shared" si="319"/>
        <v>15</v>
      </c>
      <c r="AE310" s="35">
        <f t="shared" si="319"/>
        <v>14</v>
      </c>
      <c r="AF310" s="35">
        <f t="shared" si="319"/>
        <v>12</v>
      </c>
      <c r="AG310" s="35">
        <f t="shared" si="319"/>
        <v>23</v>
      </c>
      <c r="AH310" s="35">
        <f t="shared" si="319"/>
        <v>43</v>
      </c>
      <c r="AI310" s="35">
        <f t="shared" si="319"/>
        <v>13</v>
      </c>
      <c r="AJ310" s="35">
        <f t="shared" si="319"/>
        <v>78</v>
      </c>
      <c r="AK310" s="35">
        <f t="shared" si="319"/>
        <v>28</v>
      </c>
      <c r="AL310" s="35">
        <f t="shared" si="319"/>
        <v>20</v>
      </c>
      <c r="AM310" s="35">
        <f t="shared" si="319"/>
        <v>16</v>
      </c>
      <c r="AN310" s="35">
        <f t="shared" si="319"/>
        <v>27</v>
      </c>
      <c r="AO310" s="35">
        <f t="shared" si="319"/>
        <v>27</v>
      </c>
      <c r="AP310" s="35">
        <f t="shared" si="319"/>
        <v>23</v>
      </c>
    </row>
    <row r="311" spans="1:42" ht="13">
      <c r="A311" s="36">
        <v>44230</v>
      </c>
      <c r="B311" s="35">
        <v>17186</v>
      </c>
      <c r="C311" s="35">
        <v>13093</v>
      </c>
      <c r="D311" s="35">
        <v>12352</v>
      </c>
      <c r="E311" s="35">
        <v>20679</v>
      </c>
      <c r="F311" s="35">
        <v>68737</v>
      </c>
      <c r="G311" s="35">
        <v>16884</v>
      </c>
      <c r="H311" s="35">
        <v>14281</v>
      </c>
      <c r="I311" s="35">
        <v>20636</v>
      </c>
      <c r="J311" s="35">
        <v>20928</v>
      </c>
      <c r="K311" s="35">
        <v>10311</v>
      </c>
      <c r="L311" s="35">
        <v>14119</v>
      </c>
      <c r="M311" s="35">
        <v>11642</v>
      </c>
      <c r="N311" s="35">
        <v>9056</v>
      </c>
      <c r="O311" s="35">
        <v>46057</v>
      </c>
      <c r="P311" s="35">
        <v>10619</v>
      </c>
      <c r="Q311" s="35">
        <v>18110</v>
      </c>
      <c r="R311" s="35">
        <v>8082</v>
      </c>
      <c r="S311" s="35">
        <v>11692</v>
      </c>
      <c r="T311" s="35">
        <v>15093</v>
      </c>
      <c r="U311" s="35">
        <v>10779</v>
      </c>
      <c r="V311" s="35">
        <f t="shared" si="309"/>
        <v>370336</v>
      </c>
      <c r="W311" s="35">
        <f t="shared" ref="W311:AP311" si="320">B311-B310</f>
        <v>55</v>
      </c>
      <c r="X311" s="35">
        <f t="shared" si="320"/>
        <v>64</v>
      </c>
      <c r="Y311" s="35">
        <f t="shared" si="320"/>
        <v>14</v>
      </c>
      <c r="Z311" s="35">
        <f t="shared" si="320"/>
        <v>52</v>
      </c>
      <c r="AA311" s="35">
        <f t="shared" si="320"/>
        <v>189</v>
      </c>
      <c r="AB311" s="35">
        <f t="shared" si="320"/>
        <v>32</v>
      </c>
      <c r="AC311" s="35">
        <f t="shared" si="320"/>
        <v>45</v>
      </c>
      <c r="AD311" s="35">
        <f t="shared" si="320"/>
        <v>41</v>
      </c>
      <c r="AE311" s="35">
        <f t="shared" si="320"/>
        <v>56</v>
      </c>
      <c r="AF311" s="35">
        <f t="shared" si="320"/>
        <v>26</v>
      </c>
      <c r="AG311" s="35">
        <f t="shared" si="320"/>
        <v>54</v>
      </c>
      <c r="AH311" s="35">
        <f t="shared" si="320"/>
        <v>30</v>
      </c>
      <c r="AI311" s="35">
        <f t="shared" si="320"/>
        <v>40</v>
      </c>
      <c r="AJ311" s="35">
        <f t="shared" si="320"/>
        <v>149</v>
      </c>
      <c r="AK311" s="35">
        <f t="shared" si="320"/>
        <v>42</v>
      </c>
      <c r="AL311" s="35">
        <f t="shared" si="320"/>
        <v>32</v>
      </c>
      <c r="AM311" s="35">
        <f t="shared" si="320"/>
        <v>34</v>
      </c>
      <c r="AN311" s="35">
        <f t="shared" si="320"/>
        <v>37</v>
      </c>
      <c r="AO311" s="35">
        <f t="shared" si="320"/>
        <v>38</v>
      </c>
      <c r="AP311" s="35">
        <f t="shared" si="320"/>
        <v>18</v>
      </c>
    </row>
    <row r="312" spans="1:42" ht="13">
      <c r="A312" s="36">
        <v>44231</v>
      </c>
      <c r="B312" s="35">
        <v>17295</v>
      </c>
      <c r="C312" s="35">
        <v>13179</v>
      </c>
      <c r="D312" s="35">
        <v>12388</v>
      </c>
      <c r="E312" s="35">
        <v>20765</v>
      </c>
      <c r="F312" s="35">
        <v>68969</v>
      </c>
      <c r="G312" s="35">
        <v>16941</v>
      </c>
      <c r="H312" s="35">
        <v>14345</v>
      </c>
      <c r="I312" s="35">
        <v>20693</v>
      </c>
      <c r="J312" s="35">
        <v>21060</v>
      </c>
      <c r="K312" s="35">
        <v>10356</v>
      </c>
      <c r="L312" s="35">
        <v>14169</v>
      </c>
      <c r="M312" s="35">
        <v>11708</v>
      </c>
      <c r="N312" s="35">
        <v>9111</v>
      </c>
      <c r="O312" s="35">
        <v>46269</v>
      </c>
      <c r="P312" s="35">
        <v>10698</v>
      </c>
      <c r="Q312" s="35">
        <v>18208</v>
      </c>
      <c r="R312" s="35">
        <v>8147</v>
      </c>
      <c r="S312" s="35">
        <v>11734</v>
      </c>
      <c r="T312" s="35">
        <v>15152</v>
      </c>
      <c r="U312" s="35">
        <v>10801</v>
      </c>
      <c r="V312" s="35">
        <f t="shared" si="309"/>
        <v>371988</v>
      </c>
      <c r="W312" s="35">
        <f t="shared" ref="W312:AP312" si="321">B312-B311</f>
        <v>109</v>
      </c>
      <c r="X312" s="35">
        <f t="shared" si="321"/>
        <v>86</v>
      </c>
      <c r="Y312" s="35">
        <f t="shared" si="321"/>
        <v>36</v>
      </c>
      <c r="Z312" s="35">
        <f t="shared" si="321"/>
        <v>86</v>
      </c>
      <c r="AA312" s="35">
        <f t="shared" si="321"/>
        <v>232</v>
      </c>
      <c r="AB312" s="35">
        <f t="shared" si="321"/>
        <v>57</v>
      </c>
      <c r="AC312" s="35">
        <f t="shared" si="321"/>
        <v>64</v>
      </c>
      <c r="AD312" s="35">
        <f t="shared" si="321"/>
        <v>57</v>
      </c>
      <c r="AE312" s="35">
        <f t="shared" si="321"/>
        <v>132</v>
      </c>
      <c r="AF312" s="35">
        <f t="shared" si="321"/>
        <v>45</v>
      </c>
      <c r="AG312" s="35">
        <f t="shared" si="321"/>
        <v>50</v>
      </c>
      <c r="AH312" s="35">
        <f t="shared" si="321"/>
        <v>66</v>
      </c>
      <c r="AI312" s="35">
        <f t="shared" si="321"/>
        <v>55</v>
      </c>
      <c r="AJ312" s="35">
        <f t="shared" si="321"/>
        <v>212</v>
      </c>
      <c r="AK312" s="35">
        <f t="shared" si="321"/>
        <v>79</v>
      </c>
      <c r="AL312" s="35">
        <f t="shared" si="321"/>
        <v>98</v>
      </c>
      <c r="AM312" s="35">
        <f t="shared" si="321"/>
        <v>65</v>
      </c>
      <c r="AN312" s="35">
        <f t="shared" si="321"/>
        <v>42</v>
      </c>
      <c r="AO312" s="35">
        <f t="shared" si="321"/>
        <v>59</v>
      </c>
      <c r="AP312" s="35">
        <f t="shared" si="321"/>
        <v>22</v>
      </c>
    </row>
    <row r="313" spans="1:42" ht="13">
      <c r="A313" s="36">
        <v>44232</v>
      </c>
      <c r="B313" s="35">
        <v>17371</v>
      </c>
      <c r="C313" s="35">
        <v>13242</v>
      </c>
      <c r="D313" s="35">
        <v>12427</v>
      </c>
      <c r="E313" s="35">
        <v>20842</v>
      </c>
      <c r="F313" s="35">
        <v>69256</v>
      </c>
      <c r="G313" s="35">
        <v>16992</v>
      </c>
      <c r="H313" s="35">
        <v>14409</v>
      </c>
      <c r="I313" s="35">
        <v>20765</v>
      </c>
      <c r="J313" s="35">
        <v>21131</v>
      </c>
      <c r="K313" s="35">
        <v>10403</v>
      </c>
      <c r="L313" s="35">
        <v>14209</v>
      </c>
      <c r="M313" s="35">
        <v>11794</v>
      </c>
      <c r="N313" s="35">
        <v>9155</v>
      </c>
      <c r="O313" s="35">
        <v>46432</v>
      </c>
      <c r="P313" s="35">
        <v>10766</v>
      </c>
      <c r="Q313" s="35">
        <v>18324</v>
      </c>
      <c r="R313" s="35">
        <v>8211</v>
      </c>
      <c r="S313" s="35">
        <v>11802</v>
      </c>
      <c r="T313" s="35">
        <v>15198</v>
      </c>
      <c r="U313" s="35">
        <v>10835</v>
      </c>
      <c r="V313" s="35">
        <f t="shared" si="309"/>
        <v>373564</v>
      </c>
      <c r="W313" s="35">
        <f t="shared" ref="W313:AP313" si="322">B313-B312</f>
        <v>76</v>
      </c>
      <c r="X313" s="35">
        <f t="shared" si="322"/>
        <v>63</v>
      </c>
      <c r="Y313" s="35">
        <f t="shared" si="322"/>
        <v>39</v>
      </c>
      <c r="Z313" s="35">
        <f t="shared" si="322"/>
        <v>77</v>
      </c>
      <c r="AA313" s="35">
        <f t="shared" si="322"/>
        <v>287</v>
      </c>
      <c r="AB313" s="35">
        <f t="shared" si="322"/>
        <v>51</v>
      </c>
      <c r="AC313" s="35">
        <f t="shared" si="322"/>
        <v>64</v>
      </c>
      <c r="AD313" s="35">
        <f t="shared" si="322"/>
        <v>72</v>
      </c>
      <c r="AE313" s="35">
        <f t="shared" si="322"/>
        <v>71</v>
      </c>
      <c r="AF313" s="35">
        <f t="shared" si="322"/>
        <v>47</v>
      </c>
      <c r="AG313" s="35">
        <f t="shared" si="322"/>
        <v>40</v>
      </c>
      <c r="AH313" s="35">
        <f t="shared" si="322"/>
        <v>86</v>
      </c>
      <c r="AI313" s="35">
        <f t="shared" si="322"/>
        <v>44</v>
      </c>
      <c r="AJ313" s="35">
        <f t="shared" si="322"/>
        <v>163</v>
      </c>
      <c r="AK313" s="35">
        <f t="shared" si="322"/>
        <v>68</v>
      </c>
      <c r="AL313" s="35">
        <f t="shared" si="322"/>
        <v>116</v>
      </c>
      <c r="AM313" s="35">
        <f t="shared" si="322"/>
        <v>64</v>
      </c>
      <c r="AN313" s="35">
        <f t="shared" si="322"/>
        <v>68</v>
      </c>
      <c r="AO313" s="35">
        <f t="shared" si="322"/>
        <v>46</v>
      </c>
      <c r="AP313" s="35">
        <f t="shared" si="322"/>
        <v>34</v>
      </c>
    </row>
    <row r="314" spans="1:42" ht="13">
      <c r="A314" s="36">
        <v>44233</v>
      </c>
      <c r="B314" s="35">
        <v>17460</v>
      </c>
      <c r="C314" s="35">
        <v>13294</v>
      </c>
      <c r="D314" s="35">
        <v>12449</v>
      </c>
      <c r="E314" s="35">
        <v>20937</v>
      </c>
      <c r="F314" s="35">
        <v>69585</v>
      </c>
      <c r="G314" s="35">
        <v>17038</v>
      </c>
      <c r="H314" s="35">
        <v>14449</v>
      </c>
      <c r="I314" s="35">
        <v>20852</v>
      </c>
      <c r="J314" s="35">
        <v>21204</v>
      </c>
      <c r="K314" s="35">
        <v>10443</v>
      </c>
      <c r="L314" s="35">
        <v>14248</v>
      </c>
      <c r="M314" s="35">
        <v>11864</v>
      </c>
      <c r="N314" s="35">
        <v>9181</v>
      </c>
      <c r="O314" s="35">
        <v>46646</v>
      </c>
      <c r="P314" s="35">
        <v>10835</v>
      </c>
      <c r="Q314" s="35">
        <v>18413</v>
      </c>
      <c r="R314" s="35">
        <v>8253</v>
      </c>
      <c r="S314" s="35">
        <v>11867</v>
      </c>
      <c r="T314" s="35">
        <v>15252</v>
      </c>
      <c r="U314" s="35">
        <v>10855</v>
      </c>
      <c r="V314" s="35">
        <f t="shared" si="309"/>
        <v>375125</v>
      </c>
      <c r="W314" s="35">
        <f t="shared" ref="W314:AP314" si="323">B314-B313</f>
        <v>89</v>
      </c>
      <c r="X314" s="35">
        <f t="shared" si="323"/>
        <v>52</v>
      </c>
      <c r="Y314" s="35">
        <f t="shared" si="323"/>
        <v>22</v>
      </c>
      <c r="Z314" s="35">
        <f t="shared" si="323"/>
        <v>95</v>
      </c>
      <c r="AA314" s="35">
        <f t="shared" si="323"/>
        <v>329</v>
      </c>
      <c r="AB314" s="35">
        <f t="shared" si="323"/>
        <v>46</v>
      </c>
      <c r="AC314" s="35">
        <f t="shared" si="323"/>
        <v>40</v>
      </c>
      <c r="AD314" s="35">
        <f t="shared" si="323"/>
        <v>87</v>
      </c>
      <c r="AE314" s="35">
        <f t="shared" si="323"/>
        <v>73</v>
      </c>
      <c r="AF314" s="35">
        <f t="shared" si="323"/>
        <v>40</v>
      </c>
      <c r="AG314" s="35">
        <f t="shared" si="323"/>
        <v>39</v>
      </c>
      <c r="AH314" s="35">
        <f t="shared" si="323"/>
        <v>70</v>
      </c>
      <c r="AI314" s="35">
        <f t="shared" si="323"/>
        <v>26</v>
      </c>
      <c r="AJ314" s="35">
        <f t="shared" si="323"/>
        <v>214</v>
      </c>
      <c r="AK314" s="35">
        <f t="shared" si="323"/>
        <v>69</v>
      </c>
      <c r="AL314" s="35">
        <f t="shared" si="323"/>
        <v>89</v>
      </c>
      <c r="AM314" s="35">
        <f t="shared" si="323"/>
        <v>42</v>
      </c>
      <c r="AN314" s="35">
        <f t="shared" si="323"/>
        <v>65</v>
      </c>
      <c r="AO314" s="35">
        <f t="shared" si="323"/>
        <v>54</v>
      </c>
      <c r="AP314" s="35">
        <f t="shared" si="323"/>
        <v>20</v>
      </c>
    </row>
    <row r="315" spans="1:42" ht="13">
      <c r="A315" s="36">
        <v>44234</v>
      </c>
      <c r="B315" s="35">
        <v>17518</v>
      </c>
      <c r="C315" s="35">
        <v>13348</v>
      </c>
      <c r="D315" s="35">
        <v>12479</v>
      </c>
      <c r="E315" s="35">
        <v>21020</v>
      </c>
      <c r="F315" s="35">
        <v>69865</v>
      </c>
      <c r="G315" s="35">
        <v>17084</v>
      </c>
      <c r="H315" s="35">
        <v>14491</v>
      </c>
      <c r="I315" s="35">
        <v>20933</v>
      </c>
      <c r="J315" s="35">
        <v>21268</v>
      </c>
      <c r="K315" s="35">
        <v>10476</v>
      </c>
      <c r="L315" s="35">
        <v>14273</v>
      </c>
      <c r="M315" s="35">
        <v>11932</v>
      </c>
      <c r="N315" s="35">
        <v>9214</v>
      </c>
      <c r="O315" s="35">
        <v>46863</v>
      </c>
      <c r="P315" s="35">
        <v>10873</v>
      </c>
      <c r="Q315" s="35">
        <v>18518</v>
      </c>
      <c r="R315" s="35">
        <v>8290</v>
      </c>
      <c r="S315" s="35">
        <v>11883</v>
      </c>
      <c r="T315" s="35">
        <v>15293</v>
      </c>
      <c r="U315" s="35">
        <v>10874</v>
      </c>
      <c r="V315" s="35">
        <f t="shared" si="309"/>
        <v>376495</v>
      </c>
      <c r="W315" s="35">
        <f t="shared" ref="W315:AP315" si="324">B315-B314</f>
        <v>58</v>
      </c>
      <c r="X315" s="35">
        <f t="shared" si="324"/>
        <v>54</v>
      </c>
      <c r="Y315" s="35">
        <f t="shared" si="324"/>
        <v>30</v>
      </c>
      <c r="Z315" s="35">
        <f t="shared" si="324"/>
        <v>83</v>
      </c>
      <c r="AA315" s="35">
        <f t="shared" si="324"/>
        <v>280</v>
      </c>
      <c r="AB315" s="35">
        <f t="shared" si="324"/>
        <v>46</v>
      </c>
      <c r="AC315" s="35">
        <f t="shared" si="324"/>
        <v>42</v>
      </c>
      <c r="AD315" s="35">
        <f t="shared" si="324"/>
        <v>81</v>
      </c>
      <c r="AE315" s="35">
        <f t="shared" si="324"/>
        <v>64</v>
      </c>
      <c r="AF315" s="35">
        <f t="shared" si="324"/>
        <v>33</v>
      </c>
      <c r="AG315" s="35">
        <f t="shared" si="324"/>
        <v>25</v>
      </c>
      <c r="AH315" s="35">
        <f t="shared" si="324"/>
        <v>68</v>
      </c>
      <c r="AI315" s="35">
        <f t="shared" si="324"/>
        <v>33</v>
      </c>
      <c r="AJ315" s="35">
        <f t="shared" si="324"/>
        <v>217</v>
      </c>
      <c r="AK315" s="35">
        <f t="shared" si="324"/>
        <v>38</v>
      </c>
      <c r="AL315" s="35">
        <f t="shared" si="324"/>
        <v>105</v>
      </c>
      <c r="AM315" s="35">
        <f t="shared" si="324"/>
        <v>37</v>
      </c>
      <c r="AN315" s="35">
        <f t="shared" si="324"/>
        <v>16</v>
      </c>
      <c r="AO315" s="35">
        <f t="shared" si="324"/>
        <v>41</v>
      </c>
      <c r="AP315" s="35">
        <f t="shared" si="324"/>
        <v>19</v>
      </c>
    </row>
    <row r="316" spans="1:42" ht="13">
      <c r="A316" s="36">
        <v>44235</v>
      </c>
      <c r="B316" s="35">
        <v>17586</v>
      </c>
      <c r="C316" s="35">
        <v>13377</v>
      </c>
      <c r="D316" s="35">
        <v>12498</v>
      </c>
      <c r="E316" s="35">
        <v>21131</v>
      </c>
      <c r="F316" s="35">
        <v>70078</v>
      </c>
      <c r="G316" s="35">
        <v>17111</v>
      </c>
      <c r="H316" s="35">
        <v>14519</v>
      </c>
      <c r="I316" s="35">
        <v>21009</v>
      </c>
      <c r="J316" s="35">
        <v>21310</v>
      </c>
      <c r="K316" s="35">
        <v>10490</v>
      </c>
      <c r="L316" s="35">
        <v>14303</v>
      </c>
      <c r="M316" s="35">
        <v>11979</v>
      </c>
      <c r="N316" s="35">
        <v>9236</v>
      </c>
      <c r="O316" s="35">
        <v>47074</v>
      </c>
      <c r="P316" s="35">
        <v>10912</v>
      </c>
      <c r="Q316" s="35">
        <v>18590</v>
      </c>
      <c r="R316" s="35">
        <v>8323</v>
      </c>
      <c r="S316" s="35">
        <v>11909</v>
      </c>
      <c r="T316" s="35">
        <v>15336</v>
      </c>
      <c r="U316" s="35">
        <v>10884</v>
      </c>
      <c r="V316" s="35">
        <f t="shared" si="309"/>
        <v>377655</v>
      </c>
      <c r="W316" s="35">
        <f t="shared" ref="W316:AP316" si="325">B316-B315</f>
        <v>68</v>
      </c>
      <c r="X316" s="35">
        <f t="shared" si="325"/>
        <v>29</v>
      </c>
      <c r="Y316" s="35">
        <f t="shared" si="325"/>
        <v>19</v>
      </c>
      <c r="Z316" s="35">
        <f t="shared" si="325"/>
        <v>111</v>
      </c>
      <c r="AA316" s="35">
        <f t="shared" si="325"/>
        <v>213</v>
      </c>
      <c r="AB316" s="35">
        <f t="shared" si="325"/>
        <v>27</v>
      </c>
      <c r="AC316" s="35">
        <f t="shared" si="325"/>
        <v>28</v>
      </c>
      <c r="AD316" s="35">
        <f t="shared" si="325"/>
        <v>76</v>
      </c>
      <c r="AE316" s="35">
        <f t="shared" si="325"/>
        <v>42</v>
      </c>
      <c r="AF316" s="35">
        <f t="shared" si="325"/>
        <v>14</v>
      </c>
      <c r="AG316" s="35">
        <f t="shared" si="325"/>
        <v>30</v>
      </c>
      <c r="AH316" s="35">
        <f t="shared" si="325"/>
        <v>47</v>
      </c>
      <c r="AI316" s="35">
        <f t="shared" si="325"/>
        <v>22</v>
      </c>
      <c r="AJ316" s="35">
        <f t="shared" si="325"/>
        <v>211</v>
      </c>
      <c r="AK316" s="35">
        <f t="shared" si="325"/>
        <v>39</v>
      </c>
      <c r="AL316" s="35">
        <f t="shared" si="325"/>
        <v>72</v>
      </c>
      <c r="AM316" s="35">
        <f t="shared" si="325"/>
        <v>33</v>
      </c>
      <c r="AN316" s="35">
        <f t="shared" si="325"/>
        <v>26</v>
      </c>
      <c r="AO316" s="35">
        <f t="shared" si="325"/>
        <v>43</v>
      </c>
      <c r="AP316" s="35">
        <f t="shared" si="325"/>
        <v>10</v>
      </c>
    </row>
    <row r="317" spans="1:42" ht="13">
      <c r="A317" s="36">
        <v>44236</v>
      </c>
      <c r="B317" s="35">
        <v>17652</v>
      </c>
      <c r="C317" s="35">
        <v>13424</v>
      </c>
      <c r="D317" s="35">
        <v>12530</v>
      </c>
      <c r="E317" s="35">
        <v>21199</v>
      </c>
      <c r="F317" s="35">
        <v>70267</v>
      </c>
      <c r="G317" s="35">
        <v>17156</v>
      </c>
      <c r="H317" s="35">
        <v>14577</v>
      </c>
      <c r="I317" s="35">
        <v>21037</v>
      </c>
      <c r="J317" s="35">
        <v>21366</v>
      </c>
      <c r="K317" s="35">
        <v>10519</v>
      </c>
      <c r="L317" s="35">
        <v>14330</v>
      </c>
      <c r="M317" s="35">
        <v>12013</v>
      </c>
      <c r="N317" s="35">
        <v>9268</v>
      </c>
      <c r="O317" s="35">
        <v>47209</v>
      </c>
      <c r="P317" s="35">
        <v>10952</v>
      </c>
      <c r="Q317" s="35">
        <v>18677</v>
      </c>
      <c r="R317" s="35">
        <v>8350</v>
      </c>
      <c r="S317" s="35">
        <v>11934</v>
      </c>
      <c r="T317" s="35">
        <v>15367</v>
      </c>
      <c r="U317" s="35">
        <v>10907</v>
      </c>
      <c r="V317" s="35">
        <f t="shared" si="309"/>
        <v>378734</v>
      </c>
      <c r="W317" s="35">
        <f t="shared" ref="W317:AP317" si="326">B317-B316</f>
        <v>66</v>
      </c>
      <c r="X317" s="35">
        <f t="shared" si="326"/>
        <v>47</v>
      </c>
      <c r="Y317" s="35">
        <f t="shared" si="326"/>
        <v>32</v>
      </c>
      <c r="Z317" s="35">
        <f t="shared" si="326"/>
        <v>68</v>
      </c>
      <c r="AA317" s="35">
        <f t="shared" si="326"/>
        <v>189</v>
      </c>
      <c r="AB317" s="35">
        <f t="shared" si="326"/>
        <v>45</v>
      </c>
      <c r="AC317" s="35">
        <f t="shared" si="326"/>
        <v>58</v>
      </c>
      <c r="AD317" s="35">
        <f t="shared" si="326"/>
        <v>28</v>
      </c>
      <c r="AE317" s="35">
        <f t="shared" si="326"/>
        <v>56</v>
      </c>
      <c r="AF317" s="35">
        <f t="shared" si="326"/>
        <v>29</v>
      </c>
      <c r="AG317" s="35">
        <f t="shared" si="326"/>
        <v>27</v>
      </c>
      <c r="AH317" s="35">
        <f t="shared" si="326"/>
        <v>34</v>
      </c>
      <c r="AI317" s="35">
        <f t="shared" si="326"/>
        <v>32</v>
      </c>
      <c r="AJ317" s="35">
        <f t="shared" si="326"/>
        <v>135</v>
      </c>
      <c r="AK317" s="35">
        <f t="shared" si="326"/>
        <v>40</v>
      </c>
      <c r="AL317" s="35">
        <f t="shared" si="326"/>
        <v>87</v>
      </c>
      <c r="AM317" s="35">
        <f t="shared" si="326"/>
        <v>27</v>
      </c>
      <c r="AN317" s="35">
        <f t="shared" si="326"/>
        <v>25</v>
      </c>
      <c r="AO317" s="35">
        <f t="shared" si="326"/>
        <v>31</v>
      </c>
      <c r="AP317" s="35">
        <f t="shared" si="326"/>
        <v>23</v>
      </c>
    </row>
    <row r="318" spans="1:42" ht="13">
      <c r="A318" s="36">
        <v>44237</v>
      </c>
      <c r="B318" s="35">
        <v>17710</v>
      </c>
      <c r="C318" s="35">
        <v>13483</v>
      </c>
      <c r="D318" s="35">
        <v>12552</v>
      </c>
      <c r="E318" s="35">
        <v>21271</v>
      </c>
      <c r="F318" s="35">
        <v>70500</v>
      </c>
      <c r="G318" s="35">
        <v>17204</v>
      </c>
      <c r="H318" s="35">
        <v>14612</v>
      </c>
      <c r="I318" s="35">
        <v>21098</v>
      </c>
      <c r="J318" s="35">
        <v>21447</v>
      </c>
      <c r="K318" s="35">
        <v>10580</v>
      </c>
      <c r="L318" s="35">
        <v>14365</v>
      </c>
      <c r="M318" s="35">
        <v>12051</v>
      </c>
      <c r="N318" s="35">
        <v>9317</v>
      </c>
      <c r="O318" s="35">
        <v>47384</v>
      </c>
      <c r="P318" s="35">
        <v>11033</v>
      </c>
      <c r="Q318" s="35">
        <v>18722</v>
      </c>
      <c r="R318" s="35">
        <v>8373</v>
      </c>
      <c r="S318" s="35">
        <v>11952</v>
      </c>
      <c r="T318" s="35">
        <v>15432</v>
      </c>
      <c r="U318" s="35">
        <v>10927</v>
      </c>
      <c r="V318" s="35">
        <f t="shared" si="309"/>
        <v>380013</v>
      </c>
      <c r="W318" s="35">
        <f t="shared" ref="W318:AP318" si="327">B318-B317</f>
        <v>58</v>
      </c>
      <c r="X318" s="35">
        <f t="shared" si="327"/>
        <v>59</v>
      </c>
      <c r="Y318" s="35">
        <f t="shared" si="327"/>
        <v>22</v>
      </c>
      <c r="Z318" s="35">
        <f t="shared" si="327"/>
        <v>72</v>
      </c>
      <c r="AA318" s="35">
        <f t="shared" si="327"/>
        <v>233</v>
      </c>
      <c r="AB318" s="35">
        <f t="shared" si="327"/>
        <v>48</v>
      </c>
      <c r="AC318" s="35">
        <f t="shared" si="327"/>
        <v>35</v>
      </c>
      <c r="AD318" s="35">
        <f t="shared" si="327"/>
        <v>61</v>
      </c>
      <c r="AE318" s="35">
        <f t="shared" si="327"/>
        <v>81</v>
      </c>
      <c r="AF318" s="35">
        <f t="shared" si="327"/>
        <v>61</v>
      </c>
      <c r="AG318" s="35">
        <f t="shared" si="327"/>
        <v>35</v>
      </c>
      <c r="AH318" s="35">
        <f t="shared" si="327"/>
        <v>38</v>
      </c>
      <c r="AI318" s="35">
        <f t="shared" si="327"/>
        <v>49</v>
      </c>
      <c r="AJ318" s="35">
        <f t="shared" si="327"/>
        <v>175</v>
      </c>
      <c r="AK318" s="35">
        <f t="shared" si="327"/>
        <v>81</v>
      </c>
      <c r="AL318" s="35">
        <f t="shared" si="327"/>
        <v>45</v>
      </c>
      <c r="AM318" s="35">
        <f t="shared" si="327"/>
        <v>23</v>
      </c>
      <c r="AN318" s="35">
        <f t="shared" si="327"/>
        <v>18</v>
      </c>
      <c r="AO318" s="35">
        <f t="shared" si="327"/>
        <v>65</v>
      </c>
      <c r="AP318" s="35">
        <f t="shared" si="327"/>
        <v>20</v>
      </c>
    </row>
    <row r="319" spans="1:42" ht="13">
      <c r="A319" s="36">
        <v>44238</v>
      </c>
      <c r="B319" s="35">
        <v>17802</v>
      </c>
      <c r="C319" s="35">
        <v>13543</v>
      </c>
      <c r="D319" s="35">
        <v>12593</v>
      </c>
      <c r="E319" s="35">
        <v>21399</v>
      </c>
      <c r="F319" s="35">
        <v>70847</v>
      </c>
      <c r="G319" s="35">
        <v>17293</v>
      </c>
      <c r="H319" s="35">
        <v>14690</v>
      </c>
      <c r="I319" s="35">
        <v>21210</v>
      </c>
      <c r="J319" s="35">
        <v>21520</v>
      </c>
      <c r="K319" s="35">
        <v>10620</v>
      </c>
      <c r="L319" s="35">
        <v>14415</v>
      </c>
      <c r="M319" s="35">
        <v>12113</v>
      </c>
      <c r="N319" s="35">
        <v>9363</v>
      </c>
      <c r="O319" s="35">
        <v>47680</v>
      </c>
      <c r="P319" s="35">
        <v>11107</v>
      </c>
      <c r="Q319" s="35">
        <v>18814</v>
      </c>
      <c r="R319" s="35">
        <v>8449</v>
      </c>
      <c r="S319" s="35">
        <v>11979</v>
      </c>
      <c r="T319" s="35">
        <v>15481</v>
      </c>
      <c r="U319" s="35">
        <v>10957</v>
      </c>
      <c r="V319" s="35">
        <f t="shared" si="309"/>
        <v>381875</v>
      </c>
      <c r="W319" s="35">
        <f t="shared" ref="W319:AP319" si="328">B319-B318</f>
        <v>92</v>
      </c>
      <c r="X319" s="35">
        <f t="shared" si="328"/>
        <v>60</v>
      </c>
      <c r="Y319" s="35">
        <f t="shared" si="328"/>
        <v>41</v>
      </c>
      <c r="Z319" s="35">
        <f t="shared" si="328"/>
        <v>128</v>
      </c>
      <c r="AA319" s="35">
        <f t="shared" si="328"/>
        <v>347</v>
      </c>
      <c r="AB319" s="35">
        <f t="shared" si="328"/>
        <v>89</v>
      </c>
      <c r="AC319" s="35">
        <f t="shared" si="328"/>
        <v>78</v>
      </c>
      <c r="AD319" s="35">
        <f t="shared" si="328"/>
        <v>112</v>
      </c>
      <c r="AE319" s="35">
        <f t="shared" si="328"/>
        <v>73</v>
      </c>
      <c r="AF319" s="35">
        <f t="shared" si="328"/>
        <v>40</v>
      </c>
      <c r="AG319" s="35">
        <f t="shared" si="328"/>
        <v>50</v>
      </c>
      <c r="AH319" s="35">
        <f t="shared" si="328"/>
        <v>62</v>
      </c>
      <c r="AI319" s="35">
        <f t="shared" si="328"/>
        <v>46</v>
      </c>
      <c r="AJ319" s="35">
        <f t="shared" si="328"/>
        <v>296</v>
      </c>
      <c r="AK319" s="35">
        <f t="shared" si="328"/>
        <v>74</v>
      </c>
      <c r="AL319" s="35">
        <f t="shared" si="328"/>
        <v>92</v>
      </c>
      <c r="AM319" s="35">
        <f t="shared" si="328"/>
        <v>76</v>
      </c>
      <c r="AN319" s="35">
        <f t="shared" si="328"/>
        <v>27</v>
      </c>
      <c r="AO319" s="35">
        <f t="shared" si="328"/>
        <v>49</v>
      </c>
      <c r="AP319" s="35">
        <f t="shared" si="328"/>
        <v>30</v>
      </c>
    </row>
    <row r="320" spans="1:42" ht="13">
      <c r="A320" s="36">
        <v>44239</v>
      </c>
      <c r="B320" s="35">
        <v>17894</v>
      </c>
      <c r="C320" s="35">
        <v>13600</v>
      </c>
      <c r="D320" s="35">
        <v>12628</v>
      </c>
      <c r="E320" s="35">
        <v>21557</v>
      </c>
      <c r="F320" s="35">
        <v>71219</v>
      </c>
      <c r="G320" s="35">
        <v>17371</v>
      </c>
      <c r="H320" s="35">
        <v>14724</v>
      </c>
      <c r="I320" s="35">
        <v>21323</v>
      </c>
      <c r="J320" s="35">
        <v>21598</v>
      </c>
      <c r="K320" s="35">
        <v>10660</v>
      </c>
      <c r="L320" s="35">
        <v>14450</v>
      </c>
      <c r="M320" s="35">
        <v>12214</v>
      </c>
      <c r="N320" s="35">
        <v>9417</v>
      </c>
      <c r="O320" s="35">
        <v>47920</v>
      </c>
      <c r="P320" s="35">
        <v>11186</v>
      </c>
      <c r="Q320" s="35">
        <v>18928</v>
      </c>
      <c r="R320" s="35">
        <v>8512</v>
      </c>
      <c r="S320" s="35">
        <v>12005</v>
      </c>
      <c r="T320" s="35">
        <v>15552</v>
      </c>
      <c r="U320" s="35">
        <v>10977</v>
      </c>
      <c r="V320" s="35">
        <f t="shared" si="309"/>
        <v>383735</v>
      </c>
      <c r="W320" s="35">
        <f t="shared" ref="W320:AP320" si="329">B320-B319</f>
        <v>92</v>
      </c>
      <c r="X320" s="35">
        <f t="shared" si="329"/>
        <v>57</v>
      </c>
      <c r="Y320" s="35">
        <f t="shared" si="329"/>
        <v>35</v>
      </c>
      <c r="Z320" s="35">
        <f t="shared" si="329"/>
        <v>158</v>
      </c>
      <c r="AA320" s="35">
        <f t="shared" si="329"/>
        <v>372</v>
      </c>
      <c r="AB320" s="35">
        <f t="shared" si="329"/>
        <v>78</v>
      </c>
      <c r="AC320" s="35">
        <f t="shared" si="329"/>
        <v>34</v>
      </c>
      <c r="AD320" s="35">
        <f t="shared" si="329"/>
        <v>113</v>
      </c>
      <c r="AE320" s="35">
        <f t="shared" si="329"/>
        <v>78</v>
      </c>
      <c r="AF320" s="35">
        <f t="shared" si="329"/>
        <v>40</v>
      </c>
      <c r="AG320" s="35">
        <f t="shared" si="329"/>
        <v>35</v>
      </c>
      <c r="AH320" s="35">
        <f t="shared" si="329"/>
        <v>101</v>
      </c>
      <c r="AI320" s="35">
        <f t="shared" si="329"/>
        <v>54</v>
      </c>
      <c r="AJ320" s="35">
        <f t="shared" si="329"/>
        <v>240</v>
      </c>
      <c r="AK320" s="35">
        <f t="shared" si="329"/>
        <v>79</v>
      </c>
      <c r="AL320" s="35">
        <f t="shared" si="329"/>
        <v>114</v>
      </c>
      <c r="AM320" s="35">
        <f t="shared" si="329"/>
        <v>63</v>
      </c>
      <c r="AN320" s="35">
        <f t="shared" si="329"/>
        <v>26</v>
      </c>
      <c r="AO320" s="35">
        <f t="shared" si="329"/>
        <v>71</v>
      </c>
      <c r="AP320" s="35">
        <f t="shared" si="329"/>
        <v>20</v>
      </c>
    </row>
    <row r="321" spans="1:42" ht="13">
      <c r="A321" s="36">
        <v>44240</v>
      </c>
      <c r="B321" s="35">
        <v>18008</v>
      </c>
      <c r="C321" s="35">
        <v>13661</v>
      </c>
      <c r="D321" s="35">
        <v>12664</v>
      </c>
      <c r="E321" s="35">
        <v>21687</v>
      </c>
      <c r="F321" s="35">
        <v>71728</v>
      </c>
      <c r="G321" s="35">
        <v>17431</v>
      </c>
      <c r="H321" s="35">
        <v>14814</v>
      </c>
      <c r="I321" s="35">
        <v>21431</v>
      </c>
      <c r="J321" s="35">
        <v>21682</v>
      </c>
      <c r="K321" s="35">
        <v>10710</v>
      </c>
      <c r="L321" s="35">
        <v>14479</v>
      </c>
      <c r="M321" s="35">
        <v>12302</v>
      </c>
      <c r="N321" s="35">
        <v>9454</v>
      </c>
      <c r="O321" s="35">
        <v>48247</v>
      </c>
      <c r="P321" s="35">
        <v>11271</v>
      </c>
      <c r="Q321" s="35">
        <v>19000</v>
      </c>
      <c r="R321" s="35">
        <v>8566</v>
      </c>
      <c r="S321" s="35">
        <v>12037</v>
      </c>
      <c r="T321" s="35">
        <v>15577</v>
      </c>
      <c r="U321" s="35">
        <v>11006</v>
      </c>
      <c r="V321" s="35">
        <f t="shared" si="309"/>
        <v>385755</v>
      </c>
      <c r="W321" s="35">
        <f t="shared" ref="W321:AP321" si="330">B321-B320</f>
        <v>114</v>
      </c>
      <c r="X321" s="35">
        <f t="shared" si="330"/>
        <v>61</v>
      </c>
      <c r="Y321" s="35">
        <f t="shared" si="330"/>
        <v>36</v>
      </c>
      <c r="Z321" s="35">
        <f t="shared" si="330"/>
        <v>130</v>
      </c>
      <c r="AA321" s="35">
        <f t="shared" si="330"/>
        <v>509</v>
      </c>
      <c r="AB321" s="35">
        <f t="shared" si="330"/>
        <v>60</v>
      </c>
      <c r="AC321" s="35">
        <f t="shared" si="330"/>
        <v>90</v>
      </c>
      <c r="AD321" s="35">
        <f t="shared" si="330"/>
        <v>108</v>
      </c>
      <c r="AE321" s="35">
        <f t="shared" si="330"/>
        <v>84</v>
      </c>
      <c r="AF321" s="35">
        <f t="shared" si="330"/>
        <v>50</v>
      </c>
      <c r="AG321" s="35">
        <f t="shared" si="330"/>
        <v>29</v>
      </c>
      <c r="AH321" s="35">
        <f t="shared" si="330"/>
        <v>88</v>
      </c>
      <c r="AI321" s="35">
        <f t="shared" si="330"/>
        <v>37</v>
      </c>
      <c r="AJ321" s="35">
        <f t="shared" si="330"/>
        <v>327</v>
      </c>
      <c r="AK321" s="35">
        <f t="shared" si="330"/>
        <v>85</v>
      </c>
      <c r="AL321" s="35">
        <f t="shared" si="330"/>
        <v>72</v>
      </c>
      <c r="AM321" s="35">
        <f t="shared" si="330"/>
        <v>54</v>
      </c>
      <c r="AN321" s="35">
        <f t="shared" si="330"/>
        <v>32</v>
      </c>
      <c r="AO321" s="35">
        <f t="shared" si="330"/>
        <v>25</v>
      </c>
      <c r="AP321" s="35">
        <f t="shared" si="330"/>
        <v>29</v>
      </c>
    </row>
    <row r="322" spans="1:42" ht="13">
      <c r="A322" s="36">
        <v>44241</v>
      </c>
      <c r="B322" s="35">
        <v>18076</v>
      </c>
      <c r="C322" s="35">
        <v>13713</v>
      </c>
      <c r="D322" s="35">
        <v>12689</v>
      </c>
      <c r="E322" s="35">
        <v>21859</v>
      </c>
      <c r="F322" s="35">
        <v>72077</v>
      </c>
      <c r="G322" s="35">
        <v>17490</v>
      </c>
      <c r="H322" s="35">
        <v>14861</v>
      </c>
      <c r="I322" s="35">
        <v>21564</v>
      </c>
      <c r="J322" s="35">
        <v>21752</v>
      </c>
      <c r="K322" s="35">
        <v>10743</v>
      </c>
      <c r="L322" s="35">
        <v>14499</v>
      </c>
      <c r="M322" s="35">
        <v>12442</v>
      </c>
      <c r="N322" s="35">
        <v>9500</v>
      </c>
      <c r="O322" s="35">
        <v>48457</v>
      </c>
      <c r="P322" s="35">
        <v>11340</v>
      </c>
      <c r="Q322" s="35">
        <v>19062</v>
      </c>
      <c r="R322" s="35">
        <v>8613</v>
      </c>
      <c r="S322" s="35">
        <v>12067</v>
      </c>
      <c r="T322" s="35">
        <v>15631</v>
      </c>
      <c r="U322" s="35">
        <v>11027</v>
      </c>
      <c r="V322" s="35">
        <f t="shared" si="309"/>
        <v>387462</v>
      </c>
      <c r="W322" s="35">
        <f t="shared" ref="W322:AP322" si="331">B322-B321</f>
        <v>68</v>
      </c>
      <c r="X322" s="35">
        <f t="shared" si="331"/>
        <v>52</v>
      </c>
      <c r="Y322" s="35">
        <f t="shared" si="331"/>
        <v>25</v>
      </c>
      <c r="Z322" s="35">
        <f t="shared" si="331"/>
        <v>172</v>
      </c>
      <c r="AA322" s="35">
        <f t="shared" si="331"/>
        <v>349</v>
      </c>
      <c r="AB322" s="35">
        <f t="shared" si="331"/>
        <v>59</v>
      </c>
      <c r="AC322" s="35">
        <f t="shared" si="331"/>
        <v>47</v>
      </c>
      <c r="AD322" s="35">
        <f t="shared" si="331"/>
        <v>133</v>
      </c>
      <c r="AE322" s="35">
        <f t="shared" si="331"/>
        <v>70</v>
      </c>
      <c r="AF322" s="35">
        <f t="shared" si="331"/>
        <v>33</v>
      </c>
      <c r="AG322" s="35">
        <f t="shared" si="331"/>
        <v>20</v>
      </c>
      <c r="AH322" s="35">
        <f t="shared" si="331"/>
        <v>140</v>
      </c>
      <c r="AI322" s="35">
        <f t="shared" si="331"/>
        <v>46</v>
      </c>
      <c r="AJ322" s="35">
        <f t="shared" si="331"/>
        <v>210</v>
      </c>
      <c r="AK322" s="35">
        <f t="shared" si="331"/>
        <v>69</v>
      </c>
      <c r="AL322" s="35">
        <f t="shared" si="331"/>
        <v>62</v>
      </c>
      <c r="AM322" s="35">
        <f t="shared" si="331"/>
        <v>47</v>
      </c>
      <c r="AN322" s="35">
        <f t="shared" si="331"/>
        <v>30</v>
      </c>
      <c r="AO322" s="35">
        <f t="shared" si="331"/>
        <v>54</v>
      </c>
      <c r="AP322" s="35">
        <f t="shared" si="331"/>
        <v>21</v>
      </c>
    </row>
    <row r="323" spans="1:42" ht="13">
      <c r="A323" s="36">
        <v>44242</v>
      </c>
      <c r="B323" s="35">
        <v>18161</v>
      </c>
      <c r="C323" s="35">
        <v>13739</v>
      </c>
      <c r="D323" s="35">
        <v>12715</v>
      </c>
      <c r="E323" s="35">
        <v>21943</v>
      </c>
      <c r="F323" s="35">
        <v>72340</v>
      </c>
      <c r="G323" s="35">
        <v>17539</v>
      </c>
      <c r="H323" s="35">
        <v>14903</v>
      </c>
      <c r="I323" s="35">
        <v>21621</v>
      </c>
      <c r="J323" s="35">
        <v>21832</v>
      </c>
      <c r="K323" s="35">
        <v>10765</v>
      </c>
      <c r="L323" s="35">
        <v>14514</v>
      </c>
      <c r="M323" s="35">
        <v>12549</v>
      </c>
      <c r="N323" s="35">
        <v>9517</v>
      </c>
      <c r="O323" s="35">
        <v>48681</v>
      </c>
      <c r="P323" s="35">
        <v>11386</v>
      </c>
      <c r="Q323" s="35">
        <v>19145</v>
      </c>
      <c r="R323" s="35">
        <v>8650</v>
      </c>
      <c r="S323" s="35">
        <v>12095</v>
      </c>
      <c r="T323" s="35">
        <v>15662</v>
      </c>
      <c r="U323" s="35">
        <v>11042</v>
      </c>
      <c r="V323" s="35">
        <f t="shared" si="309"/>
        <v>388799</v>
      </c>
      <c r="W323" s="35">
        <f t="shared" ref="W323:AP323" si="332">B323-B322</f>
        <v>85</v>
      </c>
      <c r="X323" s="35">
        <f t="shared" si="332"/>
        <v>26</v>
      </c>
      <c r="Y323" s="35">
        <f t="shared" si="332"/>
        <v>26</v>
      </c>
      <c r="Z323" s="35">
        <f t="shared" si="332"/>
        <v>84</v>
      </c>
      <c r="AA323" s="35">
        <f t="shared" si="332"/>
        <v>263</v>
      </c>
      <c r="AB323" s="35">
        <f t="shared" si="332"/>
        <v>49</v>
      </c>
      <c r="AC323" s="35">
        <f t="shared" si="332"/>
        <v>42</v>
      </c>
      <c r="AD323" s="35">
        <f t="shared" si="332"/>
        <v>57</v>
      </c>
      <c r="AE323" s="35">
        <f t="shared" si="332"/>
        <v>80</v>
      </c>
      <c r="AF323" s="35">
        <f t="shared" si="332"/>
        <v>22</v>
      </c>
      <c r="AG323" s="35">
        <f t="shared" si="332"/>
        <v>15</v>
      </c>
      <c r="AH323" s="35">
        <f t="shared" si="332"/>
        <v>107</v>
      </c>
      <c r="AI323" s="35">
        <f t="shared" si="332"/>
        <v>17</v>
      </c>
      <c r="AJ323" s="35">
        <f t="shared" si="332"/>
        <v>224</v>
      </c>
      <c r="AK323" s="35">
        <f t="shared" si="332"/>
        <v>46</v>
      </c>
      <c r="AL323" s="35">
        <f t="shared" si="332"/>
        <v>83</v>
      </c>
      <c r="AM323" s="35">
        <f t="shared" si="332"/>
        <v>37</v>
      </c>
      <c r="AN323" s="35">
        <f t="shared" si="332"/>
        <v>28</v>
      </c>
      <c r="AO323" s="35">
        <f t="shared" si="332"/>
        <v>31</v>
      </c>
      <c r="AP323" s="35">
        <f t="shared" si="332"/>
        <v>15</v>
      </c>
    </row>
    <row r="324" spans="1:42" ht="13">
      <c r="A324" s="36">
        <v>44243</v>
      </c>
      <c r="B324" s="35">
        <v>18211</v>
      </c>
      <c r="C324" s="35">
        <v>13761</v>
      </c>
      <c r="D324" s="35">
        <v>12723</v>
      </c>
      <c r="E324" s="35">
        <v>21970</v>
      </c>
      <c r="F324" s="35">
        <v>72532</v>
      </c>
      <c r="G324" s="35">
        <v>17563</v>
      </c>
      <c r="H324" s="35">
        <v>14919</v>
      </c>
      <c r="I324" s="35">
        <v>21644</v>
      </c>
      <c r="J324" s="35">
        <v>21866</v>
      </c>
      <c r="K324" s="35">
        <v>10781</v>
      </c>
      <c r="L324" s="35">
        <v>14523</v>
      </c>
      <c r="M324" s="35">
        <v>12616</v>
      </c>
      <c r="N324" s="35">
        <v>9542</v>
      </c>
      <c r="O324" s="35">
        <v>48833</v>
      </c>
      <c r="P324" s="35">
        <v>11409</v>
      </c>
      <c r="Q324" s="35">
        <v>19220</v>
      </c>
      <c r="R324" s="35">
        <v>8668</v>
      </c>
      <c r="S324" s="35">
        <v>12112</v>
      </c>
      <c r="T324" s="35">
        <v>15673</v>
      </c>
      <c r="U324" s="35">
        <v>11056</v>
      </c>
      <c r="V324" s="35">
        <f t="shared" si="309"/>
        <v>389622</v>
      </c>
      <c r="W324" s="35">
        <f t="shared" ref="W324:AP324" si="333">B324-B323</f>
        <v>50</v>
      </c>
      <c r="X324" s="35">
        <f t="shared" si="333"/>
        <v>22</v>
      </c>
      <c r="Y324" s="35">
        <f t="shared" si="333"/>
        <v>8</v>
      </c>
      <c r="Z324" s="35">
        <f t="shared" si="333"/>
        <v>27</v>
      </c>
      <c r="AA324" s="35">
        <f t="shared" si="333"/>
        <v>192</v>
      </c>
      <c r="AB324" s="35">
        <f t="shared" si="333"/>
        <v>24</v>
      </c>
      <c r="AC324" s="35">
        <f t="shared" si="333"/>
        <v>16</v>
      </c>
      <c r="AD324" s="35">
        <f t="shared" si="333"/>
        <v>23</v>
      </c>
      <c r="AE324" s="35">
        <f t="shared" si="333"/>
        <v>34</v>
      </c>
      <c r="AF324" s="35">
        <f t="shared" si="333"/>
        <v>16</v>
      </c>
      <c r="AG324" s="35">
        <f t="shared" si="333"/>
        <v>9</v>
      </c>
      <c r="AH324" s="35">
        <f t="shared" si="333"/>
        <v>67</v>
      </c>
      <c r="AI324" s="35">
        <f t="shared" si="333"/>
        <v>25</v>
      </c>
      <c r="AJ324" s="35">
        <f t="shared" si="333"/>
        <v>152</v>
      </c>
      <c r="AK324" s="35">
        <f t="shared" si="333"/>
        <v>23</v>
      </c>
      <c r="AL324" s="35">
        <f t="shared" si="333"/>
        <v>75</v>
      </c>
      <c r="AM324" s="35">
        <f t="shared" si="333"/>
        <v>18</v>
      </c>
      <c r="AN324" s="35">
        <f t="shared" si="333"/>
        <v>17</v>
      </c>
      <c r="AO324" s="35">
        <f t="shared" si="333"/>
        <v>11</v>
      </c>
      <c r="AP324" s="35">
        <f t="shared" si="333"/>
        <v>14</v>
      </c>
    </row>
    <row r="325" spans="1:42" ht="13">
      <c r="A325" s="36">
        <v>44244</v>
      </c>
      <c r="B325" s="35">
        <v>18285</v>
      </c>
      <c r="C325" s="35">
        <v>13825</v>
      </c>
      <c r="D325" s="35">
        <v>12752</v>
      </c>
      <c r="E325" s="35">
        <v>22054</v>
      </c>
      <c r="F325" s="35">
        <v>72796</v>
      </c>
      <c r="G325" s="35">
        <v>17636</v>
      </c>
      <c r="H325" s="35">
        <v>14973</v>
      </c>
      <c r="I325" s="35">
        <v>21764</v>
      </c>
      <c r="J325" s="35">
        <v>21950</v>
      </c>
      <c r="K325" s="35">
        <v>10827</v>
      </c>
      <c r="L325" s="35">
        <v>14546</v>
      </c>
      <c r="M325" s="35">
        <v>12677</v>
      </c>
      <c r="N325" s="35">
        <v>9642</v>
      </c>
      <c r="O325" s="35">
        <v>49040</v>
      </c>
      <c r="P325" s="35">
        <v>11502</v>
      </c>
      <c r="Q325" s="35">
        <v>19279</v>
      </c>
      <c r="R325" s="35">
        <v>8689</v>
      </c>
      <c r="S325" s="35">
        <v>12139</v>
      </c>
      <c r="T325" s="35">
        <v>15720</v>
      </c>
      <c r="U325" s="35">
        <v>11074</v>
      </c>
      <c r="V325" s="35">
        <f t="shared" si="309"/>
        <v>391170</v>
      </c>
      <c r="W325" s="35">
        <f t="shared" ref="W325:AP325" si="334">B325-B324</f>
        <v>74</v>
      </c>
      <c r="X325" s="35">
        <f t="shared" si="334"/>
        <v>64</v>
      </c>
      <c r="Y325" s="35">
        <f t="shared" si="334"/>
        <v>29</v>
      </c>
      <c r="Z325" s="35">
        <f t="shared" si="334"/>
        <v>84</v>
      </c>
      <c r="AA325" s="35">
        <f t="shared" si="334"/>
        <v>264</v>
      </c>
      <c r="AB325" s="35">
        <f t="shared" si="334"/>
        <v>73</v>
      </c>
      <c r="AC325" s="35">
        <f t="shared" si="334"/>
        <v>54</v>
      </c>
      <c r="AD325" s="35">
        <f t="shared" si="334"/>
        <v>120</v>
      </c>
      <c r="AE325" s="35">
        <f t="shared" si="334"/>
        <v>84</v>
      </c>
      <c r="AF325" s="35">
        <f t="shared" si="334"/>
        <v>46</v>
      </c>
      <c r="AG325" s="35">
        <f t="shared" si="334"/>
        <v>23</v>
      </c>
      <c r="AH325" s="35">
        <f t="shared" si="334"/>
        <v>61</v>
      </c>
      <c r="AI325" s="35">
        <f t="shared" si="334"/>
        <v>100</v>
      </c>
      <c r="AJ325" s="35">
        <f t="shared" si="334"/>
        <v>207</v>
      </c>
      <c r="AK325" s="35">
        <f t="shared" si="334"/>
        <v>93</v>
      </c>
      <c r="AL325" s="35">
        <f t="shared" si="334"/>
        <v>59</v>
      </c>
      <c r="AM325" s="35">
        <f t="shared" si="334"/>
        <v>21</v>
      </c>
      <c r="AN325" s="35">
        <f t="shared" si="334"/>
        <v>27</v>
      </c>
      <c r="AO325" s="35">
        <f t="shared" si="334"/>
        <v>47</v>
      </c>
      <c r="AP325" s="35">
        <f t="shared" si="334"/>
        <v>18</v>
      </c>
    </row>
    <row r="326" spans="1:42" ht="13">
      <c r="A326" s="36">
        <v>44245</v>
      </c>
      <c r="B326" s="35">
        <v>18432</v>
      </c>
      <c r="C326" s="35">
        <v>13905</v>
      </c>
      <c r="D326" s="35">
        <v>12811</v>
      </c>
      <c r="E326" s="35">
        <v>22273</v>
      </c>
      <c r="F326" s="35">
        <v>73276</v>
      </c>
      <c r="G326" s="35">
        <v>17776</v>
      </c>
      <c r="H326" s="35">
        <v>15107</v>
      </c>
      <c r="I326" s="35">
        <v>21930</v>
      </c>
      <c r="J326" s="35">
        <v>22106</v>
      </c>
      <c r="K326" s="35">
        <v>10888</v>
      </c>
      <c r="L326" s="35">
        <v>14605</v>
      </c>
      <c r="M326" s="35">
        <v>12815</v>
      </c>
      <c r="N326" s="35">
        <v>9758</v>
      </c>
      <c r="O326" s="35">
        <v>49387</v>
      </c>
      <c r="P326" s="35">
        <v>11686</v>
      </c>
      <c r="Q326" s="35">
        <v>19415</v>
      </c>
      <c r="R326" s="35">
        <v>8778</v>
      </c>
      <c r="S326" s="35">
        <v>12174</v>
      </c>
      <c r="T326" s="35">
        <v>15798</v>
      </c>
      <c r="U326" s="35">
        <v>11103</v>
      </c>
      <c r="V326" s="35">
        <f t="shared" si="309"/>
        <v>394023</v>
      </c>
      <c r="W326" s="35">
        <f t="shared" ref="W326:AP326" si="335">B326-B325</f>
        <v>147</v>
      </c>
      <c r="X326" s="35">
        <f t="shared" si="335"/>
        <v>80</v>
      </c>
      <c r="Y326" s="35">
        <f t="shared" si="335"/>
        <v>59</v>
      </c>
      <c r="Z326" s="35">
        <f t="shared" si="335"/>
        <v>219</v>
      </c>
      <c r="AA326" s="35">
        <f t="shared" si="335"/>
        <v>480</v>
      </c>
      <c r="AB326" s="35">
        <f t="shared" si="335"/>
        <v>140</v>
      </c>
      <c r="AC326" s="35">
        <f t="shared" si="335"/>
        <v>134</v>
      </c>
      <c r="AD326" s="35">
        <f t="shared" si="335"/>
        <v>166</v>
      </c>
      <c r="AE326" s="35">
        <f t="shared" si="335"/>
        <v>156</v>
      </c>
      <c r="AF326" s="35">
        <f t="shared" si="335"/>
        <v>61</v>
      </c>
      <c r="AG326" s="35">
        <f t="shared" si="335"/>
        <v>59</v>
      </c>
      <c r="AH326" s="35">
        <f t="shared" si="335"/>
        <v>138</v>
      </c>
      <c r="AI326" s="35">
        <f t="shared" si="335"/>
        <v>116</v>
      </c>
      <c r="AJ326" s="35">
        <f t="shared" si="335"/>
        <v>347</v>
      </c>
      <c r="AK326" s="35">
        <f t="shared" si="335"/>
        <v>184</v>
      </c>
      <c r="AL326" s="35">
        <f t="shared" si="335"/>
        <v>136</v>
      </c>
      <c r="AM326" s="35">
        <f t="shared" si="335"/>
        <v>89</v>
      </c>
      <c r="AN326" s="35">
        <f t="shared" si="335"/>
        <v>35</v>
      </c>
      <c r="AO326" s="35">
        <f t="shared" si="335"/>
        <v>78</v>
      </c>
      <c r="AP326" s="35">
        <f t="shared" si="335"/>
        <v>29</v>
      </c>
    </row>
    <row r="327" spans="1:42" ht="13">
      <c r="A327" s="36">
        <v>44246</v>
      </c>
      <c r="B327" s="35">
        <v>18615</v>
      </c>
      <c r="C327" s="35">
        <v>13999</v>
      </c>
      <c r="D327" s="35">
        <v>12880</v>
      </c>
      <c r="E327" s="35">
        <v>22517</v>
      </c>
      <c r="F327" s="35">
        <v>73853</v>
      </c>
      <c r="G327" s="35">
        <v>17895</v>
      </c>
      <c r="H327" s="35">
        <v>15217</v>
      </c>
      <c r="I327" s="35">
        <v>22116</v>
      </c>
      <c r="J327" s="35">
        <v>22306</v>
      </c>
      <c r="K327" s="35">
        <v>10932</v>
      </c>
      <c r="L327" s="35">
        <v>14645</v>
      </c>
      <c r="M327" s="35">
        <v>12975</v>
      </c>
      <c r="N327" s="35">
        <v>9840</v>
      </c>
      <c r="O327" s="35">
        <v>49760</v>
      </c>
      <c r="P327" s="35">
        <v>11891</v>
      </c>
      <c r="Q327" s="35">
        <v>19573</v>
      </c>
      <c r="R327" s="35">
        <v>8888</v>
      </c>
      <c r="S327" s="35">
        <v>12208</v>
      </c>
      <c r="T327" s="35">
        <v>15865</v>
      </c>
      <c r="U327" s="35">
        <v>11141</v>
      </c>
      <c r="V327" s="35">
        <f t="shared" si="309"/>
        <v>397116</v>
      </c>
      <c r="W327" s="35">
        <f t="shared" ref="W327:AP327" si="336">B327-B326</f>
        <v>183</v>
      </c>
      <c r="X327" s="35">
        <f t="shared" si="336"/>
        <v>94</v>
      </c>
      <c r="Y327" s="35">
        <f t="shared" si="336"/>
        <v>69</v>
      </c>
      <c r="Z327" s="35">
        <f t="shared" si="336"/>
        <v>244</v>
      </c>
      <c r="AA327" s="35">
        <f t="shared" si="336"/>
        <v>577</v>
      </c>
      <c r="AB327" s="35">
        <f t="shared" si="336"/>
        <v>119</v>
      </c>
      <c r="AC327" s="35">
        <f t="shared" si="336"/>
        <v>110</v>
      </c>
      <c r="AD327" s="35">
        <f t="shared" si="336"/>
        <v>186</v>
      </c>
      <c r="AE327" s="35">
        <f t="shared" si="336"/>
        <v>200</v>
      </c>
      <c r="AF327" s="35">
        <f t="shared" si="336"/>
        <v>44</v>
      </c>
      <c r="AG327" s="35">
        <f t="shared" si="336"/>
        <v>40</v>
      </c>
      <c r="AH327" s="35">
        <f t="shared" si="336"/>
        <v>160</v>
      </c>
      <c r="AI327" s="35">
        <f t="shared" si="336"/>
        <v>82</v>
      </c>
      <c r="AJ327" s="35">
        <f t="shared" si="336"/>
        <v>373</v>
      </c>
      <c r="AK327" s="35">
        <f t="shared" si="336"/>
        <v>205</v>
      </c>
      <c r="AL327" s="35">
        <f t="shared" si="336"/>
        <v>158</v>
      </c>
      <c r="AM327" s="35">
        <f t="shared" si="336"/>
        <v>110</v>
      </c>
      <c r="AN327" s="35">
        <f t="shared" si="336"/>
        <v>34</v>
      </c>
      <c r="AO327" s="35">
        <f t="shared" si="336"/>
        <v>67</v>
      </c>
      <c r="AP327" s="35">
        <f t="shared" si="336"/>
        <v>38</v>
      </c>
    </row>
    <row r="328" spans="1:42" ht="13">
      <c r="A328" s="36">
        <v>44247</v>
      </c>
      <c r="B328" s="35">
        <v>18749</v>
      </c>
      <c r="C328" s="35">
        <v>14054</v>
      </c>
      <c r="D328" s="35">
        <v>12916</v>
      </c>
      <c r="E328" s="35">
        <v>22714</v>
      </c>
      <c r="F328" s="35">
        <v>74365</v>
      </c>
      <c r="G328" s="35">
        <v>18019</v>
      </c>
      <c r="H328" s="35">
        <v>15376</v>
      </c>
      <c r="I328" s="35">
        <v>22294</v>
      </c>
      <c r="J328" s="35">
        <v>22451</v>
      </c>
      <c r="K328" s="35">
        <v>10994</v>
      </c>
      <c r="L328" s="35">
        <v>14681</v>
      </c>
      <c r="M328" s="35">
        <v>13168</v>
      </c>
      <c r="N328" s="35">
        <v>9942</v>
      </c>
      <c r="O328" s="35">
        <v>50232</v>
      </c>
      <c r="P328" s="35">
        <v>12070</v>
      </c>
      <c r="Q328" s="35">
        <v>19765</v>
      </c>
      <c r="R328" s="35">
        <v>8973</v>
      </c>
      <c r="S328" s="35">
        <v>12247</v>
      </c>
      <c r="T328" s="35">
        <v>15927</v>
      </c>
      <c r="U328" s="35">
        <v>11174</v>
      </c>
      <c r="V328" s="35">
        <f t="shared" si="309"/>
        <v>400111</v>
      </c>
      <c r="W328" s="35">
        <f t="shared" ref="W328:AP328" si="337">B328-B327</f>
        <v>134</v>
      </c>
      <c r="X328" s="35">
        <f t="shared" si="337"/>
        <v>55</v>
      </c>
      <c r="Y328" s="35">
        <f t="shared" si="337"/>
        <v>36</v>
      </c>
      <c r="Z328" s="35">
        <f t="shared" si="337"/>
        <v>197</v>
      </c>
      <c r="AA328" s="35">
        <f t="shared" si="337"/>
        <v>512</v>
      </c>
      <c r="AB328" s="35">
        <f t="shared" si="337"/>
        <v>124</v>
      </c>
      <c r="AC328" s="35">
        <f t="shared" si="337"/>
        <v>159</v>
      </c>
      <c r="AD328" s="35">
        <f t="shared" si="337"/>
        <v>178</v>
      </c>
      <c r="AE328" s="35">
        <f t="shared" si="337"/>
        <v>145</v>
      </c>
      <c r="AF328" s="35">
        <f t="shared" si="337"/>
        <v>62</v>
      </c>
      <c r="AG328" s="35">
        <f t="shared" si="337"/>
        <v>36</v>
      </c>
      <c r="AH328" s="35">
        <f t="shared" si="337"/>
        <v>193</v>
      </c>
      <c r="AI328" s="35">
        <f t="shared" si="337"/>
        <v>102</v>
      </c>
      <c r="AJ328" s="35">
        <f t="shared" si="337"/>
        <v>472</v>
      </c>
      <c r="AK328" s="35">
        <f t="shared" si="337"/>
        <v>179</v>
      </c>
      <c r="AL328" s="35">
        <f t="shared" si="337"/>
        <v>192</v>
      </c>
      <c r="AM328" s="35">
        <f t="shared" si="337"/>
        <v>85</v>
      </c>
      <c r="AN328" s="35">
        <f t="shared" si="337"/>
        <v>39</v>
      </c>
      <c r="AO328" s="35">
        <f t="shared" si="337"/>
        <v>62</v>
      </c>
      <c r="AP328" s="35">
        <f t="shared" si="337"/>
        <v>33</v>
      </c>
    </row>
    <row r="329" spans="1:42" ht="13">
      <c r="A329" s="36">
        <v>44248</v>
      </c>
      <c r="B329" s="35">
        <v>18877</v>
      </c>
      <c r="C329" s="35">
        <v>14128</v>
      </c>
      <c r="D329" s="35">
        <v>12959</v>
      </c>
      <c r="E329" s="35">
        <v>22994</v>
      </c>
      <c r="F329" s="35">
        <v>75003</v>
      </c>
      <c r="G329" s="35">
        <v>18122</v>
      </c>
      <c r="H329" s="35">
        <v>15472</v>
      </c>
      <c r="I329" s="35">
        <v>22453</v>
      </c>
      <c r="J329" s="35">
        <v>22596</v>
      </c>
      <c r="K329" s="35">
        <v>11035</v>
      </c>
      <c r="L329" s="35">
        <v>14718</v>
      </c>
      <c r="M329" s="35">
        <v>13305</v>
      </c>
      <c r="N329" s="35">
        <v>10048</v>
      </c>
      <c r="O329" s="35">
        <v>50692</v>
      </c>
      <c r="P329" s="35">
        <v>12199</v>
      </c>
      <c r="Q329" s="35">
        <v>19913</v>
      </c>
      <c r="R329" s="35">
        <v>9023</v>
      </c>
      <c r="S329" s="35">
        <v>12302</v>
      </c>
      <c r="T329" s="35">
        <v>15987</v>
      </c>
      <c r="U329" s="35">
        <v>11197</v>
      </c>
      <c r="V329" s="35">
        <f t="shared" si="309"/>
        <v>403023</v>
      </c>
      <c r="W329" s="35">
        <f t="shared" ref="W329:AP329" si="338">B329-B328</f>
        <v>128</v>
      </c>
      <c r="X329" s="35">
        <f t="shared" si="338"/>
        <v>74</v>
      </c>
      <c r="Y329" s="35">
        <f t="shared" si="338"/>
        <v>43</v>
      </c>
      <c r="Z329" s="35">
        <f t="shared" si="338"/>
        <v>280</v>
      </c>
      <c r="AA329" s="35">
        <f t="shared" si="338"/>
        <v>638</v>
      </c>
      <c r="AB329" s="35">
        <f t="shared" si="338"/>
        <v>103</v>
      </c>
      <c r="AC329" s="35">
        <f t="shared" si="338"/>
        <v>96</v>
      </c>
      <c r="AD329" s="35">
        <f t="shared" si="338"/>
        <v>159</v>
      </c>
      <c r="AE329" s="35">
        <f t="shared" si="338"/>
        <v>145</v>
      </c>
      <c r="AF329" s="35">
        <f t="shared" si="338"/>
        <v>41</v>
      </c>
      <c r="AG329" s="35">
        <f t="shared" si="338"/>
        <v>37</v>
      </c>
      <c r="AH329" s="35">
        <f t="shared" si="338"/>
        <v>137</v>
      </c>
      <c r="AI329" s="35">
        <f t="shared" si="338"/>
        <v>106</v>
      </c>
      <c r="AJ329" s="35">
        <f t="shared" si="338"/>
        <v>460</v>
      </c>
      <c r="AK329" s="35">
        <f t="shared" si="338"/>
        <v>129</v>
      </c>
      <c r="AL329" s="35">
        <f t="shared" si="338"/>
        <v>148</v>
      </c>
      <c r="AM329" s="35">
        <f t="shared" si="338"/>
        <v>50</v>
      </c>
      <c r="AN329" s="35">
        <f t="shared" si="338"/>
        <v>55</v>
      </c>
      <c r="AO329" s="35">
        <f t="shared" si="338"/>
        <v>60</v>
      </c>
      <c r="AP329" s="35">
        <f t="shared" si="338"/>
        <v>23</v>
      </c>
    </row>
    <row r="330" spans="1:42" ht="13">
      <c r="A330" s="36">
        <v>44249</v>
      </c>
      <c r="B330" s="35">
        <v>18998</v>
      </c>
      <c r="C330" s="35">
        <v>14169</v>
      </c>
      <c r="D330" s="35">
        <v>13000</v>
      </c>
      <c r="E330" s="35">
        <v>23142</v>
      </c>
      <c r="F330" s="35">
        <v>75627</v>
      </c>
      <c r="G330" s="35">
        <v>18223</v>
      </c>
      <c r="H330" s="35">
        <v>15613</v>
      </c>
      <c r="I330" s="35">
        <v>22655</v>
      </c>
      <c r="J330" s="35">
        <v>22723</v>
      </c>
      <c r="K330" s="35">
        <v>11063</v>
      </c>
      <c r="L330" s="35">
        <v>14753</v>
      </c>
      <c r="M330" s="35">
        <v>13449</v>
      </c>
      <c r="N330" s="35">
        <v>10077</v>
      </c>
      <c r="O330" s="35">
        <v>51135</v>
      </c>
      <c r="P330" s="35">
        <v>12315</v>
      </c>
      <c r="Q330" s="35">
        <v>20010</v>
      </c>
      <c r="R330" s="35">
        <v>9081</v>
      </c>
      <c r="S330" s="35">
        <v>12341</v>
      </c>
      <c r="T330" s="35">
        <v>16044</v>
      </c>
      <c r="U330" s="35">
        <v>11228</v>
      </c>
      <c r="V330" s="35">
        <f t="shared" si="309"/>
        <v>405646</v>
      </c>
      <c r="W330" s="35">
        <f t="shared" ref="W330:AP330" si="339">B330-B329</f>
        <v>121</v>
      </c>
      <c r="X330" s="35">
        <f t="shared" si="339"/>
        <v>41</v>
      </c>
      <c r="Y330" s="35">
        <f t="shared" si="339"/>
        <v>41</v>
      </c>
      <c r="Z330" s="35">
        <f t="shared" si="339"/>
        <v>148</v>
      </c>
      <c r="AA330" s="35">
        <f t="shared" si="339"/>
        <v>624</v>
      </c>
      <c r="AB330" s="35">
        <f t="shared" si="339"/>
        <v>101</v>
      </c>
      <c r="AC330" s="35">
        <f t="shared" si="339"/>
        <v>141</v>
      </c>
      <c r="AD330" s="35">
        <f t="shared" si="339"/>
        <v>202</v>
      </c>
      <c r="AE330" s="35">
        <f t="shared" si="339"/>
        <v>127</v>
      </c>
      <c r="AF330" s="35">
        <f t="shared" si="339"/>
        <v>28</v>
      </c>
      <c r="AG330" s="35">
        <f t="shared" si="339"/>
        <v>35</v>
      </c>
      <c r="AH330" s="35">
        <f t="shared" si="339"/>
        <v>144</v>
      </c>
      <c r="AI330" s="35">
        <f t="shared" si="339"/>
        <v>29</v>
      </c>
      <c r="AJ330" s="35">
        <f t="shared" si="339"/>
        <v>443</v>
      </c>
      <c r="AK330" s="35">
        <f t="shared" si="339"/>
        <v>116</v>
      </c>
      <c r="AL330" s="35">
        <f t="shared" si="339"/>
        <v>97</v>
      </c>
      <c r="AM330" s="35">
        <f t="shared" si="339"/>
        <v>58</v>
      </c>
      <c r="AN330" s="35">
        <f t="shared" si="339"/>
        <v>39</v>
      </c>
      <c r="AO330" s="35">
        <f t="shared" si="339"/>
        <v>57</v>
      </c>
      <c r="AP330" s="35">
        <f t="shared" si="339"/>
        <v>31</v>
      </c>
    </row>
    <row r="331" spans="1:42" ht="13">
      <c r="A331" s="36">
        <v>44250</v>
      </c>
      <c r="B331" s="35">
        <v>19070</v>
      </c>
      <c r="C331" s="35">
        <v>14187</v>
      </c>
      <c r="D331" s="35">
        <v>13029</v>
      </c>
      <c r="E331" s="35">
        <v>23164</v>
      </c>
      <c r="F331" s="35">
        <v>76075</v>
      </c>
      <c r="G331" s="35">
        <v>18272</v>
      </c>
      <c r="H331" s="35">
        <v>15659</v>
      </c>
      <c r="I331" s="35">
        <v>22694</v>
      </c>
      <c r="J331" s="35">
        <v>22769</v>
      </c>
      <c r="K331" s="35">
        <v>11108</v>
      </c>
      <c r="L331" s="35">
        <v>14774</v>
      </c>
      <c r="M331" s="35">
        <v>13613</v>
      </c>
      <c r="N331" s="35">
        <v>10129</v>
      </c>
      <c r="O331" s="35">
        <v>51444</v>
      </c>
      <c r="P331" s="35">
        <v>12389</v>
      </c>
      <c r="Q331" s="35">
        <v>20086</v>
      </c>
      <c r="R331" s="35">
        <v>9117</v>
      </c>
      <c r="S331" s="35">
        <v>12379</v>
      </c>
      <c r="T331" s="35">
        <v>16082</v>
      </c>
      <c r="U331" s="35">
        <v>11234</v>
      </c>
      <c r="V331" s="35">
        <f t="shared" si="309"/>
        <v>407274</v>
      </c>
      <c r="W331" s="35">
        <f t="shared" ref="W331:AP331" si="340">B331-B330</f>
        <v>72</v>
      </c>
      <c r="X331" s="35">
        <f t="shared" si="340"/>
        <v>18</v>
      </c>
      <c r="Y331" s="35">
        <f t="shared" si="340"/>
        <v>29</v>
      </c>
      <c r="Z331" s="35">
        <f t="shared" si="340"/>
        <v>22</v>
      </c>
      <c r="AA331" s="35">
        <f t="shared" si="340"/>
        <v>448</v>
      </c>
      <c r="AB331" s="35">
        <f t="shared" si="340"/>
        <v>49</v>
      </c>
      <c r="AC331" s="35">
        <f t="shared" si="340"/>
        <v>46</v>
      </c>
      <c r="AD331" s="35">
        <f t="shared" si="340"/>
        <v>39</v>
      </c>
      <c r="AE331" s="35">
        <f t="shared" si="340"/>
        <v>46</v>
      </c>
      <c r="AF331" s="35">
        <f t="shared" si="340"/>
        <v>45</v>
      </c>
      <c r="AG331" s="35">
        <f t="shared" si="340"/>
        <v>21</v>
      </c>
      <c r="AH331" s="35">
        <f t="shared" si="340"/>
        <v>164</v>
      </c>
      <c r="AI331" s="35">
        <f t="shared" si="340"/>
        <v>52</v>
      </c>
      <c r="AJ331" s="35">
        <f t="shared" si="340"/>
        <v>309</v>
      </c>
      <c r="AK331" s="35">
        <f t="shared" si="340"/>
        <v>74</v>
      </c>
      <c r="AL331" s="35">
        <f t="shared" si="340"/>
        <v>76</v>
      </c>
      <c r="AM331" s="35">
        <f t="shared" si="340"/>
        <v>36</v>
      </c>
      <c r="AN331" s="35">
        <f t="shared" si="340"/>
        <v>38</v>
      </c>
      <c r="AO331" s="35">
        <f t="shared" si="340"/>
        <v>38</v>
      </c>
      <c r="AP331" s="35">
        <f t="shared" si="340"/>
        <v>6</v>
      </c>
    </row>
    <row r="332" spans="1:42" ht="13">
      <c r="A332" s="36">
        <v>44251</v>
      </c>
      <c r="B332" s="35">
        <v>19165</v>
      </c>
      <c r="C332" s="35">
        <v>14260</v>
      </c>
      <c r="D332" s="35">
        <v>13065</v>
      </c>
      <c r="E332" s="35">
        <v>23296</v>
      </c>
      <c r="F332" s="35">
        <v>76742</v>
      </c>
      <c r="G332" s="35">
        <v>18341</v>
      </c>
      <c r="H332" s="35">
        <v>15769</v>
      </c>
      <c r="I332" s="35">
        <v>22831</v>
      </c>
      <c r="J332" s="35">
        <v>22940</v>
      </c>
      <c r="K332" s="35">
        <v>11140</v>
      </c>
      <c r="L332" s="35">
        <v>14808</v>
      </c>
      <c r="M332" s="35">
        <v>13775</v>
      </c>
      <c r="N332" s="35">
        <v>10253</v>
      </c>
      <c r="O332" s="35">
        <v>52032</v>
      </c>
      <c r="P332" s="35">
        <v>12519</v>
      </c>
      <c r="Q332" s="35">
        <v>20164</v>
      </c>
      <c r="R332" s="35">
        <v>9165</v>
      </c>
      <c r="S332" s="35">
        <v>12425</v>
      </c>
      <c r="T332" s="35">
        <v>16167</v>
      </c>
      <c r="U332" s="35">
        <v>11272</v>
      </c>
      <c r="V332" s="35">
        <f t="shared" si="309"/>
        <v>410129</v>
      </c>
      <c r="W332" s="35">
        <f t="shared" ref="W332:AP332" si="341">B332-B331</f>
        <v>95</v>
      </c>
      <c r="X332" s="35">
        <f t="shared" si="341"/>
        <v>73</v>
      </c>
      <c r="Y332" s="35">
        <f t="shared" si="341"/>
        <v>36</v>
      </c>
      <c r="Z332" s="35">
        <f t="shared" si="341"/>
        <v>132</v>
      </c>
      <c r="AA332" s="35">
        <f t="shared" si="341"/>
        <v>667</v>
      </c>
      <c r="AB332" s="35">
        <f t="shared" si="341"/>
        <v>69</v>
      </c>
      <c r="AC332" s="35">
        <f t="shared" si="341"/>
        <v>110</v>
      </c>
      <c r="AD332" s="35">
        <f t="shared" si="341"/>
        <v>137</v>
      </c>
      <c r="AE332" s="35">
        <f t="shared" si="341"/>
        <v>171</v>
      </c>
      <c r="AF332" s="35">
        <f t="shared" si="341"/>
        <v>32</v>
      </c>
      <c r="AG332" s="35">
        <f t="shared" si="341"/>
        <v>34</v>
      </c>
      <c r="AH332" s="35">
        <f t="shared" si="341"/>
        <v>162</v>
      </c>
      <c r="AI332" s="35">
        <f t="shared" si="341"/>
        <v>124</v>
      </c>
      <c r="AJ332" s="35">
        <f t="shared" si="341"/>
        <v>588</v>
      </c>
      <c r="AK332" s="35">
        <f t="shared" si="341"/>
        <v>130</v>
      </c>
      <c r="AL332" s="35">
        <f t="shared" si="341"/>
        <v>78</v>
      </c>
      <c r="AM332" s="35">
        <f t="shared" si="341"/>
        <v>48</v>
      </c>
      <c r="AN332" s="35">
        <f t="shared" si="341"/>
        <v>46</v>
      </c>
      <c r="AO332" s="35">
        <f t="shared" si="341"/>
        <v>85</v>
      </c>
      <c r="AP332" s="35">
        <f t="shared" si="341"/>
        <v>38</v>
      </c>
    </row>
    <row r="333" spans="1:42" ht="13">
      <c r="A333" s="36">
        <v>44252</v>
      </c>
      <c r="B333" s="35">
        <v>19398</v>
      </c>
      <c r="C333" s="35">
        <v>14377</v>
      </c>
      <c r="D333" s="35">
        <v>13153</v>
      </c>
      <c r="E333" s="35">
        <v>23541</v>
      </c>
      <c r="F333" s="35">
        <v>77583</v>
      </c>
      <c r="G333" s="35">
        <v>18524</v>
      </c>
      <c r="H333" s="35">
        <v>16041</v>
      </c>
      <c r="I333" s="35">
        <v>23071</v>
      </c>
      <c r="J333" s="35">
        <v>23183</v>
      </c>
      <c r="K333" s="35">
        <v>11220</v>
      </c>
      <c r="L333" s="35">
        <v>14858</v>
      </c>
      <c r="M333" s="35">
        <v>13929</v>
      </c>
      <c r="N333" s="35">
        <v>10430</v>
      </c>
      <c r="O333" s="35">
        <v>52779</v>
      </c>
      <c r="P333" s="35">
        <v>12708</v>
      </c>
      <c r="Q333" s="35">
        <v>20364</v>
      </c>
      <c r="R333" s="35">
        <v>9278</v>
      </c>
      <c r="S333" s="35">
        <v>12485</v>
      </c>
      <c r="T333" s="35">
        <v>16265</v>
      </c>
      <c r="U333" s="35">
        <v>11327</v>
      </c>
      <c r="V333" s="35">
        <f t="shared" si="309"/>
        <v>414514</v>
      </c>
      <c r="W333" s="35">
        <f t="shared" ref="W333:AP333" si="342">B333-B332</f>
        <v>233</v>
      </c>
      <c r="X333" s="35">
        <f t="shared" si="342"/>
        <v>117</v>
      </c>
      <c r="Y333" s="35">
        <f t="shared" si="342"/>
        <v>88</v>
      </c>
      <c r="Z333" s="35">
        <f t="shared" si="342"/>
        <v>245</v>
      </c>
      <c r="AA333" s="35">
        <f t="shared" si="342"/>
        <v>841</v>
      </c>
      <c r="AB333" s="35">
        <f t="shared" si="342"/>
        <v>183</v>
      </c>
      <c r="AC333" s="35">
        <f t="shared" si="342"/>
        <v>272</v>
      </c>
      <c r="AD333" s="35">
        <f t="shared" si="342"/>
        <v>240</v>
      </c>
      <c r="AE333" s="35">
        <f t="shared" si="342"/>
        <v>243</v>
      </c>
      <c r="AF333" s="35">
        <f t="shared" si="342"/>
        <v>80</v>
      </c>
      <c r="AG333" s="35">
        <f t="shared" si="342"/>
        <v>50</v>
      </c>
      <c r="AH333" s="35">
        <f t="shared" si="342"/>
        <v>154</v>
      </c>
      <c r="AI333" s="35">
        <f t="shared" si="342"/>
        <v>177</v>
      </c>
      <c r="AJ333" s="35">
        <f t="shared" si="342"/>
        <v>747</v>
      </c>
      <c r="AK333" s="35">
        <f t="shared" si="342"/>
        <v>189</v>
      </c>
      <c r="AL333" s="35">
        <f t="shared" si="342"/>
        <v>200</v>
      </c>
      <c r="AM333" s="35">
        <f t="shared" si="342"/>
        <v>113</v>
      </c>
      <c r="AN333" s="35">
        <f t="shared" si="342"/>
        <v>60</v>
      </c>
      <c r="AO333" s="35">
        <f t="shared" si="342"/>
        <v>98</v>
      </c>
      <c r="AP333" s="35">
        <f t="shared" si="342"/>
        <v>55</v>
      </c>
    </row>
    <row r="334" spans="1:42" ht="13">
      <c r="A334" s="36">
        <v>44253</v>
      </c>
      <c r="B334" s="35">
        <v>19592</v>
      </c>
      <c r="C334" s="35">
        <v>14463</v>
      </c>
      <c r="D334" s="35">
        <v>13235</v>
      </c>
      <c r="E334" s="35">
        <v>23946</v>
      </c>
      <c r="F334" s="35">
        <v>78485</v>
      </c>
      <c r="G334" s="35">
        <v>18689</v>
      </c>
      <c r="H334" s="35">
        <v>16287</v>
      </c>
      <c r="I334" s="35">
        <v>23377</v>
      </c>
      <c r="J334" s="35">
        <v>23370</v>
      </c>
      <c r="K334" s="35">
        <v>11320</v>
      </c>
      <c r="L334" s="35">
        <v>14916</v>
      </c>
      <c r="M334" s="35">
        <v>14109</v>
      </c>
      <c r="N334" s="35">
        <v>10608</v>
      </c>
      <c r="O334" s="35">
        <v>53497</v>
      </c>
      <c r="P334" s="35">
        <v>12992</v>
      </c>
      <c r="Q334" s="35">
        <v>20583</v>
      </c>
      <c r="R334" s="35">
        <v>9387</v>
      </c>
      <c r="S334" s="35">
        <v>12580</v>
      </c>
      <c r="T334" s="35">
        <v>16367</v>
      </c>
      <c r="U334" s="35">
        <v>11379</v>
      </c>
      <c r="V334" s="35">
        <f t="shared" si="309"/>
        <v>419182</v>
      </c>
      <c r="W334" s="35">
        <f t="shared" ref="W334:AP334" si="343">B334-B333</f>
        <v>194</v>
      </c>
      <c r="X334" s="35">
        <f t="shared" si="343"/>
        <v>86</v>
      </c>
      <c r="Y334" s="35">
        <f t="shared" si="343"/>
        <v>82</v>
      </c>
      <c r="Z334" s="35">
        <f t="shared" si="343"/>
        <v>405</v>
      </c>
      <c r="AA334" s="35">
        <f t="shared" si="343"/>
        <v>902</v>
      </c>
      <c r="AB334" s="35">
        <f t="shared" si="343"/>
        <v>165</v>
      </c>
      <c r="AC334" s="35">
        <f t="shared" si="343"/>
        <v>246</v>
      </c>
      <c r="AD334" s="35">
        <f t="shared" si="343"/>
        <v>306</v>
      </c>
      <c r="AE334" s="35">
        <f t="shared" si="343"/>
        <v>187</v>
      </c>
      <c r="AF334" s="35">
        <f t="shared" si="343"/>
        <v>100</v>
      </c>
      <c r="AG334" s="35">
        <f t="shared" si="343"/>
        <v>58</v>
      </c>
      <c r="AH334" s="35">
        <f t="shared" si="343"/>
        <v>180</v>
      </c>
      <c r="AI334" s="35">
        <f t="shared" si="343"/>
        <v>178</v>
      </c>
      <c r="AJ334" s="35">
        <f t="shared" si="343"/>
        <v>718</v>
      </c>
      <c r="AK334" s="35">
        <f t="shared" si="343"/>
        <v>284</v>
      </c>
      <c r="AL334" s="35">
        <f t="shared" si="343"/>
        <v>219</v>
      </c>
      <c r="AM334" s="35">
        <f t="shared" si="343"/>
        <v>109</v>
      </c>
      <c r="AN334" s="35">
        <f t="shared" si="343"/>
        <v>95</v>
      </c>
      <c r="AO334" s="35">
        <f t="shared" si="343"/>
        <v>102</v>
      </c>
      <c r="AP334" s="35">
        <f t="shared" si="343"/>
        <v>52</v>
      </c>
    </row>
    <row r="335" spans="1:42" ht="13">
      <c r="A335" s="36">
        <v>44254</v>
      </c>
      <c r="B335" s="35">
        <v>19796</v>
      </c>
      <c r="C335" s="35">
        <v>14550</v>
      </c>
      <c r="D335" s="35">
        <v>13322</v>
      </c>
      <c r="E335" s="35">
        <v>24284</v>
      </c>
      <c r="F335" s="35">
        <v>79401</v>
      </c>
      <c r="G335" s="35">
        <v>18879</v>
      </c>
      <c r="H335" s="35">
        <v>16507</v>
      </c>
      <c r="I335" s="35">
        <v>23737</v>
      </c>
      <c r="J335" s="35">
        <v>23569</v>
      </c>
      <c r="K335" s="35">
        <v>11388</v>
      </c>
      <c r="L335" s="35">
        <v>14976</v>
      </c>
      <c r="M335" s="35">
        <v>14353</v>
      </c>
      <c r="N335" s="35">
        <v>10775</v>
      </c>
      <c r="O335" s="35">
        <v>54323</v>
      </c>
      <c r="P335" s="35">
        <v>13279</v>
      </c>
      <c r="Q335" s="35">
        <v>20882</v>
      </c>
      <c r="R335" s="35">
        <v>9506</v>
      </c>
      <c r="S335" s="35">
        <v>12702</v>
      </c>
      <c r="T335" s="35">
        <v>16468</v>
      </c>
      <c r="U335" s="35">
        <v>11433</v>
      </c>
      <c r="V335" s="35">
        <f t="shared" si="309"/>
        <v>424130</v>
      </c>
      <c r="W335" s="35">
        <f t="shared" ref="W335:AP335" si="344">B335-B334</f>
        <v>204</v>
      </c>
      <c r="X335" s="35">
        <f t="shared" si="344"/>
        <v>87</v>
      </c>
      <c r="Y335" s="35">
        <f t="shared" si="344"/>
        <v>87</v>
      </c>
      <c r="Z335" s="35">
        <f t="shared" si="344"/>
        <v>338</v>
      </c>
      <c r="AA335" s="35">
        <f t="shared" si="344"/>
        <v>916</v>
      </c>
      <c r="AB335" s="35">
        <f t="shared" si="344"/>
        <v>190</v>
      </c>
      <c r="AC335" s="35">
        <f t="shared" si="344"/>
        <v>220</v>
      </c>
      <c r="AD335" s="35">
        <f t="shared" si="344"/>
        <v>360</v>
      </c>
      <c r="AE335" s="35">
        <f t="shared" si="344"/>
        <v>199</v>
      </c>
      <c r="AF335" s="35">
        <f t="shared" si="344"/>
        <v>68</v>
      </c>
      <c r="AG335" s="35">
        <f t="shared" si="344"/>
        <v>60</v>
      </c>
      <c r="AH335" s="35">
        <f t="shared" si="344"/>
        <v>244</v>
      </c>
      <c r="AI335" s="35">
        <f t="shared" si="344"/>
        <v>167</v>
      </c>
      <c r="AJ335" s="35">
        <f t="shared" si="344"/>
        <v>826</v>
      </c>
      <c r="AK335" s="35">
        <f t="shared" si="344"/>
        <v>287</v>
      </c>
      <c r="AL335" s="35">
        <f t="shared" si="344"/>
        <v>299</v>
      </c>
      <c r="AM335" s="35">
        <f t="shared" si="344"/>
        <v>119</v>
      </c>
      <c r="AN335" s="35">
        <f t="shared" si="344"/>
        <v>122</v>
      </c>
      <c r="AO335" s="35">
        <f t="shared" si="344"/>
        <v>101</v>
      </c>
      <c r="AP335" s="35">
        <f t="shared" si="344"/>
        <v>54</v>
      </c>
    </row>
    <row r="336" spans="1:42" ht="13">
      <c r="A336" s="36">
        <v>44255</v>
      </c>
      <c r="B336" s="35">
        <v>19983</v>
      </c>
      <c r="C336" s="35">
        <v>14619</v>
      </c>
      <c r="D336" s="35">
        <v>13386</v>
      </c>
      <c r="E336" s="35">
        <v>24618</v>
      </c>
      <c r="F336" s="35">
        <v>80316</v>
      </c>
      <c r="G336" s="35">
        <v>19030</v>
      </c>
      <c r="H336" s="35">
        <v>16681</v>
      </c>
      <c r="I336" s="35">
        <v>24095</v>
      </c>
      <c r="J336" s="35">
        <v>23792</v>
      </c>
      <c r="K336" s="35">
        <v>11459</v>
      </c>
      <c r="L336" s="35">
        <v>15020</v>
      </c>
      <c r="M336" s="35">
        <v>14591</v>
      </c>
      <c r="N336" s="35">
        <v>10929</v>
      </c>
      <c r="O336" s="35">
        <v>55029</v>
      </c>
      <c r="P336" s="35">
        <v>13563</v>
      </c>
      <c r="Q336" s="35">
        <v>21088</v>
      </c>
      <c r="R336" s="35">
        <v>9600</v>
      </c>
      <c r="S336" s="35">
        <v>12790</v>
      </c>
      <c r="T336" s="35">
        <v>16543</v>
      </c>
      <c r="U336" s="35">
        <v>11467</v>
      </c>
      <c r="V336" s="35">
        <f t="shared" si="309"/>
        <v>428599</v>
      </c>
      <c r="W336" s="35">
        <f t="shared" ref="W336:AP336" si="345">B336-B335</f>
        <v>187</v>
      </c>
      <c r="X336" s="35">
        <f t="shared" si="345"/>
        <v>69</v>
      </c>
      <c r="Y336" s="35">
        <f t="shared" si="345"/>
        <v>64</v>
      </c>
      <c r="Z336" s="35">
        <f t="shared" si="345"/>
        <v>334</v>
      </c>
      <c r="AA336" s="35">
        <f t="shared" si="345"/>
        <v>915</v>
      </c>
      <c r="AB336" s="35">
        <f t="shared" si="345"/>
        <v>151</v>
      </c>
      <c r="AC336" s="35">
        <f t="shared" si="345"/>
        <v>174</v>
      </c>
      <c r="AD336" s="35">
        <f t="shared" si="345"/>
        <v>358</v>
      </c>
      <c r="AE336" s="35">
        <f t="shared" si="345"/>
        <v>223</v>
      </c>
      <c r="AF336" s="35">
        <f t="shared" si="345"/>
        <v>71</v>
      </c>
      <c r="AG336" s="35">
        <f t="shared" si="345"/>
        <v>44</v>
      </c>
      <c r="AH336" s="35">
        <f t="shared" si="345"/>
        <v>238</v>
      </c>
      <c r="AI336" s="35">
        <f t="shared" si="345"/>
        <v>154</v>
      </c>
      <c r="AJ336" s="35">
        <f t="shared" si="345"/>
        <v>706</v>
      </c>
      <c r="AK336" s="35">
        <f t="shared" si="345"/>
        <v>284</v>
      </c>
      <c r="AL336" s="35">
        <f t="shared" si="345"/>
        <v>206</v>
      </c>
      <c r="AM336" s="35">
        <f t="shared" si="345"/>
        <v>94</v>
      </c>
      <c r="AN336" s="35">
        <f t="shared" si="345"/>
        <v>88</v>
      </c>
      <c r="AO336" s="35">
        <f t="shared" si="345"/>
        <v>75</v>
      </c>
      <c r="AP336" s="35">
        <f t="shared" si="345"/>
        <v>34</v>
      </c>
    </row>
    <row r="337" spans="1:42" ht="13">
      <c r="A337" s="36">
        <v>44256</v>
      </c>
      <c r="B337" s="35">
        <v>20134</v>
      </c>
      <c r="C337" s="35">
        <v>14690</v>
      </c>
      <c r="D337" s="35">
        <v>13425</v>
      </c>
      <c r="E337" s="35">
        <v>24848</v>
      </c>
      <c r="F337" s="35">
        <v>81316</v>
      </c>
      <c r="G337" s="35">
        <v>19208</v>
      </c>
      <c r="H337" s="35">
        <v>16893</v>
      </c>
      <c r="I337" s="35">
        <v>24402</v>
      </c>
      <c r="J337" s="35">
        <v>24038</v>
      </c>
      <c r="K337" s="35">
        <v>11530</v>
      </c>
      <c r="L337" s="35">
        <v>15058</v>
      </c>
      <c r="M337" s="35">
        <v>14820</v>
      </c>
      <c r="N337" s="35">
        <v>10994</v>
      </c>
      <c r="O337" s="35">
        <v>55740</v>
      </c>
      <c r="P337" s="35">
        <v>13833</v>
      </c>
      <c r="Q337" s="35">
        <v>21309</v>
      </c>
      <c r="R337" s="35">
        <v>9684</v>
      </c>
      <c r="S337" s="35">
        <v>12838</v>
      </c>
      <c r="T337" s="35">
        <v>16647</v>
      </c>
      <c r="U337" s="35">
        <v>11518</v>
      </c>
      <c r="V337" s="35">
        <f t="shared" si="309"/>
        <v>432925</v>
      </c>
      <c r="W337" s="35">
        <f t="shared" ref="W337:AP337" si="346">B337-B336</f>
        <v>151</v>
      </c>
      <c r="X337" s="35">
        <f t="shared" si="346"/>
        <v>71</v>
      </c>
      <c r="Y337" s="35">
        <f t="shared" si="346"/>
        <v>39</v>
      </c>
      <c r="Z337" s="35">
        <f t="shared" si="346"/>
        <v>230</v>
      </c>
      <c r="AA337" s="35">
        <f t="shared" si="346"/>
        <v>1000</v>
      </c>
      <c r="AB337" s="35">
        <f t="shared" si="346"/>
        <v>178</v>
      </c>
      <c r="AC337" s="35">
        <f t="shared" si="346"/>
        <v>212</v>
      </c>
      <c r="AD337" s="35">
        <f t="shared" si="346"/>
        <v>307</v>
      </c>
      <c r="AE337" s="35">
        <f t="shared" si="346"/>
        <v>246</v>
      </c>
      <c r="AF337" s="35">
        <f t="shared" si="346"/>
        <v>71</v>
      </c>
      <c r="AG337" s="35">
        <f t="shared" si="346"/>
        <v>38</v>
      </c>
      <c r="AH337" s="35">
        <f t="shared" si="346"/>
        <v>229</v>
      </c>
      <c r="AI337" s="35">
        <f t="shared" si="346"/>
        <v>65</v>
      </c>
      <c r="AJ337" s="35">
        <f t="shared" si="346"/>
        <v>711</v>
      </c>
      <c r="AK337" s="35">
        <f t="shared" si="346"/>
        <v>270</v>
      </c>
      <c r="AL337" s="35">
        <f t="shared" si="346"/>
        <v>221</v>
      </c>
      <c r="AM337" s="35">
        <f t="shared" si="346"/>
        <v>84</v>
      </c>
      <c r="AN337" s="35">
        <f t="shared" si="346"/>
        <v>48</v>
      </c>
      <c r="AO337" s="35">
        <f t="shared" si="346"/>
        <v>104</v>
      </c>
      <c r="AP337" s="35">
        <f t="shared" si="346"/>
        <v>51</v>
      </c>
    </row>
    <row r="338" spans="1:42" ht="13">
      <c r="A338" s="36">
        <v>44257</v>
      </c>
      <c r="B338" s="35">
        <v>20222</v>
      </c>
      <c r="C338" s="35">
        <v>14757</v>
      </c>
      <c r="D338" s="35">
        <v>13461</v>
      </c>
      <c r="E338" s="35">
        <v>24903</v>
      </c>
      <c r="F338" s="35">
        <v>82044</v>
      </c>
      <c r="G338" s="35">
        <v>19295</v>
      </c>
      <c r="H338" s="35">
        <v>16974</v>
      </c>
      <c r="I338" s="35">
        <v>24545</v>
      </c>
      <c r="J338" s="35">
        <v>24150</v>
      </c>
      <c r="K338" s="35">
        <v>11563</v>
      </c>
      <c r="L338" s="35">
        <v>15084</v>
      </c>
      <c r="M338" s="35">
        <v>15026</v>
      </c>
      <c r="N338" s="35">
        <v>11059</v>
      </c>
      <c r="O338" s="35">
        <v>56346</v>
      </c>
      <c r="P338" s="35">
        <v>13970</v>
      </c>
      <c r="Q338" s="35">
        <v>21467</v>
      </c>
      <c r="R338" s="35">
        <v>9722</v>
      </c>
      <c r="S338" s="35">
        <v>12887</v>
      </c>
      <c r="T338" s="35">
        <v>16676</v>
      </c>
      <c r="U338" s="35">
        <v>11538</v>
      </c>
      <c r="V338" s="35">
        <f t="shared" si="309"/>
        <v>435689</v>
      </c>
      <c r="W338" s="35">
        <f t="shared" ref="W338:AP338" si="347">B338-B337</f>
        <v>88</v>
      </c>
      <c r="X338" s="35">
        <f t="shared" si="347"/>
        <v>67</v>
      </c>
      <c r="Y338" s="35">
        <f t="shared" si="347"/>
        <v>36</v>
      </c>
      <c r="Z338" s="35">
        <f t="shared" si="347"/>
        <v>55</v>
      </c>
      <c r="AA338" s="35">
        <f t="shared" si="347"/>
        <v>728</v>
      </c>
      <c r="AB338" s="35">
        <f t="shared" si="347"/>
        <v>87</v>
      </c>
      <c r="AC338" s="35">
        <f t="shared" si="347"/>
        <v>81</v>
      </c>
      <c r="AD338" s="35">
        <f t="shared" si="347"/>
        <v>143</v>
      </c>
      <c r="AE338" s="35">
        <f t="shared" si="347"/>
        <v>112</v>
      </c>
      <c r="AF338" s="35">
        <f t="shared" si="347"/>
        <v>33</v>
      </c>
      <c r="AG338" s="35">
        <f t="shared" si="347"/>
        <v>26</v>
      </c>
      <c r="AH338" s="35">
        <f t="shared" si="347"/>
        <v>206</v>
      </c>
      <c r="AI338" s="35">
        <f t="shared" si="347"/>
        <v>65</v>
      </c>
      <c r="AJ338" s="35">
        <f t="shared" si="347"/>
        <v>606</v>
      </c>
      <c r="AK338" s="35">
        <f t="shared" si="347"/>
        <v>137</v>
      </c>
      <c r="AL338" s="35">
        <f t="shared" si="347"/>
        <v>158</v>
      </c>
      <c r="AM338" s="35">
        <f t="shared" si="347"/>
        <v>38</v>
      </c>
      <c r="AN338" s="35">
        <f t="shared" si="347"/>
        <v>49</v>
      </c>
      <c r="AO338" s="35">
        <f t="shared" si="347"/>
        <v>29</v>
      </c>
      <c r="AP338" s="35">
        <f t="shared" si="347"/>
        <v>20</v>
      </c>
    </row>
    <row r="339" spans="1:42" ht="13">
      <c r="A339" s="36">
        <v>44258</v>
      </c>
      <c r="B339" s="35">
        <v>20353</v>
      </c>
      <c r="C339" s="35">
        <v>14849</v>
      </c>
      <c r="D339" s="35">
        <v>13515</v>
      </c>
      <c r="E339" s="35">
        <v>25093</v>
      </c>
      <c r="F339" s="35">
        <v>82968</v>
      </c>
      <c r="G339" s="35">
        <v>19431</v>
      </c>
      <c r="H339" s="35">
        <v>17117</v>
      </c>
      <c r="I339" s="35">
        <v>24759</v>
      </c>
      <c r="J339" s="35">
        <v>24334</v>
      </c>
      <c r="K339" s="35">
        <v>11671</v>
      </c>
      <c r="L339" s="35">
        <v>15121</v>
      </c>
      <c r="M339" s="35">
        <v>15324</v>
      </c>
      <c r="N339" s="35">
        <v>11250</v>
      </c>
      <c r="O339" s="35">
        <v>57093</v>
      </c>
      <c r="P339" s="35">
        <v>14212</v>
      </c>
      <c r="Q339" s="35">
        <v>21657</v>
      </c>
      <c r="R339" s="35">
        <v>9806</v>
      </c>
      <c r="S339" s="35">
        <v>12956</v>
      </c>
      <c r="T339" s="35">
        <v>16816</v>
      </c>
      <c r="U339" s="35">
        <v>11575</v>
      </c>
      <c r="V339" s="35">
        <f t="shared" si="309"/>
        <v>439900</v>
      </c>
      <c r="W339" s="35">
        <f t="shared" ref="W339:AP339" si="348">B339-B338</f>
        <v>131</v>
      </c>
      <c r="X339" s="35">
        <f t="shared" si="348"/>
        <v>92</v>
      </c>
      <c r="Y339" s="35">
        <f t="shared" si="348"/>
        <v>54</v>
      </c>
      <c r="Z339" s="35">
        <f t="shared" si="348"/>
        <v>190</v>
      </c>
      <c r="AA339" s="35">
        <f t="shared" si="348"/>
        <v>924</v>
      </c>
      <c r="AB339" s="35">
        <f t="shared" si="348"/>
        <v>136</v>
      </c>
      <c r="AC339" s="35">
        <f t="shared" si="348"/>
        <v>143</v>
      </c>
      <c r="AD339" s="35">
        <f t="shared" si="348"/>
        <v>214</v>
      </c>
      <c r="AE339" s="35">
        <f t="shared" si="348"/>
        <v>184</v>
      </c>
      <c r="AF339" s="35">
        <f t="shared" si="348"/>
        <v>108</v>
      </c>
      <c r="AG339" s="35">
        <f t="shared" si="348"/>
        <v>37</v>
      </c>
      <c r="AH339" s="35">
        <f t="shared" si="348"/>
        <v>298</v>
      </c>
      <c r="AI339" s="35">
        <f t="shared" si="348"/>
        <v>191</v>
      </c>
      <c r="AJ339" s="35">
        <f t="shared" si="348"/>
        <v>747</v>
      </c>
      <c r="AK339" s="35">
        <f t="shared" si="348"/>
        <v>242</v>
      </c>
      <c r="AL339" s="35">
        <f t="shared" si="348"/>
        <v>190</v>
      </c>
      <c r="AM339" s="35">
        <f t="shared" si="348"/>
        <v>84</v>
      </c>
      <c r="AN339" s="35">
        <f t="shared" si="348"/>
        <v>69</v>
      </c>
      <c r="AO339" s="35">
        <f t="shared" si="348"/>
        <v>140</v>
      </c>
      <c r="AP339" s="35">
        <f t="shared" si="348"/>
        <v>37</v>
      </c>
    </row>
    <row r="340" spans="1:42" ht="13">
      <c r="A340" s="36">
        <v>44259</v>
      </c>
      <c r="B340" s="35">
        <v>20652</v>
      </c>
      <c r="C340" s="35">
        <v>14992</v>
      </c>
      <c r="D340" s="35">
        <v>13639</v>
      </c>
      <c r="E340" s="35">
        <v>25447</v>
      </c>
      <c r="F340" s="35">
        <v>84210</v>
      </c>
      <c r="G340" s="35">
        <v>19746</v>
      </c>
      <c r="H340" s="35">
        <v>17453</v>
      </c>
      <c r="I340" s="35">
        <v>25165</v>
      </c>
      <c r="J340" s="35">
        <v>24675</v>
      </c>
      <c r="K340" s="35">
        <v>11769</v>
      </c>
      <c r="L340" s="35">
        <v>15201</v>
      </c>
      <c r="M340" s="35">
        <v>15631</v>
      </c>
      <c r="N340" s="35">
        <v>11458</v>
      </c>
      <c r="O340" s="35">
        <v>58003</v>
      </c>
      <c r="P340" s="35">
        <v>14509</v>
      </c>
      <c r="Q340" s="35">
        <v>21980</v>
      </c>
      <c r="R340" s="35">
        <v>9950</v>
      </c>
      <c r="S340" s="35">
        <v>13075</v>
      </c>
      <c r="T340" s="35">
        <v>16978</v>
      </c>
      <c r="U340" s="35">
        <v>11645</v>
      </c>
      <c r="V340" s="35">
        <f t="shared" si="309"/>
        <v>446178</v>
      </c>
      <c r="W340" s="35">
        <f t="shared" ref="W340:AP340" si="349">B340-B339</f>
        <v>299</v>
      </c>
      <c r="X340" s="35">
        <f t="shared" si="349"/>
        <v>143</v>
      </c>
      <c r="Y340" s="35">
        <f t="shared" si="349"/>
        <v>124</v>
      </c>
      <c r="Z340" s="35">
        <f t="shared" si="349"/>
        <v>354</v>
      </c>
      <c r="AA340" s="35">
        <f t="shared" si="349"/>
        <v>1242</v>
      </c>
      <c r="AB340" s="35">
        <f t="shared" si="349"/>
        <v>315</v>
      </c>
      <c r="AC340" s="35">
        <f t="shared" si="349"/>
        <v>336</v>
      </c>
      <c r="AD340" s="35">
        <f t="shared" si="349"/>
        <v>406</v>
      </c>
      <c r="AE340" s="35">
        <f t="shared" si="349"/>
        <v>341</v>
      </c>
      <c r="AF340" s="35">
        <f t="shared" si="349"/>
        <v>98</v>
      </c>
      <c r="AG340" s="35">
        <f t="shared" si="349"/>
        <v>80</v>
      </c>
      <c r="AH340" s="35">
        <f t="shared" si="349"/>
        <v>307</v>
      </c>
      <c r="AI340" s="35">
        <f t="shared" si="349"/>
        <v>208</v>
      </c>
      <c r="AJ340" s="35">
        <f t="shared" si="349"/>
        <v>910</v>
      </c>
      <c r="AK340" s="35">
        <f t="shared" si="349"/>
        <v>297</v>
      </c>
      <c r="AL340" s="35">
        <f t="shared" si="349"/>
        <v>323</v>
      </c>
      <c r="AM340" s="35">
        <f t="shared" si="349"/>
        <v>144</v>
      </c>
      <c r="AN340" s="35">
        <f t="shared" si="349"/>
        <v>119</v>
      </c>
      <c r="AO340" s="35">
        <f t="shared" si="349"/>
        <v>162</v>
      </c>
      <c r="AP340" s="35">
        <f t="shared" si="349"/>
        <v>70</v>
      </c>
    </row>
    <row r="341" spans="1:42" ht="13">
      <c r="A341" s="36">
        <v>44260</v>
      </c>
      <c r="B341" s="35">
        <v>20945</v>
      </c>
      <c r="C341" s="35">
        <v>15135</v>
      </c>
      <c r="D341" s="35">
        <v>13757</v>
      </c>
      <c r="E341" s="35">
        <v>25856</v>
      </c>
      <c r="F341" s="35">
        <v>85273</v>
      </c>
      <c r="G341" s="35">
        <v>20005</v>
      </c>
      <c r="H341" s="35">
        <v>17836</v>
      </c>
      <c r="I341" s="35">
        <v>25677</v>
      </c>
      <c r="J341" s="35">
        <v>25117</v>
      </c>
      <c r="K341" s="35">
        <v>11885</v>
      </c>
      <c r="L341" s="35">
        <v>15303</v>
      </c>
      <c r="M341" s="35">
        <v>15835</v>
      </c>
      <c r="N341" s="35">
        <v>11626</v>
      </c>
      <c r="O341" s="35">
        <v>58861</v>
      </c>
      <c r="P341" s="35">
        <v>14917</v>
      </c>
      <c r="Q341" s="35">
        <v>22339</v>
      </c>
      <c r="R341" s="35">
        <v>10083</v>
      </c>
      <c r="S341" s="35">
        <v>13241</v>
      </c>
      <c r="T341" s="35">
        <v>17138</v>
      </c>
      <c r="U341" s="35">
        <v>11718</v>
      </c>
      <c r="V341" s="35">
        <f t="shared" si="309"/>
        <v>452547</v>
      </c>
      <c r="W341" s="35">
        <f t="shared" ref="W341:AP341" si="350">B341-B340</f>
        <v>293</v>
      </c>
      <c r="X341" s="35">
        <f t="shared" si="350"/>
        <v>143</v>
      </c>
      <c r="Y341" s="35">
        <f t="shared" si="350"/>
        <v>118</v>
      </c>
      <c r="Z341" s="35">
        <f t="shared" si="350"/>
        <v>409</v>
      </c>
      <c r="AA341" s="35">
        <f t="shared" si="350"/>
        <v>1063</v>
      </c>
      <c r="AB341" s="35">
        <f t="shared" si="350"/>
        <v>259</v>
      </c>
      <c r="AC341" s="35">
        <f t="shared" si="350"/>
        <v>383</v>
      </c>
      <c r="AD341" s="35">
        <f t="shared" si="350"/>
        <v>512</v>
      </c>
      <c r="AE341" s="35">
        <f t="shared" si="350"/>
        <v>442</v>
      </c>
      <c r="AF341" s="35">
        <f t="shared" si="350"/>
        <v>116</v>
      </c>
      <c r="AG341" s="35">
        <f t="shared" si="350"/>
        <v>102</v>
      </c>
      <c r="AH341" s="35">
        <f t="shared" si="350"/>
        <v>204</v>
      </c>
      <c r="AI341" s="35">
        <f t="shared" si="350"/>
        <v>168</v>
      </c>
      <c r="AJ341" s="35">
        <f t="shared" si="350"/>
        <v>858</v>
      </c>
      <c r="AK341" s="35">
        <f t="shared" si="350"/>
        <v>408</v>
      </c>
      <c r="AL341" s="35">
        <f t="shared" si="350"/>
        <v>359</v>
      </c>
      <c r="AM341" s="35">
        <f t="shared" si="350"/>
        <v>133</v>
      </c>
      <c r="AN341" s="35">
        <f t="shared" si="350"/>
        <v>166</v>
      </c>
      <c r="AO341" s="35">
        <f t="shared" si="350"/>
        <v>160</v>
      </c>
      <c r="AP341" s="35">
        <f t="shared" si="350"/>
        <v>73</v>
      </c>
    </row>
    <row r="342" spans="1:42" ht="13">
      <c r="A342" s="36">
        <v>44261</v>
      </c>
      <c r="B342" s="35">
        <v>21241</v>
      </c>
      <c r="C342" s="35">
        <v>15310</v>
      </c>
      <c r="D342" s="35">
        <v>13875</v>
      </c>
      <c r="E342" s="35">
        <v>26307</v>
      </c>
      <c r="F342" s="35">
        <v>86635</v>
      </c>
      <c r="G342" s="35">
        <v>20241</v>
      </c>
      <c r="H342" s="35">
        <v>18279</v>
      </c>
      <c r="I342" s="35">
        <v>26165</v>
      </c>
      <c r="J342" s="35">
        <v>25498</v>
      </c>
      <c r="K342" s="35">
        <v>12014</v>
      </c>
      <c r="L342" s="35">
        <v>15388</v>
      </c>
      <c r="M342" s="35">
        <v>16245</v>
      </c>
      <c r="N342" s="35">
        <v>11885</v>
      </c>
      <c r="O342" s="35">
        <v>59981</v>
      </c>
      <c r="P342" s="35">
        <v>15304</v>
      </c>
      <c r="Q342" s="35">
        <v>22683</v>
      </c>
      <c r="R342" s="35">
        <v>10252</v>
      </c>
      <c r="S342" s="35">
        <v>13406</v>
      </c>
      <c r="T342" s="35">
        <v>17324</v>
      </c>
      <c r="U342" s="35">
        <v>11783</v>
      </c>
      <c r="V342" s="35">
        <f t="shared" si="309"/>
        <v>459816</v>
      </c>
      <c r="W342" s="35">
        <f t="shared" ref="W342:AP342" si="351">B342-B341</f>
        <v>296</v>
      </c>
      <c r="X342" s="35">
        <f t="shared" si="351"/>
        <v>175</v>
      </c>
      <c r="Y342" s="35">
        <f t="shared" si="351"/>
        <v>118</v>
      </c>
      <c r="Z342" s="35">
        <f t="shared" si="351"/>
        <v>451</v>
      </c>
      <c r="AA342" s="35">
        <f t="shared" si="351"/>
        <v>1362</v>
      </c>
      <c r="AB342" s="35">
        <f t="shared" si="351"/>
        <v>236</v>
      </c>
      <c r="AC342" s="35">
        <f t="shared" si="351"/>
        <v>443</v>
      </c>
      <c r="AD342" s="35">
        <f t="shared" si="351"/>
        <v>488</v>
      </c>
      <c r="AE342" s="35">
        <f t="shared" si="351"/>
        <v>381</v>
      </c>
      <c r="AF342" s="35">
        <f t="shared" si="351"/>
        <v>129</v>
      </c>
      <c r="AG342" s="35">
        <f t="shared" si="351"/>
        <v>85</v>
      </c>
      <c r="AH342" s="35">
        <f t="shared" si="351"/>
        <v>410</v>
      </c>
      <c r="AI342" s="35">
        <f t="shared" si="351"/>
        <v>259</v>
      </c>
      <c r="AJ342" s="35">
        <f t="shared" si="351"/>
        <v>1120</v>
      </c>
      <c r="AK342" s="35">
        <f t="shared" si="351"/>
        <v>387</v>
      </c>
      <c r="AL342" s="35">
        <f t="shared" si="351"/>
        <v>344</v>
      </c>
      <c r="AM342" s="35">
        <f t="shared" si="351"/>
        <v>169</v>
      </c>
      <c r="AN342" s="35">
        <f t="shared" si="351"/>
        <v>165</v>
      </c>
      <c r="AO342" s="35">
        <f t="shared" si="351"/>
        <v>186</v>
      </c>
      <c r="AP342" s="35">
        <f t="shared" si="351"/>
        <v>65</v>
      </c>
    </row>
    <row r="343" spans="1:42" ht="13">
      <c r="A343" s="36">
        <v>44262</v>
      </c>
      <c r="B343" s="35">
        <v>21533</v>
      </c>
      <c r="C343" s="35">
        <v>15447</v>
      </c>
      <c r="D343" s="35">
        <v>13950</v>
      </c>
      <c r="E343" s="35">
        <v>26690</v>
      </c>
      <c r="F343" s="35">
        <v>87832</v>
      </c>
      <c r="G343" s="35">
        <v>20475</v>
      </c>
      <c r="H343" s="35">
        <v>18656</v>
      </c>
      <c r="I343" s="35">
        <v>26605</v>
      </c>
      <c r="J343" s="35">
        <v>25764</v>
      </c>
      <c r="K343" s="35">
        <v>12167</v>
      </c>
      <c r="L343" s="35">
        <v>15458</v>
      </c>
      <c r="M343" s="35">
        <v>16536</v>
      </c>
      <c r="N343" s="35">
        <v>12087</v>
      </c>
      <c r="O343" s="35">
        <v>60882</v>
      </c>
      <c r="P343" s="35">
        <v>15673</v>
      </c>
      <c r="Q343" s="35">
        <v>23003</v>
      </c>
      <c r="R343" s="35">
        <v>10421</v>
      </c>
      <c r="S343" s="35">
        <v>13551</v>
      </c>
      <c r="T343" s="35">
        <v>17449</v>
      </c>
      <c r="U343" s="35">
        <v>11838</v>
      </c>
      <c r="V343" s="35">
        <f t="shared" si="309"/>
        <v>466017</v>
      </c>
      <c r="W343" s="35">
        <f t="shared" ref="W343:AP343" si="352">B343-B342</f>
        <v>292</v>
      </c>
      <c r="X343" s="35">
        <f t="shared" si="352"/>
        <v>137</v>
      </c>
      <c r="Y343" s="35">
        <f t="shared" si="352"/>
        <v>75</v>
      </c>
      <c r="Z343" s="35">
        <f t="shared" si="352"/>
        <v>383</v>
      </c>
      <c r="AA343" s="35">
        <f t="shared" si="352"/>
        <v>1197</v>
      </c>
      <c r="AB343" s="35">
        <f t="shared" si="352"/>
        <v>234</v>
      </c>
      <c r="AC343" s="35">
        <f t="shared" si="352"/>
        <v>377</v>
      </c>
      <c r="AD343" s="35">
        <f t="shared" si="352"/>
        <v>440</v>
      </c>
      <c r="AE343" s="35">
        <f t="shared" si="352"/>
        <v>266</v>
      </c>
      <c r="AF343" s="35">
        <f t="shared" si="352"/>
        <v>153</v>
      </c>
      <c r="AG343" s="35">
        <f t="shared" si="352"/>
        <v>70</v>
      </c>
      <c r="AH343" s="35">
        <f t="shared" si="352"/>
        <v>291</v>
      </c>
      <c r="AI343" s="35">
        <f t="shared" si="352"/>
        <v>202</v>
      </c>
      <c r="AJ343" s="35">
        <f t="shared" si="352"/>
        <v>901</v>
      </c>
      <c r="AK343" s="35">
        <f t="shared" si="352"/>
        <v>369</v>
      </c>
      <c r="AL343" s="35">
        <f t="shared" si="352"/>
        <v>320</v>
      </c>
      <c r="AM343" s="35">
        <f t="shared" si="352"/>
        <v>169</v>
      </c>
      <c r="AN343" s="35">
        <f t="shared" si="352"/>
        <v>145</v>
      </c>
      <c r="AO343" s="35">
        <f t="shared" si="352"/>
        <v>125</v>
      </c>
      <c r="AP343" s="35">
        <f t="shared" si="352"/>
        <v>55</v>
      </c>
    </row>
    <row r="344" spans="1:42" ht="13">
      <c r="A344" s="36">
        <v>44263</v>
      </c>
      <c r="B344" s="35">
        <v>21650</v>
      </c>
      <c r="C344" s="35">
        <v>15511</v>
      </c>
      <c r="D344" s="35">
        <v>13992</v>
      </c>
      <c r="E344" s="35">
        <v>26909</v>
      </c>
      <c r="F344" s="35">
        <v>88326</v>
      </c>
      <c r="G344" s="35">
        <v>20572</v>
      </c>
      <c r="H344" s="35">
        <v>18733</v>
      </c>
      <c r="I344" s="35">
        <v>26843</v>
      </c>
      <c r="J344" s="35">
        <v>25884</v>
      </c>
      <c r="K344" s="35">
        <v>12210</v>
      </c>
      <c r="L344" s="35">
        <v>15511</v>
      </c>
      <c r="M344" s="35">
        <v>16655</v>
      </c>
      <c r="N344" s="35">
        <v>12119</v>
      </c>
      <c r="O344" s="35">
        <v>61305</v>
      </c>
      <c r="P344" s="35">
        <v>15810</v>
      </c>
      <c r="Q344" s="35">
        <v>23178</v>
      </c>
      <c r="R344" s="35">
        <v>10486</v>
      </c>
      <c r="S344" s="35">
        <v>13623</v>
      </c>
      <c r="T344" s="35">
        <v>17520</v>
      </c>
      <c r="U344" s="35">
        <v>11876</v>
      </c>
      <c r="V344" s="35">
        <f t="shared" si="309"/>
        <v>468713</v>
      </c>
      <c r="W344" s="35">
        <f t="shared" ref="W344:AP344" si="353">B344-B343</f>
        <v>117</v>
      </c>
      <c r="X344" s="35">
        <f t="shared" si="353"/>
        <v>64</v>
      </c>
      <c r="Y344" s="35">
        <f t="shared" si="353"/>
        <v>42</v>
      </c>
      <c r="Z344" s="35">
        <f t="shared" si="353"/>
        <v>219</v>
      </c>
      <c r="AA344" s="35">
        <f t="shared" si="353"/>
        <v>494</v>
      </c>
      <c r="AB344" s="35">
        <f t="shared" si="353"/>
        <v>97</v>
      </c>
      <c r="AC344" s="35">
        <f t="shared" si="353"/>
        <v>77</v>
      </c>
      <c r="AD344" s="35">
        <f t="shared" si="353"/>
        <v>238</v>
      </c>
      <c r="AE344" s="35">
        <f t="shared" si="353"/>
        <v>120</v>
      </c>
      <c r="AF344" s="35">
        <f t="shared" si="353"/>
        <v>43</v>
      </c>
      <c r="AG344" s="35">
        <f t="shared" si="353"/>
        <v>53</v>
      </c>
      <c r="AH344" s="35">
        <f t="shared" si="353"/>
        <v>119</v>
      </c>
      <c r="AI344" s="35">
        <f t="shared" si="353"/>
        <v>32</v>
      </c>
      <c r="AJ344" s="35">
        <f t="shared" si="353"/>
        <v>423</v>
      </c>
      <c r="AK344" s="35">
        <f t="shared" si="353"/>
        <v>137</v>
      </c>
      <c r="AL344" s="35">
        <f t="shared" si="353"/>
        <v>175</v>
      </c>
      <c r="AM344" s="35">
        <f t="shared" si="353"/>
        <v>65</v>
      </c>
      <c r="AN344" s="35">
        <f t="shared" si="353"/>
        <v>72</v>
      </c>
      <c r="AO344" s="35">
        <f t="shared" si="353"/>
        <v>71</v>
      </c>
      <c r="AP344" s="35">
        <f t="shared" si="353"/>
        <v>38</v>
      </c>
    </row>
    <row r="345" spans="1:42" ht="13">
      <c r="A345" s="36">
        <v>44264</v>
      </c>
      <c r="B345" s="35">
        <v>21872</v>
      </c>
      <c r="C345" s="35">
        <v>15694</v>
      </c>
      <c r="D345" s="35">
        <v>14082</v>
      </c>
      <c r="E345" s="35">
        <v>27045</v>
      </c>
      <c r="F345" s="35">
        <v>89777</v>
      </c>
      <c r="G345" s="35">
        <v>20812</v>
      </c>
      <c r="H345" s="35">
        <v>19043</v>
      </c>
      <c r="I345" s="35">
        <v>27202</v>
      </c>
      <c r="J345" s="35">
        <v>26149</v>
      </c>
      <c r="K345" s="35">
        <v>12326</v>
      </c>
      <c r="L345" s="35">
        <v>15600</v>
      </c>
      <c r="M345" s="35">
        <v>17115</v>
      </c>
      <c r="N345" s="35">
        <v>12232</v>
      </c>
      <c r="O345" s="35">
        <v>62605</v>
      </c>
      <c r="P345" s="35">
        <v>16193</v>
      </c>
      <c r="Q345" s="35">
        <v>23521</v>
      </c>
      <c r="R345" s="35">
        <v>10636</v>
      </c>
      <c r="S345" s="35">
        <v>13726</v>
      </c>
      <c r="T345" s="35">
        <v>17647</v>
      </c>
      <c r="U345" s="35">
        <v>11930</v>
      </c>
      <c r="V345" s="35">
        <f t="shared" si="309"/>
        <v>475207</v>
      </c>
      <c r="W345" s="35">
        <f t="shared" ref="W345:AP345" si="354">B345-B344</f>
        <v>222</v>
      </c>
      <c r="X345" s="35">
        <f t="shared" si="354"/>
        <v>183</v>
      </c>
      <c r="Y345" s="35">
        <f t="shared" si="354"/>
        <v>90</v>
      </c>
      <c r="Z345" s="35">
        <f t="shared" si="354"/>
        <v>136</v>
      </c>
      <c r="AA345" s="35">
        <f t="shared" si="354"/>
        <v>1451</v>
      </c>
      <c r="AB345" s="35">
        <f t="shared" si="354"/>
        <v>240</v>
      </c>
      <c r="AC345" s="35">
        <f t="shared" si="354"/>
        <v>310</v>
      </c>
      <c r="AD345" s="35">
        <f t="shared" si="354"/>
        <v>359</v>
      </c>
      <c r="AE345" s="35">
        <f t="shared" si="354"/>
        <v>265</v>
      </c>
      <c r="AF345" s="35">
        <f t="shared" si="354"/>
        <v>116</v>
      </c>
      <c r="AG345" s="35">
        <f t="shared" si="354"/>
        <v>89</v>
      </c>
      <c r="AH345" s="35">
        <f t="shared" si="354"/>
        <v>460</v>
      </c>
      <c r="AI345" s="35">
        <f t="shared" si="354"/>
        <v>113</v>
      </c>
      <c r="AJ345" s="35">
        <f t="shared" si="354"/>
        <v>1300</v>
      </c>
      <c r="AK345" s="35">
        <f t="shared" si="354"/>
        <v>383</v>
      </c>
      <c r="AL345" s="35">
        <f t="shared" si="354"/>
        <v>343</v>
      </c>
      <c r="AM345" s="35">
        <f t="shared" si="354"/>
        <v>150</v>
      </c>
      <c r="AN345" s="35">
        <f t="shared" si="354"/>
        <v>103</v>
      </c>
      <c r="AO345" s="35">
        <f t="shared" si="354"/>
        <v>127</v>
      </c>
      <c r="AP345" s="35">
        <f t="shared" si="354"/>
        <v>54</v>
      </c>
    </row>
    <row r="346" spans="1:42" ht="13">
      <c r="A346" s="36">
        <v>44265</v>
      </c>
      <c r="B346" s="35">
        <v>22069</v>
      </c>
      <c r="C346" s="35">
        <v>15826</v>
      </c>
      <c r="D346" s="35">
        <v>14145</v>
      </c>
      <c r="E346" s="35">
        <v>27279</v>
      </c>
      <c r="F346" s="35">
        <v>91257</v>
      </c>
      <c r="G346" s="35">
        <v>20982</v>
      </c>
      <c r="H346" s="35">
        <v>19214</v>
      </c>
      <c r="I346" s="35">
        <v>27438</v>
      </c>
      <c r="J346" s="35">
        <v>26432</v>
      </c>
      <c r="K346" s="35">
        <v>12475</v>
      </c>
      <c r="L346" s="35">
        <v>15664</v>
      </c>
      <c r="M346" s="35">
        <v>17430</v>
      </c>
      <c r="N346" s="35">
        <v>12408</v>
      </c>
      <c r="O346" s="35">
        <v>63759</v>
      </c>
      <c r="P346" s="35">
        <v>16407</v>
      </c>
      <c r="Q346" s="35">
        <v>23774</v>
      </c>
      <c r="R346" s="35">
        <v>10696</v>
      </c>
      <c r="S346" s="35">
        <v>13820</v>
      </c>
      <c r="T346" s="35">
        <v>17824</v>
      </c>
      <c r="U346" s="35">
        <v>11961</v>
      </c>
      <c r="V346" s="35">
        <f t="shared" si="309"/>
        <v>480860</v>
      </c>
      <c r="W346" s="35">
        <f t="shared" ref="W346:AP346" si="355">B346-B345</f>
        <v>197</v>
      </c>
      <c r="X346" s="35">
        <f t="shared" si="355"/>
        <v>132</v>
      </c>
      <c r="Y346" s="35">
        <f t="shared" si="355"/>
        <v>63</v>
      </c>
      <c r="Z346" s="35">
        <f t="shared" si="355"/>
        <v>234</v>
      </c>
      <c r="AA346" s="35">
        <f t="shared" si="355"/>
        <v>1480</v>
      </c>
      <c r="AB346" s="35">
        <f t="shared" si="355"/>
        <v>170</v>
      </c>
      <c r="AC346" s="35">
        <f t="shared" si="355"/>
        <v>171</v>
      </c>
      <c r="AD346" s="35">
        <f t="shared" si="355"/>
        <v>236</v>
      </c>
      <c r="AE346" s="35">
        <f t="shared" si="355"/>
        <v>283</v>
      </c>
      <c r="AF346" s="35">
        <f t="shared" si="355"/>
        <v>149</v>
      </c>
      <c r="AG346" s="35">
        <f t="shared" si="355"/>
        <v>64</v>
      </c>
      <c r="AH346" s="35">
        <f t="shared" si="355"/>
        <v>315</v>
      </c>
      <c r="AI346" s="35">
        <f t="shared" si="355"/>
        <v>176</v>
      </c>
      <c r="AJ346" s="35">
        <f t="shared" si="355"/>
        <v>1154</v>
      </c>
      <c r="AK346" s="35">
        <f t="shared" si="355"/>
        <v>214</v>
      </c>
      <c r="AL346" s="35">
        <f t="shared" si="355"/>
        <v>253</v>
      </c>
      <c r="AM346" s="35">
        <f t="shared" si="355"/>
        <v>60</v>
      </c>
      <c r="AN346" s="35">
        <f t="shared" si="355"/>
        <v>94</v>
      </c>
      <c r="AO346" s="35">
        <f t="shared" si="355"/>
        <v>177</v>
      </c>
      <c r="AP346" s="35">
        <f t="shared" si="355"/>
        <v>31</v>
      </c>
    </row>
    <row r="347" spans="1:42" ht="13">
      <c r="A347" s="36">
        <v>44266</v>
      </c>
      <c r="B347" s="35">
        <v>22470</v>
      </c>
      <c r="C347" s="35">
        <v>16042</v>
      </c>
      <c r="D347" s="35">
        <v>14289</v>
      </c>
      <c r="E347" s="35">
        <v>27571</v>
      </c>
      <c r="F347" s="35">
        <v>92872</v>
      </c>
      <c r="G347" s="35">
        <v>21375</v>
      </c>
      <c r="H347" s="35">
        <v>19670</v>
      </c>
      <c r="I347" s="35">
        <v>28090</v>
      </c>
      <c r="J347" s="35">
        <v>26883</v>
      </c>
      <c r="K347" s="35">
        <v>12629</v>
      </c>
      <c r="L347" s="35">
        <v>15787</v>
      </c>
      <c r="M347" s="35">
        <v>17708</v>
      </c>
      <c r="N347" s="35">
        <v>12649</v>
      </c>
      <c r="O347" s="35">
        <v>65206</v>
      </c>
      <c r="P347" s="35">
        <v>16771</v>
      </c>
      <c r="Q347" s="35">
        <v>24285</v>
      </c>
      <c r="R347" s="35">
        <v>10829</v>
      </c>
      <c r="S347" s="35">
        <v>13967</v>
      </c>
      <c r="T347" s="35">
        <v>18005</v>
      </c>
      <c r="U347" s="35">
        <v>12074</v>
      </c>
      <c r="V347" s="35">
        <f t="shared" si="309"/>
        <v>489172</v>
      </c>
      <c r="W347" s="35">
        <f t="shared" ref="W347:AP347" si="356">B347-B346</f>
        <v>401</v>
      </c>
      <c r="X347" s="35">
        <f t="shared" si="356"/>
        <v>216</v>
      </c>
      <c r="Y347" s="35">
        <f t="shared" si="356"/>
        <v>144</v>
      </c>
      <c r="Z347" s="35">
        <f t="shared" si="356"/>
        <v>292</v>
      </c>
      <c r="AA347" s="35">
        <f t="shared" si="356"/>
        <v>1615</v>
      </c>
      <c r="AB347" s="35">
        <f t="shared" si="356"/>
        <v>393</v>
      </c>
      <c r="AC347" s="35">
        <f t="shared" si="356"/>
        <v>456</v>
      </c>
      <c r="AD347" s="35">
        <f t="shared" si="356"/>
        <v>652</v>
      </c>
      <c r="AE347" s="35">
        <f t="shared" si="356"/>
        <v>451</v>
      </c>
      <c r="AF347" s="35">
        <f t="shared" si="356"/>
        <v>154</v>
      </c>
      <c r="AG347" s="35">
        <f t="shared" si="356"/>
        <v>123</v>
      </c>
      <c r="AH347" s="35">
        <f t="shared" si="356"/>
        <v>278</v>
      </c>
      <c r="AI347" s="35">
        <f t="shared" si="356"/>
        <v>241</v>
      </c>
      <c r="AJ347" s="35">
        <f t="shared" si="356"/>
        <v>1447</v>
      </c>
      <c r="AK347" s="35">
        <f t="shared" si="356"/>
        <v>364</v>
      </c>
      <c r="AL347" s="35">
        <f t="shared" si="356"/>
        <v>511</v>
      </c>
      <c r="AM347" s="35">
        <f t="shared" si="356"/>
        <v>133</v>
      </c>
      <c r="AN347" s="35">
        <f t="shared" si="356"/>
        <v>147</v>
      </c>
      <c r="AO347" s="35">
        <f t="shared" si="356"/>
        <v>181</v>
      </c>
      <c r="AP347" s="35">
        <f t="shared" si="356"/>
        <v>113</v>
      </c>
    </row>
    <row r="348" spans="1:42" ht="13">
      <c r="A348" s="36">
        <v>44267</v>
      </c>
      <c r="B348" s="35">
        <v>22828</v>
      </c>
      <c r="C348" s="35">
        <v>16243</v>
      </c>
      <c r="D348" s="35">
        <v>14418</v>
      </c>
      <c r="E348" s="35">
        <v>28110</v>
      </c>
      <c r="F348" s="35">
        <v>94770</v>
      </c>
      <c r="G348" s="35">
        <v>21654</v>
      </c>
      <c r="H348" s="35">
        <v>20191</v>
      </c>
      <c r="I348" s="35">
        <v>28666</v>
      </c>
      <c r="J348" s="35">
        <v>27320</v>
      </c>
      <c r="K348" s="35">
        <v>12746</v>
      </c>
      <c r="L348" s="35">
        <v>15926</v>
      </c>
      <c r="M348" s="35">
        <v>18066</v>
      </c>
      <c r="N348" s="35">
        <v>12890</v>
      </c>
      <c r="O348" s="35">
        <v>66969</v>
      </c>
      <c r="P348" s="35">
        <v>17136</v>
      </c>
      <c r="Q348" s="35">
        <v>24735</v>
      </c>
      <c r="R348" s="35">
        <v>10996</v>
      </c>
      <c r="S348" s="35">
        <v>14144</v>
      </c>
      <c r="T348" s="35">
        <v>18214</v>
      </c>
      <c r="U348" s="35">
        <v>12161</v>
      </c>
      <c r="V348" s="35">
        <f t="shared" si="309"/>
        <v>498183</v>
      </c>
      <c r="W348" s="35">
        <f t="shared" ref="W348:AP348" si="357">B348-B347</f>
        <v>358</v>
      </c>
      <c r="X348" s="35">
        <f t="shared" si="357"/>
        <v>201</v>
      </c>
      <c r="Y348" s="35">
        <f t="shared" si="357"/>
        <v>129</v>
      </c>
      <c r="Z348" s="35">
        <f t="shared" si="357"/>
        <v>539</v>
      </c>
      <c r="AA348" s="35">
        <f t="shared" si="357"/>
        <v>1898</v>
      </c>
      <c r="AB348" s="35">
        <f t="shared" si="357"/>
        <v>279</v>
      </c>
      <c r="AC348" s="35">
        <f t="shared" si="357"/>
        <v>521</v>
      </c>
      <c r="AD348" s="35">
        <f t="shared" si="357"/>
        <v>576</v>
      </c>
      <c r="AE348" s="35">
        <f t="shared" si="357"/>
        <v>437</v>
      </c>
      <c r="AF348" s="35">
        <f t="shared" si="357"/>
        <v>117</v>
      </c>
      <c r="AG348" s="35">
        <f t="shared" si="357"/>
        <v>139</v>
      </c>
      <c r="AH348" s="35">
        <f t="shared" si="357"/>
        <v>358</v>
      </c>
      <c r="AI348" s="35">
        <f t="shared" si="357"/>
        <v>241</v>
      </c>
      <c r="AJ348" s="35">
        <f t="shared" si="357"/>
        <v>1763</v>
      </c>
      <c r="AK348" s="35">
        <f t="shared" si="357"/>
        <v>365</v>
      </c>
      <c r="AL348" s="35">
        <f t="shared" si="357"/>
        <v>450</v>
      </c>
      <c r="AM348" s="35">
        <f t="shared" si="357"/>
        <v>167</v>
      </c>
      <c r="AN348" s="35">
        <f t="shared" si="357"/>
        <v>177</v>
      </c>
      <c r="AO348" s="35">
        <f t="shared" si="357"/>
        <v>209</v>
      </c>
      <c r="AP348" s="35">
        <f t="shared" si="357"/>
        <v>87</v>
      </c>
    </row>
    <row r="349" spans="1:42" ht="13">
      <c r="A349" s="36">
        <v>44268</v>
      </c>
      <c r="B349" s="35">
        <v>23230</v>
      </c>
      <c r="C349" s="35">
        <v>16482</v>
      </c>
      <c r="D349" s="35">
        <v>14567</v>
      </c>
      <c r="E349" s="35">
        <v>28690</v>
      </c>
      <c r="F349" s="35">
        <v>96594</v>
      </c>
      <c r="G349" s="35">
        <v>22022</v>
      </c>
      <c r="H349" s="35">
        <v>20734</v>
      </c>
      <c r="I349" s="35">
        <v>29288</v>
      </c>
      <c r="J349" s="35">
        <v>27768</v>
      </c>
      <c r="K349" s="35">
        <v>12943</v>
      </c>
      <c r="L349" s="35">
        <v>16064</v>
      </c>
      <c r="M349" s="35">
        <v>18439</v>
      </c>
      <c r="N349" s="35">
        <v>13171</v>
      </c>
      <c r="O349" s="35">
        <v>68460</v>
      </c>
      <c r="P349" s="35">
        <v>17624</v>
      </c>
      <c r="Q349" s="35">
        <v>25225</v>
      </c>
      <c r="R349" s="35">
        <v>11159</v>
      </c>
      <c r="S349" s="35">
        <v>14393</v>
      </c>
      <c r="T349" s="35">
        <v>18487</v>
      </c>
      <c r="U349" s="35">
        <v>12287</v>
      </c>
      <c r="V349" s="35">
        <f t="shared" si="309"/>
        <v>507627</v>
      </c>
      <c r="W349" s="35">
        <f t="shared" ref="W349:AP349" si="358">B349-B348</f>
        <v>402</v>
      </c>
      <c r="X349" s="35">
        <f t="shared" si="358"/>
        <v>239</v>
      </c>
      <c r="Y349" s="35">
        <f t="shared" si="358"/>
        <v>149</v>
      </c>
      <c r="Z349" s="35">
        <f t="shared" si="358"/>
        <v>580</v>
      </c>
      <c r="AA349" s="35">
        <f t="shared" si="358"/>
        <v>1824</v>
      </c>
      <c r="AB349" s="35">
        <f t="shared" si="358"/>
        <v>368</v>
      </c>
      <c r="AC349" s="35">
        <f t="shared" si="358"/>
        <v>543</v>
      </c>
      <c r="AD349" s="35">
        <f t="shared" si="358"/>
        <v>622</v>
      </c>
      <c r="AE349" s="35">
        <f t="shared" si="358"/>
        <v>448</v>
      </c>
      <c r="AF349" s="35">
        <f t="shared" si="358"/>
        <v>197</v>
      </c>
      <c r="AG349" s="35">
        <f t="shared" si="358"/>
        <v>138</v>
      </c>
      <c r="AH349" s="35">
        <f t="shared" si="358"/>
        <v>373</v>
      </c>
      <c r="AI349" s="35">
        <f t="shared" si="358"/>
        <v>281</v>
      </c>
      <c r="AJ349" s="35">
        <f t="shared" si="358"/>
        <v>1491</v>
      </c>
      <c r="AK349" s="35">
        <f t="shared" si="358"/>
        <v>488</v>
      </c>
      <c r="AL349" s="35">
        <f t="shared" si="358"/>
        <v>490</v>
      </c>
      <c r="AM349" s="35">
        <f t="shared" si="358"/>
        <v>163</v>
      </c>
      <c r="AN349" s="35">
        <f t="shared" si="358"/>
        <v>249</v>
      </c>
      <c r="AO349" s="35">
        <f t="shared" si="358"/>
        <v>273</v>
      </c>
      <c r="AP349" s="35">
        <f t="shared" si="358"/>
        <v>126</v>
      </c>
    </row>
    <row r="350" spans="1:42" ht="13">
      <c r="A350" s="36">
        <v>44269</v>
      </c>
      <c r="B350" s="35">
        <v>23586</v>
      </c>
      <c r="C350" s="35">
        <v>16642</v>
      </c>
      <c r="D350" s="35">
        <v>14685</v>
      </c>
      <c r="E350" s="35">
        <v>29258</v>
      </c>
      <c r="F350" s="35">
        <v>98435</v>
      </c>
      <c r="G350" s="35">
        <v>22298</v>
      </c>
      <c r="H350" s="35">
        <v>21135</v>
      </c>
      <c r="I350" s="35">
        <v>29875</v>
      </c>
      <c r="J350" s="35">
        <v>28146</v>
      </c>
      <c r="K350" s="35">
        <v>13133</v>
      </c>
      <c r="L350" s="35">
        <v>16183</v>
      </c>
      <c r="M350" s="35">
        <v>19021</v>
      </c>
      <c r="N350" s="35">
        <v>13384</v>
      </c>
      <c r="O350" s="35">
        <v>69845</v>
      </c>
      <c r="P350" s="35">
        <v>18074</v>
      </c>
      <c r="Q350" s="35">
        <v>25598</v>
      </c>
      <c r="R350" s="35">
        <v>11355</v>
      </c>
      <c r="S350" s="35">
        <v>14681</v>
      </c>
      <c r="T350" s="35">
        <v>18767</v>
      </c>
      <c r="U350" s="35">
        <v>12389</v>
      </c>
      <c r="V350" s="35">
        <f t="shared" si="309"/>
        <v>516490</v>
      </c>
      <c r="W350" s="35">
        <f t="shared" ref="W350:AP350" si="359">B350-B349</f>
        <v>356</v>
      </c>
      <c r="X350" s="35">
        <f t="shared" si="359"/>
        <v>160</v>
      </c>
      <c r="Y350" s="35">
        <f t="shared" si="359"/>
        <v>118</v>
      </c>
      <c r="Z350" s="35">
        <f t="shared" si="359"/>
        <v>568</v>
      </c>
      <c r="AA350" s="35">
        <f t="shared" si="359"/>
        <v>1841</v>
      </c>
      <c r="AB350" s="35">
        <f t="shared" si="359"/>
        <v>276</v>
      </c>
      <c r="AC350" s="35">
        <f t="shared" si="359"/>
        <v>401</v>
      </c>
      <c r="AD350" s="35">
        <f t="shared" si="359"/>
        <v>587</v>
      </c>
      <c r="AE350" s="35">
        <f t="shared" si="359"/>
        <v>378</v>
      </c>
      <c r="AF350" s="35">
        <f t="shared" si="359"/>
        <v>190</v>
      </c>
      <c r="AG350" s="35">
        <f t="shared" si="359"/>
        <v>119</v>
      </c>
      <c r="AH350" s="35">
        <f t="shared" si="359"/>
        <v>582</v>
      </c>
      <c r="AI350" s="35">
        <f t="shared" si="359"/>
        <v>213</v>
      </c>
      <c r="AJ350" s="35">
        <f t="shared" si="359"/>
        <v>1385</v>
      </c>
      <c r="AK350" s="35">
        <f t="shared" si="359"/>
        <v>450</v>
      </c>
      <c r="AL350" s="35">
        <f t="shared" si="359"/>
        <v>373</v>
      </c>
      <c r="AM350" s="35">
        <f t="shared" si="359"/>
        <v>196</v>
      </c>
      <c r="AN350" s="35">
        <f t="shared" si="359"/>
        <v>288</v>
      </c>
      <c r="AO350" s="35">
        <f t="shared" si="359"/>
        <v>280</v>
      </c>
      <c r="AP350" s="35">
        <f t="shared" si="359"/>
        <v>102</v>
      </c>
    </row>
    <row r="351" spans="1:42" ht="13">
      <c r="A351" s="36">
        <v>44270</v>
      </c>
      <c r="B351" s="35">
        <v>23982</v>
      </c>
      <c r="C351" s="35">
        <v>16835</v>
      </c>
      <c r="D351" s="35">
        <v>14797</v>
      </c>
      <c r="E351" s="35">
        <v>29662</v>
      </c>
      <c r="F351" s="35">
        <v>100074</v>
      </c>
      <c r="G351" s="35">
        <v>22606</v>
      </c>
      <c r="H351" s="35">
        <v>21650</v>
      </c>
      <c r="I351" s="35">
        <v>30299</v>
      </c>
      <c r="J351" s="35">
        <v>28493</v>
      </c>
      <c r="K351" s="35">
        <v>13278</v>
      </c>
      <c r="L351" s="35">
        <v>16270</v>
      </c>
      <c r="M351" s="35">
        <v>19360</v>
      </c>
      <c r="N351" s="35">
        <v>13561</v>
      </c>
      <c r="O351" s="35">
        <v>71373</v>
      </c>
      <c r="P351" s="35">
        <v>18310</v>
      </c>
      <c r="Q351" s="35">
        <v>25940</v>
      </c>
      <c r="R351" s="35">
        <v>11487</v>
      </c>
      <c r="S351" s="35">
        <v>14796</v>
      </c>
      <c r="T351" s="35">
        <v>18953</v>
      </c>
      <c r="U351" s="35">
        <v>12470</v>
      </c>
      <c r="V351" s="35">
        <f t="shared" si="309"/>
        <v>524196</v>
      </c>
      <c r="W351" s="35">
        <f t="shared" ref="W351:AP351" si="360">B351-B350</f>
        <v>396</v>
      </c>
      <c r="X351" s="35">
        <f t="shared" si="360"/>
        <v>193</v>
      </c>
      <c r="Y351" s="35">
        <f t="shared" si="360"/>
        <v>112</v>
      </c>
      <c r="Z351" s="35">
        <f t="shared" si="360"/>
        <v>404</v>
      </c>
      <c r="AA351" s="35">
        <f t="shared" si="360"/>
        <v>1639</v>
      </c>
      <c r="AB351" s="35">
        <f t="shared" si="360"/>
        <v>308</v>
      </c>
      <c r="AC351" s="35">
        <f t="shared" si="360"/>
        <v>515</v>
      </c>
      <c r="AD351" s="35">
        <f t="shared" si="360"/>
        <v>424</v>
      </c>
      <c r="AE351" s="35">
        <f t="shared" si="360"/>
        <v>347</v>
      </c>
      <c r="AF351" s="35">
        <f t="shared" si="360"/>
        <v>145</v>
      </c>
      <c r="AG351" s="35">
        <f t="shared" si="360"/>
        <v>87</v>
      </c>
      <c r="AH351" s="35">
        <f t="shared" si="360"/>
        <v>339</v>
      </c>
      <c r="AI351" s="35">
        <f t="shared" si="360"/>
        <v>177</v>
      </c>
      <c r="AJ351" s="35">
        <f t="shared" si="360"/>
        <v>1528</v>
      </c>
      <c r="AK351" s="35">
        <f t="shared" si="360"/>
        <v>236</v>
      </c>
      <c r="AL351" s="35">
        <f t="shared" si="360"/>
        <v>342</v>
      </c>
      <c r="AM351" s="35">
        <f t="shared" si="360"/>
        <v>132</v>
      </c>
      <c r="AN351" s="35">
        <f t="shared" si="360"/>
        <v>115</v>
      </c>
      <c r="AO351" s="35">
        <f t="shared" si="360"/>
        <v>186</v>
      </c>
      <c r="AP351" s="35">
        <f t="shared" si="360"/>
        <v>81</v>
      </c>
    </row>
    <row r="352" spans="1:42" ht="13">
      <c r="A352" s="36">
        <v>44271</v>
      </c>
      <c r="B352" s="35">
        <v>24161</v>
      </c>
      <c r="C352" s="35">
        <v>16969</v>
      </c>
      <c r="D352" s="35">
        <v>14863</v>
      </c>
      <c r="E352" s="35">
        <v>29730</v>
      </c>
      <c r="F352" s="35">
        <v>101052</v>
      </c>
      <c r="G352" s="35">
        <v>22791</v>
      </c>
      <c r="H352" s="35">
        <v>21855</v>
      </c>
      <c r="I352" s="35">
        <v>30541</v>
      </c>
      <c r="J352" s="35">
        <v>28683</v>
      </c>
      <c r="K352" s="35">
        <v>13369</v>
      </c>
      <c r="L352" s="35">
        <v>16386</v>
      </c>
      <c r="M352" s="35">
        <v>19674</v>
      </c>
      <c r="N352" s="35">
        <v>13642</v>
      </c>
      <c r="O352" s="35">
        <v>72253</v>
      </c>
      <c r="P352" s="35">
        <v>18643</v>
      </c>
      <c r="Q352" s="35">
        <v>26222</v>
      </c>
      <c r="R352" s="35">
        <v>11614</v>
      </c>
      <c r="S352" s="35">
        <v>15016</v>
      </c>
      <c r="T352" s="35">
        <v>19104</v>
      </c>
      <c r="U352" s="35">
        <v>12554</v>
      </c>
      <c r="V352" s="35">
        <f t="shared" si="309"/>
        <v>529122</v>
      </c>
      <c r="W352" s="35">
        <f t="shared" ref="W352:AP352" si="361">B352-B351</f>
        <v>179</v>
      </c>
      <c r="X352" s="35">
        <f t="shared" si="361"/>
        <v>134</v>
      </c>
      <c r="Y352" s="35">
        <f t="shared" si="361"/>
        <v>66</v>
      </c>
      <c r="Z352" s="35">
        <f t="shared" si="361"/>
        <v>68</v>
      </c>
      <c r="AA352" s="35">
        <f t="shared" si="361"/>
        <v>978</v>
      </c>
      <c r="AB352" s="35">
        <f t="shared" si="361"/>
        <v>185</v>
      </c>
      <c r="AC352" s="35">
        <f t="shared" si="361"/>
        <v>205</v>
      </c>
      <c r="AD352" s="35">
        <f t="shared" si="361"/>
        <v>242</v>
      </c>
      <c r="AE352" s="35">
        <f t="shared" si="361"/>
        <v>190</v>
      </c>
      <c r="AF352" s="35">
        <f t="shared" si="361"/>
        <v>91</v>
      </c>
      <c r="AG352" s="35">
        <f t="shared" si="361"/>
        <v>116</v>
      </c>
      <c r="AH352" s="35">
        <f t="shared" si="361"/>
        <v>314</v>
      </c>
      <c r="AI352" s="35">
        <f t="shared" si="361"/>
        <v>81</v>
      </c>
      <c r="AJ352" s="35">
        <f t="shared" si="361"/>
        <v>880</v>
      </c>
      <c r="AK352" s="35">
        <f t="shared" si="361"/>
        <v>333</v>
      </c>
      <c r="AL352" s="35">
        <f t="shared" si="361"/>
        <v>282</v>
      </c>
      <c r="AM352" s="35">
        <f t="shared" si="361"/>
        <v>127</v>
      </c>
      <c r="AN352" s="35">
        <f t="shared" si="361"/>
        <v>220</v>
      </c>
      <c r="AO352" s="35">
        <f t="shared" si="361"/>
        <v>151</v>
      </c>
      <c r="AP352" s="35">
        <f t="shared" si="361"/>
        <v>84</v>
      </c>
    </row>
    <row r="353" spans="1:42" ht="13">
      <c r="A353" s="36">
        <v>44272</v>
      </c>
      <c r="B353" s="35">
        <v>24324</v>
      </c>
      <c r="C353" s="35">
        <v>17095</v>
      </c>
      <c r="D353" s="35">
        <v>14929</v>
      </c>
      <c r="E353" s="35">
        <v>29954</v>
      </c>
      <c r="F353" s="35">
        <v>101710</v>
      </c>
      <c r="G353" s="35">
        <v>22892</v>
      </c>
      <c r="H353" s="35">
        <v>22043</v>
      </c>
      <c r="I353" s="35">
        <v>30626</v>
      </c>
      <c r="J353" s="35">
        <v>28817</v>
      </c>
      <c r="K353" s="35">
        <v>13501</v>
      </c>
      <c r="L353" s="35">
        <v>16441</v>
      </c>
      <c r="M353" s="35">
        <v>19851</v>
      </c>
      <c r="N353" s="35">
        <v>13762</v>
      </c>
      <c r="O353" s="35">
        <v>72823</v>
      </c>
      <c r="P353" s="35">
        <v>18788</v>
      </c>
      <c r="Q353" s="35">
        <v>26430</v>
      </c>
      <c r="R353" s="35">
        <v>11701</v>
      </c>
      <c r="S353" s="35">
        <v>15113</v>
      </c>
      <c r="T353" s="35">
        <v>19188</v>
      </c>
      <c r="U353" s="35">
        <v>12590</v>
      </c>
      <c r="V353" s="35">
        <f t="shared" si="309"/>
        <v>532578</v>
      </c>
      <c r="W353" s="35">
        <f t="shared" ref="W353:AP353" si="362">B353-B352</f>
        <v>163</v>
      </c>
      <c r="X353" s="35">
        <f t="shared" si="362"/>
        <v>126</v>
      </c>
      <c r="Y353" s="35">
        <f t="shared" si="362"/>
        <v>66</v>
      </c>
      <c r="Z353" s="35">
        <f t="shared" si="362"/>
        <v>224</v>
      </c>
      <c r="AA353" s="35">
        <f t="shared" si="362"/>
        <v>658</v>
      </c>
      <c r="AB353" s="35">
        <f t="shared" si="362"/>
        <v>101</v>
      </c>
      <c r="AC353" s="35">
        <f t="shared" si="362"/>
        <v>188</v>
      </c>
      <c r="AD353" s="35">
        <f t="shared" si="362"/>
        <v>85</v>
      </c>
      <c r="AE353" s="35">
        <f t="shared" si="362"/>
        <v>134</v>
      </c>
      <c r="AF353" s="35">
        <f t="shared" si="362"/>
        <v>132</v>
      </c>
      <c r="AG353" s="35">
        <f t="shared" si="362"/>
        <v>55</v>
      </c>
      <c r="AH353" s="35">
        <f t="shared" si="362"/>
        <v>177</v>
      </c>
      <c r="AI353" s="35">
        <f t="shared" si="362"/>
        <v>120</v>
      </c>
      <c r="AJ353" s="35">
        <f t="shared" si="362"/>
        <v>570</v>
      </c>
      <c r="AK353" s="35">
        <f t="shared" si="362"/>
        <v>145</v>
      </c>
      <c r="AL353" s="35">
        <f t="shared" si="362"/>
        <v>208</v>
      </c>
      <c r="AM353" s="35">
        <f t="shared" si="362"/>
        <v>87</v>
      </c>
      <c r="AN353" s="35">
        <f t="shared" si="362"/>
        <v>97</v>
      </c>
      <c r="AO353" s="35">
        <f t="shared" si="362"/>
        <v>84</v>
      </c>
      <c r="AP353" s="35">
        <f t="shared" si="362"/>
        <v>36</v>
      </c>
    </row>
    <row r="354" spans="1:42" ht="13">
      <c r="A354" s="36">
        <v>44273</v>
      </c>
      <c r="B354" s="35">
        <v>24610</v>
      </c>
      <c r="C354" s="35">
        <v>17318</v>
      </c>
      <c r="D354" s="35">
        <v>15027</v>
      </c>
      <c r="E354" s="35">
        <v>30249</v>
      </c>
      <c r="F354" s="35">
        <v>102987</v>
      </c>
      <c r="G354" s="35">
        <v>23138</v>
      </c>
      <c r="H354" s="35">
        <v>22323</v>
      </c>
      <c r="I354" s="35">
        <v>30909</v>
      </c>
      <c r="J354" s="35">
        <v>29194</v>
      </c>
      <c r="K354" s="35">
        <v>13700</v>
      </c>
      <c r="L354" s="35">
        <v>16575</v>
      </c>
      <c r="M354" s="35">
        <v>20111</v>
      </c>
      <c r="N354" s="35">
        <v>14004</v>
      </c>
      <c r="O354" s="35">
        <v>73854</v>
      </c>
      <c r="P354" s="35">
        <v>19245</v>
      </c>
      <c r="Q354" s="35">
        <v>26724</v>
      </c>
      <c r="R354" s="35">
        <v>11787</v>
      </c>
      <c r="S354" s="35">
        <v>15255</v>
      </c>
      <c r="T354" s="35">
        <v>19432</v>
      </c>
      <c r="U354" s="35">
        <v>12638</v>
      </c>
      <c r="V354" s="35">
        <f t="shared" si="309"/>
        <v>539080</v>
      </c>
      <c r="W354" s="35">
        <f t="shared" ref="W354:AP354" si="363">B354-B353</f>
        <v>286</v>
      </c>
      <c r="X354" s="35">
        <f t="shared" si="363"/>
        <v>223</v>
      </c>
      <c r="Y354" s="35">
        <f t="shared" si="363"/>
        <v>98</v>
      </c>
      <c r="Z354" s="35">
        <f t="shared" si="363"/>
        <v>295</v>
      </c>
      <c r="AA354" s="35">
        <f t="shared" si="363"/>
        <v>1277</v>
      </c>
      <c r="AB354" s="35">
        <f t="shared" si="363"/>
        <v>246</v>
      </c>
      <c r="AC354" s="35">
        <f t="shared" si="363"/>
        <v>280</v>
      </c>
      <c r="AD354" s="35">
        <f t="shared" si="363"/>
        <v>283</v>
      </c>
      <c r="AE354" s="35">
        <f t="shared" si="363"/>
        <v>377</v>
      </c>
      <c r="AF354" s="35">
        <f t="shared" si="363"/>
        <v>199</v>
      </c>
      <c r="AG354" s="35">
        <f t="shared" si="363"/>
        <v>134</v>
      </c>
      <c r="AH354" s="35">
        <f t="shared" si="363"/>
        <v>260</v>
      </c>
      <c r="AI354" s="35">
        <f t="shared" si="363"/>
        <v>242</v>
      </c>
      <c r="AJ354" s="35">
        <f t="shared" si="363"/>
        <v>1031</v>
      </c>
      <c r="AK354" s="35">
        <f t="shared" si="363"/>
        <v>457</v>
      </c>
      <c r="AL354" s="35">
        <f t="shared" si="363"/>
        <v>294</v>
      </c>
      <c r="AM354" s="35">
        <f t="shared" si="363"/>
        <v>86</v>
      </c>
      <c r="AN354" s="35">
        <f t="shared" si="363"/>
        <v>142</v>
      </c>
      <c r="AO354" s="35">
        <f t="shared" si="363"/>
        <v>244</v>
      </c>
      <c r="AP354" s="35">
        <f t="shared" si="363"/>
        <v>48</v>
      </c>
    </row>
    <row r="355" spans="1:42" ht="13">
      <c r="A355" s="36">
        <v>44274</v>
      </c>
      <c r="B355" s="35">
        <v>25153</v>
      </c>
      <c r="C355" s="35">
        <v>17605</v>
      </c>
      <c r="D355" s="35">
        <v>15238</v>
      </c>
      <c r="E355" s="35">
        <v>30834</v>
      </c>
      <c r="F355" s="35">
        <v>105024</v>
      </c>
      <c r="G355" s="35">
        <v>23536</v>
      </c>
      <c r="H355" s="35">
        <v>22989</v>
      </c>
      <c r="I355" s="35">
        <v>31591</v>
      </c>
      <c r="J355" s="35">
        <v>29721</v>
      </c>
      <c r="K355" s="35">
        <v>13917</v>
      </c>
      <c r="L355" s="35">
        <v>16778</v>
      </c>
      <c r="M355" s="35">
        <v>20463</v>
      </c>
      <c r="N355" s="35">
        <v>14329</v>
      </c>
      <c r="O355" s="35">
        <v>75634</v>
      </c>
      <c r="P355" s="35">
        <v>19785</v>
      </c>
      <c r="Q355" s="35">
        <v>27193</v>
      </c>
      <c r="R355" s="35">
        <v>11960</v>
      </c>
      <c r="S355" s="35">
        <v>15514</v>
      </c>
      <c r="T355" s="35">
        <v>19769</v>
      </c>
      <c r="U355" s="35">
        <v>12806</v>
      </c>
      <c r="V355" s="35">
        <f t="shared" si="309"/>
        <v>549839</v>
      </c>
      <c r="W355" s="35">
        <f t="shared" ref="W355:AP355" si="364">B355-B354</f>
        <v>543</v>
      </c>
      <c r="X355" s="35">
        <f t="shared" si="364"/>
        <v>287</v>
      </c>
      <c r="Y355" s="35">
        <f t="shared" si="364"/>
        <v>211</v>
      </c>
      <c r="Z355" s="35">
        <f t="shared" si="364"/>
        <v>585</v>
      </c>
      <c r="AA355" s="35">
        <f t="shared" si="364"/>
        <v>2037</v>
      </c>
      <c r="AB355" s="35">
        <f t="shared" si="364"/>
        <v>398</v>
      </c>
      <c r="AC355" s="35">
        <f t="shared" si="364"/>
        <v>666</v>
      </c>
      <c r="AD355" s="35">
        <f t="shared" si="364"/>
        <v>682</v>
      </c>
      <c r="AE355" s="35">
        <f t="shared" si="364"/>
        <v>527</v>
      </c>
      <c r="AF355" s="35">
        <f t="shared" si="364"/>
        <v>217</v>
      </c>
      <c r="AG355" s="35">
        <f t="shared" si="364"/>
        <v>203</v>
      </c>
      <c r="AH355" s="35">
        <f t="shared" si="364"/>
        <v>352</v>
      </c>
      <c r="AI355" s="35">
        <f t="shared" si="364"/>
        <v>325</v>
      </c>
      <c r="AJ355" s="35">
        <f t="shared" si="364"/>
        <v>1780</v>
      </c>
      <c r="AK355" s="35">
        <f t="shared" si="364"/>
        <v>540</v>
      </c>
      <c r="AL355" s="35">
        <f t="shared" si="364"/>
        <v>469</v>
      </c>
      <c r="AM355" s="35">
        <f t="shared" si="364"/>
        <v>173</v>
      </c>
      <c r="AN355" s="35">
        <f t="shared" si="364"/>
        <v>259</v>
      </c>
      <c r="AO355" s="35">
        <f t="shared" si="364"/>
        <v>337</v>
      </c>
      <c r="AP355" s="35">
        <f t="shared" si="364"/>
        <v>168</v>
      </c>
    </row>
    <row r="356" spans="1:42" ht="13">
      <c r="A356" s="36">
        <v>44275</v>
      </c>
      <c r="B356" s="35">
        <v>25824</v>
      </c>
      <c r="C356" s="35">
        <v>17939</v>
      </c>
      <c r="D356" s="35">
        <v>15488</v>
      </c>
      <c r="E356" s="35">
        <v>31345</v>
      </c>
      <c r="F356" s="35">
        <v>106547</v>
      </c>
      <c r="G356" s="35">
        <v>24067</v>
      </c>
      <c r="H356" s="35">
        <v>23581</v>
      </c>
      <c r="I356" s="35">
        <v>32355</v>
      </c>
      <c r="J356" s="35">
        <v>30366</v>
      </c>
      <c r="K356" s="35">
        <v>14163</v>
      </c>
      <c r="L356" s="35">
        <v>17046</v>
      </c>
      <c r="M356" s="35">
        <v>20879</v>
      </c>
      <c r="N356" s="35">
        <v>14700</v>
      </c>
      <c r="O356" s="35">
        <v>77276</v>
      </c>
      <c r="P356" s="35">
        <v>20376</v>
      </c>
      <c r="Q356" s="35">
        <v>27821</v>
      </c>
      <c r="R356" s="35">
        <v>12163</v>
      </c>
      <c r="S356" s="35">
        <v>15830</v>
      </c>
      <c r="T356" s="35">
        <v>20229</v>
      </c>
      <c r="U356" s="35">
        <v>12976</v>
      </c>
      <c r="V356" s="35">
        <f t="shared" si="309"/>
        <v>560971</v>
      </c>
      <c r="W356" s="35">
        <f t="shared" ref="W356:AP356" si="365">B356-B355</f>
        <v>671</v>
      </c>
      <c r="X356" s="35">
        <f t="shared" si="365"/>
        <v>334</v>
      </c>
      <c r="Y356" s="35">
        <f t="shared" si="365"/>
        <v>250</v>
      </c>
      <c r="Z356" s="35">
        <f t="shared" si="365"/>
        <v>511</v>
      </c>
      <c r="AA356" s="35">
        <f t="shared" si="365"/>
        <v>1523</v>
      </c>
      <c r="AB356" s="35">
        <f t="shared" si="365"/>
        <v>531</v>
      </c>
      <c r="AC356" s="35">
        <f t="shared" si="365"/>
        <v>592</v>
      </c>
      <c r="AD356" s="35">
        <f t="shared" si="365"/>
        <v>764</v>
      </c>
      <c r="AE356" s="35">
        <f t="shared" si="365"/>
        <v>645</v>
      </c>
      <c r="AF356" s="35">
        <f t="shared" si="365"/>
        <v>246</v>
      </c>
      <c r="AG356" s="35">
        <f t="shared" si="365"/>
        <v>268</v>
      </c>
      <c r="AH356" s="35">
        <f t="shared" si="365"/>
        <v>416</v>
      </c>
      <c r="AI356" s="35">
        <f t="shared" si="365"/>
        <v>371</v>
      </c>
      <c r="AJ356" s="35">
        <f t="shared" si="365"/>
        <v>1642</v>
      </c>
      <c r="AK356" s="35">
        <f t="shared" si="365"/>
        <v>591</v>
      </c>
      <c r="AL356" s="35">
        <f t="shared" si="365"/>
        <v>628</v>
      </c>
      <c r="AM356" s="35">
        <f t="shared" si="365"/>
        <v>203</v>
      </c>
      <c r="AN356" s="35">
        <f t="shared" si="365"/>
        <v>316</v>
      </c>
      <c r="AO356" s="35">
        <f t="shared" si="365"/>
        <v>460</v>
      </c>
      <c r="AP356" s="35">
        <f t="shared" si="365"/>
        <v>170</v>
      </c>
    </row>
    <row r="357" spans="1:42" ht="13">
      <c r="A357" s="36">
        <v>44276</v>
      </c>
      <c r="B357" s="35">
        <v>26462</v>
      </c>
      <c r="C357" s="35">
        <v>18217</v>
      </c>
      <c r="D357" s="35">
        <v>15693</v>
      </c>
      <c r="E357" s="35">
        <v>32012</v>
      </c>
      <c r="F357" s="35">
        <v>108818</v>
      </c>
      <c r="G357" s="35">
        <v>24488</v>
      </c>
      <c r="H357" s="35">
        <v>24150</v>
      </c>
      <c r="I357" s="35">
        <v>33008</v>
      </c>
      <c r="J357" s="35">
        <v>30732</v>
      </c>
      <c r="K357" s="35">
        <v>14408</v>
      </c>
      <c r="L357" s="35">
        <v>17228</v>
      </c>
      <c r="M357" s="35">
        <v>21217</v>
      </c>
      <c r="N357" s="35">
        <v>14958</v>
      </c>
      <c r="O357" s="35">
        <v>79015</v>
      </c>
      <c r="P357" s="35">
        <v>20791</v>
      </c>
      <c r="Q357" s="35">
        <v>28308</v>
      </c>
      <c r="R357" s="35">
        <v>12386</v>
      </c>
      <c r="S357" s="35">
        <v>16102</v>
      </c>
      <c r="T357" s="35">
        <v>20535</v>
      </c>
      <c r="U357" s="35">
        <v>13068</v>
      </c>
      <c r="V357" s="35">
        <f t="shared" si="309"/>
        <v>571596</v>
      </c>
      <c r="W357" s="35">
        <f t="shared" ref="W357:AP357" si="366">B357-B356</f>
        <v>638</v>
      </c>
      <c r="X357" s="35">
        <f t="shared" si="366"/>
        <v>278</v>
      </c>
      <c r="Y357" s="35">
        <f t="shared" si="366"/>
        <v>205</v>
      </c>
      <c r="Z357" s="35">
        <f t="shared" si="366"/>
        <v>667</v>
      </c>
      <c r="AA357" s="35">
        <f t="shared" si="366"/>
        <v>2271</v>
      </c>
      <c r="AB357" s="35">
        <f t="shared" si="366"/>
        <v>421</v>
      </c>
      <c r="AC357" s="35">
        <f t="shared" si="366"/>
        <v>569</v>
      </c>
      <c r="AD357" s="35">
        <f t="shared" si="366"/>
        <v>653</v>
      </c>
      <c r="AE357" s="35">
        <f t="shared" si="366"/>
        <v>366</v>
      </c>
      <c r="AF357" s="35">
        <f t="shared" si="366"/>
        <v>245</v>
      </c>
      <c r="AG357" s="35">
        <f t="shared" si="366"/>
        <v>182</v>
      </c>
      <c r="AH357" s="35">
        <f t="shared" si="366"/>
        <v>338</v>
      </c>
      <c r="AI357" s="35">
        <f t="shared" si="366"/>
        <v>258</v>
      </c>
      <c r="AJ357" s="35">
        <f t="shared" si="366"/>
        <v>1739</v>
      </c>
      <c r="AK357" s="35">
        <f t="shared" si="366"/>
        <v>415</v>
      </c>
      <c r="AL357" s="35">
        <f t="shared" si="366"/>
        <v>487</v>
      </c>
      <c r="AM357" s="35">
        <f t="shared" si="366"/>
        <v>223</v>
      </c>
      <c r="AN357" s="35">
        <f t="shared" si="366"/>
        <v>272</v>
      </c>
      <c r="AO357" s="35">
        <f t="shared" si="366"/>
        <v>306</v>
      </c>
      <c r="AP357" s="35">
        <f t="shared" si="366"/>
        <v>92</v>
      </c>
    </row>
    <row r="358" spans="1:42" ht="13">
      <c r="A358" s="36">
        <v>44277</v>
      </c>
      <c r="B358" s="35">
        <v>26937</v>
      </c>
      <c r="C358" s="35">
        <v>18459</v>
      </c>
      <c r="D358" s="35">
        <v>15869</v>
      </c>
      <c r="E358" s="35">
        <v>32472</v>
      </c>
      <c r="F358" s="35">
        <v>110444</v>
      </c>
      <c r="G358" s="35">
        <v>24782</v>
      </c>
      <c r="H358" s="35">
        <v>24854</v>
      </c>
      <c r="I358" s="35">
        <v>33430</v>
      </c>
      <c r="J358" s="35">
        <v>31188</v>
      </c>
      <c r="K358" s="35">
        <v>14553</v>
      </c>
      <c r="L358" s="35">
        <v>17370</v>
      </c>
      <c r="M358" s="35">
        <v>21822</v>
      </c>
      <c r="N358" s="35">
        <v>15092</v>
      </c>
      <c r="O358" s="35">
        <v>80598</v>
      </c>
      <c r="P358" s="35">
        <v>21124</v>
      </c>
      <c r="Q358" s="35">
        <v>28779</v>
      </c>
      <c r="R358" s="35">
        <v>12582</v>
      </c>
      <c r="S358" s="35">
        <v>16246</v>
      </c>
      <c r="T358" s="35">
        <v>20861</v>
      </c>
      <c r="U358" s="35">
        <v>13180</v>
      </c>
      <c r="V358" s="35">
        <f t="shared" si="309"/>
        <v>580642</v>
      </c>
      <c r="W358" s="35">
        <f t="shared" ref="W358:AP358" si="367">B358-B357</f>
        <v>475</v>
      </c>
      <c r="X358" s="35">
        <f t="shared" si="367"/>
        <v>242</v>
      </c>
      <c r="Y358" s="35">
        <f t="shared" si="367"/>
        <v>176</v>
      </c>
      <c r="Z358" s="35">
        <f t="shared" si="367"/>
        <v>460</v>
      </c>
      <c r="AA358" s="35">
        <f t="shared" si="367"/>
        <v>1626</v>
      </c>
      <c r="AB358" s="35">
        <f t="shared" si="367"/>
        <v>294</v>
      </c>
      <c r="AC358" s="35">
        <f t="shared" si="367"/>
        <v>704</v>
      </c>
      <c r="AD358" s="35">
        <f t="shared" si="367"/>
        <v>422</v>
      </c>
      <c r="AE358" s="35">
        <f t="shared" si="367"/>
        <v>456</v>
      </c>
      <c r="AF358" s="35">
        <f t="shared" si="367"/>
        <v>145</v>
      </c>
      <c r="AG358" s="35">
        <f t="shared" si="367"/>
        <v>142</v>
      </c>
      <c r="AH358" s="35">
        <f t="shared" si="367"/>
        <v>605</v>
      </c>
      <c r="AI358" s="35">
        <f t="shared" si="367"/>
        <v>134</v>
      </c>
      <c r="AJ358" s="35">
        <f t="shared" si="367"/>
        <v>1583</v>
      </c>
      <c r="AK358" s="35">
        <f t="shared" si="367"/>
        <v>333</v>
      </c>
      <c r="AL358" s="35">
        <f t="shared" si="367"/>
        <v>471</v>
      </c>
      <c r="AM358" s="35">
        <f t="shared" si="367"/>
        <v>196</v>
      </c>
      <c r="AN358" s="35">
        <f t="shared" si="367"/>
        <v>144</v>
      </c>
      <c r="AO358" s="35">
        <f t="shared" si="367"/>
        <v>326</v>
      </c>
      <c r="AP358" s="35">
        <f t="shared" si="367"/>
        <v>112</v>
      </c>
    </row>
    <row r="359" spans="1:42" ht="13">
      <c r="A359" s="36">
        <v>44278</v>
      </c>
      <c r="B359" s="35">
        <v>27245</v>
      </c>
      <c r="C359" s="35">
        <v>18674</v>
      </c>
      <c r="D359" s="35">
        <v>15982</v>
      </c>
      <c r="E359" s="35">
        <v>32565</v>
      </c>
      <c r="F359" s="35">
        <v>111391</v>
      </c>
      <c r="G359" s="35">
        <v>24943</v>
      </c>
      <c r="H359" s="35">
        <v>25163</v>
      </c>
      <c r="I359" s="35">
        <v>33770</v>
      </c>
      <c r="J359" s="35">
        <v>31395</v>
      </c>
      <c r="K359" s="35">
        <v>14832</v>
      </c>
      <c r="L359" s="35">
        <v>17533</v>
      </c>
      <c r="M359" s="35">
        <v>21987</v>
      </c>
      <c r="N359" s="35">
        <v>15230</v>
      </c>
      <c r="O359" s="35">
        <v>81285</v>
      </c>
      <c r="P359" s="35">
        <v>21354</v>
      </c>
      <c r="Q359" s="35">
        <v>29185</v>
      </c>
      <c r="R359" s="35">
        <v>12722</v>
      </c>
      <c r="S359" s="35">
        <v>16494</v>
      </c>
      <c r="T359" s="35">
        <v>21077</v>
      </c>
      <c r="U359" s="35">
        <v>13296</v>
      </c>
      <c r="V359" s="35">
        <f t="shared" si="309"/>
        <v>586123</v>
      </c>
      <c r="W359" s="35">
        <f t="shared" ref="W359:AP359" si="368">B359-B358</f>
        <v>308</v>
      </c>
      <c r="X359" s="35">
        <f t="shared" si="368"/>
        <v>215</v>
      </c>
      <c r="Y359" s="35">
        <f t="shared" si="368"/>
        <v>113</v>
      </c>
      <c r="Z359" s="35">
        <f t="shared" si="368"/>
        <v>93</v>
      </c>
      <c r="AA359" s="35">
        <f t="shared" si="368"/>
        <v>947</v>
      </c>
      <c r="AB359" s="35">
        <f t="shared" si="368"/>
        <v>161</v>
      </c>
      <c r="AC359" s="35">
        <f t="shared" si="368"/>
        <v>309</v>
      </c>
      <c r="AD359" s="35">
        <f t="shared" si="368"/>
        <v>340</v>
      </c>
      <c r="AE359" s="35">
        <f t="shared" si="368"/>
        <v>207</v>
      </c>
      <c r="AF359" s="35">
        <f t="shared" si="368"/>
        <v>279</v>
      </c>
      <c r="AG359" s="35">
        <f t="shared" si="368"/>
        <v>163</v>
      </c>
      <c r="AH359" s="35">
        <f t="shared" si="368"/>
        <v>165</v>
      </c>
      <c r="AI359" s="35">
        <f t="shared" si="368"/>
        <v>138</v>
      </c>
      <c r="AJ359" s="35">
        <f t="shared" si="368"/>
        <v>687</v>
      </c>
      <c r="AK359" s="35">
        <f t="shared" si="368"/>
        <v>230</v>
      </c>
      <c r="AL359" s="35">
        <f t="shared" si="368"/>
        <v>406</v>
      </c>
      <c r="AM359" s="35">
        <f t="shared" si="368"/>
        <v>140</v>
      </c>
      <c r="AN359" s="35">
        <f t="shared" si="368"/>
        <v>248</v>
      </c>
      <c r="AO359" s="35">
        <f t="shared" si="368"/>
        <v>216</v>
      </c>
      <c r="AP359" s="35">
        <f t="shared" si="368"/>
        <v>116</v>
      </c>
    </row>
    <row r="360" spans="1:42" ht="13">
      <c r="A360" s="36">
        <v>44279</v>
      </c>
      <c r="B360" s="35">
        <v>27502</v>
      </c>
      <c r="C360" s="35">
        <v>18873</v>
      </c>
      <c r="D360" s="35">
        <v>16160</v>
      </c>
      <c r="E360" s="35">
        <v>32955</v>
      </c>
      <c r="F360" s="35">
        <v>113061</v>
      </c>
      <c r="G360" s="35">
        <v>25146</v>
      </c>
      <c r="H360" s="35">
        <v>25524</v>
      </c>
      <c r="I360" s="35">
        <v>34013</v>
      </c>
      <c r="J360" s="35">
        <v>31704</v>
      </c>
      <c r="K360" s="35">
        <v>15057</v>
      </c>
      <c r="L360" s="35">
        <v>17658</v>
      </c>
      <c r="M360" s="35">
        <v>22331</v>
      </c>
      <c r="N360" s="35">
        <v>15428</v>
      </c>
      <c r="O360" s="35">
        <v>82772</v>
      </c>
      <c r="P360" s="35">
        <v>21653</v>
      </c>
      <c r="Q360" s="35">
        <v>29522</v>
      </c>
      <c r="R360" s="35">
        <v>12887</v>
      </c>
      <c r="S360" s="35">
        <v>16684</v>
      </c>
      <c r="T360" s="35">
        <v>21411</v>
      </c>
      <c r="U360" s="35">
        <v>13369</v>
      </c>
      <c r="V360" s="35">
        <f t="shared" si="309"/>
        <v>593710</v>
      </c>
      <c r="W360" s="35">
        <f t="shared" ref="W360:AP360" si="369">B360-B359</f>
        <v>257</v>
      </c>
      <c r="X360" s="35">
        <f t="shared" si="369"/>
        <v>199</v>
      </c>
      <c r="Y360" s="35">
        <f t="shared" si="369"/>
        <v>178</v>
      </c>
      <c r="Z360" s="35">
        <f t="shared" si="369"/>
        <v>390</v>
      </c>
      <c r="AA360" s="35">
        <f t="shared" si="369"/>
        <v>1670</v>
      </c>
      <c r="AB360" s="35">
        <f t="shared" si="369"/>
        <v>203</v>
      </c>
      <c r="AC360" s="35">
        <f t="shared" si="369"/>
        <v>361</v>
      </c>
      <c r="AD360" s="35">
        <f t="shared" si="369"/>
        <v>243</v>
      </c>
      <c r="AE360" s="35">
        <f t="shared" si="369"/>
        <v>309</v>
      </c>
      <c r="AF360" s="35">
        <f t="shared" si="369"/>
        <v>225</v>
      </c>
      <c r="AG360" s="35">
        <f t="shared" si="369"/>
        <v>125</v>
      </c>
      <c r="AH360" s="35">
        <f t="shared" si="369"/>
        <v>344</v>
      </c>
      <c r="AI360" s="35">
        <f t="shared" si="369"/>
        <v>198</v>
      </c>
      <c r="AJ360" s="35">
        <f t="shared" si="369"/>
        <v>1487</v>
      </c>
      <c r="AK360" s="35">
        <f t="shared" si="369"/>
        <v>299</v>
      </c>
      <c r="AL360" s="35">
        <f t="shared" si="369"/>
        <v>337</v>
      </c>
      <c r="AM360" s="35">
        <f t="shared" si="369"/>
        <v>165</v>
      </c>
      <c r="AN360" s="35">
        <f t="shared" si="369"/>
        <v>190</v>
      </c>
      <c r="AO360" s="35">
        <f t="shared" si="369"/>
        <v>334</v>
      </c>
      <c r="AP360" s="35">
        <f t="shared" si="369"/>
        <v>73</v>
      </c>
    </row>
    <row r="361" spans="1:42" ht="13">
      <c r="A361" s="36">
        <v>44280</v>
      </c>
      <c r="B361" s="35">
        <v>28106</v>
      </c>
      <c r="C361" s="35">
        <v>19130</v>
      </c>
      <c r="D361" s="35">
        <v>16308</v>
      </c>
      <c r="E361" s="35">
        <v>33368</v>
      </c>
      <c r="F361" s="35">
        <v>114552</v>
      </c>
      <c r="G361" s="35">
        <v>25634</v>
      </c>
      <c r="H361" s="35">
        <v>26060</v>
      </c>
      <c r="I361" s="35">
        <v>34578</v>
      </c>
      <c r="J361" s="35">
        <v>32252</v>
      </c>
      <c r="K361" s="35">
        <v>15326</v>
      </c>
      <c r="L361" s="35">
        <v>17902</v>
      </c>
      <c r="M361" s="35">
        <v>22655</v>
      </c>
      <c r="N361" s="35">
        <v>15711</v>
      </c>
      <c r="O361" s="35">
        <v>84190</v>
      </c>
      <c r="P361" s="35">
        <v>22167</v>
      </c>
      <c r="Q361" s="35">
        <v>30017</v>
      </c>
      <c r="R361" s="35">
        <v>13075</v>
      </c>
      <c r="S361" s="35">
        <v>16999</v>
      </c>
      <c r="T361" s="35">
        <v>21809</v>
      </c>
      <c r="U361" s="35">
        <v>13508</v>
      </c>
      <c r="V361" s="35">
        <f t="shared" si="309"/>
        <v>603347</v>
      </c>
      <c r="W361" s="35">
        <f t="shared" ref="W361:AP361" si="370">B361-B360</f>
        <v>604</v>
      </c>
      <c r="X361" s="35">
        <f t="shared" si="370"/>
        <v>257</v>
      </c>
      <c r="Y361" s="35">
        <f t="shared" si="370"/>
        <v>148</v>
      </c>
      <c r="Z361" s="35">
        <f t="shared" si="370"/>
        <v>413</v>
      </c>
      <c r="AA361" s="35">
        <f t="shared" si="370"/>
        <v>1491</v>
      </c>
      <c r="AB361" s="35">
        <f t="shared" si="370"/>
        <v>488</v>
      </c>
      <c r="AC361" s="35">
        <f t="shared" si="370"/>
        <v>536</v>
      </c>
      <c r="AD361" s="35">
        <f t="shared" si="370"/>
        <v>565</v>
      </c>
      <c r="AE361" s="35">
        <f t="shared" si="370"/>
        <v>548</v>
      </c>
      <c r="AF361" s="35">
        <f t="shared" si="370"/>
        <v>269</v>
      </c>
      <c r="AG361" s="35">
        <f t="shared" si="370"/>
        <v>244</v>
      </c>
      <c r="AH361" s="35">
        <f t="shared" si="370"/>
        <v>324</v>
      </c>
      <c r="AI361" s="35">
        <f t="shared" si="370"/>
        <v>283</v>
      </c>
      <c r="AJ361" s="35">
        <f t="shared" si="370"/>
        <v>1418</v>
      </c>
      <c r="AK361" s="35">
        <f t="shared" si="370"/>
        <v>514</v>
      </c>
      <c r="AL361" s="35">
        <f t="shared" si="370"/>
        <v>495</v>
      </c>
      <c r="AM361" s="35">
        <f t="shared" si="370"/>
        <v>188</v>
      </c>
      <c r="AN361" s="35">
        <f t="shared" si="370"/>
        <v>315</v>
      </c>
      <c r="AO361" s="35">
        <f t="shared" si="370"/>
        <v>398</v>
      </c>
      <c r="AP361" s="35">
        <f t="shared" si="370"/>
        <v>139</v>
      </c>
    </row>
    <row r="362" spans="1:42" ht="13">
      <c r="A362" s="36">
        <v>44281</v>
      </c>
      <c r="B362" s="35">
        <v>28789</v>
      </c>
      <c r="C362" s="35">
        <v>19439</v>
      </c>
      <c r="D362" s="35">
        <v>16570</v>
      </c>
      <c r="E362" s="35">
        <v>34149</v>
      </c>
      <c r="F362" s="35">
        <v>116665</v>
      </c>
      <c r="G362" s="35">
        <v>26148</v>
      </c>
      <c r="H362" s="35">
        <v>26493</v>
      </c>
      <c r="I362" s="35">
        <v>35138</v>
      </c>
      <c r="J362" s="35">
        <v>32837</v>
      </c>
      <c r="K362" s="35">
        <v>15571</v>
      </c>
      <c r="L362" s="35">
        <v>18205</v>
      </c>
      <c r="M362" s="35">
        <v>22966</v>
      </c>
      <c r="N362" s="35">
        <v>15869</v>
      </c>
      <c r="O362" s="35">
        <v>86046</v>
      </c>
      <c r="P362" s="35">
        <v>22496</v>
      </c>
      <c r="Q362" s="35">
        <v>30675</v>
      </c>
      <c r="R362" s="35">
        <v>13373</v>
      </c>
      <c r="S362" s="35">
        <v>17374</v>
      </c>
      <c r="T362" s="35">
        <v>22114</v>
      </c>
      <c r="U362" s="35">
        <v>13695</v>
      </c>
      <c r="V362" s="35">
        <f t="shared" si="309"/>
        <v>614612</v>
      </c>
      <c r="W362" s="35">
        <f t="shared" ref="W362:AP362" si="371">B362-B361</f>
        <v>683</v>
      </c>
      <c r="X362" s="35">
        <f t="shared" si="371"/>
        <v>309</v>
      </c>
      <c r="Y362" s="35">
        <f t="shared" si="371"/>
        <v>262</v>
      </c>
      <c r="Z362" s="35">
        <f t="shared" si="371"/>
        <v>781</v>
      </c>
      <c r="AA362" s="35">
        <f t="shared" si="371"/>
        <v>2113</v>
      </c>
      <c r="AB362" s="35">
        <f t="shared" si="371"/>
        <v>514</v>
      </c>
      <c r="AC362" s="35">
        <f t="shared" si="371"/>
        <v>433</v>
      </c>
      <c r="AD362" s="35">
        <f t="shared" si="371"/>
        <v>560</v>
      </c>
      <c r="AE362" s="35">
        <f t="shared" si="371"/>
        <v>585</v>
      </c>
      <c r="AF362" s="35">
        <f t="shared" si="371"/>
        <v>245</v>
      </c>
      <c r="AG362" s="35">
        <f t="shared" si="371"/>
        <v>303</v>
      </c>
      <c r="AH362" s="35">
        <f t="shared" si="371"/>
        <v>311</v>
      </c>
      <c r="AI362" s="35">
        <f t="shared" si="371"/>
        <v>158</v>
      </c>
      <c r="AJ362" s="35">
        <f t="shared" si="371"/>
        <v>1856</v>
      </c>
      <c r="AK362" s="35">
        <f t="shared" si="371"/>
        <v>329</v>
      </c>
      <c r="AL362" s="35">
        <f t="shared" si="371"/>
        <v>658</v>
      </c>
      <c r="AM362" s="35">
        <f t="shared" si="371"/>
        <v>298</v>
      </c>
      <c r="AN362" s="35">
        <f t="shared" si="371"/>
        <v>375</v>
      </c>
      <c r="AO362" s="35">
        <f t="shared" si="371"/>
        <v>305</v>
      </c>
      <c r="AP362" s="35">
        <f t="shared" si="371"/>
        <v>187</v>
      </c>
    </row>
    <row r="363" spans="1:42" ht="13">
      <c r="A363" s="36">
        <v>44282</v>
      </c>
      <c r="B363" s="35">
        <v>29376</v>
      </c>
      <c r="C363" s="35">
        <v>19752</v>
      </c>
      <c r="D363" s="35">
        <v>16783</v>
      </c>
      <c r="E363" s="35">
        <v>34809</v>
      </c>
      <c r="F363" s="35">
        <v>118215</v>
      </c>
      <c r="G363" s="35">
        <v>26500</v>
      </c>
      <c r="H363" s="35">
        <v>27180</v>
      </c>
      <c r="I363" s="35">
        <v>35783</v>
      </c>
      <c r="J363" s="35">
        <v>33343</v>
      </c>
      <c r="K363" s="35">
        <v>15859</v>
      </c>
      <c r="L363" s="35">
        <v>18360</v>
      </c>
      <c r="M363" s="35">
        <v>23372</v>
      </c>
      <c r="N363" s="35">
        <v>16126</v>
      </c>
      <c r="O363" s="35">
        <v>87512</v>
      </c>
      <c r="P363" s="35">
        <v>22887</v>
      </c>
      <c r="Q363" s="35">
        <v>31289</v>
      </c>
      <c r="R363" s="35">
        <v>13615</v>
      </c>
      <c r="S363" s="35">
        <v>17618</v>
      </c>
      <c r="T363" s="35">
        <v>22572</v>
      </c>
      <c r="U363" s="35">
        <v>13828</v>
      </c>
      <c r="V363" s="35">
        <f t="shared" si="309"/>
        <v>624779</v>
      </c>
      <c r="W363" s="35">
        <f t="shared" ref="W363:AP363" si="372">B363-B362</f>
        <v>587</v>
      </c>
      <c r="X363" s="35">
        <f t="shared" si="372"/>
        <v>313</v>
      </c>
      <c r="Y363" s="35">
        <f t="shared" si="372"/>
        <v>213</v>
      </c>
      <c r="Z363" s="35">
        <f t="shared" si="372"/>
        <v>660</v>
      </c>
      <c r="AA363" s="35">
        <f t="shared" si="372"/>
        <v>1550</v>
      </c>
      <c r="AB363" s="35">
        <f t="shared" si="372"/>
        <v>352</v>
      </c>
      <c r="AC363" s="35">
        <f t="shared" si="372"/>
        <v>687</v>
      </c>
      <c r="AD363" s="35">
        <f t="shared" si="372"/>
        <v>645</v>
      </c>
      <c r="AE363" s="35">
        <f t="shared" si="372"/>
        <v>506</v>
      </c>
      <c r="AF363" s="35">
        <f t="shared" si="372"/>
        <v>288</v>
      </c>
      <c r="AG363" s="35">
        <f t="shared" si="372"/>
        <v>155</v>
      </c>
      <c r="AH363" s="35">
        <f t="shared" si="372"/>
        <v>406</v>
      </c>
      <c r="AI363" s="35">
        <f t="shared" si="372"/>
        <v>257</v>
      </c>
      <c r="AJ363" s="35">
        <f t="shared" si="372"/>
        <v>1466</v>
      </c>
      <c r="AK363" s="35">
        <f t="shared" si="372"/>
        <v>391</v>
      </c>
      <c r="AL363" s="35">
        <f t="shared" si="372"/>
        <v>614</v>
      </c>
      <c r="AM363" s="35">
        <f t="shared" si="372"/>
        <v>242</v>
      </c>
      <c r="AN363" s="35">
        <f t="shared" si="372"/>
        <v>244</v>
      </c>
      <c r="AO363" s="35">
        <f t="shared" si="372"/>
        <v>458</v>
      </c>
      <c r="AP363" s="35">
        <f t="shared" si="372"/>
        <v>133</v>
      </c>
    </row>
    <row r="364" spans="1:42" ht="13">
      <c r="A364" s="36">
        <v>44283</v>
      </c>
      <c r="B364" s="35">
        <v>29844</v>
      </c>
      <c r="C364" s="35">
        <v>20044</v>
      </c>
      <c r="D364" s="35">
        <v>17002</v>
      </c>
      <c r="E364" s="35">
        <v>35314</v>
      </c>
      <c r="F364" s="35">
        <v>119681</v>
      </c>
      <c r="G364" s="35">
        <v>26803</v>
      </c>
      <c r="H364" s="35">
        <v>27615</v>
      </c>
      <c r="I364" s="35">
        <v>36210</v>
      </c>
      <c r="J364" s="35">
        <v>33793</v>
      </c>
      <c r="K364" s="35">
        <v>16233</v>
      </c>
      <c r="L364" s="35">
        <v>18678</v>
      </c>
      <c r="M364" s="35">
        <v>23753</v>
      </c>
      <c r="N364" s="35">
        <v>16346</v>
      </c>
      <c r="O364" s="35">
        <v>88707</v>
      </c>
      <c r="P364" s="35">
        <v>23298</v>
      </c>
      <c r="Q364" s="35">
        <v>31789</v>
      </c>
      <c r="R364" s="35">
        <v>13822</v>
      </c>
      <c r="S364" s="35">
        <v>17999</v>
      </c>
      <c r="T364" s="35">
        <v>22934</v>
      </c>
      <c r="U364" s="35">
        <v>13996</v>
      </c>
      <c r="V364" s="35">
        <f t="shared" si="309"/>
        <v>633861</v>
      </c>
      <c r="W364" s="35">
        <f t="shared" ref="W364:AP364" si="373">B364-B363</f>
        <v>468</v>
      </c>
      <c r="X364" s="35">
        <f t="shared" si="373"/>
        <v>292</v>
      </c>
      <c r="Y364" s="35">
        <f t="shared" si="373"/>
        <v>219</v>
      </c>
      <c r="Z364" s="35">
        <f t="shared" si="373"/>
        <v>505</v>
      </c>
      <c r="AA364" s="35">
        <f t="shared" si="373"/>
        <v>1466</v>
      </c>
      <c r="AB364" s="35">
        <f t="shared" si="373"/>
        <v>303</v>
      </c>
      <c r="AC364" s="35">
        <f t="shared" si="373"/>
        <v>435</v>
      </c>
      <c r="AD364" s="35">
        <f t="shared" si="373"/>
        <v>427</v>
      </c>
      <c r="AE364" s="35">
        <f t="shared" si="373"/>
        <v>450</v>
      </c>
      <c r="AF364" s="35">
        <f t="shared" si="373"/>
        <v>374</v>
      </c>
      <c r="AG364" s="35">
        <f t="shared" si="373"/>
        <v>318</v>
      </c>
      <c r="AH364" s="35">
        <f t="shared" si="373"/>
        <v>381</v>
      </c>
      <c r="AI364" s="35">
        <f t="shared" si="373"/>
        <v>220</v>
      </c>
      <c r="AJ364" s="35">
        <f t="shared" si="373"/>
        <v>1195</v>
      </c>
      <c r="AK364" s="35">
        <f t="shared" si="373"/>
        <v>411</v>
      </c>
      <c r="AL364" s="35">
        <f t="shared" si="373"/>
        <v>500</v>
      </c>
      <c r="AM364" s="35">
        <f t="shared" si="373"/>
        <v>207</v>
      </c>
      <c r="AN364" s="35">
        <f t="shared" si="373"/>
        <v>381</v>
      </c>
      <c r="AO364" s="35">
        <f t="shared" si="373"/>
        <v>362</v>
      </c>
      <c r="AP364" s="35">
        <f t="shared" si="373"/>
        <v>168</v>
      </c>
    </row>
    <row r="365" spans="1:42" ht="13">
      <c r="A365" s="36">
        <v>44284</v>
      </c>
      <c r="B365" s="35">
        <v>30192</v>
      </c>
      <c r="C365" s="35">
        <v>20317</v>
      </c>
      <c r="D365" s="35">
        <v>17154</v>
      </c>
      <c r="E365" s="35">
        <v>35622</v>
      </c>
      <c r="F365" s="35">
        <v>120873</v>
      </c>
      <c r="G365" s="35">
        <v>27066</v>
      </c>
      <c r="H365" s="35">
        <v>28121</v>
      </c>
      <c r="I365" s="35">
        <v>36684</v>
      </c>
      <c r="J365" s="35">
        <v>34103</v>
      </c>
      <c r="K365" s="35">
        <v>16405</v>
      </c>
      <c r="L365" s="35">
        <v>18880</v>
      </c>
      <c r="M365" s="35">
        <v>24045</v>
      </c>
      <c r="N365" s="35">
        <v>16478</v>
      </c>
      <c r="O365" s="35">
        <v>89803</v>
      </c>
      <c r="P365" s="35">
        <v>23546</v>
      </c>
      <c r="Q365" s="35">
        <v>32190</v>
      </c>
      <c r="R365" s="35">
        <v>13996</v>
      </c>
      <c r="S365" s="35">
        <v>18313</v>
      </c>
      <c r="T365" s="35">
        <v>23205</v>
      </c>
      <c r="U365" s="35">
        <v>14131</v>
      </c>
      <c r="V365" s="35">
        <f t="shared" si="309"/>
        <v>641124</v>
      </c>
      <c r="W365" s="35">
        <f t="shared" ref="W365:AP365" si="374">B365-B364</f>
        <v>348</v>
      </c>
      <c r="X365" s="35">
        <f t="shared" si="374"/>
        <v>273</v>
      </c>
      <c r="Y365" s="35">
        <f t="shared" si="374"/>
        <v>152</v>
      </c>
      <c r="Z365" s="35">
        <f t="shared" si="374"/>
        <v>308</v>
      </c>
      <c r="AA365" s="35">
        <f t="shared" si="374"/>
        <v>1192</v>
      </c>
      <c r="AB365" s="35">
        <f t="shared" si="374"/>
        <v>263</v>
      </c>
      <c r="AC365" s="35">
        <f t="shared" si="374"/>
        <v>506</v>
      </c>
      <c r="AD365" s="35">
        <f t="shared" si="374"/>
        <v>474</v>
      </c>
      <c r="AE365" s="35">
        <f t="shared" si="374"/>
        <v>310</v>
      </c>
      <c r="AF365" s="35">
        <f t="shared" si="374"/>
        <v>172</v>
      </c>
      <c r="AG365" s="35">
        <f t="shared" si="374"/>
        <v>202</v>
      </c>
      <c r="AH365" s="35">
        <f t="shared" si="374"/>
        <v>292</v>
      </c>
      <c r="AI365" s="35">
        <f t="shared" si="374"/>
        <v>132</v>
      </c>
      <c r="AJ365" s="35">
        <f t="shared" si="374"/>
        <v>1096</v>
      </c>
      <c r="AK365" s="35">
        <f t="shared" si="374"/>
        <v>248</v>
      </c>
      <c r="AL365" s="35">
        <f t="shared" si="374"/>
        <v>401</v>
      </c>
      <c r="AM365" s="35">
        <f t="shared" si="374"/>
        <v>174</v>
      </c>
      <c r="AN365" s="35">
        <f t="shared" si="374"/>
        <v>314</v>
      </c>
      <c r="AO365" s="35">
        <f t="shared" si="374"/>
        <v>271</v>
      </c>
      <c r="AP365" s="35">
        <f t="shared" si="374"/>
        <v>135</v>
      </c>
    </row>
    <row r="366" spans="1:42" ht="13">
      <c r="A366" s="36">
        <v>44285</v>
      </c>
      <c r="B366" s="35">
        <v>30342</v>
      </c>
      <c r="C366" s="35">
        <v>20594</v>
      </c>
      <c r="D366" s="35">
        <v>17262</v>
      </c>
      <c r="E366" s="35">
        <v>35725</v>
      </c>
      <c r="F366" s="35">
        <v>121657</v>
      </c>
      <c r="G366" s="35">
        <v>27141</v>
      </c>
      <c r="H366" s="35">
        <v>28424</v>
      </c>
      <c r="I366" s="35">
        <v>36799</v>
      </c>
      <c r="J366" s="35">
        <v>34288</v>
      </c>
      <c r="K366" s="35">
        <v>16693</v>
      </c>
      <c r="L366" s="35">
        <v>19019</v>
      </c>
      <c r="M366" s="35">
        <v>24233</v>
      </c>
      <c r="N366" s="35">
        <v>16541</v>
      </c>
      <c r="O366" s="35">
        <v>90454</v>
      </c>
      <c r="P366" s="35">
        <v>23716</v>
      </c>
      <c r="Q366" s="35">
        <v>32531</v>
      </c>
      <c r="R366" s="35">
        <v>14146</v>
      </c>
      <c r="S366" s="35">
        <v>18474</v>
      </c>
      <c r="T366" s="35">
        <v>23442</v>
      </c>
      <c r="U366" s="35">
        <v>14252</v>
      </c>
      <c r="V366" s="35">
        <f t="shared" si="309"/>
        <v>645733</v>
      </c>
      <c r="W366" s="35">
        <f t="shared" ref="W366:AP366" si="375">B366-B365</f>
        <v>150</v>
      </c>
      <c r="X366" s="35">
        <f t="shared" si="375"/>
        <v>277</v>
      </c>
      <c r="Y366" s="35">
        <f t="shared" si="375"/>
        <v>108</v>
      </c>
      <c r="Z366" s="35">
        <f t="shared" si="375"/>
        <v>103</v>
      </c>
      <c r="AA366" s="35">
        <f t="shared" si="375"/>
        <v>784</v>
      </c>
      <c r="AB366" s="35">
        <f t="shared" si="375"/>
        <v>75</v>
      </c>
      <c r="AC366" s="35">
        <f t="shared" si="375"/>
        <v>303</v>
      </c>
      <c r="AD366" s="35">
        <f t="shared" si="375"/>
        <v>115</v>
      </c>
      <c r="AE366" s="35">
        <f t="shared" si="375"/>
        <v>185</v>
      </c>
      <c r="AF366" s="35">
        <f t="shared" si="375"/>
        <v>288</v>
      </c>
      <c r="AG366" s="35">
        <f t="shared" si="375"/>
        <v>139</v>
      </c>
      <c r="AH366" s="35">
        <f t="shared" si="375"/>
        <v>188</v>
      </c>
      <c r="AI366" s="35">
        <f t="shared" si="375"/>
        <v>63</v>
      </c>
      <c r="AJ366" s="35">
        <f t="shared" si="375"/>
        <v>651</v>
      </c>
      <c r="AK366" s="35">
        <f t="shared" si="375"/>
        <v>170</v>
      </c>
      <c r="AL366" s="35">
        <f t="shared" si="375"/>
        <v>341</v>
      </c>
      <c r="AM366" s="35">
        <f t="shared" si="375"/>
        <v>150</v>
      </c>
      <c r="AN366" s="35">
        <f t="shared" si="375"/>
        <v>161</v>
      </c>
      <c r="AO366" s="35">
        <f t="shared" si="375"/>
        <v>237</v>
      </c>
      <c r="AP366" s="35">
        <f t="shared" si="375"/>
        <v>121</v>
      </c>
    </row>
    <row r="367" spans="1:42" ht="13">
      <c r="A367" s="36">
        <v>44286</v>
      </c>
      <c r="B367" s="35">
        <v>30597</v>
      </c>
      <c r="C367" s="35">
        <v>20931</v>
      </c>
      <c r="D367" s="35">
        <v>17396</v>
      </c>
      <c r="E367" s="35">
        <v>36114</v>
      </c>
      <c r="F367" s="35">
        <v>122847</v>
      </c>
      <c r="G367" s="35">
        <v>27290</v>
      </c>
      <c r="H367" s="35">
        <v>28730</v>
      </c>
      <c r="I367" s="35">
        <v>37034</v>
      </c>
      <c r="J367" s="35">
        <v>34585</v>
      </c>
      <c r="K367" s="35">
        <v>16931</v>
      </c>
      <c r="L367" s="35">
        <v>19200</v>
      </c>
      <c r="M367" s="35">
        <v>24393</v>
      </c>
      <c r="N367" s="35">
        <v>16721</v>
      </c>
      <c r="O367" s="35">
        <v>91757</v>
      </c>
      <c r="P367" s="35">
        <v>24069</v>
      </c>
      <c r="Q367" s="35">
        <v>32791</v>
      </c>
      <c r="R367" s="35">
        <v>14307</v>
      </c>
      <c r="S367" s="35">
        <v>18669</v>
      </c>
      <c r="T367" s="35">
        <v>23751</v>
      </c>
      <c r="U367" s="35">
        <v>14320</v>
      </c>
      <c r="V367" s="35">
        <f t="shared" si="309"/>
        <v>652433</v>
      </c>
      <c r="W367" s="35">
        <f t="shared" ref="W367:AP367" si="376">B367-B366</f>
        <v>255</v>
      </c>
      <c r="X367" s="35">
        <f t="shared" si="376"/>
        <v>337</v>
      </c>
      <c r="Y367" s="35">
        <f t="shared" si="376"/>
        <v>134</v>
      </c>
      <c r="Z367" s="35">
        <f t="shared" si="376"/>
        <v>389</v>
      </c>
      <c r="AA367" s="35">
        <f t="shared" si="376"/>
        <v>1190</v>
      </c>
      <c r="AB367" s="35">
        <f t="shared" si="376"/>
        <v>149</v>
      </c>
      <c r="AC367" s="35">
        <f t="shared" si="376"/>
        <v>306</v>
      </c>
      <c r="AD367" s="35">
        <f t="shared" si="376"/>
        <v>235</v>
      </c>
      <c r="AE367" s="35">
        <f t="shared" si="376"/>
        <v>297</v>
      </c>
      <c r="AF367" s="35">
        <f t="shared" si="376"/>
        <v>238</v>
      </c>
      <c r="AG367" s="35">
        <f t="shared" si="376"/>
        <v>181</v>
      </c>
      <c r="AH367" s="35">
        <f t="shared" si="376"/>
        <v>160</v>
      </c>
      <c r="AI367" s="35">
        <f t="shared" si="376"/>
        <v>180</v>
      </c>
      <c r="AJ367" s="35">
        <f t="shared" si="376"/>
        <v>1303</v>
      </c>
      <c r="AK367" s="35">
        <f t="shared" si="376"/>
        <v>353</v>
      </c>
      <c r="AL367" s="35">
        <f t="shared" si="376"/>
        <v>260</v>
      </c>
      <c r="AM367" s="35">
        <f t="shared" si="376"/>
        <v>161</v>
      </c>
      <c r="AN367" s="35">
        <f t="shared" si="376"/>
        <v>195</v>
      </c>
      <c r="AO367" s="35">
        <f t="shared" si="376"/>
        <v>309</v>
      </c>
      <c r="AP367" s="35">
        <f t="shared" si="376"/>
        <v>68</v>
      </c>
    </row>
    <row r="368" spans="1:42" ht="13">
      <c r="A368" s="36">
        <v>44287</v>
      </c>
      <c r="B368" s="35">
        <v>31261</v>
      </c>
      <c r="C368" s="35">
        <v>21277</v>
      </c>
      <c r="D368" s="35">
        <v>17628</v>
      </c>
      <c r="E368" s="35">
        <v>36551</v>
      </c>
      <c r="F368" s="35">
        <v>124071</v>
      </c>
      <c r="G368" s="35">
        <v>27874</v>
      </c>
      <c r="H368" s="35">
        <v>29221</v>
      </c>
      <c r="I368" s="35">
        <v>37500</v>
      </c>
      <c r="J368" s="35">
        <v>35078</v>
      </c>
      <c r="K368" s="35">
        <v>17178</v>
      </c>
      <c r="L368" s="35">
        <v>19497</v>
      </c>
      <c r="M368" s="35">
        <v>24656</v>
      </c>
      <c r="N368" s="35">
        <v>16932</v>
      </c>
      <c r="O368" s="35">
        <v>93050</v>
      </c>
      <c r="P368" s="35">
        <v>24515</v>
      </c>
      <c r="Q368" s="35">
        <v>33255</v>
      </c>
      <c r="R368" s="35">
        <v>14543</v>
      </c>
      <c r="S368" s="35">
        <v>18948</v>
      </c>
      <c r="T368" s="35">
        <v>24188</v>
      </c>
      <c r="U368" s="35">
        <v>14498</v>
      </c>
      <c r="V368" s="35">
        <f t="shared" si="309"/>
        <v>661721</v>
      </c>
      <c r="W368" s="35">
        <f t="shared" ref="W368:AP368" si="377">B368-B367</f>
        <v>664</v>
      </c>
      <c r="X368" s="35">
        <f t="shared" si="377"/>
        <v>346</v>
      </c>
      <c r="Y368" s="35">
        <f t="shared" si="377"/>
        <v>232</v>
      </c>
      <c r="Z368" s="35">
        <f t="shared" si="377"/>
        <v>437</v>
      </c>
      <c r="AA368" s="35">
        <f t="shared" si="377"/>
        <v>1224</v>
      </c>
      <c r="AB368" s="35">
        <f t="shared" si="377"/>
        <v>584</v>
      </c>
      <c r="AC368" s="35">
        <f t="shared" si="377"/>
        <v>491</v>
      </c>
      <c r="AD368" s="35">
        <f t="shared" si="377"/>
        <v>466</v>
      </c>
      <c r="AE368" s="35">
        <f t="shared" si="377"/>
        <v>493</v>
      </c>
      <c r="AF368" s="35">
        <f t="shared" si="377"/>
        <v>247</v>
      </c>
      <c r="AG368" s="35">
        <f t="shared" si="377"/>
        <v>297</v>
      </c>
      <c r="AH368" s="35">
        <f t="shared" si="377"/>
        <v>263</v>
      </c>
      <c r="AI368" s="35">
        <f t="shared" si="377"/>
        <v>211</v>
      </c>
      <c r="AJ368" s="35">
        <f t="shared" si="377"/>
        <v>1293</v>
      </c>
      <c r="AK368" s="35">
        <f t="shared" si="377"/>
        <v>446</v>
      </c>
      <c r="AL368" s="35">
        <f t="shared" si="377"/>
        <v>464</v>
      </c>
      <c r="AM368" s="35">
        <f t="shared" si="377"/>
        <v>236</v>
      </c>
      <c r="AN368" s="35">
        <f t="shared" si="377"/>
        <v>279</v>
      </c>
      <c r="AO368" s="35">
        <f t="shared" si="377"/>
        <v>437</v>
      </c>
      <c r="AP368" s="35">
        <f t="shared" si="377"/>
        <v>178</v>
      </c>
    </row>
    <row r="369" spans="1:42" ht="13">
      <c r="A369" s="36">
        <v>44288</v>
      </c>
      <c r="B369" s="35">
        <v>31781</v>
      </c>
      <c r="C369" s="35">
        <v>21602</v>
      </c>
      <c r="D369" s="35">
        <v>17816</v>
      </c>
      <c r="E369" s="35">
        <v>37177</v>
      </c>
      <c r="F369" s="35">
        <v>125415</v>
      </c>
      <c r="G369" s="35">
        <v>28169</v>
      </c>
      <c r="H369" s="35">
        <v>29739</v>
      </c>
      <c r="I369" s="35">
        <v>38052</v>
      </c>
      <c r="J369" s="35">
        <v>35573</v>
      </c>
      <c r="K369" s="35">
        <v>17432</v>
      </c>
      <c r="L369" s="35">
        <v>19822</v>
      </c>
      <c r="M369" s="35">
        <v>24963</v>
      </c>
      <c r="N369" s="35">
        <v>17117</v>
      </c>
      <c r="O369" s="35">
        <v>94371</v>
      </c>
      <c r="P369" s="35">
        <v>24829</v>
      </c>
      <c r="Q369" s="35">
        <v>33800</v>
      </c>
      <c r="R369" s="35">
        <v>14785</v>
      </c>
      <c r="S369" s="35">
        <v>19149</v>
      </c>
      <c r="T369" s="35">
        <v>24555</v>
      </c>
      <c r="U369" s="35">
        <v>14629</v>
      </c>
      <c r="V369" s="35">
        <f t="shared" si="309"/>
        <v>670776</v>
      </c>
      <c r="W369" s="35">
        <f t="shared" ref="W369:AP369" si="378">B369-B368</f>
        <v>520</v>
      </c>
      <c r="X369" s="35">
        <f t="shared" si="378"/>
        <v>325</v>
      </c>
      <c r="Y369" s="35">
        <f t="shared" si="378"/>
        <v>188</v>
      </c>
      <c r="Z369" s="35">
        <f t="shared" si="378"/>
        <v>626</v>
      </c>
      <c r="AA369" s="35">
        <f t="shared" si="378"/>
        <v>1344</v>
      </c>
      <c r="AB369" s="35">
        <f t="shared" si="378"/>
        <v>295</v>
      </c>
      <c r="AC369" s="35">
        <f t="shared" si="378"/>
        <v>518</v>
      </c>
      <c r="AD369" s="35">
        <f t="shared" si="378"/>
        <v>552</v>
      </c>
      <c r="AE369" s="35">
        <f t="shared" si="378"/>
        <v>495</v>
      </c>
      <c r="AF369" s="35">
        <f t="shared" si="378"/>
        <v>254</v>
      </c>
      <c r="AG369" s="35">
        <f t="shared" si="378"/>
        <v>325</v>
      </c>
      <c r="AH369" s="35">
        <f t="shared" si="378"/>
        <v>307</v>
      </c>
      <c r="AI369" s="35">
        <f t="shared" si="378"/>
        <v>185</v>
      </c>
      <c r="AJ369" s="35">
        <f t="shared" si="378"/>
        <v>1321</v>
      </c>
      <c r="AK369" s="35">
        <f t="shared" si="378"/>
        <v>314</v>
      </c>
      <c r="AL369" s="35">
        <f t="shared" si="378"/>
        <v>545</v>
      </c>
      <c r="AM369" s="35">
        <f t="shared" si="378"/>
        <v>242</v>
      </c>
      <c r="AN369" s="35">
        <f t="shared" si="378"/>
        <v>201</v>
      </c>
      <c r="AO369" s="35">
        <f t="shared" si="378"/>
        <v>367</v>
      </c>
      <c r="AP369" s="35">
        <f t="shared" si="378"/>
        <v>131</v>
      </c>
    </row>
    <row r="370" spans="1:42" ht="13">
      <c r="A370" s="36">
        <v>44289</v>
      </c>
      <c r="B370" s="35">
        <v>32257</v>
      </c>
      <c r="C370" s="35">
        <v>21998</v>
      </c>
      <c r="D370" s="35">
        <v>18022</v>
      </c>
      <c r="E370" s="35">
        <v>37707</v>
      </c>
      <c r="F370" s="35">
        <v>126790</v>
      </c>
      <c r="G370" s="35">
        <v>28499</v>
      </c>
      <c r="H370" s="35">
        <v>30192</v>
      </c>
      <c r="I370" s="35">
        <v>38527</v>
      </c>
      <c r="J370" s="35">
        <v>36009</v>
      </c>
      <c r="K370" s="35">
        <v>17683</v>
      </c>
      <c r="L370" s="35">
        <v>20132</v>
      </c>
      <c r="M370" s="35">
        <v>25265</v>
      </c>
      <c r="N370" s="35">
        <v>17344</v>
      </c>
      <c r="O370" s="35">
        <v>95323</v>
      </c>
      <c r="P370" s="35">
        <v>25141</v>
      </c>
      <c r="Q370" s="35">
        <v>34339</v>
      </c>
      <c r="R370" s="35">
        <v>14955</v>
      </c>
      <c r="S370" s="35">
        <v>19457</v>
      </c>
      <c r="T370" s="35">
        <v>24977</v>
      </c>
      <c r="U370" s="35">
        <v>14796</v>
      </c>
      <c r="V370" s="35">
        <f t="shared" si="309"/>
        <v>679413</v>
      </c>
      <c r="W370" s="35">
        <f t="shared" ref="W370:AP370" si="379">B370-B369</f>
        <v>476</v>
      </c>
      <c r="X370" s="35">
        <f t="shared" si="379"/>
        <v>396</v>
      </c>
      <c r="Y370" s="35">
        <f t="shared" si="379"/>
        <v>206</v>
      </c>
      <c r="Z370" s="35">
        <f t="shared" si="379"/>
        <v>530</v>
      </c>
      <c r="AA370" s="35">
        <f t="shared" si="379"/>
        <v>1375</v>
      </c>
      <c r="AB370" s="35">
        <f t="shared" si="379"/>
        <v>330</v>
      </c>
      <c r="AC370" s="35">
        <f t="shared" si="379"/>
        <v>453</v>
      </c>
      <c r="AD370" s="35">
        <f t="shared" si="379"/>
        <v>475</v>
      </c>
      <c r="AE370" s="35">
        <f t="shared" si="379"/>
        <v>436</v>
      </c>
      <c r="AF370" s="35">
        <f t="shared" si="379"/>
        <v>251</v>
      </c>
      <c r="AG370" s="35">
        <f t="shared" si="379"/>
        <v>310</v>
      </c>
      <c r="AH370" s="35">
        <f t="shared" si="379"/>
        <v>302</v>
      </c>
      <c r="AI370" s="35">
        <f t="shared" si="379"/>
        <v>227</v>
      </c>
      <c r="AJ370" s="35">
        <f t="shared" si="379"/>
        <v>952</v>
      </c>
      <c r="AK370" s="35">
        <f t="shared" si="379"/>
        <v>312</v>
      </c>
      <c r="AL370" s="35">
        <f t="shared" si="379"/>
        <v>539</v>
      </c>
      <c r="AM370" s="35">
        <f t="shared" si="379"/>
        <v>170</v>
      </c>
      <c r="AN370" s="35">
        <f t="shared" si="379"/>
        <v>308</v>
      </c>
      <c r="AO370" s="35">
        <f t="shared" si="379"/>
        <v>422</v>
      </c>
      <c r="AP370" s="35">
        <f t="shared" si="379"/>
        <v>167</v>
      </c>
    </row>
    <row r="371" spans="1:42" ht="13">
      <c r="A371" s="36">
        <v>44290</v>
      </c>
      <c r="B371" s="35">
        <v>32593</v>
      </c>
      <c r="C371" s="35">
        <v>22257</v>
      </c>
      <c r="D371" s="35">
        <v>18190</v>
      </c>
      <c r="E371" s="35">
        <v>38117</v>
      </c>
      <c r="F371" s="35">
        <v>127894</v>
      </c>
      <c r="G371" s="35">
        <v>28723</v>
      </c>
      <c r="H371" s="35">
        <v>30641</v>
      </c>
      <c r="I371" s="35">
        <v>38843</v>
      </c>
      <c r="J371" s="35">
        <v>36381</v>
      </c>
      <c r="K371" s="35">
        <v>17865</v>
      </c>
      <c r="L371" s="35">
        <v>20340</v>
      </c>
      <c r="M371" s="35">
        <v>25520</v>
      </c>
      <c r="N371" s="35">
        <v>17435</v>
      </c>
      <c r="O371" s="35">
        <v>96171</v>
      </c>
      <c r="P371" s="35">
        <v>25339</v>
      </c>
      <c r="Q371" s="35">
        <v>34701</v>
      </c>
      <c r="R371" s="35">
        <v>15143</v>
      </c>
      <c r="S371" s="35">
        <v>19604</v>
      </c>
      <c r="T371" s="35">
        <v>25205</v>
      </c>
      <c r="U371" s="35">
        <v>15017</v>
      </c>
      <c r="V371" s="35">
        <f t="shared" si="309"/>
        <v>685979</v>
      </c>
      <c r="W371" s="35">
        <f t="shared" ref="W371:AP371" si="380">B371-B370</f>
        <v>336</v>
      </c>
      <c r="X371" s="35">
        <f t="shared" si="380"/>
        <v>259</v>
      </c>
      <c r="Y371" s="35">
        <f t="shared" si="380"/>
        <v>168</v>
      </c>
      <c r="Z371" s="35">
        <f t="shared" si="380"/>
        <v>410</v>
      </c>
      <c r="AA371" s="35">
        <f t="shared" si="380"/>
        <v>1104</v>
      </c>
      <c r="AB371" s="35">
        <f t="shared" si="380"/>
        <v>224</v>
      </c>
      <c r="AC371" s="35">
        <f t="shared" si="380"/>
        <v>449</v>
      </c>
      <c r="AD371" s="35">
        <f t="shared" si="380"/>
        <v>316</v>
      </c>
      <c r="AE371" s="35">
        <f t="shared" si="380"/>
        <v>372</v>
      </c>
      <c r="AF371" s="35">
        <f t="shared" si="380"/>
        <v>182</v>
      </c>
      <c r="AG371" s="35">
        <f t="shared" si="380"/>
        <v>208</v>
      </c>
      <c r="AH371" s="35">
        <f t="shared" si="380"/>
        <v>255</v>
      </c>
      <c r="AI371" s="35">
        <f t="shared" si="380"/>
        <v>91</v>
      </c>
      <c r="AJ371" s="35">
        <f t="shared" si="380"/>
        <v>848</v>
      </c>
      <c r="AK371" s="35">
        <f t="shared" si="380"/>
        <v>198</v>
      </c>
      <c r="AL371" s="35">
        <f t="shared" si="380"/>
        <v>362</v>
      </c>
      <c r="AM371" s="35">
        <f t="shared" si="380"/>
        <v>188</v>
      </c>
      <c r="AN371" s="35">
        <f t="shared" si="380"/>
        <v>147</v>
      </c>
      <c r="AO371" s="35">
        <f t="shared" si="380"/>
        <v>228</v>
      </c>
      <c r="AP371" s="35">
        <f t="shared" si="380"/>
        <v>221</v>
      </c>
    </row>
    <row r="372" spans="1:42" ht="13">
      <c r="A372" s="36">
        <v>44291</v>
      </c>
      <c r="B372" s="35">
        <v>32803</v>
      </c>
      <c r="C372" s="35">
        <v>22446</v>
      </c>
      <c r="D372" s="35">
        <v>18293</v>
      </c>
      <c r="E372" s="35">
        <v>38384</v>
      </c>
      <c r="F372" s="35">
        <v>128500</v>
      </c>
      <c r="G372" s="35">
        <v>28838</v>
      </c>
      <c r="H372" s="35">
        <v>30834</v>
      </c>
      <c r="I372" s="35">
        <v>38936</v>
      </c>
      <c r="J372" s="35">
        <v>36586</v>
      </c>
      <c r="K372" s="35">
        <v>18080</v>
      </c>
      <c r="L372" s="35">
        <v>20438</v>
      </c>
      <c r="M372" s="35">
        <v>25625</v>
      </c>
      <c r="N372" s="35">
        <v>17465</v>
      </c>
      <c r="O372" s="35">
        <v>96725</v>
      </c>
      <c r="P372" s="35">
        <v>25440</v>
      </c>
      <c r="Q372" s="35">
        <v>34945</v>
      </c>
      <c r="R372" s="35">
        <v>15272</v>
      </c>
      <c r="S372" s="35">
        <v>19727</v>
      </c>
      <c r="T372" s="35">
        <v>25420</v>
      </c>
      <c r="U372" s="35">
        <v>15096</v>
      </c>
      <c r="V372" s="35">
        <f t="shared" si="309"/>
        <v>689853</v>
      </c>
      <c r="W372" s="35">
        <f t="shared" ref="W372:AP372" si="381">B372-B371</f>
        <v>210</v>
      </c>
      <c r="X372" s="35">
        <f t="shared" si="381"/>
        <v>189</v>
      </c>
      <c r="Y372" s="35">
        <f t="shared" si="381"/>
        <v>103</v>
      </c>
      <c r="Z372" s="35">
        <f t="shared" si="381"/>
        <v>267</v>
      </c>
      <c r="AA372" s="35">
        <f t="shared" si="381"/>
        <v>606</v>
      </c>
      <c r="AB372" s="35">
        <f t="shared" si="381"/>
        <v>115</v>
      </c>
      <c r="AC372" s="35">
        <f t="shared" si="381"/>
        <v>193</v>
      </c>
      <c r="AD372" s="35">
        <f t="shared" si="381"/>
        <v>93</v>
      </c>
      <c r="AE372" s="35">
        <f t="shared" si="381"/>
        <v>205</v>
      </c>
      <c r="AF372" s="35">
        <f t="shared" si="381"/>
        <v>215</v>
      </c>
      <c r="AG372" s="35">
        <f t="shared" si="381"/>
        <v>98</v>
      </c>
      <c r="AH372" s="35">
        <f t="shared" si="381"/>
        <v>105</v>
      </c>
      <c r="AI372" s="35">
        <f t="shared" si="381"/>
        <v>30</v>
      </c>
      <c r="AJ372" s="35">
        <f t="shared" si="381"/>
        <v>554</v>
      </c>
      <c r="AK372" s="35">
        <f t="shared" si="381"/>
        <v>101</v>
      </c>
      <c r="AL372" s="35">
        <f t="shared" si="381"/>
        <v>244</v>
      </c>
      <c r="AM372" s="35">
        <f t="shared" si="381"/>
        <v>129</v>
      </c>
      <c r="AN372" s="35">
        <f t="shared" si="381"/>
        <v>123</v>
      </c>
      <c r="AO372" s="35">
        <f t="shared" si="381"/>
        <v>215</v>
      </c>
      <c r="AP372" s="35">
        <f t="shared" si="381"/>
        <v>79</v>
      </c>
    </row>
    <row r="373" spans="1:42" ht="13">
      <c r="A373" s="36">
        <v>44292</v>
      </c>
      <c r="B373" s="35">
        <v>32920</v>
      </c>
      <c r="C373" s="35">
        <v>22625</v>
      </c>
      <c r="D373" s="35">
        <v>18322</v>
      </c>
      <c r="E373" s="35">
        <v>38512</v>
      </c>
      <c r="F373" s="35">
        <v>128770</v>
      </c>
      <c r="G373" s="35">
        <v>28940</v>
      </c>
      <c r="H373" s="35">
        <v>30895</v>
      </c>
      <c r="I373" s="35">
        <v>38969</v>
      </c>
      <c r="J373" s="35">
        <v>36660</v>
      </c>
      <c r="K373" s="35">
        <v>18122</v>
      </c>
      <c r="L373" s="35">
        <v>20510</v>
      </c>
      <c r="M373" s="35">
        <v>25663</v>
      </c>
      <c r="N373" s="35">
        <v>17514</v>
      </c>
      <c r="O373" s="35">
        <v>97014</v>
      </c>
      <c r="P373" s="35">
        <v>25475</v>
      </c>
      <c r="Q373" s="35">
        <v>35073</v>
      </c>
      <c r="R373" s="35">
        <v>15337</v>
      </c>
      <c r="S373" s="35">
        <v>19800</v>
      </c>
      <c r="T373" s="35">
        <v>25492</v>
      </c>
      <c r="U373" s="35">
        <v>15130</v>
      </c>
      <c r="V373" s="35">
        <f t="shared" si="309"/>
        <v>691743</v>
      </c>
      <c r="W373" s="35">
        <f t="shared" ref="W373:AP373" si="382">B373-B372</f>
        <v>117</v>
      </c>
      <c r="X373" s="35">
        <f t="shared" si="382"/>
        <v>179</v>
      </c>
      <c r="Y373" s="35">
        <f t="shared" si="382"/>
        <v>29</v>
      </c>
      <c r="Z373" s="35">
        <f t="shared" si="382"/>
        <v>128</v>
      </c>
      <c r="AA373" s="35">
        <f t="shared" si="382"/>
        <v>270</v>
      </c>
      <c r="AB373" s="35">
        <f t="shared" si="382"/>
        <v>102</v>
      </c>
      <c r="AC373" s="35">
        <f t="shared" si="382"/>
        <v>61</v>
      </c>
      <c r="AD373" s="35">
        <f t="shared" si="382"/>
        <v>33</v>
      </c>
      <c r="AE373" s="35">
        <f t="shared" si="382"/>
        <v>74</v>
      </c>
      <c r="AF373" s="35">
        <f t="shared" si="382"/>
        <v>42</v>
      </c>
      <c r="AG373" s="35">
        <f t="shared" si="382"/>
        <v>72</v>
      </c>
      <c r="AH373" s="35">
        <f t="shared" si="382"/>
        <v>38</v>
      </c>
      <c r="AI373" s="35">
        <f t="shared" si="382"/>
        <v>49</v>
      </c>
      <c r="AJ373" s="35">
        <f t="shared" si="382"/>
        <v>289</v>
      </c>
      <c r="AK373" s="35">
        <f t="shared" si="382"/>
        <v>35</v>
      </c>
      <c r="AL373" s="35">
        <f t="shared" si="382"/>
        <v>128</v>
      </c>
      <c r="AM373" s="35">
        <f t="shared" si="382"/>
        <v>65</v>
      </c>
      <c r="AN373" s="35">
        <f t="shared" si="382"/>
        <v>73</v>
      </c>
      <c r="AO373" s="35">
        <f t="shared" si="382"/>
        <v>72</v>
      </c>
      <c r="AP373" s="35">
        <f t="shared" si="382"/>
        <v>34</v>
      </c>
    </row>
    <row r="374" spans="1:42" ht="13">
      <c r="A374" s="36">
        <v>44293</v>
      </c>
      <c r="B374" s="35">
        <v>33052</v>
      </c>
      <c r="C374" s="35">
        <v>22733</v>
      </c>
      <c r="D374" s="35">
        <v>18364</v>
      </c>
      <c r="E374" s="35">
        <v>38618</v>
      </c>
      <c r="F374" s="35">
        <v>129055</v>
      </c>
      <c r="G374" s="35">
        <v>28998</v>
      </c>
      <c r="H374" s="35">
        <v>30984</v>
      </c>
      <c r="I374" s="35">
        <v>39026</v>
      </c>
      <c r="J374" s="35">
        <v>36767</v>
      </c>
      <c r="K374" s="35">
        <v>18238</v>
      </c>
      <c r="L374" s="35">
        <v>20565</v>
      </c>
      <c r="M374" s="35">
        <v>25696</v>
      </c>
      <c r="N374" s="35">
        <v>17550</v>
      </c>
      <c r="O374" s="35">
        <v>97245</v>
      </c>
      <c r="P374" s="35">
        <v>25578</v>
      </c>
      <c r="Q374" s="35">
        <v>35203</v>
      </c>
      <c r="R374" s="35">
        <v>15370</v>
      </c>
      <c r="S374" s="35">
        <v>19903</v>
      </c>
      <c r="T374" s="35">
        <v>25573</v>
      </c>
      <c r="U374" s="35">
        <v>15158</v>
      </c>
      <c r="V374" s="35">
        <f t="shared" si="309"/>
        <v>693676</v>
      </c>
      <c r="W374" s="35">
        <f t="shared" ref="W374:AP374" si="383">B374-B373</f>
        <v>132</v>
      </c>
      <c r="X374" s="35">
        <f t="shared" si="383"/>
        <v>108</v>
      </c>
      <c r="Y374" s="35">
        <f t="shared" si="383"/>
        <v>42</v>
      </c>
      <c r="Z374" s="35">
        <f t="shared" si="383"/>
        <v>106</v>
      </c>
      <c r="AA374" s="35">
        <f t="shared" si="383"/>
        <v>285</v>
      </c>
      <c r="AB374" s="35">
        <f t="shared" si="383"/>
        <v>58</v>
      </c>
      <c r="AC374" s="35">
        <f t="shared" si="383"/>
        <v>89</v>
      </c>
      <c r="AD374" s="35">
        <f t="shared" si="383"/>
        <v>57</v>
      </c>
      <c r="AE374" s="35">
        <f t="shared" si="383"/>
        <v>107</v>
      </c>
      <c r="AF374" s="35">
        <f t="shared" si="383"/>
        <v>116</v>
      </c>
      <c r="AG374" s="35">
        <f t="shared" si="383"/>
        <v>55</v>
      </c>
      <c r="AH374" s="35">
        <f t="shared" si="383"/>
        <v>33</v>
      </c>
      <c r="AI374" s="35">
        <f t="shared" si="383"/>
        <v>36</v>
      </c>
      <c r="AJ374" s="35">
        <f t="shared" si="383"/>
        <v>231</v>
      </c>
      <c r="AK374" s="35">
        <f t="shared" si="383"/>
        <v>103</v>
      </c>
      <c r="AL374" s="35">
        <f t="shared" si="383"/>
        <v>130</v>
      </c>
      <c r="AM374" s="35">
        <f t="shared" si="383"/>
        <v>33</v>
      </c>
      <c r="AN374" s="35">
        <f t="shared" si="383"/>
        <v>103</v>
      </c>
      <c r="AO374" s="35">
        <f t="shared" si="383"/>
        <v>81</v>
      </c>
      <c r="AP374" s="35">
        <f t="shared" si="383"/>
        <v>28</v>
      </c>
    </row>
    <row r="375" spans="1:42" ht="13">
      <c r="A375" s="36">
        <v>44294</v>
      </c>
      <c r="B375" s="35">
        <v>33261</v>
      </c>
      <c r="C375" s="35">
        <v>22928</v>
      </c>
      <c r="D375" s="35">
        <v>18482</v>
      </c>
      <c r="E375" s="35">
        <v>38918</v>
      </c>
      <c r="F375" s="35">
        <v>129770</v>
      </c>
      <c r="G375" s="35">
        <v>29164</v>
      </c>
      <c r="H375" s="35">
        <v>31193</v>
      </c>
      <c r="I375" s="35">
        <v>39172</v>
      </c>
      <c r="J375" s="35">
        <v>37050</v>
      </c>
      <c r="K375" s="35">
        <v>18410</v>
      </c>
      <c r="L375" s="35">
        <v>20724</v>
      </c>
      <c r="M375" s="35">
        <v>25801</v>
      </c>
      <c r="N375" s="35">
        <v>17797</v>
      </c>
      <c r="O375" s="35">
        <v>97851</v>
      </c>
      <c r="P375" s="35">
        <v>25874</v>
      </c>
      <c r="Q375" s="35">
        <v>35436</v>
      </c>
      <c r="R375" s="35">
        <v>15459</v>
      </c>
      <c r="S375" s="35">
        <v>20072</v>
      </c>
      <c r="T375" s="35">
        <v>25881</v>
      </c>
      <c r="U375" s="35">
        <v>15247</v>
      </c>
      <c r="V375" s="35">
        <f t="shared" si="309"/>
        <v>698490</v>
      </c>
      <c r="W375" s="35">
        <f t="shared" ref="W375:AP375" si="384">B375-B374</f>
        <v>209</v>
      </c>
      <c r="X375" s="35">
        <f t="shared" si="384"/>
        <v>195</v>
      </c>
      <c r="Y375" s="35">
        <f t="shared" si="384"/>
        <v>118</v>
      </c>
      <c r="Z375" s="35">
        <f t="shared" si="384"/>
        <v>300</v>
      </c>
      <c r="AA375" s="35">
        <f t="shared" si="384"/>
        <v>715</v>
      </c>
      <c r="AB375" s="35">
        <f t="shared" si="384"/>
        <v>166</v>
      </c>
      <c r="AC375" s="35">
        <f t="shared" si="384"/>
        <v>209</v>
      </c>
      <c r="AD375" s="35">
        <f t="shared" si="384"/>
        <v>146</v>
      </c>
      <c r="AE375" s="35">
        <f t="shared" si="384"/>
        <v>283</v>
      </c>
      <c r="AF375" s="35">
        <f t="shared" si="384"/>
        <v>172</v>
      </c>
      <c r="AG375" s="35">
        <f t="shared" si="384"/>
        <v>159</v>
      </c>
      <c r="AH375" s="35">
        <f t="shared" si="384"/>
        <v>105</v>
      </c>
      <c r="AI375" s="35">
        <f t="shared" si="384"/>
        <v>247</v>
      </c>
      <c r="AJ375" s="35">
        <f t="shared" si="384"/>
        <v>606</v>
      </c>
      <c r="AK375" s="35">
        <f t="shared" si="384"/>
        <v>296</v>
      </c>
      <c r="AL375" s="35">
        <f t="shared" si="384"/>
        <v>233</v>
      </c>
      <c r="AM375" s="35">
        <f t="shared" si="384"/>
        <v>89</v>
      </c>
      <c r="AN375" s="35">
        <f t="shared" si="384"/>
        <v>169</v>
      </c>
      <c r="AO375" s="35">
        <f t="shared" si="384"/>
        <v>308</v>
      </c>
      <c r="AP375" s="35">
        <f t="shared" si="384"/>
        <v>89</v>
      </c>
    </row>
    <row r="376" spans="1:42" ht="13">
      <c r="A376" s="36">
        <v>44295</v>
      </c>
      <c r="B376" s="35">
        <v>33719</v>
      </c>
      <c r="C376" s="35">
        <v>23196</v>
      </c>
      <c r="D376" s="35">
        <v>18675</v>
      </c>
      <c r="E376" s="35">
        <v>39320</v>
      </c>
      <c r="F376" s="35">
        <v>130852</v>
      </c>
      <c r="G376" s="35">
        <v>29555</v>
      </c>
      <c r="H376" s="35">
        <v>31547</v>
      </c>
      <c r="I376" s="35">
        <v>39571</v>
      </c>
      <c r="J376" s="35">
        <v>37479</v>
      </c>
      <c r="K376" s="35">
        <v>18650</v>
      </c>
      <c r="L376" s="35">
        <v>21005</v>
      </c>
      <c r="M376" s="35">
        <v>25966</v>
      </c>
      <c r="N376" s="35">
        <v>18009</v>
      </c>
      <c r="O376" s="35">
        <v>98828</v>
      </c>
      <c r="P376" s="35">
        <v>26233</v>
      </c>
      <c r="Q376" s="35">
        <v>35817</v>
      </c>
      <c r="R376" s="35">
        <v>15622</v>
      </c>
      <c r="S376" s="35">
        <v>20246</v>
      </c>
      <c r="T376" s="35">
        <v>26121</v>
      </c>
      <c r="U376" s="35">
        <v>15404</v>
      </c>
      <c r="V376" s="35">
        <f t="shared" si="309"/>
        <v>705815</v>
      </c>
      <c r="W376" s="35">
        <f t="shared" ref="W376:AP376" si="385">B376-B375</f>
        <v>458</v>
      </c>
      <c r="X376" s="35">
        <f t="shared" si="385"/>
        <v>268</v>
      </c>
      <c r="Y376" s="35">
        <f t="shared" si="385"/>
        <v>193</v>
      </c>
      <c r="Z376" s="35">
        <f t="shared" si="385"/>
        <v>402</v>
      </c>
      <c r="AA376" s="35">
        <f t="shared" si="385"/>
        <v>1082</v>
      </c>
      <c r="AB376" s="35">
        <f t="shared" si="385"/>
        <v>391</v>
      </c>
      <c r="AC376" s="35">
        <f t="shared" si="385"/>
        <v>354</v>
      </c>
      <c r="AD376" s="35">
        <f t="shared" si="385"/>
        <v>399</v>
      </c>
      <c r="AE376" s="35">
        <f t="shared" si="385"/>
        <v>429</v>
      </c>
      <c r="AF376" s="35">
        <f t="shared" si="385"/>
        <v>240</v>
      </c>
      <c r="AG376" s="35">
        <f t="shared" si="385"/>
        <v>281</v>
      </c>
      <c r="AH376" s="35">
        <f t="shared" si="385"/>
        <v>165</v>
      </c>
      <c r="AI376" s="35">
        <f t="shared" si="385"/>
        <v>212</v>
      </c>
      <c r="AJ376" s="35">
        <f t="shared" si="385"/>
        <v>977</v>
      </c>
      <c r="AK376" s="35">
        <f t="shared" si="385"/>
        <v>359</v>
      </c>
      <c r="AL376" s="35">
        <f t="shared" si="385"/>
        <v>381</v>
      </c>
      <c r="AM376" s="35">
        <f t="shared" si="385"/>
        <v>163</v>
      </c>
      <c r="AN376" s="35">
        <f t="shared" si="385"/>
        <v>174</v>
      </c>
      <c r="AO376" s="35">
        <f t="shared" si="385"/>
        <v>240</v>
      </c>
      <c r="AP376" s="35">
        <f t="shared" si="385"/>
        <v>157</v>
      </c>
    </row>
    <row r="377" spans="1:42" ht="13">
      <c r="A377" s="36">
        <v>44296</v>
      </c>
      <c r="B377" s="35">
        <v>34199</v>
      </c>
      <c r="C377" s="35">
        <v>23551</v>
      </c>
      <c r="D377" s="35">
        <v>18877</v>
      </c>
      <c r="E377" s="35">
        <v>39783</v>
      </c>
      <c r="F377" s="35">
        <v>131764</v>
      </c>
      <c r="G377" s="35">
        <v>29950</v>
      </c>
      <c r="H377" s="35">
        <v>31992</v>
      </c>
      <c r="I377" s="35">
        <v>40051</v>
      </c>
      <c r="J377" s="35">
        <v>37945</v>
      </c>
      <c r="K377" s="35">
        <v>18914</v>
      </c>
      <c r="L377" s="35">
        <v>21335</v>
      </c>
      <c r="M377" s="35">
        <v>26149</v>
      </c>
      <c r="N377" s="35">
        <v>18173</v>
      </c>
      <c r="O377" s="35">
        <v>99722</v>
      </c>
      <c r="P377" s="35">
        <v>26509</v>
      </c>
      <c r="Q377" s="35">
        <v>36333</v>
      </c>
      <c r="R377" s="35">
        <v>15844</v>
      </c>
      <c r="S377" s="35">
        <v>20571</v>
      </c>
      <c r="T377" s="35">
        <v>26626</v>
      </c>
      <c r="U377" s="35">
        <v>15580</v>
      </c>
      <c r="V377" s="35">
        <f t="shared" si="309"/>
        <v>713868</v>
      </c>
      <c r="W377" s="35">
        <f t="shared" ref="W377:AP377" si="386">B377-B376</f>
        <v>480</v>
      </c>
      <c r="X377" s="35">
        <f t="shared" si="386"/>
        <v>355</v>
      </c>
      <c r="Y377" s="35">
        <f t="shared" si="386"/>
        <v>202</v>
      </c>
      <c r="Z377" s="35">
        <f t="shared" si="386"/>
        <v>463</v>
      </c>
      <c r="AA377" s="35">
        <f t="shared" si="386"/>
        <v>912</v>
      </c>
      <c r="AB377" s="35">
        <f t="shared" si="386"/>
        <v>395</v>
      </c>
      <c r="AC377" s="35">
        <f t="shared" si="386"/>
        <v>445</v>
      </c>
      <c r="AD377" s="35">
        <f t="shared" si="386"/>
        <v>480</v>
      </c>
      <c r="AE377" s="35">
        <f t="shared" si="386"/>
        <v>466</v>
      </c>
      <c r="AF377" s="35">
        <f t="shared" si="386"/>
        <v>264</v>
      </c>
      <c r="AG377" s="35">
        <f t="shared" si="386"/>
        <v>330</v>
      </c>
      <c r="AH377" s="35">
        <f t="shared" si="386"/>
        <v>183</v>
      </c>
      <c r="AI377" s="35">
        <f t="shared" si="386"/>
        <v>164</v>
      </c>
      <c r="AJ377" s="35">
        <f t="shared" si="386"/>
        <v>894</v>
      </c>
      <c r="AK377" s="35">
        <f t="shared" si="386"/>
        <v>276</v>
      </c>
      <c r="AL377" s="35">
        <f t="shared" si="386"/>
        <v>516</v>
      </c>
      <c r="AM377" s="35">
        <f t="shared" si="386"/>
        <v>222</v>
      </c>
      <c r="AN377" s="35">
        <f t="shared" si="386"/>
        <v>325</v>
      </c>
      <c r="AO377" s="35">
        <f t="shared" si="386"/>
        <v>505</v>
      </c>
      <c r="AP377" s="35">
        <f t="shared" si="386"/>
        <v>176</v>
      </c>
    </row>
    <row r="378" spans="1:42" ht="13">
      <c r="A378" s="36">
        <v>44297</v>
      </c>
      <c r="B378" s="35">
        <v>34539</v>
      </c>
      <c r="C378" s="35">
        <v>23809</v>
      </c>
      <c r="D378" s="35">
        <v>19063</v>
      </c>
      <c r="E378" s="35">
        <v>40210</v>
      </c>
      <c r="F378" s="35">
        <v>132632</v>
      </c>
      <c r="G378" s="35">
        <v>30197</v>
      </c>
      <c r="H378" s="35">
        <v>32221</v>
      </c>
      <c r="I378" s="35">
        <v>40403</v>
      </c>
      <c r="J378" s="35">
        <v>38290</v>
      </c>
      <c r="K378" s="35">
        <v>19191</v>
      </c>
      <c r="L378" s="35">
        <v>21574</v>
      </c>
      <c r="M378" s="35">
        <v>26305</v>
      </c>
      <c r="N378" s="35">
        <v>18324</v>
      </c>
      <c r="O378" s="35">
        <v>100476</v>
      </c>
      <c r="P378" s="35">
        <v>26693</v>
      </c>
      <c r="Q378" s="35">
        <v>36727</v>
      </c>
      <c r="R378" s="35">
        <v>15994</v>
      </c>
      <c r="S378" s="35">
        <v>20813</v>
      </c>
      <c r="T378" s="35">
        <v>26893</v>
      </c>
      <c r="U378" s="35">
        <v>15810</v>
      </c>
      <c r="V378" s="35">
        <f t="shared" si="309"/>
        <v>720164</v>
      </c>
      <c r="W378" s="35">
        <f t="shared" ref="W378:AP378" si="387">B378-B377</f>
        <v>340</v>
      </c>
      <c r="X378" s="35">
        <f t="shared" si="387"/>
        <v>258</v>
      </c>
      <c r="Y378" s="35">
        <f t="shared" si="387"/>
        <v>186</v>
      </c>
      <c r="Z378" s="35">
        <f t="shared" si="387"/>
        <v>427</v>
      </c>
      <c r="AA378" s="35">
        <f t="shared" si="387"/>
        <v>868</v>
      </c>
      <c r="AB378" s="35">
        <f t="shared" si="387"/>
        <v>247</v>
      </c>
      <c r="AC378" s="35">
        <f t="shared" si="387"/>
        <v>229</v>
      </c>
      <c r="AD378" s="35">
        <f t="shared" si="387"/>
        <v>352</v>
      </c>
      <c r="AE378" s="35">
        <f t="shared" si="387"/>
        <v>345</v>
      </c>
      <c r="AF378" s="35">
        <f t="shared" si="387"/>
        <v>277</v>
      </c>
      <c r="AG378" s="35">
        <f t="shared" si="387"/>
        <v>239</v>
      </c>
      <c r="AH378" s="35">
        <f t="shared" si="387"/>
        <v>156</v>
      </c>
      <c r="AI378" s="35">
        <f t="shared" si="387"/>
        <v>151</v>
      </c>
      <c r="AJ378" s="35">
        <f t="shared" si="387"/>
        <v>754</v>
      </c>
      <c r="AK378" s="35">
        <f t="shared" si="387"/>
        <v>184</v>
      </c>
      <c r="AL378" s="35">
        <f t="shared" si="387"/>
        <v>394</v>
      </c>
      <c r="AM378" s="35">
        <f t="shared" si="387"/>
        <v>150</v>
      </c>
      <c r="AN378" s="35">
        <f t="shared" si="387"/>
        <v>242</v>
      </c>
      <c r="AO378" s="35">
        <f t="shared" si="387"/>
        <v>267</v>
      </c>
      <c r="AP378" s="35">
        <f t="shared" si="387"/>
        <v>230</v>
      </c>
    </row>
    <row r="379" spans="1:42" ht="13">
      <c r="A379" s="36">
        <v>44298</v>
      </c>
      <c r="B379" s="35">
        <v>34840</v>
      </c>
      <c r="C379" s="35">
        <v>24093</v>
      </c>
      <c r="D379" s="35">
        <v>19189</v>
      </c>
      <c r="E379" s="35">
        <v>40499</v>
      </c>
      <c r="F379" s="35">
        <v>133306</v>
      </c>
      <c r="G379" s="35">
        <v>30372</v>
      </c>
      <c r="H379" s="35">
        <v>32617</v>
      </c>
      <c r="I379" s="35">
        <v>40657</v>
      </c>
      <c r="J379" s="35">
        <v>38541</v>
      </c>
      <c r="K379" s="35">
        <v>19383</v>
      </c>
      <c r="L379" s="35">
        <v>21800</v>
      </c>
      <c r="M379" s="35">
        <v>26490</v>
      </c>
      <c r="N379" s="35">
        <v>18356</v>
      </c>
      <c r="O379" s="35">
        <v>101229</v>
      </c>
      <c r="P379" s="35">
        <v>26820</v>
      </c>
      <c r="Q379" s="35">
        <v>37010</v>
      </c>
      <c r="R379" s="35">
        <v>16090</v>
      </c>
      <c r="S379" s="35">
        <v>20896</v>
      </c>
      <c r="T379" s="35">
        <v>27152</v>
      </c>
      <c r="U379" s="35">
        <v>15901</v>
      </c>
      <c r="V379" s="35">
        <f t="shared" si="309"/>
        <v>725241</v>
      </c>
      <c r="W379" s="35">
        <f t="shared" ref="W379:AP379" si="388">B379-B378</f>
        <v>301</v>
      </c>
      <c r="X379" s="35">
        <f t="shared" si="388"/>
        <v>284</v>
      </c>
      <c r="Y379" s="35">
        <f t="shared" si="388"/>
        <v>126</v>
      </c>
      <c r="Z379" s="35">
        <f t="shared" si="388"/>
        <v>289</v>
      </c>
      <c r="AA379" s="35">
        <f t="shared" si="388"/>
        <v>674</v>
      </c>
      <c r="AB379" s="35">
        <f t="shared" si="388"/>
        <v>175</v>
      </c>
      <c r="AC379" s="35">
        <f t="shared" si="388"/>
        <v>396</v>
      </c>
      <c r="AD379" s="35">
        <f t="shared" si="388"/>
        <v>254</v>
      </c>
      <c r="AE379" s="35">
        <f t="shared" si="388"/>
        <v>251</v>
      </c>
      <c r="AF379" s="35">
        <f t="shared" si="388"/>
        <v>192</v>
      </c>
      <c r="AG379" s="35">
        <f t="shared" si="388"/>
        <v>226</v>
      </c>
      <c r="AH379" s="35">
        <f t="shared" si="388"/>
        <v>185</v>
      </c>
      <c r="AI379" s="35">
        <f t="shared" si="388"/>
        <v>32</v>
      </c>
      <c r="AJ379" s="35">
        <f t="shared" si="388"/>
        <v>753</v>
      </c>
      <c r="AK379" s="35">
        <f t="shared" si="388"/>
        <v>127</v>
      </c>
      <c r="AL379" s="35">
        <f t="shared" si="388"/>
        <v>283</v>
      </c>
      <c r="AM379" s="35">
        <f t="shared" si="388"/>
        <v>96</v>
      </c>
      <c r="AN379" s="35">
        <f t="shared" si="388"/>
        <v>83</v>
      </c>
      <c r="AO379" s="35">
        <f t="shared" si="388"/>
        <v>259</v>
      </c>
      <c r="AP379" s="35">
        <f t="shared" si="388"/>
        <v>91</v>
      </c>
    </row>
    <row r="380" spans="1:42" ht="13">
      <c r="A380" s="36">
        <v>44299</v>
      </c>
      <c r="B380" s="35">
        <v>34998</v>
      </c>
      <c r="C380" s="35">
        <v>24308</v>
      </c>
      <c r="D380" s="35">
        <v>19309</v>
      </c>
      <c r="E380" s="35">
        <v>40578</v>
      </c>
      <c r="F380" s="35">
        <v>133715</v>
      </c>
      <c r="G380" s="35">
        <v>30481</v>
      </c>
      <c r="H380" s="35">
        <v>32754</v>
      </c>
      <c r="I380" s="35">
        <v>40692</v>
      </c>
      <c r="J380" s="35">
        <v>38646</v>
      </c>
      <c r="K380" s="35">
        <v>19468</v>
      </c>
      <c r="L380" s="35">
        <v>21905</v>
      </c>
      <c r="M380" s="35">
        <v>26532</v>
      </c>
      <c r="N380" s="35">
        <v>18433</v>
      </c>
      <c r="O380" s="35">
        <v>101625</v>
      </c>
      <c r="P380" s="35">
        <v>26902</v>
      </c>
      <c r="Q380" s="35">
        <v>37194</v>
      </c>
      <c r="R380" s="35">
        <v>16135</v>
      </c>
      <c r="S380" s="35">
        <v>21108</v>
      </c>
      <c r="T380" s="35">
        <v>27294</v>
      </c>
      <c r="U380" s="35">
        <v>16001</v>
      </c>
      <c r="V380" s="35">
        <f t="shared" si="309"/>
        <v>728078</v>
      </c>
      <c r="W380" s="35">
        <f t="shared" ref="W380:AP380" si="389">B380-B379</f>
        <v>158</v>
      </c>
      <c r="X380" s="35">
        <f t="shared" si="389"/>
        <v>215</v>
      </c>
      <c r="Y380" s="35">
        <f t="shared" si="389"/>
        <v>120</v>
      </c>
      <c r="Z380" s="35">
        <f t="shared" si="389"/>
        <v>79</v>
      </c>
      <c r="AA380" s="35">
        <f t="shared" si="389"/>
        <v>409</v>
      </c>
      <c r="AB380" s="35">
        <f t="shared" si="389"/>
        <v>109</v>
      </c>
      <c r="AC380" s="35">
        <f t="shared" si="389"/>
        <v>137</v>
      </c>
      <c r="AD380" s="35">
        <f t="shared" si="389"/>
        <v>35</v>
      </c>
      <c r="AE380" s="35">
        <f t="shared" si="389"/>
        <v>105</v>
      </c>
      <c r="AF380" s="35">
        <f t="shared" si="389"/>
        <v>85</v>
      </c>
      <c r="AG380" s="35">
        <f t="shared" si="389"/>
        <v>105</v>
      </c>
      <c r="AH380" s="35">
        <f t="shared" si="389"/>
        <v>42</v>
      </c>
      <c r="AI380" s="35">
        <f t="shared" si="389"/>
        <v>77</v>
      </c>
      <c r="AJ380" s="35">
        <f t="shared" si="389"/>
        <v>396</v>
      </c>
      <c r="AK380" s="35">
        <f t="shared" si="389"/>
        <v>82</v>
      </c>
      <c r="AL380" s="35">
        <f t="shared" si="389"/>
        <v>184</v>
      </c>
      <c r="AM380" s="35">
        <f t="shared" si="389"/>
        <v>45</v>
      </c>
      <c r="AN380" s="35">
        <f t="shared" si="389"/>
        <v>212</v>
      </c>
      <c r="AO380" s="35">
        <f t="shared" si="389"/>
        <v>142</v>
      </c>
      <c r="AP380" s="35">
        <f t="shared" si="389"/>
        <v>100</v>
      </c>
    </row>
    <row r="381" spans="1:42" ht="13">
      <c r="A381" s="36">
        <v>44300</v>
      </c>
      <c r="B381" s="35">
        <v>35138</v>
      </c>
      <c r="C381" s="35">
        <v>24527</v>
      </c>
      <c r="D381" s="35">
        <v>19440</v>
      </c>
      <c r="E381" s="35">
        <v>40822</v>
      </c>
      <c r="F381" s="35">
        <v>134221</v>
      </c>
      <c r="G381" s="35">
        <v>30596</v>
      </c>
      <c r="H381" s="35">
        <v>32895</v>
      </c>
      <c r="I381" s="35">
        <v>40800</v>
      </c>
      <c r="J381" s="35">
        <v>38848</v>
      </c>
      <c r="K381" s="35">
        <v>19667</v>
      </c>
      <c r="L381" s="35">
        <v>22031</v>
      </c>
      <c r="M381" s="35">
        <v>26601</v>
      </c>
      <c r="N381" s="35">
        <v>18555</v>
      </c>
      <c r="O381" s="35">
        <v>102128</v>
      </c>
      <c r="P381" s="35">
        <v>27008</v>
      </c>
      <c r="Q381" s="35">
        <v>37372</v>
      </c>
      <c r="R381" s="35">
        <v>16194</v>
      </c>
      <c r="S381" s="35">
        <v>21241</v>
      </c>
      <c r="T381" s="35">
        <v>27527</v>
      </c>
      <c r="U381" s="35">
        <v>16064</v>
      </c>
      <c r="V381" s="35">
        <f t="shared" si="309"/>
        <v>731675</v>
      </c>
      <c r="W381" s="35">
        <f t="shared" ref="W381:AP381" si="390">B381-B380</f>
        <v>140</v>
      </c>
      <c r="X381" s="35">
        <f t="shared" si="390"/>
        <v>219</v>
      </c>
      <c r="Y381" s="35">
        <f t="shared" si="390"/>
        <v>131</v>
      </c>
      <c r="Z381" s="35">
        <f t="shared" si="390"/>
        <v>244</v>
      </c>
      <c r="AA381" s="35">
        <f t="shared" si="390"/>
        <v>506</v>
      </c>
      <c r="AB381" s="35">
        <f t="shared" si="390"/>
        <v>115</v>
      </c>
      <c r="AC381" s="35">
        <f t="shared" si="390"/>
        <v>141</v>
      </c>
      <c r="AD381" s="35">
        <f t="shared" si="390"/>
        <v>108</v>
      </c>
      <c r="AE381" s="35">
        <f t="shared" si="390"/>
        <v>202</v>
      </c>
      <c r="AF381" s="35">
        <f t="shared" si="390"/>
        <v>199</v>
      </c>
      <c r="AG381" s="35">
        <f t="shared" si="390"/>
        <v>126</v>
      </c>
      <c r="AH381" s="35">
        <f t="shared" si="390"/>
        <v>69</v>
      </c>
      <c r="AI381" s="35">
        <f t="shared" si="390"/>
        <v>122</v>
      </c>
      <c r="AJ381" s="35">
        <f t="shared" si="390"/>
        <v>503</v>
      </c>
      <c r="AK381" s="35">
        <f t="shared" si="390"/>
        <v>106</v>
      </c>
      <c r="AL381" s="35">
        <f t="shared" si="390"/>
        <v>178</v>
      </c>
      <c r="AM381" s="35">
        <f t="shared" si="390"/>
        <v>59</v>
      </c>
      <c r="AN381" s="35">
        <f t="shared" si="390"/>
        <v>133</v>
      </c>
      <c r="AO381" s="35">
        <f t="shared" si="390"/>
        <v>233</v>
      </c>
      <c r="AP381" s="35">
        <f t="shared" si="390"/>
        <v>63</v>
      </c>
    </row>
    <row r="382" spans="1:42" ht="13">
      <c r="A382" s="36">
        <v>44301</v>
      </c>
      <c r="B382" s="35">
        <v>35461</v>
      </c>
      <c r="C382" s="35">
        <v>24778</v>
      </c>
      <c r="D382" s="35">
        <v>19576</v>
      </c>
      <c r="E382" s="35">
        <v>41153</v>
      </c>
      <c r="F382" s="35">
        <v>134925</v>
      </c>
      <c r="G382" s="35">
        <v>30877</v>
      </c>
      <c r="H382" s="35">
        <v>33161</v>
      </c>
      <c r="I382" s="35">
        <v>41077</v>
      </c>
      <c r="J382" s="35">
        <v>39133</v>
      </c>
      <c r="K382" s="35">
        <v>19819</v>
      </c>
      <c r="L382" s="35">
        <v>22217</v>
      </c>
      <c r="M382" s="35">
        <v>26741</v>
      </c>
      <c r="N382" s="35">
        <v>18736</v>
      </c>
      <c r="O382" s="35">
        <v>102821</v>
      </c>
      <c r="P382" s="35">
        <v>27175</v>
      </c>
      <c r="Q382" s="35">
        <v>37695</v>
      </c>
      <c r="R382" s="35">
        <v>16289</v>
      </c>
      <c r="S382" s="35">
        <v>21394</v>
      </c>
      <c r="T382" s="35">
        <v>27764</v>
      </c>
      <c r="U382" s="35">
        <v>16190</v>
      </c>
      <c r="V382" s="35">
        <f t="shared" si="309"/>
        <v>736982</v>
      </c>
      <c r="W382" s="35">
        <f t="shared" ref="W382:AP382" si="391">B382-B381</f>
        <v>323</v>
      </c>
      <c r="X382" s="35">
        <f t="shared" si="391"/>
        <v>251</v>
      </c>
      <c r="Y382" s="35">
        <f t="shared" si="391"/>
        <v>136</v>
      </c>
      <c r="Z382" s="35">
        <f t="shared" si="391"/>
        <v>331</v>
      </c>
      <c r="AA382" s="35">
        <f t="shared" si="391"/>
        <v>704</v>
      </c>
      <c r="AB382" s="35">
        <f t="shared" si="391"/>
        <v>281</v>
      </c>
      <c r="AC382" s="35">
        <f t="shared" si="391"/>
        <v>266</v>
      </c>
      <c r="AD382" s="35">
        <f t="shared" si="391"/>
        <v>277</v>
      </c>
      <c r="AE382" s="35">
        <f t="shared" si="391"/>
        <v>285</v>
      </c>
      <c r="AF382" s="35">
        <f t="shared" si="391"/>
        <v>152</v>
      </c>
      <c r="AG382" s="35">
        <f t="shared" si="391"/>
        <v>186</v>
      </c>
      <c r="AH382" s="35">
        <f t="shared" si="391"/>
        <v>140</v>
      </c>
      <c r="AI382" s="35">
        <f t="shared" si="391"/>
        <v>181</v>
      </c>
      <c r="AJ382" s="35">
        <f t="shared" si="391"/>
        <v>693</v>
      </c>
      <c r="AK382" s="35">
        <f t="shared" si="391"/>
        <v>167</v>
      </c>
      <c r="AL382" s="35">
        <f t="shared" si="391"/>
        <v>323</v>
      </c>
      <c r="AM382" s="35">
        <f t="shared" si="391"/>
        <v>95</v>
      </c>
      <c r="AN382" s="35">
        <f t="shared" si="391"/>
        <v>153</v>
      </c>
      <c r="AO382" s="35">
        <f t="shared" si="391"/>
        <v>237</v>
      </c>
      <c r="AP382" s="35">
        <f t="shared" si="391"/>
        <v>126</v>
      </c>
    </row>
    <row r="383" spans="1:42" ht="13">
      <c r="A383" s="36">
        <v>44302</v>
      </c>
      <c r="B383" s="35">
        <v>35749</v>
      </c>
      <c r="C383" s="35">
        <v>25044</v>
      </c>
      <c r="D383" s="35">
        <v>19742</v>
      </c>
      <c r="E383" s="35">
        <v>41518</v>
      </c>
      <c r="F383" s="35">
        <v>135575</v>
      </c>
      <c r="G383" s="35">
        <v>31077</v>
      </c>
      <c r="H383" s="35">
        <v>33380</v>
      </c>
      <c r="I383" s="35">
        <v>41310</v>
      </c>
      <c r="J383" s="35">
        <v>39400</v>
      </c>
      <c r="K383" s="35">
        <v>20026</v>
      </c>
      <c r="L383" s="35">
        <v>22497</v>
      </c>
      <c r="M383" s="35">
        <v>26865</v>
      </c>
      <c r="N383" s="35">
        <v>18880</v>
      </c>
      <c r="O383" s="35">
        <v>103400</v>
      </c>
      <c r="P383" s="35">
        <v>27344</v>
      </c>
      <c r="Q383" s="35">
        <v>38046</v>
      </c>
      <c r="R383" s="35">
        <v>16409</v>
      </c>
      <c r="S383" s="35">
        <v>21544</v>
      </c>
      <c r="T383" s="35">
        <v>28016</v>
      </c>
      <c r="U383" s="35">
        <v>16376</v>
      </c>
      <c r="V383" s="35">
        <f t="shared" si="309"/>
        <v>742198</v>
      </c>
      <c r="W383" s="35">
        <f t="shared" ref="W383:AP383" si="392">B383-B382</f>
        <v>288</v>
      </c>
      <c r="X383" s="35">
        <f t="shared" si="392"/>
        <v>266</v>
      </c>
      <c r="Y383" s="35">
        <f t="shared" si="392"/>
        <v>166</v>
      </c>
      <c r="Z383" s="35">
        <f t="shared" si="392"/>
        <v>365</v>
      </c>
      <c r="AA383" s="35">
        <f t="shared" si="392"/>
        <v>650</v>
      </c>
      <c r="AB383" s="35">
        <f t="shared" si="392"/>
        <v>200</v>
      </c>
      <c r="AC383" s="35">
        <f t="shared" si="392"/>
        <v>219</v>
      </c>
      <c r="AD383" s="35">
        <f t="shared" si="392"/>
        <v>233</v>
      </c>
      <c r="AE383" s="35">
        <f t="shared" si="392"/>
        <v>267</v>
      </c>
      <c r="AF383" s="35">
        <f t="shared" si="392"/>
        <v>207</v>
      </c>
      <c r="AG383" s="35">
        <f t="shared" si="392"/>
        <v>280</v>
      </c>
      <c r="AH383" s="35">
        <f t="shared" si="392"/>
        <v>124</v>
      </c>
      <c r="AI383" s="35">
        <f t="shared" si="392"/>
        <v>144</v>
      </c>
      <c r="AJ383" s="35">
        <f t="shared" si="392"/>
        <v>579</v>
      </c>
      <c r="AK383" s="35">
        <f t="shared" si="392"/>
        <v>169</v>
      </c>
      <c r="AL383" s="35">
        <f t="shared" si="392"/>
        <v>351</v>
      </c>
      <c r="AM383" s="35">
        <f t="shared" si="392"/>
        <v>120</v>
      </c>
      <c r="AN383" s="35">
        <f t="shared" si="392"/>
        <v>150</v>
      </c>
      <c r="AO383" s="35">
        <f t="shared" si="392"/>
        <v>252</v>
      </c>
      <c r="AP383" s="35">
        <f t="shared" si="392"/>
        <v>186</v>
      </c>
    </row>
    <row r="384" spans="1:42" ht="13">
      <c r="A384" s="36">
        <v>44303</v>
      </c>
      <c r="B384" s="35">
        <v>35970</v>
      </c>
      <c r="C384" s="35">
        <v>25236</v>
      </c>
      <c r="D384" s="35">
        <v>19877</v>
      </c>
      <c r="E384" s="35">
        <v>41838</v>
      </c>
      <c r="F384" s="35">
        <v>136273</v>
      </c>
      <c r="G384" s="35">
        <v>31241</v>
      </c>
      <c r="H384" s="35">
        <v>33594</v>
      </c>
      <c r="I384" s="35">
        <v>41487</v>
      </c>
      <c r="J384" s="35">
        <v>39643</v>
      </c>
      <c r="K384" s="35">
        <v>20175</v>
      </c>
      <c r="L384" s="35">
        <v>22679</v>
      </c>
      <c r="M384" s="35">
        <v>26986</v>
      </c>
      <c r="N384" s="35">
        <v>18965</v>
      </c>
      <c r="O384" s="35">
        <v>104151</v>
      </c>
      <c r="P384" s="35">
        <v>27457</v>
      </c>
      <c r="Q384" s="35">
        <v>38282</v>
      </c>
      <c r="R384" s="35">
        <v>16511</v>
      </c>
      <c r="S384" s="35">
        <v>21705</v>
      </c>
      <c r="T384" s="35">
        <v>28235</v>
      </c>
      <c r="U384" s="35">
        <v>16497</v>
      </c>
      <c r="V384" s="35">
        <f t="shared" si="309"/>
        <v>746802</v>
      </c>
      <c r="W384" s="35">
        <f t="shared" ref="W384:AP384" si="393">B384-B383</f>
        <v>221</v>
      </c>
      <c r="X384" s="35">
        <f t="shared" si="393"/>
        <v>192</v>
      </c>
      <c r="Y384" s="35">
        <f t="shared" si="393"/>
        <v>135</v>
      </c>
      <c r="Z384" s="35">
        <f t="shared" si="393"/>
        <v>320</v>
      </c>
      <c r="AA384" s="35">
        <f t="shared" si="393"/>
        <v>698</v>
      </c>
      <c r="AB384" s="35">
        <f t="shared" si="393"/>
        <v>164</v>
      </c>
      <c r="AC384" s="35">
        <f t="shared" si="393"/>
        <v>214</v>
      </c>
      <c r="AD384" s="35">
        <f t="shared" si="393"/>
        <v>177</v>
      </c>
      <c r="AE384" s="35">
        <f t="shared" si="393"/>
        <v>243</v>
      </c>
      <c r="AF384" s="35">
        <f t="shared" si="393"/>
        <v>149</v>
      </c>
      <c r="AG384" s="35">
        <f t="shared" si="393"/>
        <v>182</v>
      </c>
      <c r="AH384" s="35">
        <f t="shared" si="393"/>
        <v>121</v>
      </c>
      <c r="AI384" s="35">
        <f t="shared" si="393"/>
        <v>85</v>
      </c>
      <c r="AJ384" s="35">
        <f t="shared" si="393"/>
        <v>751</v>
      </c>
      <c r="AK384" s="35">
        <f t="shared" si="393"/>
        <v>113</v>
      </c>
      <c r="AL384" s="35">
        <f t="shared" si="393"/>
        <v>236</v>
      </c>
      <c r="AM384" s="35">
        <f t="shared" si="393"/>
        <v>102</v>
      </c>
      <c r="AN384" s="35">
        <f t="shared" si="393"/>
        <v>161</v>
      </c>
      <c r="AO384" s="35">
        <f t="shared" si="393"/>
        <v>219</v>
      </c>
      <c r="AP384" s="35">
        <f t="shared" si="393"/>
        <v>121</v>
      </c>
    </row>
    <row r="385" spans="1:42" ht="13">
      <c r="A385" s="36">
        <v>44304</v>
      </c>
      <c r="B385" s="35">
        <v>36171</v>
      </c>
      <c r="C385" s="35">
        <v>25442</v>
      </c>
      <c r="D385" s="35">
        <v>19996</v>
      </c>
      <c r="E385" s="35">
        <v>42107</v>
      </c>
      <c r="F385" s="35">
        <v>136773</v>
      </c>
      <c r="G385" s="35">
        <v>31362</v>
      </c>
      <c r="H385" s="35">
        <v>33765</v>
      </c>
      <c r="I385" s="35">
        <v>41660</v>
      </c>
      <c r="J385" s="35">
        <v>39861</v>
      </c>
      <c r="K385" s="35">
        <v>20341</v>
      </c>
      <c r="L385" s="35">
        <v>22832</v>
      </c>
      <c r="M385" s="35">
        <v>27059</v>
      </c>
      <c r="N385" s="35">
        <v>19028</v>
      </c>
      <c r="O385" s="35">
        <v>104648</v>
      </c>
      <c r="P385" s="35">
        <v>27568</v>
      </c>
      <c r="Q385" s="35">
        <v>38518</v>
      </c>
      <c r="R385" s="35">
        <v>16579</v>
      </c>
      <c r="S385" s="35">
        <v>21772</v>
      </c>
      <c r="T385" s="35">
        <v>28439</v>
      </c>
      <c r="U385" s="35">
        <v>16587</v>
      </c>
      <c r="V385" s="35">
        <f t="shared" si="309"/>
        <v>750508</v>
      </c>
      <c r="W385" s="35">
        <f t="shared" ref="W385:AP385" si="394">B385-B384</f>
        <v>201</v>
      </c>
      <c r="X385" s="35">
        <f t="shared" si="394"/>
        <v>206</v>
      </c>
      <c r="Y385" s="35">
        <f t="shared" si="394"/>
        <v>119</v>
      </c>
      <c r="Z385" s="35">
        <f t="shared" si="394"/>
        <v>269</v>
      </c>
      <c r="AA385" s="35">
        <f t="shared" si="394"/>
        <v>500</v>
      </c>
      <c r="AB385" s="35">
        <f t="shared" si="394"/>
        <v>121</v>
      </c>
      <c r="AC385" s="35">
        <f t="shared" si="394"/>
        <v>171</v>
      </c>
      <c r="AD385" s="35">
        <f t="shared" si="394"/>
        <v>173</v>
      </c>
      <c r="AE385" s="35">
        <f t="shared" si="394"/>
        <v>218</v>
      </c>
      <c r="AF385" s="35">
        <f t="shared" si="394"/>
        <v>166</v>
      </c>
      <c r="AG385" s="35">
        <f t="shared" si="394"/>
        <v>153</v>
      </c>
      <c r="AH385" s="35">
        <f t="shared" si="394"/>
        <v>73</v>
      </c>
      <c r="AI385" s="35">
        <f t="shared" si="394"/>
        <v>63</v>
      </c>
      <c r="AJ385" s="35">
        <f t="shared" si="394"/>
        <v>497</v>
      </c>
      <c r="AK385" s="35">
        <f t="shared" si="394"/>
        <v>111</v>
      </c>
      <c r="AL385" s="35">
        <f t="shared" si="394"/>
        <v>236</v>
      </c>
      <c r="AM385" s="35">
        <f t="shared" si="394"/>
        <v>68</v>
      </c>
      <c r="AN385" s="35">
        <f t="shared" si="394"/>
        <v>67</v>
      </c>
      <c r="AO385" s="35">
        <f t="shared" si="394"/>
        <v>204</v>
      </c>
      <c r="AP385" s="35">
        <f t="shared" si="394"/>
        <v>90</v>
      </c>
    </row>
    <row r="386" spans="1:42" ht="13">
      <c r="A386" s="36">
        <v>44305</v>
      </c>
      <c r="B386" s="35">
        <v>36336</v>
      </c>
      <c r="C386" s="35">
        <v>25630</v>
      </c>
      <c r="D386" s="35">
        <v>20059</v>
      </c>
      <c r="E386" s="35">
        <v>42260</v>
      </c>
      <c r="F386" s="35">
        <v>137068</v>
      </c>
      <c r="G386" s="35">
        <v>31489</v>
      </c>
      <c r="H386" s="35">
        <v>33912</v>
      </c>
      <c r="I386" s="35">
        <v>41802</v>
      </c>
      <c r="J386" s="35">
        <v>40004</v>
      </c>
      <c r="K386" s="35">
        <v>20398</v>
      </c>
      <c r="L386" s="35">
        <v>22961</v>
      </c>
      <c r="M386" s="35">
        <v>27146</v>
      </c>
      <c r="N386" s="35">
        <v>19047</v>
      </c>
      <c r="O386" s="35">
        <v>104932</v>
      </c>
      <c r="P386" s="35">
        <v>27648</v>
      </c>
      <c r="Q386" s="35">
        <v>38717</v>
      </c>
      <c r="R386" s="35">
        <v>16626</v>
      </c>
      <c r="S386" s="35">
        <v>21877</v>
      </c>
      <c r="T386" s="35">
        <v>28608</v>
      </c>
      <c r="U386" s="35">
        <v>16668</v>
      </c>
      <c r="V386" s="35">
        <f t="shared" si="309"/>
        <v>753188</v>
      </c>
      <c r="W386" s="35">
        <f t="shared" ref="W386:AP386" si="395">B386-B385</f>
        <v>165</v>
      </c>
      <c r="X386" s="35">
        <f t="shared" si="395"/>
        <v>188</v>
      </c>
      <c r="Y386" s="35">
        <f t="shared" si="395"/>
        <v>63</v>
      </c>
      <c r="Z386" s="35">
        <f t="shared" si="395"/>
        <v>153</v>
      </c>
      <c r="AA386" s="35">
        <f t="shared" si="395"/>
        <v>295</v>
      </c>
      <c r="AB386" s="35">
        <f t="shared" si="395"/>
        <v>127</v>
      </c>
      <c r="AC386" s="35">
        <f t="shared" si="395"/>
        <v>147</v>
      </c>
      <c r="AD386" s="35">
        <f t="shared" si="395"/>
        <v>142</v>
      </c>
      <c r="AE386" s="35">
        <f t="shared" si="395"/>
        <v>143</v>
      </c>
      <c r="AF386" s="35">
        <f t="shared" si="395"/>
        <v>57</v>
      </c>
      <c r="AG386" s="35">
        <f t="shared" si="395"/>
        <v>129</v>
      </c>
      <c r="AH386" s="35">
        <f t="shared" si="395"/>
        <v>87</v>
      </c>
      <c r="AI386" s="35">
        <f t="shared" si="395"/>
        <v>19</v>
      </c>
      <c r="AJ386" s="35">
        <f t="shared" si="395"/>
        <v>284</v>
      </c>
      <c r="AK386" s="35">
        <f t="shared" si="395"/>
        <v>80</v>
      </c>
      <c r="AL386" s="35">
        <f t="shared" si="395"/>
        <v>199</v>
      </c>
      <c r="AM386" s="35">
        <f t="shared" si="395"/>
        <v>47</v>
      </c>
      <c r="AN386" s="35">
        <f t="shared" si="395"/>
        <v>105</v>
      </c>
      <c r="AO386" s="35">
        <f t="shared" si="395"/>
        <v>169</v>
      </c>
      <c r="AP386" s="35">
        <f t="shared" si="395"/>
        <v>81</v>
      </c>
    </row>
    <row r="387" spans="1:42" ht="13">
      <c r="A387" s="36">
        <v>44306</v>
      </c>
      <c r="B387" s="35">
        <v>36412</v>
      </c>
      <c r="C387" s="35">
        <v>25787</v>
      </c>
      <c r="D387" s="35">
        <v>20112</v>
      </c>
      <c r="E387" s="35">
        <v>42303</v>
      </c>
      <c r="F387" s="35">
        <v>137261</v>
      </c>
      <c r="G387" s="35">
        <v>31543</v>
      </c>
      <c r="H387" s="35">
        <v>33983</v>
      </c>
      <c r="I387" s="35">
        <v>41835</v>
      </c>
      <c r="J387" s="35">
        <v>40085</v>
      </c>
      <c r="K387" s="35">
        <v>20533</v>
      </c>
      <c r="L387" s="35">
        <v>23065</v>
      </c>
      <c r="M387" s="35">
        <v>27165</v>
      </c>
      <c r="N387" s="35">
        <v>19086</v>
      </c>
      <c r="O387" s="35">
        <v>105107</v>
      </c>
      <c r="P387" s="35">
        <v>27698</v>
      </c>
      <c r="Q387" s="35">
        <v>38823</v>
      </c>
      <c r="R387" s="35">
        <v>16675</v>
      </c>
      <c r="S387" s="35">
        <v>21937</v>
      </c>
      <c r="T387" s="35">
        <v>28692</v>
      </c>
      <c r="U387" s="35">
        <v>16731</v>
      </c>
      <c r="V387" s="35">
        <f t="shared" si="309"/>
        <v>754833</v>
      </c>
      <c r="W387" s="35">
        <f t="shared" ref="W387:AP387" si="396">B387-B386</f>
        <v>76</v>
      </c>
      <c r="X387" s="35">
        <f t="shared" si="396"/>
        <v>157</v>
      </c>
      <c r="Y387" s="35">
        <f t="shared" si="396"/>
        <v>53</v>
      </c>
      <c r="Z387" s="35">
        <f t="shared" si="396"/>
        <v>43</v>
      </c>
      <c r="AA387" s="35">
        <f t="shared" si="396"/>
        <v>193</v>
      </c>
      <c r="AB387" s="35">
        <f t="shared" si="396"/>
        <v>54</v>
      </c>
      <c r="AC387" s="35">
        <f t="shared" si="396"/>
        <v>71</v>
      </c>
      <c r="AD387" s="35">
        <f t="shared" si="396"/>
        <v>33</v>
      </c>
      <c r="AE387" s="35">
        <f t="shared" si="396"/>
        <v>81</v>
      </c>
      <c r="AF387" s="35">
        <f t="shared" si="396"/>
        <v>135</v>
      </c>
      <c r="AG387" s="35">
        <f t="shared" si="396"/>
        <v>104</v>
      </c>
      <c r="AH387" s="35">
        <f t="shared" si="396"/>
        <v>19</v>
      </c>
      <c r="AI387" s="35">
        <f t="shared" si="396"/>
        <v>39</v>
      </c>
      <c r="AJ387" s="35">
        <f t="shared" si="396"/>
        <v>175</v>
      </c>
      <c r="AK387" s="35">
        <f t="shared" si="396"/>
        <v>50</v>
      </c>
      <c r="AL387" s="35">
        <f t="shared" si="396"/>
        <v>106</v>
      </c>
      <c r="AM387" s="35">
        <f t="shared" si="396"/>
        <v>49</v>
      </c>
      <c r="AN387" s="35">
        <f t="shared" si="396"/>
        <v>60</v>
      </c>
      <c r="AO387" s="35">
        <f t="shared" si="396"/>
        <v>84</v>
      </c>
      <c r="AP387" s="35">
        <f t="shared" si="396"/>
        <v>63</v>
      </c>
    </row>
    <row r="388" spans="1:42" ht="13">
      <c r="A388" s="36">
        <v>44307</v>
      </c>
      <c r="B388" s="35">
        <v>36508</v>
      </c>
      <c r="C388" s="35">
        <v>25943</v>
      </c>
      <c r="D388" s="35">
        <v>20201</v>
      </c>
      <c r="E388" s="35">
        <v>42499</v>
      </c>
      <c r="F388" s="35">
        <v>137585</v>
      </c>
      <c r="G388" s="35">
        <v>31629</v>
      </c>
      <c r="H388" s="35">
        <v>34066</v>
      </c>
      <c r="I388" s="35">
        <v>41905</v>
      </c>
      <c r="J388" s="35">
        <v>40268</v>
      </c>
      <c r="K388" s="35">
        <v>20656</v>
      </c>
      <c r="L388" s="35">
        <v>23179</v>
      </c>
      <c r="M388" s="35">
        <v>27227</v>
      </c>
      <c r="N388" s="35">
        <v>19160</v>
      </c>
      <c r="O388" s="35">
        <v>105400</v>
      </c>
      <c r="P388" s="35">
        <v>27804</v>
      </c>
      <c r="Q388" s="35">
        <v>38926</v>
      </c>
      <c r="R388" s="35">
        <v>16709</v>
      </c>
      <c r="S388" s="35">
        <v>22005</v>
      </c>
      <c r="T388" s="35">
        <v>28891</v>
      </c>
      <c r="U388" s="35">
        <v>16799</v>
      </c>
      <c r="V388" s="35">
        <f t="shared" si="309"/>
        <v>757360</v>
      </c>
      <c r="W388" s="35">
        <f t="shared" ref="W388:AP388" si="397">B388-B387</f>
        <v>96</v>
      </c>
      <c r="X388" s="35">
        <f t="shared" si="397"/>
        <v>156</v>
      </c>
      <c r="Y388" s="35">
        <f t="shared" si="397"/>
        <v>89</v>
      </c>
      <c r="Z388" s="35">
        <f t="shared" si="397"/>
        <v>196</v>
      </c>
      <c r="AA388" s="35">
        <f t="shared" si="397"/>
        <v>324</v>
      </c>
      <c r="AB388" s="35">
        <f t="shared" si="397"/>
        <v>86</v>
      </c>
      <c r="AC388" s="35">
        <f t="shared" si="397"/>
        <v>83</v>
      </c>
      <c r="AD388" s="35">
        <f t="shared" si="397"/>
        <v>70</v>
      </c>
      <c r="AE388" s="35">
        <f t="shared" si="397"/>
        <v>183</v>
      </c>
      <c r="AF388" s="35">
        <f t="shared" si="397"/>
        <v>123</v>
      </c>
      <c r="AG388" s="35">
        <f t="shared" si="397"/>
        <v>114</v>
      </c>
      <c r="AH388" s="35">
        <f t="shared" si="397"/>
        <v>62</v>
      </c>
      <c r="AI388" s="35">
        <f t="shared" si="397"/>
        <v>74</v>
      </c>
      <c r="AJ388" s="35">
        <f t="shared" si="397"/>
        <v>293</v>
      </c>
      <c r="AK388" s="35">
        <f t="shared" si="397"/>
        <v>106</v>
      </c>
      <c r="AL388" s="35">
        <f t="shared" si="397"/>
        <v>103</v>
      </c>
      <c r="AM388" s="35">
        <f t="shared" si="397"/>
        <v>34</v>
      </c>
      <c r="AN388" s="35">
        <f t="shared" si="397"/>
        <v>68</v>
      </c>
      <c r="AO388" s="35">
        <f t="shared" si="397"/>
        <v>199</v>
      </c>
      <c r="AP388" s="35">
        <f t="shared" si="397"/>
        <v>68</v>
      </c>
    </row>
    <row r="389" spans="1:42" ht="13">
      <c r="A389" s="36">
        <v>44308</v>
      </c>
      <c r="B389" s="35">
        <v>36757</v>
      </c>
      <c r="C389" s="35">
        <v>26106</v>
      </c>
      <c r="D389" s="35">
        <v>20322</v>
      </c>
      <c r="E389" s="35">
        <v>42756</v>
      </c>
      <c r="F389" s="35">
        <v>138014</v>
      </c>
      <c r="G389" s="35">
        <v>31824</v>
      </c>
      <c r="H389" s="35">
        <v>34275</v>
      </c>
      <c r="I389" s="35">
        <v>42076</v>
      </c>
      <c r="J389" s="35">
        <v>40478</v>
      </c>
      <c r="K389" s="35">
        <v>20795</v>
      </c>
      <c r="L389" s="35">
        <v>23326</v>
      </c>
      <c r="M389" s="35">
        <v>27306</v>
      </c>
      <c r="N389" s="35">
        <v>19258</v>
      </c>
      <c r="O389" s="35">
        <v>105827</v>
      </c>
      <c r="P389" s="35">
        <v>27919</v>
      </c>
      <c r="Q389" s="35">
        <v>39114</v>
      </c>
      <c r="R389" s="35">
        <v>16777</v>
      </c>
      <c r="S389" s="35">
        <v>22094</v>
      </c>
      <c r="T389" s="35">
        <v>29069</v>
      </c>
      <c r="U389" s="35">
        <v>16874</v>
      </c>
      <c r="V389" s="35">
        <f t="shared" si="309"/>
        <v>760967</v>
      </c>
      <c r="W389" s="35">
        <f t="shared" ref="W389:AP389" si="398">B389-B388</f>
        <v>249</v>
      </c>
      <c r="X389" s="35">
        <f t="shared" si="398"/>
        <v>163</v>
      </c>
      <c r="Y389" s="35">
        <f t="shared" si="398"/>
        <v>121</v>
      </c>
      <c r="Z389" s="35">
        <f t="shared" si="398"/>
        <v>257</v>
      </c>
      <c r="AA389" s="35">
        <f t="shared" si="398"/>
        <v>429</v>
      </c>
      <c r="AB389" s="35">
        <f t="shared" si="398"/>
        <v>195</v>
      </c>
      <c r="AC389" s="35">
        <f t="shared" si="398"/>
        <v>209</v>
      </c>
      <c r="AD389" s="35">
        <f t="shared" si="398"/>
        <v>171</v>
      </c>
      <c r="AE389" s="35">
        <f t="shared" si="398"/>
        <v>210</v>
      </c>
      <c r="AF389" s="35">
        <f t="shared" si="398"/>
        <v>139</v>
      </c>
      <c r="AG389" s="35">
        <f t="shared" si="398"/>
        <v>147</v>
      </c>
      <c r="AH389" s="35">
        <f t="shared" si="398"/>
        <v>79</v>
      </c>
      <c r="AI389" s="35">
        <f t="shared" si="398"/>
        <v>98</v>
      </c>
      <c r="AJ389" s="35">
        <f t="shared" si="398"/>
        <v>427</v>
      </c>
      <c r="AK389" s="35">
        <f t="shared" si="398"/>
        <v>115</v>
      </c>
      <c r="AL389" s="35">
        <f t="shared" si="398"/>
        <v>188</v>
      </c>
      <c r="AM389" s="35">
        <f t="shared" si="398"/>
        <v>68</v>
      </c>
      <c r="AN389" s="35">
        <f t="shared" si="398"/>
        <v>89</v>
      </c>
      <c r="AO389" s="35">
        <f t="shared" si="398"/>
        <v>178</v>
      </c>
      <c r="AP389" s="35">
        <f t="shared" si="398"/>
        <v>75</v>
      </c>
    </row>
    <row r="390" spans="1:42" ht="13">
      <c r="A390" s="36">
        <v>44309</v>
      </c>
      <c r="B390" s="35">
        <v>36969</v>
      </c>
      <c r="C390" s="35">
        <v>26259</v>
      </c>
      <c r="D390" s="35">
        <v>20444</v>
      </c>
      <c r="E390" s="35">
        <v>43018</v>
      </c>
      <c r="F390" s="35">
        <v>138497</v>
      </c>
      <c r="G390" s="35">
        <v>31964</v>
      </c>
      <c r="H390" s="35">
        <v>34408</v>
      </c>
      <c r="I390" s="35">
        <v>42238</v>
      </c>
      <c r="J390" s="35">
        <v>40600</v>
      </c>
      <c r="K390" s="35">
        <v>20916</v>
      </c>
      <c r="L390" s="35">
        <v>23487</v>
      </c>
      <c r="M390" s="35">
        <v>27383</v>
      </c>
      <c r="N390" s="35">
        <v>19330</v>
      </c>
      <c r="O390" s="35">
        <v>106257</v>
      </c>
      <c r="P390" s="35">
        <v>28004</v>
      </c>
      <c r="Q390" s="35">
        <v>39339</v>
      </c>
      <c r="R390" s="35">
        <v>16838</v>
      </c>
      <c r="S390" s="35">
        <v>22186</v>
      </c>
      <c r="T390" s="35">
        <v>29244</v>
      </c>
      <c r="U390" s="35">
        <v>17013</v>
      </c>
      <c r="V390" s="35">
        <f t="shared" si="309"/>
        <v>764394</v>
      </c>
      <c r="W390" s="35">
        <f t="shared" ref="W390:AP390" si="399">B390-B389</f>
        <v>212</v>
      </c>
      <c r="X390" s="35">
        <f t="shared" si="399"/>
        <v>153</v>
      </c>
      <c r="Y390" s="35">
        <f t="shared" si="399"/>
        <v>122</v>
      </c>
      <c r="Z390" s="35">
        <f t="shared" si="399"/>
        <v>262</v>
      </c>
      <c r="AA390" s="35">
        <f t="shared" si="399"/>
        <v>483</v>
      </c>
      <c r="AB390" s="35">
        <f t="shared" si="399"/>
        <v>140</v>
      </c>
      <c r="AC390" s="35">
        <f t="shared" si="399"/>
        <v>133</v>
      </c>
      <c r="AD390" s="35">
        <f t="shared" si="399"/>
        <v>162</v>
      </c>
      <c r="AE390" s="35">
        <f t="shared" si="399"/>
        <v>122</v>
      </c>
      <c r="AF390" s="35">
        <f t="shared" si="399"/>
        <v>121</v>
      </c>
      <c r="AG390" s="35">
        <f t="shared" si="399"/>
        <v>161</v>
      </c>
      <c r="AH390" s="35">
        <f t="shared" si="399"/>
        <v>77</v>
      </c>
      <c r="AI390" s="35">
        <f t="shared" si="399"/>
        <v>72</v>
      </c>
      <c r="AJ390" s="35">
        <f t="shared" si="399"/>
        <v>430</v>
      </c>
      <c r="AK390" s="35">
        <f t="shared" si="399"/>
        <v>85</v>
      </c>
      <c r="AL390" s="35">
        <f t="shared" si="399"/>
        <v>225</v>
      </c>
      <c r="AM390" s="35">
        <f t="shared" si="399"/>
        <v>61</v>
      </c>
      <c r="AN390" s="35">
        <f t="shared" si="399"/>
        <v>92</v>
      </c>
      <c r="AO390" s="35">
        <f t="shared" si="399"/>
        <v>175</v>
      </c>
      <c r="AP390" s="35">
        <f t="shared" si="399"/>
        <v>139</v>
      </c>
    </row>
    <row r="391" spans="1:42" ht="13">
      <c r="A391" s="36">
        <v>44310</v>
      </c>
      <c r="B391" s="35">
        <v>37112</v>
      </c>
      <c r="C391" s="35">
        <v>26409</v>
      </c>
      <c r="D391" s="35">
        <v>20546</v>
      </c>
      <c r="E391" s="35">
        <v>43242</v>
      </c>
      <c r="F391" s="35">
        <v>138828</v>
      </c>
      <c r="G391" s="35">
        <v>32090</v>
      </c>
      <c r="H391" s="35">
        <v>34529</v>
      </c>
      <c r="I391" s="35">
        <v>42367</v>
      </c>
      <c r="J391" s="35">
        <v>40748</v>
      </c>
      <c r="K391" s="35">
        <v>21016</v>
      </c>
      <c r="L391" s="35">
        <v>23618</v>
      </c>
      <c r="M391" s="35">
        <v>27460</v>
      </c>
      <c r="N391" s="35">
        <v>19405</v>
      </c>
      <c r="O391" s="35">
        <v>106573</v>
      </c>
      <c r="P391" s="35">
        <v>28089</v>
      </c>
      <c r="Q391" s="35">
        <v>39488</v>
      </c>
      <c r="R391" s="35">
        <v>16894</v>
      </c>
      <c r="S391" s="35">
        <v>22273</v>
      </c>
      <c r="T391" s="35">
        <v>29406</v>
      </c>
      <c r="U391" s="35">
        <v>17097</v>
      </c>
      <c r="V391" s="35">
        <f t="shared" si="309"/>
        <v>767190</v>
      </c>
      <c r="W391" s="35">
        <f t="shared" ref="W391:AP391" si="400">B391-B390</f>
        <v>143</v>
      </c>
      <c r="X391" s="35">
        <f t="shared" si="400"/>
        <v>150</v>
      </c>
      <c r="Y391" s="35">
        <f t="shared" si="400"/>
        <v>102</v>
      </c>
      <c r="Z391" s="35">
        <f t="shared" si="400"/>
        <v>224</v>
      </c>
      <c r="AA391" s="35">
        <f t="shared" si="400"/>
        <v>331</v>
      </c>
      <c r="AB391" s="35">
        <f t="shared" si="400"/>
        <v>126</v>
      </c>
      <c r="AC391" s="35">
        <f t="shared" si="400"/>
        <v>121</v>
      </c>
      <c r="AD391" s="35">
        <f t="shared" si="400"/>
        <v>129</v>
      </c>
      <c r="AE391" s="35">
        <f t="shared" si="400"/>
        <v>148</v>
      </c>
      <c r="AF391" s="35">
        <f t="shared" si="400"/>
        <v>100</v>
      </c>
      <c r="AG391" s="35">
        <f t="shared" si="400"/>
        <v>131</v>
      </c>
      <c r="AH391" s="35">
        <f t="shared" si="400"/>
        <v>77</v>
      </c>
      <c r="AI391" s="35">
        <f t="shared" si="400"/>
        <v>75</v>
      </c>
      <c r="AJ391" s="35">
        <f t="shared" si="400"/>
        <v>316</v>
      </c>
      <c r="AK391" s="35">
        <f t="shared" si="400"/>
        <v>85</v>
      </c>
      <c r="AL391" s="35">
        <f t="shared" si="400"/>
        <v>149</v>
      </c>
      <c r="AM391" s="35">
        <f t="shared" si="400"/>
        <v>56</v>
      </c>
      <c r="AN391" s="35">
        <f t="shared" si="400"/>
        <v>87</v>
      </c>
      <c r="AO391" s="35">
        <f t="shared" si="400"/>
        <v>162</v>
      </c>
      <c r="AP391" s="35">
        <f t="shared" si="400"/>
        <v>84</v>
      </c>
    </row>
    <row r="392" spans="1:42" ht="13">
      <c r="A392" s="36">
        <v>44311</v>
      </c>
      <c r="B392" s="35">
        <v>37239</v>
      </c>
      <c r="C392" s="35">
        <v>26548</v>
      </c>
      <c r="D392" s="35">
        <v>20619</v>
      </c>
      <c r="E392" s="35">
        <v>43448</v>
      </c>
      <c r="F392" s="35">
        <v>139171</v>
      </c>
      <c r="G392" s="35">
        <v>32186</v>
      </c>
      <c r="H392" s="35">
        <v>34650</v>
      </c>
      <c r="I392" s="35">
        <v>42455</v>
      </c>
      <c r="J392" s="35">
        <v>40873</v>
      </c>
      <c r="K392" s="35">
        <v>21117</v>
      </c>
      <c r="L392" s="35">
        <v>23720</v>
      </c>
      <c r="M392" s="35">
        <v>27499</v>
      </c>
      <c r="N392" s="35">
        <v>19462</v>
      </c>
      <c r="O392" s="35">
        <v>106869</v>
      </c>
      <c r="P392" s="35">
        <v>28136</v>
      </c>
      <c r="Q392" s="35">
        <v>39572</v>
      </c>
      <c r="R392" s="35">
        <v>16932</v>
      </c>
      <c r="S392" s="35">
        <v>22339</v>
      </c>
      <c r="T392" s="35">
        <v>29523</v>
      </c>
      <c r="U392" s="35">
        <v>17160</v>
      </c>
      <c r="V392" s="35">
        <f t="shared" si="309"/>
        <v>769518</v>
      </c>
      <c r="W392" s="35">
        <f t="shared" ref="W392:AP392" si="401">B392-B391</f>
        <v>127</v>
      </c>
      <c r="X392" s="35">
        <f t="shared" si="401"/>
        <v>139</v>
      </c>
      <c r="Y392" s="35">
        <f t="shared" si="401"/>
        <v>73</v>
      </c>
      <c r="Z392" s="35">
        <f t="shared" si="401"/>
        <v>206</v>
      </c>
      <c r="AA392" s="35">
        <f t="shared" si="401"/>
        <v>343</v>
      </c>
      <c r="AB392" s="35">
        <f t="shared" si="401"/>
        <v>96</v>
      </c>
      <c r="AC392" s="35">
        <f t="shared" si="401"/>
        <v>121</v>
      </c>
      <c r="AD392" s="35">
        <f t="shared" si="401"/>
        <v>88</v>
      </c>
      <c r="AE392" s="35">
        <f t="shared" si="401"/>
        <v>125</v>
      </c>
      <c r="AF392" s="35">
        <f t="shared" si="401"/>
        <v>101</v>
      </c>
      <c r="AG392" s="35">
        <f t="shared" si="401"/>
        <v>102</v>
      </c>
      <c r="AH392" s="35">
        <f t="shared" si="401"/>
        <v>39</v>
      </c>
      <c r="AI392" s="35">
        <f t="shared" si="401"/>
        <v>57</v>
      </c>
      <c r="AJ392" s="35">
        <f t="shared" si="401"/>
        <v>296</v>
      </c>
      <c r="AK392" s="35">
        <f t="shared" si="401"/>
        <v>47</v>
      </c>
      <c r="AL392" s="35">
        <f t="shared" si="401"/>
        <v>84</v>
      </c>
      <c r="AM392" s="35">
        <f t="shared" si="401"/>
        <v>38</v>
      </c>
      <c r="AN392" s="35">
        <f t="shared" si="401"/>
        <v>66</v>
      </c>
      <c r="AO392" s="35">
        <f t="shared" si="401"/>
        <v>117</v>
      </c>
      <c r="AP392" s="35">
        <f t="shared" si="401"/>
        <v>63</v>
      </c>
    </row>
    <row r="393" spans="1:42" ht="13">
      <c r="A393" s="36">
        <v>44312</v>
      </c>
      <c r="B393" s="35">
        <v>37357</v>
      </c>
      <c r="C393" s="35">
        <v>26644</v>
      </c>
      <c r="D393" s="35">
        <v>20698</v>
      </c>
      <c r="E393" s="35">
        <v>43571</v>
      </c>
      <c r="F393" s="35">
        <v>139449</v>
      </c>
      <c r="G393" s="35">
        <v>32255</v>
      </c>
      <c r="H393" s="35">
        <v>34793</v>
      </c>
      <c r="I393" s="35">
        <v>42570</v>
      </c>
      <c r="J393" s="35">
        <v>40953</v>
      </c>
      <c r="K393" s="35">
        <v>21169</v>
      </c>
      <c r="L393" s="35">
        <v>23802</v>
      </c>
      <c r="M393" s="35">
        <v>27529</v>
      </c>
      <c r="N393" s="35">
        <v>19481</v>
      </c>
      <c r="O393" s="35">
        <v>107137</v>
      </c>
      <c r="P393" s="35">
        <v>28179</v>
      </c>
      <c r="Q393" s="35">
        <v>39680</v>
      </c>
      <c r="R393" s="35">
        <v>16973</v>
      </c>
      <c r="S393" s="35">
        <v>22386</v>
      </c>
      <c r="T393" s="35">
        <v>29630</v>
      </c>
      <c r="U393" s="35">
        <v>17198</v>
      </c>
      <c r="V393" s="35">
        <f t="shared" si="309"/>
        <v>771454</v>
      </c>
      <c r="W393" s="35">
        <f t="shared" ref="W393:AP393" si="402">B393-B392</f>
        <v>118</v>
      </c>
      <c r="X393" s="35">
        <f t="shared" si="402"/>
        <v>96</v>
      </c>
      <c r="Y393" s="35">
        <f t="shared" si="402"/>
        <v>79</v>
      </c>
      <c r="Z393" s="35">
        <f t="shared" si="402"/>
        <v>123</v>
      </c>
      <c r="AA393" s="35">
        <f t="shared" si="402"/>
        <v>278</v>
      </c>
      <c r="AB393" s="35">
        <f t="shared" si="402"/>
        <v>69</v>
      </c>
      <c r="AC393" s="35">
        <f t="shared" si="402"/>
        <v>143</v>
      </c>
      <c r="AD393" s="35">
        <f t="shared" si="402"/>
        <v>115</v>
      </c>
      <c r="AE393" s="35">
        <f t="shared" si="402"/>
        <v>80</v>
      </c>
      <c r="AF393" s="35">
        <f t="shared" si="402"/>
        <v>52</v>
      </c>
      <c r="AG393" s="35">
        <f t="shared" si="402"/>
        <v>82</v>
      </c>
      <c r="AH393" s="35">
        <f t="shared" si="402"/>
        <v>30</v>
      </c>
      <c r="AI393" s="35">
        <f t="shared" si="402"/>
        <v>19</v>
      </c>
      <c r="AJ393" s="35">
        <f t="shared" si="402"/>
        <v>268</v>
      </c>
      <c r="AK393" s="35">
        <f t="shared" si="402"/>
        <v>43</v>
      </c>
      <c r="AL393" s="35">
        <f t="shared" si="402"/>
        <v>108</v>
      </c>
      <c r="AM393" s="35">
        <f t="shared" si="402"/>
        <v>41</v>
      </c>
      <c r="AN393" s="35">
        <f t="shared" si="402"/>
        <v>47</v>
      </c>
      <c r="AO393" s="35">
        <f t="shared" si="402"/>
        <v>107</v>
      </c>
      <c r="AP393" s="35">
        <f t="shared" si="402"/>
        <v>38</v>
      </c>
    </row>
    <row r="394" spans="1:42" ht="13">
      <c r="A394" s="36">
        <v>44313</v>
      </c>
      <c r="B394" s="35">
        <v>37414</v>
      </c>
      <c r="C394" s="35">
        <v>26740</v>
      </c>
      <c r="D394" s="35">
        <v>20738</v>
      </c>
      <c r="E394" s="35">
        <v>43623</v>
      </c>
      <c r="F394" s="35">
        <v>139572</v>
      </c>
      <c r="G394" s="35">
        <v>32300</v>
      </c>
      <c r="H394" s="35">
        <v>34853</v>
      </c>
      <c r="I394" s="35">
        <v>42598</v>
      </c>
      <c r="J394" s="35">
        <v>40998</v>
      </c>
      <c r="K394" s="35">
        <v>21191</v>
      </c>
      <c r="L394" s="35">
        <v>23860</v>
      </c>
      <c r="M394" s="35">
        <v>27573</v>
      </c>
      <c r="N394" s="35">
        <v>19528</v>
      </c>
      <c r="O394" s="35">
        <v>107312</v>
      </c>
      <c r="P394" s="35">
        <v>28212</v>
      </c>
      <c r="Q394" s="35">
        <v>39756</v>
      </c>
      <c r="R394" s="35">
        <v>17004</v>
      </c>
      <c r="S394" s="35">
        <v>22462</v>
      </c>
      <c r="T394" s="35">
        <v>29699</v>
      </c>
      <c r="U394" s="35">
        <v>17274</v>
      </c>
      <c r="V394" s="35">
        <f t="shared" si="309"/>
        <v>772707</v>
      </c>
      <c r="W394" s="35">
        <f t="shared" ref="W394:AP394" si="403">B394-B393</f>
        <v>57</v>
      </c>
      <c r="X394" s="35">
        <f t="shared" si="403"/>
        <v>96</v>
      </c>
      <c r="Y394" s="35">
        <f t="shared" si="403"/>
        <v>40</v>
      </c>
      <c r="Z394" s="35">
        <f t="shared" si="403"/>
        <v>52</v>
      </c>
      <c r="AA394" s="35">
        <f t="shared" si="403"/>
        <v>123</v>
      </c>
      <c r="AB394" s="35">
        <f t="shared" si="403"/>
        <v>45</v>
      </c>
      <c r="AC394" s="35">
        <f t="shared" si="403"/>
        <v>60</v>
      </c>
      <c r="AD394" s="35">
        <f t="shared" si="403"/>
        <v>28</v>
      </c>
      <c r="AE394" s="35">
        <f t="shared" si="403"/>
        <v>45</v>
      </c>
      <c r="AF394" s="35">
        <f t="shared" si="403"/>
        <v>22</v>
      </c>
      <c r="AG394" s="35">
        <f t="shared" si="403"/>
        <v>58</v>
      </c>
      <c r="AH394" s="35">
        <f t="shared" si="403"/>
        <v>44</v>
      </c>
      <c r="AI394" s="35">
        <f t="shared" si="403"/>
        <v>47</v>
      </c>
      <c r="AJ394" s="35">
        <f t="shared" si="403"/>
        <v>175</v>
      </c>
      <c r="AK394" s="35">
        <f t="shared" si="403"/>
        <v>33</v>
      </c>
      <c r="AL394" s="35">
        <f t="shared" si="403"/>
        <v>76</v>
      </c>
      <c r="AM394" s="35">
        <f t="shared" si="403"/>
        <v>31</v>
      </c>
      <c r="AN394" s="35">
        <f t="shared" si="403"/>
        <v>76</v>
      </c>
      <c r="AO394" s="35">
        <f t="shared" si="403"/>
        <v>69</v>
      </c>
      <c r="AP394" s="35">
        <f t="shared" si="403"/>
        <v>76</v>
      </c>
    </row>
    <row r="395" spans="1:42" ht="13">
      <c r="A395" s="36">
        <v>44314</v>
      </c>
      <c r="B395" s="35">
        <v>37480</v>
      </c>
      <c r="C395" s="35">
        <v>26840</v>
      </c>
      <c r="D395" s="35">
        <v>20784</v>
      </c>
      <c r="E395" s="35">
        <v>43720</v>
      </c>
      <c r="F395" s="35">
        <v>139807</v>
      </c>
      <c r="G395" s="35">
        <v>32364</v>
      </c>
      <c r="H395" s="35">
        <v>34928</v>
      </c>
      <c r="I395" s="35">
        <v>42648</v>
      </c>
      <c r="J395" s="35">
        <v>41101</v>
      </c>
      <c r="K395" s="35">
        <v>21301</v>
      </c>
      <c r="L395" s="35">
        <v>23954</v>
      </c>
      <c r="M395" s="35">
        <v>27597</v>
      </c>
      <c r="N395" s="35">
        <v>19580</v>
      </c>
      <c r="O395" s="35">
        <v>107557</v>
      </c>
      <c r="P395" s="35">
        <v>28258</v>
      </c>
      <c r="Q395" s="35">
        <v>39811</v>
      </c>
      <c r="R395" s="35">
        <v>17030</v>
      </c>
      <c r="S395" s="35">
        <v>22511</v>
      </c>
      <c r="T395" s="35">
        <v>29805</v>
      </c>
      <c r="U395" s="35">
        <v>17323</v>
      </c>
      <c r="V395" s="35">
        <f t="shared" si="309"/>
        <v>774399</v>
      </c>
      <c r="W395" s="35">
        <f t="shared" ref="W395:AP395" si="404">B395-B394</f>
        <v>66</v>
      </c>
      <c r="X395" s="35">
        <f t="shared" si="404"/>
        <v>100</v>
      </c>
      <c r="Y395" s="35">
        <f t="shared" si="404"/>
        <v>46</v>
      </c>
      <c r="Z395" s="35">
        <f t="shared" si="404"/>
        <v>97</v>
      </c>
      <c r="AA395" s="35">
        <f t="shared" si="404"/>
        <v>235</v>
      </c>
      <c r="AB395" s="35">
        <f t="shared" si="404"/>
        <v>64</v>
      </c>
      <c r="AC395" s="35">
        <f t="shared" si="404"/>
        <v>75</v>
      </c>
      <c r="AD395" s="35">
        <f t="shared" si="404"/>
        <v>50</v>
      </c>
      <c r="AE395" s="35">
        <f t="shared" si="404"/>
        <v>103</v>
      </c>
      <c r="AF395" s="35">
        <f t="shared" si="404"/>
        <v>110</v>
      </c>
      <c r="AG395" s="35">
        <f t="shared" si="404"/>
        <v>94</v>
      </c>
      <c r="AH395" s="35">
        <f t="shared" si="404"/>
        <v>24</v>
      </c>
      <c r="AI395" s="35">
        <f t="shared" si="404"/>
        <v>52</v>
      </c>
      <c r="AJ395" s="35">
        <f t="shared" si="404"/>
        <v>245</v>
      </c>
      <c r="AK395" s="35">
        <f t="shared" si="404"/>
        <v>46</v>
      </c>
      <c r="AL395" s="35">
        <f t="shared" si="404"/>
        <v>55</v>
      </c>
      <c r="AM395" s="35">
        <f t="shared" si="404"/>
        <v>26</v>
      </c>
      <c r="AN395" s="35">
        <f t="shared" si="404"/>
        <v>49</v>
      </c>
      <c r="AO395" s="35">
        <f t="shared" si="404"/>
        <v>106</v>
      </c>
      <c r="AP395" s="35">
        <f t="shared" si="404"/>
        <v>49</v>
      </c>
    </row>
    <row r="396" spans="1:42" ht="13">
      <c r="A396" s="36">
        <v>44315</v>
      </c>
      <c r="B396" s="35">
        <v>37637</v>
      </c>
      <c r="C396" s="35">
        <v>26968</v>
      </c>
      <c r="D396" s="35">
        <v>20881</v>
      </c>
      <c r="E396" s="35">
        <v>43908</v>
      </c>
      <c r="F396" s="35">
        <v>140093</v>
      </c>
      <c r="G396" s="35">
        <v>32497</v>
      </c>
      <c r="H396" s="35">
        <v>35071</v>
      </c>
      <c r="I396" s="35">
        <v>42756</v>
      </c>
      <c r="J396" s="35">
        <v>41233</v>
      </c>
      <c r="K396" s="35">
        <v>21400</v>
      </c>
      <c r="L396" s="35">
        <v>24077</v>
      </c>
      <c r="M396" s="35">
        <v>27653</v>
      </c>
      <c r="N396" s="35">
        <v>19658</v>
      </c>
      <c r="O396" s="35">
        <v>107938</v>
      </c>
      <c r="P396" s="35">
        <v>28321</v>
      </c>
      <c r="Q396" s="35">
        <v>39898</v>
      </c>
      <c r="R396" s="35">
        <v>17079</v>
      </c>
      <c r="S396" s="35">
        <v>22583</v>
      </c>
      <c r="T396" s="35">
        <v>29932</v>
      </c>
      <c r="U396" s="35">
        <v>17400</v>
      </c>
      <c r="V396" s="35">
        <f t="shared" si="309"/>
        <v>776983</v>
      </c>
      <c r="W396" s="35">
        <f t="shared" ref="W396:AP396" si="405">B396-B395</f>
        <v>157</v>
      </c>
      <c r="X396" s="35">
        <f t="shared" si="405"/>
        <v>128</v>
      </c>
      <c r="Y396" s="35">
        <f t="shared" si="405"/>
        <v>97</v>
      </c>
      <c r="Z396" s="35">
        <f t="shared" si="405"/>
        <v>188</v>
      </c>
      <c r="AA396" s="35">
        <f t="shared" si="405"/>
        <v>286</v>
      </c>
      <c r="AB396" s="35">
        <f t="shared" si="405"/>
        <v>133</v>
      </c>
      <c r="AC396" s="35">
        <f t="shared" si="405"/>
        <v>143</v>
      </c>
      <c r="AD396" s="35">
        <f t="shared" si="405"/>
        <v>108</v>
      </c>
      <c r="AE396" s="35">
        <f t="shared" si="405"/>
        <v>132</v>
      </c>
      <c r="AF396" s="35">
        <f t="shared" si="405"/>
        <v>99</v>
      </c>
      <c r="AG396" s="35">
        <f t="shared" si="405"/>
        <v>123</v>
      </c>
      <c r="AH396" s="35">
        <f t="shared" si="405"/>
        <v>56</v>
      </c>
      <c r="AI396" s="35">
        <f t="shared" si="405"/>
        <v>78</v>
      </c>
      <c r="AJ396" s="35">
        <f t="shared" si="405"/>
        <v>381</v>
      </c>
      <c r="AK396" s="35">
        <f t="shared" si="405"/>
        <v>63</v>
      </c>
      <c r="AL396" s="35">
        <f t="shared" si="405"/>
        <v>87</v>
      </c>
      <c r="AM396" s="35">
        <f t="shared" si="405"/>
        <v>49</v>
      </c>
      <c r="AN396" s="35">
        <f t="shared" si="405"/>
        <v>72</v>
      </c>
      <c r="AO396" s="35">
        <f t="shared" si="405"/>
        <v>127</v>
      </c>
      <c r="AP396" s="35">
        <f t="shared" si="405"/>
        <v>77</v>
      </c>
    </row>
    <row r="397" spans="1:42" ht="13">
      <c r="A397" s="36">
        <v>44316</v>
      </c>
      <c r="B397" s="35">
        <v>37782</v>
      </c>
      <c r="C397" s="35">
        <v>27074</v>
      </c>
      <c r="D397" s="35">
        <v>20976</v>
      </c>
      <c r="E397" s="35">
        <v>44077</v>
      </c>
      <c r="F397" s="35">
        <v>140408</v>
      </c>
      <c r="G397" s="35">
        <v>32584</v>
      </c>
      <c r="H397" s="35">
        <v>35192</v>
      </c>
      <c r="I397" s="35">
        <v>42872</v>
      </c>
      <c r="J397" s="35">
        <v>41341</v>
      </c>
      <c r="K397" s="35">
        <v>21486</v>
      </c>
      <c r="L397" s="35">
        <v>24209</v>
      </c>
      <c r="M397" s="35">
        <v>27702</v>
      </c>
      <c r="N397" s="35">
        <v>19715</v>
      </c>
      <c r="O397" s="35">
        <v>108220</v>
      </c>
      <c r="P397" s="35">
        <v>28370</v>
      </c>
      <c r="Q397" s="35">
        <v>39997</v>
      </c>
      <c r="R397" s="35">
        <v>17143</v>
      </c>
      <c r="S397" s="35">
        <v>22649</v>
      </c>
      <c r="T397" s="35">
        <v>30058</v>
      </c>
      <c r="U397" s="35">
        <v>17493</v>
      </c>
      <c r="V397" s="35">
        <f t="shared" si="309"/>
        <v>779348</v>
      </c>
      <c r="W397" s="35">
        <f t="shared" ref="W397:AP397" si="406">B397-B396</f>
        <v>145</v>
      </c>
      <c r="X397" s="35">
        <f t="shared" si="406"/>
        <v>106</v>
      </c>
      <c r="Y397" s="35">
        <f t="shared" si="406"/>
        <v>95</v>
      </c>
      <c r="Z397" s="35">
        <f t="shared" si="406"/>
        <v>169</v>
      </c>
      <c r="AA397" s="35">
        <f t="shared" si="406"/>
        <v>315</v>
      </c>
      <c r="AB397" s="35">
        <f t="shared" si="406"/>
        <v>87</v>
      </c>
      <c r="AC397" s="35">
        <f t="shared" si="406"/>
        <v>121</v>
      </c>
      <c r="AD397" s="35">
        <f t="shared" si="406"/>
        <v>116</v>
      </c>
      <c r="AE397" s="35">
        <f t="shared" si="406"/>
        <v>108</v>
      </c>
      <c r="AF397" s="35">
        <f t="shared" si="406"/>
        <v>86</v>
      </c>
      <c r="AG397" s="35">
        <f t="shared" si="406"/>
        <v>132</v>
      </c>
      <c r="AH397" s="35">
        <f t="shared" si="406"/>
        <v>49</v>
      </c>
      <c r="AI397" s="35">
        <f t="shared" si="406"/>
        <v>57</v>
      </c>
      <c r="AJ397" s="35">
        <f t="shared" si="406"/>
        <v>282</v>
      </c>
      <c r="AK397" s="35">
        <f t="shared" si="406"/>
        <v>49</v>
      </c>
      <c r="AL397" s="35">
        <f t="shared" si="406"/>
        <v>99</v>
      </c>
      <c r="AM397" s="35">
        <f t="shared" si="406"/>
        <v>64</v>
      </c>
      <c r="AN397" s="35">
        <f t="shared" si="406"/>
        <v>66</v>
      </c>
      <c r="AO397" s="35">
        <f t="shared" si="406"/>
        <v>126</v>
      </c>
      <c r="AP397" s="35">
        <f t="shared" si="406"/>
        <v>93</v>
      </c>
    </row>
    <row r="398" spans="1:42" ht="13">
      <c r="A398" s="36">
        <v>44317</v>
      </c>
      <c r="B398" s="35">
        <v>37887</v>
      </c>
      <c r="C398" s="35">
        <v>27191</v>
      </c>
      <c r="D398" s="35">
        <v>21040</v>
      </c>
      <c r="E398" s="35">
        <v>44213</v>
      </c>
      <c r="F398" s="35">
        <v>140670</v>
      </c>
      <c r="G398" s="35">
        <v>32660</v>
      </c>
      <c r="H398" s="35">
        <v>35263</v>
      </c>
      <c r="I398" s="35">
        <v>42971</v>
      </c>
      <c r="J398" s="35">
        <v>41428</v>
      </c>
      <c r="K398" s="35">
        <v>21554</v>
      </c>
      <c r="L398" s="35">
        <v>24339</v>
      </c>
      <c r="M398" s="35">
        <v>27729</v>
      </c>
      <c r="N398" s="35">
        <v>19751</v>
      </c>
      <c r="O398" s="35">
        <v>108478</v>
      </c>
      <c r="P398" s="35">
        <v>28403</v>
      </c>
      <c r="Q398" s="35">
        <v>40072</v>
      </c>
      <c r="R398" s="35">
        <v>17207</v>
      </c>
      <c r="S398" s="35">
        <v>22711</v>
      </c>
      <c r="T398" s="35">
        <v>30173</v>
      </c>
      <c r="U398" s="35">
        <v>17559</v>
      </c>
      <c r="V398" s="35">
        <f t="shared" si="309"/>
        <v>781299</v>
      </c>
      <c r="W398" s="35">
        <f t="shared" ref="W398:AP398" si="407">B398-B397</f>
        <v>105</v>
      </c>
      <c r="X398" s="35">
        <f t="shared" si="407"/>
        <v>117</v>
      </c>
      <c r="Y398" s="35">
        <f t="shared" si="407"/>
        <v>64</v>
      </c>
      <c r="Z398" s="35">
        <f t="shared" si="407"/>
        <v>136</v>
      </c>
      <c r="AA398" s="35">
        <f t="shared" si="407"/>
        <v>262</v>
      </c>
      <c r="AB398" s="35">
        <f t="shared" si="407"/>
        <v>76</v>
      </c>
      <c r="AC398" s="35">
        <f t="shared" si="407"/>
        <v>71</v>
      </c>
      <c r="AD398" s="35">
        <f t="shared" si="407"/>
        <v>99</v>
      </c>
      <c r="AE398" s="35">
        <f t="shared" si="407"/>
        <v>87</v>
      </c>
      <c r="AF398" s="35">
        <f t="shared" si="407"/>
        <v>68</v>
      </c>
      <c r="AG398" s="35">
        <f t="shared" si="407"/>
        <v>130</v>
      </c>
      <c r="AH398" s="35">
        <f t="shared" si="407"/>
        <v>27</v>
      </c>
      <c r="AI398" s="35">
        <f t="shared" si="407"/>
        <v>36</v>
      </c>
      <c r="AJ398" s="35">
        <f t="shared" si="407"/>
        <v>258</v>
      </c>
      <c r="AK398" s="35">
        <f t="shared" si="407"/>
        <v>33</v>
      </c>
      <c r="AL398" s="35">
        <f t="shared" si="407"/>
        <v>75</v>
      </c>
      <c r="AM398" s="35">
        <f t="shared" si="407"/>
        <v>64</v>
      </c>
      <c r="AN398" s="35">
        <f t="shared" si="407"/>
        <v>62</v>
      </c>
      <c r="AO398" s="35">
        <f t="shared" si="407"/>
        <v>115</v>
      </c>
      <c r="AP398" s="35">
        <f t="shared" si="407"/>
        <v>66</v>
      </c>
    </row>
    <row r="399" spans="1:42" ht="13">
      <c r="A399" s="36">
        <v>44318</v>
      </c>
      <c r="B399" s="35">
        <v>37990</v>
      </c>
      <c r="C399" s="35">
        <v>27288</v>
      </c>
      <c r="D399" s="35">
        <v>21098</v>
      </c>
      <c r="E399" s="35">
        <v>44339</v>
      </c>
      <c r="F399" s="35">
        <v>140869</v>
      </c>
      <c r="G399" s="35">
        <v>32724</v>
      </c>
      <c r="H399" s="35">
        <v>35330</v>
      </c>
      <c r="I399" s="35">
        <v>43032</v>
      </c>
      <c r="J399" s="35">
        <v>41505</v>
      </c>
      <c r="K399" s="35">
        <v>21605</v>
      </c>
      <c r="L399" s="35">
        <v>24426</v>
      </c>
      <c r="M399" s="35">
        <v>27772</v>
      </c>
      <c r="N399" s="35">
        <v>19776</v>
      </c>
      <c r="O399" s="35">
        <v>108669</v>
      </c>
      <c r="P399" s="35">
        <v>28462</v>
      </c>
      <c r="Q399" s="35">
        <v>40136</v>
      </c>
      <c r="R399" s="35">
        <v>17241</v>
      </c>
      <c r="S399" s="35">
        <v>22772</v>
      </c>
      <c r="T399" s="35">
        <v>30259</v>
      </c>
      <c r="U399" s="35">
        <v>17599</v>
      </c>
      <c r="V399" s="35">
        <f t="shared" si="309"/>
        <v>782892</v>
      </c>
      <c r="W399" s="35">
        <f t="shared" ref="W399:AP399" si="408">B399-B398</f>
        <v>103</v>
      </c>
      <c r="X399" s="35">
        <f t="shared" si="408"/>
        <v>97</v>
      </c>
      <c r="Y399" s="35">
        <f t="shared" si="408"/>
        <v>58</v>
      </c>
      <c r="Z399" s="35">
        <f t="shared" si="408"/>
        <v>126</v>
      </c>
      <c r="AA399" s="35">
        <f t="shared" si="408"/>
        <v>199</v>
      </c>
      <c r="AB399" s="35">
        <f t="shared" si="408"/>
        <v>64</v>
      </c>
      <c r="AC399" s="35">
        <f t="shared" si="408"/>
        <v>67</v>
      </c>
      <c r="AD399" s="35">
        <f t="shared" si="408"/>
        <v>61</v>
      </c>
      <c r="AE399" s="35">
        <f t="shared" si="408"/>
        <v>77</v>
      </c>
      <c r="AF399" s="35">
        <f t="shared" si="408"/>
        <v>51</v>
      </c>
      <c r="AG399" s="35">
        <f t="shared" si="408"/>
        <v>87</v>
      </c>
      <c r="AH399" s="35">
        <f t="shared" si="408"/>
        <v>43</v>
      </c>
      <c r="AI399" s="35">
        <f t="shared" si="408"/>
        <v>25</v>
      </c>
      <c r="AJ399" s="35">
        <f t="shared" si="408"/>
        <v>191</v>
      </c>
      <c r="AK399" s="35">
        <f t="shared" si="408"/>
        <v>59</v>
      </c>
      <c r="AL399" s="35">
        <f t="shared" si="408"/>
        <v>64</v>
      </c>
      <c r="AM399" s="35">
        <f t="shared" si="408"/>
        <v>34</v>
      </c>
      <c r="AN399" s="35">
        <f t="shared" si="408"/>
        <v>61</v>
      </c>
      <c r="AO399" s="35">
        <f t="shared" si="408"/>
        <v>86</v>
      </c>
      <c r="AP399" s="35">
        <f t="shared" si="408"/>
        <v>40</v>
      </c>
    </row>
    <row r="400" spans="1:42" ht="13">
      <c r="A400" s="36">
        <v>44319</v>
      </c>
      <c r="B400" s="35">
        <v>38073</v>
      </c>
      <c r="C400" s="35">
        <v>27341</v>
      </c>
      <c r="D400" s="35">
        <v>21140</v>
      </c>
      <c r="E400" s="35">
        <v>44413</v>
      </c>
      <c r="F400" s="35">
        <v>141016</v>
      </c>
      <c r="G400" s="35">
        <v>32774</v>
      </c>
      <c r="H400" s="35">
        <v>35380</v>
      </c>
      <c r="I400" s="35">
        <v>43117</v>
      </c>
      <c r="J400" s="35">
        <v>41566</v>
      </c>
      <c r="K400" s="35">
        <v>21634</v>
      </c>
      <c r="L400" s="35">
        <v>24485</v>
      </c>
      <c r="M400" s="35">
        <v>27810</v>
      </c>
      <c r="N400" s="35">
        <v>19786</v>
      </c>
      <c r="O400" s="35">
        <v>108844</v>
      </c>
      <c r="P400" s="35">
        <v>28490</v>
      </c>
      <c r="Q400" s="35">
        <v>40214</v>
      </c>
      <c r="R400" s="35">
        <v>17267</v>
      </c>
      <c r="S400" s="35">
        <v>22798</v>
      </c>
      <c r="T400" s="35">
        <v>30317</v>
      </c>
      <c r="U400" s="35">
        <v>17646</v>
      </c>
      <c r="V400" s="35">
        <f t="shared" si="309"/>
        <v>784111</v>
      </c>
      <c r="W400" s="35">
        <f t="shared" ref="W400:AP400" si="409">B400-B399</f>
        <v>83</v>
      </c>
      <c r="X400" s="35">
        <f t="shared" si="409"/>
        <v>53</v>
      </c>
      <c r="Y400" s="35">
        <f t="shared" si="409"/>
        <v>42</v>
      </c>
      <c r="Z400" s="35">
        <f t="shared" si="409"/>
        <v>74</v>
      </c>
      <c r="AA400" s="35">
        <f t="shared" si="409"/>
        <v>147</v>
      </c>
      <c r="AB400" s="35">
        <f t="shared" si="409"/>
        <v>50</v>
      </c>
      <c r="AC400" s="35">
        <f t="shared" si="409"/>
        <v>50</v>
      </c>
      <c r="AD400" s="35">
        <f t="shared" si="409"/>
        <v>85</v>
      </c>
      <c r="AE400" s="35">
        <f t="shared" si="409"/>
        <v>61</v>
      </c>
      <c r="AF400" s="35">
        <f t="shared" si="409"/>
        <v>29</v>
      </c>
      <c r="AG400" s="35">
        <f t="shared" si="409"/>
        <v>59</v>
      </c>
      <c r="AH400" s="35">
        <f t="shared" si="409"/>
        <v>38</v>
      </c>
      <c r="AI400" s="35">
        <f t="shared" si="409"/>
        <v>10</v>
      </c>
      <c r="AJ400" s="35">
        <f t="shared" si="409"/>
        <v>175</v>
      </c>
      <c r="AK400" s="35">
        <f t="shared" si="409"/>
        <v>28</v>
      </c>
      <c r="AL400" s="35">
        <f t="shared" si="409"/>
        <v>78</v>
      </c>
      <c r="AM400" s="35">
        <f t="shared" si="409"/>
        <v>26</v>
      </c>
      <c r="AN400" s="35">
        <f t="shared" si="409"/>
        <v>26</v>
      </c>
      <c r="AO400" s="35">
        <f t="shared" si="409"/>
        <v>58</v>
      </c>
      <c r="AP400" s="35">
        <f t="shared" si="409"/>
        <v>47</v>
      </c>
    </row>
    <row r="401" spans="1:42" ht="13">
      <c r="A401" s="36">
        <v>44320</v>
      </c>
      <c r="B401" s="35">
        <v>38117</v>
      </c>
      <c r="C401" s="35">
        <v>27396</v>
      </c>
      <c r="D401" s="35">
        <v>21179</v>
      </c>
      <c r="E401" s="35">
        <v>44445</v>
      </c>
      <c r="F401" s="35">
        <v>141093</v>
      </c>
      <c r="G401" s="35">
        <v>32794</v>
      </c>
      <c r="H401" s="35">
        <v>35408</v>
      </c>
      <c r="I401" s="35">
        <v>43132</v>
      </c>
      <c r="J401" s="35">
        <v>41598</v>
      </c>
      <c r="K401" s="35">
        <v>21680</v>
      </c>
      <c r="L401" s="35">
        <v>24547</v>
      </c>
      <c r="M401" s="35">
        <v>27818</v>
      </c>
      <c r="N401" s="35">
        <v>19820</v>
      </c>
      <c r="O401" s="35">
        <v>108925</v>
      </c>
      <c r="P401" s="35">
        <v>28509</v>
      </c>
      <c r="Q401" s="35">
        <v>40253</v>
      </c>
      <c r="R401" s="35">
        <v>17281</v>
      </c>
      <c r="S401" s="35">
        <v>22821</v>
      </c>
      <c r="T401" s="35">
        <v>30351</v>
      </c>
      <c r="U401" s="35">
        <v>17670</v>
      </c>
      <c r="V401" s="35">
        <f t="shared" si="309"/>
        <v>784837</v>
      </c>
      <c r="W401" s="35">
        <f t="shared" ref="W401:AP401" si="410">B401-B400</f>
        <v>44</v>
      </c>
      <c r="X401" s="35">
        <f t="shared" si="410"/>
        <v>55</v>
      </c>
      <c r="Y401" s="35">
        <f t="shared" si="410"/>
        <v>39</v>
      </c>
      <c r="Z401" s="35">
        <f t="shared" si="410"/>
        <v>32</v>
      </c>
      <c r="AA401" s="35">
        <f t="shared" si="410"/>
        <v>77</v>
      </c>
      <c r="AB401" s="35">
        <f t="shared" si="410"/>
        <v>20</v>
      </c>
      <c r="AC401" s="35">
        <f t="shared" si="410"/>
        <v>28</v>
      </c>
      <c r="AD401" s="35">
        <f t="shared" si="410"/>
        <v>15</v>
      </c>
      <c r="AE401" s="35">
        <f t="shared" si="410"/>
        <v>32</v>
      </c>
      <c r="AF401" s="35">
        <f t="shared" si="410"/>
        <v>46</v>
      </c>
      <c r="AG401" s="35">
        <f t="shared" si="410"/>
        <v>62</v>
      </c>
      <c r="AH401" s="35">
        <f t="shared" si="410"/>
        <v>8</v>
      </c>
      <c r="AI401" s="35">
        <f t="shared" si="410"/>
        <v>34</v>
      </c>
      <c r="AJ401" s="35">
        <f t="shared" si="410"/>
        <v>81</v>
      </c>
      <c r="AK401" s="35">
        <f t="shared" si="410"/>
        <v>19</v>
      </c>
      <c r="AL401" s="35">
        <f t="shared" si="410"/>
        <v>39</v>
      </c>
      <c r="AM401" s="35">
        <f t="shared" si="410"/>
        <v>14</v>
      </c>
      <c r="AN401" s="35">
        <f t="shared" si="410"/>
        <v>23</v>
      </c>
      <c r="AO401" s="35">
        <f t="shared" si="410"/>
        <v>34</v>
      </c>
      <c r="AP401" s="35">
        <f t="shared" si="410"/>
        <v>24</v>
      </c>
    </row>
    <row r="402" spans="1:42" ht="13">
      <c r="A402" s="36">
        <v>44321</v>
      </c>
      <c r="B402" s="35">
        <v>38168</v>
      </c>
      <c r="C402" s="35">
        <v>27459</v>
      </c>
      <c r="D402" s="35">
        <v>21208</v>
      </c>
      <c r="E402" s="35">
        <v>44538</v>
      </c>
      <c r="F402" s="35">
        <v>141246</v>
      </c>
      <c r="G402" s="35">
        <v>32837</v>
      </c>
      <c r="H402" s="35">
        <v>35466</v>
      </c>
      <c r="I402" s="35">
        <v>43205</v>
      </c>
      <c r="J402" s="35">
        <v>41669</v>
      </c>
      <c r="K402" s="35">
        <v>21722</v>
      </c>
      <c r="L402" s="35">
        <v>24617</v>
      </c>
      <c r="M402" s="35">
        <v>27829</v>
      </c>
      <c r="N402" s="35">
        <v>19847</v>
      </c>
      <c r="O402" s="35">
        <v>109028</v>
      </c>
      <c r="P402" s="35">
        <v>28538</v>
      </c>
      <c r="Q402" s="35">
        <v>40291</v>
      </c>
      <c r="R402" s="35">
        <v>17298</v>
      </c>
      <c r="S402" s="35">
        <v>22863</v>
      </c>
      <c r="T402" s="35">
        <v>30424</v>
      </c>
      <c r="U402" s="35">
        <v>17714</v>
      </c>
      <c r="V402" s="35">
        <f t="shared" si="309"/>
        <v>785967</v>
      </c>
      <c r="W402" s="35">
        <f t="shared" ref="W402:AP402" si="411">B402-B401</f>
        <v>51</v>
      </c>
      <c r="X402" s="35">
        <f t="shared" si="411"/>
        <v>63</v>
      </c>
      <c r="Y402" s="35">
        <f t="shared" si="411"/>
        <v>29</v>
      </c>
      <c r="Z402" s="35">
        <f t="shared" si="411"/>
        <v>93</v>
      </c>
      <c r="AA402" s="35">
        <f t="shared" si="411"/>
        <v>153</v>
      </c>
      <c r="AB402" s="35">
        <f t="shared" si="411"/>
        <v>43</v>
      </c>
      <c r="AC402" s="35">
        <f t="shared" si="411"/>
        <v>58</v>
      </c>
      <c r="AD402" s="35">
        <f t="shared" si="411"/>
        <v>73</v>
      </c>
      <c r="AE402" s="35">
        <f t="shared" si="411"/>
        <v>71</v>
      </c>
      <c r="AF402" s="35">
        <f t="shared" si="411"/>
        <v>42</v>
      </c>
      <c r="AG402" s="35">
        <f t="shared" si="411"/>
        <v>70</v>
      </c>
      <c r="AH402" s="35">
        <f t="shared" si="411"/>
        <v>11</v>
      </c>
      <c r="AI402" s="35">
        <f t="shared" si="411"/>
        <v>27</v>
      </c>
      <c r="AJ402" s="35">
        <f t="shared" si="411"/>
        <v>103</v>
      </c>
      <c r="AK402" s="35">
        <f t="shared" si="411"/>
        <v>29</v>
      </c>
      <c r="AL402" s="35">
        <f t="shared" si="411"/>
        <v>38</v>
      </c>
      <c r="AM402" s="35">
        <f t="shared" si="411"/>
        <v>17</v>
      </c>
      <c r="AN402" s="35">
        <f t="shared" si="411"/>
        <v>42</v>
      </c>
      <c r="AO402" s="35">
        <f t="shared" si="411"/>
        <v>73</v>
      </c>
      <c r="AP402" s="35">
        <f t="shared" si="411"/>
        <v>44</v>
      </c>
    </row>
    <row r="403" spans="1:42" ht="13">
      <c r="A403" s="36">
        <v>44322</v>
      </c>
      <c r="B403" s="35">
        <v>38268</v>
      </c>
      <c r="C403" s="35">
        <v>27546</v>
      </c>
      <c r="D403" s="35">
        <v>21263</v>
      </c>
      <c r="E403" s="35">
        <v>44687</v>
      </c>
      <c r="F403" s="35">
        <v>141430</v>
      </c>
      <c r="G403" s="35">
        <v>32907</v>
      </c>
      <c r="H403" s="35">
        <v>35561</v>
      </c>
      <c r="I403" s="35">
        <v>43269</v>
      </c>
      <c r="J403" s="35">
        <v>41762</v>
      </c>
      <c r="K403" s="35">
        <v>21782</v>
      </c>
      <c r="L403" s="35">
        <v>24710</v>
      </c>
      <c r="M403" s="35">
        <v>27850</v>
      </c>
      <c r="N403" s="35">
        <v>19895</v>
      </c>
      <c r="O403" s="35">
        <v>109275</v>
      </c>
      <c r="P403" s="35">
        <v>28570</v>
      </c>
      <c r="Q403" s="35">
        <v>40357</v>
      </c>
      <c r="R403" s="35">
        <v>17322</v>
      </c>
      <c r="S403" s="35">
        <v>22898</v>
      </c>
      <c r="T403" s="35">
        <v>30520</v>
      </c>
      <c r="U403" s="35">
        <v>17775</v>
      </c>
      <c r="V403" s="35">
        <f t="shared" si="309"/>
        <v>787647</v>
      </c>
      <c r="W403" s="35">
        <f t="shared" ref="W403:AP403" si="412">B403-B402</f>
        <v>100</v>
      </c>
      <c r="X403" s="35">
        <f t="shared" si="412"/>
        <v>87</v>
      </c>
      <c r="Y403" s="35">
        <f t="shared" si="412"/>
        <v>55</v>
      </c>
      <c r="Z403" s="35">
        <f t="shared" si="412"/>
        <v>149</v>
      </c>
      <c r="AA403" s="35">
        <f t="shared" si="412"/>
        <v>184</v>
      </c>
      <c r="AB403" s="35">
        <f t="shared" si="412"/>
        <v>70</v>
      </c>
      <c r="AC403" s="35">
        <f t="shared" si="412"/>
        <v>95</v>
      </c>
      <c r="AD403" s="35">
        <f t="shared" si="412"/>
        <v>64</v>
      </c>
      <c r="AE403" s="35">
        <f t="shared" si="412"/>
        <v>93</v>
      </c>
      <c r="AF403" s="35">
        <f t="shared" si="412"/>
        <v>60</v>
      </c>
      <c r="AG403" s="35">
        <f t="shared" si="412"/>
        <v>93</v>
      </c>
      <c r="AH403" s="35">
        <f t="shared" si="412"/>
        <v>21</v>
      </c>
      <c r="AI403" s="35">
        <f t="shared" si="412"/>
        <v>48</v>
      </c>
      <c r="AJ403" s="35">
        <f t="shared" si="412"/>
        <v>247</v>
      </c>
      <c r="AK403" s="35">
        <f t="shared" si="412"/>
        <v>32</v>
      </c>
      <c r="AL403" s="35">
        <f t="shared" si="412"/>
        <v>66</v>
      </c>
      <c r="AM403" s="35">
        <f t="shared" si="412"/>
        <v>24</v>
      </c>
      <c r="AN403" s="35">
        <f t="shared" si="412"/>
        <v>35</v>
      </c>
      <c r="AO403" s="35">
        <f t="shared" si="412"/>
        <v>96</v>
      </c>
      <c r="AP403" s="35">
        <f t="shared" si="412"/>
        <v>61</v>
      </c>
    </row>
    <row r="404" spans="1:42" ht="13">
      <c r="A404" s="36">
        <v>44323</v>
      </c>
      <c r="B404" s="35">
        <v>38382</v>
      </c>
      <c r="C404" s="35">
        <v>27618</v>
      </c>
      <c r="D404" s="35">
        <v>21336</v>
      </c>
      <c r="E404" s="35">
        <v>44829</v>
      </c>
      <c r="F404" s="35">
        <v>141609</v>
      </c>
      <c r="G404" s="35">
        <v>32961</v>
      </c>
      <c r="H404" s="35">
        <v>35631</v>
      </c>
      <c r="I404" s="35">
        <v>43330</v>
      </c>
      <c r="J404" s="35">
        <v>41848</v>
      </c>
      <c r="K404" s="35">
        <v>21838</v>
      </c>
      <c r="L404" s="35">
        <v>24801</v>
      </c>
      <c r="M404" s="35">
        <v>27877</v>
      </c>
      <c r="N404" s="35">
        <v>19925</v>
      </c>
      <c r="O404" s="35">
        <v>109455</v>
      </c>
      <c r="P404" s="35">
        <v>28599</v>
      </c>
      <c r="Q404" s="35">
        <v>40428</v>
      </c>
      <c r="R404" s="35">
        <v>17356</v>
      </c>
      <c r="S404" s="35">
        <v>22955</v>
      </c>
      <c r="T404" s="35">
        <v>30585</v>
      </c>
      <c r="U404" s="35">
        <v>17825</v>
      </c>
      <c r="V404" s="35">
        <f t="shared" si="309"/>
        <v>789188</v>
      </c>
      <c r="W404" s="35">
        <f t="shared" ref="W404:AP404" si="413">B404-B403</f>
        <v>114</v>
      </c>
      <c r="X404" s="35">
        <f t="shared" si="413"/>
        <v>72</v>
      </c>
      <c r="Y404" s="35">
        <f t="shared" si="413"/>
        <v>73</v>
      </c>
      <c r="Z404" s="35">
        <f t="shared" si="413"/>
        <v>142</v>
      </c>
      <c r="AA404" s="35">
        <f t="shared" si="413"/>
        <v>179</v>
      </c>
      <c r="AB404" s="35">
        <f t="shared" si="413"/>
        <v>54</v>
      </c>
      <c r="AC404" s="35">
        <f t="shared" si="413"/>
        <v>70</v>
      </c>
      <c r="AD404" s="35">
        <f t="shared" si="413"/>
        <v>61</v>
      </c>
      <c r="AE404" s="35">
        <f t="shared" si="413"/>
        <v>86</v>
      </c>
      <c r="AF404" s="35">
        <f t="shared" si="413"/>
        <v>56</v>
      </c>
      <c r="AG404" s="35">
        <f t="shared" si="413"/>
        <v>91</v>
      </c>
      <c r="AH404" s="35">
        <f t="shared" si="413"/>
        <v>27</v>
      </c>
      <c r="AI404" s="35">
        <f t="shared" si="413"/>
        <v>30</v>
      </c>
      <c r="AJ404" s="35">
        <f t="shared" si="413"/>
        <v>180</v>
      </c>
      <c r="AK404" s="35">
        <f t="shared" si="413"/>
        <v>29</v>
      </c>
      <c r="AL404" s="35">
        <f t="shared" si="413"/>
        <v>71</v>
      </c>
      <c r="AM404" s="35">
        <f t="shared" si="413"/>
        <v>34</v>
      </c>
      <c r="AN404" s="35">
        <f t="shared" si="413"/>
        <v>57</v>
      </c>
      <c r="AO404" s="35">
        <f t="shared" si="413"/>
        <v>65</v>
      </c>
      <c r="AP404" s="35">
        <f t="shared" si="413"/>
        <v>50</v>
      </c>
    </row>
    <row r="405" spans="1:42" ht="13">
      <c r="A405" s="36">
        <v>44324</v>
      </c>
      <c r="B405" s="35">
        <v>38469</v>
      </c>
      <c r="C405" s="35">
        <v>27678</v>
      </c>
      <c r="D405" s="35">
        <v>21369</v>
      </c>
      <c r="E405" s="35">
        <v>44936</v>
      </c>
      <c r="F405" s="35">
        <v>141811</v>
      </c>
      <c r="G405" s="35">
        <v>33010</v>
      </c>
      <c r="H405" s="35">
        <v>35672</v>
      </c>
      <c r="I405" s="35">
        <v>43434</v>
      </c>
      <c r="J405" s="35">
        <v>41898</v>
      </c>
      <c r="K405" s="35">
        <v>21881</v>
      </c>
      <c r="L405" s="35">
        <v>24886</v>
      </c>
      <c r="M405" s="35">
        <v>27912</v>
      </c>
      <c r="N405" s="35">
        <v>19956</v>
      </c>
      <c r="O405" s="35">
        <v>109630</v>
      </c>
      <c r="P405" s="35">
        <v>28628</v>
      </c>
      <c r="Q405" s="35">
        <v>40480</v>
      </c>
      <c r="R405" s="35">
        <v>17384</v>
      </c>
      <c r="S405" s="35">
        <v>22996</v>
      </c>
      <c r="T405" s="35">
        <v>30653</v>
      </c>
      <c r="U405" s="35">
        <v>17881</v>
      </c>
      <c r="V405" s="35">
        <f t="shared" si="309"/>
        <v>790564</v>
      </c>
      <c r="W405" s="35">
        <f t="shared" ref="W405:AP405" si="414">B405-B404</f>
        <v>87</v>
      </c>
      <c r="X405" s="35">
        <f t="shared" si="414"/>
        <v>60</v>
      </c>
      <c r="Y405" s="35">
        <f t="shared" si="414"/>
        <v>33</v>
      </c>
      <c r="Z405" s="35">
        <f t="shared" si="414"/>
        <v>107</v>
      </c>
      <c r="AA405" s="35">
        <f t="shared" si="414"/>
        <v>202</v>
      </c>
      <c r="AB405" s="35">
        <f t="shared" si="414"/>
        <v>49</v>
      </c>
      <c r="AC405" s="35">
        <f t="shared" si="414"/>
        <v>41</v>
      </c>
      <c r="AD405" s="35">
        <f t="shared" si="414"/>
        <v>104</v>
      </c>
      <c r="AE405" s="35">
        <f t="shared" si="414"/>
        <v>50</v>
      </c>
      <c r="AF405" s="35">
        <f t="shared" si="414"/>
        <v>43</v>
      </c>
      <c r="AG405" s="35">
        <f t="shared" si="414"/>
        <v>85</v>
      </c>
      <c r="AH405" s="35">
        <f t="shared" si="414"/>
        <v>35</v>
      </c>
      <c r="AI405" s="35">
        <f t="shared" si="414"/>
        <v>31</v>
      </c>
      <c r="AJ405" s="35">
        <f t="shared" si="414"/>
        <v>175</v>
      </c>
      <c r="AK405" s="35">
        <f t="shared" si="414"/>
        <v>29</v>
      </c>
      <c r="AL405" s="35">
        <f t="shared" si="414"/>
        <v>52</v>
      </c>
      <c r="AM405" s="35">
        <f t="shared" si="414"/>
        <v>28</v>
      </c>
      <c r="AN405" s="35">
        <f t="shared" si="414"/>
        <v>41</v>
      </c>
      <c r="AO405" s="35">
        <f t="shared" si="414"/>
        <v>68</v>
      </c>
      <c r="AP405" s="35">
        <f t="shared" si="414"/>
        <v>56</v>
      </c>
    </row>
    <row r="406" spans="1:42" ht="13">
      <c r="A406" s="36">
        <v>44325</v>
      </c>
      <c r="B406" s="35">
        <v>38515</v>
      </c>
      <c r="C406" s="35">
        <v>27719</v>
      </c>
      <c r="D406" s="35">
        <v>21397</v>
      </c>
      <c r="E406" s="35">
        <v>45063</v>
      </c>
      <c r="F406" s="35">
        <v>141938</v>
      </c>
      <c r="G406" s="35">
        <v>33031</v>
      </c>
      <c r="H406" s="35">
        <v>35720</v>
      </c>
      <c r="I406" s="35">
        <v>43581</v>
      </c>
      <c r="J406" s="35">
        <v>41941</v>
      </c>
      <c r="K406" s="35">
        <v>21925</v>
      </c>
      <c r="L406" s="35">
        <v>24950</v>
      </c>
      <c r="M406" s="35">
        <v>27945</v>
      </c>
      <c r="N406" s="35">
        <v>19976</v>
      </c>
      <c r="O406" s="35">
        <v>109761</v>
      </c>
      <c r="P406" s="35">
        <v>28648</v>
      </c>
      <c r="Q406" s="35">
        <v>40531</v>
      </c>
      <c r="R406" s="35">
        <v>17405</v>
      </c>
      <c r="S406" s="35">
        <v>23029</v>
      </c>
      <c r="T406" s="35">
        <v>30713</v>
      </c>
      <c r="U406" s="35">
        <v>17921</v>
      </c>
      <c r="V406" s="35">
        <f t="shared" si="309"/>
        <v>791709</v>
      </c>
      <c r="W406" s="35">
        <f t="shared" ref="W406:AP406" si="415">B406-B405</f>
        <v>46</v>
      </c>
      <c r="X406" s="35">
        <f t="shared" si="415"/>
        <v>41</v>
      </c>
      <c r="Y406" s="35">
        <f t="shared" si="415"/>
        <v>28</v>
      </c>
      <c r="Z406" s="35">
        <f t="shared" si="415"/>
        <v>127</v>
      </c>
      <c r="AA406" s="35">
        <f t="shared" si="415"/>
        <v>127</v>
      </c>
      <c r="AB406" s="35">
        <f t="shared" si="415"/>
        <v>21</v>
      </c>
      <c r="AC406" s="35">
        <f t="shared" si="415"/>
        <v>48</v>
      </c>
      <c r="AD406" s="35">
        <f t="shared" si="415"/>
        <v>147</v>
      </c>
      <c r="AE406" s="35">
        <f t="shared" si="415"/>
        <v>43</v>
      </c>
      <c r="AF406" s="35">
        <f t="shared" si="415"/>
        <v>44</v>
      </c>
      <c r="AG406" s="35">
        <f t="shared" si="415"/>
        <v>64</v>
      </c>
      <c r="AH406" s="35">
        <f t="shared" si="415"/>
        <v>33</v>
      </c>
      <c r="AI406" s="35">
        <f t="shared" si="415"/>
        <v>20</v>
      </c>
      <c r="AJ406" s="35">
        <f t="shared" si="415"/>
        <v>131</v>
      </c>
      <c r="AK406" s="35">
        <f t="shared" si="415"/>
        <v>20</v>
      </c>
      <c r="AL406" s="35">
        <f t="shared" si="415"/>
        <v>51</v>
      </c>
      <c r="AM406" s="35">
        <f t="shared" si="415"/>
        <v>21</v>
      </c>
      <c r="AN406" s="35">
        <f t="shared" si="415"/>
        <v>33</v>
      </c>
      <c r="AO406" s="35">
        <f t="shared" si="415"/>
        <v>60</v>
      </c>
      <c r="AP406" s="35">
        <f t="shared" si="415"/>
        <v>40</v>
      </c>
    </row>
    <row r="407" spans="1:42" ht="13">
      <c r="A407" s="36">
        <v>44326</v>
      </c>
      <c r="B407" s="35">
        <v>38550</v>
      </c>
      <c r="C407" s="35">
        <v>27737</v>
      </c>
      <c r="D407" s="35">
        <v>21433</v>
      </c>
      <c r="E407" s="35">
        <v>45134</v>
      </c>
      <c r="F407" s="35">
        <v>142001</v>
      </c>
      <c r="G407" s="35">
        <v>33058</v>
      </c>
      <c r="H407" s="35">
        <v>35750</v>
      </c>
      <c r="I407" s="35">
        <v>43634</v>
      </c>
      <c r="J407" s="35">
        <v>41962</v>
      </c>
      <c r="K407" s="35">
        <v>21941</v>
      </c>
      <c r="L407" s="35">
        <v>24990</v>
      </c>
      <c r="M407" s="35">
        <v>27965</v>
      </c>
      <c r="N407" s="35">
        <v>19994</v>
      </c>
      <c r="O407" s="35">
        <v>109834</v>
      </c>
      <c r="P407" s="35">
        <v>28669</v>
      </c>
      <c r="Q407" s="35">
        <v>40563</v>
      </c>
      <c r="R407" s="35">
        <v>17417</v>
      </c>
      <c r="S407" s="35">
        <v>23052</v>
      </c>
      <c r="T407" s="35">
        <v>30745</v>
      </c>
      <c r="U407" s="35">
        <v>17957</v>
      </c>
      <c r="V407" s="35">
        <f t="shared" si="309"/>
        <v>792386</v>
      </c>
      <c r="W407" s="35">
        <f t="shared" ref="W407:AP407" si="416">B407-B406</f>
        <v>35</v>
      </c>
      <c r="X407" s="35">
        <f t="shared" si="416"/>
        <v>18</v>
      </c>
      <c r="Y407" s="35">
        <f t="shared" si="416"/>
        <v>36</v>
      </c>
      <c r="Z407" s="35">
        <f t="shared" si="416"/>
        <v>71</v>
      </c>
      <c r="AA407" s="35">
        <f t="shared" si="416"/>
        <v>63</v>
      </c>
      <c r="AB407" s="35">
        <f t="shared" si="416"/>
        <v>27</v>
      </c>
      <c r="AC407" s="35">
        <f t="shared" si="416"/>
        <v>30</v>
      </c>
      <c r="AD407" s="35">
        <f t="shared" si="416"/>
        <v>53</v>
      </c>
      <c r="AE407" s="35">
        <f t="shared" si="416"/>
        <v>21</v>
      </c>
      <c r="AF407" s="35">
        <f t="shared" si="416"/>
        <v>16</v>
      </c>
      <c r="AG407" s="35">
        <f t="shared" si="416"/>
        <v>40</v>
      </c>
      <c r="AH407" s="35">
        <f t="shared" si="416"/>
        <v>20</v>
      </c>
      <c r="AI407" s="35">
        <f t="shared" si="416"/>
        <v>18</v>
      </c>
      <c r="AJ407" s="35">
        <f t="shared" si="416"/>
        <v>73</v>
      </c>
      <c r="AK407" s="35">
        <f t="shared" si="416"/>
        <v>21</v>
      </c>
      <c r="AL407" s="35">
        <f t="shared" si="416"/>
        <v>32</v>
      </c>
      <c r="AM407" s="35">
        <f t="shared" si="416"/>
        <v>12</v>
      </c>
      <c r="AN407" s="35">
        <f t="shared" si="416"/>
        <v>23</v>
      </c>
      <c r="AO407" s="35">
        <f t="shared" si="416"/>
        <v>32</v>
      </c>
      <c r="AP407" s="35">
        <f t="shared" si="416"/>
        <v>36</v>
      </c>
    </row>
    <row r="408" spans="1:42" ht="13">
      <c r="A408" s="36">
        <v>44327</v>
      </c>
      <c r="B408" s="35">
        <v>38573</v>
      </c>
      <c r="C408" s="35">
        <v>27753</v>
      </c>
      <c r="D408" s="35">
        <v>21455</v>
      </c>
      <c r="E408" s="35">
        <v>45154</v>
      </c>
      <c r="F408" s="35">
        <v>142054</v>
      </c>
      <c r="G408" s="35">
        <v>33093</v>
      </c>
      <c r="H408" s="35">
        <v>35770</v>
      </c>
      <c r="I408" s="35">
        <v>43651</v>
      </c>
      <c r="J408" s="35">
        <v>41974</v>
      </c>
      <c r="K408" s="35">
        <v>21952</v>
      </c>
      <c r="L408" s="35">
        <v>25029</v>
      </c>
      <c r="M408" s="35">
        <v>27987</v>
      </c>
      <c r="N408" s="35">
        <v>20001</v>
      </c>
      <c r="O408" s="35">
        <v>109930</v>
      </c>
      <c r="P408" s="35">
        <v>28679</v>
      </c>
      <c r="Q408" s="35">
        <v>40580</v>
      </c>
      <c r="R408" s="35">
        <v>17430</v>
      </c>
      <c r="S408" s="35">
        <v>23060</v>
      </c>
      <c r="T408" s="35">
        <v>30776</v>
      </c>
      <c r="U408" s="35">
        <v>17978</v>
      </c>
      <c r="V408" s="35">
        <f t="shared" si="309"/>
        <v>792879</v>
      </c>
      <c r="W408" s="35">
        <f t="shared" ref="W408:AP408" si="417">B408-B407</f>
        <v>23</v>
      </c>
      <c r="X408" s="35">
        <f t="shared" si="417"/>
        <v>16</v>
      </c>
      <c r="Y408" s="35">
        <f t="shared" si="417"/>
        <v>22</v>
      </c>
      <c r="Z408" s="35">
        <f t="shared" si="417"/>
        <v>20</v>
      </c>
      <c r="AA408" s="35">
        <f t="shared" si="417"/>
        <v>53</v>
      </c>
      <c r="AB408" s="35">
        <f t="shared" si="417"/>
        <v>35</v>
      </c>
      <c r="AC408" s="35">
        <f t="shared" si="417"/>
        <v>20</v>
      </c>
      <c r="AD408" s="35">
        <f t="shared" si="417"/>
        <v>17</v>
      </c>
      <c r="AE408" s="35">
        <f t="shared" si="417"/>
        <v>12</v>
      </c>
      <c r="AF408" s="35">
        <f t="shared" si="417"/>
        <v>11</v>
      </c>
      <c r="AG408" s="35">
        <f t="shared" si="417"/>
        <v>39</v>
      </c>
      <c r="AH408" s="35">
        <f t="shared" si="417"/>
        <v>22</v>
      </c>
      <c r="AI408" s="35">
        <f t="shared" si="417"/>
        <v>7</v>
      </c>
      <c r="AJ408" s="35">
        <f t="shared" si="417"/>
        <v>96</v>
      </c>
      <c r="AK408" s="35">
        <f t="shared" si="417"/>
        <v>10</v>
      </c>
      <c r="AL408" s="35">
        <f t="shared" si="417"/>
        <v>17</v>
      </c>
      <c r="AM408" s="35">
        <f t="shared" si="417"/>
        <v>13</v>
      </c>
      <c r="AN408" s="35">
        <f t="shared" si="417"/>
        <v>8</v>
      </c>
      <c r="AO408" s="35">
        <f t="shared" si="417"/>
        <v>31</v>
      </c>
      <c r="AP408" s="35">
        <f t="shared" si="417"/>
        <v>21</v>
      </c>
    </row>
    <row r="409" spans="1:42" ht="13">
      <c r="A409" s="36">
        <v>44328</v>
      </c>
      <c r="B409" s="35">
        <v>38610</v>
      </c>
      <c r="C409" s="35">
        <v>27798</v>
      </c>
      <c r="D409" s="35">
        <v>21475</v>
      </c>
      <c r="E409" s="35">
        <v>45244</v>
      </c>
      <c r="F409" s="35">
        <v>142188</v>
      </c>
      <c r="G409" s="35">
        <v>33123</v>
      </c>
      <c r="H409" s="35">
        <v>35811</v>
      </c>
      <c r="I409" s="35">
        <v>43698</v>
      </c>
      <c r="J409" s="35">
        <v>42012</v>
      </c>
      <c r="K409" s="35">
        <v>21991</v>
      </c>
      <c r="L409" s="35">
        <v>25066</v>
      </c>
      <c r="M409" s="35">
        <v>28032</v>
      </c>
      <c r="N409" s="35">
        <v>20029</v>
      </c>
      <c r="O409" s="35">
        <v>110046</v>
      </c>
      <c r="P409" s="35">
        <v>28704</v>
      </c>
      <c r="Q409" s="35">
        <v>40597</v>
      </c>
      <c r="R409" s="35">
        <v>17455</v>
      </c>
      <c r="S409" s="35">
        <v>23079</v>
      </c>
      <c r="T409" s="35">
        <v>30833</v>
      </c>
      <c r="U409" s="35">
        <v>17993</v>
      </c>
      <c r="V409" s="35">
        <f t="shared" si="309"/>
        <v>793784</v>
      </c>
      <c r="W409" s="35">
        <f t="shared" ref="W409:AP409" si="418">B409-B408</f>
        <v>37</v>
      </c>
      <c r="X409" s="35">
        <f t="shared" si="418"/>
        <v>45</v>
      </c>
      <c r="Y409" s="35">
        <f t="shared" si="418"/>
        <v>20</v>
      </c>
      <c r="Z409" s="35">
        <f t="shared" si="418"/>
        <v>90</v>
      </c>
      <c r="AA409" s="35">
        <f t="shared" si="418"/>
        <v>134</v>
      </c>
      <c r="AB409" s="35">
        <f t="shared" si="418"/>
        <v>30</v>
      </c>
      <c r="AC409" s="35">
        <f t="shared" si="418"/>
        <v>41</v>
      </c>
      <c r="AD409" s="35">
        <f t="shared" si="418"/>
        <v>47</v>
      </c>
      <c r="AE409" s="35">
        <f t="shared" si="418"/>
        <v>38</v>
      </c>
      <c r="AF409" s="35">
        <f t="shared" si="418"/>
        <v>39</v>
      </c>
      <c r="AG409" s="35">
        <f t="shared" si="418"/>
        <v>37</v>
      </c>
      <c r="AH409" s="35">
        <f t="shared" si="418"/>
        <v>45</v>
      </c>
      <c r="AI409" s="35">
        <f t="shared" si="418"/>
        <v>28</v>
      </c>
      <c r="AJ409" s="35">
        <f t="shared" si="418"/>
        <v>116</v>
      </c>
      <c r="AK409" s="35">
        <f t="shared" si="418"/>
        <v>25</v>
      </c>
      <c r="AL409" s="35">
        <f t="shared" si="418"/>
        <v>17</v>
      </c>
      <c r="AM409" s="35">
        <f t="shared" si="418"/>
        <v>25</v>
      </c>
      <c r="AN409" s="35">
        <f t="shared" si="418"/>
        <v>19</v>
      </c>
      <c r="AO409" s="35">
        <f t="shared" si="418"/>
        <v>57</v>
      </c>
      <c r="AP409" s="35">
        <f t="shared" si="418"/>
        <v>15</v>
      </c>
    </row>
    <row r="410" spans="1:42" ht="13">
      <c r="A410" s="36">
        <v>44329</v>
      </c>
      <c r="B410" s="35">
        <v>38674</v>
      </c>
      <c r="C410" s="35">
        <v>27887</v>
      </c>
      <c r="D410" s="35">
        <v>21514</v>
      </c>
      <c r="E410" s="35">
        <v>45375</v>
      </c>
      <c r="F410" s="35">
        <v>142365</v>
      </c>
      <c r="G410" s="35">
        <v>33199</v>
      </c>
      <c r="H410" s="35">
        <v>35865</v>
      </c>
      <c r="I410" s="35">
        <v>43804</v>
      </c>
      <c r="J410" s="35">
        <v>42082</v>
      </c>
      <c r="K410" s="35">
        <v>22040</v>
      </c>
      <c r="L410" s="35">
        <v>25128</v>
      </c>
      <c r="M410" s="35">
        <v>28077</v>
      </c>
      <c r="N410" s="35">
        <v>20059</v>
      </c>
      <c r="O410" s="35">
        <v>110242</v>
      </c>
      <c r="P410" s="35">
        <v>28723</v>
      </c>
      <c r="Q410" s="35">
        <v>40648</v>
      </c>
      <c r="R410" s="35">
        <v>17473</v>
      </c>
      <c r="S410" s="35">
        <v>23107</v>
      </c>
      <c r="T410" s="35">
        <v>30916</v>
      </c>
      <c r="U410" s="35">
        <v>18022</v>
      </c>
      <c r="V410" s="35">
        <f t="shared" si="309"/>
        <v>795200</v>
      </c>
      <c r="W410" s="35">
        <f t="shared" ref="W410:AP410" si="419">B410-B409</f>
        <v>64</v>
      </c>
      <c r="X410" s="35">
        <f t="shared" si="419"/>
        <v>89</v>
      </c>
      <c r="Y410" s="35">
        <f t="shared" si="419"/>
        <v>39</v>
      </c>
      <c r="Z410" s="35">
        <f t="shared" si="419"/>
        <v>131</v>
      </c>
      <c r="AA410" s="35">
        <f t="shared" si="419"/>
        <v>177</v>
      </c>
      <c r="AB410" s="35">
        <f t="shared" si="419"/>
        <v>76</v>
      </c>
      <c r="AC410" s="35">
        <f t="shared" si="419"/>
        <v>54</v>
      </c>
      <c r="AD410" s="35">
        <f t="shared" si="419"/>
        <v>106</v>
      </c>
      <c r="AE410" s="35">
        <f t="shared" si="419"/>
        <v>70</v>
      </c>
      <c r="AF410" s="35">
        <f t="shared" si="419"/>
        <v>49</v>
      </c>
      <c r="AG410" s="35">
        <f t="shared" si="419"/>
        <v>62</v>
      </c>
      <c r="AH410" s="35">
        <f t="shared" si="419"/>
        <v>45</v>
      </c>
      <c r="AI410" s="35">
        <f t="shared" si="419"/>
        <v>30</v>
      </c>
      <c r="AJ410" s="35">
        <f t="shared" si="419"/>
        <v>196</v>
      </c>
      <c r="AK410" s="35">
        <f t="shared" si="419"/>
        <v>19</v>
      </c>
      <c r="AL410" s="35">
        <f t="shared" si="419"/>
        <v>51</v>
      </c>
      <c r="AM410" s="35">
        <f t="shared" si="419"/>
        <v>18</v>
      </c>
      <c r="AN410" s="35">
        <f t="shared" si="419"/>
        <v>28</v>
      </c>
      <c r="AO410" s="35">
        <f t="shared" si="419"/>
        <v>83</v>
      </c>
      <c r="AP410" s="35">
        <f t="shared" si="419"/>
        <v>29</v>
      </c>
    </row>
    <row r="411" spans="1:42" ht="13">
      <c r="A411" s="36">
        <v>44330</v>
      </c>
      <c r="B411" s="35">
        <v>38716</v>
      </c>
      <c r="C411" s="35">
        <v>27968</v>
      </c>
      <c r="D411" s="35">
        <v>21545</v>
      </c>
      <c r="E411" s="35">
        <v>45501</v>
      </c>
      <c r="F411" s="35">
        <v>142503</v>
      </c>
      <c r="G411" s="35">
        <v>33222</v>
      </c>
      <c r="H411" s="35">
        <v>35898</v>
      </c>
      <c r="I411" s="35">
        <v>43905</v>
      </c>
      <c r="J411" s="35">
        <v>42120</v>
      </c>
      <c r="K411" s="35">
        <v>22090</v>
      </c>
      <c r="L411" s="35">
        <v>25198</v>
      </c>
      <c r="M411" s="35">
        <v>28116</v>
      </c>
      <c r="N411" s="35">
        <v>20077</v>
      </c>
      <c r="O411" s="35">
        <v>110400</v>
      </c>
      <c r="P411" s="35">
        <v>28735</v>
      </c>
      <c r="Q411" s="35">
        <v>40707</v>
      </c>
      <c r="R411" s="35">
        <v>17506</v>
      </c>
      <c r="S411" s="35">
        <v>23147</v>
      </c>
      <c r="T411" s="35">
        <v>30981</v>
      </c>
      <c r="U411" s="35">
        <v>18055</v>
      </c>
      <c r="V411" s="35">
        <f t="shared" si="309"/>
        <v>796390</v>
      </c>
      <c r="W411" s="35">
        <f t="shared" ref="W411:AP411" si="420">B411-B410</f>
        <v>42</v>
      </c>
      <c r="X411" s="35">
        <f t="shared" si="420"/>
        <v>81</v>
      </c>
      <c r="Y411" s="35">
        <f t="shared" si="420"/>
        <v>31</v>
      </c>
      <c r="Z411" s="35">
        <f t="shared" si="420"/>
        <v>126</v>
      </c>
      <c r="AA411" s="35">
        <f t="shared" si="420"/>
        <v>138</v>
      </c>
      <c r="AB411" s="35">
        <f t="shared" si="420"/>
        <v>23</v>
      </c>
      <c r="AC411" s="35">
        <f t="shared" si="420"/>
        <v>33</v>
      </c>
      <c r="AD411" s="35">
        <f t="shared" si="420"/>
        <v>101</v>
      </c>
      <c r="AE411" s="35">
        <f t="shared" si="420"/>
        <v>38</v>
      </c>
      <c r="AF411" s="35">
        <f t="shared" si="420"/>
        <v>50</v>
      </c>
      <c r="AG411" s="35">
        <f t="shared" si="420"/>
        <v>70</v>
      </c>
      <c r="AH411" s="35">
        <f t="shared" si="420"/>
        <v>39</v>
      </c>
      <c r="AI411" s="35">
        <f t="shared" si="420"/>
        <v>18</v>
      </c>
      <c r="AJ411" s="35">
        <f t="shared" si="420"/>
        <v>158</v>
      </c>
      <c r="AK411" s="35">
        <f t="shared" si="420"/>
        <v>12</v>
      </c>
      <c r="AL411" s="35">
        <f t="shared" si="420"/>
        <v>59</v>
      </c>
      <c r="AM411" s="35">
        <f t="shared" si="420"/>
        <v>33</v>
      </c>
      <c r="AN411" s="35">
        <f t="shared" si="420"/>
        <v>40</v>
      </c>
      <c r="AO411" s="35">
        <f t="shared" si="420"/>
        <v>65</v>
      </c>
      <c r="AP411" s="35">
        <f t="shared" si="420"/>
        <v>33</v>
      </c>
    </row>
    <row r="412" spans="1:42" ht="13">
      <c r="A412" s="36">
        <v>44331</v>
      </c>
      <c r="B412" s="35">
        <v>38756</v>
      </c>
      <c r="C412" s="35">
        <v>28035</v>
      </c>
      <c r="D412" s="35">
        <v>21571</v>
      </c>
      <c r="E412" s="35">
        <v>45596</v>
      </c>
      <c r="F412" s="35">
        <v>142690</v>
      </c>
      <c r="G412" s="35">
        <v>33251</v>
      </c>
      <c r="H412" s="35">
        <v>35942</v>
      </c>
      <c r="I412" s="35">
        <v>43949</v>
      </c>
      <c r="J412" s="35">
        <v>42159</v>
      </c>
      <c r="K412" s="35">
        <v>22114</v>
      </c>
      <c r="L412" s="35">
        <v>25237</v>
      </c>
      <c r="M412" s="35">
        <v>28155</v>
      </c>
      <c r="N412" s="35">
        <v>20091</v>
      </c>
      <c r="O412" s="35">
        <v>110565</v>
      </c>
      <c r="P412" s="35">
        <v>28756</v>
      </c>
      <c r="Q412" s="35">
        <v>40739</v>
      </c>
      <c r="R412" s="35">
        <v>17530</v>
      </c>
      <c r="S412" s="35">
        <v>23172</v>
      </c>
      <c r="T412" s="35">
        <v>31045</v>
      </c>
      <c r="U412" s="35">
        <v>18076</v>
      </c>
      <c r="V412" s="35">
        <f t="shared" si="309"/>
        <v>797429</v>
      </c>
      <c r="W412" s="35">
        <f t="shared" ref="W412:AP412" si="421">B412-B411</f>
        <v>40</v>
      </c>
      <c r="X412" s="35">
        <f t="shared" si="421"/>
        <v>67</v>
      </c>
      <c r="Y412" s="35">
        <f t="shared" si="421"/>
        <v>26</v>
      </c>
      <c r="Z412" s="35">
        <f t="shared" si="421"/>
        <v>95</v>
      </c>
      <c r="AA412" s="35">
        <f t="shared" si="421"/>
        <v>187</v>
      </c>
      <c r="AB412" s="35">
        <f t="shared" si="421"/>
        <v>29</v>
      </c>
      <c r="AC412" s="35">
        <f t="shared" si="421"/>
        <v>44</v>
      </c>
      <c r="AD412" s="35">
        <f t="shared" si="421"/>
        <v>44</v>
      </c>
      <c r="AE412" s="35">
        <f t="shared" si="421"/>
        <v>39</v>
      </c>
      <c r="AF412" s="35">
        <f t="shared" si="421"/>
        <v>24</v>
      </c>
      <c r="AG412" s="35">
        <f t="shared" si="421"/>
        <v>39</v>
      </c>
      <c r="AH412" s="35">
        <f t="shared" si="421"/>
        <v>39</v>
      </c>
      <c r="AI412" s="35">
        <f t="shared" si="421"/>
        <v>14</v>
      </c>
      <c r="AJ412" s="35">
        <f t="shared" si="421"/>
        <v>165</v>
      </c>
      <c r="AK412" s="35">
        <f t="shared" si="421"/>
        <v>21</v>
      </c>
      <c r="AL412" s="35">
        <f t="shared" si="421"/>
        <v>32</v>
      </c>
      <c r="AM412" s="35">
        <f t="shared" si="421"/>
        <v>24</v>
      </c>
      <c r="AN412" s="35">
        <f t="shared" si="421"/>
        <v>25</v>
      </c>
      <c r="AO412" s="35">
        <f t="shared" si="421"/>
        <v>64</v>
      </c>
      <c r="AP412" s="35">
        <f t="shared" si="421"/>
        <v>21</v>
      </c>
    </row>
    <row r="413" spans="1:42" ht="13">
      <c r="A413" s="36">
        <v>44332</v>
      </c>
      <c r="B413" s="35">
        <v>38785</v>
      </c>
      <c r="C413" s="35">
        <v>28075</v>
      </c>
      <c r="D413" s="35">
        <v>21595</v>
      </c>
      <c r="E413" s="35">
        <v>45668</v>
      </c>
      <c r="F413" s="35">
        <v>142774</v>
      </c>
      <c r="G413" s="35">
        <v>33274</v>
      </c>
      <c r="H413" s="35">
        <v>35955</v>
      </c>
      <c r="I413" s="35">
        <v>43981</v>
      </c>
      <c r="J413" s="35">
        <v>42192</v>
      </c>
      <c r="K413" s="35">
        <v>22138</v>
      </c>
      <c r="L413" s="35">
        <v>25289</v>
      </c>
      <c r="M413" s="35">
        <v>28167</v>
      </c>
      <c r="N413" s="35">
        <v>20117</v>
      </c>
      <c r="O413" s="35">
        <v>110656</v>
      </c>
      <c r="P413" s="35">
        <v>28782</v>
      </c>
      <c r="Q413" s="35">
        <v>40777</v>
      </c>
      <c r="R413" s="35">
        <v>17545</v>
      </c>
      <c r="S413" s="35">
        <v>23199</v>
      </c>
      <c r="T413" s="35">
        <v>31085</v>
      </c>
      <c r="U413" s="35">
        <v>18093</v>
      </c>
      <c r="V413" s="35">
        <f t="shared" si="309"/>
        <v>798147</v>
      </c>
      <c r="W413" s="35">
        <f t="shared" ref="W413:AP413" si="422">B413-B412</f>
        <v>29</v>
      </c>
      <c r="X413" s="35">
        <f t="shared" si="422"/>
        <v>40</v>
      </c>
      <c r="Y413" s="35">
        <f t="shared" si="422"/>
        <v>24</v>
      </c>
      <c r="Z413" s="35">
        <f t="shared" si="422"/>
        <v>72</v>
      </c>
      <c r="AA413" s="35">
        <f t="shared" si="422"/>
        <v>84</v>
      </c>
      <c r="AB413" s="35">
        <f t="shared" si="422"/>
        <v>23</v>
      </c>
      <c r="AC413" s="35">
        <f t="shared" si="422"/>
        <v>13</v>
      </c>
      <c r="AD413" s="35">
        <f t="shared" si="422"/>
        <v>32</v>
      </c>
      <c r="AE413" s="35">
        <f t="shared" si="422"/>
        <v>33</v>
      </c>
      <c r="AF413" s="35">
        <f t="shared" si="422"/>
        <v>24</v>
      </c>
      <c r="AG413" s="35">
        <f t="shared" si="422"/>
        <v>52</v>
      </c>
      <c r="AH413" s="35">
        <f t="shared" si="422"/>
        <v>12</v>
      </c>
      <c r="AI413" s="35">
        <f t="shared" si="422"/>
        <v>26</v>
      </c>
      <c r="AJ413" s="35">
        <f t="shared" si="422"/>
        <v>91</v>
      </c>
      <c r="AK413" s="35">
        <f t="shared" si="422"/>
        <v>26</v>
      </c>
      <c r="AL413" s="35">
        <f t="shared" si="422"/>
        <v>38</v>
      </c>
      <c r="AM413" s="35">
        <f t="shared" si="422"/>
        <v>15</v>
      </c>
      <c r="AN413" s="35">
        <f t="shared" si="422"/>
        <v>27</v>
      </c>
      <c r="AO413" s="35">
        <f t="shared" si="422"/>
        <v>40</v>
      </c>
      <c r="AP413" s="35">
        <f t="shared" si="422"/>
        <v>17</v>
      </c>
    </row>
    <row r="414" spans="1:42" ht="13">
      <c r="A414" s="36">
        <v>44333</v>
      </c>
      <c r="B414" s="35">
        <v>38804</v>
      </c>
      <c r="C414" s="35">
        <v>28095</v>
      </c>
      <c r="D414" s="35">
        <v>21610</v>
      </c>
      <c r="E414" s="35">
        <v>45708</v>
      </c>
      <c r="F414" s="35">
        <v>142816</v>
      </c>
      <c r="G414" s="35">
        <v>33294</v>
      </c>
      <c r="H414" s="35">
        <v>35971</v>
      </c>
      <c r="I414" s="35">
        <v>43998</v>
      </c>
      <c r="J414" s="35">
        <v>42213</v>
      </c>
      <c r="K414" s="35">
        <v>22148</v>
      </c>
      <c r="L414" s="35">
        <v>25348</v>
      </c>
      <c r="M414" s="35">
        <v>28174</v>
      </c>
      <c r="N414" s="35">
        <v>20117</v>
      </c>
      <c r="O414" s="35">
        <v>110699</v>
      </c>
      <c r="P414" s="35">
        <v>28793</v>
      </c>
      <c r="Q414" s="35">
        <v>40808</v>
      </c>
      <c r="R414" s="35">
        <v>17552</v>
      </c>
      <c r="S414" s="35">
        <v>23213</v>
      </c>
      <c r="T414" s="35">
        <v>31101</v>
      </c>
      <c r="U414" s="35">
        <v>18111</v>
      </c>
      <c r="V414" s="35">
        <f t="shared" si="309"/>
        <v>798573</v>
      </c>
      <c r="W414" s="35">
        <f t="shared" ref="W414:AP414" si="423">B414-B413</f>
        <v>19</v>
      </c>
      <c r="X414" s="35">
        <f t="shared" si="423"/>
        <v>20</v>
      </c>
      <c r="Y414" s="35">
        <f t="shared" si="423"/>
        <v>15</v>
      </c>
      <c r="Z414" s="35">
        <f t="shared" si="423"/>
        <v>40</v>
      </c>
      <c r="AA414" s="35">
        <f t="shared" si="423"/>
        <v>42</v>
      </c>
      <c r="AB414" s="35">
        <f t="shared" si="423"/>
        <v>20</v>
      </c>
      <c r="AC414" s="35">
        <f t="shared" si="423"/>
        <v>16</v>
      </c>
      <c r="AD414" s="35">
        <f t="shared" si="423"/>
        <v>17</v>
      </c>
      <c r="AE414" s="35">
        <f t="shared" si="423"/>
        <v>21</v>
      </c>
      <c r="AF414" s="35">
        <f t="shared" si="423"/>
        <v>10</v>
      </c>
      <c r="AG414" s="35">
        <f t="shared" si="423"/>
        <v>59</v>
      </c>
      <c r="AH414" s="35">
        <f t="shared" si="423"/>
        <v>7</v>
      </c>
      <c r="AI414" s="35">
        <f t="shared" si="423"/>
        <v>0</v>
      </c>
      <c r="AJ414" s="35">
        <f t="shared" si="423"/>
        <v>43</v>
      </c>
      <c r="AK414" s="35">
        <f t="shared" si="423"/>
        <v>11</v>
      </c>
      <c r="AL414" s="35">
        <f t="shared" si="423"/>
        <v>31</v>
      </c>
      <c r="AM414" s="35">
        <f t="shared" si="423"/>
        <v>7</v>
      </c>
      <c r="AN414" s="35">
        <f t="shared" si="423"/>
        <v>14</v>
      </c>
      <c r="AO414" s="35">
        <f t="shared" si="423"/>
        <v>16</v>
      </c>
      <c r="AP414" s="35">
        <f t="shared" si="423"/>
        <v>18</v>
      </c>
    </row>
    <row r="415" spans="1:42" ht="13">
      <c r="A415" s="36">
        <v>44334</v>
      </c>
      <c r="B415" s="35">
        <v>38813</v>
      </c>
      <c r="C415" s="35">
        <v>28114</v>
      </c>
      <c r="D415" s="35">
        <v>21622</v>
      </c>
      <c r="E415" s="35">
        <v>45731</v>
      </c>
      <c r="F415" s="35">
        <v>142872</v>
      </c>
      <c r="G415" s="35">
        <v>33300</v>
      </c>
      <c r="H415" s="35">
        <v>35981</v>
      </c>
      <c r="I415" s="35">
        <v>44016</v>
      </c>
      <c r="J415" s="35">
        <v>42230</v>
      </c>
      <c r="K415" s="35">
        <v>22173</v>
      </c>
      <c r="L415" s="35">
        <v>25365</v>
      </c>
      <c r="M415" s="35">
        <v>28192</v>
      </c>
      <c r="N415" s="35">
        <v>20122</v>
      </c>
      <c r="O415" s="35">
        <v>110760</v>
      </c>
      <c r="P415" s="35">
        <v>28799</v>
      </c>
      <c r="Q415" s="35">
        <v>40823</v>
      </c>
      <c r="R415" s="35">
        <v>17565</v>
      </c>
      <c r="S415" s="35">
        <v>23226</v>
      </c>
      <c r="T415" s="35">
        <v>31122</v>
      </c>
      <c r="U415" s="35">
        <v>18129</v>
      </c>
      <c r="V415" s="35">
        <f t="shared" si="309"/>
        <v>798955</v>
      </c>
      <c r="W415" s="35">
        <f t="shared" ref="W415:AP415" si="424">B415-B414</f>
        <v>9</v>
      </c>
      <c r="X415" s="35">
        <f t="shared" si="424"/>
        <v>19</v>
      </c>
      <c r="Y415" s="35">
        <f t="shared" si="424"/>
        <v>12</v>
      </c>
      <c r="Z415" s="35">
        <f t="shared" si="424"/>
        <v>23</v>
      </c>
      <c r="AA415" s="35">
        <f t="shared" si="424"/>
        <v>56</v>
      </c>
      <c r="AB415" s="35">
        <f t="shared" si="424"/>
        <v>6</v>
      </c>
      <c r="AC415" s="35">
        <f t="shared" si="424"/>
        <v>10</v>
      </c>
      <c r="AD415" s="35">
        <f t="shared" si="424"/>
        <v>18</v>
      </c>
      <c r="AE415" s="35">
        <f t="shared" si="424"/>
        <v>17</v>
      </c>
      <c r="AF415" s="35">
        <f t="shared" si="424"/>
        <v>25</v>
      </c>
      <c r="AG415" s="35">
        <f t="shared" si="424"/>
        <v>17</v>
      </c>
      <c r="AH415" s="35">
        <f t="shared" si="424"/>
        <v>18</v>
      </c>
      <c r="AI415" s="35">
        <f t="shared" si="424"/>
        <v>5</v>
      </c>
      <c r="AJ415" s="35">
        <f t="shared" si="424"/>
        <v>61</v>
      </c>
      <c r="AK415" s="35">
        <f t="shared" si="424"/>
        <v>6</v>
      </c>
      <c r="AL415" s="35">
        <f t="shared" si="424"/>
        <v>15</v>
      </c>
      <c r="AM415" s="35">
        <f t="shared" si="424"/>
        <v>13</v>
      </c>
      <c r="AN415" s="35">
        <f t="shared" si="424"/>
        <v>13</v>
      </c>
      <c r="AO415" s="35">
        <f t="shared" si="424"/>
        <v>21</v>
      </c>
      <c r="AP415" s="35">
        <f t="shared" si="424"/>
        <v>18</v>
      </c>
    </row>
    <row r="416" spans="1:42" ht="13">
      <c r="A416" s="36">
        <v>44335</v>
      </c>
      <c r="B416" s="35">
        <v>38856</v>
      </c>
      <c r="C416" s="35">
        <v>28152</v>
      </c>
      <c r="D416" s="35">
        <v>21641</v>
      </c>
      <c r="E416" s="35">
        <v>45788</v>
      </c>
      <c r="F416" s="35">
        <v>142966</v>
      </c>
      <c r="G416" s="35">
        <v>33320</v>
      </c>
      <c r="H416" s="35">
        <v>35999</v>
      </c>
      <c r="I416" s="35">
        <v>44048</v>
      </c>
      <c r="J416" s="35">
        <v>42258</v>
      </c>
      <c r="K416" s="35">
        <v>22204</v>
      </c>
      <c r="L416" s="35">
        <v>25381</v>
      </c>
      <c r="M416" s="35">
        <v>28209</v>
      </c>
      <c r="N416" s="35">
        <v>20142</v>
      </c>
      <c r="O416" s="35">
        <v>110844</v>
      </c>
      <c r="P416" s="35">
        <v>28806</v>
      </c>
      <c r="Q416" s="35">
        <v>40841</v>
      </c>
      <c r="R416" s="35">
        <v>17577</v>
      </c>
      <c r="S416" s="35">
        <v>23242</v>
      </c>
      <c r="T416" s="35">
        <v>31163</v>
      </c>
      <c r="U416" s="35">
        <v>18151</v>
      </c>
      <c r="V416" s="35">
        <f t="shared" si="309"/>
        <v>799588</v>
      </c>
      <c r="W416" s="35">
        <f t="shared" ref="W416:AP416" si="425">B416-B415</f>
        <v>43</v>
      </c>
      <c r="X416" s="35">
        <f t="shared" si="425"/>
        <v>38</v>
      </c>
      <c r="Y416" s="35">
        <f t="shared" si="425"/>
        <v>19</v>
      </c>
      <c r="Z416" s="35">
        <f t="shared" si="425"/>
        <v>57</v>
      </c>
      <c r="AA416" s="35">
        <f t="shared" si="425"/>
        <v>94</v>
      </c>
      <c r="AB416" s="35">
        <f t="shared" si="425"/>
        <v>20</v>
      </c>
      <c r="AC416" s="35">
        <f t="shared" si="425"/>
        <v>18</v>
      </c>
      <c r="AD416" s="35">
        <f t="shared" si="425"/>
        <v>32</v>
      </c>
      <c r="AE416" s="35">
        <f t="shared" si="425"/>
        <v>28</v>
      </c>
      <c r="AF416" s="35">
        <f t="shared" si="425"/>
        <v>31</v>
      </c>
      <c r="AG416" s="35">
        <f t="shared" si="425"/>
        <v>16</v>
      </c>
      <c r="AH416" s="35">
        <f t="shared" si="425"/>
        <v>17</v>
      </c>
      <c r="AI416" s="35">
        <f t="shared" si="425"/>
        <v>20</v>
      </c>
      <c r="AJ416" s="35">
        <f t="shared" si="425"/>
        <v>84</v>
      </c>
      <c r="AK416" s="35">
        <f t="shared" si="425"/>
        <v>7</v>
      </c>
      <c r="AL416" s="35">
        <f t="shared" si="425"/>
        <v>18</v>
      </c>
      <c r="AM416" s="35">
        <f t="shared" si="425"/>
        <v>12</v>
      </c>
      <c r="AN416" s="35">
        <f t="shared" si="425"/>
        <v>16</v>
      </c>
      <c r="AO416" s="35">
        <f t="shared" si="425"/>
        <v>41</v>
      </c>
      <c r="AP416" s="35">
        <f t="shared" si="425"/>
        <v>22</v>
      </c>
    </row>
    <row r="417" spans="1:42" ht="13">
      <c r="A417" s="36">
        <v>44336</v>
      </c>
      <c r="B417" s="35">
        <v>38897</v>
      </c>
      <c r="C417" s="35">
        <v>28204</v>
      </c>
      <c r="D417" s="35">
        <v>21665</v>
      </c>
      <c r="E417" s="35">
        <v>45856</v>
      </c>
      <c r="F417" s="35">
        <v>143073</v>
      </c>
      <c r="G417" s="35">
        <v>33340</v>
      </c>
      <c r="H417" s="35">
        <v>36029</v>
      </c>
      <c r="I417" s="35">
        <v>44100</v>
      </c>
      <c r="J417" s="35">
        <v>42297</v>
      </c>
      <c r="K417" s="35">
        <v>22230</v>
      </c>
      <c r="L417" s="35">
        <v>25437</v>
      </c>
      <c r="M417" s="35">
        <v>28235</v>
      </c>
      <c r="N417" s="35">
        <v>20155</v>
      </c>
      <c r="O417" s="35">
        <v>110933</v>
      </c>
      <c r="P417" s="35">
        <v>28814</v>
      </c>
      <c r="Q417" s="35">
        <v>40864</v>
      </c>
      <c r="R417" s="35">
        <v>17596</v>
      </c>
      <c r="S417" s="35">
        <v>23268</v>
      </c>
      <c r="T417" s="35">
        <v>31208</v>
      </c>
      <c r="U417" s="35">
        <v>18167</v>
      </c>
      <c r="V417" s="35">
        <f t="shared" si="309"/>
        <v>800368</v>
      </c>
      <c r="W417" s="35">
        <f t="shared" ref="W417:AP417" si="426">B417-B416</f>
        <v>41</v>
      </c>
      <c r="X417" s="35">
        <f t="shared" si="426"/>
        <v>52</v>
      </c>
      <c r="Y417" s="35">
        <f t="shared" si="426"/>
        <v>24</v>
      </c>
      <c r="Z417" s="35">
        <f t="shared" si="426"/>
        <v>68</v>
      </c>
      <c r="AA417" s="35">
        <f t="shared" si="426"/>
        <v>107</v>
      </c>
      <c r="AB417" s="35">
        <f t="shared" si="426"/>
        <v>20</v>
      </c>
      <c r="AC417" s="35">
        <f t="shared" si="426"/>
        <v>30</v>
      </c>
      <c r="AD417" s="35">
        <f t="shared" si="426"/>
        <v>52</v>
      </c>
      <c r="AE417" s="35">
        <f t="shared" si="426"/>
        <v>39</v>
      </c>
      <c r="AF417" s="35">
        <f t="shared" si="426"/>
        <v>26</v>
      </c>
      <c r="AG417" s="35">
        <f t="shared" si="426"/>
        <v>56</v>
      </c>
      <c r="AH417" s="35">
        <f t="shared" si="426"/>
        <v>26</v>
      </c>
      <c r="AI417" s="35">
        <f t="shared" si="426"/>
        <v>13</v>
      </c>
      <c r="AJ417" s="35">
        <f t="shared" si="426"/>
        <v>89</v>
      </c>
      <c r="AK417" s="35">
        <f t="shared" si="426"/>
        <v>8</v>
      </c>
      <c r="AL417" s="35">
        <f t="shared" si="426"/>
        <v>23</v>
      </c>
      <c r="AM417" s="35">
        <f t="shared" si="426"/>
        <v>19</v>
      </c>
      <c r="AN417" s="35">
        <f t="shared" si="426"/>
        <v>26</v>
      </c>
      <c r="AO417" s="35">
        <f t="shared" si="426"/>
        <v>45</v>
      </c>
      <c r="AP417" s="35">
        <f t="shared" si="426"/>
        <v>16</v>
      </c>
    </row>
    <row r="418" spans="1:42" ht="13">
      <c r="A418" s="36">
        <v>44337</v>
      </c>
      <c r="B418" s="35">
        <v>38932</v>
      </c>
      <c r="C418" s="35">
        <v>28225</v>
      </c>
      <c r="D418" s="35">
        <v>21693</v>
      </c>
      <c r="E418" s="35">
        <v>45916</v>
      </c>
      <c r="F418" s="35">
        <v>143150</v>
      </c>
      <c r="G418" s="35">
        <v>33364</v>
      </c>
      <c r="H418" s="35">
        <v>36049</v>
      </c>
      <c r="I418" s="35">
        <v>44131</v>
      </c>
      <c r="J418" s="35">
        <v>42329</v>
      </c>
      <c r="K418" s="35">
        <v>22250</v>
      </c>
      <c r="L418" s="35">
        <v>25466</v>
      </c>
      <c r="M418" s="35">
        <v>28260</v>
      </c>
      <c r="N418" s="35">
        <v>20175</v>
      </c>
      <c r="O418" s="35">
        <v>111021</v>
      </c>
      <c r="P418" s="35">
        <v>28822</v>
      </c>
      <c r="Q418" s="35">
        <v>40902</v>
      </c>
      <c r="R418" s="35">
        <v>17610</v>
      </c>
      <c r="S418" s="35">
        <v>23305</v>
      </c>
      <c r="T418" s="35">
        <v>31235</v>
      </c>
      <c r="U418" s="35">
        <v>18190</v>
      </c>
      <c r="V418" s="35">
        <f t="shared" si="309"/>
        <v>801025</v>
      </c>
      <c r="W418" s="35">
        <f t="shared" ref="W418:AP418" si="427">B418-B417</f>
        <v>35</v>
      </c>
      <c r="X418" s="35">
        <f t="shared" si="427"/>
        <v>21</v>
      </c>
      <c r="Y418" s="35">
        <f t="shared" si="427"/>
        <v>28</v>
      </c>
      <c r="Z418" s="35">
        <f t="shared" si="427"/>
        <v>60</v>
      </c>
      <c r="AA418" s="35">
        <f t="shared" si="427"/>
        <v>77</v>
      </c>
      <c r="AB418" s="35">
        <f t="shared" si="427"/>
        <v>24</v>
      </c>
      <c r="AC418" s="35">
        <f t="shared" si="427"/>
        <v>20</v>
      </c>
      <c r="AD418" s="35">
        <f t="shared" si="427"/>
        <v>31</v>
      </c>
      <c r="AE418" s="35">
        <f t="shared" si="427"/>
        <v>32</v>
      </c>
      <c r="AF418" s="35">
        <f t="shared" si="427"/>
        <v>20</v>
      </c>
      <c r="AG418" s="35">
        <f t="shared" si="427"/>
        <v>29</v>
      </c>
      <c r="AH418" s="35">
        <f t="shared" si="427"/>
        <v>25</v>
      </c>
      <c r="AI418" s="35">
        <f t="shared" si="427"/>
        <v>20</v>
      </c>
      <c r="AJ418" s="35">
        <f t="shared" si="427"/>
        <v>88</v>
      </c>
      <c r="AK418" s="35">
        <f t="shared" si="427"/>
        <v>8</v>
      </c>
      <c r="AL418" s="35">
        <f t="shared" si="427"/>
        <v>38</v>
      </c>
      <c r="AM418" s="35">
        <f t="shared" si="427"/>
        <v>14</v>
      </c>
      <c r="AN418" s="35">
        <f t="shared" si="427"/>
        <v>37</v>
      </c>
      <c r="AO418" s="35">
        <f t="shared" si="427"/>
        <v>27</v>
      </c>
      <c r="AP418" s="35">
        <f t="shared" si="427"/>
        <v>23</v>
      </c>
    </row>
    <row r="419" spans="1:42" ht="13">
      <c r="A419" s="36">
        <v>44338</v>
      </c>
      <c r="B419" s="35">
        <v>38964</v>
      </c>
      <c r="C419" s="35">
        <v>28270</v>
      </c>
      <c r="D419" s="35">
        <v>21710</v>
      </c>
      <c r="E419" s="35">
        <v>45967</v>
      </c>
      <c r="F419" s="35">
        <v>143230</v>
      </c>
      <c r="G419" s="35">
        <v>33382</v>
      </c>
      <c r="H419" s="35">
        <v>36068</v>
      </c>
      <c r="I419" s="35">
        <v>44167</v>
      </c>
      <c r="J419" s="35">
        <v>42354</v>
      </c>
      <c r="K419" s="35">
        <v>22267</v>
      </c>
      <c r="L419" s="35">
        <v>25497</v>
      </c>
      <c r="M419" s="35">
        <v>28281</v>
      </c>
      <c r="N419" s="35">
        <v>20183</v>
      </c>
      <c r="O419" s="35">
        <v>111105</v>
      </c>
      <c r="P419" s="35">
        <v>28832</v>
      </c>
      <c r="Q419" s="35">
        <v>40950</v>
      </c>
      <c r="R419" s="35">
        <v>17624</v>
      </c>
      <c r="S419" s="35">
        <v>23343</v>
      </c>
      <c r="T419" s="35">
        <v>31267</v>
      </c>
      <c r="U419" s="35">
        <v>18211</v>
      </c>
      <c r="V419" s="35">
        <f t="shared" si="309"/>
        <v>801672</v>
      </c>
      <c r="W419" s="35">
        <f t="shared" ref="W419:AP419" si="428">B419-B418</f>
        <v>32</v>
      </c>
      <c r="X419" s="35">
        <f t="shared" si="428"/>
        <v>45</v>
      </c>
      <c r="Y419" s="35">
        <f t="shared" si="428"/>
        <v>17</v>
      </c>
      <c r="Z419" s="35">
        <f t="shared" si="428"/>
        <v>51</v>
      </c>
      <c r="AA419" s="35">
        <f t="shared" si="428"/>
        <v>80</v>
      </c>
      <c r="AB419" s="35">
        <f t="shared" si="428"/>
        <v>18</v>
      </c>
      <c r="AC419" s="35">
        <f t="shared" si="428"/>
        <v>19</v>
      </c>
      <c r="AD419" s="35">
        <f t="shared" si="428"/>
        <v>36</v>
      </c>
      <c r="AE419" s="35">
        <f t="shared" si="428"/>
        <v>25</v>
      </c>
      <c r="AF419" s="35">
        <f t="shared" si="428"/>
        <v>17</v>
      </c>
      <c r="AG419" s="35">
        <f t="shared" si="428"/>
        <v>31</v>
      </c>
      <c r="AH419" s="35">
        <f t="shared" si="428"/>
        <v>21</v>
      </c>
      <c r="AI419" s="35">
        <f t="shared" si="428"/>
        <v>8</v>
      </c>
      <c r="AJ419" s="35">
        <f t="shared" si="428"/>
        <v>84</v>
      </c>
      <c r="AK419" s="35">
        <f t="shared" si="428"/>
        <v>10</v>
      </c>
      <c r="AL419" s="35">
        <f t="shared" si="428"/>
        <v>48</v>
      </c>
      <c r="AM419" s="35">
        <f t="shared" si="428"/>
        <v>14</v>
      </c>
      <c r="AN419" s="35">
        <f t="shared" si="428"/>
        <v>38</v>
      </c>
      <c r="AO419" s="35">
        <f t="shared" si="428"/>
        <v>32</v>
      </c>
      <c r="AP419" s="35">
        <f t="shared" si="428"/>
        <v>21</v>
      </c>
    </row>
    <row r="420" spans="1:42" ht="13">
      <c r="A420" s="36">
        <v>44339</v>
      </c>
      <c r="B420" s="35">
        <v>38979</v>
      </c>
      <c r="C420" s="35">
        <v>28287</v>
      </c>
      <c r="D420" s="35">
        <v>21714</v>
      </c>
      <c r="E420" s="35">
        <v>46023</v>
      </c>
      <c r="F420" s="35">
        <v>143276</v>
      </c>
      <c r="G420" s="35">
        <v>33392</v>
      </c>
      <c r="H420" s="35">
        <v>36078</v>
      </c>
      <c r="I420" s="35">
        <v>44185</v>
      </c>
      <c r="J420" s="35">
        <v>42373</v>
      </c>
      <c r="K420" s="35">
        <v>22287</v>
      </c>
      <c r="L420" s="35">
        <v>25521</v>
      </c>
      <c r="M420" s="35">
        <v>28290</v>
      </c>
      <c r="N420" s="35">
        <v>20195</v>
      </c>
      <c r="O420" s="35">
        <v>111156</v>
      </c>
      <c r="P420" s="35">
        <v>28840</v>
      </c>
      <c r="Q420" s="35">
        <v>40971</v>
      </c>
      <c r="R420" s="35">
        <v>17629</v>
      </c>
      <c r="S420" s="35">
        <v>23374</v>
      </c>
      <c r="T420" s="35">
        <v>31287</v>
      </c>
      <c r="U420" s="35">
        <v>18231</v>
      </c>
      <c r="V420" s="35">
        <f t="shared" si="309"/>
        <v>802088</v>
      </c>
      <c r="W420" s="35">
        <f t="shared" ref="W420:AP420" si="429">B420-B419</f>
        <v>15</v>
      </c>
      <c r="X420" s="35">
        <f t="shared" si="429"/>
        <v>17</v>
      </c>
      <c r="Y420" s="35">
        <f t="shared" si="429"/>
        <v>4</v>
      </c>
      <c r="Z420" s="35">
        <f t="shared" si="429"/>
        <v>56</v>
      </c>
      <c r="AA420" s="35">
        <f t="shared" si="429"/>
        <v>46</v>
      </c>
      <c r="AB420" s="35">
        <f t="shared" si="429"/>
        <v>10</v>
      </c>
      <c r="AC420" s="35">
        <f t="shared" si="429"/>
        <v>10</v>
      </c>
      <c r="AD420" s="35">
        <f t="shared" si="429"/>
        <v>18</v>
      </c>
      <c r="AE420" s="35">
        <f t="shared" si="429"/>
        <v>19</v>
      </c>
      <c r="AF420" s="35">
        <f t="shared" si="429"/>
        <v>20</v>
      </c>
      <c r="AG420" s="35">
        <f t="shared" si="429"/>
        <v>24</v>
      </c>
      <c r="AH420" s="35">
        <f t="shared" si="429"/>
        <v>9</v>
      </c>
      <c r="AI420" s="35">
        <f t="shared" si="429"/>
        <v>12</v>
      </c>
      <c r="AJ420" s="35">
        <f t="shared" si="429"/>
        <v>51</v>
      </c>
      <c r="AK420" s="35">
        <f t="shared" si="429"/>
        <v>8</v>
      </c>
      <c r="AL420" s="35">
        <f t="shared" si="429"/>
        <v>21</v>
      </c>
      <c r="AM420" s="35">
        <f t="shared" si="429"/>
        <v>5</v>
      </c>
      <c r="AN420" s="35">
        <f t="shared" si="429"/>
        <v>31</v>
      </c>
      <c r="AO420" s="35">
        <f t="shared" si="429"/>
        <v>20</v>
      </c>
      <c r="AP420" s="35">
        <f t="shared" si="429"/>
        <v>20</v>
      </c>
    </row>
    <row r="421" spans="1:42" ht="13">
      <c r="A421" s="36">
        <v>44340</v>
      </c>
      <c r="B421" s="35">
        <v>38991</v>
      </c>
      <c r="C421" s="35">
        <v>28296</v>
      </c>
      <c r="D421" s="35">
        <v>21722</v>
      </c>
      <c r="E421" s="35">
        <v>46046</v>
      </c>
      <c r="F421" s="35">
        <v>143323</v>
      </c>
      <c r="G421" s="35">
        <v>33405</v>
      </c>
      <c r="H421" s="35">
        <v>36087</v>
      </c>
      <c r="I421" s="35">
        <v>44189</v>
      </c>
      <c r="J421" s="35">
        <v>42382</v>
      </c>
      <c r="K421" s="35">
        <v>22290</v>
      </c>
      <c r="L421" s="35">
        <v>25543</v>
      </c>
      <c r="M421" s="35">
        <v>28290</v>
      </c>
      <c r="N421" s="35">
        <v>20201</v>
      </c>
      <c r="O421" s="35">
        <v>111182</v>
      </c>
      <c r="P421" s="35">
        <v>28846</v>
      </c>
      <c r="Q421" s="35">
        <v>40979</v>
      </c>
      <c r="R421" s="35">
        <v>17634</v>
      </c>
      <c r="S421" s="35">
        <v>23388</v>
      </c>
      <c r="T421" s="35">
        <v>31309</v>
      </c>
      <c r="U421" s="35">
        <v>18243</v>
      </c>
      <c r="V421" s="35">
        <f t="shared" si="309"/>
        <v>802346</v>
      </c>
      <c r="W421" s="35">
        <f t="shared" ref="W421:AP421" si="430">B421-B420</f>
        <v>12</v>
      </c>
      <c r="X421" s="35">
        <f t="shared" si="430"/>
        <v>9</v>
      </c>
      <c r="Y421" s="35">
        <f t="shared" si="430"/>
        <v>8</v>
      </c>
      <c r="Z421" s="35">
        <f t="shared" si="430"/>
        <v>23</v>
      </c>
      <c r="AA421" s="35">
        <f t="shared" si="430"/>
        <v>47</v>
      </c>
      <c r="AB421" s="35">
        <f t="shared" si="430"/>
        <v>13</v>
      </c>
      <c r="AC421" s="35">
        <f t="shared" si="430"/>
        <v>9</v>
      </c>
      <c r="AD421" s="35">
        <f t="shared" si="430"/>
        <v>4</v>
      </c>
      <c r="AE421" s="35">
        <f t="shared" si="430"/>
        <v>9</v>
      </c>
      <c r="AF421" s="35">
        <f t="shared" si="430"/>
        <v>3</v>
      </c>
      <c r="AG421" s="35">
        <f t="shared" si="430"/>
        <v>22</v>
      </c>
      <c r="AH421" s="35">
        <f t="shared" si="430"/>
        <v>0</v>
      </c>
      <c r="AI421" s="35">
        <f t="shared" si="430"/>
        <v>6</v>
      </c>
      <c r="AJ421" s="35">
        <f t="shared" si="430"/>
        <v>26</v>
      </c>
      <c r="AK421" s="35">
        <f t="shared" si="430"/>
        <v>6</v>
      </c>
      <c r="AL421" s="35">
        <f t="shared" si="430"/>
        <v>8</v>
      </c>
      <c r="AM421" s="35">
        <f t="shared" si="430"/>
        <v>5</v>
      </c>
      <c r="AN421" s="35">
        <f t="shared" si="430"/>
        <v>14</v>
      </c>
      <c r="AO421" s="35">
        <f t="shared" si="430"/>
        <v>22</v>
      </c>
      <c r="AP421" s="35">
        <f t="shared" si="430"/>
        <v>12</v>
      </c>
    </row>
    <row r="422" spans="1:42" ht="13">
      <c r="A422" s="36">
        <v>44341</v>
      </c>
      <c r="B422" s="35">
        <v>38994</v>
      </c>
      <c r="C422" s="35">
        <v>28298</v>
      </c>
      <c r="D422" s="35">
        <v>21724</v>
      </c>
      <c r="E422" s="35">
        <v>46075</v>
      </c>
      <c r="F422" s="35">
        <v>143337</v>
      </c>
      <c r="G422" s="35">
        <v>33410</v>
      </c>
      <c r="H422" s="35">
        <v>36090</v>
      </c>
      <c r="I422" s="35">
        <v>44200</v>
      </c>
      <c r="J422" s="35">
        <v>42385</v>
      </c>
      <c r="K422" s="35">
        <v>22299</v>
      </c>
      <c r="L422" s="35">
        <v>25547</v>
      </c>
      <c r="M422" s="35">
        <v>28291</v>
      </c>
      <c r="N422" s="35">
        <v>20202</v>
      </c>
      <c r="O422" s="35">
        <v>111208</v>
      </c>
      <c r="P422" s="35">
        <v>28849</v>
      </c>
      <c r="Q422" s="35">
        <v>40991</v>
      </c>
      <c r="R422" s="35">
        <v>17634</v>
      </c>
      <c r="S422" s="35">
        <v>23397</v>
      </c>
      <c r="T422" s="35">
        <v>31328</v>
      </c>
      <c r="U422" s="35">
        <v>18251</v>
      </c>
      <c r="V422" s="35">
        <f t="shared" si="309"/>
        <v>802510</v>
      </c>
      <c r="W422" s="35">
        <f t="shared" ref="W422:AP422" si="431">B422-B421</f>
        <v>3</v>
      </c>
      <c r="X422" s="35">
        <f t="shared" si="431"/>
        <v>2</v>
      </c>
      <c r="Y422" s="35">
        <f t="shared" si="431"/>
        <v>2</v>
      </c>
      <c r="Z422" s="35">
        <f t="shared" si="431"/>
        <v>29</v>
      </c>
      <c r="AA422" s="35">
        <f t="shared" si="431"/>
        <v>14</v>
      </c>
      <c r="AB422" s="35">
        <f t="shared" si="431"/>
        <v>5</v>
      </c>
      <c r="AC422" s="35">
        <f t="shared" si="431"/>
        <v>3</v>
      </c>
      <c r="AD422" s="35">
        <f t="shared" si="431"/>
        <v>11</v>
      </c>
      <c r="AE422" s="35">
        <f t="shared" si="431"/>
        <v>3</v>
      </c>
      <c r="AF422" s="35">
        <f t="shared" si="431"/>
        <v>9</v>
      </c>
      <c r="AG422" s="35">
        <f t="shared" si="431"/>
        <v>4</v>
      </c>
      <c r="AH422" s="35">
        <f t="shared" si="431"/>
        <v>1</v>
      </c>
      <c r="AI422" s="35">
        <f t="shared" si="431"/>
        <v>1</v>
      </c>
      <c r="AJ422" s="35">
        <f t="shared" si="431"/>
        <v>26</v>
      </c>
      <c r="AK422" s="35">
        <f t="shared" si="431"/>
        <v>3</v>
      </c>
      <c r="AL422" s="35">
        <f t="shared" si="431"/>
        <v>12</v>
      </c>
      <c r="AM422" s="35">
        <f t="shared" si="431"/>
        <v>0</v>
      </c>
      <c r="AN422" s="35">
        <f t="shared" si="431"/>
        <v>9</v>
      </c>
      <c r="AO422" s="35">
        <f t="shared" si="431"/>
        <v>19</v>
      </c>
      <c r="AP422" s="35">
        <f t="shared" si="431"/>
        <v>8</v>
      </c>
    </row>
    <row r="423" spans="1:42" ht="13">
      <c r="A423" s="36">
        <v>44342</v>
      </c>
      <c r="B423" s="35">
        <v>39006</v>
      </c>
      <c r="C423" s="35">
        <v>28326</v>
      </c>
      <c r="D423" s="35">
        <v>21738</v>
      </c>
      <c r="E423" s="35">
        <v>46089</v>
      </c>
      <c r="F423" s="35">
        <v>143355</v>
      </c>
      <c r="G423" s="35">
        <v>33417</v>
      </c>
      <c r="H423" s="35">
        <v>36097</v>
      </c>
      <c r="I423" s="35">
        <v>44215</v>
      </c>
      <c r="J423" s="35">
        <v>42388</v>
      </c>
      <c r="K423" s="35">
        <v>22303</v>
      </c>
      <c r="L423" s="35">
        <v>25554</v>
      </c>
      <c r="M423" s="35">
        <v>28298</v>
      </c>
      <c r="N423" s="35">
        <v>20206</v>
      </c>
      <c r="O423" s="35">
        <v>111241</v>
      </c>
      <c r="P423" s="35">
        <v>28853</v>
      </c>
      <c r="Q423" s="35">
        <v>41001</v>
      </c>
      <c r="R423" s="35">
        <v>17647</v>
      </c>
      <c r="S423" s="35">
        <v>23401</v>
      </c>
      <c r="T423" s="35">
        <v>31332</v>
      </c>
      <c r="U423" s="35">
        <v>18256</v>
      </c>
      <c r="V423" s="35">
        <f t="shared" si="309"/>
        <v>802723</v>
      </c>
      <c r="W423" s="35">
        <f t="shared" ref="W423:AP423" si="432">B423-B422</f>
        <v>12</v>
      </c>
      <c r="X423" s="35">
        <f t="shared" si="432"/>
        <v>28</v>
      </c>
      <c r="Y423" s="35">
        <f t="shared" si="432"/>
        <v>14</v>
      </c>
      <c r="Z423" s="35">
        <f t="shared" si="432"/>
        <v>14</v>
      </c>
      <c r="AA423" s="35">
        <f t="shared" si="432"/>
        <v>18</v>
      </c>
      <c r="AB423" s="35">
        <f t="shared" si="432"/>
        <v>7</v>
      </c>
      <c r="AC423" s="35">
        <f t="shared" si="432"/>
        <v>7</v>
      </c>
      <c r="AD423" s="35">
        <f t="shared" si="432"/>
        <v>15</v>
      </c>
      <c r="AE423" s="35">
        <f t="shared" si="432"/>
        <v>3</v>
      </c>
      <c r="AF423" s="35">
        <f t="shared" si="432"/>
        <v>4</v>
      </c>
      <c r="AG423" s="35">
        <f t="shared" si="432"/>
        <v>7</v>
      </c>
      <c r="AH423" s="35">
        <f t="shared" si="432"/>
        <v>7</v>
      </c>
      <c r="AI423" s="35">
        <f t="shared" si="432"/>
        <v>4</v>
      </c>
      <c r="AJ423" s="35">
        <f t="shared" si="432"/>
        <v>33</v>
      </c>
      <c r="AK423" s="35">
        <f t="shared" si="432"/>
        <v>4</v>
      </c>
      <c r="AL423" s="35">
        <f t="shared" si="432"/>
        <v>10</v>
      </c>
      <c r="AM423" s="35">
        <f t="shared" si="432"/>
        <v>13</v>
      </c>
      <c r="AN423" s="35">
        <f t="shared" si="432"/>
        <v>4</v>
      </c>
      <c r="AO423" s="35">
        <f t="shared" si="432"/>
        <v>4</v>
      </c>
      <c r="AP423" s="35">
        <f t="shared" si="432"/>
        <v>5</v>
      </c>
    </row>
    <row r="424" spans="1:42" ht="13">
      <c r="A424" s="36">
        <v>44343</v>
      </c>
      <c r="B424" s="35">
        <v>39018</v>
      </c>
      <c r="C424" s="35">
        <v>28353</v>
      </c>
      <c r="D424" s="35">
        <v>21751</v>
      </c>
      <c r="E424" s="35">
        <v>46120</v>
      </c>
      <c r="F424" s="35">
        <v>143408</v>
      </c>
      <c r="G424" s="35">
        <v>33424</v>
      </c>
      <c r="H424" s="35">
        <v>36119</v>
      </c>
      <c r="I424" s="35">
        <v>44230</v>
      </c>
      <c r="J424" s="35">
        <v>42408</v>
      </c>
      <c r="K424" s="35">
        <v>22313</v>
      </c>
      <c r="L424" s="35">
        <v>25568</v>
      </c>
      <c r="M424" s="35">
        <v>28321</v>
      </c>
      <c r="N424" s="35">
        <v>20215</v>
      </c>
      <c r="O424" s="35">
        <v>111296</v>
      </c>
      <c r="P424" s="35">
        <v>28863</v>
      </c>
      <c r="Q424" s="35">
        <v>41026</v>
      </c>
      <c r="R424" s="35">
        <v>17655</v>
      </c>
      <c r="S424" s="35">
        <v>23415</v>
      </c>
      <c r="T424" s="35">
        <v>31348</v>
      </c>
      <c r="U424" s="35">
        <v>18268</v>
      </c>
      <c r="V424" s="35">
        <f t="shared" si="309"/>
        <v>803119</v>
      </c>
      <c r="W424" s="35">
        <f t="shared" ref="W424:AP424" si="433">B424-B423</f>
        <v>12</v>
      </c>
      <c r="X424" s="35">
        <f t="shared" si="433"/>
        <v>27</v>
      </c>
      <c r="Y424" s="35">
        <f t="shared" si="433"/>
        <v>13</v>
      </c>
      <c r="Z424" s="35">
        <f t="shared" si="433"/>
        <v>31</v>
      </c>
      <c r="AA424" s="35">
        <f t="shared" si="433"/>
        <v>53</v>
      </c>
      <c r="AB424" s="35">
        <f t="shared" si="433"/>
        <v>7</v>
      </c>
      <c r="AC424" s="35">
        <f t="shared" si="433"/>
        <v>22</v>
      </c>
      <c r="AD424" s="35">
        <f t="shared" si="433"/>
        <v>15</v>
      </c>
      <c r="AE424" s="35">
        <f t="shared" si="433"/>
        <v>20</v>
      </c>
      <c r="AF424" s="35">
        <f t="shared" si="433"/>
        <v>10</v>
      </c>
      <c r="AG424" s="35">
        <f t="shared" si="433"/>
        <v>14</v>
      </c>
      <c r="AH424" s="35">
        <f t="shared" si="433"/>
        <v>23</v>
      </c>
      <c r="AI424" s="35">
        <f t="shared" si="433"/>
        <v>9</v>
      </c>
      <c r="AJ424" s="35">
        <f t="shared" si="433"/>
        <v>55</v>
      </c>
      <c r="AK424" s="35">
        <f t="shared" si="433"/>
        <v>10</v>
      </c>
      <c r="AL424" s="35">
        <f t="shared" si="433"/>
        <v>25</v>
      </c>
      <c r="AM424" s="35">
        <f t="shared" si="433"/>
        <v>8</v>
      </c>
      <c r="AN424" s="35">
        <f t="shared" si="433"/>
        <v>14</v>
      </c>
      <c r="AO424" s="35">
        <f t="shared" si="433"/>
        <v>16</v>
      </c>
      <c r="AP424" s="35">
        <f t="shared" si="433"/>
        <v>12</v>
      </c>
    </row>
    <row r="425" spans="1:42" ht="13">
      <c r="A425" s="36">
        <v>44344</v>
      </c>
      <c r="B425" s="35">
        <v>39045</v>
      </c>
      <c r="C425" s="35">
        <v>28385</v>
      </c>
      <c r="D425" s="35">
        <v>21771</v>
      </c>
      <c r="E425" s="35">
        <v>46166</v>
      </c>
      <c r="F425" s="35">
        <v>143458</v>
      </c>
      <c r="G425" s="35">
        <v>33443</v>
      </c>
      <c r="H425" s="35">
        <v>36140</v>
      </c>
      <c r="I425" s="35">
        <v>44249</v>
      </c>
      <c r="J425" s="35">
        <v>42430</v>
      </c>
      <c r="K425" s="35">
        <v>22329</v>
      </c>
      <c r="L425" s="35">
        <v>25577</v>
      </c>
      <c r="M425" s="35">
        <v>28333</v>
      </c>
      <c r="N425" s="35">
        <v>20227</v>
      </c>
      <c r="O425" s="35">
        <v>111355</v>
      </c>
      <c r="P425" s="35">
        <v>28867</v>
      </c>
      <c r="Q425" s="35">
        <v>41043</v>
      </c>
      <c r="R425" s="35">
        <v>17663</v>
      </c>
      <c r="S425" s="35">
        <v>23433</v>
      </c>
      <c r="T425" s="35">
        <v>31370</v>
      </c>
      <c r="U425" s="35">
        <v>18283</v>
      </c>
      <c r="V425" s="35">
        <f t="shared" si="309"/>
        <v>803567</v>
      </c>
      <c r="W425" s="35">
        <f t="shared" ref="W425:AP425" si="434">B425-B424</f>
        <v>27</v>
      </c>
      <c r="X425" s="35">
        <f t="shared" si="434"/>
        <v>32</v>
      </c>
      <c r="Y425" s="35">
        <f t="shared" si="434"/>
        <v>20</v>
      </c>
      <c r="Z425" s="35">
        <f t="shared" si="434"/>
        <v>46</v>
      </c>
      <c r="AA425" s="35">
        <f t="shared" si="434"/>
        <v>50</v>
      </c>
      <c r="AB425" s="35">
        <f t="shared" si="434"/>
        <v>19</v>
      </c>
      <c r="AC425" s="35">
        <f t="shared" si="434"/>
        <v>21</v>
      </c>
      <c r="AD425" s="35">
        <f t="shared" si="434"/>
        <v>19</v>
      </c>
      <c r="AE425" s="35">
        <f t="shared" si="434"/>
        <v>22</v>
      </c>
      <c r="AF425" s="35">
        <f t="shared" si="434"/>
        <v>16</v>
      </c>
      <c r="AG425" s="35">
        <f t="shared" si="434"/>
        <v>9</v>
      </c>
      <c r="AH425" s="35">
        <f t="shared" si="434"/>
        <v>12</v>
      </c>
      <c r="AI425" s="35">
        <f t="shared" si="434"/>
        <v>12</v>
      </c>
      <c r="AJ425" s="35">
        <f t="shared" si="434"/>
        <v>59</v>
      </c>
      <c r="AK425" s="35">
        <f t="shared" si="434"/>
        <v>4</v>
      </c>
      <c r="AL425" s="35">
        <f t="shared" si="434"/>
        <v>17</v>
      </c>
      <c r="AM425" s="35">
        <f t="shared" si="434"/>
        <v>8</v>
      </c>
      <c r="AN425" s="35">
        <f t="shared" si="434"/>
        <v>18</v>
      </c>
      <c r="AO425" s="35">
        <f t="shared" si="434"/>
        <v>22</v>
      </c>
      <c r="AP425" s="35">
        <f t="shared" si="434"/>
        <v>15</v>
      </c>
    </row>
    <row r="426" spans="1:42" ht="13">
      <c r="A426" s="36">
        <v>44345</v>
      </c>
      <c r="B426" s="35">
        <v>39065</v>
      </c>
      <c r="C426" s="35">
        <v>28416</v>
      </c>
      <c r="D426" s="35">
        <v>21791</v>
      </c>
      <c r="E426" s="35">
        <v>46219</v>
      </c>
      <c r="F426" s="35">
        <v>143522</v>
      </c>
      <c r="G426" s="35">
        <v>33449</v>
      </c>
      <c r="H426" s="35">
        <v>36157</v>
      </c>
      <c r="I426" s="35">
        <v>44276</v>
      </c>
      <c r="J426" s="35">
        <v>42450</v>
      </c>
      <c r="K426" s="35">
        <v>22332</v>
      </c>
      <c r="L426" s="35">
        <v>25601</v>
      </c>
      <c r="M426" s="35">
        <v>28353</v>
      </c>
      <c r="N426" s="35">
        <v>20237</v>
      </c>
      <c r="O426" s="35">
        <v>111406</v>
      </c>
      <c r="P426" s="35">
        <v>28875</v>
      </c>
      <c r="Q426" s="35">
        <v>41061</v>
      </c>
      <c r="R426" s="35">
        <v>17674</v>
      </c>
      <c r="S426" s="35">
        <v>23453</v>
      </c>
      <c r="T426" s="35">
        <v>31394</v>
      </c>
      <c r="U426" s="35">
        <v>18301</v>
      </c>
      <c r="V426" s="35">
        <f t="shared" si="309"/>
        <v>804032</v>
      </c>
      <c r="W426" s="35">
        <f t="shared" ref="W426:AP426" si="435">B426-B425</f>
        <v>20</v>
      </c>
      <c r="X426" s="35">
        <f t="shared" si="435"/>
        <v>31</v>
      </c>
      <c r="Y426" s="35">
        <f t="shared" si="435"/>
        <v>20</v>
      </c>
      <c r="Z426" s="35">
        <f t="shared" si="435"/>
        <v>53</v>
      </c>
      <c r="AA426" s="35">
        <f t="shared" si="435"/>
        <v>64</v>
      </c>
      <c r="AB426" s="35">
        <f t="shared" si="435"/>
        <v>6</v>
      </c>
      <c r="AC426" s="35">
        <f t="shared" si="435"/>
        <v>17</v>
      </c>
      <c r="AD426" s="35">
        <f t="shared" si="435"/>
        <v>27</v>
      </c>
      <c r="AE426" s="35">
        <f t="shared" si="435"/>
        <v>20</v>
      </c>
      <c r="AF426" s="35">
        <f t="shared" si="435"/>
        <v>3</v>
      </c>
      <c r="AG426" s="35">
        <f t="shared" si="435"/>
        <v>24</v>
      </c>
      <c r="AH426" s="35">
        <f t="shared" si="435"/>
        <v>20</v>
      </c>
      <c r="AI426" s="35">
        <f t="shared" si="435"/>
        <v>10</v>
      </c>
      <c r="AJ426" s="35">
        <f t="shared" si="435"/>
        <v>51</v>
      </c>
      <c r="AK426" s="35">
        <f t="shared" si="435"/>
        <v>8</v>
      </c>
      <c r="AL426" s="35">
        <f t="shared" si="435"/>
        <v>18</v>
      </c>
      <c r="AM426" s="35">
        <f t="shared" si="435"/>
        <v>11</v>
      </c>
      <c r="AN426" s="35">
        <f t="shared" si="435"/>
        <v>20</v>
      </c>
      <c r="AO426" s="35">
        <f t="shared" si="435"/>
        <v>24</v>
      </c>
      <c r="AP426" s="35">
        <f t="shared" si="435"/>
        <v>18</v>
      </c>
    </row>
    <row r="427" spans="1:42" ht="13">
      <c r="A427" s="36">
        <v>44346</v>
      </c>
      <c r="B427" s="35">
        <v>39071</v>
      </c>
      <c r="C427" s="35">
        <v>28427</v>
      </c>
      <c r="D427" s="35">
        <v>21805</v>
      </c>
      <c r="E427" s="35">
        <v>46261</v>
      </c>
      <c r="F427" s="35">
        <v>143556</v>
      </c>
      <c r="G427" s="35">
        <v>33459</v>
      </c>
      <c r="H427" s="35">
        <v>36181</v>
      </c>
      <c r="I427" s="35">
        <v>44302</v>
      </c>
      <c r="J427" s="35">
        <v>42464</v>
      </c>
      <c r="K427" s="35">
        <v>22353</v>
      </c>
      <c r="L427" s="35">
        <v>25613</v>
      </c>
      <c r="M427" s="35">
        <v>28357</v>
      </c>
      <c r="N427" s="35">
        <v>20241</v>
      </c>
      <c r="O427" s="35">
        <v>111448</v>
      </c>
      <c r="P427" s="35">
        <v>28886</v>
      </c>
      <c r="Q427" s="35">
        <v>41080</v>
      </c>
      <c r="R427" s="35">
        <v>17689</v>
      </c>
      <c r="S427" s="35">
        <v>23465</v>
      </c>
      <c r="T427" s="35">
        <v>31415</v>
      </c>
      <c r="U427" s="35">
        <v>18309</v>
      </c>
      <c r="V427" s="35">
        <f t="shared" si="309"/>
        <v>804382</v>
      </c>
      <c r="W427" s="35">
        <f t="shared" ref="W427:AP427" si="436">B427-B426</f>
        <v>6</v>
      </c>
      <c r="X427" s="35">
        <f t="shared" si="436"/>
        <v>11</v>
      </c>
      <c r="Y427" s="35">
        <f t="shared" si="436"/>
        <v>14</v>
      </c>
      <c r="Z427" s="35">
        <f t="shared" si="436"/>
        <v>42</v>
      </c>
      <c r="AA427" s="35">
        <f t="shared" si="436"/>
        <v>34</v>
      </c>
      <c r="AB427" s="35">
        <f t="shared" si="436"/>
        <v>10</v>
      </c>
      <c r="AC427" s="35">
        <f t="shared" si="436"/>
        <v>24</v>
      </c>
      <c r="AD427" s="35">
        <f t="shared" si="436"/>
        <v>26</v>
      </c>
      <c r="AE427" s="35">
        <f t="shared" si="436"/>
        <v>14</v>
      </c>
      <c r="AF427" s="35">
        <f t="shared" si="436"/>
        <v>21</v>
      </c>
      <c r="AG427" s="35">
        <f t="shared" si="436"/>
        <v>12</v>
      </c>
      <c r="AH427" s="35">
        <f t="shared" si="436"/>
        <v>4</v>
      </c>
      <c r="AI427" s="35">
        <f t="shared" si="436"/>
        <v>4</v>
      </c>
      <c r="AJ427" s="35">
        <f t="shared" si="436"/>
        <v>42</v>
      </c>
      <c r="AK427" s="35">
        <f t="shared" si="436"/>
        <v>11</v>
      </c>
      <c r="AL427" s="35">
        <f t="shared" si="436"/>
        <v>19</v>
      </c>
      <c r="AM427" s="35">
        <f t="shared" si="436"/>
        <v>15</v>
      </c>
      <c r="AN427" s="35">
        <f t="shared" si="436"/>
        <v>12</v>
      </c>
      <c r="AO427" s="35">
        <f t="shared" si="436"/>
        <v>21</v>
      </c>
      <c r="AP427" s="35">
        <f t="shared" si="436"/>
        <v>8</v>
      </c>
    </row>
    <row r="428" spans="1:42" ht="13">
      <c r="A428" s="36">
        <v>44347</v>
      </c>
      <c r="B428" s="35">
        <v>39081</v>
      </c>
      <c r="C428" s="35">
        <v>28434</v>
      </c>
      <c r="D428" s="35">
        <v>21808</v>
      </c>
      <c r="E428" s="35">
        <v>46274</v>
      </c>
      <c r="F428" s="35">
        <v>143577</v>
      </c>
      <c r="G428" s="35">
        <v>33463</v>
      </c>
      <c r="H428" s="35">
        <v>36184</v>
      </c>
      <c r="I428" s="35">
        <v>44304</v>
      </c>
      <c r="J428" s="35">
        <v>42473</v>
      </c>
      <c r="K428" s="35">
        <v>22358</v>
      </c>
      <c r="L428" s="35">
        <v>25623</v>
      </c>
      <c r="M428" s="35">
        <v>28359</v>
      </c>
      <c r="N428" s="35">
        <v>20243</v>
      </c>
      <c r="O428" s="35">
        <v>111478</v>
      </c>
      <c r="P428" s="35">
        <v>28891</v>
      </c>
      <c r="Q428" s="35">
        <v>41087</v>
      </c>
      <c r="R428" s="35">
        <v>17694</v>
      </c>
      <c r="S428" s="35">
        <v>23468</v>
      </c>
      <c r="T428" s="35">
        <v>31424</v>
      </c>
      <c r="U428" s="35">
        <v>18315</v>
      </c>
      <c r="V428" s="35">
        <f t="shared" si="309"/>
        <v>804538</v>
      </c>
      <c r="W428" s="35">
        <f t="shared" ref="W428:AP428" si="437">B428-B427</f>
        <v>10</v>
      </c>
      <c r="X428" s="35">
        <f t="shared" si="437"/>
        <v>7</v>
      </c>
      <c r="Y428" s="35">
        <f t="shared" si="437"/>
        <v>3</v>
      </c>
      <c r="Z428" s="35">
        <f t="shared" si="437"/>
        <v>13</v>
      </c>
      <c r="AA428" s="35">
        <f t="shared" si="437"/>
        <v>21</v>
      </c>
      <c r="AB428" s="35">
        <f t="shared" si="437"/>
        <v>4</v>
      </c>
      <c r="AC428" s="35">
        <f t="shared" si="437"/>
        <v>3</v>
      </c>
      <c r="AD428" s="35">
        <f t="shared" si="437"/>
        <v>2</v>
      </c>
      <c r="AE428" s="35">
        <f t="shared" si="437"/>
        <v>9</v>
      </c>
      <c r="AF428" s="35">
        <f t="shared" si="437"/>
        <v>5</v>
      </c>
      <c r="AG428" s="35">
        <f t="shared" si="437"/>
        <v>10</v>
      </c>
      <c r="AH428" s="35">
        <f t="shared" si="437"/>
        <v>2</v>
      </c>
      <c r="AI428" s="35">
        <f t="shared" si="437"/>
        <v>2</v>
      </c>
      <c r="AJ428" s="35">
        <f t="shared" si="437"/>
        <v>30</v>
      </c>
      <c r="AK428" s="35">
        <f t="shared" si="437"/>
        <v>5</v>
      </c>
      <c r="AL428" s="35">
        <f t="shared" si="437"/>
        <v>7</v>
      </c>
      <c r="AM428" s="35">
        <f t="shared" si="437"/>
        <v>5</v>
      </c>
      <c r="AN428" s="35">
        <f t="shared" si="437"/>
        <v>3</v>
      </c>
      <c r="AO428" s="35">
        <f t="shared" si="437"/>
        <v>9</v>
      </c>
      <c r="AP428" s="35">
        <f t="shared" si="437"/>
        <v>6</v>
      </c>
    </row>
    <row r="429" spans="1:42" ht="13">
      <c r="A429" s="36">
        <v>44348</v>
      </c>
      <c r="B429" s="35">
        <v>39095</v>
      </c>
      <c r="C429" s="35">
        <v>28443</v>
      </c>
      <c r="D429" s="35">
        <v>21814</v>
      </c>
      <c r="E429" s="35">
        <v>46286</v>
      </c>
      <c r="F429" s="35">
        <v>143599</v>
      </c>
      <c r="G429" s="35">
        <v>33464</v>
      </c>
      <c r="H429" s="35">
        <v>36194</v>
      </c>
      <c r="I429" s="35">
        <v>44312</v>
      </c>
      <c r="J429" s="35">
        <v>42479</v>
      </c>
      <c r="K429" s="35">
        <v>22361</v>
      </c>
      <c r="L429" s="35">
        <v>25631</v>
      </c>
      <c r="M429" s="35">
        <v>28365</v>
      </c>
      <c r="N429" s="35">
        <v>20255</v>
      </c>
      <c r="O429" s="35">
        <v>111502</v>
      </c>
      <c r="P429" s="35">
        <v>28892</v>
      </c>
      <c r="Q429" s="35">
        <v>41096</v>
      </c>
      <c r="R429" s="35">
        <v>17695</v>
      </c>
      <c r="S429" s="35">
        <v>23474</v>
      </c>
      <c r="T429" s="35">
        <v>31435</v>
      </c>
      <c r="U429" s="35">
        <v>18320</v>
      </c>
      <c r="V429" s="35">
        <f t="shared" si="309"/>
        <v>804712</v>
      </c>
      <c r="W429" s="35">
        <f t="shared" ref="W429:AP429" si="438">B429-B428</f>
        <v>14</v>
      </c>
      <c r="X429" s="35">
        <f t="shared" si="438"/>
        <v>9</v>
      </c>
      <c r="Y429" s="35">
        <f t="shared" si="438"/>
        <v>6</v>
      </c>
      <c r="Z429" s="35">
        <f t="shared" si="438"/>
        <v>12</v>
      </c>
      <c r="AA429" s="35">
        <f t="shared" si="438"/>
        <v>22</v>
      </c>
      <c r="AB429" s="35">
        <f t="shared" si="438"/>
        <v>1</v>
      </c>
      <c r="AC429" s="35">
        <f t="shared" si="438"/>
        <v>10</v>
      </c>
      <c r="AD429" s="35">
        <f t="shared" si="438"/>
        <v>8</v>
      </c>
      <c r="AE429" s="35">
        <f t="shared" si="438"/>
        <v>6</v>
      </c>
      <c r="AF429" s="35">
        <f t="shared" si="438"/>
        <v>3</v>
      </c>
      <c r="AG429" s="35">
        <f t="shared" si="438"/>
        <v>8</v>
      </c>
      <c r="AH429" s="35">
        <f t="shared" si="438"/>
        <v>6</v>
      </c>
      <c r="AI429" s="35">
        <f t="shared" si="438"/>
        <v>12</v>
      </c>
      <c r="AJ429" s="35">
        <f t="shared" si="438"/>
        <v>24</v>
      </c>
      <c r="AK429" s="35">
        <f t="shared" si="438"/>
        <v>1</v>
      </c>
      <c r="AL429" s="35">
        <f t="shared" si="438"/>
        <v>9</v>
      </c>
      <c r="AM429" s="35">
        <f t="shared" si="438"/>
        <v>1</v>
      </c>
      <c r="AN429" s="35">
        <f t="shared" si="438"/>
        <v>6</v>
      </c>
      <c r="AO429" s="35">
        <f t="shared" si="438"/>
        <v>11</v>
      </c>
      <c r="AP429" s="35">
        <f t="shared" si="438"/>
        <v>5</v>
      </c>
    </row>
    <row r="430" spans="1:42" ht="13">
      <c r="A430" s="36">
        <v>44349</v>
      </c>
      <c r="B430" s="35">
        <v>39099</v>
      </c>
      <c r="C430" s="35">
        <v>28460</v>
      </c>
      <c r="D430" s="35">
        <v>21825</v>
      </c>
      <c r="E430" s="35">
        <v>46315</v>
      </c>
      <c r="F430" s="35">
        <v>143653</v>
      </c>
      <c r="G430" s="35">
        <v>33466</v>
      </c>
      <c r="H430" s="35">
        <v>36202</v>
      </c>
      <c r="I430" s="35">
        <v>44320</v>
      </c>
      <c r="J430" s="35">
        <v>42497</v>
      </c>
      <c r="K430" s="35">
        <v>22368</v>
      </c>
      <c r="L430" s="35">
        <v>25638</v>
      </c>
      <c r="M430" s="35">
        <v>28370</v>
      </c>
      <c r="N430" s="35">
        <v>20260</v>
      </c>
      <c r="O430" s="35">
        <v>111551</v>
      </c>
      <c r="P430" s="35">
        <v>28900</v>
      </c>
      <c r="Q430" s="35">
        <v>41106</v>
      </c>
      <c r="R430" s="35">
        <v>17698</v>
      </c>
      <c r="S430" s="35">
        <v>23487</v>
      </c>
      <c r="T430" s="35">
        <v>31447</v>
      </c>
      <c r="U430" s="35">
        <v>18325</v>
      </c>
      <c r="V430" s="35">
        <f t="shared" si="309"/>
        <v>804987</v>
      </c>
      <c r="W430" s="35">
        <f t="shared" ref="W430:AP430" si="439">B430-B429</f>
        <v>4</v>
      </c>
      <c r="X430" s="35">
        <f t="shared" si="439"/>
        <v>17</v>
      </c>
      <c r="Y430" s="35">
        <f t="shared" si="439"/>
        <v>11</v>
      </c>
      <c r="Z430" s="35">
        <f t="shared" si="439"/>
        <v>29</v>
      </c>
      <c r="AA430" s="35">
        <f t="shared" si="439"/>
        <v>54</v>
      </c>
      <c r="AB430" s="35">
        <f t="shared" si="439"/>
        <v>2</v>
      </c>
      <c r="AC430" s="35">
        <f t="shared" si="439"/>
        <v>8</v>
      </c>
      <c r="AD430" s="35">
        <f t="shared" si="439"/>
        <v>8</v>
      </c>
      <c r="AE430" s="35">
        <f t="shared" si="439"/>
        <v>18</v>
      </c>
      <c r="AF430" s="35">
        <f t="shared" si="439"/>
        <v>7</v>
      </c>
      <c r="AG430" s="35">
        <f t="shared" si="439"/>
        <v>7</v>
      </c>
      <c r="AH430" s="35">
        <f t="shared" si="439"/>
        <v>5</v>
      </c>
      <c r="AI430" s="35">
        <f t="shared" si="439"/>
        <v>5</v>
      </c>
      <c r="AJ430" s="35">
        <f t="shared" si="439"/>
        <v>49</v>
      </c>
      <c r="AK430" s="35">
        <f t="shared" si="439"/>
        <v>8</v>
      </c>
      <c r="AL430" s="35">
        <f t="shared" si="439"/>
        <v>10</v>
      </c>
      <c r="AM430" s="35">
        <f t="shared" si="439"/>
        <v>3</v>
      </c>
      <c r="AN430" s="35">
        <f t="shared" si="439"/>
        <v>13</v>
      </c>
      <c r="AO430" s="35">
        <f t="shared" si="439"/>
        <v>12</v>
      </c>
      <c r="AP430" s="35">
        <f t="shared" si="439"/>
        <v>5</v>
      </c>
    </row>
    <row r="431" spans="1:42" ht="13">
      <c r="A431" s="36">
        <v>44350</v>
      </c>
      <c r="B431" s="35">
        <v>39114</v>
      </c>
      <c r="C431" s="35">
        <v>28473</v>
      </c>
      <c r="D431" s="35">
        <v>21836</v>
      </c>
      <c r="E431" s="35">
        <v>46348</v>
      </c>
      <c r="F431" s="35">
        <v>143698</v>
      </c>
      <c r="G431" s="35">
        <v>33488</v>
      </c>
      <c r="H431" s="35">
        <v>36212</v>
      </c>
      <c r="I431" s="35">
        <v>44330</v>
      </c>
      <c r="J431" s="35">
        <v>42509</v>
      </c>
      <c r="K431" s="35">
        <v>22376</v>
      </c>
      <c r="L431" s="35">
        <v>25647</v>
      </c>
      <c r="M431" s="35">
        <v>28378</v>
      </c>
      <c r="N431" s="35">
        <v>20268</v>
      </c>
      <c r="O431" s="35">
        <v>111603</v>
      </c>
      <c r="P431" s="35">
        <v>28909</v>
      </c>
      <c r="Q431" s="35">
        <v>41112</v>
      </c>
      <c r="R431" s="35">
        <v>17707</v>
      </c>
      <c r="S431" s="35">
        <v>23495</v>
      </c>
      <c r="T431" s="35">
        <v>31464</v>
      </c>
      <c r="U431" s="35">
        <v>18335</v>
      </c>
      <c r="V431" s="35">
        <f t="shared" si="309"/>
        <v>805302</v>
      </c>
      <c r="W431" s="35">
        <f t="shared" ref="W431:AP431" si="440">B431-B430</f>
        <v>15</v>
      </c>
      <c r="X431" s="35">
        <f t="shared" si="440"/>
        <v>13</v>
      </c>
      <c r="Y431" s="35">
        <f t="shared" si="440"/>
        <v>11</v>
      </c>
      <c r="Z431" s="35">
        <f t="shared" si="440"/>
        <v>33</v>
      </c>
      <c r="AA431" s="35">
        <f t="shared" si="440"/>
        <v>45</v>
      </c>
      <c r="AB431" s="35">
        <f t="shared" si="440"/>
        <v>22</v>
      </c>
      <c r="AC431" s="35">
        <f t="shared" si="440"/>
        <v>10</v>
      </c>
      <c r="AD431" s="35">
        <f t="shared" si="440"/>
        <v>10</v>
      </c>
      <c r="AE431" s="35">
        <f t="shared" si="440"/>
        <v>12</v>
      </c>
      <c r="AF431" s="35">
        <f t="shared" si="440"/>
        <v>8</v>
      </c>
      <c r="AG431" s="35">
        <f t="shared" si="440"/>
        <v>9</v>
      </c>
      <c r="AH431" s="35">
        <f t="shared" si="440"/>
        <v>8</v>
      </c>
      <c r="AI431" s="35">
        <f t="shared" si="440"/>
        <v>8</v>
      </c>
      <c r="AJ431" s="35">
        <f t="shared" si="440"/>
        <v>52</v>
      </c>
      <c r="AK431" s="35">
        <f t="shared" si="440"/>
        <v>9</v>
      </c>
      <c r="AL431" s="35">
        <f t="shared" si="440"/>
        <v>6</v>
      </c>
      <c r="AM431" s="35">
        <f t="shared" si="440"/>
        <v>9</v>
      </c>
      <c r="AN431" s="35">
        <f t="shared" si="440"/>
        <v>8</v>
      </c>
      <c r="AO431" s="35">
        <f t="shared" si="440"/>
        <v>17</v>
      </c>
      <c r="AP431" s="35">
        <f t="shared" si="440"/>
        <v>10</v>
      </c>
    </row>
    <row r="432" spans="1:42" ht="13">
      <c r="A432" s="36">
        <v>44351</v>
      </c>
      <c r="B432" s="35">
        <v>39127</v>
      </c>
      <c r="C432" s="35">
        <v>28481</v>
      </c>
      <c r="D432" s="35">
        <v>21837</v>
      </c>
      <c r="E432" s="35">
        <v>46383</v>
      </c>
      <c r="F432" s="35">
        <v>143747</v>
      </c>
      <c r="G432" s="35">
        <v>33506</v>
      </c>
      <c r="H432" s="35">
        <v>36221</v>
      </c>
      <c r="I432" s="35">
        <v>44341</v>
      </c>
      <c r="J432" s="35">
        <v>42514</v>
      </c>
      <c r="K432" s="35">
        <v>22383</v>
      </c>
      <c r="L432" s="35">
        <v>25663</v>
      </c>
      <c r="M432" s="35">
        <v>28382</v>
      </c>
      <c r="N432" s="35">
        <v>20272</v>
      </c>
      <c r="O432" s="35">
        <v>111644</v>
      </c>
      <c r="P432" s="35">
        <v>28913</v>
      </c>
      <c r="Q432" s="35">
        <v>41121</v>
      </c>
      <c r="R432" s="35">
        <v>17714</v>
      </c>
      <c r="S432" s="35">
        <v>23502</v>
      </c>
      <c r="T432" s="35">
        <v>31477</v>
      </c>
      <c r="U432" s="35">
        <v>18343</v>
      </c>
      <c r="V432" s="35">
        <f t="shared" si="309"/>
        <v>805571</v>
      </c>
      <c r="W432" s="35">
        <f t="shared" ref="W432:AP432" si="441">B432-B431</f>
        <v>13</v>
      </c>
      <c r="X432" s="35">
        <f t="shared" si="441"/>
        <v>8</v>
      </c>
      <c r="Y432" s="35">
        <f t="shared" si="441"/>
        <v>1</v>
      </c>
      <c r="Z432" s="35">
        <f t="shared" si="441"/>
        <v>35</v>
      </c>
      <c r="AA432" s="35">
        <f t="shared" si="441"/>
        <v>49</v>
      </c>
      <c r="AB432" s="35">
        <f t="shared" si="441"/>
        <v>18</v>
      </c>
      <c r="AC432" s="35">
        <f t="shared" si="441"/>
        <v>9</v>
      </c>
      <c r="AD432" s="35">
        <f t="shared" si="441"/>
        <v>11</v>
      </c>
      <c r="AE432" s="35">
        <f t="shared" si="441"/>
        <v>5</v>
      </c>
      <c r="AF432" s="35">
        <f t="shared" si="441"/>
        <v>7</v>
      </c>
      <c r="AG432" s="35">
        <f t="shared" si="441"/>
        <v>16</v>
      </c>
      <c r="AH432" s="35">
        <f t="shared" si="441"/>
        <v>4</v>
      </c>
      <c r="AI432" s="35">
        <f t="shared" si="441"/>
        <v>4</v>
      </c>
      <c r="AJ432" s="35">
        <f t="shared" si="441"/>
        <v>41</v>
      </c>
      <c r="AK432" s="35">
        <f t="shared" si="441"/>
        <v>4</v>
      </c>
      <c r="AL432" s="35">
        <f t="shared" si="441"/>
        <v>9</v>
      </c>
      <c r="AM432" s="35">
        <f t="shared" si="441"/>
        <v>7</v>
      </c>
      <c r="AN432" s="35">
        <f t="shared" si="441"/>
        <v>7</v>
      </c>
      <c r="AO432" s="35">
        <f t="shared" si="441"/>
        <v>13</v>
      </c>
      <c r="AP432" s="35">
        <f t="shared" si="441"/>
        <v>8</v>
      </c>
    </row>
    <row r="433" spans="1:42" ht="13">
      <c r="A433" s="36">
        <v>44352</v>
      </c>
      <c r="B433" s="35">
        <v>39141</v>
      </c>
      <c r="C433" s="35">
        <v>28491</v>
      </c>
      <c r="D433" s="35">
        <v>21845</v>
      </c>
      <c r="E433" s="35">
        <v>46423</v>
      </c>
      <c r="F433" s="35">
        <v>143782</v>
      </c>
      <c r="G433" s="35">
        <v>33517</v>
      </c>
      <c r="H433" s="35">
        <v>36235</v>
      </c>
      <c r="I433" s="35">
        <v>44354</v>
      </c>
      <c r="J433" s="35">
        <v>42518</v>
      </c>
      <c r="K433" s="35">
        <v>22395</v>
      </c>
      <c r="L433" s="35">
        <v>25669</v>
      </c>
      <c r="M433" s="35">
        <v>28385</v>
      </c>
      <c r="N433" s="35">
        <v>20285</v>
      </c>
      <c r="O433" s="35">
        <v>111703</v>
      </c>
      <c r="P433" s="35">
        <v>28915</v>
      </c>
      <c r="Q433" s="35">
        <v>41132</v>
      </c>
      <c r="R433" s="35">
        <v>17723</v>
      </c>
      <c r="S433" s="35">
        <v>23517</v>
      </c>
      <c r="T433" s="35">
        <v>31489</v>
      </c>
      <c r="U433" s="35">
        <v>18352</v>
      </c>
      <c r="V433" s="35">
        <f t="shared" si="309"/>
        <v>805871</v>
      </c>
      <c r="W433" s="35">
        <f t="shared" ref="W433:AP433" si="442">B433-B432</f>
        <v>14</v>
      </c>
      <c r="X433" s="35">
        <f t="shared" si="442"/>
        <v>10</v>
      </c>
      <c r="Y433" s="35">
        <f t="shared" si="442"/>
        <v>8</v>
      </c>
      <c r="Z433" s="35">
        <f t="shared" si="442"/>
        <v>40</v>
      </c>
      <c r="AA433" s="35">
        <f t="shared" si="442"/>
        <v>35</v>
      </c>
      <c r="AB433" s="35">
        <f t="shared" si="442"/>
        <v>11</v>
      </c>
      <c r="AC433" s="35">
        <f t="shared" si="442"/>
        <v>14</v>
      </c>
      <c r="AD433" s="35">
        <f t="shared" si="442"/>
        <v>13</v>
      </c>
      <c r="AE433" s="35">
        <f t="shared" si="442"/>
        <v>4</v>
      </c>
      <c r="AF433" s="35">
        <f t="shared" si="442"/>
        <v>12</v>
      </c>
      <c r="AG433" s="35">
        <f t="shared" si="442"/>
        <v>6</v>
      </c>
      <c r="AH433" s="35">
        <f t="shared" si="442"/>
        <v>3</v>
      </c>
      <c r="AI433" s="35">
        <f t="shared" si="442"/>
        <v>13</v>
      </c>
      <c r="AJ433" s="35">
        <f t="shared" si="442"/>
        <v>59</v>
      </c>
      <c r="AK433" s="35">
        <f t="shared" si="442"/>
        <v>2</v>
      </c>
      <c r="AL433" s="35">
        <f t="shared" si="442"/>
        <v>11</v>
      </c>
      <c r="AM433" s="35">
        <f t="shared" si="442"/>
        <v>9</v>
      </c>
      <c r="AN433" s="35">
        <f t="shared" si="442"/>
        <v>15</v>
      </c>
      <c r="AO433" s="35">
        <f t="shared" si="442"/>
        <v>12</v>
      </c>
      <c r="AP433" s="35">
        <f t="shared" si="442"/>
        <v>9</v>
      </c>
    </row>
    <row r="434" spans="1:42" ht="13">
      <c r="A434" s="36">
        <v>44353</v>
      </c>
      <c r="B434" s="35">
        <v>39145</v>
      </c>
      <c r="C434" s="35">
        <v>28495</v>
      </c>
      <c r="D434" s="35">
        <v>21850</v>
      </c>
      <c r="E434" s="35">
        <v>46433</v>
      </c>
      <c r="F434" s="35">
        <v>143810</v>
      </c>
      <c r="G434" s="35">
        <v>33524</v>
      </c>
      <c r="H434" s="35">
        <v>36241</v>
      </c>
      <c r="I434" s="35">
        <v>44364</v>
      </c>
      <c r="J434" s="35">
        <v>42521</v>
      </c>
      <c r="K434" s="35">
        <v>22398</v>
      </c>
      <c r="L434" s="35">
        <v>25671</v>
      </c>
      <c r="M434" s="35">
        <v>28387</v>
      </c>
      <c r="N434" s="35">
        <v>20289</v>
      </c>
      <c r="O434" s="35">
        <v>111730</v>
      </c>
      <c r="P434" s="35">
        <v>28920</v>
      </c>
      <c r="Q434" s="35">
        <v>41135</v>
      </c>
      <c r="R434" s="35">
        <v>17723</v>
      </c>
      <c r="S434" s="35">
        <v>23525</v>
      </c>
      <c r="T434" s="35">
        <v>31494</v>
      </c>
      <c r="U434" s="35">
        <v>18353</v>
      </c>
      <c r="V434" s="35">
        <f t="shared" si="309"/>
        <v>806008</v>
      </c>
      <c r="W434" s="35">
        <f t="shared" ref="W434:AP434" si="443">B434-B433</f>
        <v>4</v>
      </c>
      <c r="X434" s="35">
        <f t="shared" si="443"/>
        <v>4</v>
      </c>
      <c r="Y434" s="35">
        <f t="shared" si="443"/>
        <v>5</v>
      </c>
      <c r="Z434" s="35">
        <f t="shared" si="443"/>
        <v>10</v>
      </c>
      <c r="AA434" s="35">
        <f t="shared" si="443"/>
        <v>28</v>
      </c>
      <c r="AB434" s="35">
        <f t="shared" si="443"/>
        <v>7</v>
      </c>
      <c r="AC434" s="35">
        <f t="shared" si="443"/>
        <v>6</v>
      </c>
      <c r="AD434" s="35">
        <f t="shared" si="443"/>
        <v>10</v>
      </c>
      <c r="AE434" s="35">
        <f t="shared" si="443"/>
        <v>3</v>
      </c>
      <c r="AF434" s="35">
        <f t="shared" si="443"/>
        <v>3</v>
      </c>
      <c r="AG434" s="35">
        <f t="shared" si="443"/>
        <v>2</v>
      </c>
      <c r="AH434" s="35">
        <f t="shared" si="443"/>
        <v>2</v>
      </c>
      <c r="AI434" s="35">
        <f t="shared" si="443"/>
        <v>4</v>
      </c>
      <c r="AJ434" s="35">
        <f t="shared" si="443"/>
        <v>27</v>
      </c>
      <c r="AK434" s="35">
        <f t="shared" si="443"/>
        <v>5</v>
      </c>
      <c r="AL434" s="35">
        <f t="shared" si="443"/>
        <v>3</v>
      </c>
      <c r="AM434" s="35">
        <f t="shared" si="443"/>
        <v>0</v>
      </c>
      <c r="AN434" s="35">
        <f t="shared" si="443"/>
        <v>8</v>
      </c>
      <c r="AO434" s="35">
        <f t="shared" si="443"/>
        <v>5</v>
      </c>
      <c r="AP434" s="35">
        <f t="shared" si="443"/>
        <v>1</v>
      </c>
    </row>
    <row r="435" spans="1:42" ht="13">
      <c r="A435" s="36">
        <v>44354</v>
      </c>
      <c r="B435" s="35">
        <v>39148</v>
      </c>
      <c r="C435" s="35">
        <v>28496</v>
      </c>
      <c r="D435" s="35">
        <v>21860</v>
      </c>
      <c r="E435" s="35">
        <v>46445</v>
      </c>
      <c r="F435" s="35">
        <v>143819</v>
      </c>
      <c r="G435" s="35">
        <v>33530</v>
      </c>
      <c r="H435" s="35">
        <v>36244</v>
      </c>
      <c r="I435" s="35">
        <v>44366</v>
      </c>
      <c r="J435" s="35">
        <v>42523</v>
      </c>
      <c r="K435" s="35">
        <v>22398</v>
      </c>
      <c r="L435" s="35">
        <v>25674</v>
      </c>
      <c r="M435" s="35">
        <v>28389</v>
      </c>
      <c r="N435" s="35">
        <v>20293</v>
      </c>
      <c r="O435" s="35">
        <v>111742</v>
      </c>
      <c r="P435" s="35">
        <v>28921</v>
      </c>
      <c r="Q435" s="35">
        <v>41138</v>
      </c>
      <c r="R435" s="35">
        <v>17725</v>
      </c>
      <c r="S435" s="35">
        <v>23526</v>
      </c>
      <c r="T435" s="35">
        <v>31498</v>
      </c>
      <c r="U435" s="35">
        <v>18354</v>
      </c>
      <c r="V435" s="35">
        <f t="shared" si="309"/>
        <v>806089</v>
      </c>
      <c r="W435" s="35">
        <f t="shared" ref="W435:AP435" si="444">B435-B434</f>
        <v>3</v>
      </c>
      <c r="X435" s="35">
        <f t="shared" si="444"/>
        <v>1</v>
      </c>
      <c r="Y435" s="35">
        <f t="shared" si="444"/>
        <v>10</v>
      </c>
      <c r="Z435" s="35">
        <f t="shared" si="444"/>
        <v>12</v>
      </c>
      <c r="AA435" s="35">
        <f t="shared" si="444"/>
        <v>9</v>
      </c>
      <c r="AB435" s="35">
        <f t="shared" si="444"/>
        <v>6</v>
      </c>
      <c r="AC435" s="35">
        <f t="shared" si="444"/>
        <v>3</v>
      </c>
      <c r="AD435" s="35">
        <f t="shared" si="444"/>
        <v>2</v>
      </c>
      <c r="AE435" s="35">
        <f t="shared" si="444"/>
        <v>2</v>
      </c>
      <c r="AF435" s="35">
        <f t="shared" si="444"/>
        <v>0</v>
      </c>
      <c r="AG435" s="35">
        <f t="shared" si="444"/>
        <v>3</v>
      </c>
      <c r="AH435" s="35">
        <f t="shared" si="444"/>
        <v>2</v>
      </c>
      <c r="AI435" s="35">
        <f t="shared" si="444"/>
        <v>4</v>
      </c>
      <c r="AJ435" s="35">
        <f t="shared" si="444"/>
        <v>12</v>
      </c>
      <c r="AK435" s="35">
        <f t="shared" si="444"/>
        <v>1</v>
      </c>
      <c r="AL435" s="35">
        <f t="shared" si="444"/>
        <v>3</v>
      </c>
      <c r="AM435" s="35">
        <f t="shared" si="444"/>
        <v>2</v>
      </c>
      <c r="AN435" s="35">
        <f t="shared" si="444"/>
        <v>1</v>
      </c>
      <c r="AO435" s="35">
        <f t="shared" si="444"/>
        <v>4</v>
      </c>
      <c r="AP435" s="35">
        <f t="shared" si="444"/>
        <v>1</v>
      </c>
    </row>
    <row r="436" spans="1:42" ht="13">
      <c r="A436" s="36">
        <v>44355</v>
      </c>
      <c r="B436" s="35">
        <v>39153</v>
      </c>
      <c r="C436" s="35">
        <v>28501</v>
      </c>
      <c r="D436" s="35">
        <v>21865</v>
      </c>
      <c r="E436" s="35">
        <v>46454</v>
      </c>
      <c r="F436" s="35">
        <v>143828</v>
      </c>
      <c r="G436" s="35">
        <v>33533</v>
      </c>
      <c r="H436" s="35">
        <v>36246</v>
      </c>
      <c r="I436" s="35">
        <v>44367</v>
      </c>
      <c r="J436" s="35">
        <v>42530</v>
      </c>
      <c r="K436" s="35">
        <v>22403</v>
      </c>
      <c r="L436" s="35">
        <v>25681</v>
      </c>
      <c r="M436" s="35">
        <v>28394</v>
      </c>
      <c r="N436" s="35">
        <v>20295</v>
      </c>
      <c r="O436" s="35">
        <v>111764</v>
      </c>
      <c r="P436" s="35">
        <v>28922</v>
      </c>
      <c r="Q436" s="35">
        <v>41147</v>
      </c>
      <c r="R436" s="35">
        <v>17729</v>
      </c>
      <c r="S436" s="35">
        <v>23533</v>
      </c>
      <c r="T436" s="35">
        <v>31504</v>
      </c>
      <c r="U436" s="35">
        <v>18357</v>
      </c>
      <c r="V436" s="35">
        <f t="shared" si="309"/>
        <v>806206</v>
      </c>
      <c r="W436" s="35">
        <f t="shared" ref="W436:AP436" si="445">B436-B435</f>
        <v>5</v>
      </c>
      <c r="X436" s="35">
        <f t="shared" si="445"/>
        <v>5</v>
      </c>
      <c r="Y436" s="35">
        <f t="shared" si="445"/>
        <v>5</v>
      </c>
      <c r="Z436" s="35">
        <f t="shared" si="445"/>
        <v>9</v>
      </c>
      <c r="AA436" s="35">
        <f t="shared" si="445"/>
        <v>9</v>
      </c>
      <c r="AB436" s="35">
        <f t="shared" si="445"/>
        <v>3</v>
      </c>
      <c r="AC436" s="35">
        <f t="shared" si="445"/>
        <v>2</v>
      </c>
      <c r="AD436" s="35">
        <f t="shared" si="445"/>
        <v>1</v>
      </c>
      <c r="AE436" s="35">
        <f t="shared" si="445"/>
        <v>7</v>
      </c>
      <c r="AF436" s="35">
        <f t="shared" si="445"/>
        <v>5</v>
      </c>
      <c r="AG436" s="35">
        <f t="shared" si="445"/>
        <v>7</v>
      </c>
      <c r="AH436" s="35">
        <f t="shared" si="445"/>
        <v>5</v>
      </c>
      <c r="AI436" s="35">
        <f t="shared" si="445"/>
        <v>2</v>
      </c>
      <c r="AJ436" s="35">
        <f t="shared" si="445"/>
        <v>22</v>
      </c>
      <c r="AK436" s="35">
        <f t="shared" si="445"/>
        <v>1</v>
      </c>
      <c r="AL436" s="35">
        <f t="shared" si="445"/>
        <v>9</v>
      </c>
      <c r="AM436" s="35">
        <f t="shared" si="445"/>
        <v>4</v>
      </c>
      <c r="AN436" s="35">
        <f t="shared" si="445"/>
        <v>7</v>
      </c>
      <c r="AO436" s="35">
        <f t="shared" si="445"/>
        <v>6</v>
      </c>
      <c r="AP436" s="35">
        <f t="shared" si="445"/>
        <v>3</v>
      </c>
    </row>
    <row r="437" spans="1:42" ht="13">
      <c r="A437" s="36">
        <v>44356</v>
      </c>
      <c r="B437" s="35">
        <v>39160</v>
      </c>
      <c r="C437" s="35">
        <v>28508</v>
      </c>
      <c r="D437" s="35">
        <v>21867</v>
      </c>
      <c r="E437" s="35">
        <v>46475</v>
      </c>
      <c r="F437" s="35">
        <v>143852</v>
      </c>
      <c r="G437" s="35">
        <v>33539</v>
      </c>
      <c r="H437" s="35">
        <v>36252</v>
      </c>
      <c r="I437" s="35">
        <v>44377</v>
      </c>
      <c r="J437" s="35">
        <v>42535</v>
      </c>
      <c r="K437" s="35">
        <v>22407</v>
      </c>
      <c r="L437" s="35">
        <v>25687</v>
      </c>
      <c r="M437" s="35">
        <v>28405</v>
      </c>
      <c r="N437" s="35">
        <v>20302</v>
      </c>
      <c r="O437" s="35">
        <v>111801</v>
      </c>
      <c r="P437" s="35">
        <v>28923</v>
      </c>
      <c r="Q437" s="35">
        <v>41150</v>
      </c>
      <c r="R437" s="35">
        <v>17732</v>
      </c>
      <c r="S437" s="35">
        <v>23542</v>
      </c>
      <c r="T437" s="35">
        <v>31510</v>
      </c>
      <c r="U437" s="35">
        <v>18361</v>
      </c>
      <c r="V437" s="35">
        <f t="shared" si="309"/>
        <v>806385</v>
      </c>
      <c r="W437" s="35">
        <f t="shared" ref="W437:AP437" si="446">B437-B436</f>
        <v>7</v>
      </c>
      <c r="X437" s="35">
        <f t="shared" si="446"/>
        <v>7</v>
      </c>
      <c r="Y437" s="35">
        <f t="shared" si="446"/>
        <v>2</v>
      </c>
      <c r="Z437" s="35">
        <f t="shared" si="446"/>
        <v>21</v>
      </c>
      <c r="AA437" s="35">
        <f t="shared" si="446"/>
        <v>24</v>
      </c>
      <c r="AB437" s="35">
        <f t="shared" si="446"/>
        <v>6</v>
      </c>
      <c r="AC437" s="35">
        <f t="shared" si="446"/>
        <v>6</v>
      </c>
      <c r="AD437" s="35">
        <f t="shared" si="446"/>
        <v>10</v>
      </c>
      <c r="AE437" s="35">
        <f t="shared" si="446"/>
        <v>5</v>
      </c>
      <c r="AF437" s="35">
        <f t="shared" si="446"/>
        <v>4</v>
      </c>
      <c r="AG437" s="35">
        <f t="shared" si="446"/>
        <v>6</v>
      </c>
      <c r="AH437" s="35">
        <f t="shared" si="446"/>
        <v>11</v>
      </c>
      <c r="AI437" s="35">
        <f t="shared" si="446"/>
        <v>7</v>
      </c>
      <c r="AJ437" s="35">
        <f t="shared" si="446"/>
        <v>37</v>
      </c>
      <c r="AK437" s="35">
        <f t="shared" si="446"/>
        <v>1</v>
      </c>
      <c r="AL437" s="35">
        <f t="shared" si="446"/>
        <v>3</v>
      </c>
      <c r="AM437" s="35">
        <f t="shared" si="446"/>
        <v>3</v>
      </c>
      <c r="AN437" s="35">
        <f t="shared" si="446"/>
        <v>9</v>
      </c>
      <c r="AO437" s="35">
        <f t="shared" si="446"/>
        <v>6</v>
      </c>
      <c r="AP437" s="35">
        <f t="shared" si="446"/>
        <v>4</v>
      </c>
    </row>
    <row r="438" spans="1:42" ht="13">
      <c r="A438" s="36">
        <v>44357</v>
      </c>
      <c r="B438" s="35">
        <v>39164</v>
      </c>
      <c r="C438" s="35">
        <v>28514</v>
      </c>
      <c r="D438" s="35">
        <v>21874</v>
      </c>
      <c r="E438" s="35">
        <v>46493</v>
      </c>
      <c r="F438" s="35">
        <v>143886</v>
      </c>
      <c r="G438" s="35">
        <v>33542</v>
      </c>
      <c r="H438" s="35">
        <v>36256</v>
      </c>
      <c r="I438" s="35">
        <v>44386</v>
      </c>
      <c r="J438" s="35">
        <v>42543</v>
      </c>
      <c r="K438" s="35">
        <v>22416</v>
      </c>
      <c r="L438" s="35">
        <v>25701</v>
      </c>
      <c r="M438" s="35">
        <v>28409</v>
      </c>
      <c r="N438" s="35">
        <v>20306</v>
      </c>
      <c r="O438" s="35">
        <v>111850</v>
      </c>
      <c r="P438" s="35">
        <v>28927</v>
      </c>
      <c r="Q438" s="35">
        <v>41152</v>
      </c>
      <c r="R438" s="35">
        <v>17735</v>
      </c>
      <c r="S438" s="35">
        <v>23547</v>
      </c>
      <c r="T438" s="35">
        <v>31520</v>
      </c>
      <c r="U438" s="35">
        <v>18370</v>
      </c>
      <c r="V438" s="35">
        <f t="shared" si="309"/>
        <v>806591</v>
      </c>
      <c r="W438" s="35">
        <f t="shared" ref="W438:AP438" si="447">B438-B437</f>
        <v>4</v>
      </c>
      <c r="X438" s="35">
        <f t="shared" si="447"/>
        <v>6</v>
      </c>
      <c r="Y438" s="35">
        <f t="shared" si="447"/>
        <v>7</v>
      </c>
      <c r="Z438" s="35">
        <f t="shared" si="447"/>
        <v>18</v>
      </c>
      <c r="AA438" s="35">
        <f t="shared" si="447"/>
        <v>34</v>
      </c>
      <c r="AB438" s="35">
        <f t="shared" si="447"/>
        <v>3</v>
      </c>
      <c r="AC438" s="35">
        <f t="shared" si="447"/>
        <v>4</v>
      </c>
      <c r="AD438" s="35">
        <f t="shared" si="447"/>
        <v>9</v>
      </c>
      <c r="AE438" s="35">
        <f t="shared" si="447"/>
        <v>8</v>
      </c>
      <c r="AF438" s="35">
        <f t="shared" si="447"/>
        <v>9</v>
      </c>
      <c r="AG438" s="35">
        <f t="shared" si="447"/>
        <v>14</v>
      </c>
      <c r="AH438" s="35">
        <f t="shared" si="447"/>
        <v>4</v>
      </c>
      <c r="AI438" s="35">
        <f t="shared" si="447"/>
        <v>4</v>
      </c>
      <c r="AJ438" s="35">
        <f t="shared" si="447"/>
        <v>49</v>
      </c>
      <c r="AK438" s="35">
        <f t="shared" si="447"/>
        <v>4</v>
      </c>
      <c r="AL438" s="35">
        <f t="shared" si="447"/>
        <v>2</v>
      </c>
      <c r="AM438" s="35">
        <f t="shared" si="447"/>
        <v>3</v>
      </c>
      <c r="AN438" s="35">
        <f t="shared" si="447"/>
        <v>5</v>
      </c>
      <c r="AO438" s="35">
        <f t="shared" si="447"/>
        <v>10</v>
      </c>
      <c r="AP438" s="35">
        <f t="shared" si="447"/>
        <v>9</v>
      </c>
    </row>
    <row r="439" spans="1:42" ht="13">
      <c r="A439" s="36">
        <v>44358</v>
      </c>
      <c r="B439" s="35">
        <v>39173</v>
      </c>
      <c r="C439" s="35">
        <v>28523</v>
      </c>
      <c r="D439" s="35">
        <v>21879</v>
      </c>
      <c r="E439" s="35">
        <v>46513</v>
      </c>
      <c r="F439" s="35">
        <v>143910</v>
      </c>
      <c r="G439" s="35">
        <v>33555</v>
      </c>
      <c r="H439" s="35">
        <v>36269</v>
      </c>
      <c r="I439" s="35">
        <v>44398</v>
      </c>
      <c r="J439" s="35">
        <v>42553</v>
      </c>
      <c r="K439" s="35">
        <v>22421</v>
      </c>
      <c r="L439" s="35">
        <v>25710</v>
      </c>
      <c r="M439" s="35">
        <v>28419</v>
      </c>
      <c r="N439" s="35">
        <v>20310</v>
      </c>
      <c r="O439" s="35">
        <v>111876</v>
      </c>
      <c r="P439" s="35">
        <v>28927</v>
      </c>
      <c r="Q439" s="35">
        <v>41160</v>
      </c>
      <c r="R439" s="35">
        <v>17738</v>
      </c>
      <c r="S439" s="35">
        <v>23555</v>
      </c>
      <c r="T439" s="35">
        <v>31527</v>
      </c>
      <c r="U439" s="35">
        <v>18374</v>
      </c>
      <c r="V439" s="35">
        <f t="shared" si="309"/>
        <v>806790</v>
      </c>
      <c r="W439" s="35">
        <f t="shared" ref="W439:AP439" si="448">B439-B438</f>
        <v>9</v>
      </c>
      <c r="X439" s="35">
        <f t="shared" si="448"/>
        <v>9</v>
      </c>
      <c r="Y439" s="35">
        <f t="shared" si="448"/>
        <v>5</v>
      </c>
      <c r="Z439" s="35">
        <f t="shared" si="448"/>
        <v>20</v>
      </c>
      <c r="AA439" s="35">
        <f t="shared" si="448"/>
        <v>24</v>
      </c>
      <c r="AB439" s="35">
        <f t="shared" si="448"/>
        <v>13</v>
      </c>
      <c r="AC439" s="35">
        <f t="shared" si="448"/>
        <v>13</v>
      </c>
      <c r="AD439" s="35">
        <f t="shared" si="448"/>
        <v>12</v>
      </c>
      <c r="AE439" s="35">
        <f t="shared" si="448"/>
        <v>10</v>
      </c>
      <c r="AF439" s="35">
        <f t="shared" si="448"/>
        <v>5</v>
      </c>
      <c r="AG439" s="35">
        <f t="shared" si="448"/>
        <v>9</v>
      </c>
      <c r="AH439" s="35">
        <f t="shared" si="448"/>
        <v>10</v>
      </c>
      <c r="AI439" s="35">
        <f t="shared" si="448"/>
        <v>4</v>
      </c>
      <c r="AJ439" s="35">
        <f t="shared" si="448"/>
        <v>26</v>
      </c>
      <c r="AK439" s="35">
        <f t="shared" si="448"/>
        <v>0</v>
      </c>
      <c r="AL439" s="35">
        <f t="shared" si="448"/>
        <v>8</v>
      </c>
      <c r="AM439" s="35">
        <f t="shared" si="448"/>
        <v>3</v>
      </c>
      <c r="AN439" s="35">
        <f t="shared" si="448"/>
        <v>8</v>
      </c>
      <c r="AO439" s="35">
        <f t="shared" si="448"/>
        <v>7</v>
      </c>
      <c r="AP439" s="35">
        <f t="shared" si="448"/>
        <v>4</v>
      </c>
    </row>
    <row r="440" spans="1:42" ht="13">
      <c r="A440" s="36">
        <v>44359</v>
      </c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</row>
    <row r="441" spans="1:42" ht="13">
      <c r="A441" s="36">
        <v>44360</v>
      </c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</row>
    <row r="442" spans="1:42" ht="13">
      <c r="A442" s="36">
        <v>44361</v>
      </c>
      <c r="B442" s="35">
        <v>39187</v>
      </c>
      <c r="C442" s="35">
        <v>28532</v>
      </c>
      <c r="D442" s="35">
        <v>21887</v>
      </c>
      <c r="E442" s="35">
        <v>46547</v>
      </c>
      <c r="F442" s="35">
        <v>143949</v>
      </c>
      <c r="G442" s="35">
        <v>33562</v>
      </c>
      <c r="H442" s="35">
        <v>36273</v>
      </c>
      <c r="I442" s="35">
        <v>44406</v>
      </c>
      <c r="J442" s="35">
        <v>42570</v>
      </c>
      <c r="K442" s="35">
        <v>22430</v>
      </c>
      <c r="L442" s="35">
        <v>25724</v>
      </c>
      <c r="M442" s="35">
        <v>28427</v>
      </c>
      <c r="N442" s="35">
        <v>20316</v>
      </c>
      <c r="O442" s="35">
        <v>111914</v>
      </c>
      <c r="P442" s="35">
        <v>28933</v>
      </c>
      <c r="Q442" s="35">
        <v>41168</v>
      </c>
      <c r="R442" s="35">
        <v>17742</v>
      </c>
      <c r="S442" s="35">
        <v>23559</v>
      </c>
      <c r="T442" s="35">
        <v>31537</v>
      </c>
      <c r="U442" s="35">
        <v>18382</v>
      </c>
      <c r="V442" s="35">
        <f t="shared" ref="V442:V446" si="449">SUM(B442:U442)</f>
        <v>807045</v>
      </c>
      <c r="W442" s="35">
        <f t="shared" ref="W442:AP442" si="450">B442-B439</f>
        <v>14</v>
      </c>
      <c r="X442" s="35">
        <f t="shared" si="450"/>
        <v>9</v>
      </c>
      <c r="Y442" s="35">
        <f t="shared" si="450"/>
        <v>8</v>
      </c>
      <c r="Z442" s="35">
        <f t="shared" si="450"/>
        <v>34</v>
      </c>
      <c r="AA442" s="35">
        <f t="shared" si="450"/>
        <v>39</v>
      </c>
      <c r="AB442" s="35">
        <f t="shared" si="450"/>
        <v>7</v>
      </c>
      <c r="AC442" s="35">
        <f t="shared" si="450"/>
        <v>4</v>
      </c>
      <c r="AD442" s="35">
        <f t="shared" si="450"/>
        <v>8</v>
      </c>
      <c r="AE442" s="35">
        <f t="shared" si="450"/>
        <v>17</v>
      </c>
      <c r="AF442" s="35">
        <f t="shared" si="450"/>
        <v>9</v>
      </c>
      <c r="AG442" s="35">
        <f t="shared" si="450"/>
        <v>14</v>
      </c>
      <c r="AH442" s="35">
        <f t="shared" si="450"/>
        <v>8</v>
      </c>
      <c r="AI442" s="35">
        <f t="shared" si="450"/>
        <v>6</v>
      </c>
      <c r="AJ442" s="35">
        <f t="shared" si="450"/>
        <v>38</v>
      </c>
      <c r="AK442" s="35">
        <f t="shared" si="450"/>
        <v>6</v>
      </c>
      <c r="AL442" s="35">
        <f t="shared" si="450"/>
        <v>8</v>
      </c>
      <c r="AM442" s="35">
        <f t="shared" si="450"/>
        <v>4</v>
      </c>
      <c r="AN442" s="35">
        <f t="shared" si="450"/>
        <v>4</v>
      </c>
      <c r="AO442" s="35">
        <f t="shared" si="450"/>
        <v>10</v>
      </c>
      <c r="AP442" s="35">
        <f t="shared" si="450"/>
        <v>8</v>
      </c>
    </row>
    <row r="443" spans="1:42" ht="13">
      <c r="A443" s="36">
        <v>44362</v>
      </c>
      <c r="B443" s="35">
        <v>39191</v>
      </c>
      <c r="C443" s="35">
        <v>28535</v>
      </c>
      <c r="D443" s="35">
        <v>21891</v>
      </c>
      <c r="E443" s="35">
        <v>46557</v>
      </c>
      <c r="F443" s="35">
        <v>143954</v>
      </c>
      <c r="G443" s="35">
        <v>33562</v>
      </c>
      <c r="H443" s="35">
        <v>36273</v>
      </c>
      <c r="I443" s="35">
        <v>44407</v>
      </c>
      <c r="J443" s="35">
        <v>42572</v>
      </c>
      <c r="K443" s="35">
        <v>22432</v>
      </c>
      <c r="L443" s="35">
        <v>25726</v>
      </c>
      <c r="M443" s="35">
        <v>28429</v>
      </c>
      <c r="N443" s="35">
        <v>20318</v>
      </c>
      <c r="O443" s="35">
        <v>111920</v>
      </c>
      <c r="P443" s="35">
        <v>28933</v>
      </c>
      <c r="Q443" s="35">
        <v>41175</v>
      </c>
      <c r="R443" s="35">
        <v>17744</v>
      </c>
      <c r="S443" s="35">
        <v>23559</v>
      </c>
      <c r="T443" s="35">
        <v>31540</v>
      </c>
      <c r="U443" s="35">
        <v>18384</v>
      </c>
      <c r="V443" s="35">
        <f t="shared" si="449"/>
        <v>807102</v>
      </c>
      <c r="W443" s="35">
        <f t="shared" ref="W443:AP443" si="451">B443-B442</f>
        <v>4</v>
      </c>
      <c r="X443" s="35">
        <f t="shared" si="451"/>
        <v>3</v>
      </c>
      <c r="Y443" s="35">
        <f t="shared" si="451"/>
        <v>4</v>
      </c>
      <c r="Z443" s="35">
        <f t="shared" si="451"/>
        <v>10</v>
      </c>
      <c r="AA443" s="35">
        <f t="shared" si="451"/>
        <v>5</v>
      </c>
      <c r="AB443" s="35">
        <f t="shared" si="451"/>
        <v>0</v>
      </c>
      <c r="AC443" s="35">
        <f t="shared" si="451"/>
        <v>0</v>
      </c>
      <c r="AD443" s="35">
        <f t="shared" si="451"/>
        <v>1</v>
      </c>
      <c r="AE443" s="35">
        <f t="shared" si="451"/>
        <v>2</v>
      </c>
      <c r="AF443" s="35">
        <f t="shared" si="451"/>
        <v>2</v>
      </c>
      <c r="AG443" s="35">
        <f t="shared" si="451"/>
        <v>2</v>
      </c>
      <c r="AH443" s="35">
        <f t="shared" si="451"/>
        <v>2</v>
      </c>
      <c r="AI443" s="35">
        <f t="shared" si="451"/>
        <v>2</v>
      </c>
      <c r="AJ443" s="35">
        <f t="shared" si="451"/>
        <v>6</v>
      </c>
      <c r="AK443" s="35">
        <f t="shared" si="451"/>
        <v>0</v>
      </c>
      <c r="AL443" s="35">
        <f t="shared" si="451"/>
        <v>7</v>
      </c>
      <c r="AM443" s="35">
        <f t="shared" si="451"/>
        <v>2</v>
      </c>
      <c r="AN443" s="35">
        <f t="shared" si="451"/>
        <v>0</v>
      </c>
      <c r="AO443" s="35">
        <f t="shared" si="451"/>
        <v>3</v>
      </c>
      <c r="AP443" s="35">
        <f t="shared" si="451"/>
        <v>2</v>
      </c>
    </row>
    <row r="444" spans="1:42" ht="13">
      <c r="A444" s="15">
        <v>44363</v>
      </c>
      <c r="B444" s="16">
        <v>39193</v>
      </c>
      <c r="C444" s="16">
        <v>28539</v>
      </c>
      <c r="D444" s="16">
        <v>21895</v>
      </c>
      <c r="E444" s="16">
        <v>46566</v>
      </c>
      <c r="F444" s="16">
        <v>143979</v>
      </c>
      <c r="G444" s="16">
        <v>33564</v>
      </c>
      <c r="H444" s="16">
        <v>36276</v>
      </c>
      <c r="I444" s="16">
        <v>44411</v>
      </c>
      <c r="J444" s="16">
        <v>42574</v>
      </c>
      <c r="K444" s="16">
        <v>22442</v>
      </c>
      <c r="L444" s="16">
        <v>25729</v>
      </c>
      <c r="M444" s="16">
        <v>28438</v>
      </c>
      <c r="N444" s="16">
        <v>20321</v>
      </c>
      <c r="O444" s="16">
        <v>111930</v>
      </c>
      <c r="P444" s="16">
        <v>28935</v>
      </c>
      <c r="Q444" s="16">
        <v>41178</v>
      </c>
      <c r="R444" s="16">
        <v>17747</v>
      </c>
      <c r="S444" s="16">
        <v>23560</v>
      </c>
      <c r="T444" s="16">
        <v>31547</v>
      </c>
      <c r="U444" s="16">
        <v>18385</v>
      </c>
      <c r="V444" s="35">
        <f t="shared" si="449"/>
        <v>807209</v>
      </c>
      <c r="W444" s="35">
        <f t="shared" ref="W444:AP444" si="452">B444-B443</f>
        <v>2</v>
      </c>
      <c r="X444" s="35">
        <f t="shared" si="452"/>
        <v>4</v>
      </c>
      <c r="Y444" s="35">
        <f t="shared" si="452"/>
        <v>4</v>
      </c>
      <c r="Z444" s="35">
        <f t="shared" si="452"/>
        <v>9</v>
      </c>
      <c r="AA444" s="35">
        <f t="shared" si="452"/>
        <v>25</v>
      </c>
      <c r="AB444" s="35">
        <f t="shared" si="452"/>
        <v>2</v>
      </c>
      <c r="AC444" s="35">
        <f t="shared" si="452"/>
        <v>3</v>
      </c>
      <c r="AD444" s="35">
        <f t="shared" si="452"/>
        <v>4</v>
      </c>
      <c r="AE444" s="35">
        <f t="shared" si="452"/>
        <v>2</v>
      </c>
      <c r="AF444" s="35">
        <f t="shared" si="452"/>
        <v>10</v>
      </c>
      <c r="AG444" s="35">
        <f t="shared" si="452"/>
        <v>3</v>
      </c>
      <c r="AH444" s="35">
        <f t="shared" si="452"/>
        <v>9</v>
      </c>
      <c r="AI444" s="35">
        <f t="shared" si="452"/>
        <v>3</v>
      </c>
      <c r="AJ444" s="35">
        <f t="shared" si="452"/>
        <v>10</v>
      </c>
      <c r="AK444" s="35">
        <f t="shared" si="452"/>
        <v>2</v>
      </c>
      <c r="AL444" s="35">
        <f t="shared" si="452"/>
        <v>3</v>
      </c>
      <c r="AM444" s="35">
        <f t="shared" si="452"/>
        <v>3</v>
      </c>
      <c r="AN444" s="35">
        <f t="shared" si="452"/>
        <v>1</v>
      </c>
      <c r="AO444" s="35">
        <f t="shared" si="452"/>
        <v>7</v>
      </c>
      <c r="AP444" s="35">
        <f t="shared" si="452"/>
        <v>1</v>
      </c>
    </row>
    <row r="445" spans="1:42" ht="13">
      <c r="A445" s="15">
        <v>44364</v>
      </c>
      <c r="B445" s="16">
        <v>39196</v>
      </c>
      <c r="C445" s="16">
        <v>28541</v>
      </c>
      <c r="D445" s="16">
        <v>21900</v>
      </c>
      <c r="E445" s="16">
        <v>46578</v>
      </c>
      <c r="F445" s="16">
        <v>143994</v>
      </c>
      <c r="G445" s="16">
        <v>33568</v>
      </c>
      <c r="H445" s="16">
        <v>36283</v>
      </c>
      <c r="I445" s="16">
        <v>44417</v>
      </c>
      <c r="J445" s="16">
        <v>42578</v>
      </c>
      <c r="K445" s="16">
        <v>22447</v>
      </c>
      <c r="L445" s="16">
        <v>25732</v>
      </c>
      <c r="M445" s="16">
        <v>28443</v>
      </c>
      <c r="N445" s="16">
        <v>20325</v>
      </c>
      <c r="O445" s="16">
        <v>111948</v>
      </c>
      <c r="P445" s="16">
        <v>28936</v>
      </c>
      <c r="Q445" s="16">
        <v>41180</v>
      </c>
      <c r="R445" s="16">
        <v>17757</v>
      </c>
      <c r="S445" s="16">
        <v>23564</v>
      </c>
      <c r="T445" s="16">
        <v>31550</v>
      </c>
      <c r="U445" s="16">
        <v>18385</v>
      </c>
      <c r="V445" s="35">
        <f t="shared" si="449"/>
        <v>807322</v>
      </c>
      <c r="W445" s="35">
        <f t="shared" ref="W445:AP445" si="453">B445-B444</f>
        <v>3</v>
      </c>
      <c r="X445" s="35">
        <f t="shared" si="453"/>
        <v>2</v>
      </c>
      <c r="Y445" s="35">
        <f t="shared" si="453"/>
        <v>5</v>
      </c>
      <c r="Z445" s="35">
        <f t="shared" si="453"/>
        <v>12</v>
      </c>
      <c r="AA445" s="35">
        <f t="shared" si="453"/>
        <v>15</v>
      </c>
      <c r="AB445" s="35">
        <f t="shared" si="453"/>
        <v>4</v>
      </c>
      <c r="AC445" s="35">
        <f t="shared" si="453"/>
        <v>7</v>
      </c>
      <c r="AD445" s="35">
        <f t="shared" si="453"/>
        <v>6</v>
      </c>
      <c r="AE445" s="35">
        <f t="shared" si="453"/>
        <v>4</v>
      </c>
      <c r="AF445" s="35">
        <f t="shared" si="453"/>
        <v>5</v>
      </c>
      <c r="AG445" s="35">
        <f t="shared" si="453"/>
        <v>3</v>
      </c>
      <c r="AH445" s="35">
        <f t="shared" si="453"/>
        <v>5</v>
      </c>
      <c r="AI445" s="35">
        <f t="shared" si="453"/>
        <v>4</v>
      </c>
      <c r="AJ445" s="35">
        <f t="shared" si="453"/>
        <v>18</v>
      </c>
      <c r="AK445" s="35">
        <f t="shared" si="453"/>
        <v>1</v>
      </c>
      <c r="AL445" s="35">
        <f t="shared" si="453"/>
        <v>2</v>
      </c>
      <c r="AM445" s="35">
        <f t="shared" si="453"/>
        <v>10</v>
      </c>
      <c r="AN445" s="35">
        <f t="shared" si="453"/>
        <v>4</v>
      </c>
      <c r="AO445" s="35">
        <f t="shared" si="453"/>
        <v>3</v>
      </c>
      <c r="AP445" s="35">
        <f t="shared" si="453"/>
        <v>0</v>
      </c>
    </row>
    <row r="446" spans="1:42" ht="13">
      <c r="A446" s="15">
        <v>44365</v>
      </c>
      <c r="B446" s="16">
        <v>39198</v>
      </c>
      <c r="C446" s="16">
        <v>28545</v>
      </c>
      <c r="D446" s="16">
        <v>21912</v>
      </c>
      <c r="E446" s="16">
        <v>46587</v>
      </c>
      <c r="F446" s="16">
        <v>144013</v>
      </c>
      <c r="G446" s="16">
        <v>33570</v>
      </c>
      <c r="H446" s="16">
        <v>36287</v>
      </c>
      <c r="I446" s="16">
        <v>44419</v>
      </c>
      <c r="J446" s="16">
        <v>42587</v>
      </c>
      <c r="K446" s="16">
        <v>22451</v>
      </c>
      <c r="L446" s="16">
        <v>25735</v>
      </c>
      <c r="M446" s="16">
        <v>28445</v>
      </c>
      <c r="N446" s="16">
        <v>20327</v>
      </c>
      <c r="O446" s="16">
        <v>111963</v>
      </c>
      <c r="P446" s="16">
        <v>28940</v>
      </c>
      <c r="Q446" s="16">
        <v>41183</v>
      </c>
      <c r="R446" s="16">
        <v>17759</v>
      </c>
      <c r="S446" s="16">
        <v>23567</v>
      </c>
      <c r="T446" s="16">
        <v>31554</v>
      </c>
      <c r="U446" s="16">
        <v>18386</v>
      </c>
      <c r="V446" s="35">
        <f t="shared" si="449"/>
        <v>807428</v>
      </c>
      <c r="W446" s="35">
        <f t="shared" ref="W446:AP446" si="454">B446-B445</f>
        <v>2</v>
      </c>
      <c r="X446" s="35">
        <f t="shared" si="454"/>
        <v>4</v>
      </c>
      <c r="Y446" s="35">
        <f t="shared" si="454"/>
        <v>12</v>
      </c>
      <c r="Z446" s="35">
        <f t="shared" si="454"/>
        <v>9</v>
      </c>
      <c r="AA446" s="35">
        <f t="shared" si="454"/>
        <v>19</v>
      </c>
      <c r="AB446" s="35">
        <f t="shared" si="454"/>
        <v>2</v>
      </c>
      <c r="AC446" s="35">
        <f t="shared" si="454"/>
        <v>4</v>
      </c>
      <c r="AD446" s="35">
        <f t="shared" si="454"/>
        <v>2</v>
      </c>
      <c r="AE446" s="35">
        <f t="shared" si="454"/>
        <v>9</v>
      </c>
      <c r="AF446" s="35">
        <f t="shared" si="454"/>
        <v>4</v>
      </c>
      <c r="AG446" s="35">
        <f t="shared" si="454"/>
        <v>3</v>
      </c>
      <c r="AH446" s="35">
        <f t="shared" si="454"/>
        <v>2</v>
      </c>
      <c r="AI446" s="35">
        <f t="shared" si="454"/>
        <v>2</v>
      </c>
      <c r="AJ446" s="35">
        <f t="shared" si="454"/>
        <v>15</v>
      </c>
      <c r="AK446" s="35">
        <f t="shared" si="454"/>
        <v>4</v>
      </c>
      <c r="AL446" s="35">
        <f t="shared" si="454"/>
        <v>3</v>
      </c>
      <c r="AM446" s="35">
        <f t="shared" si="454"/>
        <v>2</v>
      </c>
      <c r="AN446" s="35">
        <f t="shared" si="454"/>
        <v>3</v>
      </c>
      <c r="AO446" s="35">
        <f t="shared" si="454"/>
        <v>4</v>
      </c>
      <c r="AP446" s="35">
        <f t="shared" si="454"/>
        <v>1</v>
      </c>
    </row>
    <row r="447" spans="1:42" ht="13">
      <c r="A447" s="15">
        <v>44366</v>
      </c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</row>
    <row r="448" spans="1:42" ht="13">
      <c r="A448" s="15">
        <v>44367</v>
      </c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</row>
    <row r="449" spans="1:42" ht="13">
      <c r="A449" s="15">
        <v>44368</v>
      </c>
      <c r="B449" s="35">
        <v>39210</v>
      </c>
      <c r="C449" s="35">
        <v>28546</v>
      </c>
      <c r="D449" s="35">
        <v>21919</v>
      </c>
      <c r="E449" s="35">
        <v>46608</v>
      </c>
      <c r="F449" s="35">
        <v>144054</v>
      </c>
      <c r="G449" s="35">
        <v>33571</v>
      </c>
      <c r="H449" s="35">
        <v>36291</v>
      </c>
      <c r="I449" s="35">
        <v>44425</v>
      </c>
      <c r="J449" s="35">
        <v>42606</v>
      </c>
      <c r="K449" s="35">
        <v>22461</v>
      </c>
      <c r="L449" s="35">
        <v>25744</v>
      </c>
      <c r="M449" s="35">
        <v>28449</v>
      </c>
      <c r="N449" s="35">
        <v>20334</v>
      </c>
      <c r="O449" s="35">
        <v>111996</v>
      </c>
      <c r="P449" s="35">
        <v>28941</v>
      </c>
      <c r="Q449" s="35">
        <v>41195</v>
      </c>
      <c r="R449" s="35">
        <v>17760</v>
      </c>
      <c r="S449" s="35">
        <v>23572</v>
      </c>
      <c r="T449" s="35">
        <v>31560</v>
      </c>
      <c r="U449" s="35">
        <v>18388</v>
      </c>
      <c r="V449" s="35">
        <f t="shared" ref="V449:V453" si="455">SUM(B449:U449)</f>
        <v>807630</v>
      </c>
      <c r="W449" s="35">
        <f t="shared" ref="W449:AP449" si="456">B449-B446</f>
        <v>12</v>
      </c>
      <c r="X449" s="35">
        <f t="shared" si="456"/>
        <v>1</v>
      </c>
      <c r="Y449" s="35">
        <f t="shared" si="456"/>
        <v>7</v>
      </c>
      <c r="Z449" s="35">
        <f t="shared" si="456"/>
        <v>21</v>
      </c>
      <c r="AA449" s="35">
        <f t="shared" si="456"/>
        <v>41</v>
      </c>
      <c r="AB449" s="35">
        <f t="shared" si="456"/>
        <v>1</v>
      </c>
      <c r="AC449" s="35">
        <f t="shared" si="456"/>
        <v>4</v>
      </c>
      <c r="AD449" s="35">
        <f t="shared" si="456"/>
        <v>6</v>
      </c>
      <c r="AE449" s="35">
        <f t="shared" si="456"/>
        <v>19</v>
      </c>
      <c r="AF449" s="35">
        <f t="shared" si="456"/>
        <v>10</v>
      </c>
      <c r="AG449" s="35">
        <f t="shared" si="456"/>
        <v>9</v>
      </c>
      <c r="AH449" s="35">
        <f t="shared" si="456"/>
        <v>4</v>
      </c>
      <c r="AI449" s="35">
        <f t="shared" si="456"/>
        <v>7</v>
      </c>
      <c r="AJ449" s="35">
        <f t="shared" si="456"/>
        <v>33</v>
      </c>
      <c r="AK449" s="35">
        <f t="shared" si="456"/>
        <v>1</v>
      </c>
      <c r="AL449" s="35">
        <f t="shared" si="456"/>
        <v>12</v>
      </c>
      <c r="AM449" s="35">
        <f t="shared" si="456"/>
        <v>1</v>
      </c>
      <c r="AN449" s="35">
        <f t="shared" si="456"/>
        <v>5</v>
      </c>
      <c r="AO449" s="35">
        <f t="shared" si="456"/>
        <v>6</v>
      </c>
      <c r="AP449" s="35">
        <f t="shared" si="456"/>
        <v>2</v>
      </c>
    </row>
    <row r="450" spans="1:42" ht="13">
      <c r="A450" s="36">
        <v>44369</v>
      </c>
      <c r="B450" s="35">
        <v>39213</v>
      </c>
      <c r="C450" s="35">
        <v>28549</v>
      </c>
      <c r="D450" s="35">
        <v>21920</v>
      </c>
      <c r="E450" s="35">
        <v>46612</v>
      </c>
      <c r="F450" s="35">
        <v>144062</v>
      </c>
      <c r="G450" s="35">
        <v>33572</v>
      </c>
      <c r="H450" s="35">
        <v>36294</v>
      </c>
      <c r="I450" s="35">
        <v>44427</v>
      </c>
      <c r="J450" s="35">
        <v>42606</v>
      </c>
      <c r="K450" s="35">
        <v>22462</v>
      </c>
      <c r="L450" s="35">
        <v>25746</v>
      </c>
      <c r="M450" s="35">
        <v>28451</v>
      </c>
      <c r="N450" s="35">
        <v>20336</v>
      </c>
      <c r="O450" s="35">
        <v>112005</v>
      </c>
      <c r="P450" s="35">
        <v>28941</v>
      </c>
      <c r="Q450" s="35">
        <v>41198</v>
      </c>
      <c r="R450" s="35">
        <v>17761</v>
      </c>
      <c r="S450" s="35">
        <v>23578</v>
      </c>
      <c r="T450" s="35">
        <v>31562</v>
      </c>
      <c r="U450" s="35">
        <v>18389</v>
      </c>
      <c r="V450" s="35">
        <f t="shared" si="455"/>
        <v>807684</v>
      </c>
      <c r="W450" s="35">
        <f t="shared" ref="W450:AP450" si="457">B450-B449</f>
        <v>3</v>
      </c>
      <c r="X450" s="35">
        <f t="shared" si="457"/>
        <v>3</v>
      </c>
      <c r="Y450" s="35">
        <f t="shared" si="457"/>
        <v>1</v>
      </c>
      <c r="Z450" s="35">
        <f t="shared" si="457"/>
        <v>4</v>
      </c>
      <c r="AA450" s="35">
        <f t="shared" si="457"/>
        <v>8</v>
      </c>
      <c r="AB450" s="35">
        <f t="shared" si="457"/>
        <v>1</v>
      </c>
      <c r="AC450" s="35">
        <f t="shared" si="457"/>
        <v>3</v>
      </c>
      <c r="AD450" s="35">
        <f t="shared" si="457"/>
        <v>2</v>
      </c>
      <c r="AE450" s="35">
        <f t="shared" si="457"/>
        <v>0</v>
      </c>
      <c r="AF450" s="35">
        <f t="shared" si="457"/>
        <v>1</v>
      </c>
      <c r="AG450" s="35">
        <f t="shared" si="457"/>
        <v>2</v>
      </c>
      <c r="AH450" s="35">
        <f t="shared" si="457"/>
        <v>2</v>
      </c>
      <c r="AI450" s="35">
        <f t="shared" si="457"/>
        <v>2</v>
      </c>
      <c r="AJ450" s="35">
        <f t="shared" si="457"/>
        <v>9</v>
      </c>
      <c r="AK450" s="35">
        <f t="shared" si="457"/>
        <v>0</v>
      </c>
      <c r="AL450" s="35">
        <f t="shared" si="457"/>
        <v>3</v>
      </c>
      <c r="AM450" s="35">
        <f t="shared" si="457"/>
        <v>1</v>
      </c>
      <c r="AN450" s="35">
        <f t="shared" si="457"/>
        <v>6</v>
      </c>
      <c r="AO450" s="35">
        <f t="shared" si="457"/>
        <v>2</v>
      </c>
      <c r="AP450" s="35">
        <f t="shared" si="457"/>
        <v>1</v>
      </c>
    </row>
    <row r="451" spans="1:42" ht="13">
      <c r="A451" s="36">
        <v>44370</v>
      </c>
      <c r="B451" s="35">
        <v>39219</v>
      </c>
      <c r="C451" s="35">
        <v>28551</v>
      </c>
      <c r="D451" s="35">
        <v>21922</v>
      </c>
      <c r="E451" s="35">
        <v>46619</v>
      </c>
      <c r="F451" s="35">
        <v>144083</v>
      </c>
      <c r="G451" s="35">
        <v>33573</v>
      </c>
      <c r="H451" s="35">
        <v>36294</v>
      </c>
      <c r="I451" s="35">
        <v>44430</v>
      </c>
      <c r="J451" s="35">
        <v>42607</v>
      </c>
      <c r="K451" s="35">
        <v>22468</v>
      </c>
      <c r="L451" s="35">
        <v>25751</v>
      </c>
      <c r="M451" s="35">
        <v>28454</v>
      </c>
      <c r="N451" s="35">
        <v>20338</v>
      </c>
      <c r="O451" s="35">
        <v>112025</v>
      </c>
      <c r="P451" s="35">
        <v>28941</v>
      </c>
      <c r="Q451" s="35">
        <v>41200</v>
      </c>
      <c r="R451" s="35">
        <v>17763</v>
      </c>
      <c r="S451" s="35">
        <v>23580</v>
      </c>
      <c r="T451" s="35">
        <v>31567</v>
      </c>
      <c r="U451" s="35">
        <v>18390</v>
      </c>
      <c r="V451" s="35">
        <f t="shared" si="455"/>
        <v>807775</v>
      </c>
      <c r="W451" s="35">
        <f t="shared" ref="W451:AP451" si="458">B451-B450</f>
        <v>6</v>
      </c>
      <c r="X451" s="35">
        <f t="shared" si="458"/>
        <v>2</v>
      </c>
      <c r="Y451" s="35">
        <f t="shared" si="458"/>
        <v>2</v>
      </c>
      <c r="Z451" s="35">
        <f t="shared" si="458"/>
        <v>7</v>
      </c>
      <c r="AA451" s="35">
        <f t="shared" si="458"/>
        <v>21</v>
      </c>
      <c r="AB451" s="35">
        <f t="shared" si="458"/>
        <v>1</v>
      </c>
      <c r="AC451" s="35">
        <f t="shared" si="458"/>
        <v>0</v>
      </c>
      <c r="AD451" s="35">
        <f t="shared" si="458"/>
        <v>3</v>
      </c>
      <c r="AE451" s="35">
        <f t="shared" si="458"/>
        <v>1</v>
      </c>
      <c r="AF451" s="35">
        <f t="shared" si="458"/>
        <v>6</v>
      </c>
      <c r="AG451" s="35">
        <f t="shared" si="458"/>
        <v>5</v>
      </c>
      <c r="AH451" s="35">
        <f t="shared" si="458"/>
        <v>3</v>
      </c>
      <c r="AI451" s="35">
        <f t="shared" si="458"/>
        <v>2</v>
      </c>
      <c r="AJ451" s="35">
        <f t="shared" si="458"/>
        <v>20</v>
      </c>
      <c r="AK451" s="35">
        <f t="shared" si="458"/>
        <v>0</v>
      </c>
      <c r="AL451" s="35">
        <f t="shared" si="458"/>
        <v>2</v>
      </c>
      <c r="AM451" s="35">
        <f t="shared" si="458"/>
        <v>2</v>
      </c>
      <c r="AN451" s="35">
        <f t="shared" si="458"/>
        <v>2</v>
      </c>
      <c r="AO451" s="35">
        <f t="shared" si="458"/>
        <v>5</v>
      </c>
      <c r="AP451" s="35">
        <f t="shared" si="458"/>
        <v>1</v>
      </c>
    </row>
    <row r="452" spans="1:42" ht="13">
      <c r="A452" s="36">
        <v>44371</v>
      </c>
      <c r="B452" s="35">
        <v>39227</v>
      </c>
      <c r="C452" s="35">
        <v>28554</v>
      </c>
      <c r="D452" s="35">
        <v>21923</v>
      </c>
      <c r="E452" s="35">
        <v>46623</v>
      </c>
      <c r="F452" s="35">
        <v>144094</v>
      </c>
      <c r="G452" s="35">
        <v>33575</v>
      </c>
      <c r="H452" s="35">
        <v>36294</v>
      </c>
      <c r="I452" s="35">
        <v>44432</v>
      </c>
      <c r="J452" s="35">
        <v>42609</v>
      </c>
      <c r="K452" s="35">
        <v>22471</v>
      </c>
      <c r="L452" s="35">
        <v>25753</v>
      </c>
      <c r="M452" s="35">
        <v>28457</v>
      </c>
      <c r="N452" s="35">
        <v>20341</v>
      </c>
      <c r="O452" s="35">
        <v>112032</v>
      </c>
      <c r="P452" s="35">
        <v>28941</v>
      </c>
      <c r="Q452" s="35">
        <v>41201</v>
      </c>
      <c r="R452" s="35">
        <v>17766</v>
      </c>
      <c r="S452" s="35">
        <v>23592</v>
      </c>
      <c r="T452" s="35">
        <v>31569</v>
      </c>
      <c r="U452" s="35">
        <v>18390</v>
      </c>
      <c r="V452" s="35">
        <f t="shared" si="455"/>
        <v>807844</v>
      </c>
      <c r="W452" s="35">
        <f t="shared" ref="W452:AP452" si="459">B452-B451</f>
        <v>8</v>
      </c>
      <c r="X452" s="35">
        <f t="shared" si="459"/>
        <v>3</v>
      </c>
      <c r="Y452" s="35">
        <f t="shared" si="459"/>
        <v>1</v>
      </c>
      <c r="Z452" s="35">
        <f t="shared" si="459"/>
        <v>4</v>
      </c>
      <c r="AA452" s="35">
        <f t="shared" si="459"/>
        <v>11</v>
      </c>
      <c r="AB452" s="35">
        <f t="shared" si="459"/>
        <v>2</v>
      </c>
      <c r="AC452" s="35">
        <f t="shared" si="459"/>
        <v>0</v>
      </c>
      <c r="AD452" s="35">
        <f t="shared" si="459"/>
        <v>2</v>
      </c>
      <c r="AE452" s="35">
        <f t="shared" si="459"/>
        <v>2</v>
      </c>
      <c r="AF452" s="35">
        <f t="shared" si="459"/>
        <v>3</v>
      </c>
      <c r="AG452" s="35">
        <f t="shared" si="459"/>
        <v>2</v>
      </c>
      <c r="AH452" s="35">
        <f t="shared" si="459"/>
        <v>3</v>
      </c>
      <c r="AI452" s="35">
        <f t="shared" si="459"/>
        <v>3</v>
      </c>
      <c r="AJ452" s="35">
        <f t="shared" si="459"/>
        <v>7</v>
      </c>
      <c r="AK452" s="35">
        <f t="shared" si="459"/>
        <v>0</v>
      </c>
      <c r="AL452" s="35">
        <f t="shared" si="459"/>
        <v>1</v>
      </c>
      <c r="AM452" s="35">
        <f t="shared" si="459"/>
        <v>3</v>
      </c>
      <c r="AN452" s="35">
        <f t="shared" si="459"/>
        <v>12</v>
      </c>
      <c r="AO452" s="35">
        <f t="shared" si="459"/>
        <v>2</v>
      </c>
      <c r="AP452" s="35">
        <f t="shared" si="459"/>
        <v>0</v>
      </c>
    </row>
    <row r="453" spans="1:42" ht="13">
      <c r="A453" s="36">
        <v>44372</v>
      </c>
      <c r="B453" s="35">
        <v>39233</v>
      </c>
      <c r="C453" s="35">
        <v>28554</v>
      </c>
      <c r="D453" s="35">
        <v>21923</v>
      </c>
      <c r="E453" s="35">
        <v>46630</v>
      </c>
      <c r="F453" s="35">
        <v>144110</v>
      </c>
      <c r="G453" s="35">
        <v>33575</v>
      </c>
      <c r="H453" s="35">
        <v>36295</v>
      </c>
      <c r="I453" s="35">
        <v>44438</v>
      </c>
      <c r="J453" s="35">
        <v>42611</v>
      </c>
      <c r="K453" s="35">
        <v>22475</v>
      </c>
      <c r="L453" s="35">
        <v>25754</v>
      </c>
      <c r="M453" s="35">
        <v>28464</v>
      </c>
      <c r="N453" s="35">
        <v>20343</v>
      </c>
      <c r="O453" s="35">
        <v>112040</v>
      </c>
      <c r="P453" s="35">
        <v>28943</v>
      </c>
      <c r="Q453" s="35">
        <v>41202</v>
      </c>
      <c r="R453" s="35">
        <v>17767</v>
      </c>
      <c r="S453" s="35">
        <v>23592</v>
      </c>
      <c r="T453" s="35">
        <v>31571</v>
      </c>
      <c r="U453" s="35">
        <v>18390</v>
      </c>
      <c r="V453" s="35">
        <f t="shared" si="455"/>
        <v>807910</v>
      </c>
      <c r="W453" s="35">
        <f t="shared" ref="W453:AP453" si="460">B453-B452</f>
        <v>6</v>
      </c>
      <c r="X453" s="35">
        <f t="shared" si="460"/>
        <v>0</v>
      </c>
      <c r="Y453" s="35">
        <f t="shared" si="460"/>
        <v>0</v>
      </c>
      <c r="Z453" s="35">
        <f t="shared" si="460"/>
        <v>7</v>
      </c>
      <c r="AA453" s="35">
        <f t="shared" si="460"/>
        <v>16</v>
      </c>
      <c r="AB453" s="35">
        <f t="shared" si="460"/>
        <v>0</v>
      </c>
      <c r="AC453" s="35">
        <f t="shared" si="460"/>
        <v>1</v>
      </c>
      <c r="AD453" s="35">
        <f t="shared" si="460"/>
        <v>6</v>
      </c>
      <c r="AE453" s="35">
        <f t="shared" si="460"/>
        <v>2</v>
      </c>
      <c r="AF453" s="35">
        <f t="shared" si="460"/>
        <v>4</v>
      </c>
      <c r="AG453" s="35">
        <f t="shared" si="460"/>
        <v>1</v>
      </c>
      <c r="AH453" s="35">
        <f t="shared" si="460"/>
        <v>7</v>
      </c>
      <c r="AI453" s="35">
        <f t="shared" si="460"/>
        <v>2</v>
      </c>
      <c r="AJ453" s="35">
        <f t="shared" si="460"/>
        <v>8</v>
      </c>
      <c r="AK453" s="35">
        <f t="shared" si="460"/>
        <v>2</v>
      </c>
      <c r="AL453" s="35">
        <f t="shared" si="460"/>
        <v>1</v>
      </c>
      <c r="AM453" s="35">
        <f t="shared" si="460"/>
        <v>1</v>
      </c>
      <c r="AN453" s="35">
        <f t="shared" si="460"/>
        <v>0</v>
      </c>
      <c r="AO453" s="35">
        <f t="shared" si="460"/>
        <v>2</v>
      </c>
      <c r="AP453" s="35">
        <f t="shared" si="460"/>
        <v>0</v>
      </c>
    </row>
    <row r="454" spans="1:42" ht="13">
      <c r="A454" s="36">
        <v>44373</v>
      </c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</row>
    <row r="455" spans="1:42" ht="13">
      <c r="A455" s="36">
        <v>44374</v>
      </c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</row>
    <row r="456" spans="1:42" ht="13">
      <c r="A456" s="36">
        <v>44375</v>
      </c>
      <c r="B456" s="35">
        <v>39240</v>
      </c>
      <c r="C456" s="35">
        <v>28558</v>
      </c>
      <c r="D456" s="35">
        <v>21925</v>
      </c>
      <c r="E456" s="35">
        <v>46646</v>
      </c>
      <c r="F456" s="35">
        <v>144137</v>
      </c>
      <c r="G456" s="35">
        <v>33576</v>
      </c>
      <c r="H456" s="35">
        <v>36301</v>
      </c>
      <c r="I456" s="35">
        <v>44441</v>
      </c>
      <c r="J456" s="35">
        <v>42617</v>
      </c>
      <c r="K456" s="35">
        <v>22478</v>
      </c>
      <c r="L456" s="35">
        <v>25757</v>
      </c>
      <c r="M456" s="35">
        <v>28468</v>
      </c>
      <c r="N456" s="35">
        <v>20346</v>
      </c>
      <c r="O456" s="35">
        <v>112062</v>
      </c>
      <c r="P456" s="35">
        <v>28945</v>
      </c>
      <c r="Q456" s="35">
        <v>41205</v>
      </c>
      <c r="R456" s="35">
        <v>17769</v>
      </c>
      <c r="S456" s="35">
        <v>23602</v>
      </c>
      <c r="T456" s="35">
        <v>31576</v>
      </c>
      <c r="U456" s="35">
        <v>18393</v>
      </c>
      <c r="V456" s="35">
        <f t="shared" ref="V456:V460" si="461">SUM(B456:U456)</f>
        <v>808042</v>
      </c>
      <c r="W456" s="35">
        <f t="shared" ref="W456:AP456" si="462">B456-B453</f>
        <v>7</v>
      </c>
      <c r="X456" s="35">
        <f t="shared" si="462"/>
        <v>4</v>
      </c>
      <c r="Y456" s="35">
        <f t="shared" si="462"/>
        <v>2</v>
      </c>
      <c r="Z456" s="35">
        <f t="shared" si="462"/>
        <v>16</v>
      </c>
      <c r="AA456" s="35">
        <f t="shared" si="462"/>
        <v>27</v>
      </c>
      <c r="AB456" s="35">
        <f t="shared" si="462"/>
        <v>1</v>
      </c>
      <c r="AC456" s="35">
        <f t="shared" si="462"/>
        <v>6</v>
      </c>
      <c r="AD456" s="35">
        <f t="shared" si="462"/>
        <v>3</v>
      </c>
      <c r="AE456" s="35">
        <f t="shared" si="462"/>
        <v>6</v>
      </c>
      <c r="AF456" s="35">
        <f t="shared" si="462"/>
        <v>3</v>
      </c>
      <c r="AG456" s="35">
        <f t="shared" si="462"/>
        <v>3</v>
      </c>
      <c r="AH456" s="35">
        <f t="shared" si="462"/>
        <v>4</v>
      </c>
      <c r="AI456" s="35">
        <f t="shared" si="462"/>
        <v>3</v>
      </c>
      <c r="AJ456" s="35">
        <f t="shared" si="462"/>
        <v>22</v>
      </c>
      <c r="AK456" s="35">
        <f t="shared" si="462"/>
        <v>2</v>
      </c>
      <c r="AL456" s="35">
        <f t="shared" si="462"/>
        <v>3</v>
      </c>
      <c r="AM456" s="35">
        <f t="shared" si="462"/>
        <v>2</v>
      </c>
      <c r="AN456" s="35">
        <f t="shared" si="462"/>
        <v>10</v>
      </c>
      <c r="AO456" s="35">
        <f t="shared" si="462"/>
        <v>5</v>
      </c>
      <c r="AP456" s="35">
        <f t="shared" si="462"/>
        <v>3</v>
      </c>
    </row>
    <row r="457" spans="1:42" ht="13">
      <c r="A457" s="36">
        <v>44376</v>
      </c>
      <c r="B457" s="35">
        <v>39240</v>
      </c>
      <c r="C457" s="35">
        <v>28558</v>
      </c>
      <c r="D457" s="35">
        <v>21926</v>
      </c>
      <c r="E457" s="35">
        <v>46648</v>
      </c>
      <c r="F457" s="35">
        <v>144149</v>
      </c>
      <c r="G457" s="35">
        <v>33577</v>
      </c>
      <c r="H457" s="35">
        <v>36301</v>
      </c>
      <c r="I457" s="35">
        <v>44443</v>
      </c>
      <c r="J457" s="35">
        <v>42617</v>
      </c>
      <c r="K457" s="35">
        <v>22478</v>
      </c>
      <c r="L457" s="35">
        <v>25760</v>
      </c>
      <c r="M457" s="35">
        <v>28469</v>
      </c>
      <c r="N457" s="35">
        <v>20347</v>
      </c>
      <c r="O457" s="35">
        <v>112065</v>
      </c>
      <c r="P457" s="35">
        <v>28945</v>
      </c>
      <c r="Q457" s="35">
        <v>41209</v>
      </c>
      <c r="R457" s="35">
        <v>17769</v>
      </c>
      <c r="S457" s="35">
        <v>23602</v>
      </c>
      <c r="T457" s="35">
        <v>31580</v>
      </c>
      <c r="U457" s="35">
        <v>18393</v>
      </c>
      <c r="V457" s="35">
        <f t="shared" si="461"/>
        <v>808076</v>
      </c>
      <c r="W457" s="35">
        <f t="shared" ref="W457:AP457" si="463">B457-B456</f>
        <v>0</v>
      </c>
      <c r="X457" s="35">
        <f t="shared" si="463"/>
        <v>0</v>
      </c>
      <c r="Y457" s="35">
        <f t="shared" si="463"/>
        <v>1</v>
      </c>
      <c r="Z457" s="35">
        <f t="shared" si="463"/>
        <v>2</v>
      </c>
      <c r="AA457" s="35">
        <f t="shared" si="463"/>
        <v>12</v>
      </c>
      <c r="AB457" s="35">
        <f t="shared" si="463"/>
        <v>1</v>
      </c>
      <c r="AC457" s="35">
        <f t="shared" si="463"/>
        <v>0</v>
      </c>
      <c r="AD457" s="35">
        <f t="shared" si="463"/>
        <v>2</v>
      </c>
      <c r="AE457" s="35">
        <f t="shared" si="463"/>
        <v>0</v>
      </c>
      <c r="AF457" s="35">
        <f t="shared" si="463"/>
        <v>0</v>
      </c>
      <c r="AG457" s="35">
        <f t="shared" si="463"/>
        <v>3</v>
      </c>
      <c r="AH457" s="35">
        <f t="shared" si="463"/>
        <v>1</v>
      </c>
      <c r="AI457" s="35">
        <f t="shared" si="463"/>
        <v>1</v>
      </c>
      <c r="AJ457" s="35">
        <f t="shared" si="463"/>
        <v>3</v>
      </c>
      <c r="AK457" s="35">
        <f t="shared" si="463"/>
        <v>0</v>
      </c>
      <c r="AL457" s="35">
        <f t="shared" si="463"/>
        <v>4</v>
      </c>
      <c r="AM457" s="35">
        <f t="shared" si="463"/>
        <v>0</v>
      </c>
      <c r="AN457" s="35">
        <f t="shared" si="463"/>
        <v>0</v>
      </c>
      <c r="AO457" s="35">
        <f t="shared" si="463"/>
        <v>4</v>
      </c>
      <c r="AP457" s="35">
        <f t="shared" si="463"/>
        <v>0</v>
      </c>
    </row>
    <row r="458" spans="1:42" ht="13">
      <c r="A458" s="36">
        <v>44377</v>
      </c>
      <c r="B458" s="35">
        <v>39242</v>
      </c>
      <c r="C458" s="35">
        <v>28560</v>
      </c>
      <c r="D458" s="35">
        <v>21928</v>
      </c>
      <c r="E458" s="35">
        <v>46657</v>
      </c>
      <c r="F458" s="35">
        <v>144162</v>
      </c>
      <c r="G458" s="35">
        <v>33579</v>
      </c>
      <c r="H458" s="35">
        <v>36305</v>
      </c>
      <c r="I458" s="35">
        <v>44445</v>
      </c>
      <c r="J458" s="35">
        <v>42618</v>
      </c>
      <c r="K458" s="35">
        <v>22480</v>
      </c>
      <c r="L458" s="35">
        <v>25760</v>
      </c>
      <c r="M458" s="35">
        <v>28471</v>
      </c>
      <c r="N458" s="35">
        <v>20349</v>
      </c>
      <c r="O458" s="35">
        <v>112069</v>
      </c>
      <c r="P458" s="35">
        <v>28948</v>
      </c>
      <c r="Q458" s="35">
        <v>41210</v>
      </c>
      <c r="R458" s="35">
        <v>17769</v>
      </c>
      <c r="S458" s="35">
        <v>23602</v>
      </c>
      <c r="T458" s="35">
        <v>31581</v>
      </c>
      <c r="U458" s="35">
        <v>18393</v>
      </c>
      <c r="V458" s="35">
        <f t="shared" si="461"/>
        <v>808128</v>
      </c>
      <c r="W458" s="35">
        <f t="shared" ref="W458:AP458" si="464">B458-B457</f>
        <v>2</v>
      </c>
      <c r="X458" s="35">
        <f t="shared" si="464"/>
        <v>2</v>
      </c>
      <c r="Y458" s="35">
        <f t="shared" si="464"/>
        <v>2</v>
      </c>
      <c r="Z458" s="35">
        <f t="shared" si="464"/>
        <v>9</v>
      </c>
      <c r="AA458" s="35">
        <f t="shared" si="464"/>
        <v>13</v>
      </c>
      <c r="AB458" s="35">
        <f t="shared" si="464"/>
        <v>2</v>
      </c>
      <c r="AC458" s="35">
        <f t="shared" si="464"/>
        <v>4</v>
      </c>
      <c r="AD458" s="35">
        <f t="shared" si="464"/>
        <v>2</v>
      </c>
      <c r="AE458" s="35">
        <f t="shared" si="464"/>
        <v>1</v>
      </c>
      <c r="AF458" s="35">
        <f t="shared" si="464"/>
        <v>2</v>
      </c>
      <c r="AG458" s="35">
        <f t="shared" si="464"/>
        <v>0</v>
      </c>
      <c r="AH458" s="35">
        <f t="shared" si="464"/>
        <v>2</v>
      </c>
      <c r="AI458" s="35">
        <f t="shared" si="464"/>
        <v>2</v>
      </c>
      <c r="AJ458" s="35">
        <f t="shared" si="464"/>
        <v>4</v>
      </c>
      <c r="AK458" s="35">
        <f t="shared" si="464"/>
        <v>3</v>
      </c>
      <c r="AL458" s="35">
        <f t="shared" si="464"/>
        <v>1</v>
      </c>
      <c r="AM458" s="35">
        <f t="shared" si="464"/>
        <v>0</v>
      </c>
      <c r="AN458" s="35">
        <f t="shared" si="464"/>
        <v>0</v>
      </c>
      <c r="AO458" s="35">
        <f t="shared" si="464"/>
        <v>1</v>
      </c>
      <c r="AP458" s="35">
        <f t="shared" si="464"/>
        <v>0</v>
      </c>
    </row>
    <row r="459" spans="1:42" ht="13">
      <c r="A459" s="36">
        <v>44378</v>
      </c>
      <c r="B459" s="35">
        <v>39244</v>
      </c>
      <c r="C459" s="35">
        <v>28561</v>
      </c>
      <c r="D459" s="35">
        <v>21931</v>
      </c>
      <c r="E459" s="35">
        <v>46660</v>
      </c>
      <c r="F459" s="35">
        <v>144169</v>
      </c>
      <c r="G459" s="35">
        <v>33581</v>
      </c>
      <c r="H459" s="35">
        <v>36305</v>
      </c>
      <c r="I459" s="35">
        <v>44446</v>
      </c>
      <c r="J459" s="35">
        <v>42619</v>
      </c>
      <c r="K459" s="35">
        <v>22481</v>
      </c>
      <c r="L459" s="35">
        <v>25761</v>
      </c>
      <c r="M459" s="35">
        <v>28471</v>
      </c>
      <c r="N459" s="35">
        <v>20349</v>
      </c>
      <c r="O459" s="35">
        <v>112075</v>
      </c>
      <c r="P459" s="35">
        <v>28951</v>
      </c>
      <c r="Q459" s="35">
        <v>41211</v>
      </c>
      <c r="R459" s="35">
        <v>17769</v>
      </c>
      <c r="S459" s="35">
        <v>23602</v>
      </c>
      <c r="T459" s="35">
        <v>31581</v>
      </c>
      <c r="U459" s="35">
        <v>18393</v>
      </c>
      <c r="V459" s="35">
        <f t="shared" si="461"/>
        <v>808160</v>
      </c>
      <c r="W459" s="35">
        <f t="shared" ref="W459:AP459" si="465">B459-B458</f>
        <v>2</v>
      </c>
      <c r="X459" s="35">
        <f t="shared" si="465"/>
        <v>1</v>
      </c>
      <c r="Y459" s="35">
        <f t="shared" si="465"/>
        <v>3</v>
      </c>
      <c r="Z459" s="35">
        <f t="shared" si="465"/>
        <v>3</v>
      </c>
      <c r="AA459" s="35">
        <f t="shared" si="465"/>
        <v>7</v>
      </c>
      <c r="AB459" s="35">
        <f t="shared" si="465"/>
        <v>2</v>
      </c>
      <c r="AC459" s="35">
        <f t="shared" si="465"/>
        <v>0</v>
      </c>
      <c r="AD459" s="35">
        <f t="shared" si="465"/>
        <v>1</v>
      </c>
      <c r="AE459" s="35">
        <f t="shared" si="465"/>
        <v>1</v>
      </c>
      <c r="AF459" s="35">
        <f t="shared" si="465"/>
        <v>1</v>
      </c>
      <c r="AG459" s="35">
        <f t="shared" si="465"/>
        <v>1</v>
      </c>
      <c r="AH459" s="35">
        <f t="shared" si="465"/>
        <v>0</v>
      </c>
      <c r="AI459" s="35">
        <f t="shared" si="465"/>
        <v>0</v>
      </c>
      <c r="AJ459" s="35">
        <f t="shared" si="465"/>
        <v>6</v>
      </c>
      <c r="AK459" s="35">
        <f t="shared" si="465"/>
        <v>3</v>
      </c>
      <c r="AL459" s="35">
        <f t="shared" si="465"/>
        <v>1</v>
      </c>
      <c r="AM459" s="35">
        <f t="shared" si="465"/>
        <v>0</v>
      </c>
      <c r="AN459" s="35">
        <f t="shared" si="465"/>
        <v>0</v>
      </c>
      <c r="AO459" s="35">
        <f t="shared" si="465"/>
        <v>0</v>
      </c>
      <c r="AP459" s="35">
        <f t="shared" si="465"/>
        <v>0</v>
      </c>
    </row>
    <row r="460" spans="1:42" ht="13">
      <c r="A460" s="36">
        <v>44379</v>
      </c>
      <c r="B460" s="35">
        <v>39246</v>
      </c>
      <c r="C460" s="35">
        <v>28562</v>
      </c>
      <c r="D460" s="35">
        <v>21931</v>
      </c>
      <c r="E460" s="35">
        <v>46666</v>
      </c>
      <c r="F460" s="35">
        <v>144176</v>
      </c>
      <c r="G460" s="35">
        <v>33581</v>
      </c>
      <c r="H460" s="35">
        <v>36306</v>
      </c>
      <c r="I460" s="35">
        <v>44447</v>
      </c>
      <c r="J460" s="35">
        <v>42619</v>
      </c>
      <c r="K460" s="35">
        <v>22481</v>
      </c>
      <c r="L460" s="35">
        <v>25761</v>
      </c>
      <c r="M460" s="35">
        <v>28472</v>
      </c>
      <c r="N460" s="35">
        <v>20351</v>
      </c>
      <c r="O460" s="35">
        <v>112079</v>
      </c>
      <c r="P460" s="35">
        <v>28953</v>
      </c>
      <c r="Q460" s="35">
        <v>41212</v>
      </c>
      <c r="R460" s="35">
        <v>17772</v>
      </c>
      <c r="S460" s="35">
        <v>23606</v>
      </c>
      <c r="T460" s="35">
        <v>31583</v>
      </c>
      <c r="U460" s="35">
        <v>18393</v>
      </c>
      <c r="V460" s="35">
        <f t="shared" si="461"/>
        <v>808197</v>
      </c>
      <c r="W460" s="35">
        <f t="shared" ref="W460:AP460" si="466">B460-B459</f>
        <v>2</v>
      </c>
      <c r="X460" s="35">
        <f t="shared" si="466"/>
        <v>1</v>
      </c>
      <c r="Y460" s="35">
        <f t="shared" si="466"/>
        <v>0</v>
      </c>
      <c r="Z460" s="35">
        <f t="shared" si="466"/>
        <v>6</v>
      </c>
      <c r="AA460" s="35">
        <f t="shared" si="466"/>
        <v>7</v>
      </c>
      <c r="AB460" s="35">
        <f t="shared" si="466"/>
        <v>0</v>
      </c>
      <c r="AC460" s="35">
        <f t="shared" si="466"/>
        <v>1</v>
      </c>
      <c r="AD460" s="35">
        <f t="shared" si="466"/>
        <v>1</v>
      </c>
      <c r="AE460" s="35">
        <f t="shared" si="466"/>
        <v>0</v>
      </c>
      <c r="AF460" s="35">
        <f t="shared" si="466"/>
        <v>0</v>
      </c>
      <c r="AG460" s="35">
        <f t="shared" si="466"/>
        <v>0</v>
      </c>
      <c r="AH460" s="35">
        <f t="shared" si="466"/>
        <v>1</v>
      </c>
      <c r="AI460" s="35">
        <f t="shared" si="466"/>
        <v>2</v>
      </c>
      <c r="AJ460" s="35">
        <f t="shared" si="466"/>
        <v>4</v>
      </c>
      <c r="AK460" s="35">
        <f t="shared" si="466"/>
        <v>2</v>
      </c>
      <c r="AL460" s="35">
        <f t="shared" si="466"/>
        <v>1</v>
      </c>
      <c r="AM460" s="35">
        <f t="shared" si="466"/>
        <v>3</v>
      </c>
      <c r="AN460" s="35">
        <f t="shared" si="466"/>
        <v>4</v>
      </c>
      <c r="AO460" s="35">
        <f t="shared" si="466"/>
        <v>2</v>
      </c>
      <c r="AP460" s="35">
        <f t="shared" si="466"/>
        <v>0</v>
      </c>
    </row>
    <row r="461" spans="1:42" ht="13">
      <c r="A461" s="36">
        <v>44380</v>
      </c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</row>
    <row r="462" spans="1:42" ht="13">
      <c r="A462" s="36">
        <v>44381</v>
      </c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</row>
    <row r="463" spans="1:42" ht="13">
      <c r="A463" s="36">
        <v>44382</v>
      </c>
      <c r="B463" s="35">
        <v>39247</v>
      </c>
      <c r="C463" s="35">
        <v>28565</v>
      </c>
      <c r="D463" s="35">
        <v>21932</v>
      </c>
      <c r="E463" s="35">
        <v>46667</v>
      </c>
      <c r="F463" s="35">
        <v>144204</v>
      </c>
      <c r="G463" s="35">
        <v>33582</v>
      </c>
      <c r="H463" s="35">
        <v>36309</v>
      </c>
      <c r="I463" s="35">
        <v>44450</v>
      </c>
      <c r="J463" s="35">
        <v>42619</v>
      </c>
      <c r="K463" s="35">
        <v>22482</v>
      </c>
      <c r="L463" s="35">
        <v>25761</v>
      </c>
      <c r="M463" s="35">
        <v>28472</v>
      </c>
      <c r="N463" s="35">
        <v>20352</v>
      </c>
      <c r="O463" s="35">
        <v>112090</v>
      </c>
      <c r="P463" s="35">
        <v>28957</v>
      </c>
      <c r="Q463" s="35">
        <v>41215</v>
      </c>
      <c r="R463" s="35">
        <v>17772</v>
      </c>
      <c r="S463" s="35">
        <v>23608</v>
      </c>
      <c r="T463" s="35">
        <v>31585</v>
      </c>
      <c r="U463" s="35">
        <v>18393</v>
      </c>
      <c r="V463" s="35">
        <f t="shared" ref="V463:V467" si="467">SUM(B463:U463)</f>
        <v>808262</v>
      </c>
      <c r="W463" s="35">
        <f t="shared" ref="W463:AP463" si="468">B463-B460</f>
        <v>1</v>
      </c>
      <c r="X463" s="35">
        <f t="shared" si="468"/>
        <v>3</v>
      </c>
      <c r="Y463" s="35">
        <f t="shared" si="468"/>
        <v>1</v>
      </c>
      <c r="Z463" s="35">
        <f t="shared" si="468"/>
        <v>1</v>
      </c>
      <c r="AA463" s="35">
        <f t="shared" si="468"/>
        <v>28</v>
      </c>
      <c r="AB463" s="35">
        <f t="shared" si="468"/>
        <v>1</v>
      </c>
      <c r="AC463" s="35">
        <f t="shared" si="468"/>
        <v>3</v>
      </c>
      <c r="AD463" s="35">
        <f t="shared" si="468"/>
        <v>3</v>
      </c>
      <c r="AE463" s="35">
        <f t="shared" si="468"/>
        <v>0</v>
      </c>
      <c r="AF463" s="35">
        <f t="shared" si="468"/>
        <v>1</v>
      </c>
      <c r="AG463" s="35">
        <f t="shared" si="468"/>
        <v>0</v>
      </c>
      <c r="AH463" s="35">
        <f t="shared" si="468"/>
        <v>0</v>
      </c>
      <c r="AI463" s="35">
        <f t="shared" si="468"/>
        <v>1</v>
      </c>
      <c r="AJ463" s="35">
        <f t="shared" si="468"/>
        <v>11</v>
      </c>
      <c r="AK463" s="35">
        <f t="shared" si="468"/>
        <v>4</v>
      </c>
      <c r="AL463" s="35">
        <f t="shared" si="468"/>
        <v>3</v>
      </c>
      <c r="AM463" s="35">
        <f t="shared" si="468"/>
        <v>0</v>
      </c>
      <c r="AN463" s="35">
        <f t="shared" si="468"/>
        <v>2</v>
      </c>
      <c r="AO463" s="35">
        <f t="shared" si="468"/>
        <v>2</v>
      </c>
      <c r="AP463" s="35">
        <f t="shared" si="468"/>
        <v>0</v>
      </c>
    </row>
    <row r="464" spans="1:42" ht="13">
      <c r="A464" s="36">
        <v>44383</v>
      </c>
      <c r="B464" s="35">
        <v>39248</v>
      </c>
      <c r="C464" s="35">
        <v>28566</v>
      </c>
      <c r="D464" s="35">
        <v>21936</v>
      </c>
      <c r="E464" s="35">
        <v>46669</v>
      </c>
      <c r="F464" s="35">
        <v>144211</v>
      </c>
      <c r="G464" s="35">
        <v>33582</v>
      </c>
      <c r="H464" s="35">
        <v>36309</v>
      </c>
      <c r="I464" s="35">
        <v>44451</v>
      </c>
      <c r="J464" s="35">
        <v>42619</v>
      </c>
      <c r="K464" s="35">
        <v>22483</v>
      </c>
      <c r="L464" s="35">
        <v>25765</v>
      </c>
      <c r="M464" s="35">
        <v>28473</v>
      </c>
      <c r="N464" s="35">
        <v>20352</v>
      </c>
      <c r="O464" s="35">
        <v>112093</v>
      </c>
      <c r="P464" s="35">
        <v>28957</v>
      </c>
      <c r="Q464" s="35">
        <v>41219</v>
      </c>
      <c r="R464" s="35">
        <v>17773</v>
      </c>
      <c r="S464" s="35">
        <v>23609</v>
      </c>
      <c r="T464" s="35">
        <v>31585</v>
      </c>
      <c r="U464" s="35">
        <v>18394</v>
      </c>
      <c r="V464" s="35">
        <f t="shared" si="467"/>
        <v>808294</v>
      </c>
      <c r="W464" s="35">
        <f t="shared" ref="W464:AP464" si="469">B464-B463</f>
        <v>1</v>
      </c>
      <c r="X464" s="35">
        <f t="shared" si="469"/>
        <v>1</v>
      </c>
      <c r="Y464" s="35">
        <f t="shared" si="469"/>
        <v>4</v>
      </c>
      <c r="Z464" s="35">
        <f t="shared" si="469"/>
        <v>2</v>
      </c>
      <c r="AA464" s="35">
        <f t="shared" si="469"/>
        <v>7</v>
      </c>
      <c r="AB464" s="35">
        <f t="shared" si="469"/>
        <v>0</v>
      </c>
      <c r="AC464" s="35">
        <f t="shared" si="469"/>
        <v>0</v>
      </c>
      <c r="AD464" s="35">
        <f t="shared" si="469"/>
        <v>1</v>
      </c>
      <c r="AE464" s="35">
        <f t="shared" si="469"/>
        <v>0</v>
      </c>
      <c r="AF464" s="35">
        <f t="shared" si="469"/>
        <v>1</v>
      </c>
      <c r="AG464" s="35">
        <f t="shared" si="469"/>
        <v>4</v>
      </c>
      <c r="AH464" s="35">
        <f t="shared" si="469"/>
        <v>1</v>
      </c>
      <c r="AI464" s="35">
        <f t="shared" si="469"/>
        <v>0</v>
      </c>
      <c r="AJ464" s="35">
        <f t="shared" si="469"/>
        <v>3</v>
      </c>
      <c r="AK464" s="35">
        <f t="shared" si="469"/>
        <v>0</v>
      </c>
      <c r="AL464" s="35">
        <f t="shared" si="469"/>
        <v>4</v>
      </c>
      <c r="AM464" s="35">
        <f t="shared" si="469"/>
        <v>1</v>
      </c>
      <c r="AN464" s="35">
        <f t="shared" si="469"/>
        <v>1</v>
      </c>
      <c r="AO464" s="35">
        <f t="shared" si="469"/>
        <v>0</v>
      </c>
      <c r="AP464" s="35">
        <f t="shared" si="469"/>
        <v>1</v>
      </c>
    </row>
    <row r="465" spans="1:42" ht="13">
      <c r="A465" s="36">
        <v>44384</v>
      </c>
      <c r="B465" s="35">
        <v>39249</v>
      </c>
      <c r="C465" s="35">
        <v>28567</v>
      </c>
      <c r="D465" s="35">
        <v>21937</v>
      </c>
      <c r="E465" s="35">
        <v>46672</v>
      </c>
      <c r="F465" s="35">
        <v>144223</v>
      </c>
      <c r="G465" s="35">
        <v>33583</v>
      </c>
      <c r="H465" s="35">
        <v>36309</v>
      </c>
      <c r="I465" s="35">
        <v>44456</v>
      </c>
      <c r="J465" s="35">
        <v>42621</v>
      </c>
      <c r="K465" s="35">
        <v>22484</v>
      </c>
      <c r="L465" s="35">
        <v>25767</v>
      </c>
      <c r="M465" s="35">
        <v>28475</v>
      </c>
      <c r="N465" s="35">
        <v>20354</v>
      </c>
      <c r="O465" s="35">
        <v>112098</v>
      </c>
      <c r="P465" s="35">
        <v>28957</v>
      </c>
      <c r="Q465" s="35">
        <v>41220</v>
      </c>
      <c r="R465" s="35">
        <v>17774</v>
      </c>
      <c r="S465" s="35">
        <v>23610</v>
      </c>
      <c r="T465" s="35">
        <v>31588</v>
      </c>
      <c r="U465" s="35">
        <v>18394</v>
      </c>
      <c r="V465" s="35">
        <f t="shared" si="467"/>
        <v>808338</v>
      </c>
      <c r="W465" s="35">
        <f t="shared" ref="W465:AP465" si="470">B465-B464</f>
        <v>1</v>
      </c>
      <c r="X465" s="35">
        <f t="shared" si="470"/>
        <v>1</v>
      </c>
      <c r="Y465" s="35">
        <f t="shared" si="470"/>
        <v>1</v>
      </c>
      <c r="Z465" s="35">
        <f t="shared" si="470"/>
        <v>3</v>
      </c>
      <c r="AA465" s="35">
        <f t="shared" si="470"/>
        <v>12</v>
      </c>
      <c r="AB465" s="35">
        <f t="shared" si="470"/>
        <v>1</v>
      </c>
      <c r="AC465" s="35">
        <f t="shared" si="470"/>
        <v>0</v>
      </c>
      <c r="AD465" s="35">
        <f t="shared" si="470"/>
        <v>5</v>
      </c>
      <c r="AE465" s="35">
        <f t="shared" si="470"/>
        <v>2</v>
      </c>
      <c r="AF465" s="35">
        <f t="shared" si="470"/>
        <v>1</v>
      </c>
      <c r="AG465" s="35">
        <f t="shared" si="470"/>
        <v>2</v>
      </c>
      <c r="AH465" s="35">
        <f t="shared" si="470"/>
        <v>2</v>
      </c>
      <c r="AI465" s="35">
        <f t="shared" si="470"/>
        <v>2</v>
      </c>
      <c r="AJ465" s="35">
        <f t="shared" si="470"/>
        <v>5</v>
      </c>
      <c r="AK465" s="35">
        <f t="shared" si="470"/>
        <v>0</v>
      </c>
      <c r="AL465" s="35">
        <f t="shared" si="470"/>
        <v>1</v>
      </c>
      <c r="AM465" s="35">
        <f t="shared" si="470"/>
        <v>1</v>
      </c>
      <c r="AN465" s="35">
        <f t="shared" si="470"/>
        <v>1</v>
      </c>
      <c r="AO465" s="35">
        <f t="shared" si="470"/>
        <v>3</v>
      </c>
      <c r="AP465" s="35">
        <f t="shared" si="470"/>
        <v>0</v>
      </c>
    </row>
    <row r="466" spans="1:42" ht="13">
      <c r="A466" s="36">
        <v>44385</v>
      </c>
      <c r="B466" s="35">
        <v>39250</v>
      </c>
      <c r="C466" s="35">
        <v>28567</v>
      </c>
      <c r="D466" s="35">
        <v>21939</v>
      </c>
      <c r="E466" s="35">
        <v>46680</v>
      </c>
      <c r="F466" s="35">
        <v>144234</v>
      </c>
      <c r="G466" s="35">
        <v>33584</v>
      </c>
      <c r="H466" s="35">
        <v>36313</v>
      </c>
      <c r="I466" s="35">
        <v>44461</v>
      </c>
      <c r="J466" s="35">
        <v>42621</v>
      </c>
      <c r="K466" s="35">
        <v>22487</v>
      </c>
      <c r="L466" s="35">
        <v>25770</v>
      </c>
      <c r="M466" s="35">
        <v>28477</v>
      </c>
      <c r="N466" s="35">
        <v>20355</v>
      </c>
      <c r="O466" s="35">
        <v>112103</v>
      </c>
      <c r="P466" s="35">
        <v>28958</v>
      </c>
      <c r="Q466" s="35">
        <v>41223</v>
      </c>
      <c r="R466" s="35">
        <v>17775</v>
      </c>
      <c r="S466" s="35">
        <v>23610</v>
      </c>
      <c r="T466" s="35">
        <v>31588</v>
      </c>
      <c r="U466" s="35">
        <v>18398</v>
      </c>
      <c r="V466" s="35">
        <f t="shared" si="467"/>
        <v>808393</v>
      </c>
      <c r="W466" s="35">
        <f t="shared" ref="W466:AP466" si="471">B466-B465</f>
        <v>1</v>
      </c>
      <c r="X466" s="35">
        <f t="shared" si="471"/>
        <v>0</v>
      </c>
      <c r="Y466" s="35">
        <f t="shared" si="471"/>
        <v>2</v>
      </c>
      <c r="Z466" s="35">
        <f t="shared" si="471"/>
        <v>8</v>
      </c>
      <c r="AA466" s="35">
        <f t="shared" si="471"/>
        <v>11</v>
      </c>
      <c r="AB466" s="35">
        <f t="shared" si="471"/>
        <v>1</v>
      </c>
      <c r="AC466" s="35">
        <f t="shared" si="471"/>
        <v>4</v>
      </c>
      <c r="AD466" s="35">
        <f t="shared" si="471"/>
        <v>5</v>
      </c>
      <c r="AE466" s="35">
        <f t="shared" si="471"/>
        <v>0</v>
      </c>
      <c r="AF466" s="35">
        <f t="shared" si="471"/>
        <v>3</v>
      </c>
      <c r="AG466" s="35">
        <f t="shared" si="471"/>
        <v>3</v>
      </c>
      <c r="AH466" s="35">
        <f t="shared" si="471"/>
        <v>2</v>
      </c>
      <c r="AI466" s="35">
        <f t="shared" si="471"/>
        <v>1</v>
      </c>
      <c r="AJ466" s="35">
        <f t="shared" si="471"/>
        <v>5</v>
      </c>
      <c r="AK466" s="35">
        <f t="shared" si="471"/>
        <v>1</v>
      </c>
      <c r="AL466" s="35">
        <f t="shared" si="471"/>
        <v>3</v>
      </c>
      <c r="AM466" s="35">
        <f t="shared" si="471"/>
        <v>1</v>
      </c>
      <c r="AN466" s="35">
        <f t="shared" si="471"/>
        <v>0</v>
      </c>
      <c r="AO466" s="35">
        <f t="shared" si="471"/>
        <v>0</v>
      </c>
      <c r="AP466" s="35">
        <f t="shared" si="471"/>
        <v>4</v>
      </c>
    </row>
    <row r="467" spans="1:42" ht="13">
      <c r="A467" s="36">
        <v>44386</v>
      </c>
      <c r="B467" s="35">
        <v>39250</v>
      </c>
      <c r="C467" s="35">
        <v>28570</v>
      </c>
      <c r="D467" s="35">
        <v>21940</v>
      </c>
      <c r="E467" s="35">
        <v>46689</v>
      </c>
      <c r="F467" s="35">
        <v>144241</v>
      </c>
      <c r="G467" s="35">
        <v>33586</v>
      </c>
      <c r="H467" s="35">
        <v>36313</v>
      </c>
      <c r="I467" s="35">
        <v>44463</v>
      </c>
      <c r="J467" s="35">
        <v>42622</v>
      </c>
      <c r="K467" s="35">
        <v>22488</v>
      </c>
      <c r="L467" s="35">
        <v>25770</v>
      </c>
      <c r="M467" s="35">
        <v>28477</v>
      </c>
      <c r="N467" s="35">
        <v>20357</v>
      </c>
      <c r="O467" s="35">
        <v>112111</v>
      </c>
      <c r="P467" s="35">
        <v>28960</v>
      </c>
      <c r="Q467" s="35">
        <v>41223</v>
      </c>
      <c r="R467" s="35">
        <v>17776</v>
      </c>
      <c r="S467" s="35">
        <v>23611</v>
      </c>
      <c r="T467" s="35">
        <v>31592</v>
      </c>
      <c r="U467" s="35">
        <v>18398</v>
      </c>
      <c r="V467" s="35">
        <f t="shared" si="467"/>
        <v>808437</v>
      </c>
      <c r="W467" s="35">
        <f t="shared" ref="W467:AP467" si="472">B467-B466</f>
        <v>0</v>
      </c>
      <c r="X467" s="35">
        <f t="shared" si="472"/>
        <v>3</v>
      </c>
      <c r="Y467" s="35">
        <f t="shared" si="472"/>
        <v>1</v>
      </c>
      <c r="Z467" s="35">
        <f t="shared" si="472"/>
        <v>9</v>
      </c>
      <c r="AA467" s="35">
        <f t="shared" si="472"/>
        <v>7</v>
      </c>
      <c r="AB467" s="35">
        <f t="shared" si="472"/>
        <v>2</v>
      </c>
      <c r="AC467" s="35">
        <f t="shared" si="472"/>
        <v>0</v>
      </c>
      <c r="AD467" s="35">
        <f t="shared" si="472"/>
        <v>2</v>
      </c>
      <c r="AE467" s="35">
        <f t="shared" si="472"/>
        <v>1</v>
      </c>
      <c r="AF467" s="35">
        <f t="shared" si="472"/>
        <v>1</v>
      </c>
      <c r="AG467" s="35">
        <f t="shared" si="472"/>
        <v>0</v>
      </c>
      <c r="AH467" s="35">
        <f t="shared" si="472"/>
        <v>0</v>
      </c>
      <c r="AI467" s="35">
        <f t="shared" si="472"/>
        <v>2</v>
      </c>
      <c r="AJ467" s="35">
        <f t="shared" si="472"/>
        <v>8</v>
      </c>
      <c r="AK467" s="35">
        <f t="shared" si="472"/>
        <v>2</v>
      </c>
      <c r="AL467" s="35">
        <f t="shared" si="472"/>
        <v>0</v>
      </c>
      <c r="AM467" s="35">
        <f t="shared" si="472"/>
        <v>1</v>
      </c>
      <c r="AN467" s="35">
        <f t="shared" si="472"/>
        <v>1</v>
      </c>
      <c r="AO467" s="35">
        <f t="shared" si="472"/>
        <v>4</v>
      </c>
      <c r="AP467" s="35">
        <f t="shared" si="472"/>
        <v>0</v>
      </c>
    </row>
    <row r="468" spans="1:42" ht="13">
      <c r="A468" s="36">
        <v>44387</v>
      </c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</row>
    <row r="469" spans="1:42" ht="13">
      <c r="A469" s="36">
        <v>44388</v>
      </c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</row>
    <row r="470" spans="1:42" ht="13">
      <c r="A470" s="36">
        <v>44389</v>
      </c>
      <c r="B470" s="35">
        <v>39258</v>
      </c>
      <c r="C470" s="35">
        <v>28571</v>
      </c>
      <c r="D470" s="35">
        <v>21945</v>
      </c>
      <c r="E470" s="35">
        <v>46695</v>
      </c>
      <c r="F470" s="35">
        <v>144266</v>
      </c>
      <c r="G470" s="35">
        <v>33592</v>
      </c>
      <c r="H470" s="35">
        <v>36316</v>
      </c>
      <c r="I470" s="35">
        <v>44468</v>
      </c>
      <c r="J470" s="35">
        <v>42623</v>
      </c>
      <c r="K470" s="35">
        <v>22491</v>
      </c>
      <c r="L470" s="35">
        <v>25771</v>
      </c>
      <c r="M470" s="35">
        <v>28482</v>
      </c>
      <c r="N470" s="35">
        <v>20360</v>
      </c>
      <c r="O470" s="35">
        <v>112121</v>
      </c>
      <c r="P470" s="35">
        <v>28963</v>
      </c>
      <c r="Q470" s="35">
        <v>41226</v>
      </c>
      <c r="R470" s="35">
        <v>17776</v>
      </c>
      <c r="S470" s="35">
        <v>23619</v>
      </c>
      <c r="T470" s="35">
        <v>31597</v>
      </c>
      <c r="U470" s="35">
        <v>18399</v>
      </c>
      <c r="V470" s="35">
        <f t="shared" ref="V470:V474" si="473">SUM(B470:U470)</f>
        <v>808539</v>
      </c>
      <c r="W470" s="35">
        <f t="shared" ref="W470:AP470" si="474">B470-B467</f>
        <v>8</v>
      </c>
      <c r="X470" s="35">
        <f t="shared" si="474"/>
        <v>1</v>
      </c>
      <c r="Y470" s="35">
        <f t="shared" si="474"/>
        <v>5</v>
      </c>
      <c r="Z470" s="35">
        <f t="shared" si="474"/>
        <v>6</v>
      </c>
      <c r="AA470" s="35">
        <f t="shared" si="474"/>
        <v>25</v>
      </c>
      <c r="AB470" s="35">
        <f t="shared" si="474"/>
        <v>6</v>
      </c>
      <c r="AC470" s="35">
        <f t="shared" si="474"/>
        <v>3</v>
      </c>
      <c r="AD470" s="35">
        <f t="shared" si="474"/>
        <v>5</v>
      </c>
      <c r="AE470" s="35">
        <f t="shared" si="474"/>
        <v>1</v>
      </c>
      <c r="AF470" s="35">
        <f t="shared" si="474"/>
        <v>3</v>
      </c>
      <c r="AG470" s="35">
        <f t="shared" si="474"/>
        <v>1</v>
      </c>
      <c r="AH470" s="35">
        <f t="shared" si="474"/>
        <v>5</v>
      </c>
      <c r="AI470" s="35">
        <f t="shared" si="474"/>
        <v>3</v>
      </c>
      <c r="AJ470" s="35">
        <f t="shared" si="474"/>
        <v>10</v>
      </c>
      <c r="AK470" s="35">
        <f t="shared" si="474"/>
        <v>3</v>
      </c>
      <c r="AL470" s="35">
        <f t="shared" si="474"/>
        <v>3</v>
      </c>
      <c r="AM470" s="35">
        <f t="shared" si="474"/>
        <v>0</v>
      </c>
      <c r="AN470" s="35">
        <f t="shared" si="474"/>
        <v>8</v>
      </c>
      <c r="AO470" s="35">
        <f t="shared" si="474"/>
        <v>5</v>
      </c>
      <c r="AP470" s="35">
        <f t="shared" si="474"/>
        <v>1</v>
      </c>
    </row>
    <row r="471" spans="1:42" ht="13">
      <c r="A471" s="36">
        <v>44390</v>
      </c>
      <c r="B471" s="35">
        <v>39260</v>
      </c>
      <c r="C471" s="35">
        <v>28571</v>
      </c>
      <c r="D471" s="35">
        <v>21945</v>
      </c>
      <c r="E471" s="35">
        <v>46695</v>
      </c>
      <c r="F471" s="35">
        <v>144270</v>
      </c>
      <c r="G471" s="35">
        <v>33592</v>
      </c>
      <c r="H471" s="35">
        <v>36316</v>
      </c>
      <c r="I471" s="35">
        <v>44468</v>
      </c>
      <c r="J471" s="35">
        <v>42624</v>
      </c>
      <c r="K471" s="35">
        <v>22492</v>
      </c>
      <c r="L471" s="35">
        <v>25771</v>
      </c>
      <c r="M471" s="35">
        <v>28484</v>
      </c>
      <c r="N471" s="35">
        <v>20361</v>
      </c>
      <c r="O471" s="35">
        <v>112125</v>
      </c>
      <c r="P471" s="35">
        <v>28964</v>
      </c>
      <c r="Q471" s="35">
        <v>41226</v>
      </c>
      <c r="R471" s="35">
        <v>17776</v>
      </c>
      <c r="S471" s="35">
        <v>23619</v>
      </c>
      <c r="T471" s="35">
        <v>31598</v>
      </c>
      <c r="U471" s="35">
        <v>18399</v>
      </c>
      <c r="V471" s="35">
        <f t="shared" si="473"/>
        <v>808556</v>
      </c>
      <c r="W471" s="35">
        <f t="shared" ref="W471:AP471" si="475">B471-B470</f>
        <v>2</v>
      </c>
      <c r="X471" s="35">
        <f t="shared" si="475"/>
        <v>0</v>
      </c>
      <c r="Y471" s="35">
        <f t="shared" si="475"/>
        <v>0</v>
      </c>
      <c r="Z471" s="35">
        <f t="shared" si="475"/>
        <v>0</v>
      </c>
      <c r="AA471" s="35">
        <f t="shared" si="475"/>
        <v>4</v>
      </c>
      <c r="AB471" s="35">
        <f t="shared" si="475"/>
        <v>0</v>
      </c>
      <c r="AC471" s="35">
        <f t="shared" si="475"/>
        <v>0</v>
      </c>
      <c r="AD471" s="35">
        <f t="shared" si="475"/>
        <v>0</v>
      </c>
      <c r="AE471" s="35">
        <f t="shared" si="475"/>
        <v>1</v>
      </c>
      <c r="AF471" s="35">
        <f t="shared" si="475"/>
        <v>1</v>
      </c>
      <c r="AG471" s="35">
        <f t="shared" si="475"/>
        <v>0</v>
      </c>
      <c r="AH471" s="35">
        <f t="shared" si="475"/>
        <v>2</v>
      </c>
      <c r="AI471" s="35">
        <f t="shared" si="475"/>
        <v>1</v>
      </c>
      <c r="AJ471" s="35">
        <f t="shared" si="475"/>
        <v>4</v>
      </c>
      <c r="AK471" s="35">
        <f t="shared" si="475"/>
        <v>1</v>
      </c>
      <c r="AL471" s="35">
        <f t="shared" si="475"/>
        <v>0</v>
      </c>
      <c r="AM471" s="35">
        <f t="shared" si="475"/>
        <v>0</v>
      </c>
      <c r="AN471" s="35">
        <f t="shared" si="475"/>
        <v>0</v>
      </c>
      <c r="AO471" s="35">
        <f t="shared" si="475"/>
        <v>1</v>
      </c>
      <c r="AP471" s="35">
        <f t="shared" si="475"/>
        <v>0</v>
      </c>
    </row>
    <row r="472" spans="1:42" ht="13">
      <c r="A472" s="36">
        <v>44391</v>
      </c>
      <c r="B472" s="35">
        <v>39264</v>
      </c>
      <c r="C472" s="35">
        <v>28575</v>
      </c>
      <c r="D472" s="35">
        <v>21949</v>
      </c>
      <c r="E472" s="35">
        <v>46700</v>
      </c>
      <c r="F472" s="35">
        <v>144283</v>
      </c>
      <c r="G472" s="35">
        <v>33594</v>
      </c>
      <c r="H472" s="35">
        <v>36318</v>
      </c>
      <c r="I472" s="35">
        <v>44468</v>
      </c>
      <c r="J472" s="35">
        <v>42625</v>
      </c>
      <c r="K472" s="35">
        <v>22493</v>
      </c>
      <c r="L472" s="35">
        <v>25773</v>
      </c>
      <c r="M472" s="35">
        <v>28485</v>
      </c>
      <c r="N472" s="35">
        <v>20361</v>
      </c>
      <c r="O472" s="35">
        <v>112132</v>
      </c>
      <c r="P472" s="35">
        <v>28967</v>
      </c>
      <c r="Q472" s="35">
        <v>41226</v>
      </c>
      <c r="R472" s="35">
        <v>17780</v>
      </c>
      <c r="S472" s="35">
        <v>23619</v>
      </c>
      <c r="T472" s="35">
        <v>31600</v>
      </c>
      <c r="U472" s="35">
        <v>18400</v>
      </c>
      <c r="V472" s="35">
        <f t="shared" si="473"/>
        <v>808612</v>
      </c>
      <c r="W472" s="35">
        <f t="shared" ref="W472:AP472" si="476">B472-B471</f>
        <v>4</v>
      </c>
      <c r="X472" s="35">
        <f t="shared" si="476"/>
        <v>4</v>
      </c>
      <c r="Y472" s="35">
        <f t="shared" si="476"/>
        <v>4</v>
      </c>
      <c r="Z472" s="35">
        <f t="shared" si="476"/>
        <v>5</v>
      </c>
      <c r="AA472" s="35">
        <f t="shared" si="476"/>
        <v>13</v>
      </c>
      <c r="AB472" s="35">
        <f t="shared" si="476"/>
        <v>2</v>
      </c>
      <c r="AC472" s="35">
        <f t="shared" si="476"/>
        <v>2</v>
      </c>
      <c r="AD472" s="35">
        <f t="shared" si="476"/>
        <v>0</v>
      </c>
      <c r="AE472" s="35">
        <f t="shared" si="476"/>
        <v>1</v>
      </c>
      <c r="AF472" s="35">
        <f t="shared" si="476"/>
        <v>1</v>
      </c>
      <c r="AG472" s="35">
        <f t="shared" si="476"/>
        <v>2</v>
      </c>
      <c r="AH472" s="35">
        <f t="shared" si="476"/>
        <v>1</v>
      </c>
      <c r="AI472" s="35">
        <f t="shared" si="476"/>
        <v>0</v>
      </c>
      <c r="AJ472" s="35">
        <f t="shared" si="476"/>
        <v>7</v>
      </c>
      <c r="AK472" s="35">
        <f t="shared" si="476"/>
        <v>3</v>
      </c>
      <c r="AL472" s="35">
        <f t="shared" si="476"/>
        <v>0</v>
      </c>
      <c r="AM472" s="35">
        <f t="shared" si="476"/>
        <v>4</v>
      </c>
      <c r="AN472" s="35">
        <f t="shared" si="476"/>
        <v>0</v>
      </c>
      <c r="AO472" s="35">
        <f t="shared" si="476"/>
        <v>2</v>
      </c>
      <c r="AP472" s="35">
        <f t="shared" si="476"/>
        <v>1</v>
      </c>
    </row>
    <row r="473" spans="1:42" ht="13">
      <c r="A473" s="36">
        <v>44392</v>
      </c>
      <c r="B473" s="35">
        <v>39264</v>
      </c>
      <c r="C473" s="35">
        <v>28575</v>
      </c>
      <c r="D473" s="35">
        <v>21950</v>
      </c>
      <c r="E473" s="35">
        <v>46706</v>
      </c>
      <c r="F473" s="35">
        <v>144298</v>
      </c>
      <c r="G473" s="35">
        <v>33597</v>
      </c>
      <c r="H473" s="35">
        <v>36320</v>
      </c>
      <c r="I473" s="35">
        <v>44470</v>
      </c>
      <c r="J473" s="35">
        <v>42626</v>
      </c>
      <c r="K473" s="35">
        <v>22494</v>
      </c>
      <c r="L473" s="35">
        <v>25773</v>
      </c>
      <c r="M473" s="35">
        <v>28486</v>
      </c>
      <c r="N473" s="35">
        <v>20361</v>
      </c>
      <c r="O473" s="35">
        <v>112139</v>
      </c>
      <c r="P473" s="35">
        <v>28968</v>
      </c>
      <c r="Q473" s="35">
        <v>41230</v>
      </c>
      <c r="R473" s="35">
        <v>17780</v>
      </c>
      <c r="S473" s="35">
        <v>23621</v>
      </c>
      <c r="T473" s="35">
        <v>31603</v>
      </c>
      <c r="U473" s="35">
        <v>18400</v>
      </c>
      <c r="V473" s="35">
        <f t="shared" si="473"/>
        <v>808661</v>
      </c>
      <c r="W473" s="35">
        <f t="shared" ref="W473:AP473" si="477">B473-B472</f>
        <v>0</v>
      </c>
      <c r="X473" s="35">
        <f t="shared" si="477"/>
        <v>0</v>
      </c>
      <c r="Y473" s="35">
        <f t="shared" si="477"/>
        <v>1</v>
      </c>
      <c r="Z473" s="35">
        <f t="shared" si="477"/>
        <v>6</v>
      </c>
      <c r="AA473" s="35">
        <f t="shared" si="477"/>
        <v>15</v>
      </c>
      <c r="AB473" s="35">
        <f t="shared" si="477"/>
        <v>3</v>
      </c>
      <c r="AC473" s="35">
        <f t="shared" si="477"/>
        <v>2</v>
      </c>
      <c r="AD473" s="35">
        <f t="shared" si="477"/>
        <v>2</v>
      </c>
      <c r="AE473" s="35">
        <f t="shared" si="477"/>
        <v>1</v>
      </c>
      <c r="AF473" s="35">
        <f t="shared" si="477"/>
        <v>1</v>
      </c>
      <c r="AG473" s="35">
        <f t="shared" si="477"/>
        <v>0</v>
      </c>
      <c r="AH473" s="35">
        <f t="shared" si="477"/>
        <v>1</v>
      </c>
      <c r="AI473" s="35">
        <f t="shared" si="477"/>
        <v>0</v>
      </c>
      <c r="AJ473" s="35">
        <f t="shared" si="477"/>
        <v>7</v>
      </c>
      <c r="AK473" s="35">
        <f t="shared" si="477"/>
        <v>1</v>
      </c>
      <c r="AL473" s="35">
        <f t="shared" si="477"/>
        <v>4</v>
      </c>
      <c r="AM473" s="35">
        <f t="shared" si="477"/>
        <v>0</v>
      </c>
      <c r="AN473" s="35">
        <f t="shared" si="477"/>
        <v>2</v>
      </c>
      <c r="AO473" s="35">
        <f t="shared" si="477"/>
        <v>3</v>
      </c>
      <c r="AP473" s="35">
        <f t="shared" si="477"/>
        <v>0</v>
      </c>
    </row>
    <row r="474" spans="1:42" ht="13">
      <c r="A474" s="36">
        <v>44393</v>
      </c>
      <c r="B474" s="35">
        <v>39270</v>
      </c>
      <c r="C474" s="35">
        <v>28580</v>
      </c>
      <c r="D474" s="35">
        <v>21951</v>
      </c>
      <c r="E474" s="35">
        <v>46706</v>
      </c>
      <c r="F474" s="35">
        <v>144315</v>
      </c>
      <c r="G474" s="35">
        <v>33600</v>
      </c>
      <c r="H474" s="35">
        <v>36324</v>
      </c>
      <c r="I474" s="35">
        <v>44473</v>
      </c>
      <c r="J474" s="35">
        <v>42627</v>
      </c>
      <c r="K474" s="35">
        <v>22494</v>
      </c>
      <c r="L474" s="35">
        <v>25777</v>
      </c>
      <c r="M474" s="35">
        <v>28487</v>
      </c>
      <c r="N474" s="35">
        <v>20361</v>
      </c>
      <c r="O474" s="35">
        <v>112142</v>
      </c>
      <c r="P474" s="35">
        <v>28971</v>
      </c>
      <c r="Q474" s="35">
        <v>41232</v>
      </c>
      <c r="R474" s="35">
        <v>17782</v>
      </c>
      <c r="S474" s="35">
        <v>23624</v>
      </c>
      <c r="T474" s="35">
        <v>31608</v>
      </c>
      <c r="U474" s="35">
        <v>18401</v>
      </c>
      <c r="V474" s="35">
        <f t="shared" si="473"/>
        <v>808725</v>
      </c>
      <c r="W474" s="35">
        <f t="shared" ref="W474:AP474" si="478">B474-B473</f>
        <v>6</v>
      </c>
      <c r="X474" s="35">
        <f t="shared" si="478"/>
        <v>5</v>
      </c>
      <c r="Y474" s="35">
        <f t="shared" si="478"/>
        <v>1</v>
      </c>
      <c r="Z474" s="35">
        <f t="shared" si="478"/>
        <v>0</v>
      </c>
      <c r="AA474" s="35">
        <f t="shared" si="478"/>
        <v>17</v>
      </c>
      <c r="AB474" s="35">
        <f t="shared" si="478"/>
        <v>3</v>
      </c>
      <c r="AC474" s="35">
        <f t="shared" si="478"/>
        <v>4</v>
      </c>
      <c r="AD474" s="35">
        <f t="shared" si="478"/>
        <v>3</v>
      </c>
      <c r="AE474" s="35">
        <f t="shared" si="478"/>
        <v>1</v>
      </c>
      <c r="AF474" s="35">
        <f t="shared" si="478"/>
        <v>0</v>
      </c>
      <c r="AG474" s="35">
        <f t="shared" si="478"/>
        <v>4</v>
      </c>
      <c r="AH474" s="35">
        <f t="shared" si="478"/>
        <v>1</v>
      </c>
      <c r="AI474" s="35">
        <f t="shared" si="478"/>
        <v>0</v>
      </c>
      <c r="AJ474" s="35">
        <f t="shared" si="478"/>
        <v>3</v>
      </c>
      <c r="AK474" s="35">
        <f t="shared" si="478"/>
        <v>3</v>
      </c>
      <c r="AL474" s="35">
        <f t="shared" si="478"/>
        <v>2</v>
      </c>
      <c r="AM474" s="35">
        <f t="shared" si="478"/>
        <v>2</v>
      </c>
      <c r="AN474" s="35">
        <f t="shared" si="478"/>
        <v>3</v>
      </c>
      <c r="AO474" s="35">
        <f t="shared" si="478"/>
        <v>5</v>
      </c>
      <c r="AP474" s="35">
        <f t="shared" si="478"/>
        <v>1</v>
      </c>
    </row>
    <row r="475" spans="1:42" ht="13">
      <c r="A475" s="36">
        <v>44394</v>
      </c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</row>
    <row r="476" spans="1:42" ht="13">
      <c r="A476" s="36">
        <v>44395</v>
      </c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</row>
    <row r="477" spans="1:42" ht="13">
      <c r="A477" s="36">
        <v>44396</v>
      </c>
      <c r="B477" s="35">
        <v>39275</v>
      </c>
      <c r="C477" s="35">
        <v>28585</v>
      </c>
      <c r="D477" s="35">
        <v>21952</v>
      </c>
      <c r="E477" s="35">
        <v>46715</v>
      </c>
      <c r="F477" s="35">
        <v>144356</v>
      </c>
      <c r="G477" s="35">
        <v>33604</v>
      </c>
      <c r="H477" s="35">
        <v>36327</v>
      </c>
      <c r="I477" s="35">
        <v>44474</v>
      </c>
      <c r="J477" s="35">
        <v>42628</v>
      </c>
      <c r="K477" s="35">
        <v>22495</v>
      </c>
      <c r="L477" s="35">
        <v>25781</v>
      </c>
      <c r="M477" s="35">
        <v>28490</v>
      </c>
      <c r="N477" s="35">
        <v>20361</v>
      </c>
      <c r="O477" s="35">
        <v>112181</v>
      </c>
      <c r="P477" s="35">
        <v>28973</v>
      </c>
      <c r="Q477" s="35">
        <v>41238</v>
      </c>
      <c r="R477" s="35">
        <v>17785</v>
      </c>
      <c r="S477" s="35">
        <v>23629</v>
      </c>
      <c r="T477" s="35">
        <v>31614</v>
      </c>
      <c r="U477" s="35">
        <v>18401</v>
      </c>
      <c r="V477" s="35">
        <f t="shared" ref="V477:V481" si="479">SUM(B477:U477)</f>
        <v>808864</v>
      </c>
      <c r="W477" s="35">
        <f t="shared" ref="W477:AP477" si="480">B477-B474</f>
        <v>5</v>
      </c>
      <c r="X477" s="35">
        <f t="shared" si="480"/>
        <v>5</v>
      </c>
      <c r="Y477" s="35">
        <f t="shared" si="480"/>
        <v>1</v>
      </c>
      <c r="Z477" s="35">
        <f t="shared" si="480"/>
        <v>9</v>
      </c>
      <c r="AA477" s="35">
        <f t="shared" si="480"/>
        <v>41</v>
      </c>
      <c r="AB477" s="35">
        <f t="shared" si="480"/>
        <v>4</v>
      </c>
      <c r="AC477" s="35">
        <f t="shared" si="480"/>
        <v>3</v>
      </c>
      <c r="AD477" s="35">
        <f t="shared" si="480"/>
        <v>1</v>
      </c>
      <c r="AE477" s="35">
        <f t="shared" si="480"/>
        <v>1</v>
      </c>
      <c r="AF477" s="35">
        <f t="shared" si="480"/>
        <v>1</v>
      </c>
      <c r="AG477" s="35">
        <f t="shared" si="480"/>
        <v>4</v>
      </c>
      <c r="AH477" s="35">
        <f t="shared" si="480"/>
        <v>3</v>
      </c>
      <c r="AI477" s="35">
        <f t="shared" si="480"/>
        <v>0</v>
      </c>
      <c r="AJ477" s="35">
        <f t="shared" si="480"/>
        <v>39</v>
      </c>
      <c r="AK477" s="35">
        <f t="shared" si="480"/>
        <v>2</v>
      </c>
      <c r="AL477" s="35">
        <f t="shared" si="480"/>
        <v>6</v>
      </c>
      <c r="AM477" s="35">
        <f t="shared" si="480"/>
        <v>3</v>
      </c>
      <c r="AN477" s="35">
        <f t="shared" si="480"/>
        <v>5</v>
      </c>
      <c r="AO477" s="35">
        <f t="shared" si="480"/>
        <v>6</v>
      </c>
      <c r="AP477" s="35">
        <f t="shared" si="480"/>
        <v>0</v>
      </c>
    </row>
    <row r="478" spans="1:42" ht="13">
      <c r="A478" s="36">
        <v>44397</v>
      </c>
      <c r="B478" s="35">
        <v>39275</v>
      </c>
      <c r="C478" s="35">
        <v>28587</v>
      </c>
      <c r="D478" s="35">
        <v>21953</v>
      </c>
      <c r="E478" s="35">
        <v>46717</v>
      </c>
      <c r="F478" s="35">
        <v>144362</v>
      </c>
      <c r="G478" s="35">
        <v>33606</v>
      </c>
      <c r="H478" s="35">
        <v>36327</v>
      </c>
      <c r="I478" s="35">
        <v>44477</v>
      </c>
      <c r="J478" s="35">
        <v>42628</v>
      </c>
      <c r="K478" s="35">
        <v>22495</v>
      </c>
      <c r="L478" s="35">
        <v>25782</v>
      </c>
      <c r="M478" s="35">
        <v>28490</v>
      </c>
      <c r="N478" s="35">
        <v>20362</v>
      </c>
      <c r="O478" s="35">
        <v>112185</v>
      </c>
      <c r="P478" s="35">
        <v>28973</v>
      </c>
      <c r="Q478" s="35">
        <v>41238</v>
      </c>
      <c r="R478" s="35">
        <v>17786</v>
      </c>
      <c r="S478" s="35">
        <v>23630</v>
      </c>
      <c r="T478" s="35">
        <v>31615</v>
      </c>
      <c r="U478" s="35">
        <v>18401</v>
      </c>
      <c r="V478" s="35">
        <f t="shared" si="479"/>
        <v>808889</v>
      </c>
      <c r="W478" s="35">
        <f t="shared" ref="W478:AP478" si="481">B478-B477</f>
        <v>0</v>
      </c>
      <c r="X478" s="35">
        <f t="shared" si="481"/>
        <v>2</v>
      </c>
      <c r="Y478" s="35">
        <f t="shared" si="481"/>
        <v>1</v>
      </c>
      <c r="Z478" s="35">
        <f t="shared" si="481"/>
        <v>2</v>
      </c>
      <c r="AA478" s="35">
        <f t="shared" si="481"/>
        <v>6</v>
      </c>
      <c r="AB478" s="35">
        <f t="shared" si="481"/>
        <v>2</v>
      </c>
      <c r="AC478" s="35">
        <f t="shared" si="481"/>
        <v>0</v>
      </c>
      <c r="AD478" s="35">
        <f t="shared" si="481"/>
        <v>3</v>
      </c>
      <c r="AE478" s="35">
        <f t="shared" si="481"/>
        <v>0</v>
      </c>
      <c r="AF478" s="35">
        <f t="shared" si="481"/>
        <v>0</v>
      </c>
      <c r="AG478" s="35">
        <f t="shared" si="481"/>
        <v>1</v>
      </c>
      <c r="AH478" s="35">
        <f t="shared" si="481"/>
        <v>0</v>
      </c>
      <c r="AI478" s="35">
        <f t="shared" si="481"/>
        <v>1</v>
      </c>
      <c r="AJ478" s="35">
        <f t="shared" si="481"/>
        <v>4</v>
      </c>
      <c r="AK478" s="35">
        <f t="shared" si="481"/>
        <v>0</v>
      </c>
      <c r="AL478" s="35">
        <f t="shared" si="481"/>
        <v>0</v>
      </c>
      <c r="AM478" s="35">
        <f t="shared" si="481"/>
        <v>1</v>
      </c>
      <c r="AN478" s="35">
        <f t="shared" si="481"/>
        <v>1</v>
      </c>
      <c r="AO478" s="35">
        <f t="shared" si="481"/>
        <v>1</v>
      </c>
      <c r="AP478" s="35">
        <f t="shared" si="481"/>
        <v>0</v>
      </c>
    </row>
    <row r="479" spans="1:42" ht="13">
      <c r="A479" s="36">
        <v>44398</v>
      </c>
      <c r="B479" s="35">
        <v>39279</v>
      </c>
      <c r="C479" s="35">
        <v>28592</v>
      </c>
      <c r="D479" s="35">
        <v>21958</v>
      </c>
      <c r="E479" s="35">
        <v>46723</v>
      </c>
      <c r="F479" s="35">
        <v>144377</v>
      </c>
      <c r="G479" s="35">
        <v>33608</v>
      </c>
      <c r="H479" s="35">
        <v>36329</v>
      </c>
      <c r="I479" s="35">
        <v>44477</v>
      </c>
      <c r="J479" s="35">
        <v>42628</v>
      </c>
      <c r="K479" s="35">
        <v>22496</v>
      </c>
      <c r="L479" s="35">
        <v>25786</v>
      </c>
      <c r="M479" s="35">
        <v>28490</v>
      </c>
      <c r="N479" s="35">
        <v>20363</v>
      </c>
      <c r="O479" s="35">
        <v>112188</v>
      </c>
      <c r="P479" s="35">
        <v>28974</v>
      </c>
      <c r="Q479" s="35">
        <v>41240</v>
      </c>
      <c r="R479" s="35">
        <v>17789</v>
      </c>
      <c r="S479" s="35">
        <v>23631</v>
      </c>
      <c r="T479" s="35">
        <v>31616</v>
      </c>
      <c r="U479" s="35">
        <v>18401</v>
      </c>
      <c r="V479" s="35">
        <f t="shared" si="479"/>
        <v>808945</v>
      </c>
      <c r="W479" s="35">
        <f t="shared" ref="W479:AP479" si="482">B479-B478</f>
        <v>4</v>
      </c>
      <c r="X479" s="35">
        <f t="shared" si="482"/>
        <v>5</v>
      </c>
      <c r="Y479" s="35">
        <f t="shared" si="482"/>
        <v>5</v>
      </c>
      <c r="Z479" s="35">
        <f t="shared" si="482"/>
        <v>6</v>
      </c>
      <c r="AA479" s="35">
        <f t="shared" si="482"/>
        <v>15</v>
      </c>
      <c r="AB479" s="35">
        <f t="shared" si="482"/>
        <v>2</v>
      </c>
      <c r="AC479" s="35">
        <f t="shared" si="482"/>
        <v>2</v>
      </c>
      <c r="AD479" s="35">
        <f t="shared" si="482"/>
        <v>0</v>
      </c>
      <c r="AE479" s="35">
        <f t="shared" si="482"/>
        <v>0</v>
      </c>
      <c r="AF479" s="35">
        <f t="shared" si="482"/>
        <v>1</v>
      </c>
      <c r="AG479" s="35">
        <f t="shared" si="482"/>
        <v>4</v>
      </c>
      <c r="AH479" s="35">
        <f t="shared" si="482"/>
        <v>0</v>
      </c>
      <c r="AI479" s="35">
        <f t="shared" si="482"/>
        <v>1</v>
      </c>
      <c r="AJ479" s="35">
        <f t="shared" si="482"/>
        <v>3</v>
      </c>
      <c r="AK479" s="35">
        <f t="shared" si="482"/>
        <v>1</v>
      </c>
      <c r="AL479" s="35">
        <f t="shared" si="482"/>
        <v>2</v>
      </c>
      <c r="AM479" s="35">
        <f t="shared" si="482"/>
        <v>3</v>
      </c>
      <c r="AN479" s="35">
        <f t="shared" si="482"/>
        <v>1</v>
      </c>
      <c r="AO479" s="35">
        <f t="shared" si="482"/>
        <v>1</v>
      </c>
      <c r="AP479" s="35">
        <f t="shared" si="482"/>
        <v>0</v>
      </c>
    </row>
    <row r="480" spans="1:42" ht="13">
      <c r="A480" s="36">
        <v>44399</v>
      </c>
      <c r="B480" s="35">
        <v>39279</v>
      </c>
      <c r="C480" s="35">
        <v>28594</v>
      </c>
      <c r="D480" s="35">
        <v>21960</v>
      </c>
      <c r="E480" s="35">
        <v>46727</v>
      </c>
      <c r="F480" s="35">
        <v>144395</v>
      </c>
      <c r="G480" s="35">
        <v>33609</v>
      </c>
      <c r="H480" s="35">
        <v>36333</v>
      </c>
      <c r="I480" s="35">
        <v>44477</v>
      </c>
      <c r="J480" s="35">
        <v>42629</v>
      </c>
      <c r="K480" s="35">
        <v>22503</v>
      </c>
      <c r="L480" s="35">
        <v>25786</v>
      </c>
      <c r="M480" s="35">
        <v>28492</v>
      </c>
      <c r="N480" s="35">
        <v>20364</v>
      </c>
      <c r="O480" s="35">
        <v>112202</v>
      </c>
      <c r="P480" s="35">
        <v>28981</v>
      </c>
      <c r="Q480" s="35">
        <v>41241</v>
      </c>
      <c r="R480" s="35">
        <v>17790</v>
      </c>
      <c r="S480" s="35">
        <v>23633</v>
      </c>
      <c r="T480" s="35">
        <v>31620</v>
      </c>
      <c r="U480" s="35">
        <v>18401</v>
      </c>
      <c r="V480" s="35">
        <f t="shared" si="479"/>
        <v>809016</v>
      </c>
      <c r="W480" s="35">
        <f t="shared" ref="W480:AP480" si="483">B480-B479</f>
        <v>0</v>
      </c>
      <c r="X480" s="35">
        <f t="shared" si="483"/>
        <v>2</v>
      </c>
      <c r="Y480" s="35">
        <f t="shared" si="483"/>
        <v>2</v>
      </c>
      <c r="Z480" s="35">
        <f t="shared" si="483"/>
        <v>4</v>
      </c>
      <c r="AA480" s="35">
        <f t="shared" si="483"/>
        <v>18</v>
      </c>
      <c r="AB480" s="35">
        <f t="shared" si="483"/>
        <v>1</v>
      </c>
      <c r="AC480" s="35">
        <f t="shared" si="483"/>
        <v>4</v>
      </c>
      <c r="AD480" s="35">
        <f t="shared" si="483"/>
        <v>0</v>
      </c>
      <c r="AE480" s="35">
        <f t="shared" si="483"/>
        <v>1</v>
      </c>
      <c r="AF480" s="35">
        <f t="shared" si="483"/>
        <v>7</v>
      </c>
      <c r="AG480" s="35">
        <f t="shared" si="483"/>
        <v>0</v>
      </c>
      <c r="AH480" s="35">
        <f t="shared" si="483"/>
        <v>2</v>
      </c>
      <c r="AI480" s="35">
        <f t="shared" si="483"/>
        <v>1</v>
      </c>
      <c r="AJ480" s="35">
        <f t="shared" si="483"/>
        <v>14</v>
      </c>
      <c r="AK480" s="35">
        <f t="shared" si="483"/>
        <v>7</v>
      </c>
      <c r="AL480" s="35">
        <f t="shared" si="483"/>
        <v>1</v>
      </c>
      <c r="AM480" s="35">
        <f t="shared" si="483"/>
        <v>1</v>
      </c>
      <c r="AN480" s="35">
        <f t="shared" si="483"/>
        <v>2</v>
      </c>
      <c r="AO480" s="35">
        <f t="shared" si="483"/>
        <v>4</v>
      </c>
      <c r="AP480" s="35">
        <f t="shared" si="483"/>
        <v>0</v>
      </c>
    </row>
    <row r="481" spans="1:42" ht="13">
      <c r="A481" s="36">
        <v>44400</v>
      </c>
      <c r="B481" s="35">
        <v>39280</v>
      </c>
      <c r="C481" s="35">
        <v>28595</v>
      </c>
      <c r="D481" s="35">
        <v>21961</v>
      </c>
      <c r="E481" s="35">
        <v>46741</v>
      </c>
      <c r="F481" s="35">
        <v>144423</v>
      </c>
      <c r="G481" s="35">
        <v>33610</v>
      </c>
      <c r="H481" s="35">
        <v>36334</v>
      </c>
      <c r="I481" s="35">
        <v>44488</v>
      </c>
      <c r="J481" s="35">
        <v>42633</v>
      </c>
      <c r="K481" s="35">
        <v>22504</v>
      </c>
      <c r="L481" s="35">
        <v>25786</v>
      </c>
      <c r="M481" s="35">
        <v>28493</v>
      </c>
      <c r="N481" s="35">
        <v>20365</v>
      </c>
      <c r="O481" s="35">
        <v>112215</v>
      </c>
      <c r="P481" s="35">
        <v>28984</v>
      </c>
      <c r="Q481" s="35">
        <v>41242</v>
      </c>
      <c r="R481" s="35">
        <v>17790</v>
      </c>
      <c r="S481" s="35">
        <v>23635</v>
      </c>
      <c r="T481" s="35">
        <v>31621</v>
      </c>
      <c r="U481" s="35">
        <v>18401</v>
      </c>
      <c r="V481" s="35">
        <f t="shared" si="479"/>
        <v>809101</v>
      </c>
      <c r="W481" s="35">
        <f t="shared" ref="W481:AP481" si="484">B481-B480</f>
        <v>1</v>
      </c>
      <c r="X481" s="35">
        <f t="shared" si="484"/>
        <v>1</v>
      </c>
      <c r="Y481" s="35">
        <f t="shared" si="484"/>
        <v>1</v>
      </c>
      <c r="Z481" s="35">
        <f t="shared" si="484"/>
        <v>14</v>
      </c>
      <c r="AA481" s="35">
        <f t="shared" si="484"/>
        <v>28</v>
      </c>
      <c r="AB481" s="35">
        <f t="shared" si="484"/>
        <v>1</v>
      </c>
      <c r="AC481" s="35">
        <f t="shared" si="484"/>
        <v>1</v>
      </c>
      <c r="AD481" s="35">
        <f t="shared" si="484"/>
        <v>11</v>
      </c>
      <c r="AE481" s="35">
        <f t="shared" si="484"/>
        <v>4</v>
      </c>
      <c r="AF481" s="35">
        <f t="shared" si="484"/>
        <v>1</v>
      </c>
      <c r="AG481" s="35">
        <f t="shared" si="484"/>
        <v>0</v>
      </c>
      <c r="AH481" s="35">
        <f t="shared" si="484"/>
        <v>1</v>
      </c>
      <c r="AI481" s="35">
        <f t="shared" si="484"/>
        <v>1</v>
      </c>
      <c r="AJ481" s="35">
        <f t="shared" si="484"/>
        <v>13</v>
      </c>
      <c r="AK481" s="35">
        <f t="shared" si="484"/>
        <v>3</v>
      </c>
      <c r="AL481" s="35">
        <f t="shared" si="484"/>
        <v>1</v>
      </c>
      <c r="AM481" s="35">
        <f t="shared" si="484"/>
        <v>0</v>
      </c>
      <c r="AN481" s="35">
        <f t="shared" si="484"/>
        <v>2</v>
      </c>
      <c r="AO481" s="35">
        <f t="shared" si="484"/>
        <v>1</v>
      </c>
      <c r="AP481" s="35">
        <f t="shared" si="484"/>
        <v>0</v>
      </c>
    </row>
    <row r="482" spans="1:42" ht="13">
      <c r="A482" s="36">
        <v>44401</v>
      </c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</row>
    <row r="483" spans="1:42" ht="13">
      <c r="A483" s="36">
        <v>44402</v>
      </c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</row>
    <row r="484" spans="1:42" ht="13">
      <c r="A484" s="36">
        <v>44403</v>
      </c>
      <c r="B484" s="35">
        <v>39281</v>
      </c>
      <c r="C484" s="35">
        <v>28598</v>
      </c>
      <c r="D484" s="35">
        <v>21966</v>
      </c>
      <c r="E484" s="35">
        <v>46755</v>
      </c>
      <c r="F484" s="35">
        <v>144491</v>
      </c>
      <c r="G484" s="35">
        <v>33611</v>
      </c>
      <c r="H484" s="35">
        <v>36338</v>
      </c>
      <c r="I484" s="35">
        <v>44493</v>
      </c>
      <c r="J484" s="35">
        <v>42635</v>
      </c>
      <c r="K484" s="35">
        <v>22507</v>
      </c>
      <c r="L484" s="35">
        <v>25789</v>
      </c>
      <c r="M484" s="35">
        <v>28500</v>
      </c>
      <c r="N484" s="35">
        <v>20367</v>
      </c>
      <c r="O484" s="35">
        <v>112237</v>
      </c>
      <c r="P484" s="35">
        <v>28989</v>
      </c>
      <c r="Q484" s="35">
        <v>41244</v>
      </c>
      <c r="R484" s="35">
        <v>17792</v>
      </c>
      <c r="S484" s="35">
        <v>23639</v>
      </c>
      <c r="T484" s="35">
        <v>31625</v>
      </c>
      <c r="U484" s="35">
        <v>18405</v>
      </c>
      <c r="V484" s="35">
        <f t="shared" ref="V484:V488" si="485">SUM(B484:U484)</f>
        <v>809262</v>
      </c>
      <c r="W484" s="35">
        <f t="shared" ref="W484:AP484" si="486">B484-B481</f>
        <v>1</v>
      </c>
      <c r="X484" s="35">
        <f t="shared" si="486"/>
        <v>3</v>
      </c>
      <c r="Y484" s="35">
        <f t="shared" si="486"/>
        <v>5</v>
      </c>
      <c r="Z484" s="35">
        <f t="shared" si="486"/>
        <v>14</v>
      </c>
      <c r="AA484" s="35">
        <f t="shared" si="486"/>
        <v>68</v>
      </c>
      <c r="AB484" s="35">
        <f t="shared" si="486"/>
        <v>1</v>
      </c>
      <c r="AC484" s="35">
        <f t="shared" si="486"/>
        <v>4</v>
      </c>
      <c r="AD484" s="35">
        <f t="shared" si="486"/>
        <v>5</v>
      </c>
      <c r="AE484" s="35">
        <f t="shared" si="486"/>
        <v>2</v>
      </c>
      <c r="AF484" s="35">
        <f t="shared" si="486"/>
        <v>3</v>
      </c>
      <c r="AG484" s="35">
        <f t="shared" si="486"/>
        <v>3</v>
      </c>
      <c r="AH484" s="35">
        <f t="shared" si="486"/>
        <v>7</v>
      </c>
      <c r="AI484" s="35">
        <f t="shared" si="486"/>
        <v>2</v>
      </c>
      <c r="AJ484" s="35">
        <f t="shared" si="486"/>
        <v>22</v>
      </c>
      <c r="AK484" s="35">
        <f t="shared" si="486"/>
        <v>5</v>
      </c>
      <c r="AL484" s="35">
        <f t="shared" si="486"/>
        <v>2</v>
      </c>
      <c r="AM484" s="35">
        <f t="shared" si="486"/>
        <v>2</v>
      </c>
      <c r="AN484" s="35">
        <f t="shared" si="486"/>
        <v>4</v>
      </c>
      <c r="AO484" s="35">
        <f t="shared" si="486"/>
        <v>4</v>
      </c>
      <c r="AP484" s="35">
        <f t="shared" si="486"/>
        <v>4</v>
      </c>
    </row>
    <row r="485" spans="1:42" ht="13">
      <c r="A485" s="36">
        <v>44404</v>
      </c>
      <c r="B485" s="35">
        <v>39282</v>
      </c>
      <c r="C485" s="35">
        <v>28598</v>
      </c>
      <c r="D485" s="35">
        <v>21967</v>
      </c>
      <c r="E485" s="35">
        <v>46757</v>
      </c>
      <c r="F485" s="35">
        <v>144499</v>
      </c>
      <c r="G485" s="35">
        <v>33613</v>
      </c>
      <c r="H485" s="35">
        <v>36339</v>
      </c>
      <c r="I485" s="35">
        <v>44493</v>
      </c>
      <c r="J485" s="35">
        <v>42635</v>
      </c>
      <c r="K485" s="35">
        <v>22508</v>
      </c>
      <c r="L485" s="35">
        <v>25789</v>
      </c>
      <c r="M485" s="35">
        <v>28500</v>
      </c>
      <c r="N485" s="35">
        <v>20367</v>
      </c>
      <c r="O485" s="35">
        <v>112241</v>
      </c>
      <c r="P485" s="35">
        <v>28992</v>
      </c>
      <c r="Q485" s="35">
        <v>41246</v>
      </c>
      <c r="R485" s="35">
        <v>17792</v>
      </c>
      <c r="S485" s="35">
        <v>23640</v>
      </c>
      <c r="T485" s="35">
        <v>31625</v>
      </c>
      <c r="U485" s="35">
        <v>18405</v>
      </c>
      <c r="V485" s="35">
        <f t="shared" si="485"/>
        <v>809288</v>
      </c>
      <c r="W485" s="35">
        <f t="shared" ref="W485:AP485" si="487">B485-B484</f>
        <v>1</v>
      </c>
      <c r="X485" s="35">
        <f t="shared" si="487"/>
        <v>0</v>
      </c>
      <c r="Y485" s="35">
        <f t="shared" si="487"/>
        <v>1</v>
      </c>
      <c r="Z485" s="35">
        <f t="shared" si="487"/>
        <v>2</v>
      </c>
      <c r="AA485" s="35">
        <f t="shared" si="487"/>
        <v>8</v>
      </c>
      <c r="AB485" s="35">
        <f t="shared" si="487"/>
        <v>2</v>
      </c>
      <c r="AC485" s="35">
        <f t="shared" si="487"/>
        <v>1</v>
      </c>
      <c r="AD485" s="35">
        <f t="shared" si="487"/>
        <v>0</v>
      </c>
      <c r="AE485" s="35">
        <f t="shared" si="487"/>
        <v>0</v>
      </c>
      <c r="AF485" s="35">
        <f t="shared" si="487"/>
        <v>1</v>
      </c>
      <c r="AG485" s="35">
        <f t="shared" si="487"/>
        <v>0</v>
      </c>
      <c r="AH485" s="35">
        <f t="shared" si="487"/>
        <v>0</v>
      </c>
      <c r="AI485" s="35">
        <f t="shared" si="487"/>
        <v>0</v>
      </c>
      <c r="AJ485" s="35">
        <f t="shared" si="487"/>
        <v>4</v>
      </c>
      <c r="AK485" s="35">
        <f t="shared" si="487"/>
        <v>3</v>
      </c>
      <c r="AL485" s="35">
        <f t="shared" si="487"/>
        <v>2</v>
      </c>
      <c r="AM485" s="35">
        <f t="shared" si="487"/>
        <v>0</v>
      </c>
      <c r="AN485" s="35">
        <f t="shared" si="487"/>
        <v>1</v>
      </c>
      <c r="AO485" s="35">
        <f t="shared" si="487"/>
        <v>0</v>
      </c>
      <c r="AP485" s="35">
        <f t="shared" si="487"/>
        <v>0</v>
      </c>
    </row>
    <row r="486" spans="1:42" ht="13">
      <c r="A486" s="36">
        <v>44405</v>
      </c>
      <c r="B486" s="35">
        <v>39284</v>
      </c>
      <c r="C486" s="35">
        <v>28602</v>
      </c>
      <c r="D486" s="35">
        <v>21968</v>
      </c>
      <c r="E486" s="35">
        <v>46765</v>
      </c>
      <c r="F486" s="35">
        <v>144524</v>
      </c>
      <c r="G486" s="35">
        <v>33615</v>
      </c>
      <c r="H486" s="35">
        <v>36342</v>
      </c>
      <c r="I486" s="35">
        <v>44494</v>
      </c>
      <c r="J486" s="35">
        <v>42637</v>
      </c>
      <c r="K486" s="35">
        <v>22509</v>
      </c>
      <c r="L486" s="35">
        <v>25790</v>
      </c>
      <c r="M486" s="35">
        <v>28500</v>
      </c>
      <c r="N486" s="35">
        <v>20367</v>
      </c>
      <c r="O486" s="35">
        <v>112249</v>
      </c>
      <c r="P486" s="35">
        <v>29000</v>
      </c>
      <c r="Q486" s="35">
        <v>41250</v>
      </c>
      <c r="R486" s="35">
        <v>17792</v>
      </c>
      <c r="S486" s="35">
        <v>23641</v>
      </c>
      <c r="T486" s="35">
        <v>31628</v>
      </c>
      <c r="U486" s="35">
        <v>18405</v>
      </c>
      <c r="V486" s="35">
        <f t="shared" si="485"/>
        <v>809362</v>
      </c>
      <c r="W486" s="35">
        <f t="shared" ref="W486:AP486" si="488">B486-B485</f>
        <v>2</v>
      </c>
      <c r="X486" s="35">
        <f t="shared" si="488"/>
        <v>4</v>
      </c>
      <c r="Y486" s="35">
        <f t="shared" si="488"/>
        <v>1</v>
      </c>
      <c r="Z486" s="35">
        <f t="shared" si="488"/>
        <v>8</v>
      </c>
      <c r="AA486" s="35">
        <f t="shared" si="488"/>
        <v>25</v>
      </c>
      <c r="AB486" s="35">
        <f t="shared" si="488"/>
        <v>2</v>
      </c>
      <c r="AC486" s="35">
        <f t="shared" si="488"/>
        <v>3</v>
      </c>
      <c r="AD486" s="35">
        <f t="shared" si="488"/>
        <v>1</v>
      </c>
      <c r="AE486" s="35">
        <f t="shared" si="488"/>
        <v>2</v>
      </c>
      <c r="AF486" s="35">
        <f t="shared" si="488"/>
        <v>1</v>
      </c>
      <c r="AG486" s="35">
        <f t="shared" si="488"/>
        <v>1</v>
      </c>
      <c r="AH486" s="35">
        <f t="shared" si="488"/>
        <v>0</v>
      </c>
      <c r="AI486" s="35">
        <f t="shared" si="488"/>
        <v>0</v>
      </c>
      <c r="AJ486" s="35">
        <f t="shared" si="488"/>
        <v>8</v>
      </c>
      <c r="AK486" s="35">
        <f t="shared" si="488"/>
        <v>8</v>
      </c>
      <c r="AL486" s="35">
        <f t="shared" si="488"/>
        <v>4</v>
      </c>
      <c r="AM486" s="35">
        <f t="shared" si="488"/>
        <v>0</v>
      </c>
      <c r="AN486" s="35">
        <f t="shared" si="488"/>
        <v>1</v>
      </c>
      <c r="AO486" s="35">
        <f t="shared" si="488"/>
        <v>3</v>
      </c>
      <c r="AP486" s="35">
        <f t="shared" si="488"/>
        <v>0</v>
      </c>
    </row>
    <row r="487" spans="1:42" ht="13">
      <c r="A487" s="36">
        <v>44406</v>
      </c>
      <c r="B487" s="35">
        <v>39285</v>
      </c>
      <c r="C487" s="35">
        <v>28603</v>
      </c>
      <c r="D487" s="35">
        <v>21968</v>
      </c>
      <c r="E487" s="35">
        <v>46768</v>
      </c>
      <c r="F487" s="35">
        <v>144539</v>
      </c>
      <c r="G487" s="35">
        <v>33618</v>
      </c>
      <c r="H487" s="35">
        <v>36345</v>
      </c>
      <c r="I487" s="35">
        <v>44496</v>
      </c>
      <c r="J487" s="35">
        <v>42641</v>
      </c>
      <c r="K487" s="35">
        <v>22511</v>
      </c>
      <c r="L487" s="35">
        <v>25790</v>
      </c>
      <c r="M487" s="35">
        <v>28504</v>
      </c>
      <c r="N487" s="35">
        <v>20367</v>
      </c>
      <c r="O487" s="35">
        <v>112259</v>
      </c>
      <c r="P487" s="35">
        <v>29006</v>
      </c>
      <c r="Q487" s="35">
        <v>41251</v>
      </c>
      <c r="R487" s="35">
        <v>17794</v>
      </c>
      <c r="S487" s="35">
        <v>23644</v>
      </c>
      <c r="T487" s="35">
        <v>31633</v>
      </c>
      <c r="U487" s="35">
        <v>18405</v>
      </c>
      <c r="V487" s="35">
        <f t="shared" si="485"/>
        <v>809427</v>
      </c>
      <c r="W487" s="35">
        <f t="shared" ref="W487:AP487" si="489">B487-B486</f>
        <v>1</v>
      </c>
      <c r="X487" s="35">
        <f t="shared" si="489"/>
        <v>1</v>
      </c>
      <c r="Y487" s="35">
        <f t="shared" si="489"/>
        <v>0</v>
      </c>
      <c r="Z487" s="35">
        <f t="shared" si="489"/>
        <v>3</v>
      </c>
      <c r="AA487" s="35">
        <f t="shared" si="489"/>
        <v>15</v>
      </c>
      <c r="AB487" s="35">
        <f t="shared" si="489"/>
        <v>3</v>
      </c>
      <c r="AC487" s="35">
        <f t="shared" si="489"/>
        <v>3</v>
      </c>
      <c r="AD487" s="35">
        <f t="shared" si="489"/>
        <v>2</v>
      </c>
      <c r="AE487" s="35">
        <f t="shared" si="489"/>
        <v>4</v>
      </c>
      <c r="AF487" s="35">
        <f t="shared" si="489"/>
        <v>2</v>
      </c>
      <c r="AG487" s="35">
        <f t="shared" si="489"/>
        <v>0</v>
      </c>
      <c r="AH487" s="35">
        <f t="shared" si="489"/>
        <v>4</v>
      </c>
      <c r="AI487" s="35">
        <f t="shared" si="489"/>
        <v>0</v>
      </c>
      <c r="AJ487" s="35">
        <f t="shared" si="489"/>
        <v>10</v>
      </c>
      <c r="AK487" s="35">
        <f t="shared" si="489"/>
        <v>6</v>
      </c>
      <c r="AL487" s="35">
        <f t="shared" si="489"/>
        <v>1</v>
      </c>
      <c r="AM487" s="35">
        <f t="shared" si="489"/>
        <v>2</v>
      </c>
      <c r="AN487" s="35">
        <f t="shared" si="489"/>
        <v>3</v>
      </c>
      <c r="AO487" s="35">
        <f t="shared" si="489"/>
        <v>5</v>
      </c>
      <c r="AP487" s="35">
        <f t="shared" si="489"/>
        <v>0</v>
      </c>
    </row>
    <row r="488" spans="1:42" ht="13">
      <c r="A488" s="36">
        <v>44407</v>
      </c>
      <c r="B488" s="35">
        <v>39286</v>
      </c>
      <c r="C488" s="35">
        <v>28606</v>
      </c>
      <c r="D488" s="35">
        <v>21969</v>
      </c>
      <c r="E488" s="35">
        <v>46775</v>
      </c>
      <c r="F488" s="35">
        <v>144557</v>
      </c>
      <c r="G488" s="35">
        <v>33619</v>
      </c>
      <c r="H488" s="35">
        <v>36351</v>
      </c>
      <c r="I488" s="35">
        <v>44499</v>
      </c>
      <c r="J488" s="35">
        <v>42641</v>
      </c>
      <c r="K488" s="35">
        <v>22513</v>
      </c>
      <c r="L488" s="35">
        <v>25790</v>
      </c>
      <c r="M488" s="35">
        <v>28508</v>
      </c>
      <c r="N488" s="35">
        <v>20369</v>
      </c>
      <c r="O488" s="35">
        <v>112267</v>
      </c>
      <c r="P488" s="35">
        <v>29011</v>
      </c>
      <c r="Q488" s="35">
        <v>41251</v>
      </c>
      <c r="R488" s="35">
        <v>17795</v>
      </c>
      <c r="S488" s="35">
        <v>23645</v>
      </c>
      <c r="T488" s="35">
        <v>31634</v>
      </c>
      <c r="U488" s="35">
        <v>18405</v>
      </c>
      <c r="V488" s="35">
        <f t="shared" si="485"/>
        <v>809491</v>
      </c>
      <c r="W488" s="35">
        <f t="shared" ref="W488:AP488" si="490">B488-B487</f>
        <v>1</v>
      </c>
      <c r="X488" s="35">
        <f t="shared" si="490"/>
        <v>3</v>
      </c>
      <c r="Y488" s="35">
        <f t="shared" si="490"/>
        <v>1</v>
      </c>
      <c r="Z488" s="35">
        <f t="shared" si="490"/>
        <v>7</v>
      </c>
      <c r="AA488" s="35">
        <f t="shared" si="490"/>
        <v>18</v>
      </c>
      <c r="AB488" s="35">
        <f t="shared" si="490"/>
        <v>1</v>
      </c>
      <c r="AC488" s="35">
        <f t="shared" si="490"/>
        <v>6</v>
      </c>
      <c r="AD488" s="35">
        <f t="shared" si="490"/>
        <v>3</v>
      </c>
      <c r="AE488" s="35">
        <f t="shared" si="490"/>
        <v>0</v>
      </c>
      <c r="AF488" s="35">
        <f t="shared" si="490"/>
        <v>2</v>
      </c>
      <c r="AG488" s="35">
        <f t="shared" si="490"/>
        <v>0</v>
      </c>
      <c r="AH488" s="35">
        <f t="shared" si="490"/>
        <v>4</v>
      </c>
      <c r="AI488" s="35">
        <f t="shared" si="490"/>
        <v>2</v>
      </c>
      <c r="AJ488" s="35">
        <f t="shared" si="490"/>
        <v>8</v>
      </c>
      <c r="AK488" s="35">
        <f t="shared" si="490"/>
        <v>5</v>
      </c>
      <c r="AL488" s="35">
        <f t="shared" si="490"/>
        <v>0</v>
      </c>
      <c r="AM488" s="35">
        <f t="shared" si="490"/>
        <v>1</v>
      </c>
      <c r="AN488" s="35">
        <f t="shared" si="490"/>
        <v>1</v>
      </c>
      <c r="AO488" s="35">
        <f t="shared" si="490"/>
        <v>1</v>
      </c>
      <c r="AP488" s="35">
        <f t="shared" si="490"/>
        <v>0</v>
      </c>
    </row>
    <row r="489" spans="1:42" ht="13">
      <c r="A489" s="30">
        <v>44408</v>
      </c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</row>
    <row r="490" spans="1:42" ht="13">
      <c r="A490" s="30">
        <v>44409</v>
      </c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</row>
    <row r="491" spans="1:42" ht="13">
      <c r="A491" s="30">
        <v>44410</v>
      </c>
      <c r="B491" s="35">
        <v>39296</v>
      </c>
      <c r="C491" s="35">
        <v>28609</v>
      </c>
      <c r="D491" s="35">
        <v>21971</v>
      </c>
      <c r="E491" s="35">
        <v>46785</v>
      </c>
      <c r="F491" s="35">
        <v>144619</v>
      </c>
      <c r="G491" s="35">
        <v>33622</v>
      </c>
      <c r="H491" s="35">
        <v>36357</v>
      </c>
      <c r="I491" s="35">
        <v>44506</v>
      </c>
      <c r="J491" s="35">
        <v>42647</v>
      </c>
      <c r="K491" s="35">
        <v>22514</v>
      </c>
      <c r="L491" s="35">
        <v>25790</v>
      </c>
      <c r="M491" s="35">
        <v>28510</v>
      </c>
      <c r="N491" s="35">
        <v>20374</v>
      </c>
      <c r="O491" s="35">
        <v>112283</v>
      </c>
      <c r="P491" s="35">
        <v>29018</v>
      </c>
      <c r="Q491" s="35">
        <v>41253</v>
      </c>
      <c r="R491" s="35">
        <v>17800</v>
      </c>
      <c r="S491" s="35">
        <v>23646</v>
      </c>
      <c r="T491" s="35">
        <v>31640</v>
      </c>
      <c r="U491" s="35">
        <v>18406</v>
      </c>
      <c r="V491" s="35">
        <f t="shared" ref="V491:V495" si="491">SUM(B491:U491)</f>
        <v>809646</v>
      </c>
      <c r="W491" s="35">
        <f t="shared" ref="W491:AP491" si="492">B491-B488</f>
        <v>10</v>
      </c>
      <c r="X491" s="35">
        <f t="shared" si="492"/>
        <v>3</v>
      </c>
      <c r="Y491" s="35">
        <f t="shared" si="492"/>
        <v>2</v>
      </c>
      <c r="Z491" s="35">
        <f t="shared" si="492"/>
        <v>10</v>
      </c>
      <c r="AA491" s="35">
        <f t="shared" si="492"/>
        <v>62</v>
      </c>
      <c r="AB491" s="35">
        <f t="shared" si="492"/>
        <v>3</v>
      </c>
      <c r="AC491" s="35">
        <f t="shared" si="492"/>
        <v>6</v>
      </c>
      <c r="AD491" s="35">
        <f t="shared" si="492"/>
        <v>7</v>
      </c>
      <c r="AE491" s="35">
        <f t="shared" si="492"/>
        <v>6</v>
      </c>
      <c r="AF491" s="35">
        <f t="shared" si="492"/>
        <v>1</v>
      </c>
      <c r="AG491" s="35">
        <f t="shared" si="492"/>
        <v>0</v>
      </c>
      <c r="AH491" s="35">
        <f t="shared" si="492"/>
        <v>2</v>
      </c>
      <c r="AI491" s="35">
        <f t="shared" si="492"/>
        <v>5</v>
      </c>
      <c r="AJ491" s="35">
        <f t="shared" si="492"/>
        <v>16</v>
      </c>
      <c r="AK491" s="35">
        <f t="shared" si="492"/>
        <v>7</v>
      </c>
      <c r="AL491" s="35">
        <f t="shared" si="492"/>
        <v>2</v>
      </c>
      <c r="AM491" s="35">
        <f t="shared" si="492"/>
        <v>5</v>
      </c>
      <c r="AN491" s="35">
        <f t="shared" si="492"/>
        <v>1</v>
      </c>
      <c r="AO491" s="35">
        <f t="shared" si="492"/>
        <v>6</v>
      </c>
      <c r="AP491" s="35">
        <f t="shared" si="492"/>
        <v>1</v>
      </c>
    </row>
    <row r="492" spans="1:42" ht="13">
      <c r="A492" s="36">
        <v>44411</v>
      </c>
      <c r="B492" s="35">
        <v>39296</v>
      </c>
      <c r="C492" s="35">
        <v>28611</v>
      </c>
      <c r="D492" s="35">
        <v>21971</v>
      </c>
      <c r="E492" s="35">
        <v>46789</v>
      </c>
      <c r="F492" s="35">
        <v>144630</v>
      </c>
      <c r="G492" s="35">
        <v>33622</v>
      </c>
      <c r="H492" s="35">
        <v>36357</v>
      </c>
      <c r="I492" s="35">
        <v>44506</v>
      </c>
      <c r="J492" s="35">
        <v>42648</v>
      </c>
      <c r="K492" s="35">
        <v>22514</v>
      </c>
      <c r="L492" s="35">
        <v>25791</v>
      </c>
      <c r="M492" s="35">
        <v>28511</v>
      </c>
      <c r="N492" s="35">
        <v>20374</v>
      </c>
      <c r="O492" s="35">
        <v>112286</v>
      </c>
      <c r="P492" s="35">
        <v>29019</v>
      </c>
      <c r="Q492" s="35">
        <v>41253</v>
      </c>
      <c r="R492" s="35">
        <v>17800</v>
      </c>
      <c r="S492" s="35">
        <v>23646</v>
      </c>
      <c r="T492" s="35">
        <v>31641</v>
      </c>
      <c r="U492" s="35">
        <v>18407</v>
      </c>
      <c r="V492" s="35">
        <f t="shared" si="491"/>
        <v>809672</v>
      </c>
      <c r="W492" s="35">
        <f t="shared" ref="W492:AP492" si="493">B492-B491</f>
        <v>0</v>
      </c>
      <c r="X492" s="35">
        <f t="shared" si="493"/>
        <v>2</v>
      </c>
      <c r="Y492" s="35">
        <f t="shared" si="493"/>
        <v>0</v>
      </c>
      <c r="Z492" s="35">
        <f t="shared" si="493"/>
        <v>4</v>
      </c>
      <c r="AA492" s="35">
        <f t="shared" si="493"/>
        <v>11</v>
      </c>
      <c r="AB492" s="35">
        <f t="shared" si="493"/>
        <v>0</v>
      </c>
      <c r="AC492" s="35">
        <f t="shared" si="493"/>
        <v>0</v>
      </c>
      <c r="AD492" s="35">
        <f t="shared" si="493"/>
        <v>0</v>
      </c>
      <c r="AE492" s="35">
        <f t="shared" si="493"/>
        <v>1</v>
      </c>
      <c r="AF492" s="35">
        <f t="shared" si="493"/>
        <v>0</v>
      </c>
      <c r="AG492" s="35">
        <f t="shared" si="493"/>
        <v>1</v>
      </c>
      <c r="AH492" s="35">
        <f t="shared" si="493"/>
        <v>1</v>
      </c>
      <c r="AI492" s="35">
        <f t="shared" si="493"/>
        <v>0</v>
      </c>
      <c r="AJ492" s="35">
        <f t="shared" si="493"/>
        <v>3</v>
      </c>
      <c r="AK492" s="35">
        <f t="shared" si="493"/>
        <v>1</v>
      </c>
      <c r="AL492" s="35">
        <f t="shared" si="493"/>
        <v>0</v>
      </c>
      <c r="AM492" s="35">
        <f t="shared" si="493"/>
        <v>0</v>
      </c>
      <c r="AN492" s="35">
        <f t="shared" si="493"/>
        <v>0</v>
      </c>
      <c r="AO492" s="35">
        <f t="shared" si="493"/>
        <v>1</v>
      </c>
      <c r="AP492" s="35">
        <f t="shared" si="493"/>
        <v>1</v>
      </c>
    </row>
    <row r="493" spans="1:42" ht="13">
      <c r="A493" s="36">
        <v>44412</v>
      </c>
      <c r="B493" s="35">
        <v>39301</v>
      </c>
      <c r="C493" s="35">
        <v>28614</v>
      </c>
      <c r="D493" s="35">
        <v>21974</v>
      </c>
      <c r="E493" s="35">
        <v>46794</v>
      </c>
      <c r="F493" s="35">
        <v>144646</v>
      </c>
      <c r="G493" s="35">
        <v>33623</v>
      </c>
      <c r="H493" s="35">
        <v>36358</v>
      </c>
      <c r="I493" s="35">
        <v>44510</v>
      </c>
      <c r="J493" s="35">
        <v>42650</v>
      </c>
      <c r="K493" s="35">
        <v>22517</v>
      </c>
      <c r="L493" s="35">
        <v>25795</v>
      </c>
      <c r="M493" s="35">
        <v>28511</v>
      </c>
      <c r="N493" s="35">
        <v>20376</v>
      </c>
      <c r="O493" s="35">
        <v>112292</v>
      </c>
      <c r="P493" s="35">
        <v>29021</v>
      </c>
      <c r="Q493" s="35">
        <v>41254</v>
      </c>
      <c r="R493" s="35">
        <v>17800</v>
      </c>
      <c r="S493" s="35">
        <v>23647</v>
      </c>
      <c r="T493" s="35">
        <v>31641</v>
      </c>
      <c r="U493" s="35">
        <v>18407</v>
      </c>
      <c r="V493" s="35">
        <f t="shared" si="491"/>
        <v>809731</v>
      </c>
      <c r="W493" s="35">
        <f t="shared" ref="W493:AP493" si="494">B493-B492</f>
        <v>5</v>
      </c>
      <c r="X493" s="35">
        <f t="shared" si="494"/>
        <v>3</v>
      </c>
      <c r="Y493" s="35">
        <f t="shared" si="494"/>
        <v>3</v>
      </c>
      <c r="Z493" s="35">
        <f t="shared" si="494"/>
        <v>5</v>
      </c>
      <c r="AA493" s="35">
        <f t="shared" si="494"/>
        <v>16</v>
      </c>
      <c r="AB493" s="35">
        <f t="shared" si="494"/>
        <v>1</v>
      </c>
      <c r="AC493" s="35">
        <f t="shared" si="494"/>
        <v>1</v>
      </c>
      <c r="AD493" s="35">
        <f t="shared" si="494"/>
        <v>4</v>
      </c>
      <c r="AE493" s="35">
        <f t="shared" si="494"/>
        <v>2</v>
      </c>
      <c r="AF493" s="35">
        <f t="shared" si="494"/>
        <v>3</v>
      </c>
      <c r="AG493" s="35">
        <f t="shared" si="494"/>
        <v>4</v>
      </c>
      <c r="AH493" s="35">
        <f t="shared" si="494"/>
        <v>0</v>
      </c>
      <c r="AI493" s="35">
        <f t="shared" si="494"/>
        <v>2</v>
      </c>
      <c r="AJ493" s="35">
        <f t="shared" si="494"/>
        <v>6</v>
      </c>
      <c r="AK493" s="35">
        <f t="shared" si="494"/>
        <v>2</v>
      </c>
      <c r="AL493" s="35">
        <f t="shared" si="494"/>
        <v>1</v>
      </c>
      <c r="AM493" s="35">
        <f t="shared" si="494"/>
        <v>0</v>
      </c>
      <c r="AN493" s="35">
        <f t="shared" si="494"/>
        <v>1</v>
      </c>
      <c r="AO493" s="35">
        <f t="shared" si="494"/>
        <v>0</v>
      </c>
      <c r="AP493" s="35">
        <f t="shared" si="494"/>
        <v>0</v>
      </c>
    </row>
    <row r="494" spans="1:42" ht="13">
      <c r="A494" s="36">
        <v>44413</v>
      </c>
      <c r="B494" s="35">
        <v>39304</v>
      </c>
      <c r="C494" s="35">
        <v>28620</v>
      </c>
      <c r="D494" s="35">
        <v>21974</v>
      </c>
      <c r="E494" s="35">
        <v>46797</v>
      </c>
      <c r="F494" s="35">
        <v>144681</v>
      </c>
      <c r="G494" s="35">
        <v>33623</v>
      </c>
      <c r="H494" s="35">
        <v>36358</v>
      </c>
      <c r="I494" s="35">
        <v>44511</v>
      </c>
      <c r="J494" s="35">
        <v>42652</v>
      </c>
      <c r="K494" s="35">
        <v>22521</v>
      </c>
      <c r="L494" s="35">
        <v>25796</v>
      </c>
      <c r="M494" s="35">
        <v>28512</v>
      </c>
      <c r="N494" s="35">
        <v>20376</v>
      </c>
      <c r="O494" s="35">
        <v>112299</v>
      </c>
      <c r="P494" s="35">
        <v>29023</v>
      </c>
      <c r="Q494" s="35">
        <v>41255</v>
      </c>
      <c r="R494" s="35">
        <v>17802</v>
      </c>
      <c r="S494" s="35">
        <v>23650</v>
      </c>
      <c r="T494" s="35">
        <v>31642</v>
      </c>
      <c r="U494" s="35">
        <v>18407</v>
      </c>
      <c r="V494" s="35">
        <f t="shared" si="491"/>
        <v>809803</v>
      </c>
      <c r="W494" s="35">
        <f t="shared" ref="W494:AP494" si="495">B494-B493</f>
        <v>3</v>
      </c>
      <c r="X494" s="35">
        <f t="shared" si="495"/>
        <v>6</v>
      </c>
      <c r="Y494" s="35">
        <f t="shared" si="495"/>
        <v>0</v>
      </c>
      <c r="Z494" s="35">
        <f t="shared" si="495"/>
        <v>3</v>
      </c>
      <c r="AA494" s="35">
        <f t="shared" si="495"/>
        <v>35</v>
      </c>
      <c r="AB494" s="35">
        <f t="shared" si="495"/>
        <v>0</v>
      </c>
      <c r="AC494" s="35">
        <f t="shared" si="495"/>
        <v>0</v>
      </c>
      <c r="AD494" s="35">
        <f t="shared" si="495"/>
        <v>1</v>
      </c>
      <c r="AE494" s="35">
        <f t="shared" si="495"/>
        <v>2</v>
      </c>
      <c r="AF494" s="35">
        <f t="shared" si="495"/>
        <v>4</v>
      </c>
      <c r="AG494" s="35">
        <f t="shared" si="495"/>
        <v>1</v>
      </c>
      <c r="AH494" s="35">
        <f t="shared" si="495"/>
        <v>1</v>
      </c>
      <c r="AI494" s="35">
        <f t="shared" si="495"/>
        <v>0</v>
      </c>
      <c r="AJ494" s="35">
        <f t="shared" si="495"/>
        <v>7</v>
      </c>
      <c r="AK494" s="35">
        <f t="shared" si="495"/>
        <v>2</v>
      </c>
      <c r="AL494" s="35">
        <f t="shared" si="495"/>
        <v>1</v>
      </c>
      <c r="AM494" s="35">
        <f t="shared" si="495"/>
        <v>2</v>
      </c>
      <c r="AN494" s="35">
        <f t="shared" si="495"/>
        <v>3</v>
      </c>
      <c r="AO494" s="35">
        <f t="shared" si="495"/>
        <v>1</v>
      </c>
      <c r="AP494" s="35">
        <f t="shared" si="495"/>
        <v>0</v>
      </c>
    </row>
    <row r="495" spans="1:42" ht="13">
      <c r="A495" s="36">
        <v>44414</v>
      </c>
      <c r="B495" s="35">
        <v>39306</v>
      </c>
      <c r="C495" s="35">
        <v>28623</v>
      </c>
      <c r="D495" s="35">
        <v>21974</v>
      </c>
      <c r="E495" s="35">
        <v>46799</v>
      </c>
      <c r="F495" s="35">
        <v>144700</v>
      </c>
      <c r="G495" s="35">
        <v>33623</v>
      </c>
      <c r="H495" s="35">
        <v>36358</v>
      </c>
      <c r="I495" s="35">
        <v>44516</v>
      </c>
      <c r="J495" s="35">
        <v>42656</v>
      </c>
      <c r="K495" s="35">
        <v>22521</v>
      </c>
      <c r="L495" s="35">
        <v>25796</v>
      </c>
      <c r="M495" s="35">
        <v>28513</v>
      </c>
      <c r="N495" s="35">
        <v>20378</v>
      </c>
      <c r="O495" s="35">
        <v>112311</v>
      </c>
      <c r="P495" s="35">
        <v>29024</v>
      </c>
      <c r="Q495" s="35">
        <v>41255</v>
      </c>
      <c r="R495" s="35">
        <v>17803</v>
      </c>
      <c r="S495" s="35">
        <v>23650</v>
      </c>
      <c r="T495" s="35">
        <v>31642</v>
      </c>
      <c r="U495" s="35">
        <v>18407</v>
      </c>
      <c r="V495" s="35">
        <f t="shared" si="491"/>
        <v>809855</v>
      </c>
      <c r="W495" s="35">
        <f t="shared" ref="W495:AP495" si="496">B495-B494</f>
        <v>2</v>
      </c>
      <c r="X495" s="35">
        <f t="shared" si="496"/>
        <v>3</v>
      </c>
      <c r="Y495" s="35">
        <f t="shared" si="496"/>
        <v>0</v>
      </c>
      <c r="Z495" s="35">
        <f t="shared" si="496"/>
        <v>2</v>
      </c>
      <c r="AA495" s="35">
        <f t="shared" si="496"/>
        <v>19</v>
      </c>
      <c r="AB495" s="35">
        <f t="shared" si="496"/>
        <v>0</v>
      </c>
      <c r="AC495" s="35">
        <f t="shared" si="496"/>
        <v>0</v>
      </c>
      <c r="AD495" s="35">
        <f t="shared" si="496"/>
        <v>5</v>
      </c>
      <c r="AE495" s="35">
        <f t="shared" si="496"/>
        <v>4</v>
      </c>
      <c r="AF495" s="35">
        <f t="shared" si="496"/>
        <v>0</v>
      </c>
      <c r="AG495" s="35">
        <f t="shared" si="496"/>
        <v>0</v>
      </c>
      <c r="AH495" s="35">
        <f t="shared" si="496"/>
        <v>1</v>
      </c>
      <c r="AI495" s="35">
        <f t="shared" si="496"/>
        <v>2</v>
      </c>
      <c r="AJ495" s="35">
        <f t="shared" si="496"/>
        <v>12</v>
      </c>
      <c r="AK495" s="35">
        <f t="shared" si="496"/>
        <v>1</v>
      </c>
      <c r="AL495" s="35">
        <f t="shared" si="496"/>
        <v>0</v>
      </c>
      <c r="AM495" s="35">
        <f t="shared" si="496"/>
        <v>1</v>
      </c>
      <c r="AN495" s="35">
        <f t="shared" si="496"/>
        <v>0</v>
      </c>
      <c r="AO495" s="35">
        <f t="shared" si="496"/>
        <v>0</v>
      </c>
      <c r="AP495" s="35">
        <f t="shared" si="496"/>
        <v>0</v>
      </c>
    </row>
    <row r="496" spans="1:42" ht="13">
      <c r="A496" s="36">
        <v>44415</v>
      </c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</row>
    <row r="497" spans="1:42" ht="13">
      <c r="A497" s="36">
        <v>44416</v>
      </c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</row>
    <row r="498" spans="1:42" ht="13">
      <c r="A498" s="36">
        <v>44417</v>
      </c>
      <c r="B498" s="35">
        <v>39308</v>
      </c>
      <c r="C498" s="35">
        <v>28627</v>
      </c>
      <c r="D498" s="35">
        <v>21974</v>
      </c>
      <c r="E498" s="35">
        <v>46804</v>
      </c>
      <c r="F498" s="35">
        <v>144763</v>
      </c>
      <c r="G498" s="35">
        <v>33624</v>
      </c>
      <c r="H498" s="35">
        <v>36366</v>
      </c>
      <c r="I498" s="35">
        <v>44527</v>
      </c>
      <c r="J498" s="35">
        <v>42661</v>
      </c>
      <c r="K498" s="35">
        <v>22527</v>
      </c>
      <c r="L498" s="35">
        <v>25797</v>
      </c>
      <c r="M498" s="35">
        <v>28515</v>
      </c>
      <c r="N498" s="35">
        <v>20380</v>
      </c>
      <c r="O498" s="35">
        <v>112338</v>
      </c>
      <c r="P498" s="35">
        <v>29031</v>
      </c>
      <c r="Q498" s="35">
        <v>41256</v>
      </c>
      <c r="R498" s="35">
        <v>17804</v>
      </c>
      <c r="S498" s="35">
        <v>23652</v>
      </c>
      <c r="T498" s="35">
        <v>31650</v>
      </c>
      <c r="U498" s="35">
        <v>18407</v>
      </c>
      <c r="V498" s="35">
        <f t="shared" ref="V498:V502" si="497">SUM(B498:U498)</f>
        <v>810011</v>
      </c>
      <c r="W498" s="35">
        <f t="shared" ref="W498:AP498" si="498">B498-B495</f>
        <v>2</v>
      </c>
      <c r="X498" s="35">
        <f t="shared" si="498"/>
        <v>4</v>
      </c>
      <c r="Y498" s="35">
        <f t="shared" si="498"/>
        <v>0</v>
      </c>
      <c r="Z498" s="35">
        <f t="shared" si="498"/>
        <v>5</v>
      </c>
      <c r="AA498" s="35">
        <f t="shared" si="498"/>
        <v>63</v>
      </c>
      <c r="AB498" s="35">
        <f t="shared" si="498"/>
        <v>1</v>
      </c>
      <c r="AC498" s="35">
        <f t="shared" si="498"/>
        <v>8</v>
      </c>
      <c r="AD498" s="35">
        <f t="shared" si="498"/>
        <v>11</v>
      </c>
      <c r="AE498" s="35">
        <f t="shared" si="498"/>
        <v>5</v>
      </c>
      <c r="AF498" s="35">
        <f t="shared" si="498"/>
        <v>6</v>
      </c>
      <c r="AG498" s="35">
        <f t="shared" si="498"/>
        <v>1</v>
      </c>
      <c r="AH498" s="35">
        <f t="shared" si="498"/>
        <v>2</v>
      </c>
      <c r="AI498" s="35">
        <f t="shared" si="498"/>
        <v>2</v>
      </c>
      <c r="AJ498" s="35">
        <f t="shared" si="498"/>
        <v>27</v>
      </c>
      <c r="AK498" s="35">
        <f t="shared" si="498"/>
        <v>7</v>
      </c>
      <c r="AL498" s="35">
        <f t="shared" si="498"/>
        <v>1</v>
      </c>
      <c r="AM498" s="35">
        <f t="shared" si="498"/>
        <v>1</v>
      </c>
      <c r="AN498" s="35">
        <f t="shared" si="498"/>
        <v>2</v>
      </c>
      <c r="AO498" s="35">
        <f t="shared" si="498"/>
        <v>8</v>
      </c>
      <c r="AP498" s="35">
        <f t="shared" si="498"/>
        <v>0</v>
      </c>
    </row>
    <row r="499" spans="1:42" ht="13">
      <c r="A499" s="36">
        <v>44418</v>
      </c>
      <c r="B499" s="35">
        <v>39308</v>
      </c>
      <c r="C499" s="35">
        <v>28630</v>
      </c>
      <c r="D499" s="35">
        <v>21974</v>
      </c>
      <c r="E499" s="35">
        <v>46810</v>
      </c>
      <c r="F499" s="35">
        <v>144772</v>
      </c>
      <c r="G499" s="35">
        <v>33624</v>
      </c>
      <c r="H499" s="35">
        <v>36367</v>
      </c>
      <c r="I499" s="35">
        <v>44529</v>
      </c>
      <c r="J499" s="35">
        <v>42663</v>
      </c>
      <c r="K499" s="35">
        <v>22528</v>
      </c>
      <c r="L499" s="35">
        <v>25797</v>
      </c>
      <c r="M499" s="35">
        <v>28515</v>
      </c>
      <c r="N499" s="35">
        <v>20381</v>
      </c>
      <c r="O499" s="35">
        <v>112345</v>
      </c>
      <c r="P499" s="35">
        <v>29032</v>
      </c>
      <c r="Q499" s="35">
        <v>41256</v>
      </c>
      <c r="R499" s="35">
        <v>17804</v>
      </c>
      <c r="S499" s="35">
        <v>23653</v>
      </c>
      <c r="T499" s="35">
        <v>31650</v>
      </c>
      <c r="U499" s="35">
        <v>18408</v>
      </c>
      <c r="V499" s="35">
        <f t="shared" si="497"/>
        <v>810046</v>
      </c>
      <c r="W499" s="35">
        <f t="shared" ref="W499:AP499" si="499">B499-B498</f>
        <v>0</v>
      </c>
      <c r="X499" s="35">
        <f t="shared" si="499"/>
        <v>3</v>
      </c>
      <c r="Y499" s="35">
        <f t="shared" si="499"/>
        <v>0</v>
      </c>
      <c r="Z499" s="35">
        <f t="shared" si="499"/>
        <v>6</v>
      </c>
      <c r="AA499" s="35">
        <f t="shared" si="499"/>
        <v>9</v>
      </c>
      <c r="AB499" s="35">
        <f t="shared" si="499"/>
        <v>0</v>
      </c>
      <c r="AC499" s="35">
        <f t="shared" si="499"/>
        <v>1</v>
      </c>
      <c r="AD499" s="35">
        <f t="shared" si="499"/>
        <v>2</v>
      </c>
      <c r="AE499" s="35">
        <f t="shared" si="499"/>
        <v>2</v>
      </c>
      <c r="AF499" s="35">
        <f t="shared" si="499"/>
        <v>1</v>
      </c>
      <c r="AG499" s="35">
        <f t="shared" si="499"/>
        <v>0</v>
      </c>
      <c r="AH499" s="35">
        <f t="shared" si="499"/>
        <v>0</v>
      </c>
      <c r="AI499" s="35">
        <f t="shared" si="499"/>
        <v>1</v>
      </c>
      <c r="AJ499" s="35">
        <f t="shared" si="499"/>
        <v>7</v>
      </c>
      <c r="AK499" s="35">
        <f t="shared" si="499"/>
        <v>1</v>
      </c>
      <c r="AL499" s="35">
        <f t="shared" si="499"/>
        <v>0</v>
      </c>
      <c r="AM499" s="35">
        <f t="shared" si="499"/>
        <v>0</v>
      </c>
      <c r="AN499" s="35">
        <f t="shared" si="499"/>
        <v>1</v>
      </c>
      <c r="AO499" s="35">
        <f t="shared" si="499"/>
        <v>0</v>
      </c>
      <c r="AP499" s="35">
        <f t="shared" si="499"/>
        <v>1</v>
      </c>
    </row>
    <row r="500" spans="1:42" ht="13">
      <c r="A500" s="36">
        <v>44419</v>
      </c>
      <c r="B500" s="35">
        <v>39309</v>
      </c>
      <c r="C500" s="35">
        <v>28637</v>
      </c>
      <c r="D500" s="35">
        <v>21976</v>
      </c>
      <c r="E500" s="35">
        <v>46814</v>
      </c>
      <c r="F500" s="35">
        <v>144792</v>
      </c>
      <c r="G500" s="35">
        <v>33624</v>
      </c>
      <c r="H500" s="35">
        <v>36369</v>
      </c>
      <c r="I500" s="35">
        <v>44534</v>
      </c>
      <c r="J500" s="35">
        <v>42666</v>
      </c>
      <c r="K500" s="35">
        <v>22533</v>
      </c>
      <c r="L500" s="35">
        <v>25798</v>
      </c>
      <c r="M500" s="35">
        <v>28515</v>
      </c>
      <c r="N500" s="35">
        <v>20382</v>
      </c>
      <c r="O500" s="35">
        <v>112357</v>
      </c>
      <c r="P500" s="35">
        <v>29040</v>
      </c>
      <c r="Q500" s="35">
        <v>41260</v>
      </c>
      <c r="R500" s="35">
        <v>17804</v>
      </c>
      <c r="S500" s="35">
        <v>23657</v>
      </c>
      <c r="T500" s="35">
        <v>31650</v>
      </c>
      <c r="U500" s="35">
        <v>18409</v>
      </c>
      <c r="V500" s="35">
        <f t="shared" si="497"/>
        <v>810126</v>
      </c>
      <c r="W500" s="35">
        <f t="shared" ref="W500:AP500" si="500">B500-B499</f>
        <v>1</v>
      </c>
      <c r="X500" s="35">
        <f t="shared" si="500"/>
        <v>7</v>
      </c>
      <c r="Y500" s="35">
        <f t="shared" si="500"/>
        <v>2</v>
      </c>
      <c r="Z500" s="35">
        <f t="shared" si="500"/>
        <v>4</v>
      </c>
      <c r="AA500" s="35">
        <f t="shared" si="500"/>
        <v>20</v>
      </c>
      <c r="AB500" s="35">
        <f t="shared" si="500"/>
        <v>0</v>
      </c>
      <c r="AC500" s="35">
        <f t="shared" si="500"/>
        <v>2</v>
      </c>
      <c r="AD500" s="35">
        <f t="shared" si="500"/>
        <v>5</v>
      </c>
      <c r="AE500" s="35">
        <f t="shared" si="500"/>
        <v>3</v>
      </c>
      <c r="AF500" s="35">
        <f t="shared" si="500"/>
        <v>5</v>
      </c>
      <c r="AG500" s="35">
        <f t="shared" si="500"/>
        <v>1</v>
      </c>
      <c r="AH500" s="35">
        <f t="shared" si="500"/>
        <v>0</v>
      </c>
      <c r="AI500" s="35">
        <f t="shared" si="500"/>
        <v>1</v>
      </c>
      <c r="AJ500" s="35">
        <f t="shared" si="500"/>
        <v>12</v>
      </c>
      <c r="AK500" s="35">
        <f t="shared" si="500"/>
        <v>8</v>
      </c>
      <c r="AL500" s="35">
        <f t="shared" si="500"/>
        <v>4</v>
      </c>
      <c r="AM500" s="35">
        <f t="shared" si="500"/>
        <v>0</v>
      </c>
      <c r="AN500" s="35">
        <f t="shared" si="500"/>
        <v>4</v>
      </c>
      <c r="AO500" s="35">
        <f t="shared" si="500"/>
        <v>0</v>
      </c>
      <c r="AP500" s="35">
        <f t="shared" si="500"/>
        <v>1</v>
      </c>
    </row>
    <row r="501" spans="1:42" ht="13">
      <c r="A501" s="36">
        <v>44420</v>
      </c>
      <c r="B501" s="35">
        <v>39311</v>
      </c>
      <c r="C501" s="35">
        <v>28640</v>
      </c>
      <c r="D501" s="35">
        <v>21978</v>
      </c>
      <c r="E501" s="35">
        <v>46815</v>
      </c>
      <c r="F501" s="35">
        <v>144816</v>
      </c>
      <c r="G501" s="35">
        <v>33628</v>
      </c>
      <c r="H501" s="35">
        <v>36371</v>
      </c>
      <c r="I501" s="35">
        <v>44542</v>
      </c>
      <c r="J501" s="35">
        <v>42672</v>
      </c>
      <c r="K501" s="35">
        <v>22541</v>
      </c>
      <c r="L501" s="35">
        <v>25800</v>
      </c>
      <c r="M501" s="35">
        <v>28516</v>
      </c>
      <c r="N501" s="35">
        <v>20384</v>
      </c>
      <c r="O501" s="35">
        <v>112371</v>
      </c>
      <c r="P501" s="35">
        <v>29041</v>
      </c>
      <c r="Q501" s="35">
        <v>41263</v>
      </c>
      <c r="R501" s="35">
        <v>17805</v>
      </c>
      <c r="S501" s="35">
        <v>23657</v>
      </c>
      <c r="T501" s="35">
        <v>31651</v>
      </c>
      <c r="U501" s="35">
        <v>18410</v>
      </c>
      <c r="V501" s="35">
        <f t="shared" si="497"/>
        <v>810212</v>
      </c>
      <c r="W501" s="35">
        <f t="shared" ref="W501:AP501" si="501">B501-B500</f>
        <v>2</v>
      </c>
      <c r="X501" s="35">
        <f t="shared" si="501"/>
        <v>3</v>
      </c>
      <c r="Y501" s="35">
        <f t="shared" si="501"/>
        <v>2</v>
      </c>
      <c r="Z501" s="35">
        <f t="shared" si="501"/>
        <v>1</v>
      </c>
      <c r="AA501" s="35">
        <f t="shared" si="501"/>
        <v>24</v>
      </c>
      <c r="AB501" s="35">
        <f t="shared" si="501"/>
        <v>4</v>
      </c>
      <c r="AC501" s="35">
        <f t="shared" si="501"/>
        <v>2</v>
      </c>
      <c r="AD501" s="35">
        <f t="shared" si="501"/>
        <v>8</v>
      </c>
      <c r="AE501" s="35">
        <f t="shared" si="501"/>
        <v>6</v>
      </c>
      <c r="AF501" s="35">
        <f t="shared" si="501"/>
        <v>8</v>
      </c>
      <c r="AG501" s="35">
        <f t="shared" si="501"/>
        <v>2</v>
      </c>
      <c r="AH501" s="35">
        <f t="shared" si="501"/>
        <v>1</v>
      </c>
      <c r="AI501" s="35">
        <f t="shared" si="501"/>
        <v>2</v>
      </c>
      <c r="AJ501" s="35">
        <f t="shared" si="501"/>
        <v>14</v>
      </c>
      <c r="AK501" s="35">
        <f t="shared" si="501"/>
        <v>1</v>
      </c>
      <c r="AL501" s="35">
        <f t="shared" si="501"/>
        <v>3</v>
      </c>
      <c r="AM501" s="35">
        <f t="shared" si="501"/>
        <v>1</v>
      </c>
      <c r="AN501" s="35">
        <f t="shared" si="501"/>
        <v>0</v>
      </c>
      <c r="AO501" s="35">
        <f t="shared" si="501"/>
        <v>1</v>
      </c>
      <c r="AP501" s="35">
        <f t="shared" si="501"/>
        <v>1</v>
      </c>
    </row>
    <row r="502" spans="1:42" ht="13">
      <c r="A502" s="36">
        <v>44421</v>
      </c>
      <c r="B502" s="35">
        <v>39314</v>
      </c>
      <c r="C502" s="35">
        <v>28642</v>
      </c>
      <c r="D502" s="35">
        <v>21980</v>
      </c>
      <c r="E502" s="35">
        <v>46818</v>
      </c>
      <c r="F502" s="35">
        <v>144856</v>
      </c>
      <c r="G502" s="35">
        <v>33631</v>
      </c>
      <c r="H502" s="35">
        <v>36376</v>
      </c>
      <c r="I502" s="35">
        <v>44554</v>
      </c>
      <c r="J502" s="35">
        <v>42674</v>
      </c>
      <c r="K502" s="35">
        <v>22547</v>
      </c>
      <c r="L502" s="35">
        <v>25802</v>
      </c>
      <c r="M502" s="35">
        <v>28517</v>
      </c>
      <c r="N502" s="35">
        <v>20386</v>
      </c>
      <c r="O502" s="35">
        <v>112379</v>
      </c>
      <c r="P502" s="35">
        <v>29043</v>
      </c>
      <c r="Q502" s="35">
        <v>41266</v>
      </c>
      <c r="R502" s="35">
        <v>17806</v>
      </c>
      <c r="S502" s="35">
        <v>23658</v>
      </c>
      <c r="T502" s="35">
        <v>31655</v>
      </c>
      <c r="U502" s="35">
        <v>18412</v>
      </c>
      <c r="V502" s="35">
        <f t="shared" si="497"/>
        <v>810316</v>
      </c>
      <c r="W502" s="35">
        <f t="shared" ref="W502:AP502" si="502">B502-B501</f>
        <v>3</v>
      </c>
      <c r="X502" s="35">
        <f t="shared" si="502"/>
        <v>2</v>
      </c>
      <c r="Y502" s="35">
        <f t="shared" si="502"/>
        <v>2</v>
      </c>
      <c r="Z502" s="35">
        <f t="shared" si="502"/>
        <v>3</v>
      </c>
      <c r="AA502" s="35">
        <f t="shared" si="502"/>
        <v>40</v>
      </c>
      <c r="AB502" s="35">
        <f t="shared" si="502"/>
        <v>3</v>
      </c>
      <c r="AC502" s="35">
        <f t="shared" si="502"/>
        <v>5</v>
      </c>
      <c r="AD502" s="35">
        <f t="shared" si="502"/>
        <v>12</v>
      </c>
      <c r="AE502" s="35">
        <f t="shared" si="502"/>
        <v>2</v>
      </c>
      <c r="AF502" s="35">
        <f t="shared" si="502"/>
        <v>6</v>
      </c>
      <c r="AG502" s="35">
        <f t="shared" si="502"/>
        <v>2</v>
      </c>
      <c r="AH502" s="35">
        <f t="shared" si="502"/>
        <v>1</v>
      </c>
      <c r="AI502" s="35">
        <f t="shared" si="502"/>
        <v>2</v>
      </c>
      <c r="AJ502" s="35">
        <f t="shared" si="502"/>
        <v>8</v>
      </c>
      <c r="AK502" s="35">
        <f t="shared" si="502"/>
        <v>2</v>
      </c>
      <c r="AL502" s="35">
        <f t="shared" si="502"/>
        <v>3</v>
      </c>
      <c r="AM502" s="35">
        <f t="shared" si="502"/>
        <v>1</v>
      </c>
      <c r="AN502" s="35">
        <f t="shared" si="502"/>
        <v>1</v>
      </c>
      <c r="AO502" s="35">
        <f t="shared" si="502"/>
        <v>4</v>
      </c>
      <c r="AP502" s="35">
        <f t="shared" si="502"/>
        <v>2</v>
      </c>
    </row>
    <row r="503" spans="1:42" ht="13">
      <c r="A503" s="30">
        <v>44422</v>
      </c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</row>
    <row r="504" spans="1:42" ht="13">
      <c r="A504" s="30">
        <v>44423</v>
      </c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</row>
    <row r="505" spans="1:42" ht="13">
      <c r="A505" s="30">
        <v>44424</v>
      </c>
      <c r="B505" s="35">
        <v>39316</v>
      </c>
      <c r="C505" s="35">
        <v>28646</v>
      </c>
      <c r="D505" s="35">
        <v>21983</v>
      </c>
      <c r="E505" s="35">
        <v>46827</v>
      </c>
      <c r="F505" s="35">
        <v>144938</v>
      </c>
      <c r="G505" s="35">
        <v>33636</v>
      </c>
      <c r="H505" s="35">
        <v>36380</v>
      </c>
      <c r="I505" s="35">
        <v>44558</v>
      </c>
      <c r="J505" s="35">
        <v>42684</v>
      </c>
      <c r="K505" s="35">
        <v>22553</v>
      </c>
      <c r="L505" s="35">
        <v>25804</v>
      </c>
      <c r="M505" s="35">
        <v>28519</v>
      </c>
      <c r="N505" s="35">
        <v>20390</v>
      </c>
      <c r="O505" s="35">
        <v>112411</v>
      </c>
      <c r="P505" s="35">
        <v>29047</v>
      </c>
      <c r="Q505" s="35">
        <v>41272</v>
      </c>
      <c r="R505" s="35">
        <v>17808</v>
      </c>
      <c r="S505" s="35">
        <v>23661</v>
      </c>
      <c r="T505" s="35">
        <v>31658</v>
      </c>
      <c r="U505" s="35">
        <v>18413</v>
      </c>
      <c r="V505" s="35">
        <f t="shared" ref="V505:V508" si="503">SUM(B505:U505)</f>
        <v>810504</v>
      </c>
      <c r="W505" s="35">
        <f t="shared" ref="W505:AP505" si="504">B505-B502</f>
        <v>2</v>
      </c>
      <c r="X505" s="35">
        <f t="shared" si="504"/>
        <v>4</v>
      </c>
      <c r="Y505" s="35">
        <f t="shared" si="504"/>
        <v>3</v>
      </c>
      <c r="Z505" s="35">
        <f t="shared" si="504"/>
        <v>9</v>
      </c>
      <c r="AA505" s="35">
        <f t="shared" si="504"/>
        <v>82</v>
      </c>
      <c r="AB505" s="35">
        <f t="shared" si="504"/>
        <v>5</v>
      </c>
      <c r="AC505" s="35">
        <f t="shared" si="504"/>
        <v>4</v>
      </c>
      <c r="AD505" s="35">
        <f t="shared" si="504"/>
        <v>4</v>
      </c>
      <c r="AE505" s="35">
        <f t="shared" si="504"/>
        <v>10</v>
      </c>
      <c r="AF505" s="35">
        <f t="shared" si="504"/>
        <v>6</v>
      </c>
      <c r="AG505" s="35">
        <f t="shared" si="504"/>
        <v>2</v>
      </c>
      <c r="AH505" s="35">
        <f t="shared" si="504"/>
        <v>2</v>
      </c>
      <c r="AI505" s="35">
        <f t="shared" si="504"/>
        <v>4</v>
      </c>
      <c r="AJ505" s="35">
        <f t="shared" si="504"/>
        <v>32</v>
      </c>
      <c r="AK505" s="35">
        <f t="shared" si="504"/>
        <v>4</v>
      </c>
      <c r="AL505" s="35">
        <f t="shared" si="504"/>
        <v>6</v>
      </c>
      <c r="AM505" s="35">
        <f t="shared" si="504"/>
        <v>2</v>
      </c>
      <c r="AN505" s="35">
        <f t="shared" si="504"/>
        <v>3</v>
      </c>
      <c r="AO505" s="35">
        <f t="shared" si="504"/>
        <v>3</v>
      </c>
      <c r="AP505" s="35">
        <f t="shared" si="504"/>
        <v>1</v>
      </c>
    </row>
    <row r="506" spans="1:42" ht="13">
      <c r="A506" s="36">
        <v>44425</v>
      </c>
      <c r="B506" s="35">
        <v>39321</v>
      </c>
      <c r="C506" s="35">
        <v>28649</v>
      </c>
      <c r="D506" s="35">
        <v>21984</v>
      </c>
      <c r="E506" s="35">
        <v>46827</v>
      </c>
      <c r="F506" s="35">
        <v>144954</v>
      </c>
      <c r="G506" s="35">
        <v>33637</v>
      </c>
      <c r="H506" s="35">
        <v>36386</v>
      </c>
      <c r="I506" s="35">
        <v>44560</v>
      </c>
      <c r="J506" s="35">
        <v>42685</v>
      </c>
      <c r="K506" s="35">
        <v>22554</v>
      </c>
      <c r="L506" s="35">
        <v>25805</v>
      </c>
      <c r="M506" s="35">
        <v>28519</v>
      </c>
      <c r="N506" s="35">
        <v>20390</v>
      </c>
      <c r="O506" s="35">
        <v>112413</v>
      </c>
      <c r="P506" s="35">
        <v>29049</v>
      </c>
      <c r="Q506" s="35">
        <v>41273</v>
      </c>
      <c r="R506" s="35">
        <v>17808</v>
      </c>
      <c r="S506" s="35">
        <v>23662</v>
      </c>
      <c r="T506" s="35">
        <v>31660</v>
      </c>
      <c r="U506" s="35">
        <v>18413</v>
      </c>
      <c r="V506" s="35">
        <f t="shared" si="503"/>
        <v>810549</v>
      </c>
      <c r="W506" s="35">
        <f t="shared" ref="W506:AP506" si="505">B506-B505</f>
        <v>5</v>
      </c>
      <c r="X506" s="35">
        <f t="shared" si="505"/>
        <v>3</v>
      </c>
      <c r="Y506" s="35">
        <f t="shared" si="505"/>
        <v>1</v>
      </c>
      <c r="Z506" s="35">
        <f t="shared" si="505"/>
        <v>0</v>
      </c>
      <c r="AA506" s="35">
        <f t="shared" si="505"/>
        <v>16</v>
      </c>
      <c r="AB506" s="35">
        <f t="shared" si="505"/>
        <v>1</v>
      </c>
      <c r="AC506" s="35">
        <f t="shared" si="505"/>
        <v>6</v>
      </c>
      <c r="AD506" s="35">
        <f t="shared" si="505"/>
        <v>2</v>
      </c>
      <c r="AE506" s="35">
        <f t="shared" si="505"/>
        <v>1</v>
      </c>
      <c r="AF506" s="35">
        <f t="shared" si="505"/>
        <v>1</v>
      </c>
      <c r="AG506" s="35">
        <f t="shared" si="505"/>
        <v>1</v>
      </c>
      <c r="AH506" s="35">
        <f t="shared" si="505"/>
        <v>0</v>
      </c>
      <c r="AI506" s="35">
        <f t="shared" si="505"/>
        <v>0</v>
      </c>
      <c r="AJ506" s="35">
        <f t="shared" si="505"/>
        <v>2</v>
      </c>
      <c r="AK506" s="35">
        <f t="shared" si="505"/>
        <v>2</v>
      </c>
      <c r="AL506" s="35">
        <f t="shared" si="505"/>
        <v>1</v>
      </c>
      <c r="AM506" s="35">
        <f t="shared" si="505"/>
        <v>0</v>
      </c>
      <c r="AN506" s="35">
        <f t="shared" si="505"/>
        <v>1</v>
      </c>
      <c r="AO506" s="35">
        <f t="shared" si="505"/>
        <v>2</v>
      </c>
      <c r="AP506" s="35">
        <f t="shared" si="505"/>
        <v>0</v>
      </c>
    </row>
    <row r="507" spans="1:42" ht="13">
      <c r="A507" s="36">
        <v>44426</v>
      </c>
      <c r="B507" s="35">
        <v>39328</v>
      </c>
      <c r="C507" s="35">
        <v>28655</v>
      </c>
      <c r="D507" s="35">
        <v>21987</v>
      </c>
      <c r="E507" s="35">
        <v>46831</v>
      </c>
      <c r="F507" s="35">
        <v>144984</v>
      </c>
      <c r="G507" s="35">
        <v>33640</v>
      </c>
      <c r="H507" s="35">
        <v>36397</v>
      </c>
      <c r="I507" s="35">
        <v>44565</v>
      </c>
      <c r="J507" s="35">
        <v>42692</v>
      </c>
      <c r="K507" s="35">
        <v>22555</v>
      </c>
      <c r="L507" s="35">
        <v>25811</v>
      </c>
      <c r="M507" s="35">
        <v>28519</v>
      </c>
      <c r="N507" s="35">
        <v>20392</v>
      </c>
      <c r="O507" s="35">
        <v>112430</v>
      </c>
      <c r="P507" s="35">
        <v>29050</v>
      </c>
      <c r="Q507" s="35">
        <v>41276</v>
      </c>
      <c r="R507" s="35">
        <v>17808</v>
      </c>
      <c r="S507" s="35">
        <v>23662</v>
      </c>
      <c r="T507" s="35">
        <v>31663</v>
      </c>
      <c r="U507" s="35">
        <v>18413</v>
      </c>
      <c r="V507" s="35">
        <f t="shared" si="503"/>
        <v>810658</v>
      </c>
      <c r="W507" s="35">
        <f t="shared" ref="W507:AP507" si="506">B507-B506</f>
        <v>7</v>
      </c>
      <c r="X507" s="35">
        <f t="shared" si="506"/>
        <v>6</v>
      </c>
      <c r="Y507" s="35">
        <f t="shared" si="506"/>
        <v>3</v>
      </c>
      <c r="Z507" s="35">
        <f t="shared" si="506"/>
        <v>4</v>
      </c>
      <c r="AA507" s="35">
        <f t="shared" si="506"/>
        <v>30</v>
      </c>
      <c r="AB507" s="35">
        <f t="shared" si="506"/>
        <v>3</v>
      </c>
      <c r="AC507" s="35">
        <f t="shared" si="506"/>
        <v>11</v>
      </c>
      <c r="AD507" s="35">
        <f t="shared" si="506"/>
        <v>5</v>
      </c>
      <c r="AE507" s="35">
        <f t="shared" si="506"/>
        <v>7</v>
      </c>
      <c r="AF507" s="35">
        <f t="shared" si="506"/>
        <v>1</v>
      </c>
      <c r="AG507" s="35">
        <f t="shared" si="506"/>
        <v>6</v>
      </c>
      <c r="AH507" s="35">
        <f t="shared" si="506"/>
        <v>0</v>
      </c>
      <c r="AI507" s="35">
        <f t="shared" si="506"/>
        <v>2</v>
      </c>
      <c r="AJ507" s="35">
        <f t="shared" si="506"/>
        <v>17</v>
      </c>
      <c r="AK507" s="35">
        <f t="shared" si="506"/>
        <v>1</v>
      </c>
      <c r="AL507" s="35">
        <f t="shared" si="506"/>
        <v>3</v>
      </c>
      <c r="AM507" s="35">
        <f t="shared" si="506"/>
        <v>0</v>
      </c>
      <c r="AN507" s="35">
        <f t="shared" si="506"/>
        <v>0</v>
      </c>
      <c r="AO507" s="35">
        <f t="shared" si="506"/>
        <v>3</v>
      </c>
      <c r="AP507" s="35">
        <f t="shared" si="506"/>
        <v>0</v>
      </c>
    </row>
    <row r="508" spans="1:42" ht="13">
      <c r="A508" s="36">
        <v>44427</v>
      </c>
      <c r="B508" s="35">
        <v>39334</v>
      </c>
      <c r="C508" s="35">
        <v>28656</v>
      </c>
      <c r="D508" s="35">
        <v>21987</v>
      </c>
      <c r="E508" s="35">
        <v>46836</v>
      </c>
      <c r="F508" s="35">
        <v>145029</v>
      </c>
      <c r="G508" s="35">
        <v>33643</v>
      </c>
      <c r="H508" s="35">
        <v>36401</v>
      </c>
      <c r="I508" s="35">
        <v>44573</v>
      </c>
      <c r="J508" s="35">
        <v>42696</v>
      </c>
      <c r="K508" s="35">
        <v>22560</v>
      </c>
      <c r="L508" s="35">
        <v>25815</v>
      </c>
      <c r="M508" s="35">
        <v>28521</v>
      </c>
      <c r="N508" s="35">
        <v>20397</v>
      </c>
      <c r="O508" s="35">
        <v>112444</v>
      </c>
      <c r="P508" s="35">
        <v>29053</v>
      </c>
      <c r="Q508" s="35">
        <v>41279</v>
      </c>
      <c r="R508" s="35">
        <v>17811</v>
      </c>
      <c r="S508" s="35">
        <v>23663</v>
      </c>
      <c r="T508" s="35">
        <v>31667</v>
      </c>
      <c r="U508" s="35">
        <v>18416</v>
      </c>
      <c r="V508" s="35">
        <f t="shared" si="503"/>
        <v>810781</v>
      </c>
      <c r="W508" s="35">
        <f t="shared" ref="W508:AP508" si="507">B508-B507</f>
        <v>6</v>
      </c>
      <c r="X508" s="35">
        <f t="shared" si="507"/>
        <v>1</v>
      </c>
      <c r="Y508" s="35">
        <f t="shared" si="507"/>
        <v>0</v>
      </c>
      <c r="Z508" s="35">
        <f t="shared" si="507"/>
        <v>5</v>
      </c>
      <c r="AA508" s="35">
        <f t="shared" si="507"/>
        <v>45</v>
      </c>
      <c r="AB508" s="35">
        <f t="shared" si="507"/>
        <v>3</v>
      </c>
      <c r="AC508" s="35">
        <f t="shared" si="507"/>
        <v>4</v>
      </c>
      <c r="AD508" s="35">
        <f t="shared" si="507"/>
        <v>8</v>
      </c>
      <c r="AE508" s="35">
        <f t="shared" si="507"/>
        <v>4</v>
      </c>
      <c r="AF508" s="35">
        <f t="shared" si="507"/>
        <v>5</v>
      </c>
      <c r="AG508" s="35">
        <f t="shared" si="507"/>
        <v>4</v>
      </c>
      <c r="AH508" s="35">
        <f t="shared" si="507"/>
        <v>2</v>
      </c>
      <c r="AI508" s="35">
        <f t="shared" si="507"/>
        <v>5</v>
      </c>
      <c r="AJ508" s="35">
        <f t="shared" si="507"/>
        <v>14</v>
      </c>
      <c r="AK508" s="35">
        <f t="shared" si="507"/>
        <v>3</v>
      </c>
      <c r="AL508" s="35">
        <f t="shared" si="507"/>
        <v>3</v>
      </c>
      <c r="AM508" s="35">
        <f t="shared" si="507"/>
        <v>3</v>
      </c>
      <c r="AN508" s="35">
        <f t="shared" si="507"/>
        <v>1</v>
      </c>
      <c r="AO508" s="35">
        <f t="shared" si="507"/>
        <v>4</v>
      </c>
      <c r="AP508" s="35">
        <f t="shared" si="507"/>
        <v>3</v>
      </c>
    </row>
    <row r="509" spans="1:42" ht="13">
      <c r="A509" s="36">
        <v>44428</v>
      </c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</row>
    <row r="510" spans="1:42" ht="13">
      <c r="A510" s="36">
        <v>44429</v>
      </c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</row>
    <row r="511" spans="1:42" ht="13">
      <c r="A511" s="36">
        <v>44430</v>
      </c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</row>
    <row r="512" spans="1:42" ht="13">
      <c r="A512" s="36">
        <v>44431</v>
      </c>
      <c r="B512" s="35">
        <v>39347</v>
      </c>
      <c r="C512" s="35">
        <v>28664</v>
      </c>
      <c r="D512" s="35">
        <v>21991</v>
      </c>
      <c r="E512" s="35">
        <v>46849</v>
      </c>
      <c r="F512" s="35">
        <v>145147</v>
      </c>
      <c r="G512" s="35">
        <v>33666</v>
      </c>
      <c r="H512" s="35">
        <v>36414</v>
      </c>
      <c r="I512" s="35">
        <v>44587</v>
      </c>
      <c r="J512" s="35">
        <v>42704</v>
      </c>
      <c r="K512" s="35">
        <v>22566</v>
      </c>
      <c r="L512" s="35">
        <v>25834</v>
      </c>
      <c r="M512" s="35">
        <v>28528</v>
      </c>
      <c r="N512" s="35">
        <v>20406</v>
      </c>
      <c r="O512" s="35">
        <v>112500</v>
      </c>
      <c r="P512" s="35">
        <v>29060</v>
      </c>
      <c r="Q512" s="35">
        <v>41284</v>
      </c>
      <c r="R512" s="35">
        <v>17813</v>
      </c>
      <c r="S512" s="35">
        <v>23667</v>
      </c>
      <c r="T512" s="35">
        <v>31677</v>
      </c>
      <c r="U512" s="35">
        <v>18417</v>
      </c>
      <c r="V512" s="35">
        <f t="shared" ref="V512:V516" si="508">SUM(B512:U512)</f>
        <v>811121</v>
      </c>
      <c r="W512" s="35">
        <f t="shared" ref="W512:AP512" si="509">B512-B508</f>
        <v>13</v>
      </c>
      <c r="X512" s="35">
        <f t="shared" si="509"/>
        <v>8</v>
      </c>
      <c r="Y512" s="35">
        <f t="shared" si="509"/>
        <v>4</v>
      </c>
      <c r="Z512" s="35">
        <f t="shared" si="509"/>
        <v>13</v>
      </c>
      <c r="AA512" s="35">
        <f t="shared" si="509"/>
        <v>118</v>
      </c>
      <c r="AB512" s="35">
        <f t="shared" si="509"/>
        <v>23</v>
      </c>
      <c r="AC512" s="35">
        <f t="shared" si="509"/>
        <v>13</v>
      </c>
      <c r="AD512" s="35">
        <f t="shared" si="509"/>
        <v>14</v>
      </c>
      <c r="AE512" s="35">
        <f t="shared" si="509"/>
        <v>8</v>
      </c>
      <c r="AF512" s="35">
        <f t="shared" si="509"/>
        <v>6</v>
      </c>
      <c r="AG512" s="35">
        <f t="shared" si="509"/>
        <v>19</v>
      </c>
      <c r="AH512" s="35">
        <f t="shared" si="509"/>
        <v>7</v>
      </c>
      <c r="AI512" s="35">
        <f t="shared" si="509"/>
        <v>9</v>
      </c>
      <c r="AJ512" s="35">
        <f t="shared" si="509"/>
        <v>56</v>
      </c>
      <c r="AK512" s="35">
        <f t="shared" si="509"/>
        <v>7</v>
      </c>
      <c r="AL512" s="35">
        <f t="shared" si="509"/>
        <v>5</v>
      </c>
      <c r="AM512" s="35">
        <f t="shared" si="509"/>
        <v>2</v>
      </c>
      <c r="AN512" s="35">
        <f t="shared" si="509"/>
        <v>4</v>
      </c>
      <c r="AO512" s="35">
        <f t="shared" si="509"/>
        <v>10</v>
      </c>
      <c r="AP512" s="35">
        <f t="shared" si="509"/>
        <v>1</v>
      </c>
    </row>
    <row r="513" spans="1:42" ht="13">
      <c r="A513" s="36">
        <v>44432</v>
      </c>
      <c r="B513" s="35">
        <v>39350</v>
      </c>
      <c r="C513" s="35">
        <v>28670</v>
      </c>
      <c r="D513" s="35">
        <v>21991</v>
      </c>
      <c r="E513" s="35">
        <v>46852</v>
      </c>
      <c r="F513" s="35">
        <v>145182</v>
      </c>
      <c r="G513" s="35">
        <v>33669</v>
      </c>
      <c r="H513" s="35">
        <v>36418</v>
      </c>
      <c r="I513" s="35">
        <v>44590</v>
      </c>
      <c r="J513" s="35">
        <v>42705</v>
      </c>
      <c r="K513" s="35">
        <v>22567</v>
      </c>
      <c r="L513" s="35">
        <v>25836</v>
      </c>
      <c r="M513" s="35">
        <v>28528</v>
      </c>
      <c r="N513" s="35">
        <v>20406</v>
      </c>
      <c r="O513" s="35">
        <v>112512</v>
      </c>
      <c r="P513" s="35">
        <v>29061</v>
      </c>
      <c r="Q513" s="35">
        <v>41288</v>
      </c>
      <c r="R513" s="35">
        <v>17814</v>
      </c>
      <c r="S513" s="35">
        <v>23667</v>
      </c>
      <c r="T513" s="35">
        <v>31679</v>
      </c>
      <c r="U513" s="35">
        <v>18418</v>
      </c>
      <c r="V513" s="35">
        <f t="shared" si="508"/>
        <v>811203</v>
      </c>
      <c r="W513" s="35">
        <f t="shared" ref="W513:AP513" si="510">B513-B512</f>
        <v>3</v>
      </c>
      <c r="X513" s="35">
        <f t="shared" si="510"/>
        <v>6</v>
      </c>
      <c r="Y513" s="35">
        <f t="shared" si="510"/>
        <v>0</v>
      </c>
      <c r="Z513" s="35">
        <f t="shared" si="510"/>
        <v>3</v>
      </c>
      <c r="AA513" s="35">
        <f t="shared" si="510"/>
        <v>35</v>
      </c>
      <c r="AB513" s="35">
        <f t="shared" si="510"/>
        <v>3</v>
      </c>
      <c r="AC513" s="35">
        <f t="shared" si="510"/>
        <v>4</v>
      </c>
      <c r="AD513" s="35">
        <f t="shared" si="510"/>
        <v>3</v>
      </c>
      <c r="AE513" s="35">
        <f t="shared" si="510"/>
        <v>1</v>
      </c>
      <c r="AF513" s="35">
        <f t="shared" si="510"/>
        <v>1</v>
      </c>
      <c r="AG513" s="35">
        <f t="shared" si="510"/>
        <v>2</v>
      </c>
      <c r="AH513" s="35">
        <f t="shared" si="510"/>
        <v>0</v>
      </c>
      <c r="AI513" s="35">
        <f t="shared" si="510"/>
        <v>0</v>
      </c>
      <c r="AJ513" s="35">
        <f t="shared" si="510"/>
        <v>12</v>
      </c>
      <c r="AK513" s="35">
        <f t="shared" si="510"/>
        <v>1</v>
      </c>
      <c r="AL513" s="35">
        <f t="shared" si="510"/>
        <v>4</v>
      </c>
      <c r="AM513" s="35">
        <f t="shared" si="510"/>
        <v>1</v>
      </c>
      <c r="AN513" s="35">
        <f t="shared" si="510"/>
        <v>0</v>
      </c>
      <c r="AO513" s="35">
        <f t="shared" si="510"/>
        <v>2</v>
      </c>
      <c r="AP513" s="35">
        <f t="shared" si="510"/>
        <v>1</v>
      </c>
    </row>
    <row r="514" spans="1:42" ht="13">
      <c r="A514" s="36">
        <v>44433</v>
      </c>
      <c r="B514" s="35">
        <v>39354</v>
      </c>
      <c r="C514" s="35">
        <v>28673</v>
      </c>
      <c r="D514" s="35">
        <v>21992</v>
      </c>
      <c r="E514" s="35">
        <v>46858</v>
      </c>
      <c r="F514" s="35">
        <v>145233</v>
      </c>
      <c r="G514" s="35">
        <v>33672</v>
      </c>
      <c r="H514" s="35">
        <v>36426</v>
      </c>
      <c r="I514" s="35">
        <v>44598</v>
      </c>
      <c r="J514" s="35">
        <v>42707</v>
      </c>
      <c r="K514" s="35">
        <v>22570</v>
      </c>
      <c r="L514" s="35">
        <v>25838</v>
      </c>
      <c r="M514" s="35">
        <v>28528</v>
      </c>
      <c r="N514" s="35">
        <v>20413</v>
      </c>
      <c r="O514" s="35">
        <v>112542</v>
      </c>
      <c r="P514" s="35">
        <v>29065</v>
      </c>
      <c r="Q514" s="35">
        <v>41288</v>
      </c>
      <c r="R514" s="35">
        <v>17814</v>
      </c>
      <c r="S514" s="35">
        <v>23667</v>
      </c>
      <c r="T514" s="35">
        <v>31680</v>
      </c>
      <c r="U514" s="35">
        <v>18419</v>
      </c>
      <c r="V514" s="35">
        <f t="shared" si="508"/>
        <v>811337</v>
      </c>
      <c r="W514" s="35">
        <f t="shared" ref="W514:AP514" si="511">B514-B513</f>
        <v>4</v>
      </c>
      <c r="X514" s="35">
        <f t="shared" si="511"/>
        <v>3</v>
      </c>
      <c r="Y514" s="35">
        <f t="shared" si="511"/>
        <v>1</v>
      </c>
      <c r="Z514" s="35">
        <f t="shared" si="511"/>
        <v>6</v>
      </c>
      <c r="AA514" s="35">
        <f t="shared" si="511"/>
        <v>51</v>
      </c>
      <c r="AB514" s="35">
        <f t="shared" si="511"/>
        <v>3</v>
      </c>
      <c r="AC514" s="35">
        <f t="shared" si="511"/>
        <v>8</v>
      </c>
      <c r="AD514" s="35">
        <f t="shared" si="511"/>
        <v>8</v>
      </c>
      <c r="AE514" s="35">
        <f t="shared" si="511"/>
        <v>2</v>
      </c>
      <c r="AF514" s="35">
        <f t="shared" si="511"/>
        <v>3</v>
      </c>
      <c r="AG514" s="35">
        <f t="shared" si="511"/>
        <v>2</v>
      </c>
      <c r="AH514" s="35">
        <f t="shared" si="511"/>
        <v>0</v>
      </c>
      <c r="AI514" s="35">
        <f t="shared" si="511"/>
        <v>7</v>
      </c>
      <c r="AJ514" s="35">
        <f t="shared" si="511"/>
        <v>30</v>
      </c>
      <c r="AK514" s="35">
        <f t="shared" si="511"/>
        <v>4</v>
      </c>
      <c r="AL514" s="35">
        <f t="shared" si="511"/>
        <v>0</v>
      </c>
      <c r="AM514" s="35">
        <f t="shared" si="511"/>
        <v>0</v>
      </c>
      <c r="AN514" s="35">
        <f t="shared" si="511"/>
        <v>0</v>
      </c>
      <c r="AO514" s="35">
        <f t="shared" si="511"/>
        <v>1</v>
      </c>
      <c r="AP514" s="35">
        <f t="shared" si="511"/>
        <v>1</v>
      </c>
    </row>
    <row r="515" spans="1:42" ht="13">
      <c r="A515" s="36">
        <v>44434</v>
      </c>
      <c r="B515" s="35">
        <v>39362</v>
      </c>
      <c r="C515" s="35">
        <v>28680</v>
      </c>
      <c r="D515" s="35">
        <v>21994</v>
      </c>
      <c r="E515" s="35">
        <v>46863</v>
      </c>
      <c r="F515" s="35">
        <v>145291</v>
      </c>
      <c r="G515" s="35">
        <v>33682</v>
      </c>
      <c r="H515" s="35">
        <v>36436</v>
      </c>
      <c r="I515" s="35">
        <v>44603</v>
      </c>
      <c r="J515" s="35">
        <v>42712</v>
      </c>
      <c r="K515" s="35">
        <v>22575</v>
      </c>
      <c r="L515" s="35">
        <v>25842</v>
      </c>
      <c r="M515" s="35">
        <v>28529</v>
      </c>
      <c r="N515" s="35">
        <v>20416</v>
      </c>
      <c r="O515" s="35">
        <v>112580</v>
      </c>
      <c r="P515" s="35">
        <v>29071</v>
      </c>
      <c r="Q515" s="35">
        <v>41290</v>
      </c>
      <c r="R515" s="35">
        <v>17815</v>
      </c>
      <c r="S515" s="35">
        <v>23667</v>
      </c>
      <c r="T515" s="35">
        <v>31688</v>
      </c>
      <c r="U515" s="35">
        <v>18421</v>
      </c>
      <c r="V515" s="35">
        <f t="shared" si="508"/>
        <v>811517</v>
      </c>
      <c r="W515" s="35">
        <f t="shared" ref="W515:AP515" si="512">B515-B514</f>
        <v>8</v>
      </c>
      <c r="X515" s="35">
        <f t="shared" si="512"/>
        <v>7</v>
      </c>
      <c r="Y515" s="35">
        <f t="shared" si="512"/>
        <v>2</v>
      </c>
      <c r="Z515" s="35">
        <f t="shared" si="512"/>
        <v>5</v>
      </c>
      <c r="AA515" s="35">
        <f t="shared" si="512"/>
        <v>58</v>
      </c>
      <c r="AB515" s="35">
        <f t="shared" si="512"/>
        <v>10</v>
      </c>
      <c r="AC515" s="35">
        <f t="shared" si="512"/>
        <v>10</v>
      </c>
      <c r="AD515" s="35">
        <f t="shared" si="512"/>
        <v>5</v>
      </c>
      <c r="AE515" s="35">
        <f t="shared" si="512"/>
        <v>5</v>
      </c>
      <c r="AF515" s="35">
        <f t="shared" si="512"/>
        <v>5</v>
      </c>
      <c r="AG515" s="35">
        <f t="shared" si="512"/>
        <v>4</v>
      </c>
      <c r="AH515" s="35">
        <f t="shared" si="512"/>
        <v>1</v>
      </c>
      <c r="AI515" s="35">
        <f t="shared" si="512"/>
        <v>3</v>
      </c>
      <c r="AJ515" s="35">
        <f t="shared" si="512"/>
        <v>38</v>
      </c>
      <c r="AK515" s="35">
        <f t="shared" si="512"/>
        <v>6</v>
      </c>
      <c r="AL515" s="35">
        <f t="shared" si="512"/>
        <v>2</v>
      </c>
      <c r="AM515" s="35">
        <f t="shared" si="512"/>
        <v>1</v>
      </c>
      <c r="AN515" s="35">
        <f t="shared" si="512"/>
        <v>0</v>
      </c>
      <c r="AO515" s="35">
        <f t="shared" si="512"/>
        <v>8</v>
      </c>
      <c r="AP515" s="35">
        <f t="shared" si="512"/>
        <v>2</v>
      </c>
    </row>
    <row r="516" spans="1:42" ht="13">
      <c r="A516" s="36">
        <v>44435</v>
      </c>
      <c r="B516" s="35">
        <v>39372</v>
      </c>
      <c r="C516" s="35">
        <v>28682</v>
      </c>
      <c r="D516" s="35">
        <v>21999</v>
      </c>
      <c r="E516" s="35">
        <v>46871</v>
      </c>
      <c r="F516" s="35">
        <v>145376</v>
      </c>
      <c r="G516" s="35">
        <v>33686</v>
      </c>
      <c r="H516" s="35">
        <v>36445</v>
      </c>
      <c r="I516" s="35">
        <v>44608</v>
      </c>
      <c r="J516" s="35">
        <v>42713</v>
      </c>
      <c r="K516" s="35">
        <v>22579</v>
      </c>
      <c r="L516" s="35">
        <v>25846</v>
      </c>
      <c r="M516" s="35">
        <v>28532</v>
      </c>
      <c r="N516" s="35">
        <v>20420</v>
      </c>
      <c r="O516" s="35">
        <v>112603</v>
      </c>
      <c r="P516" s="35">
        <v>29079</v>
      </c>
      <c r="Q516" s="35">
        <v>41293</v>
      </c>
      <c r="R516" s="35">
        <v>17815</v>
      </c>
      <c r="S516" s="35">
        <v>23670</v>
      </c>
      <c r="T516" s="35">
        <v>31689</v>
      </c>
      <c r="U516" s="35">
        <v>18428</v>
      </c>
      <c r="V516" s="35">
        <f t="shared" si="508"/>
        <v>811706</v>
      </c>
      <c r="W516" s="35">
        <f t="shared" ref="W516:AP516" si="513">B516-B515</f>
        <v>10</v>
      </c>
      <c r="X516" s="35">
        <f t="shared" si="513"/>
        <v>2</v>
      </c>
      <c r="Y516" s="35">
        <f t="shared" si="513"/>
        <v>5</v>
      </c>
      <c r="Z516" s="35">
        <f t="shared" si="513"/>
        <v>8</v>
      </c>
      <c r="AA516" s="35">
        <f t="shared" si="513"/>
        <v>85</v>
      </c>
      <c r="AB516" s="35">
        <f t="shared" si="513"/>
        <v>4</v>
      </c>
      <c r="AC516" s="35">
        <f t="shared" si="513"/>
        <v>9</v>
      </c>
      <c r="AD516" s="35">
        <f t="shared" si="513"/>
        <v>5</v>
      </c>
      <c r="AE516" s="35">
        <f t="shared" si="513"/>
        <v>1</v>
      </c>
      <c r="AF516" s="35">
        <f t="shared" si="513"/>
        <v>4</v>
      </c>
      <c r="AG516" s="35">
        <f t="shared" si="513"/>
        <v>4</v>
      </c>
      <c r="AH516" s="35">
        <f t="shared" si="513"/>
        <v>3</v>
      </c>
      <c r="AI516" s="35">
        <f t="shared" si="513"/>
        <v>4</v>
      </c>
      <c r="AJ516" s="35">
        <f t="shared" si="513"/>
        <v>23</v>
      </c>
      <c r="AK516" s="35">
        <f t="shared" si="513"/>
        <v>8</v>
      </c>
      <c r="AL516" s="35">
        <f t="shared" si="513"/>
        <v>3</v>
      </c>
      <c r="AM516" s="35">
        <f t="shared" si="513"/>
        <v>0</v>
      </c>
      <c r="AN516" s="35">
        <f t="shared" si="513"/>
        <v>3</v>
      </c>
      <c r="AO516" s="35">
        <f t="shared" si="513"/>
        <v>1</v>
      </c>
      <c r="AP516" s="35">
        <f t="shared" si="513"/>
        <v>7</v>
      </c>
    </row>
    <row r="517" spans="1:42" ht="13">
      <c r="A517" s="30">
        <v>44436</v>
      </c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</row>
    <row r="518" spans="1:42" ht="13">
      <c r="A518" s="30">
        <v>44437</v>
      </c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</row>
    <row r="519" spans="1:42" ht="13">
      <c r="A519" s="30">
        <v>44438</v>
      </c>
      <c r="B519" s="35">
        <v>39392</v>
      </c>
      <c r="C519" s="35">
        <v>28696</v>
      </c>
      <c r="D519" s="35">
        <v>22004</v>
      </c>
      <c r="E519" s="35">
        <v>46889</v>
      </c>
      <c r="F519" s="35">
        <v>145573</v>
      </c>
      <c r="G519" s="35">
        <v>33707</v>
      </c>
      <c r="H519" s="35">
        <v>36463</v>
      </c>
      <c r="I519" s="35">
        <v>44635</v>
      </c>
      <c r="J519" s="35">
        <v>42725</v>
      </c>
      <c r="K519" s="35">
        <v>22590</v>
      </c>
      <c r="L519" s="35">
        <v>25865</v>
      </c>
      <c r="M519" s="35">
        <v>28553</v>
      </c>
      <c r="N519" s="35">
        <v>20432</v>
      </c>
      <c r="O519" s="35">
        <v>112683</v>
      </c>
      <c r="P519" s="35">
        <v>29090</v>
      </c>
      <c r="Q519" s="35">
        <v>41302</v>
      </c>
      <c r="R519" s="35">
        <v>17819</v>
      </c>
      <c r="S519" s="35">
        <v>23675</v>
      </c>
      <c r="T519" s="35">
        <v>31702</v>
      </c>
      <c r="U519" s="35">
        <v>18432</v>
      </c>
      <c r="V519" s="35">
        <f t="shared" ref="V519:V523" si="514">SUM(B519:U519)</f>
        <v>812227</v>
      </c>
      <c r="W519" s="35">
        <f t="shared" ref="W519:AP519" si="515">B519-B516</f>
        <v>20</v>
      </c>
      <c r="X519" s="35">
        <f t="shared" si="515"/>
        <v>14</v>
      </c>
      <c r="Y519" s="35">
        <f t="shared" si="515"/>
        <v>5</v>
      </c>
      <c r="Z519" s="35">
        <f t="shared" si="515"/>
        <v>18</v>
      </c>
      <c r="AA519" s="35">
        <f t="shared" si="515"/>
        <v>197</v>
      </c>
      <c r="AB519" s="35">
        <f t="shared" si="515"/>
        <v>21</v>
      </c>
      <c r="AC519" s="35">
        <f t="shared" si="515"/>
        <v>18</v>
      </c>
      <c r="AD519" s="35">
        <f t="shared" si="515"/>
        <v>27</v>
      </c>
      <c r="AE519" s="35">
        <f t="shared" si="515"/>
        <v>12</v>
      </c>
      <c r="AF519" s="35">
        <f t="shared" si="515"/>
        <v>11</v>
      </c>
      <c r="AG519" s="35">
        <f t="shared" si="515"/>
        <v>19</v>
      </c>
      <c r="AH519" s="35">
        <f t="shared" si="515"/>
        <v>21</v>
      </c>
      <c r="AI519" s="35">
        <f t="shared" si="515"/>
        <v>12</v>
      </c>
      <c r="AJ519" s="35">
        <f t="shared" si="515"/>
        <v>80</v>
      </c>
      <c r="AK519" s="35">
        <f t="shared" si="515"/>
        <v>11</v>
      </c>
      <c r="AL519" s="35">
        <f t="shared" si="515"/>
        <v>9</v>
      </c>
      <c r="AM519" s="35">
        <f t="shared" si="515"/>
        <v>4</v>
      </c>
      <c r="AN519" s="35">
        <f t="shared" si="515"/>
        <v>5</v>
      </c>
      <c r="AO519" s="35">
        <f t="shared" si="515"/>
        <v>13</v>
      </c>
      <c r="AP519" s="35">
        <f t="shared" si="515"/>
        <v>4</v>
      </c>
    </row>
    <row r="520" spans="1:42" ht="13">
      <c r="A520" s="36">
        <v>44439</v>
      </c>
      <c r="B520" s="35">
        <v>39397</v>
      </c>
      <c r="C520" s="35">
        <v>28697</v>
      </c>
      <c r="D520" s="35">
        <v>22012</v>
      </c>
      <c r="E520" s="35">
        <v>46892</v>
      </c>
      <c r="F520" s="35">
        <v>145618</v>
      </c>
      <c r="G520" s="35">
        <v>33710</v>
      </c>
      <c r="H520" s="35">
        <v>36467</v>
      </c>
      <c r="I520" s="35">
        <v>44640</v>
      </c>
      <c r="J520" s="35">
        <v>42728</v>
      </c>
      <c r="K520" s="35">
        <v>22591</v>
      </c>
      <c r="L520" s="35">
        <v>25866</v>
      </c>
      <c r="M520" s="35">
        <v>28558</v>
      </c>
      <c r="N520" s="35">
        <v>20433</v>
      </c>
      <c r="O520" s="35">
        <v>112697</v>
      </c>
      <c r="P520" s="35">
        <v>29095</v>
      </c>
      <c r="Q520" s="35">
        <v>41304</v>
      </c>
      <c r="R520" s="35">
        <v>17820</v>
      </c>
      <c r="S520" s="35">
        <v>23677</v>
      </c>
      <c r="T520" s="35">
        <v>31703</v>
      </c>
      <c r="U520" s="35">
        <v>18432</v>
      </c>
      <c r="V520" s="35">
        <f t="shared" si="514"/>
        <v>812337</v>
      </c>
      <c r="W520" s="35">
        <f t="shared" ref="W520:AP520" si="516">B520-B519</f>
        <v>5</v>
      </c>
      <c r="X520" s="35">
        <f t="shared" si="516"/>
        <v>1</v>
      </c>
      <c r="Y520" s="35">
        <f t="shared" si="516"/>
        <v>8</v>
      </c>
      <c r="Z520" s="35">
        <f t="shared" si="516"/>
        <v>3</v>
      </c>
      <c r="AA520" s="35">
        <f t="shared" si="516"/>
        <v>45</v>
      </c>
      <c r="AB520" s="35">
        <f t="shared" si="516"/>
        <v>3</v>
      </c>
      <c r="AC520" s="35">
        <f t="shared" si="516"/>
        <v>4</v>
      </c>
      <c r="AD520" s="35">
        <f t="shared" si="516"/>
        <v>5</v>
      </c>
      <c r="AE520" s="35">
        <f t="shared" si="516"/>
        <v>3</v>
      </c>
      <c r="AF520" s="35">
        <f t="shared" si="516"/>
        <v>1</v>
      </c>
      <c r="AG520" s="35">
        <f t="shared" si="516"/>
        <v>1</v>
      </c>
      <c r="AH520" s="35">
        <f t="shared" si="516"/>
        <v>5</v>
      </c>
      <c r="AI520" s="35">
        <f t="shared" si="516"/>
        <v>1</v>
      </c>
      <c r="AJ520" s="35">
        <f t="shared" si="516"/>
        <v>14</v>
      </c>
      <c r="AK520" s="35">
        <f t="shared" si="516"/>
        <v>5</v>
      </c>
      <c r="AL520" s="35">
        <f t="shared" si="516"/>
        <v>2</v>
      </c>
      <c r="AM520" s="35">
        <f t="shared" si="516"/>
        <v>1</v>
      </c>
      <c r="AN520" s="35">
        <f t="shared" si="516"/>
        <v>2</v>
      </c>
      <c r="AO520" s="35">
        <f t="shared" si="516"/>
        <v>1</v>
      </c>
      <c r="AP520" s="35">
        <f t="shared" si="516"/>
        <v>0</v>
      </c>
    </row>
    <row r="521" spans="1:42" ht="13">
      <c r="A521" s="36">
        <v>44440</v>
      </c>
      <c r="B521" s="35">
        <v>39401</v>
      </c>
      <c r="C521" s="35">
        <v>28700</v>
      </c>
      <c r="D521" s="35">
        <v>22012</v>
      </c>
      <c r="E521" s="35">
        <v>46897</v>
      </c>
      <c r="F521" s="35">
        <v>145676</v>
      </c>
      <c r="G521" s="35">
        <v>33714</v>
      </c>
      <c r="H521" s="35">
        <v>36474</v>
      </c>
      <c r="I521" s="35">
        <v>44652</v>
      </c>
      <c r="J521" s="35">
        <v>42735</v>
      </c>
      <c r="K521" s="35">
        <v>22595</v>
      </c>
      <c r="L521" s="35">
        <v>25873</v>
      </c>
      <c r="M521" s="35">
        <v>28563</v>
      </c>
      <c r="N521" s="35">
        <v>20442</v>
      </c>
      <c r="O521" s="35">
        <v>112742</v>
      </c>
      <c r="P521" s="35">
        <v>29101</v>
      </c>
      <c r="Q521" s="35">
        <v>41304</v>
      </c>
      <c r="R521" s="35">
        <v>17821</v>
      </c>
      <c r="S521" s="35">
        <v>23685</v>
      </c>
      <c r="T521" s="35">
        <v>31707</v>
      </c>
      <c r="U521" s="35">
        <v>18437</v>
      </c>
      <c r="V521" s="35">
        <f t="shared" si="514"/>
        <v>812531</v>
      </c>
      <c r="W521" s="35">
        <f t="shared" ref="W521:AP521" si="517">B521-B520</f>
        <v>4</v>
      </c>
      <c r="X521" s="35">
        <f t="shared" si="517"/>
        <v>3</v>
      </c>
      <c r="Y521" s="35">
        <f t="shared" si="517"/>
        <v>0</v>
      </c>
      <c r="Z521" s="35">
        <f t="shared" si="517"/>
        <v>5</v>
      </c>
      <c r="AA521" s="35">
        <f t="shared" si="517"/>
        <v>58</v>
      </c>
      <c r="AB521" s="35">
        <f t="shared" si="517"/>
        <v>4</v>
      </c>
      <c r="AC521" s="35">
        <f t="shared" si="517"/>
        <v>7</v>
      </c>
      <c r="AD521" s="35">
        <f t="shared" si="517"/>
        <v>12</v>
      </c>
      <c r="AE521" s="35">
        <f t="shared" si="517"/>
        <v>7</v>
      </c>
      <c r="AF521" s="35">
        <f t="shared" si="517"/>
        <v>4</v>
      </c>
      <c r="AG521" s="35">
        <f t="shared" si="517"/>
        <v>7</v>
      </c>
      <c r="AH521" s="35">
        <f t="shared" si="517"/>
        <v>5</v>
      </c>
      <c r="AI521" s="35">
        <f t="shared" si="517"/>
        <v>9</v>
      </c>
      <c r="AJ521" s="35">
        <f t="shared" si="517"/>
        <v>45</v>
      </c>
      <c r="AK521" s="35">
        <f t="shared" si="517"/>
        <v>6</v>
      </c>
      <c r="AL521" s="35">
        <f t="shared" si="517"/>
        <v>0</v>
      </c>
      <c r="AM521" s="35">
        <f t="shared" si="517"/>
        <v>1</v>
      </c>
      <c r="AN521" s="35">
        <f t="shared" si="517"/>
        <v>8</v>
      </c>
      <c r="AO521" s="35">
        <f t="shared" si="517"/>
        <v>4</v>
      </c>
      <c r="AP521" s="35">
        <f t="shared" si="517"/>
        <v>5</v>
      </c>
    </row>
    <row r="522" spans="1:42" ht="13">
      <c r="A522" s="36">
        <v>44441</v>
      </c>
      <c r="B522" s="35">
        <v>39415</v>
      </c>
      <c r="C522" s="35">
        <v>28705</v>
      </c>
      <c r="D522" s="35">
        <v>22018</v>
      </c>
      <c r="E522" s="35">
        <v>46912</v>
      </c>
      <c r="F522" s="35">
        <v>145756</v>
      </c>
      <c r="G522" s="35">
        <v>33725</v>
      </c>
      <c r="H522" s="35">
        <v>36487</v>
      </c>
      <c r="I522" s="35">
        <v>44665</v>
      </c>
      <c r="J522" s="35">
        <v>42739</v>
      </c>
      <c r="K522" s="35">
        <v>22600</v>
      </c>
      <c r="L522" s="35">
        <v>25879</v>
      </c>
      <c r="M522" s="35">
        <v>28564</v>
      </c>
      <c r="N522" s="35">
        <v>20451</v>
      </c>
      <c r="O522" s="35">
        <v>112786</v>
      </c>
      <c r="P522" s="35">
        <v>29108</v>
      </c>
      <c r="Q522" s="35">
        <v>41312</v>
      </c>
      <c r="R522" s="35">
        <v>17824</v>
      </c>
      <c r="S522" s="35">
        <v>23690</v>
      </c>
      <c r="T522" s="35">
        <v>31715</v>
      </c>
      <c r="U522" s="35">
        <v>18442</v>
      </c>
      <c r="V522" s="35">
        <f t="shared" si="514"/>
        <v>812793</v>
      </c>
      <c r="W522" s="35">
        <f t="shared" ref="W522:AP522" si="518">B522-B521</f>
        <v>14</v>
      </c>
      <c r="X522" s="35">
        <f t="shared" si="518"/>
        <v>5</v>
      </c>
      <c r="Y522" s="35">
        <f t="shared" si="518"/>
        <v>6</v>
      </c>
      <c r="Z522" s="35">
        <f t="shared" si="518"/>
        <v>15</v>
      </c>
      <c r="AA522" s="35">
        <f t="shared" si="518"/>
        <v>80</v>
      </c>
      <c r="AB522" s="35">
        <f t="shared" si="518"/>
        <v>11</v>
      </c>
      <c r="AC522" s="35">
        <f t="shared" si="518"/>
        <v>13</v>
      </c>
      <c r="AD522" s="35">
        <f t="shared" si="518"/>
        <v>13</v>
      </c>
      <c r="AE522" s="35">
        <f t="shared" si="518"/>
        <v>4</v>
      </c>
      <c r="AF522" s="35">
        <f t="shared" si="518"/>
        <v>5</v>
      </c>
      <c r="AG522" s="35">
        <f t="shared" si="518"/>
        <v>6</v>
      </c>
      <c r="AH522" s="35">
        <f t="shared" si="518"/>
        <v>1</v>
      </c>
      <c r="AI522" s="35">
        <f t="shared" si="518"/>
        <v>9</v>
      </c>
      <c r="AJ522" s="35">
        <f t="shared" si="518"/>
        <v>44</v>
      </c>
      <c r="AK522" s="35">
        <f t="shared" si="518"/>
        <v>7</v>
      </c>
      <c r="AL522" s="35">
        <f t="shared" si="518"/>
        <v>8</v>
      </c>
      <c r="AM522" s="35">
        <f t="shared" si="518"/>
        <v>3</v>
      </c>
      <c r="AN522" s="35">
        <f t="shared" si="518"/>
        <v>5</v>
      </c>
      <c r="AO522" s="35">
        <f t="shared" si="518"/>
        <v>8</v>
      </c>
      <c r="AP522" s="35">
        <f t="shared" si="518"/>
        <v>5</v>
      </c>
    </row>
    <row r="523" spans="1:42" ht="13">
      <c r="A523" s="36">
        <v>44442</v>
      </c>
      <c r="B523" s="35">
        <v>39431</v>
      </c>
      <c r="C523" s="35">
        <v>28712</v>
      </c>
      <c r="D523" s="35">
        <v>22026</v>
      </c>
      <c r="E523" s="35">
        <v>46923</v>
      </c>
      <c r="F523" s="35">
        <v>145827</v>
      </c>
      <c r="G523" s="35">
        <v>33728</v>
      </c>
      <c r="H523" s="35">
        <v>36489</v>
      </c>
      <c r="I523" s="35">
        <v>44683</v>
      </c>
      <c r="J523" s="35">
        <v>42750</v>
      </c>
      <c r="K523" s="35">
        <v>22611</v>
      </c>
      <c r="L523" s="35">
        <v>25885</v>
      </c>
      <c r="M523" s="35">
        <v>28568</v>
      </c>
      <c r="N523" s="35">
        <v>20458</v>
      </c>
      <c r="O523" s="35">
        <v>112822</v>
      </c>
      <c r="P523" s="35">
        <v>29112</v>
      </c>
      <c r="Q523" s="35">
        <v>41316</v>
      </c>
      <c r="R523" s="35">
        <v>17835</v>
      </c>
      <c r="S523" s="35">
        <v>23696</v>
      </c>
      <c r="T523" s="35">
        <v>31724</v>
      </c>
      <c r="U523" s="35">
        <v>18444</v>
      </c>
      <c r="V523" s="35">
        <f t="shared" si="514"/>
        <v>813040</v>
      </c>
      <c r="W523" s="35">
        <f t="shared" ref="W523:AP523" si="519">B523-B522</f>
        <v>16</v>
      </c>
      <c r="X523" s="35">
        <f t="shared" si="519"/>
        <v>7</v>
      </c>
      <c r="Y523" s="35">
        <f t="shared" si="519"/>
        <v>8</v>
      </c>
      <c r="Z523" s="35">
        <f t="shared" si="519"/>
        <v>11</v>
      </c>
      <c r="AA523" s="35">
        <f t="shared" si="519"/>
        <v>71</v>
      </c>
      <c r="AB523" s="35">
        <f t="shared" si="519"/>
        <v>3</v>
      </c>
      <c r="AC523" s="35">
        <f t="shared" si="519"/>
        <v>2</v>
      </c>
      <c r="AD523" s="35">
        <f t="shared" si="519"/>
        <v>18</v>
      </c>
      <c r="AE523" s="35">
        <f t="shared" si="519"/>
        <v>11</v>
      </c>
      <c r="AF523" s="35">
        <f t="shared" si="519"/>
        <v>11</v>
      </c>
      <c r="AG523" s="35">
        <f t="shared" si="519"/>
        <v>6</v>
      </c>
      <c r="AH523" s="35">
        <f t="shared" si="519"/>
        <v>4</v>
      </c>
      <c r="AI523" s="35">
        <f t="shared" si="519"/>
        <v>7</v>
      </c>
      <c r="AJ523" s="35">
        <f t="shared" si="519"/>
        <v>36</v>
      </c>
      <c r="AK523" s="35">
        <f t="shared" si="519"/>
        <v>4</v>
      </c>
      <c r="AL523" s="35">
        <f t="shared" si="519"/>
        <v>4</v>
      </c>
      <c r="AM523" s="35">
        <f t="shared" si="519"/>
        <v>11</v>
      </c>
      <c r="AN523" s="35">
        <f t="shared" si="519"/>
        <v>6</v>
      </c>
      <c r="AO523" s="35">
        <f t="shared" si="519"/>
        <v>9</v>
      </c>
      <c r="AP523" s="35">
        <f t="shared" si="519"/>
        <v>2</v>
      </c>
    </row>
    <row r="524" spans="1:42" ht="13">
      <c r="A524" s="36">
        <v>44443</v>
      </c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</row>
    <row r="525" spans="1:42" ht="13">
      <c r="A525" s="36">
        <v>44444</v>
      </c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</row>
    <row r="526" spans="1:42" ht="13">
      <c r="A526" s="36">
        <v>44445</v>
      </c>
      <c r="B526" s="35">
        <v>39453</v>
      </c>
      <c r="C526" s="35">
        <v>28739</v>
      </c>
      <c r="D526" s="35">
        <v>22048</v>
      </c>
      <c r="E526" s="35">
        <v>46950</v>
      </c>
      <c r="F526" s="35">
        <v>146043</v>
      </c>
      <c r="G526" s="35">
        <v>33758</v>
      </c>
      <c r="H526" s="35">
        <v>36511</v>
      </c>
      <c r="I526" s="35">
        <v>44723</v>
      </c>
      <c r="J526" s="35">
        <v>42771</v>
      </c>
      <c r="K526" s="35">
        <v>22625</v>
      </c>
      <c r="L526" s="35">
        <v>25907</v>
      </c>
      <c r="M526" s="35">
        <v>28573</v>
      </c>
      <c r="N526" s="35">
        <v>20477</v>
      </c>
      <c r="O526" s="35">
        <v>112915</v>
      </c>
      <c r="P526" s="35">
        <v>29122</v>
      </c>
      <c r="Q526" s="35">
        <v>41328</v>
      </c>
      <c r="R526" s="35">
        <v>17849</v>
      </c>
      <c r="S526" s="35">
        <v>23705</v>
      </c>
      <c r="T526" s="35">
        <v>31744</v>
      </c>
      <c r="U526" s="35">
        <v>18447</v>
      </c>
      <c r="V526" s="35">
        <f t="shared" ref="V526:V530" si="520">SUM(B526:U526)</f>
        <v>813688</v>
      </c>
      <c r="W526" s="35">
        <f t="shared" ref="W526:AP526" si="521">B526-B523</f>
        <v>22</v>
      </c>
      <c r="X526" s="35">
        <f t="shared" si="521"/>
        <v>27</v>
      </c>
      <c r="Y526" s="35">
        <f t="shared" si="521"/>
        <v>22</v>
      </c>
      <c r="Z526" s="35">
        <f t="shared" si="521"/>
        <v>27</v>
      </c>
      <c r="AA526" s="35">
        <f t="shared" si="521"/>
        <v>216</v>
      </c>
      <c r="AB526" s="35">
        <f t="shared" si="521"/>
        <v>30</v>
      </c>
      <c r="AC526" s="35">
        <f t="shared" si="521"/>
        <v>22</v>
      </c>
      <c r="AD526" s="35">
        <f t="shared" si="521"/>
        <v>40</v>
      </c>
      <c r="AE526" s="35">
        <f t="shared" si="521"/>
        <v>21</v>
      </c>
      <c r="AF526" s="35">
        <f t="shared" si="521"/>
        <v>14</v>
      </c>
      <c r="AG526" s="35">
        <f t="shared" si="521"/>
        <v>22</v>
      </c>
      <c r="AH526" s="35">
        <f t="shared" si="521"/>
        <v>5</v>
      </c>
      <c r="AI526" s="35">
        <f t="shared" si="521"/>
        <v>19</v>
      </c>
      <c r="AJ526" s="35">
        <f t="shared" si="521"/>
        <v>93</v>
      </c>
      <c r="AK526" s="35">
        <f t="shared" si="521"/>
        <v>10</v>
      </c>
      <c r="AL526" s="35">
        <f t="shared" si="521"/>
        <v>12</v>
      </c>
      <c r="AM526" s="35">
        <f t="shared" si="521"/>
        <v>14</v>
      </c>
      <c r="AN526" s="35">
        <f t="shared" si="521"/>
        <v>9</v>
      </c>
      <c r="AO526" s="35">
        <f t="shared" si="521"/>
        <v>20</v>
      </c>
      <c r="AP526" s="35">
        <f t="shared" si="521"/>
        <v>3</v>
      </c>
    </row>
    <row r="527" spans="1:42" ht="13">
      <c r="A527" s="36">
        <v>44446</v>
      </c>
      <c r="B527" s="35">
        <v>39464</v>
      </c>
      <c r="C527" s="35">
        <v>28744</v>
      </c>
      <c r="D527" s="35">
        <v>22052</v>
      </c>
      <c r="E527" s="35">
        <v>46962</v>
      </c>
      <c r="F527" s="35">
        <v>146080</v>
      </c>
      <c r="G527" s="35">
        <v>33763</v>
      </c>
      <c r="H527" s="35">
        <v>36515</v>
      </c>
      <c r="I527" s="35">
        <v>44724</v>
      </c>
      <c r="J527" s="35">
        <v>42773</v>
      </c>
      <c r="K527" s="35">
        <v>22629</v>
      </c>
      <c r="L527" s="35">
        <v>25910</v>
      </c>
      <c r="M527" s="35">
        <v>28574</v>
      </c>
      <c r="N527" s="35">
        <v>20480</v>
      </c>
      <c r="O527" s="35">
        <v>112937</v>
      </c>
      <c r="P527" s="35">
        <v>29125</v>
      </c>
      <c r="Q527" s="35">
        <v>41330</v>
      </c>
      <c r="R527" s="35">
        <v>17850</v>
      </c>
      <c r="S527" s="35">
        <v>23710</v>
      </c>
      <c r="T527" s="35">
        <v>31745</v>
      </c>
      <c r="U527" s="35">
        <v>18451</v>
      </c>
      <c r="V527" s="35">
        <f t="shared" si="520"/>
        <v>813818</v>
      </c>
      <c r="W527" s="35">
        <f t="shared" ref="W527:AP527" si="522">B527-B526</f>
        <v>11</v>
      </c>
      <c r="X527" s="35">
        <f t="shared" si="522"/>
        <v>5</v>
      </c>
      <c r="Y527" s="35">
        <f t="shared" si="522"/>
        <v>4</v>
      </c>
      <c r="Z527" s="35">
        <f t="shared" si="522"/>
        <v>12</v>
      </c>
      <c r="AA527" s="35">
        <f t="shared" si="522"/>
        <v>37</v>
      </c>
      <c r="AB527" s="35">
        <f t="shared" si="522"/>
        <v>5</v>
      </c>
      <c r="AC527" s="35">
        <f t="shared" si="522"/>
        <v>4</v>
      </c>
      <c r="AD527" s="35">
        <f t="shared" si="522"/>
        <v>1</v>
      </c>
      <c r="AE527" s="35">
        <f t="shared" si="522"/>
        <v>2</v>
      </c>
      <c r="AF527" s="35">
        <f t="shared" si="522"/>
        <v>4</v>
      </c>
      <c r="AG527" s="35">
        <f t="shared" si="522"/>
        <v>3</v>
      </c>
      <c r="AH527" s="35">
        <f t="shared" si="522"/>
        <v>1</v>
      </c>
      <c r="AI527" s="35">
        <f t="shared" si="522"/>
        <v>3</v>
      </c>
      <c r="AJ527" s="35">
        <f t="shared" si="522"/>
        <v>22</v>
      </c>
      <c r="AK527" s="35">
        <f t="shared" si="522"/>
        <v>3</v>
      </c>
      <c r="AL527" s="35">
        <f t="shared" si="522"/>
        <v>2</v>
      </c>
      <c r="AM527" s="35">
        <f t="shared" si="522"/>
        <v>1</v>
      </c>
      <c r="AN527" s="35">
        <f t="shared" si="522"/>
        <v>5</v>
      </c>
      <c r="AO527" s="35">
        <f t="shared" si="522"/>
        <v>1</v>
      </c>
      <c r="AP527" s="35">
        <f t="shared" si="522"/>
        <v>4</v>
      </c>
    </row>
    <row r="528" spans="1:42" ht="13">
      <c r="A528" s="36">
        <v>44447</v>
      </c>
      <c r="B528" s="35">
        <v>39473</v>
      </c>
      <c r="C528" s="35">
        <v>28757</v>
      </c>
      <c r="D528" s="35">
        <v>22054</v>
      </c>
      <c r="E528" s="35">
        <v>46967</v>
      </c>
      <c r="F528" s="35">
        <v>146156</v>
      </c>
      <c r="G528" s="35">
        <v>33768</v>
      </c>
      <c r="H528" s="35">
        <v>36526</v>
      </c>
      <c r="I528" s="35">
        <v>44733</v>
      </c>
      <c r="J528" s="35">
        <v>42788</v>
      </c>
      <c r="K528" s="35">
        <v>22632</v>
      </c>
      <c r="L528" s="35">
        <v>25916</v>
      </c>
      <c r="M528" s="35">
        <v>28576</v>
      </c>
      <c r="N528" s="35">
        <v>20491</v>
      </c>
      <c r="O528" s="35">
        <v>112990</v>
      </c>
      <c r="P528" s="35">
        <v>29130</v>
      </c>
      <c r="Q528" s="35">
        <v>41334</v>
      </c>
      <c r="R528" s="35">
        <v>17853</v>
      </c>
      <c r="S528" s="35">
        <v>23718</v>
      </c>
      <c r="T528" s="35">
        <v>31749</v>
      </c>
      <c r="U528" s="35">
        <v>18453</v>
      </c>
      <c r="V528" s="35">
        <f t="shared" si="520"/>
        <v>814064</v>
      </c>
      <c r="W528" s="35">
        <f t="shared" ref="W528:AP528" si="523">B528-B527</f>
        <v>9</v>
      </c>
      <c r="X528" s="35">
        <f t="shared" si="523"/>
        <v>13</v>
      </c>
      <c r="Y528" s="35">
        <f t="shared" si="523"/>
        <v>2</v>
      </c>
      <c r="Z528" s="35">
        <f t="shared" si="523"/>
        <v>5</v>
      </c>
      <c r="AA528" s="35">
        <f t="shared" si="523"/>
        <v>76</v>
      </c>
      <c r="AB528" s="35">
        <f t="shared" si="523"/>
        <v>5</v>
      </c>
      <c r="AC528" s="35">
        <f t="shared" si="523"/>
        <v>11</v>
      </c>
      <c r="AD528" s="35">
        <f t="shared" si="523"/>
        <v>9</v>
      </c>
      <c r="AE528" s="35">
        <f t="shared" si="523"/>
        <v>15</v>
      </c>
      <c r="AF528" s="35">
        <f t="shared" si="523"/>
        <v>3</v>
      </c>
      <c r="AG528" s="35">
        <f t="shared" si="523"/>
        <v>6</v>
      </c>
      <c r="AH528" s="35">
        <f t="shared" si="523"/>
        <v>2</v>
      </c>
      <c r="AI528" s="35">
        <f t="shared" si="523"/>
        <v>11</v>
      </c>
      <c r="AJ528" s="35">
        <f t="shared" si="523"/>
        <v>53</v>
      </c>
      <c r="AK528" s="35">
        <f t="shared" si="523"/>
        <v>5</v>
      </c>
      <c r="AL528" s="35">
        <f t="shared" si="523"/>
        <v>4</v>
      </c>
      <c r="AM528" s="35">
        <f t="shared" si="523"/>
        <v>3</v>
      </c>
      <c r="AN528" s="35">
        <f t="shared" si="523"/>
        <v>8</v>
      </c>
      <c r="AO528" s="35">
        <f t="shared" si="523"/>
        <v>4</v>
      </c>
      <c r="AP528" s="35">
        <f t="shared" si="523"/>
        <v>2</v>
      </c>
    </row>
    <row r="529" spans="1:42" ht="13">
      <c r="A529" s="36">
        <v>44448</v>
      </c>
      <c r="B529" s="35">
        <v>39491</v>
      </c>
      <c r="C529" s="35">
        <v>28763</v>
      </c>
      <c r="D529" s="35">
        <v>22061</v>
      </c>
      <c r="E529" s="35">
        <v>46987</v>
      </c>
      <c r="F529" s="35">
        <v>146250</v>
      </c>
      <c r="G529" s="35">
        <v>33790</v>
      </c>
      <c r="H529" s="35">
        <v>36543</v>
      </c>
      <c r="I529" s="35">
        <v>44742</v>
      </c>
      <c r="J529" s="35">
        <v>42800</v>
      </c>
      <c r="K529" s="35">
        <v>22650</v>
      </c>
      <c r="L529" s="35">
        <v>25923</v>
      </c>
      <c r="M529" s="35">
        <v>28586</v>
      </c>
      <c r="N529" s="35">
        <v>20504</v>
      </c>
      <c r="O529" s="35">
        <v>113036</v>
      </c>
      <c r="P529" s="35">
        <v>29138</v>
      </c>
      <c r="Q529" s="35">
        <v>41335</v>
      </c>
      <c r="R529" s="35">
        <v>17866</v>
      </c>
      <c r="S529" s="35">
        <v>23724</v>
      </c>
      <c r="T529" s="35">
        <v>31765</v>
      </c>
      <c r="U529" s="35">
        <v>18455</v>
      </c>
      <c r="V529" s="35">
        <f t="shared" si="520"/>
        <v>814409</v>
      </c>
      <c r="W529" s="35">
        <f t="shared" ref="W529:AP529" si="524">B529-B528</f>
        <v>18</v>
      </c>
      <c r="X529" s="35">
        <f t="shared" si="524"/>
        <v>6</v>
      </c>
      <c r="Y529" s="35">
        <f t="shared" si="524"/>
        <v>7</v>
      </c>
      <c r="Z529" s="35">
        <f t="shared" si="524"/>
        <v>20</v>
      </c>
      <c r="AA529" s="35">
        <f t="shared" si="524"/>
        <v>94</v>
      </c>
      <c r="AB529" s="35">
        <f t="shared" si="524"/>
        <v>22</v>
      </c>
      <c r="AC529" s="35">
        <f t="shared" si="524"/>
        <v>17</v>
      </c>
      <c r="AD529" s="35">
        <f t="shared" si="524"/>
        <v>9</v>
      </c>
      <c r="AE529" s="35">
        <f t="shared" si="524"/>
        <v>12</v>
      </c>
      <c r="AF529" s="35">
        <f t="shared" si="524"/>
        <v>18</v>
      </c>
      <c r="AG529" s="35">
        <f t="shared" si="524"/>
        <v>7</v>
      </c>
      <c r="AH529" s="35">
        <f t="shared" si="524"/>
        <v>10</v>
      </c>
      <c r="AI529" s="35">
        <f t="shared" si="524"/>
        <v>13</v>
      </c>
      <c r="AJ529" s="35">
        <f t="shared" si="524"/>
        <v>46</v>
      </c>
      <c r="AK529" s="35">
        <f t="shared" si="524"/>
        <v>8</v>
      </c>
      <c r="AL529" s="35">
        <f t="shared" si="524"/>
        <v>1</v>
      </c>
      <c r="AM529" s="35">
        <f t="shared" si="524"/>
        <v>13</v>
      </c>
      <c r="AN529" s="35">
        <f t="shared" si="524"/>
        <v>6</v>
      </c>
      <c r="AO529" s="35">
        <f t="shared" si="524"/>
        <v>16</v>
      </c>
      <c r="AP529" s="35">
        <f t="shared" si="524"/>
        <v>2</v>
      </c>
    </row>
    <row r="530" spans="1:42" ht="13">
      <c r="A530" s="36">
        <v>44449</v>
      </c>
      <c r="B530" s="35">
        <v>39506</v>
      </c>
      <c r="C530" s="35">
        <v>28768</v>
      </c>
      <c r="D530" s="35">
        <v>22067</v>
      </c>
      <c r="E530" s="35">
        <v>47004</v>
      </c>
      <c r="F530" s="35">
        <v>146348</v>
      </c>
      <c r="G530" s="35">
        <v>33811</v>
      </c>
      <c r="H530" s="35">
        <v>36551</v>
      </c>
      <c r="I530" s="35">
        <v>44753</v>
      </c>
      <c r="J530" s="35">
        <v>42818</v>
      </c>
      <c r="K530" s="35">
        <v>22663</v>
      </c>
      <c r="L530" s="35">
        <v>25928</v>
      </c>
      <c r="M530" s="35">
        <v>28588</v>
      </c>
      <c r="N530" s="35">
        <v>20514</v>
      </c>
      <c r="O530" s="35">
        <v>113083</v>
      </c>
      <c r="P530" s="35">
        <v>29147</v>
      </c>
      <c r="Q530" s="35">
        <v>41342</v>
      </c>
      <c r="R530" s="35">
        <v>17868</v>
      </c>
      <c r="S530" s="35">
        <v>23732</v>
      </c>
      <c r="T530" s="35">
        <v>31785</v>
      </c>
      <c r="U530" s="35">
        <v>18456</v>
      </c>
      <c r="V530" s="35">
        <f t="shared" si="520"/>
        <v>814732</v>
      </c>
      <c r="W530" s="35">
        <f t="shared" ref="W530:AP530" si="525">B530-B529</f>
        <v>15</v>
      </c>
      <c r="X530" s="35">
        <f t="shared" si="525"/>
        <v>5</v>
      </c>
      <c r="Y530" s="35">
        <f t="shared" si="525"/>
        <v>6</v>
      </c>
      <c r="Z530" s="35">
        <f t="shared" si="525"/>
        <v>17</v>
      </c>
      <c r="AA530" s="35">
        <f t="shared" si="525"/>
        <v>98</v>
      </c>
      <c r="AB530" s="35">
        <f t="shared" si="525"/>
        <v>21</v>
      </c>
      <c r="AC530" s="35">
        <f t="shared" si="525"/>
        <v>8</v>
      </c>
      <c r="AD530" s="35">
        <f t="shared" si="525"/>
        <v>11</v>
      </c>
      <c r="AE530" s="35">
        <f t="shared" si="525"/>
        <v>18</v>
      </c>
      <c r="AF530" s="35">
        <f t="shared" si="525"/>
        <v>13</v>
      </c>
      <c r="AG530" s="35">
        <f t="shared" si="525"/>
        <v>5</v>
      </c>
      <c r="AH530" s="35">
        <f t="shared" si="525"/>
        <v>2</v>
      </c>
      <c r="AI530" s="35">
        <f t="shared" si="525"/>
        <v>10</v>
      </c>
      <c r="AJ530" s="35">
        <f t="shared" si="525"/>
        <v>47</v>
      </c>
      <c r="AK530" s="35">
        <f t="shared" si="525"/>
        <v>9</v>
      </c>
      <c r="AL530" s="35">
        <f t="shared" si="525"/>
        <v>7</v>
      </c>
      <c r="AM530" s="35">
        <f t="shared" si="525"/>
        <v>2</v>
      </c>
      <c r="AN530" s="35">
        <f t="shared" si="525"/>
        <v>8</v>
      </c>
      <c r="AO530" s="35">
        <f t="shared" si="525"/>
        <v>20</v>
      </c>
      <c r="AP530" s="35">
        <f t="shared" si="525"/>
        <v>1</v>
      </c>
    </row>
    <row r="531" spans="1:42" ht="13">
      <c r="A531" s="36">
        <v>44450</v>
      </c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</row>
    <row r="532" spans="1:42" ht="13">
      <c r="A532" s="36">
        <v>44451</v>
      </c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</row>
    <row r="533" spans="1:42" ht="13">
      <c r="A533" s="36">
        <v>44452</v>
      </c>
      <c r="B533" s="35">
        <v>39550</v>
      </c>
      <c r="C533" s="35">
        <v>28792</v>
      </c>
      <c r="D533" s="35">
        <v>22088</v>
      </c>
      <c r="E533" s="35">
        <v>47054</v>
      </c>
      <c r="F533" s="35">
        <v>146610</v>
      </c>
      <c r="G533" s="35">
        <v>33849</v>
      </c>
      <c r="H533" s="35">
        <v>36570</v>
      </c>
      <c r="I533" s="35">
        <v>44798</v>
      </c>
      <c r="J533" s="35">
        <v>42854</v>
      </c>
      <c r="K533" s="35">
        <v>22693</v>
      </c>
      <c r="L533" s="35">
        <v>25956</v>
      </c>
      <c r="M533" s="35">
        <v>28601</v>
      </c>
      <c r="N533" s="35">
        <v>20540</v>
      </c>
      <c r="O533" s="35">
        <v>113218</v>
      </c>
      <c r="P533" s="35">
        <v>29168</v>
      </c>
      <c r="Q533" s="35">
        <v>41364</v>
      </c>
      <c r="R533" s="35">
        <v>17876</v>
      </c>
      <c r="S533" s="35">
        <v>23746</v>
      </c>
      <c r="T533" s="35">
        <v>31808</v>
      </c>
      <c r="U533" s="35">
        <v>18470</v>
      </c>
      <c r="V533" s="35">
        <f t="shared" ref="V533:V537" si="526">SUM(B533:U533)</f>
        <v>815605</v>
      </c>
      <c r="W533" s="35">
        <f t="shared" ref="W533:AP533" si="527">B533-B530</f>
        <v>44</v>
      </c>
      <c r="X533" s="35">
        <f t="shared" si="527"/>
        <v>24</v>
      </c>
      <c r="Y533" s="35">
        <f t="shared" si="527"/>
        <v>21</v>
      </c>
      <c r="Z533" s="35">
        <f t="shared" si="527"/>
        <v>50</v>
      </c>
      <c r="AA533" s="35">
        <f t="shared" si="527"/>
        <v>262</v>
      </c>
      <c r="AB533" s="35">
        <f t="shared" si="527"/>
        <v>38</v>
      </c>
      <c r="AC533" s="35">
        <f t="shared" si="527"/>
        <v>19</v>
      </c>
      <c r="AD533" s="35">
        <f t="shared" si="527"/>
        <v>45</v>
      </c>
      <c r="AE533" s="35">
        <f t="shared" si="527"/>
        <v>36</v>
      </c>
      <c r="AF533" s="35">
        <f t="shared" si="527"/>
        <v>30</v>
      </c>
      <c r="AG533" s="35">
        <f t="shared" si="527"/>
        <v>28</v>
      </c>
      <c r="AH533" s="35">
        <f t="shared" si="527"/>
        <v>13</v>
      </c>
      <c r="AI533" s="35">
        <f t="shared" si="527"/>
        <v>26</v>
      </c>
      <c r="AJ533" s="35">
        <f t="shared" si="527"/>
        <v>135</v>
      </c>
      <c r="AK533" s="35">
        <f t="shared" si="527"/>
        <v>21</v>
      </c>
      <c r="AL533" s="35">
        <f t="shared" si="527"/>
        <v>22</v>
      </c>
      <c r="AM533" s="35">
        <f t="shared" si="527"/>
        <v>8</v>
      </c>
      <c r="AN533" s="35">
        <f t="shared" si="527"/>
        <v>14</v>
      </c>
      <c r="AO533" s="35">
        <f t="shared" si="527"/>
        <v>23</v>
      </c>
      <c r="AP533" s="35">
        <f t="shared" si="527"/>
        <v>14</v>
      </c>
    </row>
    <row r="534" spans="1:42" ht="13">
      <c r="A534" s="36">
        <v>44453</v>
      </c>
      <c r="B534" s="35">
        <v>39557</v>
      </c>
      <c r="C534" s="35">
        <v>28795</v>
      </c>
      <c r="D534" s="35">
        <v>22098</v>
      </c>
      <c r="E534" s="35">
        <v>47066</v>
      </c>
      <c r="F534" s="35">
        <v>146690</v>
      </c>
      <c r="G534" s="35">
        <v>33858</v>
      </c>
      <c r="H534" s="35">
        <v>36574</v>
      </c>
      <c r="I534" s="35">
        <v>44807</v>
      </c>
      <c r="J534" s="35">
        <v>42863</v>
      </c>
      <c r="K534" s="35">
        <v>22702</v>
      </c>
      <c r="L534" s="35">
        <v>25960</v>
      </c>
      <c r="M534" s="35">
        <v>28607</v>
      </c>
      <c r="N534" s="35">
        <v>20552</v>
      </c>
      <c r="O534" s="35">
        <v>113259</v>
      </c>
      <c r="P534" s="35">
        <v>29170</v>
      </c>
      <c r="Q534" s="35">
        <v>41371</v>
      </c>
      <c r="R534" s="35">
        <v>17877</v>
      </c>
      <c r="S534" s="35">
        <v>23750</v>
      </c>
      <c r="T534" s="35">
        <v>31817</v>
      </c>
      <c r="U534" s="35">
        <v>18478</v>
      </c>
      <c r="V534" s="35">
        <f t="shared" si="526"/>
        <v>815851</v>
      </c>
      <c r="W534" s="35">
        <f t="shared" ref="W534:AP534" si="528">B534-B533</f>
        <v>7</v>
      </c>
      <c r="X534" s="35">
        <f t="shared" si="528"/>
        <v>3</v>
      </c>
      <c r="Y534" s="35">
        <f t="shared" si="528"/>
        <v>10</v>
      </c>
      <c r="Z534" s="35">
        <f t="shared" si="528"/>
        <v>12</v>
      </c>
      <c r="AA534" s="35">
        <f t="shared" si="528"/>
        <v>80</v>
      </c>
      <c r="AB534" s="35">
        <f t="shared" si="528"/>
        <v>9</v>
      </c>
      <c r="AC534" s="35">
        <f t="shared" si="528"/>
        <v>4</v>
      </c>
      <c r="AD534" s="35">
        <f t="shared" si="528"/>
        <v>9</v>
      </c>
      <c r="AE534" s="35">
        <f t="shared" si="528"/>
        <v>9</v>
      </c>
      <c r="AF534" s="35">
        <f t="shared" si="528"/>
        <v>9</v>
      </c>
      <c r="AG534" s="35">
        <f t="shared" si="528"/>
        <v>4</v>
      </c>
      <c r="AH534" s="35">
        <f t="shared" si="528"/>
        <v>6</v>
      </c>
      <c r="AI534" s="35">
        <f t="shared" si="528"/>
        <v>12</v>
      </c>
      <c r="AJ534" s="35">
        <f t="shared" si="528"/>
        <v>41</v>
      </c>
      <c r="AK534" s="35">
        <f t="shared" si="528"/>
        <v>2</v>
      </c>
      <c r="AL534" s="35">
        <f t="shared" si="528"/>
        <v>7</v>
      </c>
      <c r="AM534" s="35">
        <f t="shared" si="528"/>
        <v>1</v>
      </c>
      <c r="AN534" s="35">
        <f t="shared" si="528"/>
        <v>4</v>
      </c>
      <c r="AO534" s="35">
        <f t="shared" si="528"/>
        <v>9</v>
      </c>
      <c r="AP534" s="35">
        <f t="shared" si="528"/>
        <v>8</v>
      </c>
    </row>
    <row r="535" spans="1:42" ht="13">
      <c r="A535" s="36">
        <v>44454</v>
      </c>
      <c r="B535" s="35">
        <v>39570</v>
      </c>
      <c r="C535" s="35">
        <v>28810</v>
      </c>
      <c r="D535" s="35">
        <v>22113</v>
      </c>
      <c r="E535" s="35">
        <v>47080</v>
      </c>
      <c r="F535" s="35">
        <v>146788</v>
      </c>
      <c r="G535" s="35">
        <v>33871</v>
      </c>
      <c r="H535" s="35">
        <v>36583</v>
      </c>
      <c r="I535" s="35">
        <v>44821</v>
      </c>
      <c r="J535" s="35">
        <v>42886</v>
      </c>
      <c r="K535" s="35">
        <v>22712</v>
      </c>
      <c r="L535" s="35">
        <v>25976</v>
      </c>
      <c r="M535" s="35">
        <v>28613</v>
      </c>
      <c r="N535" s="35">
        <v>20569</v>
      </c>
      <c r="O535" s="35">
        <v>113319</v>
      </c>
      <c r="P535" s="35">
        <v>29177</v>
      </c>
      <c r="Q535" s="35">
        <v>41383</v>
      </c>
      <c r="R535" s="35">
        <v>17882</v>
      </c>
      <c r="S535" s="35">
        <v>23758</v>
      </c>
      <c r="T535" s="35">
        <v>31824</v>
      </c>
      <c r="U535" s="35">
        <v>18487</v>
      </c>
      <c r="V535" s="35">
        <f t="shared" si="526"/>
        <v>816222</v>
      </c>
      <c r="W535" s="35">
        <f t="shared" ref="W535:AP535" si="529">B535-B534</f>
        <v>13</v>
      </c>
      <c r="X535" s="35">
        <f t="shared" si="529"/>
        <v>15</v>
      </c>
      <c r="Y535" s="35">
        <f t="shared" si="529"/>
        <v>15</v>
      </c>
      <c r="Z535" s="35">
        <f t="shared" si="529"/>
        <v>14</v>
      </c>
      <c r="AA535" s="35">
        <f t="shared" si="529"/>
        <v>98</v>
      </c>
      <c r="AB535" s="35">
        <f t="shared" si="529"/>
        <v>13</v>
      </c>
      <c r="AC535" s="35">
        <f t="shared" si="529"/>
        <v>9</v>
      </c>
      <c r="AD535" s="35">
        <f t="shared" si="529"/>
        <v>14</v>
      </c>
      <c r="AE535" s="35">
        <f t="shared" si="529"/>
        <v>23</v>
      </c>
      <c r="AF535" s="35">
        <f t="shared" si="529"/>
        <v>10</v>
      </c>
      <c r="AG535" s="35">
        <f t="shared" si="529"/>
        <v>16</v>
      </c>
      <c r="AH535" s="35">
        <f t="shared" si="529"/>
        <v>6</v>
      </c>
      <c r="AI535" s="35">
        <f t="shared" si="529"/>
        <v>17</v>
      </c>
      <c r="AJ535" s="35">
        <f t="shared" si="529"/>
        <v>60</v>
      </c>
      <c r="AK535" s="35">
        <f t="shared" si="529"/>
        <v>7</v>
      </c>
      <c r="AL535" s="35">
        <f t="shared" si="529"/>
        <v>12</v>
      </c>
      <c r="AM535" s="35">
        <f t="shared" si="529"/>
        <v>5</v>
      </c>
      <c r="AN535" s="35">
        <f t="shared" si="529"/>
        <v>8</v>
      </c>
      <c r="AO535" s="35">
        <f t="shared" si="529"/>
        <v>7</v>
      </c>
      <c r="AP535" s="35">
        <f t="shared" si="529"/>
        <v>9</v>
      </c>
    </row>
    <row r="536" spans="1:42" ht="13">
      <c r="A536" s="36">
        <v>44455</v>
      </c>
      <c r="B536" s="35">
        <v>39590</v>
      </c>
      <c r="C536" s="35">
        <v>28822</v>
      </c>
      <c r="D536" s="35">
        <v>22127</v>
      </c>
      <c r="E536" s="35">
        <v>47117</v>
      </c>
      <c r="F536" s="35">
        <v>146893</v>
      </c>
      <c r="G536" s="35">
        <v>33890</v>
      </c>
      <c r="H536" s="35">
        <v>36590</v>
      </c>
      <c r="I536" s="35">
        <v>44839</v>
      </c>
      <c r="J536" s="35">
        <v>42912</v>
      </c>
      <c r="K536" s="35">
        <v>22731</v>
      </c>
      <c r="L536" s="35">
        <v>25996</v>
      </c>
      <c r="M536" s="35">
        <v>28617</v>
      </c>
      <c r="N536" s="35">
        <v>20578</v>
      </c>
      <c r="O536" s="35">
        <v>113396</v>
      </c>
      <c r="P536" s="35">
        <v>29195</v>
      </c>
      <c r="Q536" s="35">
        <v>41393</v>
      </c>
      <c r="R536" s="35">
        <v>17886</v>
      </c>
      <c r="S536" s="35">
        <v>23768</v>
      </c>
      <c r="T536" s="35">
        <v>31838</v>
      </c>
      <c r="U536" s="35">
        <v>18502</v>
      </c>
      <c r="V536" s="35">
        <f t="shared" si="526"/>
        <v>816680</v>
      </c>
      <c r="W536" s="35">
        <f t="shared" ref="W536:AP536" si="530">B536-B535</f>
        <v>20</v>
      </c>
      <c r="X536" s="35">
        <f t="shared" si="530"/>
        <v>12</v>
      </c>
      <c r="Y536" s="35">
        <f t="shared" si="530"/>
        <v>14</v>
      </c>
      <c r="Z536" s="35">
        <f t="shared" si="530"/>
        <v>37</v>
      </c>
      <c r="AA536" s="35">
        <f t="shared" si="530"/>
        <v>105</v>
      </c>
      <c r="AB536" s="35">
        <f t="shared" si="530"/>
        <v>19</v>
      </c>
      <c r="AC536" s="35">
        <f t="shared" si="530"/>
        <v>7</v>
      </c>
      <c r="AD536" s="35">
        <f t="shared" si="530"/>
        <v>18</v>
      </c>
      <c r="AE536" s="35">
        <f t="shared" si="530"/>
        <v>26</v>
      </c>
      <c r="AF536" s="35">
        <f t="shared" si="530"/>
        <v>19</v>
      </c>
      <c r="AG536" s="35">
        <f t="shared" si="530"/>
        <v>20</v>
      </c>
      <c r="AH536" s="35">
        <f t="shared" si="530"/>
        <v>4</v>
      </c>
      <c r="AI536" s="35">
        <f t="shared" si="530"/>
        <v>9</v>
      </c>
      <c r="AJ536" s="35">
        <f t="shared" si="530"/>
        <v>77</v>
      </c>
      <c r="AK536" s="35">
        <f t="shared" si="530"/>
        <v>18</v>
      </c>
      <c r="AL536" s="35">
        <f t="shared" si="530"/>
        <v>10</v>
      </c>
      <c r="AM536" s="35">
        <f t="shared" si="530"/>
        <v>4</v>
      </c>
      <c r="AN536" s="35">
        <f t="shared" si="530"/>
        <v>10</v>
      </c>
      <c r="AO536" s="35">
        <f t="shared" si="530"/>
        <v>14</v>
      </c>
      <c r="AP536" s="35">
        <f t="shared" si="530"/>
        <v>15</v>
      </c>
    </row>
    <row r="537" spans="1:42" ht="13">
      <c r="A537" s="36">
        <v>44456</v>
      </c>
      <c r="B537" s="35">
        <v>39606</v>
      </c>
      <c r="C537" s="35">
        <v>28839</v>
      </c>
      <c r="D537" s="35">
        <v>22140</v>
      </c>
      <c r="E537" s="35">
        <v>47141</v>
      </c>
      <c r="F537" s="35">
        <v>147036</v>
      </c>
      <c r="G537" s="35">
        <v>33912</v>
      </c>
      <c r="H537" s="35">
        <v>36604</v>
      </c>
      <c r="I537" s="35">
        <v>44852</v>
      </c>
      <c r="J537" s="35">
        <v>42932</v>
      </c>
      <c r="K537" s="35">
        <v>22748</v>
      </c>
      <c r="L537" s="35">
        <v>26008</v>
      </c>
      <c r="M537" s="35">
        <v>28632</v>
      </c>
      <c r="N537" s="35">
        <v>20591</v>
      </c>
      <c r="O537" s="35">
        <v>113464</v>
      </c>
      <c r="P537" s="35">
        <v>29207</v>
      </c>
      <c r="Q537" s="35">
        <v>41416</v>
      </c>
      <c r="R537" s="35">
        <v>17889</v>
      </c>
      <c r="S537" s="35">
        <v>23779</v>
      </c>
      <c r="T537" s="35">
        <v>31848</v>
      </c>
      <c r="U537" s="35">
        <v>18515</v>
      </c>
      <c r="V537" s="35">
        <f t="shared" si="526"/>
        <v>817159</v>
      </c>
      <c r="W537" s="35">
        <f t="shared" ref="W537:AP537" si="531">B537-B536</f>
        <v>16</v>
      </c>
      <c r="X537" s="35">
        <f t="shared" si="531"/>
        <v>17</v>
      </c>
      <c r="Y537" s="35">
        <f t="shared" si="531"/>
        <v>13</v>
      </c>
      <c r="Z537" s="35">
        <f t="shared" si="531"/>
        <v>24</v>
      </c>
      <c r="AA537" s="35">
        <f t="shared" si="531"/>
        <v>143</v>
      </c>
      <c r="AB537" s="35">
        <f t="shared" si="531"/>
        <v>22</v>
      </c>
      <c r="AC537" s="35">
        <f t="shared" si="531"/>
        <v>14</v>
      </c>
      <c r="AD537" s="35">
        <f t="shared" si="531"/>
        <v>13</v>
      </c>
      <c r="AE537" s="35">
        <f t="shared" si="531"/>
        <v>20</v>
      </c>
      <c r="AF537" s="35">
        <f t="shared" si="531"/>
        <v>17</v>
      </c>
      <c r="AG537" s="35">
        <f t="shared" si="531"/>
        <v>12</v>
      </c>
      <c r="AH537" s="35">
        <f t="shared" si="531"/>
        <v>15</v>
      </c>
      <c r="AI537" s="35">
        <f t="shared" si="531"/>
        <v>13</v>
      </c>
      <c r="AJ537" s="35">
        <f t="shared" si="531"/>
        <v>68</v>
      </c>
      <c r="AK537" s="35">
        <f t="shared" si="531"/>
        <v>12</v>
      </c>
      <c r="AL537" s="35">
        <f t="shared" si="531"/>
        <v>23</v>
      </c>
      <c r="AM537" s="35">
        <f t="shared" si="531"/>
        <v>3</v>
      </c>
      <c r="AN537" s="35">
        <f t="shared" si="531"/>
        <v>11</v>
      </c>
      <c r="AO537" s="35">
        <f t="shared" si="531"/>
        <v>10</v>
      </c>
      <c r="AP537" s="35">
        <f t="shared" si="531"/>
        <v>13</v>
      </c>
    </row>
    <row r="538" spans="1:42" ht="13">
      <c r="A538" s="36">
        <v>44457</v>
      </c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</row>
    <row r="539" spans="1:42" ht="13">
      <c r="A539" s="36">
        <v>44458</v>
      </c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</row>
    <row r="540" spans="1:42" ht="13">
      <c r="A540" s="36">
        <v>44459</v>
      </c>
      <c r="B540" s="35">
        <v>39662</v>
      </c>
      <c r="C540" s="35">
        <v>28888</v>
      </c>
      <c r="D540" s="35">
        <v>22169</v>
      </c>
      <c r="E540" s="35">
        <v>47241</v>
      </c>
      <c r="F540" s="35">
        <v>147297</v>
      </c>
      <c r="G540" s="35">
        <v>33954</v>
      </c>
      <c r="H540" s="35">
        <v>36629</v>
      </c>
      <c r="I540" s="35">
        <v>44896</v>
      </c>
      <c r="J540" s="35">
        <v>42979</v>
      </c>
      <c r="K540" s="35">
        <v>22788</v>
      </c>
      <c r="L540" s="35">
        <v>26034</v>
      </c>
      <c r="M540" s="35">
        <v>28644</v>
      </c>
      <c r="N540" s="35">
        <v>20622</v>
      </c>
      <c r="O540" s="35">
        <v>113644</v>
      </c>
      <c r="P540" s="35">
        <v>29240</v>
      </c>
      <c r="Q540" s="35">
        <v>41446</v>
      </c>
      <c r="R540" s="35">
        <v>17893</v>
      </c>
      <c r="S540" s="35">
        <v>23790</v>
      </c>
      <c r="T540" s="35">
        <v>31877</v>
      </c>
      <c r="U540" s="35">
        <v>18538</v>
      </c>
      <c r="V540" s="35">
        <f t="shared" ref="V540:V544" si="532">SUM(B540:U540)</f>
        <v>818231</v>
      </c>
      <c r="W540" s="35">
        <f t="shared" ref="W540:AP540" si="533">B540-B537</f>
        <v>56</v>
      </c>
      <c r="X540" s="35">
        <f t="shared" si="533"/>
        <v>49</v>
      </c>
      <c r="Y540" s="35">
        <f t="shared" si="533"/>
        <v>29</v>
      </c>
      <c r="Z540" s="35">
        <f t="shared" si="533"/>
        <v>100</v>
      </c>
      <c r="AA540" s="35">
        <f t="shared" si="533"/>
        <v>261</v>
      </c>
      <c r="AB540" s="35">
        <f t="shared" si="533"/>
        <v>42</v>
      </c>
      <c r="AC540" s="35">
        <f t="shared" si="533"/>
        <v>25</v>
      </c>
      <c r="AD540" s="35">
        <f t="shared" si="533"/>
        <v>44</v>
      </c>
      <c r="AE540" s="35">
        <f t="shared" si="533"/>
        <v>47</v>
      </c>
      <c r="AF540" s="35">
        <f t="shared" si="533"/>
        <v>40</v>
      </c>
      <c r="AG540" s="35">
        <f t="shared" si="533"/>
        <v>26</v>
      </c>
      <c r="AH540" s="35">
        <f t="shared" si="533"/>
        <v>12</v>
      </c>
      <c r="AI540" s="35">
        <f t="shared" si="533"/>
        <v>31</v>
      </c>
      <c r="AJ540" s="35">
        <f t="shared" si="533"/>
        <v>180</v>
      </c>
      <c r="AK540" s="35">
        <f t="shared" si="533"/>
        <v>33</v>
      </c>
      <c r="AL540" s="35">
        <f t="shared" si="533"/>
        <v>30</v>
      </c>
      <c r="AM540" s="35">
        <f t="shared" si="533"/>
        <v>4</v>
      </c>
      <c r="AN540" s="35">
        <f t="shared" si="533"/>
        <v>11</v>
      </c>
      <c r="AO540" s="35">
        <f t="shared" si="533"/>
        <v>29</v>
      </c>
      <c r="AP540" s="35">
        <f t="shared" si="533"/>
        <v>23</v>
      </c>
    </row>
    <row r="541" spans="1:42" ht="13">
      <c r="A541" s="36">
        <v>44460</v>
      </c>
      <c r="B541" s="35">
        <v>39670</v>
      </c>
      <c r="C541" s="35">
        <v>28896</v>
      </c>
      <c r="D541" s="35">
        <v>22182</v>
      </c>
      <c r="E541" s="35">
        <v>47259</v>
      </c>
      <c r="F541" s="35">
        <v>147387</v>
      </c>
      <c r="G541" s="35">
        <v>33962</v>
      </c>
      <c r="H541" s="35">
        <v>36635</v>
      </c>
      <c r="I541" s="35">
        <v>44906</v>
      </c>
      <c r="J541" s="35">
        <v>42987</v>
      </c>
      <c r="K541" s="35">
        <v>22790</v>
      </c>
      <c r="L541" s="35">
        <v>26043</v>
      </c>
      <c r="M541" s="35">
        <v>28650</v>
      </c>
      <c r="N541" s="35">
        <v>20627</v>
      </c>
      <c r="O541" s="35">
        <v>113710</v>
      </c>
      <c r="P541" s="35">
        <v>29245</v>
      </c>
      <c r="Q541" s="35">
        <v>41456</v>
      </c>
      <c r="R541" s="35">
        <v>17893</v>
      </c>
      <c r="S541" s="35">
        <v>23791</v>
      </c>
      <c r="T541" s="35">
        <v>31884</v>
      </c>
      <c r="U541" s="35">
        <v>18547</v>
      </c>
      <c r="V541" s="35">
        <f t="shared" si="532"/>
        <v>818520</v>
      </c>
      <c r="W541" s="35">
        <f t="shared" ref="W541:AP541" si="534">B541-B540</f>
        <v>8</v>
      </c>
      <c r="X541" s="35">
        <f t="shared" si="534"/>
        <v>8</v>
      </c>
      <c r="Y541" s="35">
        <f t="shared" si="534"/>
        <v>13</v>
      </c>
      <c r="Z541" s="35">
        <f t="shared" si="534"/>
        <v>18</v>
      </c>
      <c r="AA541" s="35">
        <f t="shared" si="534"/>
        <v>90</v>
      </c>
      <c r="AB541" s="35">
        <f t="shared" si="534"/>
        <v>8</v>
      </c>
      <c r="AC541" s="35">
        <f t="shared" si="534"/>
        <v>6</v>
      </c>
      <c r="AD541" s="35">
        <f t="shared" si="534"/>
        <v>10</v>
      </c>
      <c r="AE541" s="35">
        <f t="shared" si="534"/>
        <v>8</v>
      </c>
      <c r="AF541" s="35">
        <f t="shared" si="534"/>
        <v>2</v>
      </c>
      <c r="AG541" s="35">
        <f t="shared" si="534"/>
        <v>9</v>
      </c>
      <c r="AH541" s="35">
        <f t="shared" si="534"/>
        <v>6</v>
      </c>
      <c r="AI541" s="35">
        <f t="shared" si="534"/>
        <v>5</v>
      </c>
      <c r="AJ541" s="35">
        <f t="shared" si="534"/>
        <v>66</v>
      </c>
      <c r="AK541" s="35">
        <f t="shared" si="534"/>
        <v>5</v>
      </c>
      <c r="AL541" s="35">
        <f t="shared" si="534"/>
        <v>10</v>
      </c>
      <c r="AM541" s="35">
        <f t="shared" si="534"/>
        <v>0</v>
      </c>
      <c r="AN541" s="35">
        <f t="shared" si="534"/>
        <v>1</v>
      </c>
      <c r="AO541" s="35">
        <f t="shared" si="534"/>
        <v>7</v>
      </c>
      <c r="AP541" s="35">
        <f t="shared" si="534"/>
        <v>9</v>
      </c>
    </row>
    <row r="542" spans="1:42" ht="13">
      <c r="A542" s="36">
        <v>44461</v>
      </c>
      <c r="B542" s="35">
        <v>39689</v>
      </c>
      <c r="C542" s="35">
        <v>28908</v>
      </c>
      <c r="D542" s="35">
        <v>22194</v>
      </c>
      <c r="E542" s="35">
        <v>47300</v>
      </c>
      <c r="F542" s="35">
        <v>147543</v>
      </c>
      <c r="G542" s="35">
        <v>33979</v>
      </c>
      <c r="H542" s="35">
        <v>36647</v>
      </c>
      <c r="I542" s="35">
        <v>44921</v>
      </c>
      <c r="J542" s="35">
        <v>43016</v>
      </c>
      <c r="K542" s="35">
        <v>22800</v>
      </c>
      <c r="L542" s="35">
        <v>26061</v>
      </c>
      <c r="M542" s="35">
        <v>28651</v>
      </c>
      <c r="N542" s="35">
        <v>20641</v>
      </c>
      <c r="O542" s="35">
        <v>113789</v>
      </c>
      <c r="P542" s="35">
        <v>29255</v>
      </c>
      <c r="Q542" s="35">
        <v>41468</v>
      </c>
      <c r="R542" s="35">
        <v>17895</v>
      </c>
      <c r="S542" s="35">
        <v>23801</v>
      </c>
      <c r="T542" s="35">
        <v>31902</v>
      </c>
      <c r="U542" s="35">
        <v>18561</v>
      </c>
      <c r="V542" s="35">
        <f t="shared" si="532"/>
        <v>819021</v>
      </c>
      <c r="W542" s="35">
        <f t="shared" ref="W542:AP542" si="535">B542-B541</f>
        <v>19</v>
      </c>
      <c r="X542" s="35">
        <f t="shared" si="535"/>
        <v>12</v>
      </c>
      <c r="Y542" s="35">
        <f t="shared" si="535"/>
        <v>12</v>
      </c>
      <c r="Z542" s="35">
        <f t="shared" si="535"/>
        <v>41</v>
      </c>
      <c r="AA542" s="35">
        <f t="shared" si="535"/>
        <v>156</v>
      </c>
      <c r="AB542" s="35">
        <f t="shared" si="535"/>
        <v>17</v>
      </c>
      <c r="AC542" s="35">
        <f t="shared" si="535"/>
        <v>12</v>
      </c>
      <c r="AD542" s="35">
        <f t="shared" si="535"/>
        <v>15</v>
      </c>
      <c r="AE542" s="35">
        <f t="shared" si="535"/>
        <v>29</v>
      </c>
      <c r="AF542" s="35">
        <f t="shared" si="535"/>
        <v>10</v>
      </c>
      <c r="AG542" s="35">
        <f t="shared" si="535"/>
        <v>18</v>
      </c>
      <c r="AH542" s="35">
        <f t="shared" si="535"/>
        <v>1</v>
      </c>
      <c r="AI542" s="35">
        <f t="shared" si="535"/>
        <v>14</v>
      </c>
      <c r="AJ542" s="35">
        <f t="shared" si="535"/>
        <v>79</v>
      </c>
      <c r="AK542" s="35">
        <f t="shared" si="535"/>
        <v>10</v>
      </c>
      <c r="AL542" s="35">
        <f t="shared" si="535"/>
        <v>12</v>
      </c>
      <c r="AM542" s="35">
        <f t="shared" si="535"/>
        <v>2</v>
      </c>
      <c r="AN542" s="35">
        <f t="shared" si="535"/>
        <v>10</v>
      </c>
      <c r="AO542" s="35">
        <f t="shared" si="535"/>
        <v>18</v>
      </c>
      <c r="AP542" s="35">
        <f t="shared" si="535"/>
        <v>14</v>
      </c>
    </row>
    <row r="543" spans="1:42" ht="13">
      <c r="A543" s="36">
        <v>44462</v>
      </c>
      <c r="B543" s="35">
        <v>39712</v>
      </c>
      <c r="C543" s="35">
        <v>28931</v>
      </c>
      <c r="D543" s="35">
        <v>22205</v>
      </c>
      <c r="E543" s="35">
        <v>47341</v>
      </c>
      <c r="F543" s="35">
        <v>147670</v>
      </c>
      <c r="G543" s="35">
        <v>34009</v>
      </c>
      <c r="H543" s="35">
        <v>36660</v>
      </c>
      <c r="I543" s="35">
        <v>44934</v>
      </c>
      <c r="J543" s="35">
        <v>43051</v>
      </c>
      <c r="K543" s="35">
        <v>22813</v>
      </c>
      <c r="L543" s="35">
        <v>26080</v>
      </c>
      <c r="M543" s="35">
        <v>28659</v>
      </c>
      <c r="N543" s="35">
        <v>20659</v>
      </c>
      <c r="O543" s="35">
        <v>113854</v>
      </c>
      <c r="P543" s="35">
        <v>29267</v>
      </c>
      <c r="Q543" s="35">
        <v>41487</v>
      </c>
      <c r="R543" s="35">
        <v>17904</v>
      </c>
      <c r="S543" s="35">
        <v>23809</v>
      </c>
      <c r="T543" s="35">
        <v>31917</v>
      </c>
      <c r="U543" s="35">
        <v>18585</v>
      </c>
      <c r="V543" s="35">
        <f t="shared" si="532"/>
        <v>819547</v>
      </c>
      <c r="W543" s="35">
        <f t="shared" ref="W543:AP543" si="536">B543-B542</f>
        <v>23</v>
      </c>
      <c r="X543" s="35">
        <f t="shared" si="536"/>
        <v>23</v>
      </c>
      <c r="Y543" s="35">
        <f t="shared" si="536"/>
        <v>11</v>
      </c>
      <c r="Z543" s="35">
        <f t="shared" si="536"/>
        <v>41</v>
      </c>
      <c r="AA543" s="35">
        <f t="shared" si="536"/>
        <v>127</v>
      </c>
      <c r="AB543" s="35">
        <f t="shared" si="536"/>
        <v>30</v>
      </c>
      <c r="AC543" s="35">
        <f t="shared" si="536"/>
        <v>13</v>
      </c>
      <c r="AD543" s="35">
        <f t="shared" si="536"/>
        <v>13</v>
      </c>
      <c r="AE543" s="35">
        <f t="shared" si="536"/>
        <v>35</v>
      </c>
      <c r="AF543" s="35">
        <f t="shared" si="536"/>
        <v>13</v>
      </c>
      <c r="AG543" s="35">
        <f t="shared" si="536"/>
        <v>19</v>
      </c>
      <c r="AH543" s="35">
        <f t="shared" si="536"/>
        <v>8</v>
      </c>
      <c r="AI543" s="35">
        <f t="shared" si="536"/>
        <v>18</v>
      </c>
      <c r="AJ543" s="35">
        <f t="shared" si="536"/>
        <v>65</v>
      </c>
      <c r="AK543" s="35">
        <f t="shared" si="536"/>
        <v>12</v>
      </c>
      <c r="AL543" s="35">
        <f t="shared" si="536"/>
        <v>19</v>
      </c>
      <c r="AM543" s="35">
        <f t="shared" si="536"/>
        <v>9</v>
      </c>
      <c r="AN543" s="35">
        <f t="shared" si="536"/>
        <v>8</v>
      </c>
      <c r="AO543" s="35">
        <f t="shared" si="536"/>
        <v>15</v>
      </c>
      <c r="AP543" s="35">
        <f t="shared" si="536"/>
        <v>24</v>
      </c>
    </row>
    <row r="544" spans="1:42" ht="13">
      <c r="A544" s="30">
        <v>44463</v>
      </c>
      <c r="B544" s="35">
        <v>39723</v>
      </c>
      <c r="C544" s="35">
        <v>28946</v>
      </c>
      <c r="D544" s="35">
        <v>22220</v>
      </c>
      <c r="E544" s="35">
        <v>47385</v>
      </c>
      <c r="F544" s="35">
        <v>147779</v>
      </c>
      <c r="G544" s="35">
        <v>34042</v>
      </c>
      <c r="H544" s="35">
        <v>36678</v>
      </c>
      <c r="I544" s="35">
        <v>44953</v>
      </c>
      <c r="J544" s="35">
        <v>43078</v>
      </c>
      <c r="K544" s="35">
        <v>22829</v>
      </c>
      <c r="L544" s="35">
        <v>26102</v>
      </c>
      <c r="M544" s="35">
        <v>28667</v>
      </c>
      <c r="N544" s="35">
        <v>20674</v>
      </c>
      <c r="O544" s="35">
        <v>113955</v>
      </c>
      <c r="P544" s="35">
        <v>29284</v>
      </c>
      <c r="Q544" s="35">
        <v>41500</v>
      </c>
      <c r="R544" s="35">
        <v>17909</v>
      </c>
      <c r="S544" s="35">
        <v>23820</v>
      </c>
      <c r="T544" s="35">
        <v>31941</v>
      </c>
      <c r="U544" s="35">
        <v>18593</v>
      </c>
      <c r="V544" s="35">
        <f t="shared" si="532"/>
        <v>820078</v>
      </c>
      <c r="W544" s="35">
        <f t="shared" ref="W544:AP544" si="537">B544-B543</f>
        <v>11</v>
      </c>
      <c r="X544" s="35">
        <f t="shared" si="537"/>
        <v>15</v>
      </c>
      <c r="Y544" s="35">
        <f t="shared" si="537"/>
        <v>15</v>
      </c>
      <c r="Z544" s="35">
        <f t="shared" si="537"/>
        <v>44</v>
      </c>
      <c r="AA544" s="35">
        <f t="shared" si="537"/>
        <v>109</v>
      </c>
      <c r="AB544" s="35">
        <f t="shared" si="537"/>
        <v>33</v>
      </c>
      <c r="AC544" s="35">
        <f t="shared" si="537"/>
        <v>18</v>
      </c>
      <c r="AD544" s="35">
        <f t="shared" si="537"/>
        <v>19</v>
      </c>
      <c r="AE544" s="35">
        <f t="shared" si="537"/>
        <v>27</v>
      </c>
      <c r="AF544" s="35">
        <f t="shared" si="537"/>
        <v>16</v>
      </c>
      <c r="AG544" s="35">
        <f t="shared" si="537"/>
        <v>22</v>
      </c>
      <c r="AH544" s="35">
        <f t="shared" si="537"/>
        <v>8</v>
      </c>
      <c r="AI544" s="35">
        <f t="shared" si="537"/>
        <v>15</v>
      </c>
      <c r="AJ544" s="35">
        <f t="shared" si="537"/>
        <v>101</v>
      </c>
      <c r="AK544" s="35">
        <f t="shared" si="537"/>
        <v>17</v>
      </c>
      <c r="AL544" s="35">
        <f t="shared" si="537"/>
        <v>13</v>
      </c>
      <c r="AM544" s="35">
        <f t="shared" si="537"/>
        <v>5</v>
      </c>
      <c r="AN544" s="35">
        <f t="shared" si="537"/>
        <v>11</v>
      </c>
      <c r="AO544" s="35">
        <f t="shared" si="537"/>
        <v>24</v>
      </c>
      <c r="AP544" s="35">
        <f t="shared" si="537"/>
        <v>8</v>
      </c>
    </row>
    <row r="545" spans="1:42" ht="13">
      <c r="A545" s="30">
        <v>44464</v>
      </c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</row>
    <row r="546" spans="1:42" ht="13">
      <c r="A546" s="30">
        <v>44465</v>
      </c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</row>
    <row r="547" spans="1:42" ht="13">
      <c r="A547" s="30">
        <v>44466</v>
      </c>
      <c r="B547" s="35">
        <v>39779</v>
      </c>
      <c r="C547" s="35">
        <v>28988</v>
      </c>
      <c r="D547" s="35">
        <v>22259</v>
      </c>
      <c r="E547" s="35">
        <v>47493</v>
      </c>
      <c r="F547" s="35">
        <v>148058</v>
      </c>
      <c r="G547" s="35">
        <v>34104</v>
      </c>
      <c r="H547" s="35">
        <v>36709</v>
      </c>
      <c r="I547" s="35">
        <v>45014</v>
      </c>
      <c r="J547" s="35">
        <v>43142</v>
      </c>
      <c r="K547" s="35">
        <v>22858</v>
      </c>
      <c r="L547" s="35">
        <v>26162</v>
      </c>
      <c r="M547" s="35">
        <v>28687</v>
      </c>
      <c r="N547" s="35">
        <v>20707</v>
      </c>
      <c r="O547" s="35">
        <v>114133</v>
      </c>
      <c r="P547" s="35">
        <v>29295</v>
      </c>
      <c r="Q547" s="35">
        <v>41517</v>
      </c>
      <c r="R547" s="35">
        <v>17916</v>
      </c>
      <c r="S547" s="35">
        <v>23844</v>
      </c>
      <c r="T547" s="35">
        <v>31979</v>
      </c>
      <c r="U547" s="35">
        <v>18617</v>
      </c>
      <c r="V547" s="35">
        <f t="shared" ref="V547:V551" si="538">SUM(B547:U547)</f>
        <v>821261</v>
      </c>
      <c r="W547" s="35">
        <f t="shared" ref="W547:AP547" si="539">B547-B544</f>
        <v>56</v>
      </c>
      <c r="X547" s="35">
        <f t="shared" si="539"/>
        <v>42</v>
      </c>
      <c r="Y547" s="35">
        <f t="shared" si="539"/>
        <v>39</v>
      </c>
      <c r="Z547" s="35">
        <f t="shared" si="539"/>
        <v>108</v>
      </c>
      <c r="AA547" s="35">
        <f t="shared" si="539"/>
        <v>279</v>
      </c>
      <c r="AB547" s="35">
        <f t="shared" si="539"/>
        <v>62</v>
      </c>
      <c r="AC547" s="35">
        <f t="shared" si="539"/>
        <v>31</v>
      </c>
      <c r="AD547" s="35">
        <f t="shared" si="539"/>
        <v>61</v>
      </c>
      <c r="AE547" s="35">
        <f t="shared" si="539"/>
        <v>64</v>
      </c>
      <c r="AF547" s="35">
        <f t="shared" si="539"/>
        <v>29</v>
      </c>
      <c r="AG547" s="35">
        <f t="shared" si="539"/>
        <v>60</v>
      </c>
      <c r="AH547" s="35">
        <f t="shared" si="539"/>
        <v>20</v>
      </c>
      <c r="AI547" s="35">
        <f t="shared" si="539"/>
        <v>33</v>
      </c>
      <c r="AJ547" s="35">
        <f t="shared" si="539"/>
        <v>178</v>
      </c>
      <c r="AK547" s="35">
        <f t="shared" si="539"/>
        <v>11</v>
      </c>
      <c r="AL547" s="35">
        <f t="shared" si="539"/>
        <v>17</v>
      </c>
      <c r="AM547" s="35">
        <f t="shared" si="539"/>
        <v>7</v>
      </c>
      <c r="AN547" s="35">
        <f t="shared" si="539"/>
        <v>24</v>
      </c>
      <c r="AO547" s="35">
        <f t="shared" si="539"/>
        <v>38</v>
      </c>
      <c r="AP547" s="35">
        <f t="shared" si="539"/>
        <v>24</v>
      </c>
    </row>
    <row r="548" spans="1:42" ht="13">
      <c r="A548" s="36">
        <v>44467</v>
      </c>
      <c r="B548" s="35">
        <v>39785</v>
      </c>
      <c r="C548" s="35">
        <v>28992</v>
      </c>
      <c r="D548" s="35">
        <v>22271</v>
      </c>
      <c r="E548" s="35">
        <v>47506</v>
      </c>
      <c r="F548" s="35">
        <v>148129</v>
      </c>
      <c r="G548" s="35">
        <v>34118</v>
      </c>
      <c r="H548" s="35">
        <v>36715</v>
      </c>
      <c r="I548" s="35">
        <v>45020</v>
      </c>
      <c r="J548" s="35">
        <v>43154</v>
      </c>
      <c r="K548" s="35">
        <v>22866</v>
      </c>
      <c r="L548" s="35">
        <v>26171</v>
      </c>
      <c r="M548" s="35">
        <v>28690</v>
      </c>
      <c r="N548" s="35">
        <v>20715</v>
      </c>
      <c r="O548" s="35">
        <v>114198</v>
      </c>
      <c r="P548" s="35">
        <v>29299</v>
      </c>
      <c r="Q548" s="35">
        <v>41520</v>
      </c>
      <c r="R548" s="35">
        <v>17918</v>
      </c>
      <c r="S548" s="35">
        <v>23848</v>
      </c>
      <c r="T548" s="35">
        <v>31987</v>
      </c>
      <c r="U548" s="35">
        <v>18624</v>
      </c>
      <c r="V548" s="35">
        <f t="shared" si="538"/>
        <v>821526</v>
      </c>
      <c r="W548" s="35">
        <f t="shared" ref="W548:AP548" si="540">B548-B547</f>
        <v>6</v>
      </c>
      <c r="X548" s="35">
        <f t="shared" si="540"/>
        <v>4</v>
      </c>
      <c r="Y548" s="35">
        <f t="shared" si="540"/>
        <v>12</v>
      </c>
      <c r="Z548" s="35">
        <f t="shared" si="540"/>
        <v>13</v>
      </c>
      <c r="AA548" s="35">
        <f t="shared" si="540"/>
        <v>71</v>
      </c>
      <c r="AB548" s="35">
        <f t="shared" si="540"/>
        <v>14</v>
      </c>
      <c r="AC548" s="35">
        <f t="shared" si="540"/>
        <v>6</v>
      </c>
      <c r="AD548" s="35">
        <f t="shared" si="540"/>
        <v>6</v>
      </c>
      <c r="AE548" s="35">
        <f t="shared" si="540"/>
        <v>12</v>
      </c>
      <c r="AF548" s="35">
        <f t="shared" si="540"/>
        <v>8</v>
      </c>
      <c r="AG548" s="35">
        <f t="shared" si="540"/>
        <v>9</v>
      </c>
      <c r="AH548" s="35">
        <f t="shared" si="540"/>
        <v>3</v>
      </c>
      <c r="AI548" s="35">
        <f t="shared" si="540"/>
        <v>8</v>
      </c>
      <c r="AJ548" s="35">
        <f t="shared" si="540"/>
        <v>65</v>
      </c>
      <c r="AK548" s="35">
        <f t="shared" si="540"/>
        <v>4</v>
      </c>
      <c r="AL548" s="35">
        <f t="shared" si="540"/>
        <v>3</v>
      </c>
      <c r="AM548" s="35">
        <f t="shared" si="540"/>
        <v>2</v>
      </c>
      <c r="AN548" s="35">
        <f t="shared" si="540"/>
        <v>4</v>
      </c>
      <c r="AO548" s="35">
        <f t="shared" si="540"/>
        <v>8</v>
      </c>
      <c r="AP548" s="35">
        <f t="shared" si="540"/>
        <v>7</v>
      </c>
    </row>
    <row r="549" spans="1:42" ht="13">
      <c r="A549" s="36">
        <v>44468</v>
      </c>
      <c r="B549" s="35">
        <v>39794</v>
      </c>
      <c r="C549" s="35">
        <v>29016</v>
      </c>
      <c r="D549" s="35">
        <v>22291</v>
      </c>
      <c r="E549" s="35">
        <v>47559</v>
      </c>
      <c r="F549" s="35">
        <v>148249</v>
      </c>
      <c r="G549" s="35">
        <v>34152</v>
      </c>
      <c r="H549" s="35">
        <v>36726</v>
      </c>
      <c r="I549" s="35">
        <v>45044</v>
      </c>
      <c r="J549" s="35">
        <v>43180</v>
      </c>
      <c r="K549" s="35">
        <v>22881</v>
      </c>
      <c r="L549" s="35">
        <v>26204</v>
      </c>
      <c r="M549" s="35">
        <v>28699</v>
      </c>
      <c r="N549" s="35">
        <v>20731</v>
      </c>
      <c r="O549" s="35">
        <v>114292</v>
      </c>
      <c r="P549" s="35">
        <v>29306</v>
      </c>
      <c r="Q549" s="35">
        <v>41522</v>
      </c>
      <c r="R549" s="35">
        <v>17925</v>
      </c>
      <c r="S549" s="35">
        <v>23862</v>
      </c>
      <c r="T549" s="35">
        <v>32007</v>
      </c>
      <c r="U549" s="35">
        <v>18632</v>
      </c>
      <c r="V549" s="35">
        <f t="shared" si="538"/>
        <v>822072</v>
      </c>
      <c r="W549" s="35">
        <f t="shared" ref="W549:AP549" si="541">B549-B548</f>
        <v>9</v>
      </c>
      <c r="X549" s="35">
        <f t="shared" si="541"/>
        <v>24</v>
      </c>
      <c r="Y549" s="35">
        <f t="shared" si="541"/>
        <v>20</v>
      </c>
      <c r="Z549" s="35">
        <f t="shared" si="541"/>
        <v>53</v>
      </c>
      <c r="AA549" s="35">
        <f t="shared" si="541"/>
        <v>120</v>
      </c>
      <c r="AB549" s="35">
        <f t="shared" si="541"/>
        <v>34</v>
      </c>
      <c r="AC549" s="35">
        <f t="shared" si="541"/>
        <v>11</v>
      </c>
      <c r="AD549" s="35">
        <f t="shared" si="541"/>
        <v>24</v>
      </c>
      <c r="AE549" s="35">
        <f t="shared" si="541"/>
        <v>26</v>
      </c>
      <c r="AF549" s="35">
        <f t="shared" si="541"/>
        <v>15</v>
      </c>
      <c r="AG549" s="35">
        <f t="shared" si="541"/>
        <v>33</v>
      </c>
      <c r="AH549" s="35">
        <f t="shared" si="541"/>
        <v>9</v>
      </c>
      <c r="AI549" s="35">
        <f t="shared" si="541"/>
        <v>16</v>
      </c>
      <c r="AJ549" s="35">
        <f t="shared" si="541"/>
        <v>94</v>
      </c>
      <c r="AK549" s="35">
        <f t="shared" si="541"/>
        <v>7</v>
      </c>
      <c r="AL549" s="35">
        <f t="shared" si="541"/>
        <v>2</v>
      </c>
      <c r="AM549" s="35">
        <f t="shared" si="541"/>
        <v>7</v>
      </c>
      <c r="AN549" s="35">
        <f t="shared" si="541"/>
        <v>14</v>
      </c>
      <c r="AO549" s="35">
        <f t="shared" si="541"/>
        <v>20</v>
      </c>
      <c r="AP549" s="35">
        <f t="shared" si="541"/>
        <v>8</v>
      </c>
    </row>
    <row r="550" spans="1:42" ht="13">
      <c r="A550" s="36">
        <v>44469</v>
      </c>
      <c r="B550" s="35">
        <v>39832</v>
      </c>
      <c r="C550" s="35">
        <v>29037</v>
      </c>
      <c r="D550" s="35">
        <v>22308</v>
      </c>
      <c r="E550" s="35">
        <v>47616</v>
      </c>
      <c r="F550" s="35">
        <v>148371</v>
      </c>
      <c r="G550" s="35">
        <v>34177</v>
      </c>
      <c r="H550" s="35">
        <v>36742</v>
      </c>
      <c r="I550" s="35">
        <v>45067</v>
      </c>
      <c r="J550" s="35">
        <v>43208</v>
      </c>
      <c r="K550" s="35">
        <v>22901</v>
      </c>
      <c r="L550" s="35">
        <v>26234</v>
      </c>
      <c r="M550" s="35">
        <v>28713</v>
      </c>
      <c r="N550" s="35">
        <v>20751</v>
      </c>
      <c r="O550" s="35">
        <v>114405</v>
      </c>
      <c r="P550" s="35">
        <v>29315</v>
      </c>
      <c r="Q550" s="35">
        <v>41540</v>
      </c>
      <c r="R550" s="35">
        <v>17927</v>
      </c>
      <c r="S550" s="35">
        <v>23878</v>
      </c>
      <c r="T550" s="35">
        <v>32035</v>
      </c>
      <c r="U550" s="35">
        <v>18648</v>
      </c>
      <c r="V550" s="35">
        <f t="shared" si="538"/>
        <v>822705</v>
      </c>
      <c r="W550" s="35">
        <f t="shared" ref="W550:AP550" si="542">B550-B549</f>
        <v>38</v>
      </c>
      <c r="X550" s="35">
        <f t="shared" si="542"/>
        <v>21</v>
      </c>
      <c r="Y550" s="35">
        <f t="shared" si="542"/>
        <v>17</v>
      </c>
      <c r="Z550" s="35">
        <f t="shared" si="542"/>
        <v>57</v>
      </c>
      <c r="AA550" s="35">
        <f t="shared" si="542"/>
        <v>122</v>
      </c>
      <c r="AB550" s="35">
        <f t="shared" si="542"/>
        <v>25</v>
      </c>
      <c r="AC550" s="35">
        <f t="shared" si="542"/>
        <v>16</v>
      </c>
      <c r="AD550" s="35">
        <f t="shared" si="542"/>
        <v>23</v>
      </c>
      <c r="AE550" s="35">
        <f t="shared" si="542"/>
        <v>28</v>
      </c>
      <c r="AF550" s="35">
        <f t="shared" si="542"/>
        <v>20</v>
      </c>
      <c r="AG550" s="35">
        <f t="shared" si="542"/>
        <v>30</v>
      </c>
      <c r="AH550" s="35">
        <f t="shared" si="542"/>
        <v>14</v>
      </c>
      <c r="AI550" s="35">
        <f t="shared" si="542"/>
        <v>20</v>
      </c>
      <c r="AJ550" s="35">
        <f t="shared" si="542"/>
        <v>113</v>
      </c>
      <c r="AK550" s="35">
        <f t="shared" si="542"/>
        <v>9</v>
      </c>
      <c r="AL550" s="35">
        <f t="shared" si="542"/>
        <v>18</v>
      </c>
      <c r="AM550" s="35">
        <f t="shared" si="542"/>
        <v>2</v>
      </c>
      <c r="AN550" s="35">
        <f t="shared" si="542"/>
        <v>16</v>
      </c>
      <c r="AO550" s="35">
        <f t="shared" si="542"/>
        <v>28</v>
      </c>
      <c r="AP550" s="35">
        <f t="shared" si="542"/>
        <v>16</v>
      </c>
    </row>
    <row r="551" spans="1:42" ht="13">
      <c r="A551" s="36">
        <v>44470</v>
      </c>
      <c r="B551" s="35">
        <v>39861</v>
      </c>
      <c r="C551" s="35">
        <v>29075</v>
      </c>
      <c r="D551" s="35">
        <v>22326</v>
      </c>
      <c r="E551" s="35">
        <v>47673</v>
      </c>
      <c r="F551" s="35">
        <v>148521</v>
      </c>
      <c r="G551" s="35">
        <v>34203</v>
      </c>
      <c r="H551" s="35">
        <v>36765</v>
      </c>
      <c r="I551" s="35">
        <v>45086</v>
      </c>
      <c r="J551" s="35">
        <v>43249</v>
      </c>
      <c r="K551" s="35">
        <v>22925</v>
      </c>
      <c r="L551" s="35">
        <v>26275</v>
      </c>
      <c r="M551" s="35">
        <v>28725</v>
      </c>
      <c r="N551" s="35">
        <v>20780</v>
      </c>
      <c r="O551" s="35">
        <v>114490</v>
      </c>
      <c r="P551" s="35">
        <v>29326</v>
      </c>
      <c r="Q551" s="35">
        <v>41556</v>
      </c>
      <c r="R551" s="35">
        <v>17930</v>
      </c>
      <c r="S551" s="35">
        <v>23893</v>
      </c>
      <c r="T551" s="35">
        <v>32060</v>
      </c>
      <c r="U551" s="35">
        <v>18665</v>
      </c>
      <c r="V551" s="35">
        <f t="shared" si="538"/>
        <v>823384</v>
      </c>
      <c r="W551" s="35">
        <f t="shared" ref="W551:AP551" si="543">B551-B550</f>
        <v>29</v>
      </c>
      <c r="X551" s="35">
        <f t="shared" si="543"/>
        <v>38</v>
      </c>
      <c r="Y551" s="35">
        <f t="shared" si="543"/>
        <v>18</v>
      </c>
      <c r="Z551" s="35">
        <f t="shared" si="543"/>
        <v>57</v>
      </c>
      <c r="AA551" s="35">
        <f t="shared" si="543"/>
        <v>150</v>
      </c>
      <c r="AB551" s="35">
        <f t="shared" si="543"/>
        <v>26</v>
      </c>
      <c r="AC551" s="35">
        <f t="shared" si="543"/>
        <v>23</v>
      </c>
      <c r="AD551" s="35">
        <f t="shared" si="543"/>
        <v>19</v>
      </c>
      <c r="AE551" s="35">
        <f t="shared" si="543"/>
        <v>41</v>
      </c>
      <c r="AF551" s="35">
        <f t="shared" si="543"/>
        <v>24</v>
      </c>
      <c r="AG551" s="35">
        <f t="shared" si="543"/>
        <v>41</v>
      </c>
      <c r="AH551" s="35">
        <f t="shared" si="543"/>
        <v>12</v>
      </c>
      <c r="AI551" s="35">
        <f t="shared" si="543"/>
        <v>29</v>
      </c>
      <c r="AJ551" s="35">
        <f t="shared" si="543"/>
        <v>85</v>
      </c>
      <c r="AK551" s="35">
        <f t="shared" si="543"/>
        <v>11</v>
      </c>
      <c r="AL551" s="35">
        <f t="shared" si="543"/>
        <v>16</v>
      </c>
      <c r="AM551" s="35">
        <f t="shared" si="543"/>
        <v>3</v>
      </c>
      <c r="AN551" s="35">
        <f t="shared" si="543"/>
        <v>15</v>
      </c>
      <c r="AO551" s="35">
        <f t="shared" si="543"/>
        <v>25</v>
      </c>
      <c r="AP551" s="35">
        <f t="shared" si="543"/>
        <v>17</v>
      </c>
    </row>
    <row r="552" spans="1:42" ht="13">
      <c r="A552" s="36">
        <v>44471</v>
      </c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</row>
    <row r="553" spans="1:42" ht="13">
      <c r="A553" s="36">
        <v>44472</v>
      </c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</row>
    <row r="554" spans="1:42" ht="13">
      <c r="A554" s="36">
        <v>44473</v>
      </c>
      <c r="B554" s="35">
        <v>39934</v>
      </c>
      <c r="C554" s="35">
        <v>29138</v>
      </c>
      <c r="D554" s="35">
        <v>22374</v>
      </c>
      <c r="E554" s="35">
        <v>47829</v>
      </c>
      <c r="F554" s="35">
        <v>148813</v>
      </c>
      <c r="G554" s="35">
        <v>34276</v>
      </c>
      <c r="H554" s="35">
        <v>36798</v>
      </c>
      <c r="I554" s="35">
        <v>45143</v>
      </c>
      <c r="J554" s="35">
        <v>43335</v>
      </c>
      <c r="K554" s="35">
        <v>22988</v>
      </c>
      <c r="L554" s="35">
        <v>26354</v>
      </c>
      <c r="M554" s="35">
        <v>28741</v>
      </c>
      <c r="N554" s="35">
        <v>20839</v>
      </c>
      <c r="O554" s="35">
        <v>114719</v>
      </c>
      <c r="P554" s="35">
        <v>29346</v>
      </c>
      <c r="Q554" s="35">
        <v>41587</v>
      </c>
      <c r="R554" s="35">
        <v>17936</v>
      </c>
      <c r="S554" s="35">
        <v>23927</v>
      </c>
      <c r="T554" s="35">
        <v>32111</v>
      </c>
      <c r="U554" s="35">
        <v>18688</v>
      </c>
      <c r="V554" s="35">
        <f t="shared" ref="V554:V558" si="544">SUM(B554:U554)</f>
        <v>824876</v>
      </c>
      <c r="W554" s="35">
        <f t="shared" ref="W554:AP554" si="545">B554-B551</f>
        <v>73</v>
      </c>
      <c r="X554" s="35">
        <f t="shared" si="545"/>
        <v>63</v>
      </c>
      <c r="Y554" s="35">
        <f t="shared" si="545"/>
        <v>48</v>
      </c>
      <c r="Z554" s="35">
        <f t="shared" si="545"/>
        <v>156</v>
      </c>
      <c r="AA554" s="35">
        <f t="shared" si="545"/>
        <v>292</v>
      </c>
      <c r="AB554" s="35">
        <f t="shared" si="545"/>
        <v>73</v>
      </c>
      <c r="AC554" s="35">
        <f t="shared" si="545"/>
        <v>33</v>
      </c>
      <c r="AD554" s="35">
        <f t="shared" si="545"/>
        <v>57</v>
      </c>
      <c r="AE554" s="35">
        <f t="shared" si="545"/>
        <v>86</v>
      </c>
      <c r="AF554" s="35">
        <f t="shared" si="545"/>
        <v>63</v>
      </c>
      <c r="AG554" s="35">
        <f t="shared" si="545"/>
        <v>79</v>
      </c>
      <c r="AH554" s="35">
        <f t="shared" si="545"/>
        <v>16</v>
      </c>
      <c r="AI554" s="35">
        <f t="shared" si="545"/>
        <v>59</v>
      </c>
      <c r="AJ554" s="35">
        <f t="shared" si="545"/>
        <v>229</v>
      </c>
      <c r="AK554" s="35">
        <f t="shared" si="545"/>
        <v>20</v>
      </c>
      <c r="AL554" s="35">
        <f t="shared" si="545"/>
        <v>31</v>
      </c>
      <c r="AM554" s="35">
        <f t="shared" si="545"/>
        <v>6</v>
      </c>
      <c r="AN554" s="35">
        <f t="shared" si="545"/>
        <v>34</v>
      </c>
      <c r="AO554" s="35">
        <f t="shared" si="545"/>
        <v>51</v>
      </c>
      <c r="AP554" s="35">
        <f t="shared" si="545"/>
        <v>23</v>
      </c>
    </row>
    <row r="555" spans="1:42" ht="13">
      <c r="A555" s="36">
        <v>44474</v>
      </c>
      <c r="B555" s="35">
        <v>39943</v>
      </c>
      <c r="C555" s="35">
        <v>29146</v>
      </c>
      <c r="D555" s="35">
        <v>22397</v>
      </c>
      <c r="E555" s="35">
        <v>47838</v>
      </c>
      <c r="F555" s="35">
        <v>148880</v>
      </c>
      <c r="G555" s="35">
        <v>34287</v>
      </c>
      <c r="H555" s="35">
        <v>36807</v>
      </c>
      <c r="I555" s="35">
        <v>45162</v>
      </c>
      <c r="J555" s="35">
        <v>43352</v>
      </c>
      <c r="K555" s="35">
        <v>22993</v>
      </c>
      <c r="L555" s="35">
        <v>26365</v>
      </c>
      <c r="M555" s="35">
        <v>28748</v>
      </c>
      <c r="N555" s="35">
        <v>20848</v>
      </c>
      <c r="O555" s="35">
        <v>114779</v>
      </c>
      <c r="P555" s="35">
        <v>29347</v>
      </c>
      <c r="Q555" s="35">
        <v>41594</v>
      </c>
      <c r="R555" s="35">
        <v>17938</v>
      </c>
      <c r="S555" s="35">
        <v>23935</v>
      </c>
      <c r="T555" s="35">
        <v>32115</v>
      </c>
      <c r="U555" s="35">
        <v>18696</v>
      </c>
      <c r="V555" s="35">
        <f t="shared" si="544"/>
        <v>825170</v>
      </c>
      <c r="W555" s="35">
        <f t="shared" ref="W555:AP555" si="546">B555-B554</f>
        <v>9</v>
      </c>
      <c r="X555" s="35">
        <f t="shared" si="546"/>
        <v>8</v>
      </c>
      <c r="Y555" s="35">
        <f t="shared" si="546"/>
        <v>23</v>
      </c>
      <c r="Z555" s="35">
        <f t="shared" si="546"/>
        <v>9</v>
      </c>
      <c r="AA555" s="35">
        <f t="shared" si="546"/>
        <v>67</v>
      </c>
      <c r="AB555" s="35">
        <f t="shared" si="546"/>
        <v>11</v>
      </c>
      <c r="AC555" s="35">
        <f t="shared" si="546"/>
        <v>9</v>
      </c>
      <c r="AD555" s="35">
        <f t="shared" si="546"/>
        <v>19</v>
      </c>
      <c r="AE555" s="35">
        <f t="shared" si="546"/>
        <v>17</v>
      </c>
      <c r="AF555" s="35">
        <f t="shared" si="546"/>
        <v>5</v>
      </c>
      <c r="AG555" s="35">
        <f t="shared" si="546"/>
        <v>11</v>
      </c>
      <c r="AH555" s="35">
        <f t="shared" si="546"/>
        <v>7</v>
      </c>
      <c r="AI555" s="35">
        <f t="shared" si="546"/>
        <v>9</v>
      </c>
      <c r="AJ555" s="35">
        <f t="shared" si="546"/>
        <v>60</v>
      </c>
      <c r="AK555" s="35">
        <f t="shared" si="546"/>
        <v>1</v>
      </c>
      <c r="AL555" s="35">
        <f t="shared" si="546"/>
        <v>7</v>
      </c>
      <c r="AM555" s="35">
        <f t="shared" si="546"/>
        <v>2</v>
      </c>
      <c r="AN555" s="35">
        <f t="shared" si="546"/>
        <v>8</v>
      </c>
      <c r="AO555" s="35">
        <f t="shared" si="546"/>
        <v>4</v>
      </c>
      <c r="AP555" s="35">
        <f t="shared" si="546"/>
        <v>8</v>
      </c>
    </row>
    <row r="556" spans="1:42" ht="13">
      <c r="A556" s="36">
        <v>44475</v>
      </c>
      <c r="B556" s="35">
        <v>39964</v>
      </c>
      <c r="C556" s="35">
        <v>29166</v>
      </c>
      <c r="D556" s="35">
        <v>22433</v>
      </c>
      <c r="E556" s="35">
        <v>47910</v>
      </c>
      <c r="F556" s="35">
        <v>149004</v>
      </c>
      <c r="G556" s="35">
        <v>34325</v>
      </c>
      <c r="H556" s="35">
        <v>36815</v>
      </c>
      <c r="I556" s="35">
        <v>45184</v>
      </c>
      <c r="J556" s="35">
        <v>43396</v>
      </c>
      <c r="K556" s="35">
        <v>23005</v>
      </c>
      <c r="L556" s="35">
        <v>26391</v>
      </c>
      <c r="M556" s="35">
        <v>28752</v>
      </c>
      <c r="N556" s="35">
        <v>20884</v>
      </c>
      <c r="O556" s="35">
        <v>114873</v>
      </c>
      <c r="P556" s="35">
        <v>29357</v>
      </c>
      <c r="Q556" s="35">
        <v>41609</v>
      </c>
      <c r="R556" s="35">
        <v>17943</v>
      </c>
      <c r="S556" s="35">
        <v>23952</v>
      </c>
      <c r="T556" s="35">
        <v>32129</v>
      </c>
      <c r="U556" s="35">
        <v>18707</v>
      </c>
      <c r="V556" s="35">
        <f t="shared" si="544"/>
        <v>825799</v>
      </c>
      <c r="W556" s="35">
        <f t="shared" ref="W556:AP556" si="547">B556-B555</f>
        <v>21</v>
      </c>
      <c r="X556" s="35">
        <f t="shared" si="547"/>
        <v>20</v>
      </c>
      <c r="Y556" s="35">
        <f t="shared" si="547"/>
        <v>36</v>
      </c>
      <c r="Z556" s="35">
        <f t="shared" si="547"/>
        <v>72</v>
      </c>
      <c r="AA556" s="35">
        <f t="shared" si="547"/>
        <v>124</v>
      </c>
      <c r="AB556" s="35">
        <f t="shared" si="547"/>
        <v>38</v>
      </c>
      <c r="AC556" s="35">
        <f t="shared" si="547"/>
        <v>8</v>
      </c>
      <c r="AD556" s="35">
        <f t="shared" si="547"/>
        <v>22</v>
      </c>
      <c r="AE556" s="35">
        <f t="shared" si="547"/>
        <v>44</v>
      </c>
      <c r="AF556" s="35">
        <f t="shared" si="547"/>
        <v>12</v>
      </c>
      <c r="AG556" s="35">
        <f t="shared" si="547"/>
        <v>26</v>
      </c>
      <c r="AH556" s="35">
        <f t="shared" si="547"/>
        <v>4</v>
      </c>
      <c r="AI556" s="35">
        <f t="shared" si="547"/>
        <v>36</v>
      </c>
      <c r="AJ556" s="35">
        <f t="shared" si="547"/>
        <v>94</v>
      </c>
      <c r="AK556" s="35">
        <f t="shared" si="547"/>
        <v>10</v>
      </c>
      <c r="AL556" s="35">
        <f t="shared" si="547"/>
        <v>15</v>
      </c>
      <c r="AM556" s="35">
        <f t="shared" si="547"/>
        <v>5</v>
      </c>
      <c r="AN556" s="35">
        <f t="shared" si="547"/>
        <v>17</v>
      </c>
      <c r="AO556" s="35">
        <f t="shared" si="547"/>
        <v>14</v>
      </c>
      <c r="AP556" s="35">
        <f t="shared" si="547"/>
        <v>11</v>
      </c>
    </row>
    <row r="557" spans="1:42" ht="13">
      <c r="A557" s="36">
        <v>44476</v>
      </c>
      <c r="B557" s="35">
        <v>39997</v>
      </c>
      <c r="C557" s="35">
        <v>29201</v>
      </c>
      <c r="D557" s="35">
        <v>22456</v>
      </c>
      <c r="E557" s="35">
        <v>47986</v>
      </c>
      <c r="F557" s="35">
        <v>149154</v>
      </c>
      <c r="G557" s="35">
        <v>34390</v>
      </c>
      <c r="H557" s="35">
        <v>36837</v>
      </c>
      <c r="I557" s="35">
        <v>45217</v>
      </c>
      <c r="J557" s="35">
        <v>43448</v>
      </c>
      <c r="K557" s="35">
        <v>23038</v>
      </c>
      <c r="L557" s="35">
        <v>26435</v>
      </c>
      <c r="M557" s="35">
        <v>28762</v>
      </c>
      <c r="N557" s="35">
        <v>20916</v>
      </c>
      <c r="O557" s="35">
        <v>114992</v>
      </c>
      <c r="P557" s="35">
        <v>29369</v>
      </c>
      <c r="Q557" s="35">
        <v>41639</v>
      </c>
      <c r="R557" s="35">
        <v>17949</v>
      </c>
      <c r="S557" s="35">
        <v>23975</v>
      </c>
      <c r="T557" s="35">
        <v>32153</v>
      </c>
      <c r="U557" s="35">
        <v>18722</v>
      </c>
      <c r="V557" s="35">
        <f t="shared" si="544"/>
        <v>826636</v>
      </c>
      <c r="W557" s="35">
        <f t="shared" ref="W557:AP557" si="548">B557-B556</f>
        <v>33</v>
      </c>
      <c r="X557" s="35">
        <f t="shared" si="548"/>
        <v>35</v>
      </c>
      <c r="Y557" s="35">
        <f t="shared" si="548"/>
        <v>23</v>
      </c>
      <c r="Z557" s="35">
        <f t="shared" si="548"/>
        <v>76</v>
      </c>
      <c r="AA557" s="35">
        <f t="shared" si="548"/>
        <v>150</v>
      </c>
      <c r="AB557" s="35">
        <f t="shared" si="548"/>
        <v>65</v>
      </c>
      <c r="AC557" s="35">
        <f t="shared" si="548"/>
        <v>22</v>
      </c>
      <c r="AD557" s="35">
        <f t="shared" si="548"/>
        <v>33</v>
      </c>
      <c r="AE557" s="35">
        <f t="shared" si="548"/>
        <v>52</v>
      </c>
      <c r="AF557" s="35">
        <f t="shared" si="548"/>
        <v>33</v>
      </c>
      <c r="AG557" s="35">
        <f t="shared" si="548"/>
        <v>44</v>
      </c>
      <c r="AH557" s="35">
        <f t="shared" si="548"/>
        <v>10</v>
      </c>
      <c r="AI557" s="35">
        <f t="shared" si="548"/>
        <v>32</v>
      </c>
      <c r="AJ557" s="35">
        <f t="shared" si="548"/>
        <v>119</v>
      </c>
      <c r="AK557" s="35">
        <f t="shared" si="548"/>
        <v>12</v>
      </c>
      <c r="AL557" s="35">
        <f t="shared" si="548"/>
        <v>30</v>
      </c>
      <c r="AM557" s="35">
        <f t="shared" si="548"/>
        <v>6</v>
      </c>
      <c r="AN557" s="35">
        <f t="shared" si="548"/>
        <v>23</v>
      </c>
      <c r="AO557" s="35">
        <f t="shared" si="548"/>
        <v>24</v>
      </c>
      <c r="AP557" s="35">
        <f t="shared" si="548"/>
        <v>15</v>
      </c>
    </row>
    <row r="558" spans="1:42" ht="13">
      <c r="A558" s="36">
        <v>44477</v>
      </c>
      <c r="B558" s="35">
        <v>40012</v>
      </c>
      <c r="C558" s="35">
        <v>29227</v>
      </c>
      <c r="D558" s="35">
        <v>22496</v>
      </c>
      <c r="E558" s="35">
        <v>48064</v>
      </c>
      <c r="F558" s="35">
        <v>149294</v>
      </c>
      <c r="G558" s="35">
        <v>34456</v>
      </c>
      <c r="H558" s="35">
        <v>36857</v>
      </c>
      <c r="I558" s="35">
        <v>45258</v>
      </c>
      <c r="J558" s="35">
        <v>43493</v>
      </c>
      <c r="K558" s="35">
        <v>23062</v>
      </c>
      <c r="L558" s="35">
        <v>26464</v>
      </c>
      <c r="M558" s="35">
        <v>28771</v>
      </c>
      <c r="N558" s="35">
        <v>20937</v>
      </c>
      <c r="O558" s="35">
        <v>115110</v>
      </c>
      <c r="P558" s="35">
        <v>29385</v>
      </c>
      <c r="Q558" s="35">
        <v>41664</v>
      </c>
      <c r="R558" s="35">
        <v>17954</v>
      </c>
      <c r="S558" s="35">
        <v>23990</v>
      </c>
      <c r="T558" s="35">
        <v>32178</v>
      </c>
      <c r="U558" s="35">
        <v>18738</v>
      </c>
      <c r="V558" s="35">
        <f t="shared" si="544"/>
        <v>827410</v>
      </c>
      <c r="W558" s="35">
        <f t="shared" ref="W558:AP558" si="549">B558-B557</f>
        <v>15</v>
      </c>
      <c r="X558" s="35">
        <f t="shared" si="549"/>
        <v>26</v>
      </c>
      <c r="Y558" s="35">
        <f t="shared" si="549"/>
        <v>40</v>
      </c>
      <c r="Z558" s="35">
        <f t="shared" si="549"/>
        <v>78</v>
      </c>
      <c r="AA558" s="35">
        <f t="shared" si="549"/>
        <v>140</v>
      </c>
      <c r="AB558" s="35">
        <f t="shared" si="549"/>
        <v>66</v>
      </c>
      <c r="AC558" s="35">
        <f t="shared" si="549"/>
        <v>20</v>
      </c>
      <c r="AD558" s="35">
        <f t="shared" si="549"/>
        <v>41</v>
      </c>
      <c r="AE558" s="35">
        <f t="shared" si="549"/>
        <v>45</v>
      </c>
      <c r="AF558" s="35">
        <f t="shared" si="549"/>
        <v>24</v>
      </c>
      <c r="AG558" s="35">
        <f t="shared" si="549"/>
        <v>29</v>
      </c>
      <c r="AH558" s="35">
        <f t="shared" si="549"/>
        <v>9</v>
      </c>
      <c r="AI558" s="35">
        <f t="shared" si="549"/>
        <v>21</v>
      </c>
      <c r="AJ558" s="35">
        <f t="shared" si="549"/>
        <v>118</v>
      </c>
      <c r="AK558" s="35">
        <f t="shared" si="549"/>
        <v>16</v>
      </c>
      <c r="AL558" s="35">
        <f t="shared" si="549"/>
        <v>25</v>
      </c>
      <c r="AM558" s="35">
        <f t="shared" si="549"/>
        <v>5</v>
      </c>
      <c r="AN558" s="35">
        <f t="shared" si="549"/>
        <v>15</v>
      </c>
      <c r="AO558" s="35">
        <f t="shared" si="549"/>
        <v>25</v>
      </c>
      <c r="AP558" s="35">
        <f t="shared" si="549"/>
        <v>16</v>
      </c>
    </row>
    <row r="559" spans="1:42" ht="13">
      <c r="A559" s="36">
        <v>44478</v>
      </c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</row>
    <row r="560" spans="1:42" ht="13">
      <c r="A560" s="36">
        <v>44479</v>
      </c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</row>
    <row r="561" spans="1:42" ht="13">
      <c r="A561" s="36">
        <v>44480</v>
      </c>
      <c r="B561" s="35">
        <v>40100</v>
      </c>
      <c r="C561" s="35">
        <v>29314</v>
      </c>
      <c r="D561" s="35">
        <v>22594</v>
      </c>
      <c r="E561" s="35">
        <v>48251</v>
      </c>
      <c r="F561" s="35">
        <v>149707</v>
      </c>
      <c r="G561" s="35">
        <v>34642</v>
      </c>
      <c r="H561" s="35">
        <v>36910</v>
      </c>
      <c r="I561" s="35">
        <v>45341</v>
      </c>
      <c r="J561" s="35">
        <v>43629</v>
      </c>
      <c r="K561" s="35">
        <v>23102</v>
      </c>
      <c r="L561" s="35">
        <v>26572</v>
      </c>
      <c r="M561" s="35">
        <v>28790</v>
      </c>
      <c r="N561" s="35">
        <v>20978</v>
      </c>
      <c r="O561" s="35">
        <v>115384</v>
      </c>
      <c r="P561" s="35">
        <v>29419</v>
      </c>
      <c r="Q561" s="35">
        <v>41713</v>
      </c>
      <c r="R561" s="35">
        <v>17972</v>
      </c>
      <c r="S561" s="35">
        <v>24040</v>
      </c>
      <c r="T561" s="35">
        <v>32233</v>
      </c>
      <c r="U561" s="35">
        <v>18765</v>
      </c>
      <c r="V561" s="35">
        <f t="shared" ref="V561:V565" si="550">SUM(B561:U561)</f>
        <v>829456</v>
      </c>
      <c r="W561" s="35">
        <f t="shared" ref="W561:AP561" si="551">B561-B558</f>
        <v>88</v>
      </c>
      <c r="X561" s="35">
        <f t="shared" si="551"/>
        <v>87</v>
      </c>
      <c r="Y561" s="35">
        <f t="shared" si="551"/>
        <v>98</v>
      </c>
      <c r="Z561" s="35">
        <f t="shared" si="551"/>
        <v>187</v>
      </c>
      <c r="AA561" s="35">
        <f t="shared" si="551"/>
        <v>413</v>
      </c>
      <c r="AB561" s="35">
        <f t="shared" si="551"/>
        <v>186</v>
      </c>
      <c r="AC561" s="35">
        <f t="shared" si="551"/>
        <v>53</v>
      </c>
      <c r="AD561" s="35">
        <f t="shared" si="551"/>
        <v>83</v>
      </c>
      <c r="AE561" s="35">
        <f t="shared" si="551"/>
        <v>136</v>
      </c>
      <c r="AF561" s="35">
        <f t="shared" si="551"/>
        <v>40</v>
      </c>
      <c r="AG561" s="35">
        <f t="shared" si="551"/>
        <v>108</v>
      </c>
      <c r="AH561" s="35">
        <f t="shared" si="551"/>
        <v>19</v>
      </c>
      <c r="AI561" s="35">
        <f t="shared" si="551"/>
        <v>41</v>
      </c>
      <c r="AJ561" s="35">
        <f t="shared" si="551"/>
        <v>274</v>
      </c>
      <c r="AK561" s="35">
        <f t="shared" si="551"/>
        <v>34</v>
      </c>
      <c r="AL561" s="35">
        <f t="shared" si="551"/>
        <v>49</v>
      </c>
      <c r="AM561" s="35">
        <f t="shared" si="551"/>
        <v>18</v>
      </c>
      <c r="AN561" s="35">
        <f t="shared" si="551"/>
        <v>50</v>
      </c>
      <c r="AO561" s="35">
        <f t="shared" si="551"/>
        <v>55</v>
      </c>
      <c r="AP561" s="35">
        <f t="shared" si="551"/>
        <v>27</v>
      </c>
    </row>
    <row r="562" spans="1:42" ht="13">
      <c r="A562" s="36">
        <v>44481</v>
      </c>
      <c r="B562" s="35">
        <v>40121</v>
      </c>
      <c r="C562" s="35">
        <v>29343</v>
      </c>
      <c r="D562" s="35">
        <v>22627</v>
      </c>
      <c r="E562" s="35">
        <v>48272</v>
      </c>
      <c r="F562" s="35">
        <v>149801</v>
      </c>
      <c r="G562" s="35">
        <v>34682</v>
      </c>
      <c r="H562" s="35">
        <v>36914</v>
      </c>
      <c r="I562" s="35">
        <v>45354</v>
      </c>
      <c r="J562" s="35">
        <v>43655</v>
      </c>
      <c r="K562" s="35">
        <v>23123</v>
      </c>
      <c r="L562" s="35">
        <v>26596</v>
      </c>
      <c r="M562" s="35">
        <v>28798</v>
      </c>
      <c r="N562" s="35">
        <v>20981</v>
      </c>
      <c r="O562" s="35">
        <v>115464</v>
      </c>
      <c r="P562" s="35">
        <v>29423</v>
      </c>
      <c r="Q562" s="35">
        <v>41730</v>
      </c>
      <c r="R562" s="35">
        <v>17973</v>
      </c>
      <c r="S562" s="35">
        <v>24046</v>
      </c>
      <c r="T562" s="35">
        <v>32237</v>
      </c>
      <c r="U562" s="35">
        <v>18771</v>
      </c>
      <c r="V562" s="35">
        <f t="shared" si="550"/>
        <v>829911</v>
      </c>
      <c r="W562" s="35">
        <f t="shared" ref="W562:AP562" si="552">B562-B561</f>
        <v>21</v>
      </c>
      <c r="X562" s="35">
        <f t="shared" si="552"/>
        <v>29</v>
      </c>
      <c r="Y562" s="35">
        <f t="shared" si="552"/>
        <v>33</v>
      </c>
      <c r="Z562" s="35">
        <f t="shared" si="552"/>
        <v>21</v>
      </c>
      <c r="AA562" s="35">
        <f t="shared" si="552"/>
        <v>94</v>
      </c>
      <c r="AB562" s="35">
        <f t="shared" si="552"/>
        <v>40</v>
      </c>
      <c r="AC562" s="35">
        <f t="shared" si="552"/>
        <v>4</v>
      </c>
      <c r="AD562" s="35">
        <f t="shared" si="552"/>
        <v>13</v>
      </c>
      <c r="AE562" s="35">
        <f t="shared" si="552"/>
        <v>26</v>
      </c>
      <c r="AF562" s="35">
        <f t="shared" si="552"/>
        <v>21</v>
      </c>
      <c r="AG562" s="35">
        <f t="shared" si="552"/>
        <v>24</v>
      </c>
      <c r="AH562" s="35">
        <f t="shared" si="552"/>
        <v>8</v>
      </c>
      <c r="AI562" s="35">
        <f t="shared" si="552"/>
        <v>3</v>
      </c>
      <c r="AJ562" s="35">
        <f t="shared" si="552"/>
        <v>80</v>
      </c>
      <c r="AK562" s="35">
        <f t="shared" si="552"/>
        <v>4</v>
      </c>
      <c r="AL562" s="35">
        <f t="shared" si="552"/>
        <v>17</v>
      </c>
      <c r="AM562" s="35">
        <f t="shared" si="552"/>
        <v>1</v>
      </c>
      <c r="AN562" s="35">
        <f t="shared" si="552"/>
        <v>6</v>
      </c>
      <c r="AO562" s="35">
        <f t="shared" si="552"/>
        <v>4</v>
      </c>
      <c r="AP562" s="35">
        <f t="shared" si="552"/>
        <v>6</v>
      </c>
    </row>
    <row r="563" spans="1:42" ht="13">
      <c r="A563" s="36">
        <v>44482</v>
      </c>
      <c r="B563" s="35">
        <v>40152</v>
      </c>
      <c r="C563" s="35">
        <v>29382</v>
      </c>
      <c r="D563" s="35">
        <v>22679</v>
      </c>
      <c r="E563" s="35">
        <v>48360</v>
      </c>
      <c r="F563" s="35">
        <v>149963</v>
      </c>
      <c r="G563" s="35">
        <v>34741</v>
      </c>
      <c r="H563" s="35">
        <v>36932</v>
      </c>
      <c r="I563" s="35">
        <v>45381</v>
      </c>
      <c r="J563" s="35">
        <v>43699</v>
      </c>
      <c r="K563" s="35">
        <v>23135</v>
      </c>
      <c r="L563" s="35">
        <v>26624</v>
      </c>
      <c r="M563" s="35">
        <v>28810</v>
      </c>
      <c r="N563" s="35">
        <v>21014</v>
      </c>
      <c r="O563" s="35">
        <v>115589</v>
      </c>
      <c r="P563" s="35">
        <v>29437</v>
      </c>
      <c r="Q563" s="35">
        <v>41746</v>
      </c>
      <c r="R563" s="35">
        <v>17976</v>
      </c>
      <c r="S563" s="35">
        <v>24058</v>
      </c>
      <c r="T563" s="35">
        <v>32264</v>
      </c>
      <c r="U563" s="35">
        <v>18783</v>
      </c>
      <c r="V563" s="35">
        <f t="shared" si="550"/>
        <v>830725</v>
      </c>
      <c r="W563" s="35">
        <f t="shared" ref="W563:AP563" si="553">B563-B562</f>
        <v>31</v>
      </c>
      <c r="X563" s="35">
        <f t="shared" si="553"/>
        <v>39</v>
      </c>
      <c r="Y563" s="35">
        <f t="shared" si="553"/>
        <v>52</v>
      </c>
      <c r="Z563" s="35">
        <f t="shared" si="553"/>
        <v>88</v>
      </c>
      <c r="AA563" s="35">
        <f t="shared" si="553"/>
        <v>162</v>
      </c>
      <c r="AB563" s="35">
        <f t="shared" si="553"/>
        <v>59</v>
      </c>
      <c r="AC563" s="35">
        <f t="shared" si="553"/>
        <v>18</v>
      </c>
      <c r="AD563" s="35">
        <f t="shared" si="553"/>
        <v>27</v>
      </c>
      <c r="AE563" s="35">
        <f t="shared" si="553"/>
        <v>44</v>
      </c>
      <c r="AF563" s="35">
        <f t="shared" si="553"/>
        <v>12</v>
      </c>
      <c r="AG563" s="35">
        <f t="shared" si="553"/>
        <v>28</v>
      </c>
      <c r="AH563" s="35">
        <f t="shared" si="553"/>
        <v>12</v>
      </c>
      <c r="AI563" s="35">
        <f t="shared" si="553"/>
        <v>33</v>
      </c>
      <c r="AJ563" s="35">
        <f t="shared" si="553"/>
        <v>125</v>
      </c>
      <c r="AK563" s="35">
        <f t="shared" si="553"/>
        <v>14</v>
      </c>
      <c r="AL563" s="35">
        <f t="shared" si="553"/>
        <v>16</v>
      </c>
      <c r="AM563" s="35">
        <f t="shared" si="553"/>
        <v>3</v>
      </c>
      <c r="AN563" s="35">
        <f t="shared" si="553"/>
        <v>12</v>
      </c>
      <c r="AO563" s="35">
        <f t="shared" si="553"/>
        <v>27</v>
      </c>
      <c r="AP563" s="35">
        <f t="shared" si="553"/>
        <v>12</v>
      </c>
    </row>
    <row r="564" spans="1:42" ht="13">
      <c r="A564" s="36">
        <v>44483</v>
      </c>
      <c r="B564" s="35">
        <v>40202</v>
      </c>
      <c r="C564" s="35">
        <v>29431</v>
      </c>
      <c r="D564" s="35">
        <v>22735</v>
      </c>
      <c r="E564" s="35">
        <v>48487</v>
      </c>
      <c r="F564" s="35">
        <v>150158</v>
      </c>
      <c r="G564" s="35">
        <v>34841</v>
      </c>
      <c r="H564" s="35">
        <v>36974</v>
      </c>
      <c r="I564" s="35">
        <v>45422</v>
      </c>
      <c r="J564" s="35">
        <v>43757</v>
      </c>
      <c r="K564" s="35">
        <v>23167</v>
      </c>
      <c r="L564" s="35">
        <v>26696</v>
      </c>
      <c r="M564" s="35">
        <v>28822</v>
      </c>
      <c r="N564" s="35">
        <v>21041</v>
      </c>
      <c r="O564" s="35">
        <v>115749</v>
      </c>
      <c r="P564" s="35">
        <v>29459</v>
      </c>
      <c r="Q564" s="35">
        <v>41774</v>
      </c>
      <c r="R564" s="35">
        <v>17987</v>
      </c>
      <c r="S564" s="35">
        <v>24073</v>
      </c>
      <c r="T564" s="35">
        <v>32285</v>
      </c>
      <c r="U564" s="35">
        <v>18806</v>
      </c>
      <c r="V564" s="35">
        <f t="shared" si="550"/>
        <v>831866</v>
      </c>
      <c r="W564" s="35">
        <f t="shared" ref="W564:AP564" si="554">B564-B563</f>
        <v>50</v>
      </c>
      <c r="X564" s="35">
        <f t="shared" si="554"/>
        <v>49</v>
      </c>
      <c r="Y564" s="35">
        <f t="shared" si="554"/>
        <v>56</v>
      </c>
      <c r="Z564" s="35">
        <f t="shared" si="554"/>
        <v>127</v>
      </c>
      <c r="AA564" s="35">
        <f t="shared" si="554"/>
        <v>195</v>
      </c>
      <c r="AB564" s="35">
        <f t="shared" si="554"/>
        <v>100</v>
      </c>
      <c r="AC564" s="35">
        <f t="shared" si="554"/>
        <v>42</v>
      </c>
      <c r="AD564" s="35">
        <f t="shared" si="554"/>
        <v>41</v>
      </c>
      <c r="AE564" s="35">
        <f t="shared" si="554"/>
        <v>58</v>
      </c>
      <c r="AF564" s="35">
        <f t="shared" si="554"/>
        <v>32</v>
      </c>
      <c r="AG564" s="35">
        <f t="shared" si="554"/>
        <v>72</v>
      </c>
      <c r="AH564" s="35">
        <f t="shared" si="554"/>
        <v>12</v>
      </c>
      <c r="AI564" s="35">
        <f t="shared" si="554"/>
        <v>27</v>
      </c>
      <c r="AJ564" s="35">
        <f t="shared" si="554"/>
        <v>160</v>
      </c>
      <c r="AK564" s="35">
        <f t="shared" si="554"/>
        <v>22</v>
      </c>
      <c r="AL564" s="35">
        <f t="shared" si="554"/>
        <v>28</v>
      </c>
      <c r="AM564" s="35">
        <f t="shared" si="554"/>
        <v>11</v>
      </c>
      <c r="AN564" s="35">
        <f t="shared" si="554"/>
        <v>15</v>
      </c>
      <c r="AO564" s="35">
        <f t="shared" si="554"/>
        <v>21</v>
      </c>
      <c r="AP564" s="35">
        <f t="shared" si="554"/>
        <v>23</v>
      </c>
    </row>
    <row r="565" spans="1:42" ht="13">
      <c r="A565" s="36">
        <v>44484</v>
      </c>
      <c r="B565" s="35">
        <v>40250</v>
      </c>
      <c r="C565" s="35">
        <v>29498</v>
      </c>
      <c r="D565" s="35">
        <v>22797</v>
      </c>
      <c r="E565" s="35">
        <v>48624</v>
      </c>
      <c r="F565" s="35">
        <v>150358</v>
      </c>
      <c r="G565" s="35">
        <v>34968</v>
      </c>
      <c r="H565" s="35">
        <v>37019</v>
      </c>
      <c r="I565" s="35">
        <v>45464</v>
      </c>
      <c r="J565" s="35">
        <v>43830</v>
      </c>
      <c r="K565" s="35">
        <v>23202</v>
      </c>
      <c r="L565" s="35">
        <v>26785</v>
      </c>
      <c r="M565" s="35">
        <v>28833</v>
      </c>
      <c r="N565" s="35">
        <v>21072</v>
      </c>
      <c r="O565" s="35">
        <v>115915</v>
      </c>
      <c r="P565" s="35">
        <v>29479</v>
      </c>
      <c r="Q565" s="35">
        <v>41803</v>
      </c>
      <c r="R565" s="35">
        <v>17996</v>
      </c>
      <c r="S565" s="35">
        <v>24087</v>
      </c>
      <c r="T565" s="35">
        <v>32316</v>
      </c>
      <c r="U565" s="35">
        <v>18819</v>
      </c>
      <c r="V565" s="35">
        <f t="shared" si="550"/>
        <v>833115</v>
      </c>
      <c r="W565" s="35">
        <f t="shared" ref="W565:AP565" si="555">B565-B564</f>
        <v>48</v>
      </c>
      <c r="X565" s="35">
        <f t="shared" si="555"/>
        <v>67</v>
      </c>
      <c r="Y565" s="35">
        <f t="shared" si="555"/>
        <v>62</v>
      </c>
      <c r="Z565" s="35">
        <f t="shared" si="555"/>
        <v>137</v>
      </c>
      <c r="AA565" s="35">
        <f t="shared" si="555"/>
        <v>200</v>
      </c>
      <c r="AB565" s="35">
        <f t="shared" si="555"/>
        <v>127</v>
      </c>
      <c r="AC565" s="35">
        <f t="shared" si="555"/>
        <v>45</v>
      </c>
      <c r="AD565" s="35">
        <f t="shared" si="555"/>
        <v>42</v>
      </c>
      <c r="AE565" s="35">
        <f t="shared" si="555"/>
        <v>73</v>
      </c>
      <c r="AF565" s="35">
        <f t="shared" si="555"/>
        <v>35</v>
      </c>
      <c r="AG565" s="35">
        <f t="shared" si="555"/>
        <v>89</v>
      </c>
      <c r="AH565" s="35">
        <f t="shared" si="555"/>
        <v>11</v>
      </c>
      <c r="AI565" s="35">
        <f t="shared" si="555"/>
        <v>31</v>
      </c>
      <c r="AJ565" s="35">
        <f t="shared" si="555"/>
        <v>166</v>
      </c>
      <c r="AK565" s="35">
        <f t="shared" si="555"/>
        <v>20</v>
      </c>
      <c r="AL565" s="35">
        <f t="shared" si="555"/>
        <v>29</v>
      </c>
      <c r="AM565" s="35">
        <f t="shared" si="555"/>
        <v>9</v>
      </c>
      <c r="AN565" s="35">
        <f t="shared" si="555"/>
        <v>14</v>
      </c>
      <c r="AO565" s="35">
        <f t="shared" si="555"/>
        <v>31</v>
      </c>
      <c r="AP565" s="35">
        <f t="shared" si="555"/>
        <v>13</v>
      </c>
    </row>
    <row r="566" spans="1:42" ht="13">
      <c r="A566" s="36">
        <v>44485</v>
      </c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</row>
    <row r="567" spans="1:42" ht="13">
      <c r="A567" s="36">
        <v>44486</v>
      </c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</row>
    <row r="568" spans="1:42" ht="13">
      <c r="A568" s="36">
        <v>44487</v>
      </c>
      <c r="B568" s="35">
        <v>40391</v>
      </c>
      <c r="C568" s="35">
        <v>29626</v>
      </c>
      <c r="D568" s="35">
        <v>22970</v>
      </c>
      <c r="E568" s="35">
        <v>48901</v>
      </c>
      <c r="F568" s="35">
        <v>151001</v>
      </c>
      <c r="G568" s="35">
        <v>35260</v>
      </c>
      <c r="H568" s="35">
        <v>37123</v>
      </c>
      <c r="I568" s="35">
        <v>45561</v>
      </c>
      <c r="J568" s="35">
        <v>44010</v>
      </c>
      <c r="K568" s="35">
        <v>23318</v>
      </c>
      <c r="L568" s="35">
        <v>26984</v>
      </c>
      <c r="M568" s="35">
        <v>28877</v>
      </c>
      <c r="N568" s="35">
        <v>21135</v>
      </c>
      <c r="O568" s="35">
        <v>116384</v>
      </c>
      <c r="P568" s="35">
        <v>29568</v>
      </c>
      <c r="Q568" s="35">
        <v>41890</v>
      </c>
      <c r="R568" s="35">
        <v>18026</v>
      </c>
      <c r="S568" s="35">
        <v>24114</v>
      </c>
      <c r="T568" s="35">
        <v>32398</v>
      </c>
      <c r="U568" s="35">
        <v>18852</v>
      </c>
      <c r="V568" s="35">
        <f t="shared" ref="V568:V572" si="556">SUM(B568:U568)</f>
        <v>836389</v>
      </c>
      <c r="W568" s="35">
        <f t="shared" ref="W568:AP568" si="557">B568-B565</f>
        <v>141</v>
      </c>
      <c r="X568" s="35">
        <f t="shared" si="557"/>
        <v>128</v>
      </c>
      <c r="Y568" s="35">
        <f t="shared" si="557"/>
        <v>173</v>
      </c>
      <c r="Z568" s="35">
        <f t="shared" si="557"/>
        <v>277</v>
      </c>
      <c r="AA568" s="35">
        <f t="shared" si="557"/>
        <v>643</v>
      </c>
      <c r="AB568" s="35">
        <f t="shared" si="557"/>
        <v>292</v>
      </c>
      <c r="AC568" s="35">
        <f t="shared" si="557"/>
        <v>104</v>
      </c>
      <c r="AD568" s="35">
        <f t="shared" si="557"/>
        <v>97</v>
      </c>
      <c r="AE568" s="35">
        <f t="shared" si="557"/>
        <v>180</v>
      </c>
      <c r="AF568" s="35">
        <f t="shared" si="557"/>
        <v>116</v>
      </c>
      <c r="AG568" s="35">
        <f t="shared" si="557"/>
        <v>199</v>
      </c>
      <c r="AH568" s="35">
        <f t="shared" si="557"/>
        <v>44</v>
      </c>
      <c r="AI568" s="35">
        <f t="shared" si="557"/>
        <v>63</v>
      </c>
      <c r="AJ568" s="35">
        <f t="shared" si="557"/>
        <v>469</v>
      </c>
      <c r="AK568" s="35">
        <f t="shared" si="557"/>
        <v>89</v>
      </c>
      <c r="AL568" s="35">
        <f t="shared" si="557"/>
        <v>87</v>
      </c>
      <c r="AM568" s="35">
        <f t="shared" si="557"/>
        <v>30</v>
      </c>
      <c r="AN568" s="35">
        <f t="shared" si="557"/>
        <v>27</v>
      </c>
      <c r="AO568" s="35">
        <f t="shared" si="557"/>
        <v>82</v>
      </c>
      <c r="AP568" s="35">
        <f t="shared" si="557"/>
        <v>33</v>
      </c>
    </row>
    <row r="569" spans="1:42" ht="13">
      <c r="A569" s="36">
        <v>44488</v>
      </c>
      <c r="B569" s="35">
        <v>40428</v>
      </c>
      <c r="C569" s="35">
        <v>29676</v>
      </c>
      <c r="D569" s="35">
        <v>23044</v>
      </c>
      <c r="E569" s="35">
        <v>48938</v>
      </c>
      <c r="F569" s="35">
        <v>151171</v>
      </c>
      <c r="G569" s="35">
        <v>35306</v>
      </c>
      <c r="H569" s="35">
        <v>37144</v>
      </c>
      <c r="I569" s="35">
        <v>45577</v>
      </c>
      <c r="J569" s="35">
        <v>44056</v>
      </c>
      <c r="K569" s="35">
        <v>23349</v>
      </c>
      <c r="L569" s="35">
        <v>27024</v>
      </c>
      <c r="M569" s="35">
        <v>28888</v>
      </c>
      <c r="N569" s="35">
        <v>21140</v>
      </c>
      <c r="O569" s="35">
        <v>116541</v>
      </c>
      <c r="P569" s="35">
        <v>29589</v>
      </c>
      <c r="Q569" s="35">
        <v>41919</v>
      </c>
      <c r="R569" s="35">
        <v>18043</v>
      </c>
      <c r="S569" s="35">
        <v>24129</v>
      </c>
      <c r="T569" s="35">
        <v>32413</v>
      </c>
      <c r="U569" s="35">
        <v>18873</v>
      </c>
      <c r="V569" s="35">
        <f t="shared" si="556"/>
        <v>837248</v>
      </c>
      <c r="W569" s="35">
        <f t="shared" ref="W569:AP569" si="558">B569-B568</f>
        <v>37</v>
      </c>
      <c r="X569" s="35">
        <f t="shared" si="558"/>
        <v>50</v>
      </c>
      <c r="Y569" s="35">
        <f t="shared" si="558"/>
        <v>74</v>
      </c>
      <c r="Z569" s="35">
        <f t="shared" si="558"/>
        <v>37</v>
      </c>
      <c r="AA569" s="35">
        <f t="shared" si="558"/>
        <v>170</v>
      </c>
      <c r="AB569" s="35">
        <f t="shared" si="558"/>
        <v>46</v>
      </c>
      <c r="AC569" s="35">
        <f t="shared" si="558"/>
        <v>21</v>
      </c>
      <c r="AD569" s="35">
        <f t="shared" si="558"/>
        <v>16</v>
      </c>
      <c r="AE569" s="35">
        <f t="shared" si="558"/>
        <v>46</v>
      </c>
      <c r="AF569" s="35">
        <f t="shared" si="558"/>
        <v>31</v>
      </c>
      <c r="AG569" s="35">
        <f t="shared" si="558"/>
        <v>40</v>
      </c>
      <c r="AH569" s="35">
        <f t="shared" si="558"/>
        <v>11</v>
      </c>
      <c r="AI569" s="35">
        <f t="shared" si="558"/>
        <v>5</v>
      </c>
      <c r="AJ569" s="35">
        <f t="shared" si="558"/>
        <v>157</v>
      </c>
      <c r="AK569" s="35">
        <f t="shared" si="558"/>
        <v>21</v>
      </c>
      <c r="AL569" s="35">
        <f t="shared" si="558"/>
        <v>29</v>
      </c>
      <c r="AM569" s="35">
        <f t="shared" si="558"/>
        <v>17</v>
      </c>
      <c r="AN569" s="35">
        <f t="shared" si="558"/>
        <v>15</v>
      </c>
      <c r="AO569" s="35">
        <f t="shared" si="558"/>
        <v>15</v>
      </c>
      <c r="AP569" s="35">
        <f t="shared" si="558"/>
        <v>21</v>
      </c>
    </row>
    <row r="570" spans="1:42" ht="13">
      <c r="A570" s="36">
        <v>44489</v>
      </c>
      <c r="B570" s="35">
        <v>40496</v>
      </c>
      <c r="C570" s="35">
        <v>29760</v>
      </c>
      <c r="D570" s="35">
        <v>23165</v>
      </c>
      <c r="E570" s="35">
        <v>49119</v>
      </c>
      <c r="F570" s="35">
        <v>151458</v>
      </c>
      <c r="G570" s="35">
        <v>35393</v>
      </c>
      <c r="H570" s="35">
        <v>37220</v>
      </c>
      <c r="I570" s="35">
        <v>45615</v>
      </c>
      <c r="J570" s="35">
        <v>44139</v>
      </c>
      <c r="K570" s="35">
        <v>23423</v>
      </c>
      <c r="L570" s="35">
        <v>27104</v>
      </c>
      <c r="M570" s="35">
        <v>28905</v>
      </c>
      <c r="N570" s="35">
        <v>21193</v>
      </c>
      <c r="O570" s="35">
        <v>116775</v>
      </c>
      <c r="P570" s="35">
        <v>29620</v>
      </c>
      <c r="Q570" s="35">
        <v>41965</v>
      </c>
      <c r="R570" s="35">
        <v>18062</v>
      </c>
      <c r="S570" s="35">
        <v>24151</v>
      </c>
      <c r="T570" s="35">
        <v>32450</v>
      </c>
      <c r="U570" s="35">
        <v>18903</v>
      </c>
      <c r="V570" s="35">
        <f t="shared" si="556"/>
        <v>838916</v>
      </c>
      <c r="W570" s="35">
        <f t="shared" ref="W570:AP570" si="559">B570-B569</f>
        <v>68</v>
      </c>
      <c r="X570" s="35">
        <f t="shared" si="559"/>
        <v>84</v>
      </c>
      <c r="Y570" s="35">
        <f t="shared" si="559"/>
        <v>121</v>
      </c>
      <c r="Z570" s="35">
        <f t="shared" si="559"/>
        <v>181</v>
      </c>
      <c r="AA570" s="35">
        <f t="shared" si="559"/>
        <v>287</v>
      </c>
      <c r="AB570" s="35">
        <f t="shared" si="559"/>
        <v>87</v>
      </c>
      <c r="AC570" s="35">
        <f t="shared" si="559"/>
        <v>76</v>
      </c>
      <c r="AD570" s="35">
        <f t="shared" si="559"/>
        <v>38</v>
      </c>
      <c r="AE570" s="35">
        <f t="shared" si="559"/>
        <v>83</v>
      </c>
      <c r="AF570" s="35">
        <f t="shared" si="559"/>
        <v>74</v>
      </c>
      <c r="AG570" s="35">
        <f t="shared" si="559"/>
        <v>80</v>
      </c>
      <c r="AH570" s="35">
        <f t="shared" si="559"/>
        <v>17</v>
      </c>
      <c r="AI570" s="35">
        <f t="shared" si="559"/>
        <v>53</v>
      </c>
      <c r="AJ570" s="35">
        <f t="shared" si="559"/>
        <v>234</v>
      </c>
      <c r="AK570" s="35">
        <f t="shared" si="559"/>
        <v>31</v>
      </c>
      <c r="AL570" s="35">
        <f t="shared" si="559"/>
        <v>46</v>
      </c>
      <c r="AM570" s="35">
        <f t="shared" si="559"/>
        <v>19</v>
      </c>
      <c r="AN570" s="35">
        <f t="shared" si="559"/>
        <v>22</v>
      </c>
      <c r="AO570" s="35">
        <f t="shared" si="559"/>
        <v>37</v>
      </c>
      <c r="AP570" s="35">
        <f t="shared" si="559"/>
        <v>30</v>
      </c>
    </row>
    <row r="571" spans="1:42" ht="13">
      <c r="A571" s="36">
        <v>44490</v>
      </c>
      <c r="B571" s="35">
        <v>40621</v>
      </c>
      <c r="C571" s="35">
        <v>29851</v>
      </c>
      <c r="D571" s="35">
        <v>23305</v>
      </c>
      <c r="E571" s="35">
        <v>49308</v>
      </c>
      <c r="F571" s="35">
        <v>151836</v>
      </c>
      <c r="G571" s="35">
        <v>35618</v>
      </c>
      <c r="H571" s="35">
        <v>37300</v>
      </c>
      <c r="I571" s="35">
        <v>45690</v>
      </c>
      <c r="J571" s="35">
        <v>44284</v>
      </c>
      <c r="K571" s="35">
        <v>23543</v>
      </c>
      <c r="L571" s="35">
        <v>27238</v>
      </c>
      <c r="M571" s="35">
        <v>28928</v>
      </c>
      <c r="N571" s="35">
        <v>21254</v>
      </c>
      <c r="O571" s="35">
        <v>117070</v>
      </c>
      <c r="P571" s="35">
        <v>29678</v>
      </c>
      <c r="Q571" s="35">
        <v>42020</v>
      </c>
      <c r="R571" s="35">
        <v>18086</v>
      </c>
      <c r="S571" s="35">
        <v>24188</v>
      </c>
      <c r="T571" s="35">
        <v>32512</v>
      </c>
      <c r="U571" s="35">
        <v>18947</v>
      </c>
      <c r="V571" s="35">
        <f t="shared" si="556"/>
        <v>841277</v>
      </c>
      <c r="W571" s="35">
        <f t="shared" ref="W571:AP571" si="560">B571-B570</f>
        <v>125</v>
      </c>
      <c r="X571" s="35">
        <f t="shared" si="560"/>
        <v>91</v>
      </c>
      <c r="Y571" s="35">
        <f t="shared" si="560"/>
        <v>140</v>
      </c>
      <c r="Z571" s="35">
        <f t="shared" si="560"/>
        <v>189</v>
      </c>
      <c r="AA571" s="35">
        <f t="shared" si="560"/>
        <v>378</v>
      </c>
      <c r="AB571" s="35">
        <f t="shared" si="560"/>
        <v>225</v>
      </c>
      <c r="AC571" s="35">
        <f t="shared" si="560"/>
        <v>80</v>
      </c>
      <c r="AD571" s="35">
        <f t="shared" si="560"/>
        <v>75</v>
      </c>
      <c r="AE571" s="35">
        <f t="shared" si="560"/>
        <v>145</v>
      </c>
      <c r="AF571" s="35">
        <f t="shared" si="560"/>
        <v>120</v>
      </c>
      <c r="AG571" s="35">
        <f t="shared" si="560"/>
        <v>134</v>
      </c>
      <c r="AH571" s="35">
        <f t="shared" si="560"/>
        <v>23</v>
      </c>
      <c r="AI571" s="35">
        <f t="shared" si="560"/>
        <v>61</v>
      </c>
      <c r="AJ571" s="35">
        <f t="shared" si="560"/>
        <v>295</v>
      </c>
      <c r="AK571" s="35">
        <f t="shared" si="560"/>
        <v>58</v>
      </c>
      <c r="AL571" s="35">
        <f t="shared" si="560"/>
        <v>55</v>
      </c>
      <c r="AM571" s="35">
        <f t="shared" si="560"/>
        <v>24</v>
      </c>
      <c r="AN571" s="35">
        <f t="shared" si="560"/>
        <v>37</v>
      </c>
      <c r="AO571" s="35">
        <f t="shared" si="560"/>
        <v>62</v>
      </c>
      <c r="AP571" s="35">
        <f t="shared" si="560"/>
        <v>44</v>
      </c>
    </row>
    <row r="572" spans="1:42" ht="13">
      <c r="A572" s="36">
        <v>44491</v>
      </c>
      <c r="B572" s="35">
        <v>40747</v>
      </c>
      <c r="C572" s="35">
        <v>29962</v>
      </c>
      <c r="D572" s="35">
        <v>23465</v>
      </c>
      <c r="E572" s="35">
        <v>49541</v>
      </c>
      <c r="F572" s="35">
        <v>152232</v>
      </c>
      <c r="G572" s="35">
        <v>35810</v>
      </c>
      <c r="H572" s="35">
        <v>37389</v>
      </c>
      <c r="I572" s="35">
        <v>45767</v>
      </c>
      <c r="J572" s="35">
        <v>44422</v>
      </c>
      <c r="K572" s="35">
        <v>23642</v>
      </c>
      <c r="L572" s="35">
        <v>27413</v>
      </c>
      <c r="M572" s="35">
        <v>28978</v>
      </c>
      <c r="N572" s="35">
        <v>21308</v>
      </c>
      <c r="O572" s="35">
        <v>117418</v>
      </c>
      <c r="P572" s="35">
        <v>29730</v>
      </c>
      <c r="Q572" s="35">
        <v>42077</v>
      </c>
      <c r="R572" s="35">
        <v>18117</v>
      </c>
      <c r="S572" s="35">
        <v>24240</v>
      </c>
      <c r="T572" s="35">
        <v>32575</v>
      </c>
      <c r="U572" s="35">
        <v>18992</v>
      </c>
      <c r="V572" s="35">
        <f t="shared" si="556"/>
        <v>843825</v>
      </c>
      <c r="W572" s="35">
        <f t="shared" ref="W572:AP572" si="561">B572-B571</f>
        <v>126</v>
      </c>
      <c r="X572" s="35">
        <f t="shared" si="561"/>
        <v>111</v>
      </c>
      <c r="Y572" s="35">
        <f t="shared" si="561"/>
        <v>160</v>
      </c>
      <c r="Z572" s="35">
        <f t="shared" si="561"/>
        <v>233</v>
      </c>
      <c r="AA572" s="35">
        <f t="shared" si="561"/>
        <v>396</v>
      </c>
      <c r="AB572" s="35">
        <f t="shared" si="561"/>
        <v>192</v>
      </c>
      <c r="AC572" s="35">
        <f t="shared" si="561"/>
        <v>89</v>
      </c>
      <c r="AD572" s="35">
        <f t="shared" si="561"/>
        <v>77</v>
      </c>
      <c r="AE572" s="35">
        <f t="shared" si="561"/>
        <v>138</v>
      </c>
      <c r="AF572" s="35">
        <f t="shared" si="561"/>
        <v>99</v>
      </c>
      <c r="AG572" s="35">
        <f t="shared" si="561"/>
        <v>175</v>
      </c>
      <c r="AH572" s="35">
        <f t="shared" si="561"/>
        <v>50</v>
      </c>
      <c r="AI572" s="35">
        <f t="shared" si="561"/>
        <v>54</v>
      </c>
      <c r="AJ572" s="35">
        <f t="shared" si="561"/>
        <v>348</v>
      </c>
      <c r="AK572" s="35">
        <f t="shared" si="561"/>
        <v>52</v>
      </c>
      <c r="AL572" s="35">
        <f t="shared" si="561"/>
        <v>57</v>
      </c>
      <c r="AM572" s="35">
        <f t="shared" si="561"/>
        <v>31</v>
      </c>
      <c r="AN572" s="35">
        <f t="shared" si="561"/>
        <v>52</v>
      </c>
      <c r="AO572" s="35">
        <f t="shared" si="561"/>
        <v>63</v>
      </c>
      <c r="AP572" s="35">
        <f t="shared" si="561"/>
        <v>45</v>
      </c>
    </row>
    <row r="573" spans="1:42" ht="13">
      <c r="A573" s="36">
        <v>44492</v>
      </c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</row>
    <row r="574" spans="1:42" ht="13">
      <c r="A574" s="36">
        <v>44493</v>
      </c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</row>
    <row r="575" spans="1:42" ht="13">
      <c r="A575" s="36">
        <v>44494</v>
      </c>
      <c r="B575" s="35">
        <v>41127</v>
      </c>
      <c r="C575" s="35">
        <v>30180</v>
      </c>
      <c r="D575" s="35">
        <v>23876</v>
      </c>
      <c r="E575" s="35">
        <v>50144</v>
      </c>
      <c r="F575" s="35">
        <v>153375</v>
      </c>
      <c r="G575" s="35">
        <v>36354</v>
      </c>
      <c r="H575" s="35">
        <v>37586</v>
      </c>
      <c r="I575" s="35">
        <v>45964</v>
      </c>
      <c r="J575" s="35">
        <v>44782</v>
      </c>
      <c r="K575" s="35">
        <v>23931</v>
      </c>
      <c r="L575" s="35">
        <v>27863</v>
      </c>
      <c r="M575" s="35">
        <v>29089</v>
      </c>
      <c r="N575" s="35">
        <v>21440</v>
      </c>
      <c r="O575" s="35">
        <v>118354</v>
      </c>
      <c r="P575" s="35">
        <v>29851</v>
      </c>
      <c r="Q575" s="35">
        <v>42224</v>
      </c>
      <c r="R575" s="35">
        <v>18189</v>
      </c>
      <c r="S575" s="35">
        <v>24352</v>
      </c>
      <c r="T575" s="35">
        <v>32728</v>
      </c>
      <c r="U575" s="35">
        <v>19104</v>
      </c>
      <c r="V575" s="35">
        <f t="shared" ref="V575:V579" si="562">SUM(B575:U575)</f>
        <v>850513</v>
      </c>
      <c r="W575" s="35">
        <f t="shared" ref="W575:AP575" si="563">B575-B572</f>
        <v>380</v>
      </c>
      <c r="X575" s="35">
        <f t="shared" si="563"/>
        <v>218</v>
      </c>
      <c r="Y575" s="35">
        <f t="shared" si="563"/>
        <v>411</v>
      </c>
      <c r="Z575" s="35">
        <f t="shared" si="563"/>
        <v>603</v>
      </c>
      <c r="AA575" s="35">
        <f t="shared" si="563"/>
        <v>1143</v>
      </c>
      <c r="AB575" s="35">
        <f t="shared" si="563"/>
        <v>544</v>
      </c>
      <c r="AC575" s="35">
        <f t="shared" si="563"/>
        <v>197</v>
      </c>
      <c r="AD575" s="35">
        <f t="shared" si="563"/>
        <v>197</v>
      </c>
      <c r="AE575" s="35">
        <f t="shared" si="563"/>
        <v>360</v>
      </c>
      <c r="AF575" s="35">
        <f t="shared" si="563"/>
        <v>289</v>
      </c>
      <c r="AG575" s="35">
        <f t="shared" si="563"/>
        <v>450</v>
      </c>
      <c r="AH575" s="35">
        <f t="shared" si="563"/>
        <v>111</v>
      </c>
      <c r="AI575" s="35">
        <f t="shared" si="563"/>
        <v>132</v>
      </c>
      <c r="AJ575" s="35">
        <f t="shared" si="563"/>
        <v>936</v>
      </c>
      <c r="AK575" s="35">
        <f t="shared" si="563"/>
        <v>121</v>
      </c>
      <c r="AL575" s="35">
        <f t="shared" si="563"/>
        <v>147</v>
      </c>
      <c r="AM575" s="35">
        <f t="shared" si="563"/>
        <v>72</v>
      </c>
      <c r="AN575" s="35">
        <f t="shared" si="563"/>
        <v>112</v>
      </c>
      <c r="AO575" s="35">
        <f t="shared" si="563"/>
        <v>153</v>
      </c>
      <c r="AP575" s="35">
        <f t="shared" si="563"/>
        <v>112</v>
      </c>
    </row>
    <row r="576" spans="1:42" ht="13">
      <c r="A576" s="36">
        <v>44495</v>
      </c>
      <c r="B576" s="35">
        <v>41209</v>
      </c>
      <c r="C576" s="35">
        <v>30254</v>
      </c>
      <c r="D576" s="35">
        <v>24016</v>
      </c>
      <c r="E576" s="35">
        <v>50224</v>
      </c>
      <c r="F576" s="35">
        <v>153714</v>
      </c>
      <c r="G576" s="35">
        <v>36449</v>
      </c>
      <c r="H576" s="35">
        <v>37620</v>
      </c>
      <c r="I576" s="35">
        <v>46006</v>
      </c>
      <c r="J576" s="35">
        <v>44862</v>
      </c>
      <c r="K576" s="35">
        <v>23993</v>
      </c>
      <c r="L576" s="35">
        <v>27988</v>
      </c>
      <c r="M576" s="35">
        <v>29124</v>
      </c>
      <c r="N576" s="35">
        <v>21468</v>
      </c>
      <c r="O576" s="35">
        <v>118633</v>
      </c>
      <c r="P576" s="35">
        <v>29893</v>
      </c>
      <c r="Q576" s="35">
        <v>42276</v>
      </c>
      <c r="R576" s="35">
        <v>18221</v>
      </c>
      <c r="S576" s="35">
        <v>24372</v>
      </c>
      <c r="T576" s="35">
        <v>32752</v>
      </c>
      <c r="U576" s="35">
        <v>19140</v>
      </c>
      <c r="V576" s="35">
        <f t="shared" si="562"/>
        <v>852214</v>
      </c>
      <c r="W576" s="35">
        <f t="shared" ref="W576:AP576" si="564">B576-B575</f>
        <v>82</v>
      </c>
      <c r="X576" s="35">
        <f t="shared" si="564"/>
        <v>74</v>
      </c>
      <c r="Y576" s="35">
        <f t="shared" si="564"/>
        <v>140</v>
      </c>
      <c r="Z576" s="35">
        <f t="shared" si="564"/>
        <v>80</v>
      </c>
      <c r="AA576" s="35">
        <f t="shared" si="564"/>
        <v>339</v>
      </c>
      <c r="AB576" s="35">
        <f t="shared" si="564"/>
        <v>95</v>
      </c>
      <c r="AC576" s="35">
        <f t="shared" si="564"/>
        <v>34</v>
      </c>
      <c r="AD576" s="35">
        <f t="shared" si="564"/>
        <v>42</v>
      </c>
      <c r="AE576" s="35">
        <f t="shared" si="564"/>
        <v>80</v>
      </c>
      <c r="AF576" s="35">
        <f t="shared" si="564"/>
        <v>62</v>
      </c>
      <c r="AG576" s="35">
        <f t="shared" si="564"/>
        <v>125</v>
      </c>
      <c r="AH576" s="35">
        <f t="shared" si="564"/>
        <v>35</v>
      </c>
      <c r="AI576" s="35">
        <f t="shared" si="564"/>
        <v>28</v>
      </c>
      <c r="AJ576" s="35">
        <f t="shared" si="564"/>
        <v>279</v>
      </c>
      <c r="AK576" s="35">
        <f t="shared" si="564"/>
        <v>42</v>
      </c>
      <c r="AL576" s="35">
        <f t="shared" si="564"/>
        <v>52</v>
      </c>
      <c r="AM576" s="35">
        <f t="shared" si="564"/>
        <v>32</v>
      </c>
      <c r="AN576" s="35">
        <f t="shared" si="564"/>
        <v>20</v>
      </c>
      <c r="AO576" s="35">
        <f t="shared" si="564"/>
        <v>24</v>
      </c>
      <c r="AP576" s="35">
        <f t="shared" si="564"/>
        <v>36</v>
      </c>
    </row>
    <row r="577" spans="1:42" ht="13">
      <c r="A577" s="36">
        <v>44496</v>
      </c>
      <c r="B577" s="35">
        <v>41340</v>
      </c>
      <c r="C577" s="35">
        <v>30396</v>
      </c>
      <c r="D577" s="35">
        <v>24211</v>
      </c>
      <c r="E577" s="35">
        <v>50525</v>
      </c>
      <c r="F577" s="35">
        <v>154233</v>
      </c>
      <c r="G577" s="35">
        <v>36602</v>
      </c>
      <c r="H577" s="35">
        <v>37728</v>
      </c>
      <c r="I577" s="35">
        <v>46115</v>
      </c>
      <c r="J577" s="35">
        <v>45059</v>
      </c>
      <c r="K577" s="35">
        <v>24152</v>
      </c>
      <c r="L577" s="35">
        <v>28193</v>
      </c>
      <c r="M577" s="35">
        <v>29160</v>
      </c>
      <c r="N577" s="35">
        <v>21532</v>
      </c>
      <c r="O577" s="35">
        <v>119073</v>
      </c>
      <c r="P577" s="35">
        <v>29946</v>
      </c>
      <c r="Q577" s="35">
        <v>42345</v>
      </c>
      <c r="R577" s="35">
        <v>18262</v>
      </c>
      <c r="S577" s="35">
        <v>24428</v>
      </c>
      <c r="T577" s="35">
        <v>32830</v>
      </c>
      <c r="U577" s="35">
        <v>19209</v>
      </c>
      <c r="V577" s="35">
        <f t="shared" si="562"/>
        <v>855339</v>
      </c>
      <c r="W577" s="35">
        <f t="shared" ref="W577:AP577" si="565">B577-B576</f>
        <v>131</v>
      </c>
      <c r="X577" s="35">
        <f t="shared" si="565"/>
        <v>142</v>
      </c>
      <c r="Y577" s="35">
        <f t="shared" si="565"/>
        <v>195</v>
      </c>
      <c r="Z577" s="35">
        <f t="shared" si="565"/>
        <v>301</v>
      </c>
      <c r="AA577" s="35">
        <f t="shared" si="565"/>
        <v>519</v>
      </c>
      <c r="AB577" s="35">
        <f t="shared" si="565"/>
        <v>153</v>
      </c>
      <c r="AC577" s="35">
        <f t="shared" si="565"/>
        <v>108</v>
      </c>
      <c r="AD577" s="35">
        <f t="shared" si="565"/>
        <v>109</v>
      </c>
      <c r="AE577" s="35">
        <f t="shared" si="565"/>
        <v>197</v>
      </c>
      <c r="AF577" s="35">
        <f t="shared" si="565"/>
        <v>159</v>
      </c>
      <c r="AG577" s="35">
        <f t="shared" si="565"/>
        <v>205</v>
      </c>
      <c r="AH577" s="35">
        <f t="shared" si="565"/>
        <v>36</v>
      </c>
      <c r="AI577" s="35">
        <f t="shared" si="565"/>
        <v>64</v>
      </c>
      <c r="AJ577" s="35">
        <f t="shared" si="565"/>
        <v>440</v>
      </c>
      <c r="AK577" s="35">
        <f t="shared" si="565"/>
        <v>53</v>
      </c>
      <c r="AL577" s="35">
        <f t="shared" si="565"/>
        <v>69</v>
      </c>
      <c r="AM577" s="35">
        <f t="shared" si="565"/>
        <v>41</v>
      </c>
      <c r="AN577" s="35">
        <f t="shared" si="565"/>
        <v>56</v>
      </c>
      <c r="AO577" s="35">
        <f t="shared" si="565"/>
        <v>78</v>
      </c>
      <c r="AP577" s="35">
        <f t="shared" si="565"/>
        <v>69</v>
      </c>
    </row>
    <row r="578" spans="1:42" ht="13">
      <c r="A578" s="36">
        <v>44497</v>
      </c>
      <c r="B578" s="35">
        <v>41602</v>
      </c>
      <c r="C578" s="35">
        <v>30604</v>
      </c>
      <c r="D578" s="35">
        <v>24431</v>
      </c>
      <c r="E578" s="35">
        <v>50895</v>
      </c>
      <c r="F578" s="35">
        <v>154809</v>
      </c>
      <c r="G578" s="35">
        <v>36895</v>
      </c>
      <c r="H578" s="35">
        <v>37879</v>
      </c>
      <c r="I578" s="35">
        <v>46255</v>
      </c>
      <c r="J578" s="35">
        <v>45263</v>
      </c>
      <c r="K578" s="35">
        <v>24352</v>
      </c>
      <c r="L578" s="35">
        <v>28439</v>
      </c>
      <c r="M578" s="35">
        <v>29205</v>
      </c>
      <c r="N578" s="35">
        <v>21614</v>
      </c>
      <c r="O578" s="35">
        <v>119623</v>
      </c>
      <c r="P578" s="35">
        <v>30017</v>
      </c>
      <c r="Q578" s="35">
        <v>42465</v>
      </c>
      <c r="R578" s="35">
        <v>18326</v>
      </c>
      <c r="S578" s="35">
        <v>24485</v>
      </c>
      <c r="T578" s="35">
        <v>32931</v>
      </c>
      <c r="U578" s="35">
        <v>19288</v>
      </c>
      <c r="V578" s="35">
        <f t="shared" si="562"/>
        <v>859378</v>
      </c>
      <c r="W578" s="35">
        <f t="shared" ref="W578:AP578" si="566">B578-B577</f>
        <v>262</v>
      </c>
      <c r="X578" s="35">
        <f t="shared" si="566"/>
        <v>208</v>
      </c>
      <c r="Y578" s="35">
        <f t="shared" si="566"/>
        <v>220</v>
      </c>
      <c r="Z578" s="35">
        <f t="shared" si="566"/>
        <v>370</v>
      </c>
      <c r="AA578" s="35">
        <f t="shared" si="566"/>
        <v>576</v>
      </c>
      <c r="AB578" s="35">
        <f t="shared" si="566"/>
        <v>293</v>
      </c>
      <c r="AC578" s="35">
        <f t="shared" si="566"/>
        <v>151</v>
      </c>
      <c r="AD578" s="35">
        <f t="shared" si="566"/>
        <v>140</v>
      </c>
      <c r="AE578" s="35">
        <f t="shared" si="566"/>
        <v>204</v>
      </c>
      <c r="AF578" s="35">
        <f t="shared" si="566"/>
        <v>200</v>
      </c>
      <c r="AG578" s="35">
        <f t="shared" si="566"/>
        <v>246</v>
      </c>
      <c r="AH578" s="35">
        <f t="shared" si="566"/>
        <v>45</v>
      </c>
      <c r="AI578" s="35">
        <f t="shared" si="566"/>
        <v>82</v>
      </c>
      <c r="AJ578" s="35">
        <f t="shared" si="566"/>
        <v>550</v>
      </c>
      <c r="AK578" s="35">
        <f t="shared" si="566"/>
        <v>71</v>
      </c>
      <c r="AL578" s="35">
        <f t="shared" si="566"/>
        <v>120</v>
      </c>
      <c r="AM578" s="35">
        <f t="shared" si="566"/>
        <v>64</v>
      </c>
      <c r="AN578" s="35">
        <f t="shared" si="566"/>
        <v>57</v>
      </c>
      <c r="AO578" s="35">
        <f t="shared" si="566"/>
        <v>101</v>
      </c>
      <c r="AP578" s="35">
        <f t="shared" si="566"/>
        <v>79</v>
      </c>
    </row>
    <row r="579" spans="1:42" ht="13">
      <c r="A579" s="36">
        <v>44498</v>
      </c>
      <c r="B579" s="35">
        <v>41801</v>
      </c>
      <c r="C579" s="35">
        <v>30780</v>
      </c>
      <c r="D579" s="35">
        <v>24691</v>
      </c>
      <c r="E579" s="35">
        <v>51283</v>
      </c>
      <c r="F579" s="35">
        <v>155359</v>
      </c>
      <c r="G579" s="35">
        <v>37217</v>
      </c>
      <c r="H579" s="35">
        <v>37999</v>
      </c>
      <c r="I579" s="35">
        <v>46370</v>
      </c>
      <c r="J579" s="35">
        <v>45488</v>
      </c>
      <c r="K579" s="35">
        <v>24546</v>
      </c>
      <c r="L579" s="35">
        <v>28768</v>
      </c>
      <c r="M579" s="35">
        <v>29281</v>
      </c>
      <c r="N579" s="35">
        <v>21708</v>
      </c>
      <c r="O579" s="35">
        <v>120125</v>
      </c>
      <c r="P579" s="35">
        <v>30094</v>
      </c>
      <c r="Q579" s="35">
        <v>42575</v>
      </c>
      <c r="R579" s="35">
        <v>18396</v>
      </c>
      <c r="S579" s="35">
        <v>24551</v>
      </c>
      <c r="T579" s="35">
        <v>33007</v>
      </c>
      <c r="U579" s="35">
        <v>19380</v>
      </c>
      <c r="V579" s="35">
        <f t="shared" si="562"/>
        <v>863419</v>
      </c>
      <c r="W579" s="35">
        <f t="shared" ref="W579:AP579" si="567">B579-B578</f>
        <v>199</v>
      </c>
      <c r="X579" s="35">
        <f t="shared" si="567"/>
        <v>176</v>
      </c>
      <c r="Y579" s="35">
        <f t="shared" si="567"/>
        <v>260</v>
      </c>
      <c r="Z579" s="35">
        <f t="shared" si="567"/>
        <v>388</v>
      </c>
      <c r="AA579" s="35">
        <f t="shared" si="567"/>
        <v>550</v>
      </c>
      <c r="AB579" s="35">
        <f t="shared" si="567"/>
        <v>322</v>
      </c>
      <c r="AC579" s="35">
        <f t="shared" si="567"/>
        <v>120</v>
      </c>
      <c r="AD579" s="35">
        <f t="shared" si="567"/>
        <v>115</v>
      </c>
      <c r="AE579" s="35">
        <f t="shared" si="567"/>
        <v>225</v>
      </c>
      <c r="AF579" s="35">
        <f t="shared" si="567"/>
        <v>194</v>
      </c>
      <c r="AG579" s="35">
        <f t="shared" si="567"/>
        <v>329</v>
      </c>
      <c r="AH579" s="35">
        <f t="shared" si="567"/>
        <v>76</v>
      </c>
      <c r="AI579" s="35">
        <f t="shared" si="567"/>
        <v>94</v>
      </c>
      <c r="AJ579" s="35">
        <f t="shared" si="567"/>
        <v>502</v>
      </c>
      <c r="AK579" s="35">
        <f t="shared" si="567"/>
        <v>77</v>
      </c>
      <c r="AL579" s="35">
        <f t="shared" si="567"/>
        <v>110</v>
      </c>
      <c r="AM579" s="35">
        <f t="shared" si="567"/>
        <v>70</v>
      </c>
      <c r="AN579" s="35">
        <f t="shared" si="567"/>
        <v>66</v>
      </c>
      <c r="AO579" s="35">
        <f t="shared" si="567"/>
        <v>76</v>
      </c>
      <c r="AP579" s="35">
        <f t="shared" si="567"/>
        <v>92</v>
      </c>
    </row>
    <row r="580" spans="1:42" ht="13">
      <c r="A580" s="36">
        <v>44499</v>
      </c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</row>
    <row r="581" spans="1:42" ht="13">
      <c r="A581" s="36">
        <v>44500</v>
      </c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</row>
    <row r="582" spans="1:42" ht="13">
      <c r="A582" s="36">
        <v>44501</v>
      </c>
      <c r="B582" s="35">
        <v>42468</v>
      </c>
      <c r="C582" s="35">
        <v>31255</v>
      </c>
      <c r="D582" s="35">
        <v>25345</v>
      </c>
      <c r="E582" s="35">
        <v>52213</v>
      </c>
      <c r="F582" s="35">
        <v>157075</v>
      </c>
      <c r="G582" s="35">
        <v>37937</v>
      </c>
      <c r="H582" s="35">
        <v>38389</v>
      </c>
      <c r="I582" s="35">
        <v>46691</v>
      </c>
      <c r="J582" s="35">
        <v>46131</v>
      </c>
      <c r="K582" s="35">
        <v>25027</v>
      </c>
      <c r="L582" s="35">
        <v>29755</v>
      </c>
      <c r="M582" s="35">
        <v>29458</v>
      </c>
      <c r="N582" s="35">
        <v>21884</v>
      </c>
      <c r="O582" s="35">
        <v>121653</v>
      </c>
      <c r="P582" s="35">
        <v>30322</v>
      </c>
      <c r="Q582" s="35">
        <v>42876</v>
      </c>
      <c r="R582" s="35">
        <v>18539</v>
      </c>
      <c r="S582" s="35">
        <v>24706</v>
      </c>
      <c r="T582" s="35">
        <v>33317</v>
      </c>
      <c r="U582" s="35">
        <v>19589</v>
      </c>
      <c r="V582" s="35">
        <f t="shared" ref="V582:V586" si="568">SUM(B582:U582)</f>
        <v>874630</v>
      </c>
      <c r="W582" s="35">
        <f t="shared" ref="W582:AP582" si="569">B582-B579</f>
        <v>667</v>
      </c>
      <c r="X582" s="35">
        <f t="shared" si="569"/>
        <v>475</v>
      </c>
      <c r="Y582" s="35">
        <f t="shared" si="569"/>
        <v>654</v>
      </c>
      <c r="Z582" s="35">
        <f t="shared" si="569"/>
        <v>930</v>
      </c>
      <c r="AA582" s="35">
        <f t="shared" si="569"/>
        <v>1716</v>
      </c>
      <c r="AB582" s="35">
        <f t="shared" si="569"/>
        <v>720</v>
      </c>
      <c r="AC582" s="35">
        <f t="shared" si="569"/>
        <v>390</v>
      </c>
      <c r="AD582" s="35">
        <f t="shared" si="569"/>
        <v>321</v>
      </c>
      <c r="AE582" s="35">
        <f t="shared" si="569"/>
        <v>643</v>
      </c>
      <c r="AF582" s="35">
        <f t="shared" si="569"/>
        <v>481</v>
      </c>
      <c r="AG582" s="35">
        <f t="shared" si="569"/>
        <v>987</v>
      </c>
      <c r="AH582" s="35">
        <f t="shared" si="569"/>
        <v>177</v>
      </c>
      <c r="AI582" s="35">
        <f t="shared" si="569"/>
        <v>176</v>
      </c>
      <c r="AJ582" s="35">
        <f t="shared" si="569"/>
        <v>1528</v>
      </c>
      <c r="AK582" s="35">
        <f t="shared" si="569"/>
        <v>228</v>
      </c>
      <c r="AL582" s="35">
        <f t="shared" si="569"/>
        <v>301</v>
      </c>
      <c r="AM582" s="35">
        <f t="shared" si="569"/>
        <v>143</v>
      </c>
      <c r="AN582" s="35">
        <f t="shared" si="569"/>
        <v>155</v>
      </c>
      <c r="AO582" s="35">
        <f t="shared" si="569"/>
        <v>310</v>
      </c>
      <c r="AP582" s="35">
        <f t="shared" si="569"/>
        <v>209</v>
      </c>
    </row>
    <row r="583" spans="1:42" ht="13">
      <c r="A583" s="36">
        <v>44502</v>
      </c>
      <c r="B583" s="35">
        <v>42567</v>
      </c>
      <c r="C583" s="35">
        <v>31349</v>
      </c>
      <c r="D583" s="35">
        <v>25416</v>
      </c>
      <c r="E583" s="35">
        <v>52303</v>
      </c>
      <c r="F583" s="35">
        <v>157461</v>
      </c>
      <c r="G583" s="35">
        <v>38037</v>
      </c>
      <c r="H583" s="35">
        <v>38448</v>
      </c>
      <c r="I583" s="35">
        <v>46770</v>
      </c>
      <c r="J583" s="35">
        <v>46200</v>
      </c>
      <c r="K583" s="35">
        <v>25119</v>
      </c>
      <c r="L583" s="35">
        <v>29926</v>
      </c>
      <c r="M583" s="35">
        <v>29506</v>
      </c>
      <c r="N583" s="35">
        <v>21917</v>
      </c>
      <c r="O583" s="35">
        <v>121969</v>
      </c>
      <c r="P583" s="35">
        <v>30348</v>
      </c>
      <c r="Q583" s="35">
        <v>42924</v>
      </c>
      <c r="R583" s="35">
        <v>18557</v>
      </c>
      <c r="S583" s="35">
        <v>24730</v>
      </c>
      <c r="T583" s="35">
        <v>33347</v>
      </c>
      <c r="U583" s="35">
        <v>19603</v>
      </c>
      <c r="V583" s="35">
        <f t="shared" si="568"/>
        <v>876497</v>
      </c>
      <c r="W583" s="35">
        <f t="shared" ref="W583:AP583" si="570">B583-B582</f>
        <v>99</v>
      </c>
      <c r="X583" s="35">
        <f t="shared" si="570"/>
        <v>94</v>
      </c>
      <c r="Y583" s="35">
        <f t="shared" si="570"/>
        <v>71</v>
      </c>
      <c r="Z583" s="35">
        <f t="shared" si="570"/>
        <v>90</v>
      </c>
      <c r="AA583" s="35">
        <f t="shared" si="570"/>
        <v>386</v>
      </c>
      <c r="AB583" s="35">
        <f t="shared" si="570"/>
        <v>100</v>
      </c>
      <c r="AC583" s="35">
        <f t="shared" si="570"/>
        <v>59</v>
      </c>
      <c r="AD583" s="35">
        <f t="shared" si="570"/>
        <v>79</v>
      </c>
      <c r="AE583" s="35">
        <f t="shared" si="570"/>
        <v>69</v>
      </c>
      <c r="AF583" s="35">
        <f t="shared" si="570"/>
        <v>92</v>
      </c>
      <c r="AG583" s="35">
        <f t="shared" si="570"/>
        <v>171</v>
      </c>
      <c r="AH583" s="35">
        <f t="shared" si="570"/>
        <v>48</v>
      </c>
      <c r="AI583" s="35">
        <f t="shared" si="570"/>
        <v>33</v>
      </c>
      <c r="AJ583" s="35">
        <f t="shared" si="570"/>
        <v>316</v>
      </c>
      <c r="AK583" s="35">
        <f t="shared" si="570"/>
        <v>26</v>
      </c>
      <c r="AL583" s="35">
        <f t="shared" si="570"/>
        <v>48</v>
      </c>
      <c r="AM583" s="35">
        <f t="shared" si="570"/>
        <v>18</v>
      </c>
      <c r="AN583" s="35">
        <f t="shared" si="570"/>
        <v>24</v>
      </c>
      <c r="AO583" s="35">
        <f t="shared" si="570"/>
        <v>30</v>
      </c>
      <c r="AP583" s="35">
        <f t="shared" si="570"/>
        <v>14</v>
      </c>
    </row>
    <row r="584" spans="1:42" ht="13">
      <c r="A584" s="36">
        <v>44503</v>
      </c>
      <c r="B584" s="35">
        <v>42745</v>
      </c>
      <c r="C584" s="35">
        <v>31487</v>
      </c>
      <c r="D584" s="35">
        <v>25591</v>
      </c>
      <c r="E584" s="35">
        <v>52511</v>
      </c>
      <c r="F584" s="35">
        <v>157858</v>
      </c>
      <c r="G584" s="35">
        <v>38154</v>
      </c>
      <c r="H584" s="35">
        <v>38530</v>
      </c>
      <c r="I584" s="35">
        <v>46827</v>
      </c>
      <c r="J584" s="35">
        <v>46340</v>
      </c>
      <c r="K584" s="35">
        <v>25207</v>
      </c>
      <c r="L584" s="35">
        <v>30085</v>
      </c>
      <c r="M584" s="35">
        <v>29558</v>
      </c>
      <c r="N584" s="35">
        <v>21948</v>
      </c>
      <c r="O584" s="35">
        <v>122346</v>
      </c>
      <c r="P584" s="35">
        <v>30389</v>
      </c>
      <c r="Q584" s="35">
        <v>43024</v>
      </c>
      <c r="R584" s="35">
        <v>18592</v>
      </c>
      <c r="S584" s="35">
        <v>24785</v>
      </c>
      <c r="T584" s="35">
        <v>33427</v>
      </c>
      <c r="U584" s="35">
        <v>19688</v>
      </c>
      <c r="V584" s="35">
        <f t="shared" si="568"/>
        <v>879092</v>
      </c>
      <c r="W584" s="35">
        <f t="shared" ref="W584:AP584" si="571">B584-B583</f>
        <v>178</v>
      </c>
      <c r="X584" s="35">
        <f t="shared" si="571"/>
        <v>138</v>
      </c>
      <c r="Y584" s="35">
        <f t="shared" si="571"/>
        <v>175</v>
      </c>
      <c r="Z584" s="35">
        <f t="shared" si="571"/>
        <v>208</v>
      </c>
      <c r="AA584" s="35">
        <f t="shared" si="571"/>
        <v>397</v>
      </c>
      <c r="AB584" s="35">
        <f t="shared" si="571"/>
        <v>117</v>
      </c>
      <c r="AC584" s="35">
        <f t="shared" si="571"/>
        <v>82</v>
      </c>
      <c r="AD584" s="35">
        <f t="shared" si="571"/>
        <v>57</v>
      </c>
      <c r="AE584" s="35">
        <f t="shared" si="571"/>
        <v>140</v>
      </c>
      <c r="AF584" s="35">
        <f t="shared" si="571"/>
        <v>88</v>
      </c>
      <c r="AG584" s="35">
        <f t="shared" si="571"/>
        <v>159</v>
      </c>
      <c r="AH584" s="35">
        <f t="shared" si="571"/>
        <v>52</v>
      </c>
      <c r="AI584" s="35">
        <f t="shared" si="571"/>
        <v>31</v>
      </c>
      <c r="AJ584" s="35">
        <f t="shared" si="571"/>
        <v>377</v>
      </c>
      <c r="AK584" s="35">
        <f t="shared" si="571"/>
        <v>41</v>
      </c>
      <c r="AL584" s="35">
        <f t="shared" si="571"/>
        <v>100</v>
      </c>
      <c r="AM584" s="35">
        <f t="shared" si="571"/>
        <v>35</v>
      </c>
      <c r="AN584" s="35">
        <f t="shared" si="571"/>
        <v>55</v>
      </c>
      <c r="AO584" s="35">
        <f t="shared" si="571"/>
        <v>80</v>
      </c>
      <c r="AP584" s="35">
        <f t="shared" si="571"/>
        <v>85</v>
      </c>
    </row>
    <row r="585" spans="1:42" ht="13">
      <c r="A585" s="36">
        <v>44504</v>
      </c>
      <c r="B585" s="35">
        <v>43168</v>
      </c>
      <c r="C585" s="35">
        <v>31806</v>
      </c>
      <c r="D585" s="35">
        <v>25913</v>
      </c>
      <c r="E585" s="35">
        <v>53060</v>
      </c>
      <c r="F585" s="35">
        <v>158808</v>
      </c>
      <c r="G585" s="35">
        <v>38510</v>
      </c>
      <c r="H585" s="35">
        <v>38693</v>
      </c>
      <c r="I585" s="35">
        <v>46985</v>
      </c>
      <c r="J585" s="35">
        <v>46707</v>
      </c>
      <c r="K585" s="35">
        <v>25500</v>
      </c>
      <c r="L585" s="35">
        <v>30513</v>
      </c>
      <c r="M585" s="35">
        <v>29659</v>
      </c>
      <c r="N585" s="35">
        <v>22061</v>
      </c>
      <c r="O585" s="35">
        <v>123179</v>
      </c>
      <c r="P585" s="35">
        <v>30515</v>
      </c>
      <c r="Q585" s="35">
        <v>43263</v>
      </c>
      <c r="R585" s="35">
        <v>18691</v>
      </c>
      <c r="S585" s="35">
        <v>24888</v>
      </c>
      <c r="T585" s="35">
        <v>33583</v>
      </c>
      <c r="U585" s="35">
        <v>19858</v>
      </c>
      <c r="V585" s="35">
        <f t="shared" si="568"/>
        <v>885360</v>
      </c>
      <c r="W585" s="35">
        <f t="shared" ref="W585:AP585" si="572">B585-B584</f>
        <v>423</v>
      </c>
      <c r="X585" s="35">
        <f t="shared" si="572"/>
        <v>319</v>
      </c>
      <c r="Y585" s="35">
        <f t="shared" si="572"/>
        <v>322</v>
      </c>
      <c r="Z585" s="35">
        <f t="shared" si="572"/>
        <v>549</v>
      </c>
      <c r="AA585" s="35">
        <f t="shared" si="572"/>
        <v>950</v>
      </c>
      <c r="AB585" s="35">
        <f t="shared" si="572"/>
        <v>356</v>
      </c>
      <c r="AC585" s="35">
        <f t="shared" si="572"/>
        <v>163</v>
      </c>
      <c r="AD585" s="35">
        <f t="shared" si="572"/>
        <v>158</v>
      </c>
      <c r="AE585" s="35">
        <f t="shared" si="572"/>
        <v>367</v>
      </c>
      <c r="AF585" s="35">
        <f t="shared" si="572"/>
        <v>293</v>
      </c>
      <c r="AG585" s="35">
        <f t="shared" si="572"/>
        <v>428</v>
      </c>
      <c r="AH585" s="35">
        <f t="shared" si="572"/>
        <v>101</v>
      </c>
      <c r="AI585" s="35">
        <f t="shared" si="572"/>
        <v>113</v>
      </c>
      <c r="AJ585" s="35">
        <f t="shared" si="572"/>
        <v>833</v>
      </c>
      <c r="AK585" s="35">
        <f t="shared" si="572"/>
        <v>126</v>
      </c>
      <c r="AL585" s="35">
        <f t="shared" si="572"/>
        <v>239</v>
      </c>
      <c r="AM585" s="35">
        <f t="shared" si="572"/>
        <v>99</v>
      </c>
      <c r="AN585" s="35">
        <f t="shared" si="572"/>
        <v>103</v>
      </c>
      <c r="AO585" s="35">
        <f t="shared" si="572"/>
        <v>156</v>
      </c>
      <c r="AP585" s="35">
        <f t="shared" si="572"/>
        <v>170</v>
      </c>
    </row>
    <row r="586" spans="1:42" ht="13">
      <c r="A586" s="36">
        <v>44505</v>
      </c>
      <c r="B586" s="35">
        <v>43644</v>
      </c>
      <c r="C586" s="35">
        <v>32120</v>
      </c>
      <c r="D586" s="35">
        <v>26262</v>
      </c>
      <c r="E586" s="35">
        <v>53671</v>
      </c>
      <c r="F586" s="35">
        <v>159725</v>
      </c>
      <c r="G586" s="35">
        <v>39087</v>
      </c>
      <c r="H586" s="35">
        <v>38902</v>
      </c>
      <c r="I586" s="35">
        <v>47180</v>
      </c>
      <c r="J586" s="35">
        <v>47169</v>
      </c>
      <c r="K586" s="35">
        <v>25761</v>
      </c>
      <c r="L586" s="35">
        <v>30926</v>
      </c>
      <c r="M586" s="35">
        <v>29765</v>
      </c>
      <c r="N586" s="35">
        <v>22224</v>
      </c>
      <c r="O586" s="35">
        <v>123967</v>
      </c>
      <c r="P586" s="35">
        <v>30675</v>
      </c>
      <c r="Q586" s="35">
        <v>43468</v>
      </c>
      <c r="R586" s="35">
        <v>18847</v>
      </c>
      <c r="S586" s="35">
        <v>25016</v>
      </c>
      <c r="T586" s="35">
        <v>33726</v>
      </c>
      <c r="U586" s="35">
        <v>20029</v>
      </c>
      <c r="V586" s="35">
        <f t="shared" si="568"/>
        <v>892164</v>
      </c>
      <c r="W586" s="35">
        <f t="shared" ref="W586:AP586" si="573">B586-B585</f>
        <v>476</v>
      </c>
      <c r="X586" s="35">
        <f t="shared" si="573"/>
        <v>314</v>
      </c>
      <c r="Y586" s="35">
        <f t="shared" si="573"/>
        <v>349</v>
      </c>
      <c r="Z586" s="35">
        <f t="shared" si="573"/>
        <v>611</v>
      </c>
      <c r="AA586" s="35">
        <f t="shared" si="573"/>
        <v>917</v>
      </c>
      <c r="AB586" s="35">
        <f t="shared" si="573"/>
        <v>577</v>
      </c>
      <c r="AC586" s="35">
        <f t="shared" si="573"/>
        <v>209</v>
      </c>
      <c r="AD586" s="35">
        <f t="shared" si="573"/>
        <v>195</v>
      </c>
      <c r="AE586" s="35">
        <f t="shared" si="573"/>
        <v>462</v>
      </c>
      <c r="AF586" s="35">
        <f t="shared" si="573"/>
        <v>261</v>
      </c>
      <c r="AG586" s="35">
        <f t="shared" si="573"/>
        <v>413</v>
      </c>
      <c r="AH586" s="35">
        <f t="shared" si="573"/>
        <v>106</v>
      </c>
      <c r="AI586" s="35">
        <f t="shared" si="573"/>
        <v>163</v>
      </c>
      <c r="AJ586" s="35">
        <f t="shared" si="573"/>
        <v>788</v>
      </c>
      <c r="AK586" s="35">
        <f t="shared" si="573"/>
        <v>160</v>
      </c>
      <c r="AL586" s="35">
        <f t="shared" si="573"/>
        <v>205</v>
      </c>
      <c r="AM586" s="35">
        <f t="shared" si="573"/>
        <v>156</v>
      </c>
      <c r="AN586" s="35">
        <f t="shared" si="573"/>
        <v>128</v>
      </c>
      <c r="AO586" s="35">
        <f t="shared" si="573"/>
        <v>143</v>
      </c>
      <c r="AP586" s="35">
        <f t="shared" si="573"/>
        <v>171</v>
      </c>
    </row>
    <row r="587" spans="1:42" ht="13">
      <c r="A587" s="36">
        <v>44506</v>
      </c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</row>
    <row r="588" spans="1:42" ht="13">
      <c r="A588" s="36">
        <v>44507</v>
      </c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</row>
    <row r="589" spans="1:42" ht="13">
      <c r="A589" s="36">
        <v>44508</v>
      </c>
      <c r="B589" s="35">
        <v>44924</v>
      </c>
      <c r="C589" s="35">
        <v>32874</v>
      </c>
      <c r="D589" s="35">
        <v>27256</v>
      </c>
      <c r="E589" s="35">
        <v>55182</v>
      </c>
      <c r="F589" s="35">
        <v>161934</v>
      </c>
      <c r="G589" s="35">
        <v>40385</v>
      </c>
      <c r="H589" s="35">
        <v>39515</v>
      </c>
      <c r="I589" s="35">
        <v>47881</v>
      </c>
      <c r="J589" s="35">
        <v>48465</v>
      </c>
      <c r="K589" s="35">
        <v>26460</v>
      </c>
      <c r="L589" s="35">
        <v>32287</v>
      </c>
      <c r="M589" s="35">
        <v>30061</v>
      </c>
      <c r="N589" s="35">
        <v>22609</v>
      </c>
      <c r="O589" s="35">
        <v>125923</v>
      </c>
      <c r="P589" s="35">
        <v>31094</v>
      </c>
      <c r="Q589" s="35">
        <v>44135</v>
      </c>
      <c r="R589" s="35">
        <v>19077</v>
      </c>
      <c r="S589" s="35">
        <v>25366</v>
      </c>
      <c r="T589" s="35">
        <v>34179</v>
      </c>
      <c r="U589" s="35">
        <v>20391</v>
      </c>
      <c r="V589" s="35">
        <f t="shared" ref="V589:V593" si="574">SUM(B589:U589)</f>
        <v>909998</v>
      </c>
      <c r="W589" s="35">
        <f t="shared" ref="W589:AP589" si="575">B589-B586</f>
        <v>1280</v>
      </c>
      <c r="X589" s="35">
        <f t="shared" si="575"/>
        <v>754</v>
      </c>
      <c r="Y589" s="35">
        <f t="shared" si="575"/>
        <v>994</v>
      </c>
      <c r="Z589" s="35">
        <f t="shared" si="575"/>
        <v>1511</v>
      </c>
      <c r="AA589" s="35">
        <f t="shared" si="575"/>
        <v>2209</v>
      </c>
      <c r="AB589" s="35">
        <f t="shared" si="575"/>
        <v>1298</v>
      </c>
      <c r="AC589" s="35">
        <f t="shared" si="575"/>
        <v>613</v>
      </c>
      <c r="AD589" s="35">
        <f t="shared" si="575"/>
        <v>701</v>
      </c>
      <c r="AE589" s="35">
        <f t="shared" si="575"/>
        <v>1296</v>
      </c>
      <c r="AF589" s="35">
        <f t="shared" si="575"/>
        <v>699</v>
      </c>
      <c r="AG589" s="35">
        <f t="shared" si="575"/>
        <v>1361</v>
      </c>
      <c r="AH589" s="35">
        <f t="shared" si="575"/>
        <v>296</v>
      </c>
      <c r="AI589" s="35">
        <f t="shared" si="575"/>
        <v>385</v>
      </c>
      <c r="AJ589" s="35">
        <f t="shared" si="575"/>
        <v>1956</v>
      </c>
      <c r="AK589" s="35">
        <f t="shared" si="575"/>
        <v>419</v>
      </c>
      <c r="AL589" s="35">
        <f t="shared" si="575"/>
        <v>667</v>
      </c>
      <c r="AM589" s="35">
        <f t="shared" si="575"/>
        <v>230</v>
      </c>
      <c r="AN589" s="35">
        <f t="shared" si="575"/>
        <v>350</v>
      </c>
      <c r="AO589" s="35">
        <f t="shared" si="575"/>
        <v>453</v>
      </c>
      <c r="AP589" s="35">
        <f t="shared" si="575"/>
        <v>362</v>
      </c>
    </row>
    <row r="590" spans="1:42" ht="13">
      <c r="A590" s="36">
        <v>44509</v>
      </c>
      <c r="B590" s="35">
        <v>45169</v>
      </c>
      <c r="C590" s="35">
        <v>33102</v>
      </c>
      <c r="D590" s="35">
        <v>27513</v>
      </c>
      <c r="E590" s="35">
        <v>55442</v>
      </c>
      <c r="F590" s="35">
        <v>162635</v>
      </c>
      <c r="G590" s="35">
        <v>40596</v>
      </c>
      <c r="H590" s="35">
        <v>39618</v>
      </c>
      <c r="I590" s="35">
        <v>48038</v>
      </c>
      <c r="J590" s="35">
        <v>48660</v>
      </c>
      <c r="K590" s="35">
        <v>26654</v>
      </c>
      <c r="L590" s="35">
        <v>32692</v>
      </c>
      <c r="M590" s="35">
        <v>30158</v>
      </c>
      <c r="N590" s="35">
        <v>22720</v>
      </c>
      <c r="O590" s="35">
        <v>126579</v>
      </c>
      <c r="P590" s="35">
        <v>31181</v>
      </c>
      <c r="Q590" s="35">
        <v>44329</v>
      </c>
      <c r="R590" s="35">
        <v>19164</v>
      </c>
      <c r="S590" s="35">
        <v>25439</v>
      </c>
      <c r="T590" s="35">
        <v>34373</v>
      </c>
      <c r="U590" s="35">
        <v>20524</v>
      </c>
      <c r="V590" s="35">
        <f t="shared" si="574"/>
        <v>914586</v>
      </c>
      <c r="W590" s="35">
        <f t="shared" ref="W590:AP590" si="576">B590-B589</f>
        <v>245</v>
      </c>
      <c r="X590" s="35">
        <f t="shared" si="576"/>
        <v>228</v>
      </c>
      <c r="Y590" s="35">
        <f t="shared" si="576"/>
        <v>257</v>
      </c>
      <c r="Z590" s="35">
        <f t="shared" si="576"/>
        <v>260</v>
      </c>
      <c r="AA590" s="35">
        <f t="shared" si="576"/>
        <v>701</v>
      </c>
      <c r="AB590" s="35">
        <f t="shared" si="576"/>
        <v>211</v>
      </c>
      <c r="AC590" s="35">
        <f t="shared" si="576"/>
        <v>103</v>
      </c>
      <c r="AD590" s="35">
        <f t="shared" si="576"/>
        <v>157</v>
      </c>
      <c r="AE590" s="35">
        <f t="shared" si="576"/>
        <v>195</v>
      </c>
      <c r="AF590" s="35">
        <f t="shared" si="576"/>
        <v>194</v>
      </c>
      <c r="AG590" s="35">
        <f t="shared" si="576"/>
        <v>405</v>
      </c>
      <c r="AH590" s="35">
        <f t="shared" si="576"/>
        <v>97</v>
      </c>
      <c r="AI590" s="35">
        <f t="shared" si="576"/>
        <v>111</v>
      </c>
      <c r="AJ590" s="35">
        <f t="shared" si="576"/>
        <v>656</v>
      </c>
      <c r="AK590" s="35">
        <f t="shared" si="576"/>
        <v>87</v>
      </c>
      <c r="AL590" s="35">
        <f t="shared" si="576"/>
        <v>194</v>
      </c>
      <c r="AM590" s="35">
        <f t="shared" si="576"/>
        <v>87</v>
      </c>
      <c r="AN590" s="35">
        <f t="shared" si="576"/>
        <v>73</v>
      </c>
      <c r="AO590" s="35">
        <f t="shared" si="576"/>
        <v>194</v>
      </c>
      <c r="AP590" s="35">
        <f t="shared" si="576"/>
        <v>133</v>
      </c>
    </row>
    <row r="591" spans="1:42" ht="13">
      <c r="A591" s="36">
        <v>44510</v>
      </c>
      <c r="B591" s="35">
        <v>45683</v>
      </c>
      <c r="C591" s="35">
        <v>33471</v>
      </c>
      <c r="D591" s="35">
        <v>27908</v>
      </c>
      <c r="E591" s="35">
        <v>56180</v>
      </c>
      <c r="F591" s="35">
        <v>163953</v>
      </c>
      <c r="G591" s="35">
        <v>40989</v>
      </c>
      <c r="H591" s="35">
        <v>39901</v>
      </c>
      <c r="I591" s="35">
        <v>48237</v>
      </c>
      <c r="J591" s="35">
        <v>49101</v>
      </c>
      <c r="K591" s="35">
        <v>27020</v>
      </c>
      <c r="L591" s="35">
        <v>33501</v>
      </c>
      <c r="M591" s="35">
        <v>30260</v>
      </c>
      <c r="N591" s="35">
        <v>22883</v>
      </c>
      <c r="O591" s="35">
        <v>127679</v>
      </c>
      <c r="P591" s="35">
        <v>31361</v>
      </c>
      <c r="Q591" s="35">
        <v>44611</v>
      </c>
      <c r="R591" s="35">
        <v>19310</v>
      </c>
      <c r="S591" s="35">
        <v>25580</v>
      </c>
      <c r="T591" s="35">
        <v>34647</v>
      </c>
      <c r="U591" s="35">
        <v>20745</v>
      </c>
      <c r="V591" s="35">
        <f t="shared" si="574"/>
        <v>923020</v>
      </c>
      <c r="W591" s="35">
        <f t="shared" ref="W591:AP591" si="577">B591-B590</f>
        <v>514</v>
      </c>
      <c r="X591" s="35">
        <f t="shared" si="577"/>
        <v>369</v>
      </c>
      <c r="Y591" s="35">
        <f t="shared" si="577"/>
        <v>395</v>
      </c>
      <c r="Z591" s="35">
        <f t="shared" si="577"/>
        <v>738</v>
      </c>
      <c r="AA591" s="35">
        <f t="shared" si="577"/>
        <v>1318</v>
      </c>
      <c r="AB591" s="35">
        <f t="shared" si="577"/>
        <v>393</v>
      </c>
      <c r="AC591" s="35">
        <f t="shared" si="577"/>
        <v>283</v>
      </c>
      <c r="AD591" s="35">
        <f t="shared" si="577"/>
        <v>199</v>
      </c>
      <c r="AE591" s="35">
        <f t="shared" si="577"/>
        <v>441</v>
      </c>
      <c r="AF591" s="35">
        <f t="shared" si="577"/>
        <v>366</v>
      </c>
      <c r="AG591" s="35">
        <f t="shared" si="577"/>
        <v>809</v>
      </c>
      <c r="AH591" s="35">
        <f t="shared" si="577"/>
        <v>102</v>
      </c>
      <c r="AI591" s="35">
        <f t="shared" si="577"/>
        <v>163</v>
      </c>
      <c r="AJ591" s="35">
        <f t="shared" si="577"/>
        <v>1100</v>
      </c>
      <c r="AK591" s="35">
        <f t="shared" si="577"/>
        <v>180</v>
      </c>
      <c r="AL591" s="35">
        <f t="shared" si="577"/>
        <v>282</v>
      </c>
      <c r="AM591" s="35">
        <f t="shared" si="577"/>
        <v>146</v>
      </c>
      <c r="AN591" s="35">
        <f t="shared" si="577"/>
        <v>141</v>
      </c>
      <c r="AO591" s="35">
        <f t="shared" si="577"/>
        <v>274</v>
      </c>
      <c r="AP591" s="35">
        <f t="shared" si="577"/>
        <v>221</v>
      </c>
    </row>
    <row r="592" spans="1:42" ht="13">
      <c r="A592" s="36">
        <v>44511</v>
      </c>
      <c r="B592" s="35">
        <v>46250</v>
      </c>
      <c r="C592" s="35">
        <v>33868</v>
      </c>
      <c r="D592" s="35">
        <v>28259</v>
      </c>
      <c r="E592" s="35">
        <v>56839</v>
      </c>
      <c r="F592" s="35">
        <v>165199</v>
      </c>
      <c r="G592" s="35">
        <v>41527</v>
      </c>
      <c r="H592" s="35">
        <v>40180</v>
      </c>
      <c r="I592" s="35">
        <v>48535</v>
      </c>
      <c r="J592" s="35">
        <v>49626</v>
      </c>
      <c r="K592" s="35">
        <v>27282</v>
      </c>
      <c r="L592" s="35">
        <v>34093</v>
      </c>
      <c r="M592" s="35">
        <v>30355</v>
      </c>
      <c r="N592" s="35">
        <v>23041</v>
      </c>
      <c r="O592" s="35">
        <v>128790</v>
      </c>
      <c r="P592" s="35">
        <v>31544</v>
      </c>
      <c r="Q592" s="35">
        <v>44973</v>
      </c>
      <c r="R592" s="35">
        <v>19443</v>
      </c>
      <c r="S592" s="35">
        <v>25736</v>
      </c>
      <c r="T592" s="35">
        <v>34882</v>
      </c>
      <c r="U592" s="35">
        <v>20992</v>
      </c>
      <c r="V592" s="35">
        <f t="shared" si="574"/>
        <v>931414</v>
      </c>
      <c r="W592" s="35">
        <f t="shared" ref="W592:AP592" si="578">B592-B591</f>
        <v>567</v>
      </c>
      <c r="X592" s="35">
        <f t="shared" si="578"/>
        <v>397</v>
      </c>
      <c r="Y592" s="35">
        <f t="shared" si="578"/>
        <v>351</v>
      </c>
      <c r="Z592" s="35">
        <f t="shared" si="578"/>
        <v>659</v>
      </c>
      <c r="AA592" s="35">
        <f t="shared" si="578"/>
        <v>1246</v>
      </c>
      <c r="AB592" s="35">
        <f t="shared" si="578"/>
        <v>538</v>
      </c>
      <c r="AC592" s="35">
        <f t="shared" si="578"/>
        <v>279</v>
      </c>
      <c r="AD592" s="35">
        <f t="shared" si="578"/>
        <v>298</v>
      </c>
      <c r="AE592" s="35">
        <f t="shared" si="578"/>
        <v>525</v>
      </c>
      <c r="AF592" s="35">
        <f t="shared" si="578"/>
        <v>262</v>
      </c>
      <c r="AG592" s="35">
        <f t="shared" si="578"/>
        <v>592</v>
      </c>
      <c r="AH592" s="35">
        <f t="shared" si="578"/>
        <v>95</v>
      </c>
      <c r="AI592" s="35">
        <f t="shared" si="578"/>
        <v>158</v>
      </c>
      <c r="AJ592" s="35">
        <f t="shared" si="578"/>
        <v>1111</v>
      </c>
      <c r="AK592" s="35">
        <f t="shared" si="578"/>
        <v>183</v>
      </c>
      <c r="AL592" s="35">
        <f t="shared" si="578"/>
        <v>362</v>
      </c>
      <c r="AM592" s="35">
        <f t="shared" si="578"/>
        <v>133</v>
      </c>
      <c r="AN592" s="35">
        <f t="shared" si="578"/>
        <v>156</v>
      </c>
      <c r="AO592" s="35">
        <f t="shared" si="578"/>
        <v>235</v>
      </c>
      <c r="AP592" s="35">
        <f t="shared" si="578"/>
        <v>247</v>
      </c>
    </row>
    <row r="593" spans="1:42" ht="13">
      <c r="A593" s="36">
        <v>44512</v>
      </c>
      <c r="B593" s="35">
        <v>46848</v>
      </c>
      <c r="C593" s="35">
        <v>34223</v>
      </c>
      <c r="D593" s="35">
        <v>28674</v>
      </c>
      <c r="E593" s="35">
        <v>57603</v>
      </c>
      <c r="F593" s="35">
        <v>166385</v>
      </c>
      <c r="G593" s="35">
        <v>42053</v>
      </c>
      <c r="H593" s="35">
        <v>40451</v>
      </c>
      <c r="I593" s="35">
        <v>48776</v>
      </c>
      <c r="J593" s="35">
        <v>50196</v>
      </c>
      <c r="K593" s="35">
        <v>27643</v>
      </c>
      <c r="L593" s="35">
        <v>34604</v>
      </c>
      <c r="M593" s="35">
        <v>30490</v>
      </c>
      <c r="N593" s="35">
        <v>23228</v>
      </c>
      <c r="O593" s="35">
        <v>129765</v>
      </c>
      <c r="P593" s="35">
        <v>31751</v>
      </c>
      <c r="Q593" s="35">
        <v>45313</v>
      </c>
      <c r="R593" s="35">
        <v>19595</v>
      </c>
      <c r="S593" s="35">
        <v>25880</v>
      </c>
      <c r="T593" s="35">
        <v>35107</v>
      </c>
      <c r="U593" s="35">
        <v>21199</v>
      </c>
      <c r="V593" s="35">
        <f t="shared" si="574"/>
        <v>939784</v>
      </c>
      <c r="W593" s="35">
        <f t="shared" ref="W593:AP593" si="579">B593-B592</f>
        <v>598</v>
      </c>
      <c r="X593" s="35">
        <f t="shared" si="579"/>
        <v>355</v>
      </c>
      <c r="Y593" s="35">
        <f t="shared" si="579"/>
        <v>415</v>
      </c>
      <c r="Z593" s="35">
        <f t="shared" si="579"/>
        <v>764</v>
      </c>
      <c r="AA593" s="35">
        <f t="shared" si="579"/>
        <v>1186</v>
      </c>
      <c r="AB593" s="35">
        <f t="shared" si="579"/>
        <v>526</v>
      </c>
      <c r="AC593" s="35">
        <f t="shared" si="579"/>
        <v>271</v>
      </c>
      <c r="AD593" s="35">
        <f t="shared" si="579"/>
        <v>241</v>
      </c>
      <c r="AE593" s="35">
        <f t="shared" si="579"/>
        <v>570</v>
      </c>
      <c r="AF593" s="35">
        <f t="shared" si="579"/>
        <v>361</v>
      </c>
      <c r="AG593" s="35">
        <f t="shared" si="579"/>
        <v>511</v>
      </c>
      <c r="AH593" s="35">
        <f t="shared" si="579"/>
        <v>135</v>
      </c>
      <c r="AI593" s="35">
        <f t="shared" si="579"/>
        <v>187</v>
      </c>
      <c r="AJ593" s="35">
        <f t="shared" si="579"/>
        <v>975</v>
      </c>
      <c r="AK593" s="35">
        <f t="shared" si="579"/>
        <v>207</v>
      </c>
      <c r="AL593" s="35">
        <f t="shared" si="579"/>
        <v>340</v>
      </c>
      <c r="AM593" s="35">
        <f t="shared" si="579"/>
        <v>152</v>
      </c>
      <c r="AN593" s="35">
        <f t="shared" si="579"/>
        <v>144</v>
      </c>
      <c r="AO593" s="35">
        <f t="shared" si="579"/>
        <v>225</v>
      </c>
      <c r="AP593" s="35">
        <f t="shared" si="579"/>
        <v>207</v>
      </c>
    </row>
    <row r="594" spans="1:42" ht="13">
      <c r="A594" s="36">
        <v>44513</v>
      </c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</row>
    <row r="595" spans="1:42" ht="13">
      <c r="A595" s="36">
        <v>44514</v>
      </c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</row>
    <row r="596" spans="1:42" ht="13">
      <c r="A596" s="36">
        <v>44515</v>
      </c>
      <c r="B596" s="35">
        <v>48342</v>
      </c>
      <c r="C596" s="35">
        <v>35058</v>
      </c>
      <c r="D596" s="35">
        <v>29628</v>
      </c>
      <c r="E596" s="35">
        <v>59353</v>
      </c>
      <c r="F596" s="35">
        <v>169423</v>
      </c>
      <c r="G596" s="35">
        <v>43325</v>
      </c>
      <c r="H596" s="35">
        <v>41085</v>
      </c>
      <c r="I596" s="35">
        <v>49581</v>
      </c>
      <c r="J596" s="35">
        <v>51568</v>
      </c>
      <c r="K596" s="35">
        <v>28391</v>
      </c>
      <c r="L596" s="35">
        <v>36380</v>
      </c>
      <c r="M596" s="35">
        <v>30895</v>
      </c>
      <c r="N596" s="35">
        <v>23694</v>
      </c>
      <c r="O596" s="35">
        <v>132096</v>
      </c>
      <c r="P596" s="35">
        <v>32245</v>
      </c>
      <c r="Q596" s="35">
        <v>46103</v>
      </c>
      <c r="R596" s="35">
        <v>19871</v>
      </c>
      <c r="S596" s="35">
        <v>26307</v>
      </c>
      <c r="T596" s="35">
        <v>35787</v>
      </c>
      <c r="U596" s="35">
        <v>21712</v>
      </c>
      <c r="V596" s="35">
        <f t="shared" ref="V596:V600" si="580">SUM(B596:U596)</f>
        <v>960844</v>
      </c>
      <c r="W596" s="35">
        <f t="shared" ref="W596:AP596" si="581">B596-B593</f>
        <v>1494</v>
      </c>
      <c r="X596" s="35">
        <f t="shared" si="581"/>
        <v>835</v>
      </c>
      <c r="Y596" s="35">
        <f t="shared" si="581"/>
        <v>954</v>
      </c>
      <c r="Z596" s="35">
        <f t="shared" si="581"/>
        <v>1750</v>
      </c>
      <c r="AA596" s="35">
        <f t="shared" si="581"/>
        <v>3038</v>
      </c>
      <c r="AB596" s="35">
        <f t="shared" si="581"/>
        <v>1272</v>
      </c>
      <c r="AC596" s="35">
        <f t="shared" si="581"/>
        <v>634</v>
      </c>
      <c r="AD596" s="35">
        <f t="shared" si="581"/>
        <v>805</v>
      </c>
      <c r="AE596" s="35">
        <f t="shared" si="581"/>
        <v>1372</v>
      </c>
      <c r="AF596" s="35">
        <f t="shared" si="581"/>
        <v>748</v>
      </c>
      <c r="AG596" s="35">
        <f t="shared" si="581"/>
        <v>1776</v>
      </c>
      <c r="AH596" s="35">
        <f t="shared" si="581"/>
        <v>405</v>
      </c>
      <c r="AI596" s="35">
        <f t="shared" si="581"/>
        <v>466</v>
      </c>
      <c r="AJ596" s="35">
        <f t="shared" si="581"/>
        <v>2331</v>
      </c>
      <c r="AK596" s="35">
        <f t="shared" si="581"/>
        <v>494</v>
      </c>
      <c r="AL596" s="35">
        <f t="shared" si="581"/>
        <v>790</v>
      </c>
      <c r="AM596" s="35">
        <f t="shared" si="581"/>
        <v>276</v>
      </c>
      <c r="AN596" s="35">
        <f t="shared" si="581"/>
        <v>427</v>
      </c>
      <c r="AO596" s="35">
        <f t="shared" si="581"/>
        <v>680</v>
      </c>
      <c r="AP596" s="35">
        <f t="shared" si="581"/>
        <v>513</v>
      </c>
    </row>
    <row r="597" spans="1:42" ht="13">
      <c r="A597" s="36">
        <v>44516</v>
      </c>
      <c r="B597" s="35">
        <v>48744</v>
      </c>
      <c r="C597" s="35">
        <v>35317</v>
      </c>
      <c r="D597" s="35">
        <v>29907</v>
      </c>
      <c r="E597" s="35">
        <v>59589</v>
      </c>
      <c r="F597" s="35">
        <v>170307</v>
      </c>
      <c r="G597" s="35">
        <v>43537</v>
      </c>
      <c r="H597" s="35">
        <v>41208</v>
      </c>
      <c r="I597" s="35">
        <v>49785</v>
      </c>
      <c r="J597" s="35">
        <v>51836</v>
      </c>
      <c r="K597" s="35">
        <v>28579</v>
      </c>
      <c r="L597" s="35">
        <v>36850</v>
      </c>
      <c r="M597" s="35">
        <v>30962</v>
      </c>
      <c r="N597" s="35">
        <v>23753</v>
      </c>
      <c r="O597" s="35">
        <v>132805</v>
      </c>
      <c r="P597" s="35">
        <v>32342</v>
      </c>
      <c r="Q597" s="35">
        <v>46386</v>
      </c>
      <c r="R597" s="35">
        <v>19984</v>
      </c>
      <c r="S597" s="35">
        <v>26425</v>
      </c>
      <c r="T597" s="35">
        <v>35988</v>
      </c>
      <c r="U597" s="35">
        <v>21863</v>
      </c>
      <c r="V597" s="35">
        <f t="shared" si="580"/>
        <v>966167</v>
      </c>
      <c r="W597" s="35">
        <f t="shared" ref="W597:AP597" si="582">B597-B596</f>
        <v>402</v>
      </c>
      <c r="X597" s="35">
        <f t="shared" si="582"/>
        <v>259</v>
      </c>
      <c r="Y597" s="35">
        <f t="shared" si="582"/>
        <v>279</v>
      </c>
      <c r="Z597" s="35">
        <f t="shared" si="582"/>
        <v>236</v>
      </c>
      <c r="AA597" s="35">
        <f t="shared" si="582"/>
        <v>884</v>
      </c>
      <c r="AB597" s="35">
        <f t="shared" si="582"/>
        <v>212</v>
      </c>
      <c r="AC597" s="35">
        <f t="shared" si="582"/>
        <v>123</v>
      </c>
      <c r="AD597" s="35">
        <f t="shared" si="582"/>
        <v>204</v>
      </c>
      <c r="AE597" s="35">
        <f t="shared" si="582"/>
        <v>268</v>
      </c>
      <c r="AF597" s="35">
        <f t="shared" si="582"/>
        <v>188</v>
      </c>
      <c r="AG597" s="35">
        <f t="shared" si="582"/>
        <v>470</v>
      </c>
      <c r="AH597" s="35">
        <f t="shared" si="582"/>
        <v>67</v>
      </c>
      <c r="AI597" s="35">
        <f t="shared" si="582"/>
        <v>59</v>
      </c>
      <c r="AJ597" s="35">
        <f t="shared" si="582"/>
        <v>709</v>
      </c>
      <c r="AK597" s="35">
        <f t="shared" si="582"/>
        <v>97</v>
      </c>
      <c r="AL597" s="35">
        <f t="shared" si="582"/>
        <v>283</v>
      </c>
      <c r="AM597" s="35">
        <f t="shared" si="582"/>
        <v>113</v>
      </c>
      <c r="AN597" s="35">
        <f t="shared" si="582"/>
        <v>118</v>
      </c>
      <c r="AO597" s="35">
        <f t="shared" si="582"/>
        <v>201</v>
      </c>
      <c r="AP597" s="35">
        <f t="shared" si="582"/>
        <v>151</v>
      </c>
    </row>
    <row r="598" spans="1:42" ht="13">
      <c r="A598" s="46">
        <v>44517</v>
      </c>
      <c r="B598" s="35">
        <v>49394</v>
      </c>
      <c r="C598" s="35">
        <v>35788</v>
      </c>
      <c r="D598" s="35">
        <v>30323</v>
      </c>
      <c r="E598" s="35">
        <v>60330</v>
      </c>
      <c r="F598" s="35">
        <v>171923</v>
      </c>
      <c r="G598" s="35">
        <v>44045</v>
      </c>
      <c r="H598" s="35">
        <v>41562</v>
      </c>
      <c r="I598" s="35">
        <v>50104</v>
      </c>
      <c r="J598" s="35">
        <v>52449</v>
      </c>
      <c r="K598" s="35">
        <v>28997</v>
      </c>
      <c r="L598" s="35">
        <v>37619</v>
      </c>
      <c r="M598" s="35">
        <v>31108</v>
      </c>
      <c r="N598" s="35">
        <v>23954</v>
      </c>
      <c r="O598" s="35">
        <v>134197</v>
      </c>
      <c r="P598" s="35">
        <v>32543</v>
      </c>
      <c r="Q598" s="35">
        <v>46824</v>
      </c>
      <c r="R598" s="35">
        <v>20172</v>
      </c>
      <c r="S598" s="35">
        <v>26671</v>
      </c>
      <c r="T598" s="35">
        <v>36274</v>
      </c>
      <c r="U598" s="35">
        <v>22155</v>
      </c>
      <c r="V598" s="35">
        <f t="shared" si="580"/>
        <v>976432</v>
      </c>
      <c r="W598" s="35">
        <f t="shared" ref="W598:AP598" si="583">B598-B597</f>
        <v>650</v>
      </c>
      <c r="X598" s="35">
        <f t="shared" si="583"/>
        <v>471</v>
      </c>
      <c r="Y598" s="35">
        <f t="shared" si="583"/>
        <v>416</v>
      </c>
      <c r="Z598" s="35">
        <f t="shared" si="583"/>
        <v>741</v>
      </c>
      <c r="AA598" s="35">
        <f t="shared" si="583"/>
        <v>1616</v>
      </c>
      <c r="AB598" s="35">
        <f t="shared" si="583"/>
        <v>508</v>
      </c>
      <c r="AC598" s="35">
        <f t="shared" si="583"/>
        <v>354</v>
      </c>
      <c r="AD598" s="35">
        <f t="shared" si="583"/>
        <v>319</v>
      </c>
      <c r="AE598" s="35">
        <f t="shared" si="583"/>
        <v>613</v>
      </c>
      <c r="AF598" s="35">
        <f t="shared" si="583"/>
        <v>418</v>
      </c>
      <c r="AG598" s="35">
        <f t="shared" si="583"/>
        <v>769</v>
      </c>
      <c r="AH598" s="35">
        <f t="shared" si="583"/>
        <v>146</v>
      </c>
      <c r="AI598" s="35">
        <f t="shared" si="583"/>
        <v>201</v>
      </c>
      <c r="AJ598" s="35">
        <f t="shared" si="583"/>
        <v>1392</v>
      </c>
      <c r="AK598" s="35">
        <f t="shared" si="583"/>
        <v>201</v>
      </c>
      <c r="AL598" s="35">
        <f t="shared" si="583"/>
        <v>438</v>
      </c>
      <c r="AM598" s="35">
        <f t="shared" si="583"/>
        <v>188</v>
      </c>
      <c r="AN598" s="35">
        <f t="shared" si="583"/>
        <v>246</v>
      </c>
      <c r="AO598" s="35">
        <f t="shared" si="583"/>
        <v>286</v>
      </c>
      <c r="AP598" s="35">
        <f t="shared" si="583"/>
        <v>292</v>
      </c>
    </row>
    <row r="599" spans="1:42" ht="13">
      <c r="A599" s="36">
        <v>44518</v>
      </c>
      <c r="B599" s="35">
        <v>50180</v>
      </c>
      <c r="C599" s="35">
        <v>36243</v>
      </c>
      <c r="D599" s="35">
        <v>30772</v>
      </c>
      <c r="E599" s="35">
        <v>61177</v>
      </c>
      <c r="F599" s="35">
        <v>173541</v>
      </c>
      <c r="G599" s="35">
        <v>44676</v>
      </c>
      <c r="H599" s="35">
        <v>41883</v>
      </c>
      <c r="I599" s="35">
        <v>50485</v>
      </c>
      <c r="J599" s="35">
        <v>53158</v>
      </c>
      <c r="K599" s="35">
        <v>29325</v>
      </c>
      <c r="L599" s="35">
        <v>38259</v>
      </c>
      <c r="M599" s="35">
        <v>31247</v>
      </c>
      <c r="N599" s="35">
        <v>24162</v>
      </c>
      <c r="O599" s="35">
        <v>135576</v>
      </c>
      <c r="P599" s="35">
        <v>32789</v>
      </c>
      <c r="Q599" s="35">
        <v>47296</v>
      </c>
      <c r="R599" s="35">
        <v>20374</v>
      </c>
      <c r="S599" s="35">
        <v>26901</v>
      </c>
      <c r="T599" s="35">
        <v>36688</v>
      </c>
      <c r="U599" s="35">
        <v>22467</v>
      </c>
      <c r="V599" s="35">
        <f t="shared" si="580"/>
        <v>987199</v>
      </c>
      <c r="W599" s="35">
        <f t="shared" ref="W599:AP599" si="584">B599-B598</f>
        <v>786</v>
      </c>
      <c r="X599" s="35">
        <f t="shared" si="584"/>
        <v>455</v>
      </c>
      <c r="Y599" s="35">
        <f t="shared" si="584"/>
        <v>449</v>
      </c>
      <c r="Z599" s="35">
        <f t="shared" si="584"/>
        <v>847</v>
      </c>
      <c r="AA599" s="35">
        <f t="shared" si="584"/>
        <v>1618</v>
      </c>
      <c r="AB599" s="35">
        <f t="shared" si="584"/>
        <v>631</v>
      </c>
      <c r="AC599" s="35">
        <f t="shared" si="584"/>
        <v>321</v>
      </c>
      <c r="AD599" s="35">
        <f t="shared" si="584"/>
        <v>381</v>
      </c>
      <c r="AE599" s="35">
        <f t="shared" si="584"/>
        <v>709</v>
      </c>
      <c r="AF599" s="35">
        <f t="shared" si="584"/>
        <v>328</v>
      </c>
      <c r="AG599" s="35">
        <f t="shared" si="584"/>
        <v>640</v>
      </c>
      <c r="AH599" s="35">
        <f t="shared" si="584"/>
        <v>139</v>
      </c>
      <c r="AI599" s="35">
        <f t="shared" si="584"/>
        <v>208</v>
      </c>
      <c r="AJ599" s="35">
        <f t="shared" si="584"/>
        <v>1379</v>
      </c>
      <c r="AK599" s="35">
        <f t="shared" si="584"/>
        <v>246</v>
      </c>
      <c r="AL599" s="35">
        <f t="shared" si="584"/>
        <v>472</v>
      </c>
      <c r="AM599" s="35">
        <f t="shared" si="584"/>
        <v>202</v>
      </c>
      <c r="AN599" s="35">
        <f t="shared" si="584"/>
        <v>230</v>
      </c>
      <c r="AO599" s="35">
        <f t="shared" si="584"/>
        <v>414</v>
      </c>
      <c r="AP599" s="35">
        <f t="shared" si="584"/>
        <v>312</v>
      </c>
    </row>
    <row r="600" spans="1:42" ht="13">
      <c r="A600" s="36">
        <v>44519</v>
      </c>
      <c r="B600" s="35">
        <v>50969</v>
      </c>
      <c r="C600" s="35">
        <v>36686</v>
      </c>
      <c r="D600" s="35">
        <v>31254</v>
      </c>
      <c r="E600" s="35">
        <v>61998</v>
      </c>
      <c r="F600" s="35">
        <v>175181</v>
      </c>
      <c r="G600" s="35">
        <v>45280</v>
      </c>
      <c r="H600" s="35">
        <v>42262</v>
      </c>
      <c r="I600" s="35">
        <v>50935</v>
      </c>
      <c r="J600" s="35">
        <v>53939</v>
      </c>
      <c r="K600" s="35">
        <v>29764</v>
      </c>
      <c r="L600" s="35">
        <v>38887</v>
      </c>
      <c r="M600" s="35">
        <v>31442</v>
      </c>
      <c r="N600" s="35">
        <v>24357</v>
      </c>
      <c r="O600" s="35">
        <v>136960</v>
      </c>
      <c r="P600" s="35">
        <v>33038</v>
      </c>
      <c r="Q600" s="35">
        <v>47830</v>
      </c>
      <c r="R600" s="35">
        <v>20635</v>
      </c>
      <c r="S600" s="35">
        <v>27123</v>
      </c>
      <c r="T600" s="35">
        <v>37163</v>
      </c>
      <c r="U600" s="35">
        <v>22785</v>
      </c>
      <c r="V600" s="35">
        <f t="shared" si="580"/>
        <v>998488</v>
      </c>
      <c r="W600" s="35">
        <f t="shared" ref="W600:AP600" si="585">B600-B599</f>
        <v>789</v>
      </c>
      <c r="X600" s="35">
        <f t="shared" si="585"/>
        <v>443</v>
      </c>
      <c r="Y600" s="35">
        <f t="shared" si="585"/>
        <v>482</v>
      </c>
      <c r="Z600" s="35">
        <f t="shared" si="585"/>
        <v>821</v>
      </c>
      <c r="AA600" s="35">
        <f t="shared" si="585"/>
        <v>1640</v>
      </c>
      <c r="AB600" s="35">
        <f t="shared" si="585"/>
        <v>604</v>
      </c>
      <c r="AC600" s="35">
        <f t="shared" si="585"/>
        <v>379</v>
      </c>
      <c r="AD600" s="35">
        <f t="shared" si="585"/>
        <v>450</v>
      </c>
      <c r="AE600" s="35">
        <f t="shared" si="585"/>
        <v>781</v>
      </c>
      <c r="AF600" s="35">
        <f t="shared" si="585"/>
        <v>439</v>
      </c>
      <c r="AG600" s="35">
        <f t="shared" si="585"/>
        <v>628</v>
      </c>
      <c r="AH600" s="35">
        <f t="shared" si="585"/>
        <v>195</v>
      </c>
      <c r="AI600" s="35">
        <f t="shared" si="585"/>
        <v>195</v>
      </c>
      <c r="AJ600" s="35">
        <f t="shared" si="585"/>
        <v>1384</v>
      </c>
      <c r="AK600" s="35">
        <f t="shared" si="585"/>
        <v>249</v>
      </c>
      <c r="AL600" s="35">
        <f t="shared" si="585"/>
        <v>534</v>
      </c>
      <c r="AM600" s="35">
        <f t="shared" si="585"/>
        <v>261</v>
      </c>
      <c r="AN600" s="35">
        <f t="shared" si="585"/>
        <v>222</v>
      </c>
      <c r="AO600" s="35">
        <f t="shared" si="585"/>
        <v>475</v>
      </c>
      <c r="AP600" s="35">
        <f t="shared" si="585"/>
        <v>318</v>
      </c>
    </row>
    <row r="601" spans="1:42" ht="13">
      <c r="A601" s="36">
        <v>44520</v>
      </c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</row>
    <row r="602" spans="1:42" ht="13">
      <c r="A602" s="36">
        <v>44521</v>
      </c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</row>
    <row r="603" spans="1:42" ht="13">
      <c r="A603" s="36">
        <v>44522</v>
      </c>
      <c r="B603" s="35">
        <v>52985</v>
      </c>
      <c r="C603" s="35">
        <v>37666</v>
      </c>
      <c r="D603" s="35">
        <v>32298</v>
      </c>
      <c r="E603" s="35">
        <v>63854</v>
      </c>
      <c r="F603" s="35">
        <v>179201</v>
      </c>
      <c r="G603" s="35">
        <v>46947</v>
      </c>
      <c r="H603" s="35">
        <v>43262</v>
      </c>
      <c r="I603" s="35">
        <v>52187</v>
      </c>
      <c r="J603" s="35">
        <v>55840</v>
      </c>
      <c r="K603" s="35">
        <v>30465</v>
      </c>
      <c r="L603" s="35">
        <v>40312</v>
      </c>
      <c r="M603" s="35">
        <v>31970</v>
      </c>
      <c r="N603" s="35">
        <v>24857</v>
      </c>
      <c r="O603" s="35">
        <v>140436</v>
      </c>
      <c r="P603" s="35">
        <v>33729</v>
      </c>
      <c r="Q603" s="35">
        <v>49066</v>
      </c>
      <c r="R603" s="35">
        <v>21133</v>
      </c>
      <c r="S603" s="35">
        <v>27772</v>
      </c>
      <c r="T603" s="35">
        <v>38032</v>
      </c>
      <c r="U603" s="35">
        <v>23685</v>
      </c>
      <c r="V603" s="35">
        <f t="shared" ref="V603:V607" si="586">SUM(B603:U603)</f>
        <v>1025697</v>
      </c>
      <c r="W603" s="35">
        <f t="shared" ref="W603:AP603" si="587">B603-B600</f>
        <v>2016</v>
      </c>
      <c r="X603" s="35">
        <f t="shared" si="587"/>
        <v>980</v>
      </c>
      <c r="Y603" s="35">
        <f t="shared" si="587"/>
        <v>1044</v>
      </c>
      <c r="Z603" s="35">
        <f t="shared" si="587"/>
        <v>1856</v>
      </c>
      <c r="AA603" s="35">
        <f t="shared" si="587"/>
        <v>4020</v>
      </c>
      <c r="AB603" s="35">
        <f t="shared" si="587"/>
        <v>1667</v>
      </c>
      <c r="AC603" s="35">
        <f t="shared" si="587"/>
        <v>1000</v>
      </c>
      <c r="AD603" s="35">
        <f t="shared" si="587"/>
        <v>1252</v>
      </c>
      <c r="AE603" s="35">
        <f t="shared" si="587"/>
        <v>1901</v>
      </c>
      <c r="AF603" s="35">
        <f t="shared" si="587"/>
        <v>701</v>
      </c>
      <c r="AG603" s="35">
        <f t="shared" si="587"/>
        <v>1425</v>
      </c>
      <c r="AH603" s="35">
        <f t="shared" si="587"/>
        <v>528</v>
      </c>
      <c r="AI603" s="35">
        <f t="shared" si="587"/>
        <v>500</v>
      </c>
      <c r="AJ603" s="35">
        <f t="shared" si="587"/>
        <v>3476</v>
      </c>
      <c r="AK603" s="35">
        <f t="shared" si="587"/>
        <v>691</v>
      </c>
      <c r="AL603" s="35">
        <f t="shared" si="587"/>
        <v>1236</v>
      </c>
      <c r="AM603" s="35">
        <f t="shared" si="587"/>
        <v>498</v>
      </c>
      <c r="AN603" s="35">
        <f t="shared" si="587"/>
        <v>649</v>
      </c>
      <c r="AO603" s="35">
        <f t="shared" si="587"/>
        <v>869</v>
      </c>
      <c r="AP603" s="35">
        <f t="shared" si="587"/>
        <v>900</v>
      </c>
    </row>
    <row r="604" spans="1:42" ht="13">
      <c r="A604" s="36">
        <v>44523</v>
      </c>
      <c r="B604" s="35">
        <v>53464</v>
      </c>
      <c r="C604" s="35">
        <v>38012</v>
      </c>
      <c r="D604" s="35">
        <v>32565</v>
      </c>
      <c r="E604" s="35">
        <v>64063</v>
      </c>
      <c r="F604" s="35">
        <v>180211</v>
      </c>
      <c r="G604" s="35">
        <v>47177</v>
      </c>
      <c r="H604" s="35">
        <v>43454</v>
      </c>
      <c r="I604" s="35">
        <v>52374</v>
      </c>
      <c r="J604" s="35">
        <v>56214</v>
      </c>
      <c r="K604" s="35">
        <v>30710</v>
      </c>
      <c r="L604" s="35">
        <v>40931</v>
      </c>
      <c r="M604" s="35">
        <v>32143</v>
      </c>
      <c r="N604" s="35">
        <v>24997</v>
      </c>
      <c r="O604" s="35">
        <v>141265</v>
      </c>
      <c r="P604" s="35">
        <v>33818</v>
      </c>
      <c r="Q604" s="35">
        <v>49499</v>
      </c>
      <c r="R604" s="35">
        <v>21309</v>
      </c>
      <c r="S604" s="35">
        <v>27897</v>
      </c>
      <c r="T604" s="35">
        <v>38265</v>
      </c>
      <c r="U604" s="35">
        <v>23847</v>
      </c>
      <c r="V604" s="35">
        <f t="shared" si="586"/>
        <v>1032215</v>
      </c>
      <c r="W604" s="35">
        <f t="shared" ref="W604:AP604" si="588">B604-B603</f>
        <v>479</v>
      </c>
      <c r="X604" s="35">
        <f t="shared" si="588"/>
        <v>346</v>
      </c>
      <c r="Y604" s="35">
        <f t="shared" si="588"/>
        <v>267</v>
      </c>
      <c r="Z604" s="35">
        <f t="shared" si="588"/>
        <v>209</v>
      </c>
      <c r="AA604" s="35">
        <f t="shared" si="588"/>
        <v>1010</v>
      </c>
      <c r="AB604" s="35">
        <f t="shared" si="588"/>
        <v>230</v>
      </c>
      <c r="AC604" s="35">
        <f t="shared" si="588"/>
        <v>192</v>
      </c>
      <c r="AD604" s="35">
        <f t="shared" si="588"/>
        <v>187</v>
      </c>
      <c r="AE604" s="35">
        <f t="shared" si="588"/>
        <v>374</v>
      </c>
      <c r="AF604" s="35">
        <f t="shared" si="588"/>
        <v>245</v>
      </c>
      <c r="AG604" s="35">
        <f t="shared" si="588"/>
        <v>619</v>
      </c>
      <c r="AH604" s="35">
        <f t="shared" si="588"/>
        <v>173</v>
      </c>
      <c r="AI604" s="35">
        <f t="shared" si="588"/>
        <v>140</v>
      </c>
      <c r="AJ604" s="35">
        <f t="shared" si="588"/>
        <v>829</v>
      </c>
      <c r="AK604" s="35">
        <f t="shared" si="588"/>
        <v>89</v>
      </c>
      <c r="AL604" s="35">
        <f t="shared" si="588"/>
        <v>433</v>
      </c>
      <c r="AM604" s="35">
        <f t="shared" si="588"/>
        <v>176</v>
      </c>
      <c r="AN604" s="35">
        <f t="shared" si="588"/>
        <v>125</v>
      </c>
      <c r="AO604" s="35">
        <f t="shared" si="588"/>
        <v>233</v>
      </c>
      <c r="AP604" s="35">
        <f t="shared" si="588"/>
        <v>162</v>
      </c>
    </row>
    <row r="605" spans="1:42" ht="13">
      <c r="A605" s="36">
        <v>44524</v>
      </c>
      <c r="B605" s="35">
        <v>54334</v>
      </c>
      <c r="C605" s="35">
        <v>38684</v>
      </c>
      <c r="D605" s="35">
        <v>33012</v>
      </c>
      <c r="E605" s="35">
        <v>64905</v>
      </c>
      <c r="F605" s="35">
        <v>182195</v>
      </c>
      <c r="G605" s="35">
        <v>47639</v>
      </c>
      <c r="H605" s="35">
        <v>43923</v>
      </c>
      <c r="I605" s="35">
        <v>52779</v>
      </c>
      <c r="J605" s="35">
        <v>56884</v>
      </c>
      <c r="K605" s="35">
        <v>31060</v>
      </c>
      <c r="L605" s="35">
        <v>41550</v>
      </c>
      <c r="M605" s="35">
        <v>32319</v>
      </c>
      <c r="N605" s="35">
        <v>25234</v>
      </c>
      <c r="O605" s="35">
        <v>143075</v>
      </c>
      <c r="P605" s="35">
        <v>34154</v>
      </c>
      <c r="Q605" s="35">
        <v>50238</v>
      </c>
      <c r="R605" s="35">
        <v>21570</v>
      </c>
      <c r="S605" s="35">
        <v>28268</v>
      </c>
      <c r="T605" s="35">
        <v>38730</v>
      </c>
      <c r="U605" s="35">
        <v>24299</v>
      </c>
      <c r="V605" s="35">
        <f t="shared" si="586"/>
        <v>1044852</v>
      </c>
      <c r="W605" s="35">
        <f t="shared" ref="W605:AP605" si="589">B605-B604</f>
        <v>870</v>
      </c>
      <c r="X605" s="35">
        <f t="shared" si="589"/>
        <v>672</v>
      </c>
      <c r="Y605" s="35">
        <f t="shared" si="589"/>
        <v>447</v>
      </c>
      <c r="Z605" s="35">
        <f t="shared" si="589"/>
        <v>842</v>
      </c>
      <c r="AA605" s="35">
        <f t="shared" si="589"/>
        <v>1984</v>
      </c>
      <c r="AB605" s="35">
        <f t="shared" si="589"/>
        <v>462</v>
      </c>
      <c r="AC605" s="35">
        <f t="shared" si="589"/>
        <v>469</v>
      </c>
      <c r="AD605" s="35">
        <f t="shared" si="589"/>
        <v>405</v>
      </c>
      <c r="AE605" s="35">
        <f t="shared" si="589"/>
        <v>670</v>
      </c>
      <c r="AF605" s="35">
        <f t="shared" si="589"/>
        <v>350</v>
      </c>
      <c r="AG605" s="35">
        <f t="shared" si="589"/>
        <v>619</v>
      </c>
      <c r="AH605" s="35">
        <f t="shared" si="589"/>
        <v>176</v>
      </c>
      <c r="AI605" s="35">
        <f t="shared" si="589"/>
        <v>237</v>
      </c>
      <c r="AJ605" s="35">
        <f t="shared" si="589"/>
        <v>1810</v>
      </c>
      <c r="AK605" s="35">
        <f t="shared" si="589"/>
        <v>336</v>
      </c>
      <c r="AL605" s="35">
        <f t="shared" si="589"/>
        <v>739</v>
      </c>
      <c r="AM605" s="35">
        <f t="shared" si="589"/>
        <v>261</v>
      </c>
      <c r="AN605" s="35">
        <f t="shared" si="589"/>
        <v>371</v>
      </c>
      <c r="AO605" s="35">
        <f t="shared" si="589"/>
        <v>465</v>
      </c>
      <c r="AP605" s="35">
        <f t="shared" si="589"/>
        <v>452</v>
      </c>
    </row>
    <row r="606" spans="1:42" ht="13">
      <c r="A606" s="36">
        <v>44525</v>
      </c>
      <c r="B606" s="35">
        <v>55121</v>
      </c>
      <c r="C606" s="35">
        <v>39204</v>
      </c>
      <c r="D606" s="35">
        <v>33374</v>
      </c>
      <c r="E606" s="35">
        <v>65784</v>
      </c>
      <c r="F606" s="35">
        <v>183974</v>
      </c>
      <c r="G606" s="35">
        <v>48251</v>
      </c>
      <c r="H606" s="35">
        <v>44405</v>
      </c>
      <c r="I606" s="35">
        <v>53271</v>
      </c>
      <c r="J606" s="35">
        <v>57565</v>
      </c>
      <c r="K606" s="35">
        <v>31402</v>
      </c>
      <c r="L606" s="35">
        <v>42186</v>
      </c>
      <c r="M606" s="35">
        <v>32541</v>
      </c>
      <c r="N606" s="35">
        <v>25484</v>
      </c>
      <c r="O606" s="35">
        <v>144635</v>
      </c>
      <c r="P606" s="35">
        <v>34481</v>
      </c>
      <c r="Q606" s="35">
        <v>50878</v>
      </c>
      <c r="R606" s="35">
        <v>21856</v>
      </c>
      <c r="S606" s="35">
        <v>28569</v>
      </c>
      <c r="T606" s="35">
        <v>39343</v>
      </c>
      <c r="U606" s="35">
        <v>24693</v>
      </c>
      <c r="V606" s="35">
        <f t="shared" si="586"/>
        <v>1057017</v>
      </c>
      <c r="W606" s="35">
        <f t="shared" ref="W606:AP606" si="590">B606-B605</f>
        <v>787</v>
      </c>
      <c r="X606" s="35">
        <f t="shared" si="590"/>
        <v>520</v>
      </c>
      <c r="Y606" s="35">
        <f t="shared" si="590"/>
        <v>362</v>
      </c>
      <c r="Z606" s="35">
        <f t="shared" si="590"/>
        <v>879</v>
      </c>
      <c r="AA606" s="35">
        <f t="shared" si="590"/>
        <v>1779</v>
      </c>
      <c r="AB606" s="35">
        <f t="shared" si="590"/>
        <v>612</v>
      </c>
      <c r="AC606" s="35">
        <f t="shared" si="590"/>
        <v>482</v>
      </c>
      <c r="AD606" s="35">
        <f t="shared" si="590"/>
        <v>492</v>
      </c>
      <c r="AE606" s="35">
        <f t="shared" si="590"/>
        <v>681</v>
      </c>
      <c r="AF606" s="35">
        <f t="shared" si="590"/>
        <v>342</v>
      </c>
      <c r="AG606" s="35">
        <f t="shared" si="590"/>
        <v>636</v>
      </c>
      <c r="AH606" s="35">
        <f t="shared" si="590"/>
        <v>222</v>
      </c>
      <c r="AI606" s="35">
        <f t="shared" si="590"/>
        <v>250</v>
      </c>
      <c r="AJ606" s="35">
        <f t="shared" si="590"/>
        <v>1560</v>
      </c>
      <c r="AK606" s="35">
        <f t="shared" si="590"/>
        <v>327</v>
      </c>
      <c r="AL606" s="35">
        <f t="shared" si="590"/>
        <v>640</v>
      </c>
      <c r="AM606" s="35">
        <f t="shared" si="590"/>
        <v>286</v>
      </c>
      <c r="AN606" s="35">
        <f t="shared" si="590"/>
        <v>301</v>
      </c>
      <c r="AO606" s="35">
        <f t="shared" si="590"/>
        <v>613</v>
      </c>
      <c r="AP606" s="35">
        <f t="shared" si="590"/>
        <v>394</v>
      </c>
    </row>
    <row r="607" spans="1:42" ht="13">
      <c r="A607" s="36">
        <v>44526</v>
      </c>
      <c r="B607" s="35">
        <v>55950</v>
      </c>
      <c r="C607" s="35">
        <v>39708</v>
      </c>
      <c r="D607" s="35">
        <v>33800</v>
      </c>
      <c r="E607" s="35">
        <v>66601</v>
      </c>
      <c r="F607" s="35">
        <v>185592</v>
      </c>
      <c r="G607" s="35">
        <v>48881</v>
      </c>
      <c r="H607" s="35">
        <v>44850</v>
      </c>
      <c r="I607" s="35">
        <v>53937</v>
      </c>
      <c r="J607" s="35">
        <v>58364</v>
      </c>
      <c r="K607" s="35">
        <v>31745</v>
      </c>
      <c r="L607" s="35">
        <v>42710</v>
      </c>
      <c r="M607" s="35">
        <v>32784</v>
      </c>
      <c r="N607" s="35">
        <v>25647</v>
      </c>
      <c r="O607" s="35">
        <v>145969</v>
      </c>
      <c r="P607" s="35">
        <v>34826</v>
      </c>
      <c r="Q607" s="35">
        <v>51629</v>
      </c>
      <c r="R607" s="35">
        <v>22122</v>
      </c>
      <c r="S607" s="35">
        <v>28860</v>
      </c>
      <c r="T607" s="35">
        <v>39919</v>
      </c>
      <c r="U607" s="35">
        <v>24994</v>
      </c>
      <c r="V607" s="35">
        <f t="shared" si="586"/>
        <v>1068888</v>
      </c>
      <c r="W607" s="35">
        <f t="shared" ref="W607:AP607" si="591">B607-B606</f>
        <v>829</v>
      </c>
      <c r="X607" s="35">
        <f t="shared" si="591"/>
        <v>504</v>
      </c>
      <c r="Y607" s="35">
        <f t="shared" si="591"/>
        <v>426</v>
      </c>
      <c r="Z607" s="35">
        <f t="shared" si="591"/>
        <v>817</v>
      </c>
      <c r="AA607" s="35">
        <f t="shared" si="591"/>
        <v>1618</v>
      </c>
      <c r="AB607" s="35">
        <f t="shared" si="591"/>
        <v>630</v>
      </c>
      <c r="AC607" s="35">
        <f t="shared" si="591"/>
        <v>445</v>
      </c>
      <c r="AD607" s="35">
        <f t="shared" si="591"/>
        <v>666</v>
      </c>
      <c r="AE607" s="35">
        <f t="shared" si="591"/>
        <v>799</v>
      </c>
      <c r="AF607" s="35">
        <f t="shared" si="591"/>
        <v>343</v>
      </c>
      <c r="AG607" s="35">
        <f t="shared" si="591"/>
        <v>524</v>
      </c>
      <c r="AH607" s="35">
        <f t="shared" si="591"/>
        <v>243</v>
      </c>
      <c r="AI607" s="35">
        <f t="shared" si="591"/>
        <v>163</v>
      </c>
      <c r="AJ607" s="35">
        <f t="shared" si="591"/>
        <v>1334</v>
      </c>
      <c r="AK607" s="35">
        <f t="shared" si="591"/>
        <v>345</v>
      </c>
      <c r="AL607" s="35">
        <f t="shared" si="591"/>
        <v>751</v>
      </c>
      <c r="AM607" s="35">
        <f t="shared" si="591"/>
        <v>266</v>
      </c>
      <c r="AN607" s="35">
        <f t="shared" si="591"/>
        <v>291</v>
      </c>
      <c r="AO607" s="35">
        <f t="shared" si="591"/>
        <v>576</v>
      </c>
      <c r="AP607" s="35">
        <f t="shared" si="591"/>
        <v>301</v>
      </c>
    </row>
    <row r="608" spans="1:42" ht="13">
      <c r="A608" s="36">
        <v>44527</v>
      </c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</row>
    <row r="609" spans="1:42" ht="13">
      <c r="A609" s="36">
        <v>44528</v>
      </c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</row>
    <row r="610" spans="1:42" ht="13">
      <c r="A610" s="36">
        <v>44529</v>
      </c>
      <c r="B610" s="35">
        <v>57866</v>
      </c>
      <c r="C610" s="35">
        <v>40754</v>
      </c>
      <c r="D610" s="35">
        <v>34663</v>
      </c>
      <c r="E610" s="35">
        <v>68463</v>
      </c>
      <c r="F610" s="35">
        <v>189244</v>
      </c>
      <c r="G610" s="35">
        <v>50362</v>
      </c>
      <c r="H610" s="35">
        <v>45969</v>
      </c>
      <c r="I610" s="35">
        <v>55188</v>
      </c>
      <c r="J610" s="35">
        <v>60025</v>
      </c>
      <c r="K610" s="35">
        <v>32593</v>
      </c>
      <c r="L610" s="35">
        <v>44054</v>
      </c>
      <c r="M610" s="35">
        <v>33409</v>
      </c>
      <c r="N610" s="35">
        <v>26246</v>
      </c>
      <c r="O610" s="35">
        <v>149375</v>
      </c>
      <c r="P610" s="35">
        <v>35529</v>
      </c>
      <c r="Q610" s="35">
        <v>53350</v>
      </c>
      <c r="R610" s="35">
        <v>22781</v>
      </c>
      <c r="S610" s="35">
        <v>29545</v>
      </c>
      <c r="T610" s="35">
        <v>41168</v>
      </c>
      <c r="U610" s="35">
        <v>26134</v>
      </c>
      <c r="V610" s="35">
        <f t="shared" ref="V610:V614" si="592">SUM(B610:U610)</f>
        <v>1096718</v>
      </c>
      <c r="W610" s="35">
        <f t="shared" ref="W610:AP610" si="593">B610-B607</f>
        <v>1916</v>
      </c>
      <c r="X610" s="35">
        <f t="shared" si="593"/>
        <v>1046</v>
      </c>
      <c r="Y610" s="35">
        <f t="shared" si="593"/>
        <v>863</v>
      </c>
      <c r="Z610" s="35">
        <f t="shared" si="593"/>
        <v>1862</v>
      </c>
      <c r="AA610" s="35">
        <f t="shared" si="593"/>
        <v>3652</v>
      </c>
      <c r="AB610" s="35">
        <f t="shared" si="593"/>
        <v>1481</v>
      </c>
      <c r="AC610" s="35">
        <f t="shared" si="593"/>
        <v>1119</v>
      </c>
      <c r="AD610" s="35">
        <f t="shared" si="593"/>
        <v>1251</v>
      </c>
      <c r="AE610" s="35">
        <f t="shared" si="593"/>
        <v>1661</v>
      </c>
      <c r="AF610" s="35">
        <f t="shared" si="593"/>
        <v>848</v>
      </c>
      <c r="AG610" s="35">
        <f t="shared" si="593"/>
        <v>1344</v>
      </c>
      <c r="AH610" s="35">
        <f t="shared" si="593"/>
        <v>625</v>
      </c>
      <c r="AI610" s="35">
        <f t="shared" si="593"/>
        <v>599</v>
      </c>
      <c r="AJ610" s="35">
        <f t="shared" si="593"/>
        <v>3406</v>
      </c>
      <c r="AK610" s="35">
        <f t="shared" si="593"/>
        <v>703</v>
      </c>
      <c r="AL610" s="35">
        <f t="shared" si="593"/>
        <v>1721</v>
      </c>
      <c r="AM610" s="35">
        <f t="shared" si="593"/>
        <v>659</v>
      </c>
      <c r="AN610" s="35">
        <f t="shared" si="593"/>
        <v>685</v>
      </c>
      <c r="AO610" s="35">
        <f t="shared" si="593"/>
        <v>1249</v>
      </c>
      <c r="AP610" s="35">
        <f t="shared" si="593"/>
        <v>1140</v>
      </c>
    </row>
    <row r="611" spans="1:42" ht="13">
      <c r="A611" s="36">
        <v>44530</v>
      </c>
      <c r="B611" s="35">
        <v>58235</v>
      </c>
      <c r="C611" s="35">
        <v>41141</v>
      </c>
      <c r="D611" s="35">
        <v>34862</v>
      </c>
      <c r="E611" s="35">
        <v>68626</v>
      </c>
      <c r="F611" s="35">
        <v>190074</v>
      </c>
      <c r="G611" s="35">
        <v>50566</v>
      </c>
      <c r="H611" s="35">
        <v>46083</v>
      </c>
      <c r="I611" s="35">
        <v>55563</v>
      </c>
      <c r="J611" s="35">
        <v>60467</v>
      </c>
      <c r="K611" s="35">
        <v>32863</v>
      </c>
      <c r="L611" s="35">
        <v>44449</v>
      </c>
      <c r="M611" s="35">
        <v>33681</v>
      </c>
      <c r="N611" s="35">
        <v>26348</v>
      </c>
      <c r="O611" s="35">
        <v>150190</v>
      </c>
      <c r="P611" s="35">
        <v>35645</v>
      </c>
      <c r="Q611" s="35">
        <v>53787</v>
      </c>
      <c r="R611" s="35">
        <v>22945</v>
      </c>
      <c r="S611" s="35">
        <v>29739</v>
      </c>
      <c r="T611" s="35">
        <v>41522</v>
      </c>
      <c r="U611" s="35">
        <v>26322</v>
      </c>
      <c r="V611" s="35">
        <f t="shared" si="592"/>
        <v>1103108</v>
      </c>
      <c r="W611" s="35">
        <f t="shared" ref="W611:AP611" si="594">B611-B610</f>
        <v>369</v>
      </c>
      <c r="X611" s="35">
        <f t="shared" si="594"/>
        <v>387</v>
      </c>
      <c r="Y611" s="35">
        <f t="shared" si="594"/>
        <v>199</v>
      </c>
      <c r="Z611" s="35">
        <f t="shared" si="594"/>
        <v>163</v>
      </c>
      <c r="AA611" s="35">
        <f t="shared" si="594"/>
        <v>830</v>
      </c>
      <c r="AB611" s="35">
        <f t="shared" si="594"/>
        <v>204</v>
      </c>
      <c r="AC611" s="35">
        <f t="shared" si="594"/>
        <v>114</v>
      </c>
      <c r="AD611" s="35">
        <f t="shared" si="594"/>
        <v>375</v>
      </c>
      <c r="AE611" s="35">
        <f t="shared" si="594"/>
        <v>442</v>
      </c>
      <c r="AF611" s="35">
        <f t="shared" si="594"/>
        <v>270</v>
      </c>
      <c r="AG611" s="35">
        <f t="shared" si="594"/>
        <v>395</v>
      </c>
      <c r="AH611" s="35">
        <f t="shared" si="594"/>
        <v>272</v>
      </c>
      <c r="AI611" s="35">
        <f t="shared" si="594"/>
        <v>102</v>
      </c>
      <c r="AJ611" s="35">
        <f t="shared" si="594"/>
        <v>815</v>
      </c>
      <c r="AK611" s="35">
        <f t="shared" si="594"/>
        <v>116</v>
      </c>
      <c r="AL611" s="35">
        <f t="shared" si="594"/>
        <v>437</v>
      </c>
      <c r="AM611" s="35">
        <f t="shared" si="594"/>
        <v>164</v>
      </c>
      <c r="AN611" s="35">
        <f t="shared" si="594"/>
        <v>194</v>
      </c>
      <c r="AO611" s="35">
        <f t="shared" si="594"/>
        <v>354</v>
      </c>
      <c r="AP611" s="35">
        <f t="shared" si="594"/>
        <v>188</v>
      </c>
    </row>
    <row r="612" spans="1:42" ht="13">
      <c r="A612" s="36">
        <v>44531</v>
      </c>
      <c r="B612" s="35">
        <v>59047</v>
      </c>
      <c r="C612" s="35">
        <v>41694</v>
      </c>
      <c r="D612" s="35">
        <v>35207</v>
      </c>
      <c r="E612" s="35">
        <v>69228</v>
      </c>
      <c r="F612" s="35">
        <v>191594</v>
      </c>
      <c r="G612" s="35">
        <v>50896</v>
      </c>
      <c r="H612" s="35">
        <v>46544</v>
      </c>
      <c r="I612" s="35">
        <v>55808</v>
      </c>
      <c r="J612" s="35">
        <v>61021</v>
      </c>
      <c r="K612" s="35">
        <v>33140</v>
      </c>
      <c r="L612" s="35">
        <v>45105</v>
      </c>
      <c r="M612" s="35">
        <v>34047</v>
      </c>
      <c r="N612" s="35">
        <v>26527</v>
      </c>
      <c r="O612" s="35">
        <v>151792</v>
      </c>
      <c r="P612" s="35">
        <v>35923</v>
      </c>
      <c r="Q612" s="35">
        <v>54455</v>
      </c>
      <c r="R612" s="35">
        <v>23206</v>
      </c>
      <c r="S612" s="35">
        <v>30130</v>
      </c>
      <c r="T612" s="35">
        <v>42081</v>
      </c>
      <c r="U612" s="35">
        <v>26815</v>
      </c>
      <c r="V612" s="35">
        <f t="shared" si="592"/>
        <v>1114260</v>
      </c>
      <c r="W612" s="35">
        <f t="shared" ref="W612:AP612" si="595">B612-B611</f>
        <v>812</v>
      </c>
      <c r="X612" s="35">
        <f t="shared" si="595"/>
        <v>553</v>
      </c>
      <c r="Y612" s="35">
        <f t="shared" si="595"/>
        <v>345</v>
      </c>
      <c r="Z612" s="35">
        <f t="shared" si="595"/>
        <v>602</v>
      </c>
      <c r="AA612" s="35">
        <f t="shared" si="595"/>
        <v>1520</v>
      </c>
      <c r="AB612" s="35">
        <f t="shared" si="595"/>
        <v>330</v>
      </c>
      <c r="AC612" s="35">
        <f t="shared" si="595"/>
        <v>461</v>
      </c>
      <c r="AD612" s="35">
        <f t="shared" si="595"/>
        <v>245</v>
      </c>
      <c r="AE612" s="35">
        <f t="shared" si="595"/>
        <v>554</v>
      </c>
      <c r="AF612" s="35">
        <f t="shared" si="595"/>
        <v>277</v>
      </c>
      <c r="AG612" s="35">
        <f t="shared" si="595"/>
        <v>656</v>
      </c>
      <c r="AH612" s="35">
        <f t="shared" si="595"/>
        <v>366</v>
      </c>
      <c r="AI612" s="35">
        <f t="shared" si="595"/>
        <v>179</v>
      </c>
      <c r="AJ612" s="35">
        <f t="shared" si="595"/>
        <v>1602</v>
      </c>
      <c r="AK612" s="35">
        <f t="shared" si="595"/>
        <v>278</v>
      </c>
      <c r="AL612" s="35">
        <f t="shared" si="595"/>
        <v>668</v>
      </c>
      <c r="AM612" s="35">
        <f t="shared" si="595"/>
        <v>261</v>
      </c>
      <c r="AN612" s="35">
        <f t="shared" si="595"/>
        <v>391</v>
      </c>
      <c r="AO612" s="35">
        <f t="shared" si="595"/>
        <v>559</v>
      </c>
      <c r="AP612" s="35">
        <f t="shared" si="595"/>
        <v>493</v>
      </c>
    </row>
    <row r="613" spans="1:42" ht="13">
      <c r="A613" s="36">
        <v>44532</v>
      </c>
      <c r="B613" s="35">
        <v>59651</v>
      </c>
      <c r="C613" s="35">
        <v>42229</v>
      </c>
      <c r="D613" s="35">
        <v>35508</v>
      </c>
      <c r="E613" s="35">
        <v>69982</v>
      </c>
      <c r="F613" s="35">
        <v>193153</v>
      </c>
      <c r="G613" s="35">
        <v>51410</v>
      </c>
      <c r="H613" s="35">
        <v>46899</v>
      </c>
      <c r="I613" s="35">
        <v>56223</v>
      </c>
      <c r="J613" s="35">
        <v>61655</v>
      </c>
      <c r="K613" s="35">
        <v>33486</v>
      </c>
      <c r="L613" s="35">
        <v>45483</v>
      </c>
      <c r="M613" s="35">
        <v>34264</v>
      </c>
      <c r="N613" s="35">
        <v>26748</v>
      </c>
      <c r="O613" s="35">
        <v>153152</v>
      </c>
      <c r="P613" s="35">
        <v>36170</v>
      </c>
      <c r="Q613" s="35">
        <v>55064</v>
      </c>
      <c r="R613" s="35">
        <v>23453</v>
      </c>
      <c r="S613" s="35">
        <v>30419</v>
      </c>
      <c r="T613" s="35">
        <v>42584</v>
      </c>
      <c r="U613" s="35">
        <v>27193</v>
      </c>
      <c r="V613" s="35">
        <f t="shared" si="592"/>
        <v>1124726</v>
      </c>
      <c r="W613" s="35">
        <f t="shared" ref="W613:AP613" si="596">B613-B612</f>
        <v>604</v>
      </c>
      <c r="X613" s="35">
        <f t="shared" si="596"/>
        <v>535</v>
      </c>
      <c r="Y613" s="35">
        <f t="shared" si="596"/>
        <v>301</v>
      </c>
      <c r="Z613" s="35">
        <f t="shared" si="596"/>
        <v>754</v>
      </c>
      <c r="AA613" s="35">
        <f t="shared" si="596"/>
        <v>1559</v>
      </c>
      <c r="AB613" s="35">
        <f t="shared" si="596"/>
        <v>514</v>
      </c>
      <c r="AC613" s="35">
        <f t="shared" si="596"/>
        <v>355</v>
      </c>
      <c r="AD613" s="35">
        <f t="shared" si="596"/>
        <v>415</v>
      </c>
      <c r="AE613" s="35">
        <f t="shared" si="596"/>
        <v>634</v>
      </c>
      <c r="AF613" s="35">
        <f t="shared" si="596"/>
        <v>346</v>
      </c>
      <c r="AG613" s="35">
        <f t="shared" si="596"/>
        <v>378</v>
      </c>
      <c r="AH613" s="35">
        <f t="shared" si="596"/>
        <v>217</v>
      </c>
      <c r="AI613" s="35">
        <f t="shared" si="596"/>
        <v>221</v>
      </c>
      <c r="AJ613" s="35">
        <f t="shared" si="596"/>
        <v>1360</v>
      </c>
      <c r="AK613" s="35">
        <f t="shared" si="596"/>
        <v>247</v>
      </c>
      <c r="AL613" s="35">
        <f t="shared" si="596"/>
        <v>609</v>
      </c>
      <c r="AM613" s="35">
        <f t="shared" si="596"/>
        <v>247</v>
      </c>
      <c r="AN613" s="35">
        <f t="shared" si="596"/>
        <v>289</v>
      </c>
      <c r="AO613" s="35">
        <f t="shared" si="596"/>
        <v>503</v>
      </c>
      <c r="AP613" s="35">
        <f t="shared" si="596"/>
        <v>378</v>
      </c>
    </row>
    <row r="614" spans="1:42" ht="13">
      <c r="A614" s="36">
        <v>44533</v>
      </c>
      <c r="B614" s="35">
        <v>60305</v>
      </c>
      <c r="C614" s="35">
        <v>42617</v>
      </c>
      <c r="D614" s="35">
        <v>35778</v>
      </c>
      <c r="E614" s="35">
        <v>70648</v>
      </c>
      <c r="F614" s="35">
        <v>194419</v>
      </c>
      <c r="G614" s="35">
        <v>51823</v>
      </c>
      <c r="H614" s="35">
        <v>47342</v>
      </c>
      <c r="I614" s="35">
        <v>56632</v>
      </c>
      <c r="J614" s="35">
        <v>62295</v>
      </c>
      <c r="K614" s="35">
        <v>33775</v>
      </c>
      <c r="L614" s="35">
        <v>45878</v>
      </c>
      <c r="M614" s="35">
        <v>34654</v>
      </c>
      <c r="N614" s="35">
        <v>26899</v>
      </c>
      <c r="O614" s="35">
        <v>154381</v>
      </c>
      <c r="P614" s="35">
        <v>36434</v>
      </c>
      <c r="Q614" s="35">
        <v>55746</v>
      </c>
      <c r="R614" s="35">
        <v>23658</v>
      </c>
      <c r="S614" s="35">
        <v>30772</v>
      </c>
      <c r="T614" s="35">
        <v>43201</v>
      </c>
      <c r="U614" s="35">
        <v>27612</v>
      </c>
      <c r="V614" s="35">
        <f t="shared" si="592"/>
        <v>1134869</v>
      </c>
      <c r="W614" s="35">
        <f t="shared" ref="W614:AP614" si="597">B614-B613</f>
        <v>654</v>
      </c>
      <c r="X614" s="35">
        <f t="shared" si="597"/>
        <v>388</v>
      </c>
      <c r="Y614" s="35">
        <f t="shared" si="597"/>
        <v>270</v>
      </c>
      <c r="Z614" s="35">
        <f t="shared" si="597"/>
        <v>666</v>
      </c>
      <c r="AA614" s="35">
        <f t="shared" si="597"/>
        <v>1266</v>
      </c>
      <c r="AB614" s="35">
        <f t="shared" si="597"/>
        <v>413</v>
      </c>
      <c r="AC614" s="35">
        <f t="shared" si="597"/>
        <v>443</v>
      </c>
      <c r="AD614" s="35">
        <f t="shared" si="597"/>
        <v>409</v>
      </c>
      <c r="AE614" s="35">
        <f t="shared" si="597"/>
        <v>640</v>
      </c>
      <c r="AF614" s="35">
        <f t="shared" si="597"/>
        <v>289</v>
      </c>
      <c r="AG614" s="35">
        <f t="shared" si="597"/>
        <v>395</v>
      </c>
      <c r="AH614" s="35">
        <f t="shared" si="597"/>
        <v>390</v>
      </c>
      <c r="AI614" s="35">
        <f t="shared" si="597"/>
        <v>151</v>
      </c>
      <c r="AJ614" s="35">
        <f t="shared" si="597"/>
        <v>1229</v>
      </c>
      <c r="AK614" s="35">
        <f t="shared" si="597"/>
        <v>264</v>
      </c>
      <c r="AL614" s="35">
        <f t="shared" si="597"/>
        <v>682</v>
      </c>
      <c r="AM614" s="35">
        <f t="shared" si="597"/>
        <v>205</v>
      </c>
      <c r="AN614" s="35">
        <f t="shared" si="597"/>
        <v>353</v>
      </c>
      <c r="AO614" s="35">
        <f t="shared" si="597"/>
        <v>617</v>
      </c>
      <c r="AP614" s="35">
        <f t="shared" si="597"/>
        <v>419</v>
      </c>
    </row>
    <row r="615" spans="1:42" ht="13">
      <c r="A615" s="36">
        <v>44534</v>
      </c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</row>
    <row r="616" spans="1:42" ht="13">
      <c r="A616" s="36">
        <v>44535</v>
      </c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</row>
    <row r="617" spans="1:42" ht="13">
      <c r="A617" s="36">
        <v>44536</v>
      </c>
      <c r="B617" s="35">
        <v>61662</v>
      </c>
      <c r="C617" s="35">
        <v>43500</v>
      </c>
      <c r="D617" s="35">
        <v>36351</v>
      </c>
      <c r="E617" s="35">
        <v>72040</v>
      </c>
      <c r="F617" s="35">
        <v>197351</v>
      </c>
      <c r="G617" s="35">
        <v>52927</v>
      </c>
      <c r="H617" s="35">
        <v>48307</v>
      </c>
      <c r="I617" s="35">
        <v>57995</v>
      </c>
      <c r="J617" s="35">
        <v>63717</v>
      </c>
      <c r="K617" s="35">
        <v>34297</v>
      </c>
      <c r="L617" s="35">
        <v>46861</v>
      </c>
      <c r="M617" s="35">
        <v>35435</v>
      </c>
      <c r="N617" s="35">
        <v>27432</v>
      </c>
      <c r="O617" s="35">
        <v>157164</v>
      </c>
      <c r="P617" s="35">
        <v>37057</v>
      </c>
      <c r="Q617" s="35">
        <v>56992</v>
      </c>
      <c r="R617" s="35">
        <v>24147</v>
      </c>
      <c r="S617" s="35">
        <v>31463</v>
      </c>
      <c r="T617" s="35">
        <v>44455</v>
      </c>
      <c r="U617" s="35">
        <v>28414</v>
      </c>
      <c r="V617" s="35">
        <f t="shared" ref="V617:V621" si="598">SUM(B617:U617)</f>
        <v>1157567</v>
      </c>
      <c r="W617" s="35">
        <f t="shared" ref="W617:AP617" si="599">B617-B614</f>
        <v>1357</v>
      </c>
      <c r="X617" s="35">
        <f t="shared" si="599"/>
        <v>883</v>
      </c>
      <c r="Y617" s="35">
        <f t="shared" si="599"/>
        <v>573</v>
      </c>
      <c r="Z617" s="35">
        <f t="shared" si="599"/>
        <v>1392</v>
      </c>
      <c r="AA617" s="35">
        <f t="shared" si="599"/>
        <v>2932</v>
      </c>
      <c r="AB617" s="35">
        <f t="shared" si="599"/>
        <v>1104</v>
      </c>
      <c r="AC617" s="35">
        <f t="shared" si="599"/>
        <v>965</v>
      </c>
      <c r="AD617" s="35">
        <f t="shared" si="599"/>
        <v>1363</v>
      </c>
      <c r="AE617" s="35">
        <f t="shared" si="599"/>
        <v>1422</v>
      </c>
      <c r="AF617" s="35">
        <f t="shared" si="599"/>
        <v>522</v>
      </c>
      <c r="AG617" s="35">
        <f t="shared" si="599"/>
        <v>983</v>
      </c>
      <c r="AH617" s="35">
        <f t="shared" si="599"/>
        <v>781</v>
      </c>
      <c r="AI617" s="35">
        <f t="shared" si="599"/>
        <v>533</v>
      </c>
      <c r="AJ617" s="35">
        <f t="shared" si="599"/>
        <v>2783</v>
      </c>
      <c r="AK617" s="35">
        <f t="shared" si="599"/>
        <v>623</v>
      </c>
      <c r="AL617" s="35">
        <f t="shared" si="599"/>
        <v>1246</v>
      </c>
      <c r="AM617" s="35">
        <f t="shared" si="599"/>
        <v>489</v>
      </c>
      <c r="AN617" s="35">
        <f t="shared" si="599"/>
        <v>691</v>
      </c>
      <c r="AO617" s="35">
        <f t="shared" si="599"/>
        <v>1254</v>
      </c>
      <c r="AP617" s="35">
        <f t="shared" si="599"/>
        <v>802</v>
      </c>
    </row>
    <row r="618" spans="1:42" ht="13">
      <c r="A618" s="36">
        <v>44537</v>
      </c>
      <c r="B618" s="35">
        <v>61983</v>
      </c>
      <c r="C618" s="35">
        <v>43733</v>
      </c>
      <c r="D618" s="35">
        <v>36471</v>
      </c>
      <c r="E618" s="35">
        <v>72168</v>
      </c>
      <c r="F618" s="35">
        <v>197974</v>
      </c>
      <c r="G618" s="35">
        <v>53080</v>
      </c>
      <c r="H618" s="35">
        <v>48436</v>
      </c>
      <c r="I618" s="35">
        <v>58153</v>
      </c>
      <c r="J618" s="35">
        <v>63918</v>
      </c>
      <c r="K618" s="35">
        <v>34439</v>
      </c>
      <c r="L618" s="35">
        <v>47010</v>
      </c>
      <c r="M618" s="35">
        <v>35562</v>
      </c>
      <c r="N618" s="35">
        <v>27499</v>
      </c>
      <c r="O618" s="35">
        <v>157755</v>
      </c>
      <c r="P618" s="35">
        <v>37172</v>
      </c>
      <c r="Q618" s="35">
        <v>57310</v>
      </c>
      <c r="R618" s="35">
        <v>24276</v>
      </c>
      <c r="S618" s="35">
        <v>31612</v>
      </c>
      <c r="T618" s="35">
        <v>44743</v>
      </c>
      <c r="U618" s="35">
        <v>28585</v>
      </c>
      <c r="V618" s="35">
        <f t="shared" si="598"/>
        <v>1161879</v>
      </c>
      <c r="W618" s="35">
        <f t="shared" ref="W618:AP618" si="600">B618-B617</f>
        <v>321</v>
      </c>
      <c r="X618" s="35">
        <f t="shared" si="600"/>
        <v>233</v>
      </c>
      <c r="Y618" s="35">
        <f t="shared" si="600"/>
        <v>120</v>
      </c>
      <c r="Z618" s="35">
        <f t="shared" si="600"/>
        <v>128</v>
      </c>
      <c r="AA618" s="35">
        <f t="shared" si="600"/>
        <v>623</v>
      </c>
      <c r="AB618" s="35">
        <f t="shared" si="600"/>
        <v>153</v>
      </c>
      <c r="AC618" s="35">
        <f t="shared" si="600"/>
        <v>129</v>
      </c>
      <c r="AD618" s="35">
        <f t="shared" si="600"/>
        <v>158</v>
      </c>
      <c r="AE618" s="35">
        <f t="shared" si="600"/>
        <v>201</v>
      </c>
      <c r="AF618" s="35">
        <f t="shared" si="600"/>
        <v>142</v>
      </c>
      <c r="AG618" s="35">
        <f t="shared" si="600"/>
        <v>149</v>
      </c>
      <c r="AH618" s="35">
        <f t="shared" si="600"/>
        <v>127</v>
      </c>
      <c r="AI618" s="35">
        <f t="shared" si="600"/>
        <v>67</v>
      </c>
      <c r="AJ618" s="35">
        <f t="shared" si="600"/>
        <v>591</v>
      </c>
      <c r="AK618" s="35">
        <f t="shared" si="600"/>
        <v>115</v>
      </c>
      <c r="AL618" s="35">
        <f t="shared" si="600"/>
        <v>318</v>
      </c>
      <c r="AM618" s="35">
        <f t="shared" si="600"/>
        <v>129</v>
      </c>
      <c r="AN618" s="35">
        <f t="shared" si="600"/>
        <v>149</v>
      </c>
      <c r="AO618" s="35">
        <f t="shared" si="600"/>
        <v>288</v>
      </c>
      <c r="AP618" s="35">
        <f t="shared" si="600"/>
        <v>171</v>
      </c>
    </row>
    <row r="619" spans="1:42" ht="13">
      <c r="A619" s="36">
        <v>44538</v>
      </c>
      <c r="B619" s="35">
        <v>62394</v>
      </c>
      <c r="C619" s="35">
        <v>44100</v>
      </c>
      <c r="D619" s="35">
        <v>36654</v>
      </c>
      <c r="E619" s="35">
        <v>72573</v>
      </c>
      <c r="F619" s="35">
        <v>198968</v>
      </c>
      <c r="G619" s="35">
        <v>53283</v>
      </c>
      <c r="H619" s="35">
        <v>48697</v>
      </c>
      <c r="I619" s="35">
        <v>58492</v>
      </c>
      <c r="J619" s="35">
        <v>64227</v>
      </c>
      <c r="K619" s="35">
        <v>34605</v>
      </c>
      <c r="L619" s="35">
        <v>47181</v>
      </c>
      <c r="M619" s="35">
        <v>35753</v>
      </c>
      <c r="N619" s="35">
        <v>27702</v>
      </c>
      <c r="O619" s="35">
        <v>158650</v>
      </c>
      <c r="P619" s="35">
        <v>37358</v>
      </c>
      <c r="Q619" s="35">
        <v>57811</v>
      </c>
      <c r="R619" s="35">
        <v>24430</v>
      </c>
      <c r="S619" s="35">
        <v>31884</v>
      </c>
      <c r="T619" s="35">
        <v>45133</v>
      </c>
      <c r="U619" s="35">
        <v>28833</v>
      </c>
      <c r="V619" s="35">
        <f t="shared" si="598"/>
        <v>1168728</v>
      </c>
      <c r="W619" s="35">
        <f t="shared" ref="W619:AP619" si="601">B619-B618</f>
        <v>411</v>
      </c>
      <c r="X619" s="35">
        <f t="shared" si="601"/>
        <v>367</v>
      </c>
      <c r="Y619" s="35">
        <f t="shared" si="601"/>
        <v>183</v>
      </c>
      <c r="Z619" s="35">
        <f t="shared" si="601"/>
        <v>405</v>
      </c>
      <c r="AA619" s="35">
        <f t="shared" si="601"/>
        <v>994</v>
      </c>
      <c r="AB619" s="35">
        <f t="shared" si="601"/>
        <v>203</v>
      </c>
      <c r="AC619" s="35">
        <f t="shared" si="601"/>
        <v>261</v>
      </c>
      <c r="AD619" s="35">
        <f t="shared" si="601"/>
        <v>339</v>
      </c>
      <c r="AE619" s="35">
        <f t="shared" si="601"/>
        <v>309</v>
      </c>
      <c r="AF619" s="35">
        <f t="shared" si="601"/>
        <v>166</v>
      </c>
      <c r="AG619" s="35">
        <f t="shared" si="601"/>
        <v>171</v>
      </c>
      <c r="AH619" s="35">
        <f t="shared" si="601"/>
        <v>191</v>
      </c>
      <c r="AI619" s="35">
        <f t="shared" si="601"/>
        <v>203</v>
      </c>
      <c r="AJ619" s="35">
        <f t="shared" si="601"/>
        <v>895</v>
      </c>
      <c r="AK619" s="35">
        <f t="shared" si="601"/>
        <v>186</v>
      </c>
      <c r="AL619" s="35">
        <f t="shared" si="601"/>
        <v>501</v>
      </c>
      <c r="AM619" s="35">
        <f t="shared" si="601"/>
        <v>154</v>
      </c>
      <c r="AN619" s="35">
        <f t="shared" si="601"/>
        <v>272</v>
      </c>
      <c r="AO619" s="35">
        <f t="shared" si="601"/>
        <v>390</v>
      </c>
      <c r="AP619" s="35">
        <f t="shared" si="601"/>
        <v>248</v>
      </c>
    </row>
    <row r="620" spans="1:42" ht="13">
      <c r="A620" s="36">
        <v>44539</v>
      </c>
      <c r="B620" s="35">
        <v>62870</v>
      </c>
      <c r="C620" s="35">
        <v>44508</v>
      </c>
      <c r="D620" s="35">
        <v>36816</v>
      </c>
      <c r="E620" s="35">
        <v>72995</v>
      </c>
      <c r="F620" s="35">
        <v>199890</v>
      </c>
      <c r="G620" s="35">
        <v>53612</v>
      </c>
      <c r="H620" s="35">
        <v>48997</v>
      </c>
      <c r="I620" s="35">
        <v>58930</v>
      </c>
      <c r="J620" s="35">
        <v>64642</v>
      </c>
      <c r="K620" s="35">
        <v>34785</v>
      </c>
      <c r="L620" s="35">
        <v>47430</v>
      </c>
      <c r="M620" s="35">
        <v>35993</v>
      </c>
      <c r="N620" s="35">
        <v>27859</v>
      </c>
      <c r="O620" s="35">
        <v>159474</v>
      </c>
      <c r="P620" s="35">
        <v>37578</v>
      </c>
      <c r="Q620" s="35">
        <v>58384</v>
      </c>
      <c r="R620" s="35">
        <v>24606</v>
      </c>
      <c r="S620" s="35">
        <v>32064</v>
      </c>
      <c r="T620" s="35">
        <v>45513</v>
      </c>
      <c r="U620" s="35">
        <v>29092</v>
      </c>
      <c r="V620" s="35">
        <f t="shared" si="598"/>
        <v>1176038</v>
      </c>
      <c r="W620" s="35">
        <f t="shared" ref="W620:AP620" si="602">B620-B619</f>
        <v>476</v>
      </c>
      <c r="X620" s="35">
        <f t="shared" si="602"/>
        <v>408</v>
      </c>
      <c r="Y620" s="35">
        <f t="shared" si="602"/>
        <v>162</v>
      </c>
      <c r="Z620" s="35">
        <f t="shared" si="602"/>
        <v>422</v>
      </c>
      <c r="AA620" s="35">
        <f t="shared" si="602"/>
        <v>922</v>
      </c>
      <c r="AB620" s="35">
        <f t="shared" si="602"/>
        <v>329</v>
      </c>
      <c r="AC620" s="35">
        <f t="shared" si="602"/>
        <v>300</v>
      </c>
      <c r="AD620" s="35">
        <f t="shared" si="602"/>
        <v>438</v>
      </c>
      <c r="AE620" s="35">
        <f t="shared" si="602"/>
        <v>415</v>
      </c>
      <c r="AF620" s="35">
        <f t="shared" si="602"/>
        <v>180</v>
      </c>
      <c r="AG620" s="35">
        <f t="shared" si="602"/>
        <v>249</v>
      </c>
      <c r="AH620" s="35">
        <f t="shared" si="602"/>
        <v>240</v>
      </c>
      <c r="AI620" s="35">
        <f t="shared" si="602"/>
        <v>157</v>
      </c>
      <c r="AJ620" s="35">
        <f t="shared" si="602"/>
        <v>824</v>
      </c>
      <c r="AK620" s="35">
        <f t="shared" si="602"/>
        <v>220</v>
      </c>
      <c r="AL620" s="35">
        <f t="shared" si="602"/>
        <v>573</v>
      </c>
      <c r="AM620" s="35">
        <f t="shared" si="602"/>
        <v>176</v>
      </c>
      <c r="AN620" s="35">
        <f t="shared" si="602"/>
        <v>180</v>
      </c>
      <c r="AO620" s="35">
        <f t="shared" si="602"/>
        <v>380</v>
      </c>
      <c r="AP620" s="35">
        <f t="shared" si="602"/>
        <v>259</v>
      </c>
    </row>
    <row r="621" spans="1:42" ht="13">
      <c r="A621" s="36">
        <v>44540</v>
      </c>
      <c r="B621" s="35">
        <v>63309</v>
      </c>
      <c r="C621" s="35">
        <v>44844</v>
      </c>
      <c r="D621" s="35">
        <v>37014</v>
      </c>
      <c r="E621" s="35">
        <v>73337</v>
      </c>
      <c r="F621" s="35">
        <v>200640</v>
      </c>
      <c r="G621" s="35">
        <v>53971</v>
      </c>
      <c r="H621" s="35">
        <v>49287</v>
      </c>
      <c r="I621" s="35">
        <v>59322</v>
      </c>
      <c r="J621" s="35">
        <v>65084</v>
      </c>
      <c r="K621" s="35">
        <v>34910</v>
      </c>
      <c r="L621" s="35">
        <v>47703</v>
      </c>
      <c r="M621" s="35">
        <v>36175</v>
      </c>
      <c r="N621" s="35">
        <v>28010</v>
      </c>
      <c r="O621" s="35">
        <v>160219</v>
      </c>
      <c r="P621" s="35">
        <v>37790</v>
      </c>
      <c r="Q621" s="35">
        <v>58890</v>
      </c>
      <c r="R621" s="35">
        <v>24758</v>
      </c>
      <c r="S621" s="35">
        <v>32322</v>
      </c>
      <c r="T621" s="35">
        <v>45947</v>
      </c>
      <c r="U621" s="35">
        <v>29390</v>
      </c>
      <c r="V621" s="35">
        <f t="shared" si="598"/>
        <v>1182922</v>
      </c>
      <c r="W621" s="35">
        <f t="shared" ref="W621:AP621" si="603">B621-B620</f>
        <v>439</v>
      </c>
      <c r="X621" s="35">
        <f t="shared" si="603"/>
        <v>336</v>
      </c>
      <c r="Y621" s="35">
        <f t="shared" si="603"/>
        <v>198</v>
      </c>
      <c r="Z621" s="35">
        <f t="shared" si="603"/>
        <v>342</v>
      </c>
      <c r="AA621" s="35">
        <f t="shared" si="603"/>
        <v>750</v>
      </c>
      <c r="AB621" s="35">
        <f t="shared" si="603"/>
        <v>359</v>
      </c>
      <c r="AC621" s="35">
        <f t="shared" si="603"/>
        <v>290</v>
      </c>
      <c r="AD621" s="35">
        <f t="shared" si="603"/>
        <v>392</v>
      </c>
      <c r="AE621" s="35">
        <f t="shared" si="603"/>
        <v>442</v>
      </c>
      <c r="AF621" s="35">
        <f t="shared" si="603"/>
        <v>125</v>
      </c>
      <c r="AG621" s="35">
        <f t="shared" si="603"/>
        <v>273</v>
      </c>
      <c r="AH621" s="35">
        <f t="shared" si="603"/>
        <v>182</v>
      </c>
      <c r="AI621" s="35">
        <f t="shared" si="603"/>
        <v>151</v>
      </c>
      <c r="AJ621" s="35">
        <f t="shared" si="603"/>
        <v>745</v>
      </c>
      <c r="AK621" s="35">
        <f t="shared" si="603"/>
        <v>212</v>
      </c>
      <c r="AL621" s="35">
        <f t="shared" si="603"/>
        <v>506</v>
      </c>
      <c r="AM621" s="35">
        <f t="shared" si="603"/>
        <v>152</v>
      </c>
      <c r="AN621" s="35">
        <f t="shared" si="603"/>
        <v>258</v>
      </c>
      <c r="AO621" s="35">
        <f t="shared" si="603"/>
        <v>434</v>
      </c>
      <c r="AP621" s="35">
        <f t="shared" si="603"/>
        <v>298</v>
      </c>
    </row>
    <row r="622" spans="1:42" ht="13">
      <c r="A622" s="36">
        <v>44541</v>
      </c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</row>
    <row r="623" spans="1:42" ht="13">
      <c r="A623" s="36">
        <v>44542</v>
      </c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</row>
    <row r="624" spans="1:42" ht="13">
      <c r="A624" s="36">
        <v>44543</v>
      </c>
      <c r="B624" s="35">
        <v>64163</v>
      </c>
      <c r="C624" s="35">
        <v>45534</v>
      </c>
      <c r="D624" s="35">
        <v>37399</v>
      </c>
      <c r="E624" s="35">
        <v>74425</v>
      </c>
      <c r="F624" s="35">
        <v>202764</v>
      </c>
      <c r="G624" s="35">
        <v>54597</v>
      </c>
      <c r="H624" s="35">
        <v>49977</v>
      </c>
      <c r="I624" s="35">
        <v>60187</v>
      </c>
      <c r="J624" s="35">
        <v>66025</v>
      </c>
      <c r="K624" s="35">
        <v>35251</v>
      </c>
      <c r="L624" s="35">
        <v>48239</v>
      </c>
      <c r="M624" s="35">
        <v>36925</v>
      </c>
      <c r="N624" s="35">
        <v>28316</v>
      </c>
      <c r="O624" s="35">
        <v>162131</v>
      </c>
      <c r="P624" s="35">
        <v>38299</v>
      </c>
      <c r="Q624" s="35">
        <v>60042</v>
      </c>
      <c r="R624" s="35">
        <v>25191</v>
      </c>
      <c r="S624" s="35">
        <v>32835</v>
      </c>
      <c r="T624" s="35">
        <v>46621</v>
      </c>
      <c r="U624" s="35">
        <v>30018</v>
      </c>
      <c r="V624" s="35">
        <f t="shared" ref="V624:V628" si="604">SUM(B624:U624)</f>
        <v>1198939</v>
      </c>
      <c r="W624" s="35">
        <f t="shared" ref="W624:AP624" si="605">B624-B621</f>
        <v>854</v>
      </c>
      <c r="X624" s="35">
        <f t="shared" si="605"/>
        <v>690</v>
      </c>
      <c r="Y624" s="35">
        <f t="shared" si="605"/>
        <v>385</v>
      </c>
      <c r="Z624" s="35">
        <f t="shared" si="605"/>
        <v>1088</v>
      </c>
      <c r="AA624" s="35">
        <f t="shared" si="605"/>
        <v>2124</v>
      </c>
      <c r="AB624" s="35">
        <f t="shared" si="605"/>
        <v>626</v>
      </c>
      <c r="AC624" s="35">
        <f t="shared" si="605"/>
        <v>690</v>
      </c>
      <c r="AD624" s="35">
        <f t="shared" si="605"/>
        <v>865</v>
      </c>
      <c r="AE624" s="35">
        <f t="shared" si="605"/>
        <v>941</v>
      </c>
      <c r="AF624" s="35">
        <f t="shared" si="605"/>
        <v>341</v>
      </c>
      <c r="AG624" s="35">
        <f t="shared" si="605"/>
        <v>536</v>
      </c>
      <c r="AH624" s="35">
        <f t="shared" si="605"/>
        <v>750</v>
      </c>
      <c r="AI624" s="35">
        <f t="shared" si="605"/>
        <v>306</v>
      </c>
      <c r="AJ624" s="35">
        <f t="shared" si="605"/>
        <v>1912</v>
      </c>
      <c r="AK624" s="35">
        <f t="shared" si="605"/>
        <v>509</v>
      </c>
      <c r="AL624" s="35">
        <f t="shared" si="605"/>
        <v>1152</v>
      </c>
      <c r="AM624" s="35">
        <f t="shared" si="605"/>
        <v>433</v>
      </c>
      <c r="AN624" s="35">
        <f t="shared" si="605"/>
        <v>513</v>
      </c>
      <c r="AO624" s="35">
        <f t="shared" si="605"/>
        <v>674</v>
      </c>
      <c r="AP624" s="35">
        <f t="shared" si="605"/>
        <v>628</v>
      </c>
    </row>
    <row r="625" spans="1:42" ht="13">
      <c r="A625" s="36">
        <v>44544</v>
      </c>
      <c r="B625" s="35">
        <v>64424</v>
      </c>
      <c r="C625" s="35">
        <v>45678</v>
      </c>
      <c r="D625" s="35">
        <v>37495</v>
      </c>
      <c r="E625" s="35">
        <v>74533</v>
      </c>
      <c r="F625" s="35">
        <v>203262</v>
      </c>
      <c r="G625" s="35">
        <v>54720</v>
      </c>
      <c r="H625" s="35">
        <v>50074</v>
      </c>
      <c r="I625" s="35">
        <v>60319</v>
      </c>
      <c r="J625" s="35">
        <v>66224</v>
      </c>
      <c r="K625" s="35">
        <v>35350</v>
      </c>
      <c r="L625" s="35">
        <v>48424</v>
      </c>
      <c r="M625" s="35">
        <v>37012</v>
      </c>
      <c r="N625" s="35">
        <v>28368</v>
      </c>
      <c r="O625" s="35">
        <v>162614</v>
      </c>
      <c r="P625" s="35">
        <v>38372</v>
      </c>
      <c r="Q625" s="35">
        <v>60399</v>
      </c>
      <c r="R625" s="35">
        <v>25273</v>
      </c>
      <c r="S625" s="35">
        <v>32955</v>
      </c>
      <c r="T625" s="35">
        <v>46851</v>
      </c>
      <c r="U625" s="35">
        <v>30167</v>
      </c>
      <c r="V625" s="35">
        <f t="shared" si="604"/>
        <v>1202514</v>
      </c>
      <c r="W625" s="35">
        <f t="shared" ref="W625:AP625" si="606">B625-B624</f>
        <v>261</v>
      </c>
      <c r="X625" s="35">
        <f t="shared" si="606"/>
        <v>144</v>
      </c>
      <c r="Y625" s="35">
        <f t="shared" si="606"/>
        <v>96</v>
      </c>
      <c r="Z625" s="35">
        <f t="shared" si="606"/>
        <v>108</v>
      </c>
      <c r="AA625" s="35">
        <f t="shared" si="606"/>
        <v>498</v>
      </c>
      <c r="AB625" s="35">
        <f t="shared" si="606"/>
        <v>123</v>
      </c>
      <c r="AC625" s="35">
        <f t="shared" si="606"/>
        <v>97</v>
      </c>
      <c r="AD625" s="35">
        <f t="shared" si="606"/>
        <v>132</v>
      </c>
      <c r="AE625" s="35">
        <f t="shared" si="606"/>
        <v>199</v>
      </c>
      <c r="AF625" s="35">
        <f t="shared" si="606"/>
        <v>99</v>
      </c>
      <c r="AG625" s="35">
        <f t="shared" si="606"/>
        <v>185</v>
      </c>
      <c r="AH625" s="35">
        <f t="shared" si="606"/>
        <v>87</v>
      </c>
      <c r="AI625" s="35">
        <f t="shared" si="606"/>
        <v>52</v>
      </c>
      <c r="AJ625" s="35">
        <f t="shared" si="606"/>
        <v>483</v>
      </c>
      <c r="AK625" s="35">
        <f t="shared" si="606"/>
        <v>73</v>
      </c>
      <c r="AL625" s="35">
        <f t="shared" si="606"/>
        <v>357</v>
      </c>
      <c r="AM625" s="35">
        <f t="shared" si="606"/>
        <v>82</v>
      </c>
      <c r="AN625" s="35">
        <f t="shared" si="606"/>
        <v>120</v>
      </c>
      <c r="AO625" s="35">
        <f t="shared" si="606"/>
        <v>230</v>
      </c>
      <c r="AP625" s="35">
        <f t="shared" si="606"/>
        <v>149</v>
      </c>
    </row>
    <row r="626" spans="1:42" ht="13">
      <c r="A626" s="36">
        <v>44545</v>
      </c>
      <c r="B626" s="35">
        <v>64783</v>
      </c>
      <c r="C626" s="35">
        <v>45912</v>
      </c>
      <c r="D626" s="35">
        <v>37613</v>
      </c>
      <c r="E626" s="35">
        <v>74857</v>
      </c>
      <c r="F626" s="35">
        <v>204042</v>
      </c>
      <c r="G626" s="35">
        <v>54857</v>
      </c>
      <c r="H626" s="35">
        <v>50457</v>
      </c>
      <c r="I626" s="35">
        <v>60589</v>
      </c>
      <c r="J626" s="35">
        <v>66463</v>
      </c>
      <c r="K626" s="35">
        <v>35486</v>
      </c>
      <c r="L626" s="35">
        <v>48568</v>
      </c>
      <c r="M626" s="35">
        <v>37212</v>
      </c>
      <c r="N626" s="35">
        <v>28476</v>
      </c>
      <c r="O626" s="35">
        <v>163335</v>
      </c>
      <c r="P626" s="35">
        <v>38560</v>
      </c>
      <c r="Q626" s="35">
        <v>60836</v>
      </c>
      <c r="R626" s="35">
        <v>25403</v>
      </c>
      <c r="S626" s="35">
        <v>33130</v>
      </c>
      <c r="T626" s="35">
        <v>47096</v>
      </c>
      <c r="U626" s="35">
        <v>30345</v>
      </c>
      <c r="V626" s="35">
        <f t="shared" si="604"/>
        <v>1208020</v>
      </c>
      <c r="W626" s="35">
        <f t="shared" ref="W626:AP626" si="607">B626-B625</f>
        <v>359</v>
      </c>
      <c r="X626" s="35">
        <f t="shared" si="607"/>
        <v>234</v>
      </c>
      <c r="Y626" s="35">
        <f t="shared" si="607"/>
        <v>118</v>
      </c>
      <c r="Z626" s="35">
        <f t="shared" si="607"/>
        <v>324</v>
      </c>
      <c r="AA626" s="35">
        <f t="shared" si="607"/>
        <v>780</v>
      </c>
      <c r="AB626" s="35">
        <f t="shared" si="607"/>
        <v>137</v>
      </c>
      <c r="AC626" s="35">
        <f t="shared" si="607"/>
        <v>383</v>
      </c>
      <c r="AD626" s="35">
        <f t="shared" si="607"/>
        <v>270</v>
      </c>
      <c r="AE626" s="35">
        <f t="shared" si="607"/>
        <v>239</v>
      </c>
      <c r="AF626" s="35">
        <f t="shared" si="607"/>
        <v>136</v>
      </c>
      <c r="AG626" s="35">
        <f t="shared" si="607"/>
        <v>144</v>
      </c>
      <c r="AH626" s="35">
        <f t="shared" si="607"/>
        <v>200</v>
      </c>
      <c r="AI626" s="35">
        <f t="shared" si="607"/>
        <v>108</v>
      </c>
      <c r="AJ626" s="35">
        <f t="shared" si="607"/>
        <v>721</v>
      </c>
      <c r="AK626" s="35">
        <f t="shared" si="607"/>
        <v>188</v>
      </c>
      <c r="AL626" s="35">
        <f t="shared" si="607"/>
        <v>437</v>
      </c>
      <c r="AM626" s="35">
        <f t="shared" si="607"/>
        <v>130</v>
      </c>
      <c r="AN626" s="35">
        <f t="shared" si="607"/>
        <v>175</v>
      </c>
      <c r="AO626" s="35">
        <f t="shared" si="607"/>
        <v>245</v>
      </c>
      <c r="AP626" s="35">
        <f t="shared" si="607"/>
        <v>178</v>
      </c>
    </row>
    <row r="627" spans="1:42" ht="13">
      <c r="A627" s="36">
        <v>44546</v>
      </c>
      <c r="B627" s="35">
        <v>65055</v>
      </c>
      <c r="C627" s="35">
        <v>46142</v>
      </c>
      <c r="D627" s="35">
        <v>37737</v>
      </c>
      <c r="E627" s="35">
        <v>75202</v>
      </c>
      <c r="F627" s="35">
        <v>204758</v>
      </c>
      <c r="G627" s="35">
        <v>55013</v>
      </c>
      <c r="H627" s="35">
        <v>50715</v>
      </c>
      <c r="I627" s="35">
        <v>60845</v>
      </c>
      <c r="J627" s="35">
        <v>66713</v>
      </c>
      <c r="K627" s="35">
        <v>35623</v>
      </c>
      <c r="L627" s="35">
        <v>48730</v>
      </c>
      <c r="M627" s="35">
        <v>37378</v>
      </c>
      <c r="N627" s="35">
        <v>28601</v>
      </c>
      <c r="O627" s="35">
        <v>164012</v>
      </c>
      <c r="P627" s="35">
        <v>38756</v>
      </c>
      <c r="Q627" s="35">
        <v>61291</v>
      </c>
      <c r="R627" s="35">
        <v>25519</v>
      </c>
      <c r="S627" s="35">
        <v>33263</v>
      </c>
      <c r="T627" s="35">
        <v>47375</v>
      </c>
      <c r="U627" s="35">
        <v>30590</v>
      </c>
      <c r="V627" s="35">
        <f t="shared" si="604"/>
        <v>1213318</v>
      </c>
      <c r="W627" s="35">
        <f t="shared" ref="W627:AP627" si="608">B627-B626</f>
        <v>272</v>
      </c>
      <c r="X627" s="35">
        <f t="shared" si="608"/>
        <v>230</v>
      </c>
      <c r="Y627" s="35">
        <f t="shared" si="608"/>
        <v>124</v>
      </c>
      <c r="Z627" s="35">
        <f t="shared" si="608"/>
        <v>345</v>
      </c>
      <c r="AA627" s="35">
        <f t="shared" si="608"/>
        <v>716</v>
      </c>
      <c r="AB627" s="35">
        <f t="shared" si="608"/>
        <v>156</v>
      </c>
      <c r="AC627" s="35">
        <f t="shared" si="608"/>
        <v>258</v>
      </c>
      <c r="AD627" s="35">
        <f t="shared" si="608"/>
        <v>256</v>
      </c>
      <c r="AE627" s="35">
        <f t="shared" si="608"/>
        <v>250</v>
      </c>
      <c r="AF627" s="35">
        <f t="shared" si="608"/>
        <v>137</v>
      </c>
      <c r="AG627" s="35">
        <f t="shared" si="608"/>
        <v>162</v>
      </c>
      <c r="AH627" s="35">
        <f t="shared" si="608"/>
        <v>166</v>
      </c>
      <c r="AI627" s="35">
        <f t="shared" si="608"/>
        <v>125</v>
      </c>
      <c r="AJ627" s="35">
        <f t="shared" si="608"/>
        <v>677</v>
      </c>
      <c r="AK627" s="35">
        <f t="shared" si="608"/>
        <v>196</v>
      </c>
      <c r="AL627" s="35">
        <f t="shared" si="608"/>
        <v>455</v>
      </c>
      <c r="AM627" s="35">
        <f t="shared" si="608"/>
        <v>116</v>
      </c>
      <c r="AN627" s="35">
        <f t="shared" si="608"/>
        <v>133</v>
      </c>
      <c r="AO627" s="35">
        <f t="shared" si="608"/>
        <v>279</v>
      </c>
      <c r="AP627" s="35">
        <f t="shared" si="608"/>
        <v>245</v>
      </c>
    </row>
    <row r="628" spans="1:42" ht="13">
      <c r="A628" s="36">
        <v>44547</v>
      </c>
      <c r="B628" s="35">
        <v>65307</v>
      </c>
      <c r="C628" s="35">
        <v>46394</v>
      </c>
      <c r="D628" s="35">
        <v>37831</v>
      </c>
      <c r="E628" s="35">
        <v>75565</v>
      </c>
      <c r="F628" s="35">
        <v>205332</v>
      </c>
      <c r="G628" s="35">
        <v>55197</v>
      </c>
      <c r="H628" s="35">
        <v>50961</v>
      </c>
      <c r="I628" s="35">
        <v>61118</v>
      </c>
      <c r="J628" s="35">
        <v>67022</v>
      </c>
      <c r="K628" s="35">
        <v>35702</v>
      </c>
      <c r="L628" s="35">
        <v>48894</v>
      </c>
      <c r="M628" s="35">
        <v>37600</v>
      </c>
      <c r="N628" s="35">
        <v>28715</v>
      </c>
      <c r="O628" s="35">
        <v>164558</v>
      </c>
      <c r="P628" s="35">
        <v>38910</v>
      </c>
      <c r="Q628" s="35">
        <v>61697</v>
      </c>
      <c r="R628" s="35">
        <v>25636</v>
      </c>
      <c r="S628" s="35">
        <v>33444</v>
      </c>
      <c r="T628" s="35">
        <v>47597</v>
      </c>
      <c r="U628" s="35">
        <v>30815</v>
      </c>
      <c r="V628" s="35">
        <f t="shared" si="604"/>
        <v>1218295</v>
      </c>
      <c r="W628" s="35">
        <f t="shared" ref="W628:AP628" si="609">B628-B627</f>
        <v>252</v>
      </c>
      <c r="X628" s="35">
        <f t="shared" si="609"/>
        <v>252</v>
      </c>
      <c r="Y628" s="35">
        <f t="shared" si="609"/>
        <v>94</v>
      </c>
      <c r="Z628" s="35">
        <f t="shared" si="609"/>
        <v>363</v>
      </c>
      <c r="AA628" s="35">
        <f t="shared" si="609"/>
        <v>574</v>
      </c>
      <c r="AB628" s="35">
        <f t="shared" si="609"/>
        <v>184</v>
      </c>
      <c r="AC628" s="35">
        <f t="shared" si="609"/>
        <v>246</v>
      </c>
      <c r="AD628" s="35">
        <f t="shared" si="609"/>
        <v>273</v>
      </c>
      <c r="AE628" s="35">
        <f t="shared" si="609"/>
        <v>309</v>
      </c>
      <c r="AF628" s="35">
        <f t="shared" si="609"/>
        <v>79</v>
      </c>
      <c r="AG628" s="35">
        <f t="shared" si="609"/>
        <v>164</v>
      </c>
      <c r="AH628" s="35">
        <f t="shared" si="609"/>
        <v>222</v>
      </c>
      <c r="AI628" s="35">
        <f t="shared" si="609"/>
        <v>114</v>
      </c>
      <c r="AJ628" s="35">
        <f t="shared" si="609"/>
        <v>546</v>
      </c>
      <c r="AK628" s="35">
        <f t="shared" si="609"/>
        <v>154</v>
      </c>
      <c r="AL628" s="35">
        <f t="shared" si="609"/>
        <v>406</v>
      </c>
      <c r="AM628" s="35">
        <f t="shared" si="609"/>
        <v>117</v>
      </c>
      <c r="AN628" s="35">
        <f t="shared" si="609"/>
        <v>181</v>
      </c>
      <c r="AO628" s="35">
        <f t="shared" si="609"/>
        <v>222</v>
      </c>
      <c r="AP628" s="35">
        <f t="shared" si="609"/>
        <v>225</v>
      </c>
    </row>
    <row r="629" spans="1:42" ht="13">
      <c r="A629" s="36">
        <v>44548</v>
      </c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</row>
    <row r="630" spans="1:42" ht="13">
      <c r="A630" s="36">
        <v>44549</v>
      </c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</row>
    <row r="631" spans="1:42" ht="13">
      <c r="A631" s="36">
        <v>44550</v>
      </c>
      <c r="B631" s="35">
        <v>65849</v>
      </c>
      <c r="C631" s="35">
        <v>46827</v>
      </c>
      <c r="D631" s="35">
        <v>37992</v>
      </c>
      <c r="E631" s="35">
        <v>76121</v>
      </c>
      <c r="F631" s="35">
        <v>206813</v>
      </c>
      <c r="G631" s="35">
        <v>55528</v>
      </c>
      <c r="H631" s="35">
        <v>51452</v>
      </c>
      <c r="I631" s="35">
        <v>61677</v>
      </c>
      <c r="J631" s="35">
        <v>67574</v>
      </c>
      <c r="K631" s="35">
        <v>35911</v>
      </c>
      <c r="L631" s="35">
        <v>49222</v>
      </c>
      <c r="M631" s="35">
        <v>38046</v>
      </c>
      <c r="N631" s="35">
        <v>28898</v>
      </c>
      <c r="O631" s="35">
        <v>165932</v>
      </c>
      <c r="P631" s="35">
        <v>39217</v>
      </c>
      <c r="Q631" s="35">
        <v>62473</v>
      </c>
      <c r="R631" s="35">
        <v>25852</v>
      </c>
      <c r="S631" s="35">
        <v>33742</v>
      </c>
      <c r="T631" s="35">
        <v>48072</v>
      </c>
      <c r="U631" s="35">
        <v>31202</v>
      </c>
      <c r="V631" s="35">
        <f t="shared" ref="V631:V634" si="610">SUM(B631:U631)</f>
        <v>1228400</v>
      </c>
      <c r="W631" s="35">
        <f t="shared" ref="W631:AP631" si="611">B631-B628</f>
        <v>542</v>
      </c>
      <c r="X631" s="35">
        <f t="shared" si="611"/>
        <v>433</v>
      </c>
      <c r="Y631" s="35">
        <f t="shared" si="611"/>
        <v>161</v>
      </c>
      <c r="Z631" s="35">
        <f t="shared" si="611"/>
        <v>556</v>
      </c>
      <c r="AA631" s="35">
        <f t="shared" si="611"/>
        <v>1481</v>
      </c>
      <c r="AB631" s="35">
        <f t="shared" si="611"/>
        <v>331</v>
      </c>
      <c r="AC631" s="35">
        <f t="shared" si="611"/>
        <v>491</v>
      </c>
      <c r="AD631" s="35">
        <f t="shared" si="611"/>
        <v>559</v>
      </c>
      <c r="AE631" s="35">
        <f t="shared" si="611"/>
        <v>552</v>
      </c>
      <c r="AF631" s="35">
        <f t="shared" si="611"/>
        <v>209</v>
      </c>
      <c r="AG631" s="35">
        <f t="shared" si="611"/>
        <v>328</v>
      </c>
      <c r="AH631" s="35">
        <f t="shared" si="611"/>
        <v>446</v>
      </c>
      <c r="AI631" s="35">
        <f t="shared" si="611"/>
        <v>183</v>
      </c>
      <c r="AJ631" s="35">
        <f t="shared" si="611"/>
        <v>1374</v>
      </c>
      <c r="AK631" s="35">
        <f t="shared" si="611"/>
        <v>307</v>
      </c>
      <c r="AL631" s="35">
        <f t="shared" si="611"/>
        <v>776</v>
      </c>
      <c r="AM631" s="35">
        <f t="shared" si="611"/>
        <v>216</v>
      </c>
      <c r="AN631" s="35">
        <f t="shared" si="611"/>
        <v>298</v>
      </c>
      <c r="AO631" s="35">
        <f t="shared" si="611"/>
        <v>475</v>
      </c>
      <c r="AP631" s="35">
        <f t="shared" si="611"/>
        <v>387</v>
      </c>
    </row>
    <row r="632" spans="1:42" ht="13">
      <c r="A632" s="36">
        <v>44551</v>
      </c>
      <c r="B632" s="35">
        <v>65968</v>
      </c>
      <c r="C632" s="35">
        <v>46931</v>
      </c>
      <c r="D632" s="35">
        <v>38055</v>
      </c>
      <c r="E632" s="35">
        <v>76189</v>
      </c>
      <c r="F632" s="35">
        <v>207057</v>
      </c>
      <c r="G632" s="35">
        <v>55583</v>
      </c>
      <c r="H632" s="35">
        <v>51526</v>
      </c>
      <c r="I632" s="35">
        <v>61743</v>
      </c>
      <c r="J632" s="35">
        <v>67649</v>
      </c>
      <c r="K632" s="35">
        <v>35943</v>
      </c>
      <c r="L632" s="35">
        <v>49281</v>
      </c>
      <c r="M632" s="35">
        <v>38117</v>
      </c>
      <c r="N632" s="35">
        <v>28938</v>
      </c>
      <c r="O632" s="35">
        <v>166194</v>
      </c>
      <c r="P632" s="35">
        <v>39274</v>
      </c>
      <c r="Q632" s="35">
        <v>62700</v>
      </c>
      <c r="R632" s="35">
        <v>25912</v>
      </c>
      <c r="S632" s="35">
        <v>33819</v>
      </c>
      <c r="T632" s="35">
        <v>48196</v>
      </c>
      <c r="U632" s="35">
        <v>31310</v>
      </c>
      <c r="V632" s="35">
        <f t="shared" si="610"/>
        <v>1230385</v>
      </c>
      <c r="W632" s="35">
        <f t="shared" ref="W632:AP632" si="612">B632-B631</f>
        <v>119</v>
      </c>
      <c r="X632" s="35">
        <f t="shared" si="612"/>
        <v>104</v>
      </c>
      <c r="Y632" s="35">
        <f t="shared" si="612"/>
        <v>63</v>
      </c>
      <c r="Z632" s="35">
        <f t="shared" si="612"/>
        <v>68</v>
      </c>
      <c r="AA632" s="35">
        <f t="shared" si="612"/>
        <v>244</v>
      </c>
      <c r="AB632" s="35">
        <f t="shared" si="612"/>
        <v>55</v>
      </c>
      <c r="AC632" s="35">
        <f t="shared" si="612"/>
        <v>74</v>
      </c>
      <c r="AD632" s="35">
        <f t="shared" si="612"/>
        <v>66</v>
      </c>
      <c r="AE632" s="35">
        <f t="shared" si="612"/>
        <v>75</v>
      </c>
      <c r="AF632" s="35">
        <f t="shared" si="612"/>
        <v>32</v>
      </c>
      <c r="AG632" s="35">
        <f t="shared" si="612"/>
        <v>59</v>
      </c>
      <c r="AH632" s="35">
        <f t="shared" si="612"/>
        <v>71</v>
      </c>
      <c r="AI632" s="35">
        <f t="shared" si="612"/>
        <v>40</v>
      </c>
      <c r="AJ632" s="35">
        <f t="shared" si="612"/>
        <v>262</v>
      </c>
      <c r="AK632" s="35">
        <f t="shared" si="612"/>
        <v>57</v>
      </c>
      <c r="AL632" s="35">
        <f t="shared" si="612"/>
        <v>227</v>
      </c>
      <c r="AM632" s="35">
        <f t="shared" si="612"/>
        <v>60</v>
      </c>
      <c r="AN632" s="35">
        <f t="shared" si="612"/>
        <v>77</v>
      </c>
      <c r="AO632" s="35">
        <f t="shared" si="612"/>
        <v>124</v>
      </c>
      <c r="AP632" s="35">
        <f t="shared" si="612"/>
        <v>108</v>
      </c>
    </row>
    <row r="633" spans="1:42" ht="13">
      <c r="A633" s="36">
        <v>44552</v>
      </c>
      <c r="B633" s="35">
        <v>66156</v>
      </c>
      <c r="C633" s="35">
        <v>47089</v>
      </c>
      <c r="D633" s="35">
        <v>38114</v>
      </c>
      <c r="E633" s="35">
        <v>76362</v>
      </c>
      <c r="F633" s="35">
        <v>207568</v>
      </c>
      <c r="G633" s="35">
        <v>55656</v>
      </c>
      <c r="H633" s="35">
        <v>51700</v>
      </c>
      <c r="I633" s="35">
        <v>61881</v>
      </c>
      <c r="J633" s="35">
        <v>67822</v>
      </c>
      <c r="K633" s="35">
        <v>36011</v>
      </c>
      <c r="L633" s="35">
        <v>49365</v>
      </c>
      <c r="M633" s="35">
        <v>38236</v>
      </c>
      <c r="N633" s="35">
        <v>29015</v>
      </c>
      <c r="O633" s="35">
        <v>166710</v>
      </c>
      <c r="P633" s="35">
        <v>39396</v>
      </c>
      <c r="Q633" s="35">
        <v>62933</v>
      </c>
      <c r="R633" s="35">
        <v>25996</v>
      </c>
      <c r="S633" s="35">
        <v>33932</v>
      </c>
      <c r="T633" s="35">
        <v>48368</v>
      </c>
      <c r="U633" s="35">
        <v>31434</v>
      </c>
      <c r="V633" s="35">
        <f t="shared" si="610"/>
        <v>1233744</v>
      </c>
      <c r="W633" s="35">
        <f t="shared" ref="W633:AP633" si="613">B633-B632</f>
        <v>188</v>
      </c>
      <c r="X633" s="35">
        <f t="shared" si="613"/>
        <v>158</v>
      </c>
      <c r="Y633" s="35">
        <f t="shared" si="613"/>
        <v>59</v>
      </c>
      <c r="Z633" s="35">
        <f t="shared" si="613"/>
        <v>173</v>
      </c>
      <c r="AA633" s="35">
        <f t="shared" si="613"/>
        <v>511</v>
      </c>
      <c r="AB633" s="35">
        <f t="shared" si="613"/>
        <v>73</v>
      </c>
      <c r="AC633" s="35">
        <f t="shared" si="613"/>
        <v>174</v>
      </c>
      <c r="AD633" s="35">
        <f t="shared" si="613"/>
        <v>138</v>
      </c>
      <c r="AE633" s="35">
        <f t="shared" si="613"/>
        <v>173</v>
      </c>
      <c r="AF633" s="35">
        <f t="shared" si="613"/>
        <v>68</v>
      </c>
      <c r="AG633" s="35">
        <f t="shared" si="613"/>
        <v>84</v>
      </c>
      <c r="AH633" s="35">
        <f t="shared" si="613"/>
        <v>119</v>
      </c>
      <c r="AI633" s="35">
        <f t="shared" si="613"/>
        <v>77</v>
      </c>
      <c r="AJ633" s="35">
        <f t="shared" si="613"/>
        <v>516</v>
      </c>
      <c r="AK633" s="35">
        <f t="shared" si="613"/>
        <v>122</v>
      </c>
      <c r="AL633" s="35">
        <f t="shared" si="613"/>
        <v>233</v>
      </c>
      <c r="AM633" s="35">
        <f t="shared" si="613"/>
        <v>84</v>
      </c>
      <c r="AN633" s="35">
        <f t="shared" si="613"/>
        <v>113</v>
      </c>
      <c r="AO633" s="35">
        <f t="shared" si="613"/>
        <v>172</v>
      </c>
      <c r="AP633" s="35">
        <f t="shared" si="613"/>
        <v>124</v>
      </c>
    </row>
    <row r="634" spans="1:42" ht="13">
      <c r="A634" s="36">
        <v>44553</v>
      </c>
      <c r="B634" s="35">
        <v>66317</v>
      </c>
      <c r="C634" s="35">
        <v>47258</v>
      </c>
      <c r="D634" s="35">
        <v>38185</v>
      </c>
      <c r="E634" s="35">
        <v>76526</v>
      </c>
      <c r="F634" s="35">
        <v>208213</v>
      </c>
      <c r="G634" s="35">
        <v>55767</v>
      </c>
      <c r="H634" s="35">
        <v>51875</v>
      </c>
      <c r="I634" s="35">
        <v>62035</v>
      </c>
      <c r="J634" s="35">
        <v>68026</v>
      </c>
      <c r="K634" s="35">
        <v>36071</v>
      </c>
      <c r="L634" s="35">
        <v>49453</v>
      </c>
      <c r="M634" s="35">
        <v>38352</v>
      </c>
      <c r="N634" s="35">
        <v>29105</v>
      </c>
      <c r="O634" s="35">
        <v>167229</v>
      </c>
      <c r="P634" s="35">
        <v>39498</v>
      </c>
      <c r="Q634" s="35">
        <v>63210</v>
      </c>
      <c r="R634" s="35">
        <v>26089</v>
      </c>
      <c r="S634" s="35">
        <v>34032</v>
      </c>
      <c r="T634" s="35">
        <v>48540</v>
      </c>
      <c r="U634" s="35">
        <v>31549</v>
      </c>
      <c r="V634" s="35">
        <f t="shared" si="610"/>
        <v>1237330</v>
      </c>
      <c r="W634" s="35">
        <f t="shared" ref="W634:AP634" si="614">B634-B633</f>
        <v>161</v>
      </c>
      <c r="X634" s="35">
        <f t="shared" si="614"/>
        <v>169</v>
      </c>
      <c r="Y634" s="35">
        <f t="shared" si="614"/>
        <v>71</v>
      </c>
      <c r="Z634" s="35">
        <f t="shared" si="614"/>
        <v>164</v>
      </c>
      <c r="AA634" s="35">
        <f t="shared" si="614"/>
        <v>645</v>
      </c>
      <c r="AB634" s="35">
        <f t="shared" si="614"/>
        <v>111</v>
      </c>
      <c r="AC634" s="35">
        <f t="shared" si="614"/>
        <v>175</v>
      </c>
      <c r="AD634" s="35">
        <f t="shared" si="614"/>
        <v>154</v>
      </c>
      <c r="AE634" s="35">
        <f t="shared" si="614"/>
        <v>204</v>
      </c>
      <c r="AF634" s="35">
        <f t="shared" si="614"/>
        <v>60</v>
      </c>
      <c r="AG634" s="35">
        <f t="shared" si="614"/>
        <v>88</v>
      </c>
      <c r="AH634" s="35">
        <f t="shared" si="614"/>
        <v>116</v>
      </c>
      <c r="AI634" s="35">
        <f t="shared" si="614"/>
        <v>90</v>
      </c>
      <c r="AJ634" s="35">
        <f t="shared" si="614"/>
        <v>519</v>
      </c>
      <c r="AK634" s="35">
        <f t="shared" si="614"/>
        <v>102</v>
      </c>
      <c r="AL634" s="35">
        <f t="shared" si="614"/>
        <v>277</v>
      </c>
      <c r="AM634" s="35">
        <f t="shared" si="614"/>
        <v>93</v>
      </c>
      <c r="AN634" s="35">
        <f t="shared" si="614"/>
        <v>100</v>
      </c>
      <c r="AO634" s="35">
        <f t="shared" si="614"/>
        <v>172</v>
      </c>
      <c r="AP634" s="35">
        <f t="shared" si="614"/>
        <v>115</v>
      </c>
    </row>
    <row r="635" spans="1:42" ht="13">
      <c r="A635" s="36">
        <v>44554</v>
      </c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</row>
    <row r="636" spans="1:42" ht="13">
      <c r="A636" s="36">
        <v>44555</v>
      </c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</row>
    <row r="637" spans="1:42" ht="13">
      <c r="A637" s="36">
        <v>44556</v>
      </c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</row>
    <row r="638" spans="1:42" ht="13">
      <c r="A638" s="36">
        <v>44557</v>
      </c>
      <c r="B638" s="35">
        <v>66717</v>
      </c>
      <c r="C638" s="35">
        <v>47601</v>
      </c>
      <c r="D638" s="35">
        <v>38315</v>
      </c>
      <c r="E638" s="35">
        <v>76962</v>
      </c>
      <c r="F638" s="35">
        <v>209819</v>
      </c>
      <c r="G638" s="35">
        <v>56019</v>
      </c>
      <c r="H638" s="35">
        <v>52297</v>
      </c>
      <c r="I638" s="35">
        <v>62499</v>
      </c>
      <c r="J638" s="35">
        <v>68376</v>
      </c>
      <c r="K638" s="35">
        <v>36215</v>
      </c>
      <c r="L638" s="35">
        <v>49680</v>
      </c>
      <c r="M638" s="35">
        <v>38649</v>
      </c>
      <c r="N638" s="35">
        <v>29237</v>
      </c>
      <c r="O638" s="35">
        <v>168258</v>
      </c>
      <c r="P638" s="35">
        <v>39719</v>
      </c>
      <c r="Q638" s="35">
        <v>63739</v>
      </c>
      <c r="R638" s="35">
        <v>26277</v>
      </c>
      <c r="S638" s="35">
        <v>34247</v>
      </c>
      <c r="T638" s="35">
        <v>48893</v>
      </c>
      <c r="U638" s="35">
        <v>31800</v>
      </c>
      <c r="V638" s="35">
        <f t="shared" ref="V638:V642" si="615">SUM(B638:U638)</f>
        <v>1245319</v>
      </c>
      <c r="W638" s="35">
        <f t="shared" ref="W638:AP638" si="616">B638-B634</f>
        <v>400</v>
      </c>
      <c r="X638" s="35">
        <f t="shared" si="616"/>
        <v>343</v>
      </c>
      <c r="Y638" s="35">
        <f t="shared" si="616"/>
        <v>130</v>
      </c>
      <c r="Z638" s="35">
        <f t="shared" si="616"/>
        <v>436</v>
      </c>
      <c r="AA638" s="35">
        <f t="shared" si="616"/>
        <v>1606</v>
      </c>
      <c r="AB638" s="35">
        <f t="shared" si="616"/>
        <v>252</v>
      </c>
      <c r="AC638" s="35">
        <f t="shared" si="616"/>
        <v>422</v>
      </c>
      <c r="AD638" s="35">
        <f t="shared" si="616"/>
        <v>464</v>
      </c>
      <c r="AE638" s="35">
        <f t="shared" si="616"/>
        <v>350</v>
      </c>
      <c r="AF638" s="35">
        <f t="shared" si="616"/>
        <v>144</v>
      </c>
      <c r="AG638" s="35">
        <f t="shared" si="616"/>
        <v>227</v>
      </c>
      <c r="AH638" s="35">
        <f t="shared" si="616"/>
        <v>297</v>
      </c>
      <c r="AI638" s="35">
        <f t="shared" si="616"/>
        <v>132</v>
      </c>
      <c r="AJ638" s="35">
        <f t="shared" si="616"/>
        <v>1029</v>
      </c>
      <c r="AK638" s="35">
        <f t="shared" si="616"/>
        <v>221</v>
      </c>
      <c r="AL638" s="35">
        <f t="shared" si="616"/>
        <v>529</v>
      </c>
      <c r="AM638" s="35">
        <f t="shared" si="616"/>
        <v>188</v>
      </c>
      <c r="AN638" s="35">
        <f t="shared" si="616"/>
        <v>215</v>
      </c>
      <c r="AO638" s="35">
        <f t="shared" si="616"/>
        <v>353</v>
      </c>
      <c r="AP638" s="35">
        <f t="shared" si="616"/>
        <v>251</v>
      </c>
    </row>
    <row r="639" spans="1:42" ht="13">
      <c r="A639" s="36">
        <v>44558</v>
      </c>
      <c r="B639" s="35">
        <v>66792</v>
      </c>
      <c r="C639" s="35">
        <v>47665</v>
      </c>
      <c r="D639" s="35">
        <v>38358</v>
      </c>
      <c r="E639" s="35">
        <v>77057</v>
      </c>
      <c r="F639" s="35">
        <v>210032</v>
      </c>
      <c r="G639" s="35">
        <v>56049</v>
      </c>
      <c r="H639" s="35">
        <v>52358</v>
      </c>
      <c r="I639" s="35">
        <v>62544</v>
      </c>
      <c r="J639" s="35">
        <v>68433</v>
      </c>
      <c r="K639" s="35">
        <v>36243</v>
      </c>
      <c r="L639" s="35">
        <v>49715</v>
      </c>
      <c r="M639" s="35">
        <v>38695</v>
      </c>
      <c r="N639" s="35">
        <v>29258</v>
      </c>
      <c r="O639" s="35">
        <v>168406</v>
      </c>
      <c r="P639" s="35">
        <v>39760</v>
      </c>
      <c r="Q639" s="35">
        <v>63859</v>
      </c>
      <c r="R639" s="35">
        <v>26321</v>
      </c>
      <c r="S639" s="35">
        <v>34285</v>
      </c>
      <c r="T639" s="35">
        <v>48963</v>
      </c>
      <c r="U639" s="35">
        <v>31896</v>
      </c>
      <c r="V639" s="35">
        <f t="shared" si="615"/>
        <v>1246689</v>
      </c>
      <c r="W639" s="35">
        <f t="shared" ref="W639:AP639" si="617">B639-B638</f>
        <v>75</v>
      </c>
      <c r="X639" s="35">
        <f t="shared" si="617"/>
        <v>64</v>
      </c>
      <c r="Y639" s="35">
        <f t="shared" si="617"/>
        <v>43</v>
      </c>
      <c r="Z639" s="35">
        <f t="shared" si="617"/>
        <v>95</v>
      </c>
      <c r="AA639" s="35">
        <f t="shared" si="617"/>
        <v>213</v>
      </c>
      <c r="AB639" s="35">
        <f t="shared" si="617"/>
        <v>30</v>
      </c>
      <c r="AC639" s="35">
        <f t="shared" si="617"/>
        <v>61</v>
      </c>
      <c r="AD639" s="35">
        <f t="shared" si="617"/>
        <v>45</v>
      </c>
      <c r="AE639" s="35">
        <f t="shared" si="617"/>
        <v>57</v>
      </c>
      <c r="AF639" s="35">
        <f t="shared" si="617"/>
        <v>28</v>
      </c>
      <c r="AG639" s="35">
        <f t="shared" si="617"/>
        <v>35</v>
      </c>
      <c r="AH639" s="35">
        <f t="shared" si="617"/>
        <v>46</v>
      </c>
      <c r="AI639" s="35">
        <f t="shared" si="617"/>
        <v>21</v>
      </c>
      <c r="AJ639" s="35">
        <f t="shared" si="617"/>
        <v>148</v>
      </c>
      <c r="AK639" s="35">
        <f t="shared" si="617"/>
        <v>41</v>
      </c>
      <c r="AL639" s="35">
        <f t="shared" si="617"/>
        <v>120</v>
      </c>
      <c r="AM639" s="35">
        <f t="shared" si="617"/>
        <v>44</v>
      </c>
      <c r="AN639" s="35">
        <f t="shared" si="617"/>
        <v>38</v>
      </c>
      <c r="AO639" s="35">
        <f t="shared" si="617"/>
        <v>70</v>
      </c>
      <c r="AP639" s="35">
        <f t="shared" si="617"/>
        <v>96</v>
      </c>
    </row>
    <row r="640" spans="1:42" ht="13">
      <c r="A640" s="36">
        <v>44559</v>
      </c>
      <c r="B640" s="35">
        <v>66933</v>
      </c>
      <c r="C640" s="35">
        <v>47767</v>
      </c>
      <c r="D640" s="35">
        <v>38411</v>
      </c>
      <c r="E640" s="35">
        <v>77176</v>
      </c>
      <c r="F640" s="35">
        <v>210859</v>
      </c>
      <c r="G640" s="35">
        <v>56111</v>
      </c>
      <c r="H640" s="35">
        <v>52476</v>
      </c>
      <c r="I640" s="35">
        <v>62655</v>
      </c>
      <c r="J640" s="35">
        <v>68562</v>
      </c>
      <c r="K640" s="35">
        <v>36327</v>
      </c>
      <c r="L640" s="35">
        <v>49773</v>
      </c>
      <c r="M640" s="35">
        <v>38797</v>
      </c>
      <c r="N640" s="35">
        <v>29317</v>
      </c>
      <c r="O640" s="35">
        <v>168841</v>
      </c>
      <c r="P640" s="35">
        <v>39850</v>
      </c>
      <c r="Q640" s="35">
        <v>64074</v>
      </c>
      <c r="R640" s="35">
        <v>26374</v>
      </c>
      <c r="S640" s="35">
        <v>34369</v>
      </c>
      <c r="T640" s="35">
        <v>49066</v>
      </c>
      <c r="U640" s="35">
        <v>31956</v>
      </c>
      <c r="V640" s="35">
        <f t="shared" si="615"/>
        <v>1249694</v>
      </c>
      <c r="W640" s="35">
        <f t="shared" ref="W640:AP640" si="618">B640-B639</f>
        <v>141</v>
      </c>
      <c r="X640" s="35">
        <f t="shared" si="618"/>
        <v>102</v>
      </c>
      <c r="Y640" s="35">
        <f t="shared" si="618"/>
        <v>53</v>
      </c>
      <c r="Z640" s="35">
        <f t="shared" si="618"/>
        <v>119</v>
      </c>
      <c r="AA640" s="35">
        <f t="shared" si="618"/>
        <v>827</v>
      </c>
      <c r="AB640" s="35">
        <f t="shared" si="618"/>
        <v>62</v>
      </c>
      <c r="AC640" s="35">
        <f t="shared" si="618"/>
        <v>118</v>
      </c>
      <c r="AD640" s="35">
        <f t="shared" si="618"/>
        <v>111</v>
      </c>
      <c r="AE640" s="35">
        <f t="shared" si="618"/>
        <v>129</v>
      </c>
      <c r="AF640" s="35">
        <f t="shared" si="618"/>
        <v>84</v>
      </c>
      <c r="AG640" s="35">
        <f t="shared" si="618"/>
        <v>58</v>
      </c>
      <c r="AH640" s="35">
        <f t="shared" si="618"/>
        <v>102</v>
      </c>
      <c r="AI640" s="35">
        <f t="shared" si="618"/>
        <v>59</v>
      </c>
      <c r="AJ640" s="35">
        <f t="shared" si="618"/>
        <v>435</v>
      </c>
      <c r="AK640" s="35">
        <f t="shared" si="618"/>
        <v>90</v>
      </c>
      <c r="AL640" s="35">
        <f t="shared" si="618"/>
        <v>215</v>
      </c>
      <c r="AM640" s="35">
        <f t="shared" si="618"/>
        <v>53</v>
      </c>
      <c r="AN640" s="35">
        <f t="shared" si="618"/>
        <v>84</v>
      </c>
      <c r="AO640" s="35">
        <f t="shared" si="618"/>
        <v>103</v>
      </c>
      <c r="AP640" s="35">
        <f t="shared" si="618"/>
        <v>60</v>
      </c>
    </row>
    <row r="641" spans="1:42" ht="13">
      <c r="A641" s="36">
        <v>44560</v>
      </c>
      <c r="B641" s="35">
        <v>67093</v>
      </c>
      <c r="C641" s="35">
        <v>47884</v>
      </c>
      <c r="D641" s="35">
        <v>38462</v>
      </c>
      <c r="E641" s="35">
        <v>77313</v>
      </c>
      <c r="F641" s="35">
        <v>211649</v>
      </c>
      <c r="G641" s="35">
        <v>56185</v>
      </c>
      <c r="H641" s="35">
        <v>52635</v>
      </c>
      <c r="I641" s="35">
        <v>62807</v>
      </c>
      <c r="J641" s="35">
        <v>68721</v>
      </c>
      <c r="K641" s="35">
        <v>36385</v>
      </c>
      <c r="L641" s="35">
        <v>49847</v>
      </c>
      <c r="M641" s="35">
        <v>38888</v>
      </c>
      <c r="N641" s="35">
        <v>29390</v>
      </c>
      <c r="O641" s="35">
        <v>169345</v>
      </c>
      <c r="P641" s="35">
        <v>39943</v>
      </c>
      <c r="Q641" s="35">
        <v>64334</v>
      </c>
      <c r="R641" s="35">
        <v>26457</v>
      </c>
      <c r="S641" s="35">
        <v>34463</v>
      </c>
      <c r="T641" s="35">
        <v>49176</v>
      </c>
      <c r="U641" s="35">
        <v>32078</v>
      </c>
      <c r="V641" s="35">
        <f t="shared" si="615"/>
        <v>1253055</v>
      </c>
      <c r="W641" s="35">
        <f t="shared" ref="W641:AP641" si="619">B641-B640</f>
        <v>160</v>
      </c>
      <c r="X641" s="35">
        <f t="shared" si="619"/>
        <v>117</v>
      </c>
      <c r="Y641" s="35">
        <f t="shared" si="619"/>
        <v>51</v>
      </c>
      <c r="Z641" s="35">
        <f t="shared" si="619"/>
        <v>137</v>
      </c>
      <c r="AA641" s="35">
        <f t="shared" si="619"/>
        <v>790</v>
      </c>
      <c r="AB641" s="35">
        <f t="shared" si="619"/>
        <v>74</v>
      </c>
      <c r="AC641" s="35">
        <f t="shared" si="619"/>
        <v>159</v>
      </c>
      <c r="AD641" s="35">
        <f t="shared" si="619"/>
        <v>152</v>
      </c>
      <c r="AE641" s="35">
        <f t="shared" si="619"/>
        <v>159</v>
      </c>
      <c r="AF641" s="35">
        <f t="shared" si="619"/>
        <v>58</v>
      </c>
      <c r="AG641" s="35">
        <f t="shared" si="619"/>
        <v>74</v>
      </c>
      <c r="AH641" s="35">
        <f t="shared" si="619"/>
        <v>91</v>
      </c>
      <c r="AI641" s="35">
        <f t="shared" si="619"/>
        <v>73</v>
      </c>
      <c r="AJ641" s="35">
        <f t="shared" si="619"/>
        <v>504</v>
      </c>
      <c r="AK641" s="35">
        <f t="shared" si="619"/>
        <v>93</v>
      </c>
      <c r="AL641" s="35">
        <f t="shared" si="619"/>
        <v>260</v>
      </c>
      <c r="AM641" s="35">
        <f t="shared" si="619"/>
        <v>83</v>
      </c>
      <c r="AN641" s="35">
        <f t="shared" si="619"/>
        <v>94</v>
      </c>
      <c r="AO641" s="35">
        <f t="shared" si="619"/>
        <v>110</v>
      </c>
      <c r="AP641" s="35">
        <f t="shared" si="619"/>
        <v>122</v>
      </c>
    </row>
    <row r="642" spans="1:42" ht="13">
      <c r="A642" s="36">
        <v>44561</v>
      </c>
      <c r="B642" s="35">
        <v>67256</v>
      </c>
      <c r="C642" s="35">
        <v>48012</v>
      </c>
      <c r="D642" s="35">
        <v>38538</v>
      </c>
      <c r="E642" s="35">
        <v>77443</v>
      </c>
      <c r="F642" s="35">
        <v>212508</v>
      </c>
      <c r="G642" s="35">
        <v>56263</v>
      </c>
      <c r="H642" s="35">
        <v>52773</v>
      </c>
      <c r="I642" s="35">
        <v>62957</v>
      </c>
      <c r="J642" s="35">
        <v>68887</v>
      </c>
      <c r="K642" s="35">
        <v>36455</v>
      </c>
      <c r="L642" s="35">
        <v>49925</v>
      </c>
      <c r="M642" s="35">
        <v>39025</v>
      </c>
      <c r="N642" s="35">
        <v>29447</v>
      </c>
      <c r="O642" s="35">
        <v>169811</v>
      </c>
      <c r="P642" s="35">
        <v>40034</v>
      </c>
      <c r="Q642" s="35">
        <v>64529</v>
      </c>
      <c r="R642" s="35">
        <v>26504</v>
      </c>
      <c r="S642" s="35">
        <v>34550</v>
      </c>
      <c r="T642" s="35">
        <v>49304</v>
      </c>
      <c r="U642" s="35">
        <v>32194</v>
      </c>
      <c r="V642" s="35">
        <f t="shared" si="615"/>
        <v>1256415</v>
      </c>
      <c r="W642" s="35">
        <f t="shared" ref="W642:AP642" si="620">B642-B641</f>
        <v>163</v>
      </c>
      <c r="X642" s="35">
        <f t="shared" si="620"/>
        <v>128</v>
      </c>
      <c r="Y642" s="35">
        <f t="shared" si="620"/>
        <v>76</v>
      </c>
      <c r="Z642" s="35">
        <f t="shared" si="620"/>
        <v>130</v>
      </c>
      <c r="AA642" s="35">
        <f t="shared" si="620"/>
        <v>859</v>
      </c>
      <c r="AB642" s="35">
        <f t="shared" si="620"/>
        <v>78</v>
      </c>
      <c r="AC642" s="35">
        <f t="shared" si="620"/>
        <v>138</v>
      </c>
      <c r="AD642" s="35">
        <f t="shared" si="620"/>
        <v>150</v>
      </c>
      <c r="AE642" s="35">
        <f t="shared" si="620"/>
        <v>166</v>
      </c>
      <c r="AF642" s="35">
        <f t="shared" si="620"/>
        <v>70</v>
      </c>
      <c r="AG642" s="35">
        <f t="shared" si="620"/>
        <v>78</v>
      </c>
      <c r="AH642" s="35">
        <f t="shared" si="620"/>
        <v>137</v>
      </c>
      <c r="AI642" s="35">
        <f t="shared" si="620"/>
        <v>57</v>
      </c>
      <c r="AJ642" s="35">
        <f t="shared" si="620"/>
        <v>466</v>
      </c>
      <c r="AK642" s="35">
        <f t="shared" si="620"/>
        <v>91</v>
      </c>
      <c r="AL642" s="35">
        <f t="shared" si="620"/>
        <v>195</v>
      </c>
      <c r="AM642" s="35">
        <f t="shared" si="620"/>
        <v>47</v>
      </c>
      <c r="AN642" s="35">
        <f t="shared" si="620"/>
        <v>87</v>
      </c>
      <c r="AO642" s="35">
        <f t="shared" si="620"/>
        <v>128</v>
      </c>
      <c r="AP642" s="35">
        <f t="shared" si="620"/>
        <v>116</v>
      </c>
    </row>
    <row r="643" spans="1:42" ht="13">
      <c r="A643" s="36">
        <v>44562</v>
      </c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</row>
    <row r="644" spans="1:42" ht="13">
      <c r="A644" s="36">
        <v>44563</v>
      </c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</row>
    <row r="645" spans="1:42" ht="13">
      <c r="A645" s="36">
        <v>44564</v>
      </c>
      <c r="B645" s="35">
        <v>67530</v>
      </c>
      <c r="C645" s="35">
        <v>48236</v>
      </c>
      <c r="D645" s="35">
        <v>38609</v>
      </c>
      <c r="E645" s="35">
        <v>77687</v>
      </c>
      <c r="F645" s="35">
        <v>214089</v>
      </c>
      <c r="G645" s="35">
        <v>56422</v>
      </c>
      <c r="H645" s="35">
        <v>53019</v>
      </c>
      <c r="I645" s="35">
        <v>63267</v>
      </c>
      <c r="J645" s="35">
        <v>69136</v>
      </c>
      <c r="K645" s="35">
        <v>36549</v>
      </c>
      <c r="L645" s="35">
        <v>50059</v>
      </c>
      <c r="M645" s="35">
        <v>39191</v>
      </c>
      <c r="N645" s="35">
        <v>29567</v>
      </c>
      <c r="O645" s="35">
        <v>170585</v>
      </c>
      <c r="P645" s="35">
        <v>40205</v>
      </c>
      <c r="Q645" s="35">
        <v>64859</v>
      </c>
      <c r="R645" s="35">
        <v>26637</v>
      </c>
      <c r="S645" s="35">
        <v>34727</v>
      </c>
      <c r="T645" s="35">
        <v>49537</v>
      </c>
      <c r="U645" s="35">
        <v>32369</v>
      </c>
      <c r="V645" s="35">
        <f t="shared" ref="V645:V649" si="621">SUM(B645:U645)</f>
        <v>1262280</v>
      </c>
      <c r="W645" s="35">
        <f t="shared" ref="W645:AP645" si="622">B645-B642</f>
        <v>274</v>
      </c>
      <c r="X645" s="35">
        <f t="shared" si="622"/>
        <v>224</v>
      </c>
      <c r="Y645" s="35">
        <f t="shared" si="622"/>
        <v>71</v>
      </c>
      <c r="Z645" s="35">
        <f t="shared" si="622"/>
        <v>244</v>
      </c>
      <c r="AA645" s="35">
        <f t="shared" si="622"/>
        <v>1581</v>
      </c>
      <c r="AB645" s="35">
        <f t="shared" si="622"/>
        <v>159</v>
      </c>
      <c r="AC645" s="35">
        <f t="shared" si="622"/>
        <v>246</v>
      </c>
      <c r="AD645" s="35">
        <f t="shared" si="622"/>
        <v>310</v>
      </c>
      <c r="AE645" s="35">
        <f t="shared" si="622"/>
        <v>249</v>
      </c>
      <c r="AF645" s="35">
        <f t="shared" si="622"/>
        <v>94</v>
      </c>
      <c r="AG645" s="35">
        <f t="shared" si="622"/>
        <v>134</v>
      </c>
      <c r="AH645" s="35">
        <f t="shared" si="622"/>
        <v>166</v>
      </c>
      <c r="AI645" s="35">
        <f t="shared" si="622"/>
        <v>120</v>
      </c>
      <c r="AJ645" s="35">
        <f t="shared" si="622"/>
        <v>774</v>
      </c>
      <c r="AK645" s="35">
        <f t="shared" si="622"/>
        <v>171</v>
      </c>
      <c r="AL645" s="35">
        <f t="shared" si="622"/>
        <v>330</v>
      </c>
      <c r="AM645" s="35">
        <f t="shared" si="622"/>
        <v>133</v>
      </c>
      <c r="AN645" s="35">
        <f t="shared" si="622"/>
        <v>177</v>
      </c>
      <c r="AO645" s="35">
        <f t="shared" si="622"/>
        <v>233</v>
      </c>
      <c r="AP645" s="35">
        <f t="shared" si="622"/>
        <v>175</v>
      </c>
    </row>
    <row r="646" spans="1:42" ht="13">
      <c r="A646" s="36">
        <v>44565</v>
      </c>
      <c r="B646" s="35">
        <v>67622</v>
      </c>
      <c r="C646" s="35">
        <v>48355</v>
      </c>
      <c r="D646" s="35">
        <v>38662</v>
      </c>
      <c r="E646" s="35">
        <v>77763</v>
      </c>
      <c r="F646" s="35">
        <v>214798</v>
      </c>
      <c r="G646" s="35">
        <v>56481</v>
      </c>
      <c r="H646" s="35">
        <v>53102</v>
      </c>
      <c r="I646" s="35">
        <v>63357</v>
      </c>
      <c r="J646" s="35">
        <v>69241</v>
      </c>
      <c r="K646" s="35">
        <v>36582</v>
      </c>
      <c r="L646" s="35">
        <v>50092</v>
      </c>
      <c r="M646" s="35">
        <v>39278</v>
      </c>
      <c r="N646" s="35">
        <v>29606</v>
      </c>
      <c r="O646" s="35">
        <v>170922</v>
      </c>
      <c r="P646" s="35">
        <v>40295</v>
      </c>
      <c r="Q646" s="35">
        <v>65026</v>
      </c>
      <c r="R646" s="35">
        <v>26695</v>
      </c>
      <c r="S646" s="35">
        <v>34763</v>
      </c>
      <c r="T646" s="35">
        <v>49624</v>
      </c>
      <c r="U646" s="35">
        <v>32445</v>
      </c>
      <c r="V646" s="35">
        <f t="shared" si="621"/>
        <v>1264709</v>
      </c>
      <c r="W646" s="35">
        <f t="shared" ref="W646:AP646" si="623">B646-B645</f>
        <v>92</v>
      </c>
      <c r="X646" s="35">
        <f t="shared" si="623"/>
        <v>119</v>
      </c>
      <c r="Y646" s="35">
        <f t="shared" si="623"/>
        <v>53</v>
      </c>
      <c r="Z646" s="35">
        <f t="shared" si="623"/>
        <v>76</v>
      </c>
      <c r="AA646" s="35">
        <f t="shared" si="623"/>
        <v>709</v>
      </c>
      <c r="AB646" s="35">
        <f t="shared" si="623"/>
        <v>59</v>
      </c>
      <c r="AC646" s="35">
        <f t="shared" si="623"/>
        <v>83</v>
      </c>
      <c r="AD646" s="35">
        <f t="shared" si="623"/>
        <v>90</v>
      </c>
      <c r="AE646" s="35">
        <f t="shared" si="623"/>
        <v>105</v>
      </c>
      <c r="AF646" s="35">
        <f t="shared" si="623"/>
        <v>33</v>
      </c>
      <c r="AG646" s="35">
        <f t="shared" si="623"/>
        <v>33</v>
      </c>
      <c r="AH646" s="35">
        <f t="shared" si="623"/>
        <v>87</v>
      </c>
      <c r="AI646" s="35">
        <f t="shared" si="623"/>
        <v>39</v>
      </c>
      <c r="AJ646" s="35">
        <f t="shared" si="623"/>
        <v>337</v>
      </c>
      <c r="AK646" s="35">
        <f t="shared" si="623"/>
        <v>90</v>
      </c>
      <c r="AL646" s="35">
        <f t="shared" si="623"/>
        <v>167</v>
      </c>
      <c r="AM646" s="35">
        <f t="shared" si="623"/>
        <v>58</v>
      </c>
      <c r="AN646" s="35">
        <f t="shared" si="623"/>
        <v>36</v>
      </c>
      <c r="AO646" s="35">
        <f t="shared" si="623"/>
        <v>87</v>
      </c>
      <c r="AP646" s="35">
        <f t="shared" si="623"/>
        <v>76</v>
      </c>
    </row>
    <row r="647" spans="1:42" ht="13">
      <c r="A647" s="36">
        <v>44566</v>
      </c>
      <c r="B647" s="35">
        <v>67857</v>
      </c>
      <c r="C647" s="35">
        <v>48561</v>
      </c>
      <c r="D647" s="35">
        <v>38777</v>
      </c>
      <c r="E647" s="35">
        <v>77946</v>
      </c>
      <c r="F647" s="35">
        <v>216355</v>
      </c>
      <c r="G647" s="35">
        <v>56582</v>
      </c>
      <c r="H647" s="35">
        <v>53308</v>
      </c>
      <c r="I647" s="35">
        <v>63543</v>
      </c>
      <c r="J647" s="35">
        <v>69419</v>
      </c>
      <c r="K647" s="35">
        <v>36684</v>
      </c>
      <c r="L647" s="35">
        <v>50199</v>
      </c>
      <c r="M647" s="35">
        <v>39421</v>
      </c>
      <c r="N647" s="35">
        <v>29704</v>
      </c>
      <c r="O647" s="35">
        <v>171759</v>
      </c>
      <c r="P647" s="35">
        <v>40460</v>
      </c>
      <c r="Q647" s="35">
        <v>65349</v>
      </c>
      <c r="R647" s="35">
        <v>26801</v>
      </c>
      <c r="S647" s="35">
        <v>34883</v>
      </c>
      <c r="T647" s="35">
        <v>49786</v>
      </c>
      <c r="U647" s="35">
        <v>32585</v>
      </c>
      <c r="V647" s="35">
        <f t="shared" si="621"/>
        <v>1269979</v>
      </c>
      <c r="W647" s="35">
        <f t="shared" ref="W647:AP647" si="624">B647-B646</f>
        <v>235</v>
      </c>
      <c r="X647" s="35">
        <f t="shared" si="624"/>
        <v>206</v>
      </c>
      <c r="Y647" s="35">
        <f t="shared" si="624"/>
        <v>115</v>
      </c>
      <c r="Z647" s="35">
        <f t="shared" si="624"/>
        <v>183</v>
      </c>
      <c r="AA647" s="35">
        <f t="shared" si="624"/>
        <v>1557</v>
      </c>
      <c r="AB647" s="35">
        <f t="shared" si="624"/>
        <v>101</v>
      </c>
      <c r="AC647" s="35">
        <f t="shared" si="624"/>
        <v>206</v>
      </c>
      <c r="AD647" s="35">
        <f t="shared" si="624"/>
        <v>186</v>
      </c>
      <c r="AE647" s="35">
        <f t="shared" si="624"/>
        <v>178</v>
      </c>
      <c r="AF647" s="35">
        <f t="shared" si="624"/>
        <v>102</v>
      </c>
      <c r="AG647" s="35">
        <f t="shared" si="624"/>
        <v>107</v>
      </c>
      <c r="AH647" s="35">
        <f t="shared" si="624"/>
        <v>143</v>
      </c>
      <c r="AI647" s="35">
        <f t="shared" si="624"/>
        <v>98</v>
      </c>
      <c r="AJ647" s="35">
        <f t="shared" si="624"/>
        <v>837</v>
      </c>
      <c r="AK647" s="35">
        <f t="shared" si="624"/>
        <v>165</v>
      </c>
      <c r="AL647" s="35">
        <f t="shared" si="624"/>
        <v>323</v>
      </c>
      <c r="AM647" s="35">
        <f t="shared" si="624"/>
        <v>106</v>
      </c>
      <c r="AN647" s="35">
        <f t="shared" si="624"/>
        <v>120</v>
      </c>
      <c r="AO647" s="35">
        <f t="shared" si="624"/>
        <v>162</v>
      </c>
      <c r="AP647" s="35">
        <f t="shared" si="624"/>
        <v>140</v>
      </c>
    </row>
    <row r="648" spans="1:42" ht="13">
      <c r="A648" s="36">
        <v>44567</v>
      </c>
      <c r="B648" s="35">
        <v>68075</v>
      </c>
      <c r="C648" s="35">
        <v>48737</v>
      </c>
      <c r="D648" s="35">
        <v>38918</v>
      </c>
      <c r="E648" s="35">
        <v>78166</v>
      </c>
      <c r="F648" s="35">
        <v>218242</v>
      </c>
      <c r="G648" s="35">
        <v>56764</v>
      </c>
      <c r="H648" s="35">
        <v>53573</v>
      </c>
      <c r="I648" s="35">
        <v>63866</v>
      </c>
      <c r="J648" s="35">
        <v>69687</v>
      </c>
      <c r="K648" s="35">
        <v>36776</v>
      </c>
      <c r="L648" s="35">
        <v>50314</v>
      </c>
      <c r="M648" s="35">
        <v>39603</v>
      </c>
      <c r="N648" s="35">
        <v>29836</v>
      </c>
      <c r="O648" s="35">
        <v>172808</v>
      </c>
      <c r="P648" s="35">
        <v>40674</v>
      </c>
      <c r="Q648" s="35">
        <v>65669</v>
      </c>
      <c r="R648" s="35">
        <v>26934</v>
      </c>
      <c r="S648" s="35">
        <v>35018</v>
      </c>
      <c r="T648" s="35">
        <v>50019</v>
      </c>
      <c r="U648" s="35">
        <v>32754</v>
      </c>
      <c r="V648" s="35">
        <f t="shared" si="621"/>
        <v>1276433</v>
      </c>
      <c r="W648" s="35">
        <f t="shared" ref="W648:AP648" si="625">B648-B647</f>
        <v>218</v>
      </c>
      <c r="X648" s="35">
        <f t="shared" si="625"/>
        <v>176</v>
      </c>
      <c r="Y648" s="35">
        <f t="shared" si="625"/>
        <v>141</v>
      </c>
      <c r="Z648" s="35">
        <f t="shared" si="625"/>
        <v>220</v>
      </c>
      <c r="AA648" s="35">
        <f t="shared" si="625"/>
        <v>1887</v>
      </c>
      <c r="AB648" s="35">
        <f t="shared" si="625"/>
        <v>182</v>
      </c>
      <c r="AC648" s="35">
        <f t="shared" si="625"/>
        <v>265</v>
      </c>
      <c r="AD648" s="35">
        <f t="shared" si="625"/>
        <v>323</v>
      </c>
      <c r="AE648" s="35">
        <f t="shared" si="625"/>
        <v>268</v>
      </c>
      <c r="AF648" s="35">
        <f t="shared" si="625"/>
        <v>92</v>
      </c>
      <c r="AG648" s="35">
        <f t="shared" si="625"/>
        <v>115</v>
      </c>
      <c r="AH648" s="35">
        <f t="shared" si="625"/>
        <v>182</v>
      </c>
      <c r="AI648" s="35">
        <f t="shared" si="625"/>
        <v>132</v>
      </c>
      <c r="AJ648" s="35">
        <f t="shared" si="625"/>
        <v>1049</v>
      </c>
      <c r="AK648" s="35">
        <f t="shared" si="625"/>
        <v>214</v>
      </c>
      <c r="AL648" s="35">
        <f t="shared" si="625"/>
        <v>320</v>
      </c>
      <c r="AM648" s="35">
        <f t="shared" si="625"/>
        <v>133</v>
      </c>
      <c r="AN648" s="35">
        <f t="shared" si="625"/>
        <v>135</v>
      </c>
      <c r="AO648" s="35">
        <f t="shared" si="625"/>
        <v>233</v>
      </c>
      <c r="AP648" s="35">
        <f t="shared" si="625"/>
        <v>169</v>
      </c>
    </row>
    <row r="649" spans="1:42" ht="13">
      <c r="A649" s="36">
        <v>44568</v>
      </c>
      <c r="B649" s="35">
        <v>68298</v>
      </c>
      <c r="C649" s="35">
        <v>48924</v>
      </c>
      <c r="D649" s="35">
        <v>39037</v>
      </c>
      <c r="E649" s="35">
        <v>78410</v>
      </c>
      <c r="F649" s="35">
        <v>220179</v>
      </c>
      <c r="G649" s="35">
        <v>56896</v>
      </c>
      <c r="H649" s="35">
        <v>53800</v>
      </c>
      <c r="I649" s="35">
        <v>64168</v>
      </c>
      <c r="J649" s="35">
        <v>69978</v>
      </c>
      <c r="K649" s="35">
        <v>36875</v>
      </c>
      <c r="L649" s="35">
        <v>50447</v>
      </c>
      <c r="M649" s="35">
        <v>39810</v>
      </c>
      <c r="N649" s="35">
        <v>29948</v>
      </c>
      <c r="O649" s="35">
        <v>173868</v>
      </c>
      <c r="P649" s="35">
        <v>40876</v>
      </c>
      <c r="Q649" s="35">
        <v>65985</v>
      </c>
      <c r="R649" s="35">
        <v>27058</v>
      </c>
      <c r="S649" s="35">
        <v>35196</v>
      </c>
      <c r="T649" s="35">
        <v>50261</v>
      </c>
      <c r="U649" s="35">
        <v>32943</v>
      </c>
      <c r="V649" s="35">
        <f t="shared" si="621"/>
        <v>1282957</v>
      </c>
      <c r="W649" s="35">
        <f t="shared" ref="W649:AP649" si="626">B649-B648</f>
        <v>223</v>
      </c>
      <c r="X649" s="35">
        <f t="shared" si="626"/>
        <v>187</v>
      </c>
      <c r="Y649" s="35">
        <f t="shared" si="626"/>
        <v>119</v>
      </c>
      <c r="Z649" s="35">
        <f t="shared" si="626"/>
        <v>244</v>
      </c>
      <c r="AA649" s="35">
        <f t="shared" si="626"/>
        <v>1937</v>
      </c>
      <c r="AB649" s="35">
        <f t="shared" si="626"/>
        <v>132</v>
      </c>
      <c r="AC649" s="35">
        <f t="shared" si="626"/>
        <v>227</v>
      </c>
      <c r="AD649" s="35">
        <f t="shared" si="626"/>
        <v>302</v>
      </c>
      <c r="AE649" s="35">
        <f t="shared" si="626"/>
        <v>291</v>
      </c>
      <c r="AF649" s="35">
        <f t="shared" si="626"/>
        <v>99</v>
      </c>
      <c r="AG649" s="35">
        <f t="shared" si="626"/>
        <v>133</v>
      </c>
      <c r="AH649" s="35">
        <f t="shared" si="626"/>
        <v>207</v>
      </c>
      <c r="AI649" s="35">
        <f t="shared" si="626"/>
        <v>112</v>
      </c>
      <c r="AJ649" s="35">
        <f t="shared" si="626"/>
        <v>1060</v>
      </c>
      <c r="AK649" s="35">
        <f t="shared" si="626"/>
        <v>202</v>
      </c>
      <c r="AL649" s="35">
        <f t="shared" si="626"/>
        <v>316</v>
      </c>
      <c r="AM649" s="35">
        <f t="shared" si="626"/>
        <v>124</v>
      </c>
      <c r="AN649" s="35">
        <f t="shared" si="626"/>
        <v>178</v>
      </c>
      <c r="AO649" s="35">
        <f t="shared" si="626"/>
        <v>242</v>
      </c>
      <c r="AP649" s="35">
        <f t="shared" si="626"/>
        <v>189</v>
      </c>
    </row>
    <row r="650" spans="1:42" ht="13">
      <c r="A650" s="36">
        <v>44569</v>
      </c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</row>
    <row r="651" spans="1:42" ht="13">
      <c r="A651" s="36">
        <v>44570</v>
      </c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</row>
    <row r="652" spans="1:42" ht="13">
      <c r="A652" s="36">
        <v>44571</v>
      </c>
      <c r="B652" s="35">
        <v>68942</v>
      </c>
      <c r="C652" s="35">
        <v>49388</v>
      </c>
      <c r="D652" s="35">
        <v>39281</v>
      </c>
      <c r="E652" s="35">
        <v>78892</v>
      </c>
      <c r="F652" s="35">
        <v>224457</v>
      </c>
      <c r="G652" s="35">
        <v>57299</v>
      </c>
      <c r="H652" s="35">
        <v>54445</v>
      </c>
      <c r="I652" s="35">
        <v>64954</v>
      </c>
      <c r="J652" s="35">
        <v>70596</v>
      </c>
      <c r="K652" s="35">
        <v>37102</v>
      </c>
      <c r="L652" s="35">
        <v>50672</v>
      </c>
      <c r="M652" s="35">
        <v>40242</v>
      </c>
      <c r="N652" s="35">
        <v>30185</v>
      </c>
      <c r="O652" s="35">
        <v>176170</v>
      </c>
      <c r="P652" s="35">
        <v>41226</v>
      </c>
      <c r="Q652" s="35">
        <v>66730</v>
      </c>
      <c r="R652" s="35">
        <v>27352</v>
      </c>
      <c r="S652" s="35">
        <v>35555</v>
      </c>
      <c r="T652" s="35">
        <v>50838</v>
      </c>
      <c r="U652" s="35">
        <v>33286</v>
      </c>
      <c r="V652" s="35">
        <f t="shared" ref="V652:V656" si="627">SUM(B652:U652)</f>
        <v>1297612</v>
      </c>
      <c r="W652" s="35">
        <f t="shared" ref="W652:AP652" si="628">B652-B649</f>
        <v>644</v>
      </c>
      <c r="X652" s="35">
        <f t="shared" si="628"/>
        <v>464</v>
      </c>
      <c r="Y652" s="35">
        <f t="shared" si="628"/>
        <v>244</v>
      </c>
      <c r="Z652" s="35">
        <f t="shared" si="628"/>
        <v>482</v>
      </c>
      <c r="AA652" s="35">
        <f t="shared" si="628"/>
        <v>4278</v>
      </c>
      <c r="AB652" s="35">
        <f t="shared" si="628"/>
        <v>403</v>
      </c>
      <c r="AC652" s="35">
        <f t="shared" si="628"/>
        <v>645</v>
      </c>
      <c r="AD652" s="35">
        <f t="shared" si="628"/>
        <v>786</v>
      </c>
      <c r="AE652" s="35">
        <f t="shared" si="628"/>
        <v>618</v>
      </c>
      <c r="AF652" s="35">
        <f t="shared" si="628"/>
        <v>227</v>
      </c>
      <c r="AG652" s="35">
        <f t="shared" si="628"/>
        <v>225</v>
      </c>
      <c r="AH652" s="35">
        <f t="shared" si="628"/>
        <v>432</v>
      </c>
      <c r="AI652" s="35">
        <f t="shared" si="628"/>
        <v>237</v>
      </c>
      <c r="AJ652" s="35">
        <f t="shared" si="628"/>
        <v>2302</v>
      </c>
      <c r="AK652" s="35">
        <f t="shared" si="628"/>
        <v>350</v>
      </c>
      <c r="AL652" s="35">
        <f t="shared" si="628"/>
        <v>745</v>
      </c>
      <c r="AM652" s="35">
        <f t="shared" si="628"/>
        <v>294</v>
      </c>
      <c r="AN652" s="35">
        <f t="shared" si="628"/>
        <v>359</v>
      </c>
      <c r="AO652" s="35">
        <f t="shared" si="628"/>
        <v>577</v>
      </c>
      <c r="AP652" s="35">
        <f t="shared" si="628"/>
        <v>343</v>
      </c>
    </row>
    <row r="653" spans="1:42" ht="13">
      <c r="A653" s="36">
        <v>44572</v>
      </c>
      <c r="B653" s="35">
        <v>69072</v>
      </c>
      <c r="C653" s="35">
        <v>49486</v>
      </c>
      <c r="D653" s="35">
        <v>39337</v>
      </c>
      <c r="E653" s="35">
        <v>78964</v>
      </c>
      <c r="F653" s="35">
        <v>225501</v>
      </c>
      <c r="G653" s="35">
        <v>57371</v>
      </c>
      <c r="H653" s="35">
        <v>54559</v>
      </c>
      <c r="I653" s="35">
        <v>65089</v>
      </c>
      <c r="J653" s="35">
        <v>70710</v>
      </c>
      <c r="K653" s="35">
        <v>37152</v>
      </c>
      <c r="L653" s="35">
        <v>50736</v>
      </c>
      <c r="M653" s="35">
        <v>40361</v>
      </c>
      <c r="N653" s="35">
        <v>30214</v>
      </c>
      <c r="O653" s="35">
        <v>176761</v>
      </c>
      <c r="P653" s="35">
        <v>41318</v>
      </c>
      <c r="Q653" s="35">
        <v>66938</v>
      </c>
      <c r="R653" s="35">
        <v>27422</v>
      </c>
      <c r="S653" s="35">
        <v>35667</v>
      </c>
      <c r="T653" s="35">
        <v>50939</v>
      </c>
      <c r="U653" s="35">
        <v>33397</v>
      </c>
      <c r="V653" s="35">
        <f t="shared" si="627"/>
        <v>1300994</v>
      </c>
      <c r="W653" s="35">
        <f t="shared" ref="W653:AP653" si="629">B653-B652</f>
        <v>130</v>
      </c>
      <c r="X653" s="35">
        <f t="shared" si="629"/>
        <v>98</v>
      </c>
      <c r="Y653" s="35">
        <f t="shared" si="629"/>
        <v>56</v>
      </c>
      <c r="Z653" s="35">
        <f t="shared" si="629"/>
        <v>72</v>
      </c>
      <c r="AA653" s="35">
        <f t="shared" si="629"/>
        <v>1044</v>
      </c>
      <c r="AB653" s="35">
        <f t="shared" si="629"/>
        <v>72</v>
      </c>
      <c r="AC653" s="35">
        <f t="shared" si="629"/>
        <v>114</v>
      </c>
      <c r="AD653" s="35">
        <f t="shared" si="629"/>
        <v>135</v>
      </c>
      <c r="AE653" s="35">
        <f t="shared" si="629"/>
        <v>114</v>
      </c>
      <c r="AF653" s="35">
        <f t="shared" si="629"/>
        <v>50</v>
      </c>
      <c r="AG653" s="35">
        <f t="shared" si="629"/>
        <v>64</v>
      </c>
      <c r="AH653" s="35">
        <f t="shared" si="629"/>
        <v>119</v>
      </c>
      <c r="AI653" s="35">
        <f t="shared" si="629"/>
        <v>29</v>
      </c>
      <c r="AJ653" s="35">
        <f t="shared" si="629"/>
        <v>591</v>
      </c>
      <c r="AK653" s="35">
        <f t="shared" si="629"/>
        <v>92</v>
      </c>
      <c r="AL653" s="35">
        <f t="shared" si="629"/>
        <v>208</v>
      </c>
      <c r="AM653" s="35">
        <f t="shared" si="629"/>
        <v>70</v>
      </c>
      <c r="AN653" s="35">
        <f t="shared" si="629"/>
        <v>112</v>
      </c>
      <c r="AO653" s="35">
        <f t="shared" si="629"/>
        <v>101</v>
      </c>
      <c r="AP653" s="35">
        <f t="shared" si="629"/>
        <v>111</v>
      </c>
    </row>
    <row r="654" spans="1:42" ht="13">
      <c r="A654" s="36">
        <v>44573</v>
      </c>
      <c r="B654" s="35">
        <v>69367</v>
      </c>
      <c r="C654" s="35">
        <v>49756</v>
      </c>
      <c r="D654" s="35">
        <v>39503</v>
      </c>
      <c r="E654" s="35">
        <v>79182</v>
      </c>
      <c r="F654" s="35">
        <v>227892</v>
      </c>
      <c r="G654" s="35">
        <v>57508</v>
      </c>
      <c r="H654" s="35">
        <v>54826</v>
      </c>
      <c r="I654" s="35">
        <v>65453</v>
      </c>
      <c r="J654" s="35">
        <v>70940</v>
      </c>
      <c r="K654" s="35">
        <v>37288</v>
      </c>
      <c r="L654" s="35">
        <v>50859</v>
      </c>
      <c r="M654" s="35">
        <v>40540</v>
      </c>
      <c r="N654" s="35">
        <v>30360</v>
      </c>
      <c r="O654" s="35">
        <v>178336</v>
      </c>
      <c r="P654" s="35">
        <v>41523</v>
      </c>
      <c r="Q654" s="35">
        <v>67302</v>
      </c>
      <c r="R654" s="35">
        <v>27570</v>
      </c>
      <c r="S654" s="35">
        <v>35873</v>
      </c>
      <c r="T654" s="35">
        <v>51138</v>
      </c>
      <c r="U654" s="35">
        <v>33661</v>
      </c>
      <c r="V654" s="35">
        <f t="shared" si="627"/>
        <v>1308877</v>
      </c>
      <c r="W654" s="35">
        <f t="shared" ref="W654:AP654" si="630">B654-B653</f>
        <v>295</v>
      </c>
      <c r="X654" s="35">
        <f t="shared" si="630"/>
        <v>270</v>
      </c>
      <c r="Y654" s="35">
        <f t="shared" si="630"/>
        <v>166</v>
      </c>
      <c r="Z654" s="35">
        <f t="shared" si="630"/>
        <v>218</v>
      </c>
      <c r="AA654" s="35">
        <f t="shared" si="630"/>
        <v>2391</v>
      </c>
      <c r="AB654" s="35">
        <f t="shared" si="630"/>
        <v>137</v>
      </c>
      <c r="AC654" s="35">
        <f t="shared" si="630"/>
        <v>267</v>
      </c>
      <c r="AD654" s="35">
        <f t="shared" si="630"/>
        <v>364</v>
      </c>
      <c r="AE654" s="35">
        <f t="shared" si="630"/>
        <v>230</v>
      </c>
      <c r="AF654" s="35">
        <f t="shared" si="630"/>
        <v>136</v>
      </c>
      <c r="AG654" s="35">
        <f t="shared" si="630"/>
        <v>123</v>
      </c>
      <c r="AH654" s="35">
        <f t="shared" si="630"/>
        <v>179</v>
      </c>
      <c r="AI654" s="35">
        <f t="shared" si="630"/>
        <v>146</v>
      </c>
      <c r="AJ654" s="35">
        <f t="shared" si="630"/>
        <v>1575</v>
      </c>
      <c r="AK654" s="35">
        <f t="shared" si="630"/>
        <v>205</v>
      </c>
      <c r="AL654" s="35">
        <f t="shared" si="630"/>
        <v>364</v>
      </c>
      <c r="AM654" s="35">
        <f t="shared" si="630"/>
        <v>148</v>
      </c>
      <c r="AN654" s="35">
        <f t="shared" si="630"/>
        <v>206</v>
      </c>
      <c r="AO654" s="35">
        <f t="shared" si="630"/>
        <v>199</v>
      </c>
      <c r="AP654" s="35">
        <f t="shared" si="630"/>
        <v>264</v>
      </c>
    </row>
    <row r="655" spans="1:42" ht="13">
      <c r="A655" s="36">
        <v>44574</v>
      </c>
      <c r="B655" s="35">
        <v>69726</v>
      </c>
      <c r="C655" s="35">
        <v>50019</v>
      </c>
      <c r="D655" s="35">
        <v>39626</v>
      </c>
      <c r="E655" s="35">
        <v>79388</v>
      </c>
      <c r="F655" s="35">
        <v>230720</v>
      </c>
      <c r="G655" s="35">
        <v>57714</v>
      </c>
      <c r="H655" s="35">
        <v>55161</v>
      </c>
      <c r="I655" s="35">
        <v>65923</v>
      </c>
      <c r="J655" s="35">
        <v>71240</v>
      </c>
      <c r="K655" s="35">
        <v>37431</v>
      </c>
      <c r="L655" s="35">
        <v>51012</v>
      </c>
      <c r="M655" s="35">
        <v>40783</v>
      </c>
      <c r="N655" s="35">
        <v>30530</v>
      </c>
      <c r="O655" s="35">
        <v>180181</v>
      </c>
      <c r="P655" s="35">
        <v>41742</v>
      </c>
      <c r="Q655" s="35">
        <v>67720</v>
      </c>
      <c r="R655" s="35">
        <v>27723</v>
      </c>
      <c r="S655" s="35">
        <v>36056</v>
      </c>
      <c r="T655" s="35">
        <v>51455</v>
      </c>
      <c r="U655" s="35">
        <v>33943</v>
      </c>
      <c r="V655" s="35">
        <f t="shared" si="627"/>
        <v>1318093</v>
      </c>
      <c r="W655" s="35">
        <f t="shared" ref="W655:AP655" si="631">B655-B654</f>
        <v>359</v>
      </c>
      <c r="X655" s="35">
        <f t="shared" si="631"/>
        <v>263</v>
      </c>
      <c r="Y655" s="35">
        <f t="shared" si="631"/>
        <v>123</v>
      </c>
      <c r="Z655" s="35">
        <f t="shared" si="631"/>
        <v>206</v>
      </c>
      <c r="AA655" s="35">
        <f t="shared" si="631"/>
        <v>2828</v>
      </c>
      <c r="AB655" s="35">
        <f t="shared" si="631"/>
        <v>206</v>
      </c>
      <c r="AC655" s="35">
        <f t="shared" si="631"/>
        <v>335</v>
      </c>
      <c r="AD655" s="35">
        <f t="shared" si="631"/>
        <v>470</v>
      </c>
      <c r="AE655" s="35">
        <f t="shared" si="631"/>
        <v>300</v>
      </c>
      <c r="AF655" s="35">
        <f t="shared" si="631"/>
        <v>143</v>
      </c>
      <c r="AG655" s="35">
        <f t="shared" si="631"/>
        <v>153</v>
      </c>
      <c r="AH655" s="35">
        <f t="shared" si="631"/>
        <v>243</v>
      </c>
      <c r="AI655" s="35">
        <f t="shared" si="631"/>
        <v>170</v>
      </c>
      <c r="AJ655" s="35">
        <f t="shared" si="631"/>
        <v>1845</v>
      </c>
      <c r="AK655" s="35">
        <f t="shared" si="631"/>
        <v>219</v>
      </c>
      <c r="AL655" s="35">
        <f t="shared" si="631"/>
        <v>418</v>
      </c>
      <c r="AM655" s="35">
        <f t="shared" si="631"/>
        <v>153</v>
      </c>
      <c r="AN655" s="35">
        <f t="shared" si="631"/>
        <v>183</v>
      </c>
      <c r="AO655" s="35">
        <f t="shared" si="631"/>
        <v>317</v>
      </c>
      <c r="AP655" s="35">
        <f t="shared" si="631"/>
        <v>282</v>
      </c>
    </row>
    <row r="656" spans="1:42" ht="13">
      <c r="A656" s="36">
        <v>44575</v>
      </c>
      <c r="B656" s="35">
        <v>70071</v>
      </c>
      <c r="C656" s="35">
        <v>50299</v>
      </c>
      <c r="D656" s="35">
        <v>39756</v>
      </c>
      <c r="E656" s="35">
        <v>79647</v>
      </c>
      <c r="F656" s="35">
        <v>233029</v>
      </c>
      <c r="G656" s="35">
        <v>57996</v>
      </c>
      <c r="H656" s="35">
        <v>55507</v>
      </c>
      <c r="I656" s="35">
        <v>66449</v>
      </c>
      <c r="J656" s="35">
        <v>71587</v>
      </c>
      <c r="K656" s="35">
        <v>37605</v>
      </c>
      <c r="L656" s="35">
        <v>51199</v>
      </c>
      <c r="M656" s="35">
        <v>41053</v>
      </c>
      <c r="N656" s="35">
        <v>30638</v>
      </c>
      <c r="O656" s="35">
        <v>181761</v>
      </c>
      <c r="P656" s="35">
        <v>42033</v>
      </c>
      <c r="Q656" s="35">
        <v>68098</v>
      </c>
      <c r="R656" s="35">
        <v>27886</v>
      </c>
      <c r="S656" s="35">
        <v>36337</v>
      </c>
      <c r="T656" s="35">
        <v>51796</v>
      </c>
      <c r="U656" s="35">
        <v>34267</v>
      </c>
      <c r="V656" s="35">
        <f t="shared" si="627"/>
        <v>1327014</v>
      </c>
      <c r="W656" s="35">
        <f t="shared" ref="W656:AP656" si="632">B656-B655</f>
        <v>345</v>
      </c>
      <c r="X656" s="35">
        <f t="shared" si="632"/>
        <v>280</v>
      </c>
      <c r="Y656" s="35">
        <f t="shared" si="632"/>
        <v>130</v>
      </c>
      <c r="Z656" s="35">
        <f t="shared" si="632"/>
        <v>259</v>
      </c>
      <c r="AA656" s="35">
        <f t="shared" si="632"/>
        <v>2309</v>
      </c>
      <c r="AB656" s="35">
        <f t="shared" si="632"/>
        <v>282</v>
      </c>
      <c r="AC656" s="35">
        <f t="shared" si="632"/>
        <v>346</v>
      </c>
      <c r="AD656" s="35">
        <f t="shared" si="632"/>
        <v>526</v>
      </c>
      <c r="AE656" s="35">
        <f t="shared" si="632"/>
        <v>347</v>
      </c>
      <c r="AF656" s="35">
        <f t="shared" si="632"/>
        <v>174</v>
      </c>
      <c r="AG656" s="35">
        <f t="shared" si="632"/>
        <v>187</v>
      </c>
      <c r="AH656" s="35">
        <f t="shared" si="632"/>
        <v>270</v>
      </c>
      <c r="AI656" s="35">
        <f t="shared" si="632"/>
        <v>108</v>
      </c>
      <c r="AJ656" s="35">
        <f t="shared" si="632"/>
        <v>1580</v>
      </c>
      <c r="AK656" s="35">
        <f t="shared" si="632"/>
        <v>291</v>
      </c>
      <c r="AL656" s="35">
        <f t="shared" si="632"/>
        <v>378</v>
      </c>
      <c r="AM656" s="35">
        <f t="shared" si="632"/>
        <v>163</v>
      </c>
      <c r="AN656" s="35">
        <f t="shared" si="632"/>
        <v>281</v>
      </c>
      <c r="AO656" s="35">
        <f t="shared" si="632"/>
        <v>341</v>
      </c>
      <c r="AP656" s="35">
        <f t="shared" si="632"/>
        <v>324</v>
      </c>
    </row>
    <row r="657" spans="1:42" ht="13">
      <c r="A657" s="36">
        <v>44576</v>
      </c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</row>
    <row r="658" spans="1:42" ht="13">
      <c r="A658" s="36">
        <v>44577</v>
      </c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</row>
    <row r="659" spans="1:42" ht="13">
      <c r="A659" s="36">
        <v>44578</v>
      </c>
      <c r="B659" s="35">
        <v>70925</v>
      </c>
      <c r="C659" s="35">
        <v>51001</v>
      </c>
      <c r="D659" s="35">
        <v>40191</v>
      </c>
      <c r="E659" s="35">
        <v>80205</v>
      </c>
      <c r="F659" s="35">
        <v>238535</v>
      </c>
      <c r="G659" s="35">
        <v>58800</v>
      </c>
      <c r="H659" s="35">
        <v>56399</v>
      </c>
      <c r="I659" s="35">
        <v>67818</v>
      </c>
      <c r="J659" s="35">
        <v>72350</v>
      </c>
      <c r="K659" s="35">
        <v>37940</v>
      </c>
      <c r="L659" s="35">
        <v>51531</v>
      </c>
      <c r="M659" s="35">
        <v>41707</v>
      </c>
      <c r="N659" s="35">
        <v>30888</v>
      </c>
      <c r="O659" s="35">
        <v>185494</v>
      </c>
      <c r="P659" s="35">
        <v>42730</v>
      </c>
      <c r="Q659" s="35">
        <v>69036</v>
      </c>
      <c r="R659" s="35">
        <v>28262</v>
      </c>
      <c r="S659" s="35">
        <v>37065</v>
      </c>
      <c r="T659" s="35">
        <v>52456</v>
      </c>
      <c r="U659" s="35">
        <v>34900</v>
      </c>
      <c r="V659" s="35">
        <f t="shared" ref="V659:V663" si="633">SUM(B659:U659)</f>
        <v>1348233</v>
      </c>
      <c r="W659" s="35">
        <f t="shared" ref="W659:AP659" si="634">B659-B656</f>
        <v>854</v>
      </c>
      <c r="X659" s="35">
        <f t="shared" si="634"/>
        <v>702</v>
      </c>
      <c r="Y659" s="35">
        <f t="shared" si="634"/>
        <v>435</v>
      </c>
      <c r="Z659" s="35">
        <f t="shared" si="634"/>
        <v>558</v>
      </c>
      <c r="AA659" s="35">
        <f t="shared" si="634"/>
        <v>5506</v>
      </c>
      <c r="AB659" s="35">
        <f t="shared" si="634"/>
        <v>804</v>
      </c>
      <c r="AC659" s="35">
        <f t="shared" si="634"/>
        <v>892</v>
      </c>
      <c r="AD659" s="35">
        <f t="shared" si="634"/>
        <v>1369</v>
      </c>
      <c r="AE659" s="35">
        <f t="shared" si="634"/>
        <v>763</v>
      </c>
      <c r="AF659" s="35">
        <f t="shared" si="634"/>
        <v>335</v>
      </c>
      <c r="AG659" s="35">
        <f t="shared" si="634"/>
        <v>332</v>
      </c>
      <c r="AH659" s="35">
        <f t="shared" si="634"/>
        <v>654</v>
      </c>
      <c r="AI659" s="35">
        <f t="shared" si="634"/>
        <v>250</v>
      </c>
      <c r="AJ659" s="35">
        <f t="shared" si="634"/>
        <v>3733</v>
      </c>
      <c r="AK659" s="35">
        <f t="shared" si="634"/>
        <v>697</v>
      </c>
      <c r="AL659" s="35">
        <f t="shared" si="634"/>
        <v>938</v>
      </c>
      <c r="AM659" s="35">
        <f t="shared" si="634"/>
        <v>376</v>
      </c>
      <c r="AN659" s="35">
        <f t="shared" si="634"/>
        <v>728</v>
      </c>
      <c r="AO659" s="35">
        <f t="shared" si="634"/>
        <v>660</v>
      </c>
      <c r="AP659" s="35">
        <f t="shared" si="634"/>
        <v>633</v>
      </c>
    </row>
    <row r="660" spans="1:42" ht="13">
      <c r="A660" s="36">
        <v>44579</v>
      </c>
      <c r="B660" s="35">
        <v>71131</v>
      </c>
      <c r="C660" s="35">
        <v>51311</v>
      </c>
      <c r="D660" s="35">
        <v>40348</v>
      </c>
      <c r="E660" s="35">
        <v>80338</v>
      </c>
      <c r="F660" s="35">
        <v>240284</v>
      </c>
      <c r="G660" s="35">
        <v>58920</v>
      </c>
      <c r="H660" s="35">
        <v>56554</v>
      </c>
      <c r="I660" s="35">
        <v>68198</v>
      </c>
      <c r="J660" s="35">
        <v>72509</v>
      </c>
      <c r="K660" s="35">
        <v>38080</v>
      </c>
      <c r="L660" s="35">
        <v>51668</v>
      </c>
      <c r="M660" s="35">
        <v>42019</v>
      </c>
      <c r="N660" s="35">
        <v>30969</v>
      </c>
      <c r="O660" s="35">
        <v>186787</v>
      </c>
      <c r="P660" s="35">
        <v>42928</v>
      </c>
      <c r="Q660" s="35">
        <v>69479</v>
      </c>
      <c r="R660" s="35">
        <v>28395</v>
      </c>
      <c r="S660" s="35">
        <v>37287</v>
      </c>
      <c r="T660" s="35">
        <v>52699</v>
      </c>
      <c r="U660" s="35">
        <v>35180</v>
      </c>
      <c r="V660" s="35">
        <f t="shared" si="633"/>
        <v>1355084</v>
      </c>
      <c r="W660" s="35">
        <f t="shared" ref="W660:AP660" si="635">B660-B659</f>
        <v>206</v>
      </c>
      <c r="X660" s="35">
        <f t="shared" si="635"/>
        <v>310</v>
      </c>
      <c r="Y660" s="35">
        <f t="shared" si="635"/>
        <v>157</v>
      </c>
      <c r="Z660" s="35">
        <f t="shared" si="635"/>
        <v>133</v>
      </c>
      <c r="AA660" s="35">
        <f t="shared" si="635"/>
        <v>1749</v>
      </c>
      <c r="AB660" s="35">
        <f t="shared" si="635"/>
        <v>120</v>
      </c>
      <c r="AC660" s="35">
        <f t="shared" si="635"/>
        <v>155</v>
      </c>
      <c r="AD660" s="35">
        <f t="shared" si="635"/>
        <v>380</v>
      </c>
      <c r="AE660" s="35">
        <f t="shared" si="635"/>
        <v>159</v>
      </c>
      <c r="AF660" s="35">
        <f t="shared" si="635"/>
        <v>140</v>
      </c>
      <c r="AG660" s="35">
        <f t="shared" si="635"/>
        <v>137</v>
      </c>
      <c r="AH660" s="35">
        <f t="shared" si="635"/>
        <v>312</v>
      </c>
      <c r="AI660" s="35">
        <f t="shared" si="635"/>
        <v>81</v>
      </c>
      <c r="AJ660" s="35">
        <f t="shared" si="635"/>
        <v>1293</v>
      </c>
      <c r="AK660" s="35">
        <f t="shared" si="635"/>
        <v>198</v>
      </c>
      <c r="AL660" s="35">
        <f t="shared" si="635"/>
        <v>443</v>
      </c>
      <c r="AM660" s="35">
        <f t="shared" si="635"/>
        <v>133</v>
      </c>
      <c r="AN660" s="35">
        <f t="shared" si="635"/>
        <v>222</v>
      </c>
      <c r="AO660" s="35">
        <f t="shared" si="635"/>
        <v>243</v>
      </c>
      <c r="AP660" s="35">
        <f t="shared" si="635"/>
        <v>280</v>
      </c>
    </row>
    <row r="661" spans="1:42" ht="13">
      <c r="A661" s="36">
        <v>44580</v>
      </c>
      <c r="B661" s="35">
        <v>71817</v>
      </c>
      <c r="C661" s="35">
        <v>51886</v>
      </c>
      <c r="D661" s="35">
        <v>40718</v>
      </c>
      <c r="E661" s="35">
        <v>80742</v>
      </c>
      <c r="F661" s="35">
        <v>243830</v>
      </c>
      <c r="G661" s="35">
        <v>59218</v>
      </c>
      <c r="H661" s="35">
        <v>57105</v>
      </c>
      <c r="I661" s="35">
        <v>69130</v>
      </c>
      <c r="J661" s="35">
        <v>72988</v>
      </c>
      <c r="K661" s="35">
        <v>38408</v>
      </c>
      <c r="L661" s="35">
        <v>51901</v>
      </c>
      <c r="M661" s="35">
        <v>42472</v>
      </c>
      <c r="N661" s="35">
        <v>31174</v>
      </c>
      <c r="O661" s="35">
        <v>189763</v>
      </c>
      <c r="P661" s="35">
        <v>43451</v>
      </c>
      <c r="Q661" s="35">
        <v>70190</v>
      </c>
      <c r="R661" s="35">
        <v>28639</v>
      </c>
      <c r="S661" s="35">
        <v>37756</v>
      </c>
      <c r="T661" s="35">
        <v>53145</v>
      </c>
      <c r="U661" s="35">
        <v>35641</v>
      </c>
      <c r="V661" s="35">
        <f t="shared" si="633"/>
        <v>1369974</v>
      </c>
      <c r="W661" s="35">
        <f t="shared" ref="W661:AP661" si="636">B661-B660</f>
        <v>686</v>
      </c>
      <c r="X661" s="35">
        <f t="shared" si="636"/>
        <v>575</v>
      </c>
      <c r="Y661" s="35">
        <f t="shared" si="636"/>
        <v>370</v>
      </c>
      <c r="Z661" s="35">
        <f t="shared" si="636"/>
        <v>404</v>
      </c>
      <c r="AA661" s="35">
        <f t="shared" si="636"/>
        <v>3546</v>
      </c>
      <c r="AB661" s="35">
        <f t="shared" si="636"/>
        <v>298</v>
      </c>
      <c r="AC661" s="35">
        <f t="shared" si="636"/>
        <v>551</v>
      </c>
      <c r="AD661" s="35">
        <f t="shared" si="636"/>
        <v>932</v>
      </c>
      <c r="AE661" s="35">
        <f t="shared" si="636"/>
        <v>479</v>
      </c>
      <c r="AF661" s="35">
        <f t="shared" si="636"/>
        <v>328</v>
      </c>
      <c r="AG661" s="35">
        <f t="shared" si="636"/>
        <v>233</v>
      </c>
      <c r="AH661" s="35">
        <f t="shared" si="636"/>
        <v>453</v>
      </c>
      <c r="AI661" s="35">
        <f t="shared" si="636"/>
        <v>205</v>
      </c>
      <c r="AJ661" s="35">
        <f t="shared" si="636"/>
        <v>2976</v>
      </c>
      <c r="AK661" s="35">
        <f t="shared" si="636"/>
        <v>523</v>
      </c>
      <c r="AL661" s="35">
        <f t="shared" si="636"/>
        <v>711</v>
      </c>
      <c r="AM661" s="35">
        <f t="shared" si="636"/>
        <v>244</v>
      </c>
      <c r="AN661" s="35">
        <f t="shared" si="636"/>
        <v>469</v>
      </c>
      <c r="AO661" s="35">
        <f t="shared" si="636"/>
        <v>446</v>
      </c>
      <c r="AP661" s="35">
        <f t="shared" si="636"/>
        <v>461</v>
      </c>
    </row>
    <row r="662" spans="1:42" ht="13">
      <c r="A662" s="36">
        <v>44581</v>
      </c>
      <c r="B662" s="35">
        <v>72429</v>
      </c>
      <c r="C662" s="35">
        <v>52471</v>
      </c>
      <c r="D662" s="35">
        <v>41080</v>
      </c>
      <c r="E662" s="35">
        <v>81235</v>
      </c>
      <c r="F662" s="35">
        <v>247360</v>
      </c>
      <c r="G662" s="35">
        <v>59787</v>
      </c>
      <c r="H662" s="35">
        <v>57657</v>
      </c>
      <c r="I662" s="35">
        <v>70298</v>
      </c>
      <c r="J662" s="35">
        <v>73516</v>
      </c>
      <c r="K662" s="35">
        <v>38737</v>
      </c>
      <c r="L662" s="35">
        <v>52216</v>
      </c>
      <c r="M662" s="35">
        <v>43018</v>
      </c>
      <c r="N662" s="35">
        <v>31433</v>
      </c>
      <c r="O662" s="35">
        <v>192404</v>
      </c>
      <c r="P662" s="35">
        <v>43956</v>
      </c>
      <c r="Q662" s="35">
        <v>70908</v>
      </c>
      <c r="R662" s="35">
        <v>28910</v>
      </c>
      <c r="S662" s="35">
        <v>38321</v>
      </c>
      <c r="T662" s="35">
        <v>53645</v>
      </c>
      <c r="U662" s="35">
        <v>36119</v>
      </c>
      <c r="V662" s="35">
        <f t="shared" si="633"/>
        <v>1385500</v>
      </c>
      <c r="W662" s="35">
        <f t="shared" ref="W662:AP662" si="637">B662-B661</f>
        <v>612</v>
      </c>
      <c r="X662" s="35">
        <f t="shared" si="637"/>
        <v>585</v>
      </c>
      <c r="Y662" s="35">
        <f t="shared" si="637"/>
        <v>362</v>
      </c>
      <c r="Z662" s="35">
        <f t="shared" si="637"/>
        <v>493</v>
      </c>
      <c r="AA662" s="35">
        <f t="shared" si="637"/>
        <v>3530</v>
      </c>
      <c r="AB662" s="35">
        <f t="shared" si="637"/>
        <v>569</v>
      </c>
      <c r="AC662" s="35">
        <f t="shared" si="637"/>
        <v>552</v>
      </c>
      <c r="AD662" s="35">
        <f t="shared" si="637"/>
        <v>1168</v>
      </c>
      <c r="AE662" s="35">
        <f t="shared" si="637"/>
        <v>528</v>
      </c>
      <c r="AF662" s="35">
        <f t="shared" si="637"/>
        <v>329</v>
      </c>
      <c r="AG662" s="35">
        <f t="shared" si="637"/>
        <v>315</v>
      </c>
      <c r="AH662" s="35">
        <f t="shared" si="637"/>
        <v>546</v>
      </c>
      <c r="AI662" s="35">
        <f t="shared" si="637"/>
        <v>259</v>
      </c>
      <c r="AJ662" s="35">
        <f t="shared" si="637"/>
        <v>2641</v>
      </c>
      <c r="AK662" s="35">
        <f t="shared" si="637"/>
        <v>505</v>
      </c>
      <c r="AL662" s="35">
        <f t="shared" si="637"/>
        <v>718</v>
      </c>
      <c r="AM662" s="35">
        <f t="shared" si="637"/>
        <v>271</v>
      </c>
      <c r="AN662" s="35">
        <f t="shared" si="637"/>
        <v>565</v>
      </c>
      <c r="AO662" s="35">
        <f t="shared" si="637"/>
        <v>500</v>
      </c>
      <c r="AP662" s="35">
        <f t="shared" si="637"/>
        <v>478</v>
      </c>
    </row>
    <row r="663" spans="1:42" ht="13">
      <c r="A663" s="36">
        <v>44582</v>
      </c>
      <c r="B663" s="35">
        <v>73127</v>
      </c>
      <c r="C663" s="35">
        <v>53014</v>
      </c>
      <c r="D663" s="35">
        <v>41471</v>
      </c>
      <c r="E663" s="35">
        <v>81795</v>
      </c>
      <c r="F663" s="35">
        <v>250775</v>
      </c>
      <c r="G663" s="35">
        <v>60382</v>
      </c>
      <c r="H663" s="35">
        <v>58244</v>
      </c>
      <c r="I663" s="35">
        <v>71347</v>
      </c>
      <c r="J663" s="35">
        <v>74278</v>
      </c>
      <c r="K663" s="35">
        <v>39081</v>
      </c>
      <c r="L663" s="35">
        <v>52515</v>
      </c>
      <c r="M663" s="35">
        <v>43634</v>
      </c>
      <c r="N663" s="35">
        <v>31700</v>
      </c>
      <c r="O663" s="35">
        <v>194884</v>
      </c>
      <c r="P663" s="35">
        <v>44527</v>
      </c>
      <c r="Q663" s="35">
        <v>71614</v>
      </c>
      <c r="R663" s="35">
        <v>29201</v>
      </c>
      <c r="S663" s="35">
        <v>38888</v>
      </c>
      <c r="T663" s="35">
        <v>54275</v>
      </c>
      <c r="U663" s="35">
        <v>36705</v>
      </c>
      <c r="V663" s="35">
        <f t="shared" si="633"/>
        <v>1401457</v>
      </c>
      <c r="W663" s="35">
        <f t="shared" ref="W663:AP663" si="638">B663-B662</f>
        <v>698</v>
      </c>
      <c r="X663" s="35">
        <f t="shared" si="638"/>
        <v>543</v>
      </c>
      <c r="Y663" s="35">
        <f t="shared" si="638"/>
        <v>391</v>
      </c>
      <c r="Z663" s="35">
        <f t="shared" si="638"/>
        <v>560</v>
      </c>
      <c r="AA663" s="35">
        <f t="shared" si="638"/>
        <v>3415</v>
      </c>
      <c r="AB663" s="35">
        <f t="shared" si="638"/>
        <v>595</v>
      </c>
      <c r="AC663" s="35">
        <f t="shared" si="638"/>
        <v>587</v>
      </c>
      <c r="AD663" s="35">
        <f t="shared" si="638"/>
        <v>1049</v>
      </c>
      <c r="AE663" s="35">
        <f t="shared" si="638"/>
        <v>762</v>
      </c>
      <c r="AF663" s="35">
        <f t="shared" si="638"/>
        <v>344</v>
      </c>
      <c r="AG663" s="35">
        <f t="shared" si="638"/>
        <v>299</v>
      </c>
      <c r="AH663" s="35">
        <f t="shared" si="638"/>
        <v>616</v>
      </c>
      <c r="AI663" s="35">
        <f t="shared" si="638"/>
        <v>267</v>
      </c>
      <c r="AJ663" s="35">
        <f t="shared" si="638"/>
        <v>2480</v>
      </c>
      <c r="AK663" s="35">
        <f t="shared" si="638"/>
        <v>571</v>
      </c>
      <c r="AL663" s="35">
        <f t="shared" si="638"/>
        <v>706</v>
      </c>
      <c r="AM663" s="35">
        <f t="shared" si="638"/>
        <v>291</v>
      </c>
      <c r="AN663" s="35">
        <f t="shared" si="638"/>
        <v>567</v>
      </c>
      <c r="AO663" s="35">
        <f t="shared" si="638"/>
        <v>630</v>
      </c>
      <c r="AP663" s="35">
        <f t="shared" si="638"/>
        <v>586</v>
      </c>
    </row>
    <row r="664" spans="1:42" ht="13">
      <c r="A664" s="36">
        <v>44583</v>
      </c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</row>
    <row r="665" spans="1:42" ht="13">
      <c r="A665" s="36">
        <v>44584</v>
      </c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</row>
    <row r="666" spans="1:42" ht="13">
      <c r="A666" s="36">
        <v>44585</v>
      </c>
      <c r="B666" s="35">
        <v>74879</v>
      </c>
      <c r="C666" s="35">
        <v>54456</v>
      </c>
      <c r="D666" s="35">
        <v>42274</v>
      </c>
      <c r="E666" s="35">
        <v>83278</v>
      </c>
      <c r="F666" s="35">
        <v>259189</v>
      </c>
      <c r="G666" s="35">
        <v>61840</v>
      </c>
      <c r="H666" s="35">
        <v>59885</v>
      </c>
      <c r="I666" s="35">
        <v>74202</v>
      </c>
      <c r="J666" s="35">
        <v>76010</v>
      </c>
      <c r="K666" s="35">
        <v>39987</v>
      </c>
      <c r="L666" s="35">
        <v>53367</v>
      </c>
      <c r="M666" s="35">
        <v>45095</v>
      </c>
      <c r="N666" s="35">
        <v>32397</v>
      </c>
      <c r="O666" s="35">
        <v>201266</v>
      </c>
      <c r="P666" s="35">
        <v>45765</v>
      </c>
      <c r="Q666" s="35">
        <v>73417</v>
      </c>
      <c r="R666" s="35">
        <v>29824</v>
      </c>
      <c r="S666" s="35">
        <v>40249</v>
      </c>
      <c r="T666" s="35">
        <v>55965</v>
      </c>
      <c r="U666" s="35">
        <v>38040</v>
      </c>
      <c r="V666" s="35">
        <f t="shared" ref="V666:V670" si="639">SUM(B666:U666)</f>
        <v>1441385</v>
      </c>
      <c r="W666" s="35">
        <f t="shared" ref="W666:AP666" si="640">B666-B663</f>
        <v>1752</v>
      </c>
      <c r="X666" s="35">
        <f t="shared" si="640"/>
        <v>1442</v>
      </c>
      <c r="Y666" s="35">
        <f t="shared" si="640"/>
        <v>803</v>
      </c>
      <c r="Z666" s="35">
        <f t="shared" si="640"/>
        <v>1483</v>
      </c>
      <c r="AA666" s="35">
        <f t="shared" si="640"/>
        <v>8414</v>
      </c>
      <c r="AB666" s="35">
        <f t="shared" si="640"/>
        <v>1458</v>
      </c>
      <c r="AC666" s="35">
        <f t="shared" si="640"/>
        <v>1641</v>
      </c>
      <c r="AD666" s="35">
        <f t="shared" si="640"/>
        <v>2855</v>
      </c>
      <c r="AE666" s="35">
        <f t="shared" si="640"/>
        <v>1732</v>
      </c>
      <c r="AF666" s="35">
        <f t="shared" si="640"/>
        <v>906</v>
      </c>
      <c r="AG666" s="35">
        <f t="shared" si="640"/>
        <v>852</v>
      </c>
      <c r="AH666" s="35">
        <f t="shared" si="640"/>
        <v>1461</v>
      </c>
      <c r="AI666" s="35">
        <f t="shared" si="640"/>
        <v>697</v>
      </c>
      <c r="AJ666" s="35">
        <f t="shared" si="640"/>
        <v>6382</v>
      </c>
      <c r="AK666" s="35">
        <f t="shared" si="640"/>
        <v>1238</v>
      </c>
      <c r="AL666" s="35">
        <f t="shared" si="640"/>
        <v>1803</v>
      </c>
      <c r="AM666" s="35">
        <f t="shared" si="640"/>
        <v>623</v>
      </c>
      <c r="AN666" s="35">
        <f t="shared" si="640"/>
        <v>1361</v>
      </c>
      <c r="AO666" s="35">
        <f t="shared" si="640"/>
        <v>1690</v>
      </c>
      <c r="AP666" s="35">
        <f t="shared" si="640"/>
        <v>1335</v>
      </c>
    </row>
    <row r="667" spans="1:42" ht="13">
      <c r="A667" s="36">
        <v>44586</v>
      </c>
      <c r="B667" s="35">
        <v>75271</v>
      </c>
      <c r="C667" s="35">
        <v>54936</v>
      </c>
      <c r="D667" s="35">
        <v>42535</v>
      </c>
      <c r="E667" s="35">
        <v>83492</v>
      </c>
      <c r="F667" s="35">
        <v>260972</v>
      </c>
      <c r="G667" s="35">
        <v>62147</v>
      </c>
      <c r="H667" s="35">
        <v>60334</v>
      </c>
      <c r="I667" s="35">
        <v>75060</v>
      </c>
      <c r="J667" s="35">
        <v>76421</v>
      </c>
      <c r="K667" s="35">
        <v>40232</v>
      </c>
      <c r="L667" s="35">
        <v>53566</v>
      </c>
      <c r="M667" s="35">
        <v>45415</v>
      </c>
      <c r="N667" s="35">
        <v>32486</v>
      </c>
      <c r="O667" s="35">
        <v>202605</v>
      </c>
      <c r="P667" s="35">
        <v>46074</v>
      </c>
      <c r="Q667" s="35">
        <v>74036</v>
      </c>
      <c r="R667" s="35">
        <v>30019</v>
      </c>
      <c r="S667" s="35">
        <v>40697</v>
      </c>
      <c r="T667" s="35">
        <v>56513</v>
      </c>
      <c r="U667" s="35">
        <v>38291</v>
      </c>
      <c r="V667" s="35">
        <f t="shared" si="639"/>
        <v>1451102</v>
      </c>
      <c r="W667" s="35">
        <f t="shared" ref="W667:AP667" si="641">B667-B666</f>
        <v>392</v>
      </c>
      <c r="X667" s="35">
        <f t="shared" si="641"/>
        <v>480</v>
      </c>
      <c r="Y667" s="35">
        <f t="shared" si="641"/>
        <v>261</v>
      </c>
      <c r="Z667" s="35">
        <f t="shared" si="641"/>
        <v>214</v>
      </c>
      <c r="AA667" s="35">
        <f t="shared" si="641"/>
        <v>1783</v>
      </c>
      <c r="AB667" s="35">
        <f t="shared" si="641"/>
        <v>307</v>
      </c>
      <c r="AC667" s="35">
        <f t="shared" si="641"/>
        <v>449</v>
      </c>
      <c r="AD667" s="35">
        <f t="shared" si="641"/>
        <v>858</v>
      </c>
      <c r="AE667" s="35">
        <f t="shared" si="641"/>
        <v>411</v>
      </c>
      <c r="AF667" s="35">
        <f t="shared" si="641"/>
        <v>245</v>
      </c>
      <c r="AG667" s="35">
        <f t="shared" si="641"/>
        <v>199</v>
      </c>
      <c r="AH667" s="35">
        <f t="shared" si="641"/>
        <v>320</v>
      </c>
      <c r="AI667" s="35">
        <f t="shared" si="641"/>
        <v>89</v>
      </c>
      <c r="AJ667" s="35">
        <f t="shared" si="641"/>
        <v>1339</v>
      </c>
      <c r="AK667" s="35">
        <f t="shared" si="641"/>
        <v>309</v>
      </c>
      <c r="AL667" s="35">
        <f t="shared" si="641"/>
        <v>619</v>
      </c>
      <c r="AM667" s="35">
        <f t="shared" si="641"/>
        <v>195</v>
      </c>
      <c r="AN667" s="35">
        <f t="shared" si="641"/>
        <v>448</v>
      </c>
      <c r="AO667" s="35">
        <f t="shared" si="641"/>
        <v>548</v>
      </c>
      <c r="AP667" s="35">
        <f t="shared" si="641"/>
        <v>251</v>
      </c>
    </row>
    <row r="668" spans="1:42" ht="13">
      <c r="A668" s="36">
        <v>44587</v>
      </c>
      <c r="B668" s="35">
        <v>76085</v>
      </c>
      <c r="C668" s="35">
        <v>55951</v>
      </c>
      <c r="D668" s="35">
        <v>43208</v>
      </c>
      <c r="E668" s="35">
        <v>84216</v>
      </c>
      <c r="F668" s="35">
        <v>264630</v>
      </c>
      <c r="G668" s="35">
        <v>62723</v>
      </c>
      <c r="H668" s="35">
        <v>61142</v>
      </c>
      <c r="I668" s="35">
        <v>76347</v>
      </c>
      <c r="J668" s="35">
        <v>77212</v>
      </c>
      <c r="K668" s="35">
        <v>40862</v>
      </c>
      <c r="L668" s="35">
        <v>54013</v>
      </c>
      <c r="M668" s="35">
        <v>46109</v>
      </c>
      <c r="N668" s="35">
        <v>32761</v>
      </c>
      <c r="O668" s="35">
        <v>205947</v>
      </c>
      <c r="P668" s="35">
        <v>46831</v>
      </c>
      <c r="Q668" s="35">
        <v>75190</v>
      </c>
      <c r="R668" s="35">
        <v>30422</v>
      </c>
      <c r="S668" s="35">
        <v>41468</v>
      </c>
      <c r="T668" s="35">
        <v>57222</v>
      </c>
      <c r="U668" s="35">
        <v>38937</v>
      </c>
      <c r="V668" s="35">
        <f t="shared" si="639"/>
        <v>1471276</v>
      </c>
      <c r="W668" s="35">
        <f t="shared" ref="W668:AP668" si="642">B668-B667</f>
        <v>814</v>
      </c>
      <c r="X668" s="35">
        <f t="shared" si="642"/>
        <v>1015</v>
      </c>
      <c r="Y668" s="35">
        <f t="shared" si="642"/>
        <v>673</v>
      </c>
      <c r="Z668" s="35">
        <f t="shared" si="642"/>
        <v>724</v>
      </c>
      <c r="AA668" s="35">
        <f t="shared" si="642"/>
        <v>3658</v>
      </c>
      <c r="AB668" s="35">
        <f t="shared" si="642"/>
        <v>576</v>
      </c>
      <c r="AC668" s="35">
        <f t="shared" si="642"/>
        <v>808</v>
      </c>
      <c r="AD668" s="35">
        <f t="shared" si="642"/>
        <v>1287</v>
      </c>
      <c r="AE668" s="35">
        <f t="shared" si="642"/>
        <v>791</v>
      </c>
      <c r="AF668" s="35">
        <f t="shared" si="642"/>
        <v>630</v>
      </c>
      <c r="AG668" s="35">
        <f t="shared" si="642"/>
        <v>447</v>
      </c>
      <c r="AH668" s="35">
        <f t="shared" si="642"/>
        <v>694</v>
      </c>
      <c r="AI668" s="35">
        <f t="shared" si="642"/>
        <v>275</v>
      </c>
      <c r="AJ668" s="35">
        <f t="shared" si="642"/>
        <v>3342</v>
      </c>
      <c r="AK668" s="35">
        <f t="shared" si="642"/>
        <v>757</v>
      </c>
      <c r="AL668" s="35">
        <f t="shared" si="642"/>
        <v>1154</v>
      </c>
      <c r="AM668" s="35">
        <f t="shared" si="642"/>
        <v>403</v>
      </c>
      <c r="AN668" s="35">
        <f t="shared" si="642"/>
        <v>771</v>
      </c>
      <c r="AO668" s="35">
        <f t="shared" si="642"/>
        <v>709</v>
      </c>
      <c r="AP668" s="35">
        <f t="shared" si="642"/>
        <v>646</v>
      </c>
    </row>
    <row r="669" spans="1:42" ht="13">
      <c r="A669" s="36">
        <v>44588</v>
      </c>
      <c r="B669" s="35">
        <v>76911</v>
      </c>
      <c r="C669" s="35">
        <v>56855</v>
      </c>
      <c r="D669" s="35">
        <v>43764</v>
      </c>
      <c r="E669" s="35">
        <v>84928</v>
      </c>
      <c r="F669" s="35">
        <v>267832</v>
      </c>
      <c r="G669" s="35">
        <v>63489</v>
      </c>
      <c r="H669" s="35">
        <v>61897</v>
      </c>
      <c r="I669" s="35">
        <v>77899</v>
      </c>
      <c r="J669" s="35">
        <v>78041</v>
      </c>
      <c r="K669" s="35">
        <v>41356</v>
      </c>
      <c r="L669" s="35">
        <v>54478</v>
      </c>
      <c r="M669" s="35">
        <v>46945</v>
      </c>
      <c r="N669" s="35">
        <v>33097</v>
      </c>
      <c r="O669" s="35">
        <v>208645</v>
      </c>
      <c r="P669" s="35">
        <v>47387</v>
      </c>
      <c r="Q669" s="35">
        <v>76348</v>
      </c>
      <c r="R669" s="35">
        <v>30885</v>
      </c>
      <c r="S669" s="35">
        <v>42181</v>
      </c>
      <c r="T669" s="35">
        <v>58010</v>
      </c>
      <c r="U669" s="35">
        <v>39541</v>
      </c>
      <c r="V669" s="35">
        <f t="shared" si="639"/>
        <v>1490489</v>
      </c>
      <c r="W669" s="35">
        <f t="shared" ref="W669:AP669" si="643">B669-B668</f>
        <v>826</v>
      </c>
      <c r="X669" s="35">
        <f t="shared" si="643"/>
        <v>904</v>
      </c>
      <c r="Y669" s="35">
        <f t="shared" si="643"/>
        <v>556</v>
      </c>
      <c r="Z669" s="35">
        <f t="shared" si="643"/>
        <v>712</v>
      </c>
      <c r="AA669" s="35">
        <f t="shared" si="643"/>
        <v>3202</v>
      </c>
      <c r="AB669" s="35">
        <f t="shared" si="643"/>
        <v>766</v>
      </c>
      <c r="AC669" s="35">
        <f t="shared" si="643"/>
        <v>755</v>
      </c>
      <c r="AD669" s="35">
        <f t="shared" si="643"/>
        <v>1552</v>
      </c>
      <c r="AE669" s="35">
        <f t="shared" si="643"/>
        <v>829</v>
      </c>
      <c r="AF669" s="35">
        <f t="shared" si="643"/>
        <v>494</v>
      </c>
      <c r="AG669" s="35">
        <f t="shared" si="643"/>
        <v>465</v>
      </c>
      <c r="AH669" s="35">
        <f t="shared" si="643"/>
        <v>836</v>
      </c>
      <c r="AI669" s="35">
        <f t="shared" si="643"/>
        <v>336</v>
      </c>
      <c r="AJ669" s="35">
        <f t="shared" si="643"/>
        <v>2698</v>
      </c>
      <c r="AK669" s="35">
        <f t="shared" si="643"/>
        <v>556</v>
      </c>
      <c r="AL669" s="35">
        <f t="shared" si="643"/>
        <v>1158</v>
      </c>
      <c r="AM669" s="35">
        <f t="shared" si="643"/>
        <v>463</v>
      </c>
      <c r="AN669" s="35">
        <f t="shared" si="643"/>
        <v>713</v>
      </c>
      <c r="AO669" s="35">
        <f t="shared" si="643"/>
        <v>788</v>
      </c>
      <c r="AP669" s="35">
        <f t="shared" si="643"/>
        <v>604</v>
      </c>
    </row>
    <row r="670" spans="1:42" ht="13">
      <c r="A670" s="36">
        <v>44589</v>
      </c>
      <c r="B670" s="35">
        <v>77601</v>
      </c>
      <c r="C670" s="35">
        <v>57595</v>
      </c>
      <c r="D670" s="35">
        <v>44289</v>
      </c>
      <c r="E670" s="35">
        <v>85819</v>
      </c>
      <c r="F670" s="35">
        <v>270670</v>
      </c>
      <c r="G670" s="35">
        <v>64228</v>
      </c>
      <c r="H670" s="35">
        <v>62704</v>
      </c>
      <c r="I670" s="35">
        <v>79082</v>
      </c>
      <c r="J670" s="35">
        <v>79034</v>
      </c>
      <c r="K670" s="35">
        <v>41884</v>
      </c>
      <c r="L670" s="35">
        <v>54872</v>
      </c>
      <c r="M670" s="35">
        <v>47623</v>
      </c>
      <c r="N670" s="35">
        <v>33452</v>
      </c>
      <c r="O670" s="35">
        <v>210942</v>
      </c>
      <c r="P670" s="35">
        <v>47976</v>
      </c>
      <c r="Q670" s="35">
        <v>77374</v>
      </c>
      <c r="R670" s="35">
        <v>31341</v>
      </c>
      <c r="S670" s="35">
        <v>42794</v>
      </c>
      <c r="T670" s="35">
        <v>58811</v>
      </c>
      <c r="U670" s="35">
        <v>40267</v>
      </c>
      <c r="V670" s="35">
        <f t="shared" si="639"/>
        <v>1508358</v>
      </c>
      <c r="W670" s="35">
        <f t="shared" ref="W670:AP670" si="644">B670-B669</f>
        <v>690</v>
      </c>
      <c r="X670" s="35">
        <f t="shared" si="644"/>
        <v>740</v>
      </c>
      <c r="Y670" s="35">
        <f t="shared" si="644"/>
        <v>525</v>
      </c>
      <c r="Z670" s="35">
        <f t="shared" si="644"/>
        <v>891</v>
      </c>
      <c r="AA670" s="35">
        <f t="shared" si="644"/>
        <v>2838</v>
      </c>
      <c r="AB670" s="35">
        <f t="shared" si="644"/>
        <v>739</v>
      </c>
      <c r="AC670" s="35">
        <f t="shared" si="644"/>
        <v>807</v>
      </c>
      <c r="AD670" s="35">
        <f t="shared" si="644"/>
        <v>1183</v>
      </c>
      <c r="AE670" s="35">
        <f t="shared" si="644"/>
        <v>993</v>
      </c>
      <c r="AF670" s="35">
        <f t="shared" si="644"/>
        <v>528</v>
      </c>
      <c r="AG670" s="35">
        <f t="shared" si="644"/>
        <v>394</v>
      </c>
      <c r="AH670" s="35">
        <f t="shared" si="644"/>
        <v>678</v>
      </c>
      <c r="AI670" s="35">
        <f t="shared" si="644"/>
        <v>355</v>
      </c>
      <c r="AJ670" s="35">
        <f t="shared" si="644"/>
        <v>2297</v>
      </c>
      <c r="AK670" s="35">
        <f t="shared" si="644"/>
        <v>589</v>
      </c>
      <c r="AL670" s="35">
        <f t="shared" si="644"/>
        <v>1026</v>
      </c>
      <c r="AM670" s="35">
        <f t="shared" si="644"/>
        <v>456</v>
      </c>
      <c r="AN670" s="35">
        <f t="shared" si="644"/>
        <v>613</v>
      </c>
      <c r="AO670" s="35">
        <f t="shared" si="644"/>
        <v>801</v>
      </c>
      <c r="AP670" s="35">
        <f t="shared" si="644"/>
        <v>726</v>
      </c>
    </row>
    <row r="671" spans="1:42" ht="13">
      <c r="A671" s="36">
        <v>44590</v>
      </c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</row>
    <row r="672" spans="1:42" ht="13">
      <c r="A672" s="36">
        <v>44591</v>
      </c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</row>
    <row r="673" spans="1:42" ht="13">
      <c r="A673" s="36">
        <v>44592</v>
      </c>
      <c r="B673" s="35">
        <v>79765</v>
      </c>
      <c r="C673" s="35">
        <v>59513</v>
      </c>
      <c r="D673" s="35">
        <v>45537</v>
      </c>
      <c r="E673" s="35">
        <v>88141</v>
      </c>
      <c r="F673" s="35">
        <v>277926</v>
      </c>
      <c r="G673" s="35">
        <v>66328</v>
      </c>
      <c r="H673" s="35">
        <v>64496</v>
      </c>
      <c r="I673" s="35">
        <v>82309</v>
      </c>
      <c r="J673" s="35">
        <v>81331</v>
      </c>
      <c r="K673" s="35">
        <v>42958</v>
      </c>
      <c r="L673" s="35">
        <v>56098</v>
      </c>
      <c r="M673" s="35">
        <v>49480</v>
      </c>
      <c r="N673" s="35">
        <v>34318</v>
      </c>
      <c r="O673" s="35">
        <v>216821</v>
      </c>
      <c r="P673" s="35">
        <v>49421</v>
      </c>
      <c r="Q673" s="35">
        <v>79819</v>
      </c>
      <c r="R673" s="35">
        <v>32220</v>
      </c>
      <c r="S673" s="35">
        <v>44452</v>
      </c>
      <c r="T673" s="35">
        <v>60837</v>
      </c>
      <c r="U673" s="35">
        <v>41635</v>
      </c>
      <c r="V673" s="35">
        <f t="shared" ref="V673:V677" si="645">SUM(B673:U673)</f>
        <v>1553405</v>
      </c>
      <c r="W673" s="35">
        <f t="shared" ref="W673:AP673" si="646">B673-B670</f>
        <v>2164</v>
      </c>
      <c r="X673" s="35">
        <f t="shared" si="646"/>
        <v>1918</v>
      </c>
      <c r="Y673" s="35">
        <f t="shared" si="646"/>
        <v>1248</v>
      </c>
      <c r="Z673" s="35">
        <f t="shared" si="646"/>
        <v>2322</v>
      </c>
      <c r="AA673" s="35">
        <f t="shared" si="646"/>
        <v>7256</v>
      </c>
      <c r="AB673" s="35">
        <f t="shared" si="646"/>
        <v>2100</v>
      </c>
      <c r="AC673" s="35">
        <f t="shared" si="646"/>
        <v>1792</v>
      </c>
      <c r="AD673" s="35">
        <f t="shared" si="646"/>
        <v>3227</v>
      </c>
      <c r="AE673" s="35">
        <f t="shared" si="646"/>
        <v>2297</v>
      </c>
      <c r="AF673" s="35">
        <f t="shared" si="646"/>
        <v>1074</v>
      </c>
      <c r="AG673" s="35">
        <f t="shared" si="646"/>
        <v>1226</v>
      </c>
      <c r="AH673" s="35">
        <f t="shared" si="646"/>
        <v>1857</v>
      </c>
      <c r="AI673" s="35">
        <f t="shared" si="646"/>
        <v>866</v>
      </c>
      <c r="AJ673" s="35">
        <f t="shared" si="646"/>
        <v>5879</v>
      </c>
      <c r="AK673" s="35">
        <f t="shared" si="646"/>
        <v>1445</v>
      </c>
      <c r="AL673" s="35">
        <f t="shared" si="646"/>
        <v>2445</v>
      </c>
      <c r="AM673" s="35">
        <f t="shared" si="646"/>
        <v>879</v>
      </c>
      <c r="AN673" s="35">
        <f t="shared" si="646"/>
        <v>1658</v>
      </c>
      <c r="AO673" s="35">
        <f t="shared" si="646"/>
        <v>2026</v>
      </c>
      <c r="AP673" s="35">
        <f t="shared" si="646"/>
        <v>1368</v>
      </c>
    </row>
    <row r="674" spans="1:42" ht="13">
      <c r="A674" s="36">
        <v>44593</v>
      </c>
      <c r="B674" s="35">
        <v>80218</v>
      </c>
      <c r="C674" s="35">
        <v>60147</v>
      </c>
      <c r="D674" s="35">
        <v>45808</v>
      </c>
      <c r="E674" s="35">
        <v>88543</v>
      </c>
      <c r="F674" s="35">
        <v>279433</v>
      </c>
      <c r="G674" s="35">
        <v>66645</v>
      </c>
      <c r="H674" s="35">
        <v>64917</v>
      </c>
      <c r="I674" s="35">
        <v>82813</v>
      </c>
      <c r="J674" s="35">
        <v>81865</v>
      </c>
      <c r="K674" s="35">
        <v>43190</v>
      </c>
      <c r="L674" s="35">
        <v>56414</v>
      </c>
      <c r="M674" s="35">
        <v>49633</v>
      </c>
      <c r="N674" s="35">
        <v>34459</v>
      </c>
      <c r="O674" s="35">
        <v>218020</v>
      </c>
      <c r="P674" s="35">
        <v>49696</v>
      </c>
      <c r="Q674" s="35">
        <v>80529</v>
      </c>
      <c r="R674" s="35">
        <v>32484</v>
      </c>
      <c r="S674" s="35">
        <v>44760</v>
      </c>
      <c r="T674" s="35">
        <v>61345</v>
      </c>
      <c r="U674" s="35">
        <v>41908</v>
      </c>
      <c r="V674" s="35">
        <f t="shared" si="645"/>
        <v>1562827</v>
      </c>
      <c r="W674" s="35">
        <f t="shared" ref="W674:AP674" si="647">B674-B673</f>
        <v>453</v>
      </c>
      <c r="X674" s="35">
        <f t="shared" si="647"/>
        <v>634</v>
      </c>
      <c r="Y674" s="35">
        <f t="shared" si="647"/>
        <v>271</v>
      </c>
      <c r="Z674" s="35">
        <f t="shared" si="647"/>
        <v>402</v>
      </c>
      <c r="AA674" s="35">
        <f t="shared" si="647"/>
        <v>1507</v>
      </c>
      <c r="AB674" s="35">
        <f t="shared" si="647"/>
        <v>317</v>
      </c>
      <c r="AC674" s="35">
        <f t="shared" si="647"/>
        <v>421</v>
      </c>
      <c r="AD674" s="35">
        <f t="shared" si="647"/>
        <v>504</v>
      </c>
      <c r="AE674" s="35">
        <f t="shared" si="647"/>
        <v>534</v>
      </c>
      <c r="AF674" s="35">
        <f t="shared" si="647"/>
        <v>232</v>
      </c>
      <c r="AG674" s="35">
        <f t="shared" si="647"/>
        <v>316</v>
      </c>
      <c r="AH674" s="35">
        <f t="shared" si="647"/>
        <v>153</v>
      </c>
      <c r="AI674" s="35">
        <f t="shared" si="647"/>
        <v>141</v>
      </c>
      <c r="AJ674" s="35">
        <f t="shared" si="647"/>
        <v>1199</v>
      </c>
      <c r="AK674" s="35">
        <f t="shared" si="647"/>
        <v>275</v>
      </c>
      <c r="AL674" s="35">
        <f t="shared" si="647"/>
        <v>710</v>
      </c>
      <c r="AM674" s="35">
        <f t="shared" si="647"/>
        <v>264</v>
      </c>
      <c r="AN674" s="35">
        <f t="shared" si="647"/>
        <v>308</v>
      </c>
      <c r="AO674" s="35">
        <f t="shared" si="647"/>
        <v>508</v>
      </c>
      <c r="AP674" s="35">
        <f t="shared" si="647"/>
        <v>273</v>
      </c>
    </row>
    <row r="675" spans="1:42" ht="13">
      <c r="A675" s="36">
        <v>44594</v>
      </c>
      <c r="B675" s="35">
        <v>81145</v>
      </c>
      <c r="C675" s="35">
        <v>61490</v>
      </c>
      <c r="D675" s="35">
        <v>46421</v>
      </c>
      <c r="E675" s="35">
        <v>89567</v>
      </c>
      <c r="F675" s="35">
        <v>282194</v>
      </c>
      <c r="G675" s="35">
        <v>67253</v>
      </c>
      <c r="H675" s="35">
        <v>65752</v>
      </c>
      <c r="I675" s="35">
        <v>84150</v>
      </c>
      <c r="J675" s="35">
        <v>82766</v>
      </c>
      <c r="K675" s="35">
        <v>43834</v>
      </c>
      <c r="L675" s="35">
        <v>56975</v>
      </c>
      <c r="M675" s="35">
        <v>50106</v>
      </c>
      <c r="N675" s="35">
        <v>34843</v>
      </c>
      <c r="O675" s="35">
        <v>220749</v>
      </c>
      <c r="P675" s="35">
        <v>50385</v>
      </c>
      <c r="Q675" s="35">
        <v>82105</v>
      </c>
      <c r="R675" s="35">
        <v>33013</v>
      </c>
      <c r="S675" s="35">
        <v>45309</v>
      </c>
      <c r="T675" s="35">
        <v>62054</v>
      </c>
      <c r="U675" s="35">
        <v>42406</v>
      </c>
      <c r="V675" s="35">
        <f t="shared" si="645"/>
        <v>1582517</v>
      </c>
      <c r="W675" s="35">
        <f t="shared" ref="W675:AP675" si="648">B675-B674</f>
        <v>927</v>
      </c>
      <c r="X675" s="35">
        <f t="shared" si="648"/>
        <v>1343</v>
      </c>
      <c r="Y675" s="35">
        <f t="shared" si="648"/>
        <v>613</v>
      </c>
      <c r="Z675" s="35">
        <f t="shared" si="648"/>
        <v>1024</v>
      </c>
      <c r="AA675" s="35">
        <f t="shared" si="648"/>
        <v>2761</v>
      </c>
      <c r="AB675" s="35">
        <f t="shared" si="648"/>
        <v>608</v>
      </c>
      <c r="AC675" s="35">
        <f t="shared" si="648"/>
        <v>835</v>
      </c>
      <c r="AD675" s="35">
        <f t="shared" si="648"/>
        <v>1337</v>
      </c>
      <c r="AE675" s="35">
        <f t="shared" si="648"/>
        <v>901</v>
      </c>
      <c r="AF675" s="35">
        <f t="shared" si="648"/>
        <v>644</v>
      </c>
      <c r="AG675" s="35">
        <f t="shared" si="648"/>
        <v>561</v>
      </c>
      <c r="AH675" s="35">
        <f t="shared" si="648"/>
        <v>473</v>
      </c>
      <c r="AI675" s="35">
        <f t="shared" si="648"/>
        <v>384</v>
      </c>
      <c r="AJ675" s="35">
        <f t="shared" si="648"/>
        <v>2729</v>
      </c>
      <c r="AK675" s="35">
        <f t="shared" si="648"/>
        <v>689</v>
      </c>
      <c r="AL675" s="35">
        <f t="shared" si="648"/>
        <v>1576</v>
      </c>
      <c r="AM675" s="35">
        <f t="shared" si="648"/>
        <v>529</v>
      </c>
      <c r="AN675" s="35">
        <f t="shared" si="648"/>
        <v>549</v>
      </c>
      <c r="AO675" s="35">
        <f t="shared" si="648"/>
        <v>709</v>
      </c>
      <c r="AP675" s="35">
        <f t="shared" si="648"/>
        <v>498</v>
      </c>
    </row>
    <row r="676" spans="1:42" ht="13">
      <c r="A676" s="36">
        <v>44595</v>
      </c>
      <c r="B676" s="35">
        <v>81988</v>
      </c>
      <c r="C676" s="35">
        <v>62444</v>
      </c>
      <c r="D676" s="35">
        <v>46987</v>
      </c>
      <c r="E676" s="35">
        <v>90569</v>
      </c>
      <c r="F676" s="35">
        <v>284857</v>
      </c>
      <c r="G676" s="35">
        <v>68059</v>
      </c>
      <c r="H676" s="35">
        <v>66504</v>
      </c>
      <c r="I676" s="35">
        <v>85192</v>
      </c>
      <c r="J676" s="35">
        <v>83562</v>
      </c>
      <c r="K676" s="35">
        <v>44307</v>
      </c>
      <c r="L676" s="35">
        <v>57514</v>
      </c>
      <c r="M676" s="35">
        <v>50783</v>
      </c>
      <c r="N676" s="35">
        <v>35259</v>
      </c>
      <c r="O676" s="35">
        <v>222964</v>
      </c>
      <c r="P676" s="35">
        <v>50915</v>
      </c>
      <c r="Q676" s="35">
        <v>83339</v>
      </c>
      <c r="R676" s="35">
        <v>33539</v>
      </c>
      <c r="S676" s="35">
        <v>45889</v>
      </c>
      <c r="T676" s="35">
        <v>62825</v>
      </c>
      <c r="U676" s="35">
        <v>42915</v>
      </c>
      <c r="V676" s="35">
        <f t="shared" si="645"/>
        <v>1600411</v>
      </c>
      <c r="W676" s="35">
        <f t="shared" ref="W676:AP676" si="649">B676-B675</f>
        <v>843</v>
      </c>
      <c r="X676" s="35">
        <f t="shared" si="649"/>
        <v>954</v>
      </c>
      <c r="Y676" s="35">
        <f t="shared" si="649"/>
        <v>566</v>
      </c>
      <c r="Z676" s="35">
        <f t="shared" si="649"/>
        <v>1002</v>
      </c>
      <c r="AA676" s="35">
        <f t="shared" si="649"/>
        <v>2663</v>
      </c>
      <c r="AB676" s="35">
        <f t="shared" si="649"/>
        <v>806</v>
      </c>
      <c r="AC676" s="35">
        <f t="shared" si="649"/>
        <v>752</v>
      </c>
      <c r="AD676" s="35">
        <f t="shared" si="649"/>
        <v>1042</v>
      </c>
      <c r="AE676" s="35">
        <f t="shared" si="649"/>
        <v>796</v>
      </c>
      <c r="AF676" s="35">
        <f t="shared" si="649"/>
        <v>473</v>
      </c>
      <c r="AG676" s="35">
        <f t="shared" si="649"/>
        <v>539</v>
      </c>
      <c r="AH676" s="35">
        <f t="shared" si="649"/>
        <v>677</v>
      </c>
      <c r="AI676" s="35">
        <f t="shared" si="649"/>
        <v>416</v>
      </c>
      <c r="AJ676" s="35">
        <f t="shared" si="649"/>
        <v>2215</v>
      </c>
      <c r="AK676" s="35">
        <f t="shared" si="649"/>
        <v>530</v>
      </c>
      <c r="AL676" s="35">
        <f t="shared" si="649"/>
        <v>1234</v>
      </c>
      <c r="AM676" s="35">
        <f t="shared" si="649"/>
        <v>526</v>
      </c>
      <c r="AN676" s="35">
        <f t="shared" si="649"/>
        <v>580</v>
      </c>
      <c r="AO676" s="35">
        <f t="shared" si="649"/>
        <v>771</v>
      </c>
      <c r="AP676" s="35">
        <f t="shared" si="649"/>
        <v>509</v>
      </c>
    </row>
    <row r="677" spans="1:42" ht="13">
      <c r="A677" s="36">
        <v>44596</v>
      </c>
      <c r="B677" s="35">
        <v>82733</v>
      </c>
      <c r="C677" s="35">
        <v>63367</v>
      </c>
      <c r="D677" s="35">
        <v>47504</v>
      </c>
      <c r="E677" s="35">
        <v>91571</v>
      </c>
      <c r="F677" s="35">
        <v>287156</v>
      </c>
      <c r="G677" s="35">
        <v>68874</v>
      </c>
      <c r="H677" s="35">
        <v>67256</v>
      </c>
      <c r="I677" s="35">
        <v>86244</v>
      </c>
      <c r="J677" s="35">
        <v>84504</v>
      </c>
      <c r="K677" s="35">
        <v>44693</v>
      </c>
      <c r="L677" s="35">
        <v>58029</v>
      </c>
      <c r="M677" s="35">
        <v>51353</v>
      </c>
      <c r="N677" s="35">
        <v>35663</v>
      </c>
      <c r="O677" s="35">
        <v>224931</v>
      </c>
      <c r="P677" s="35">
        <v>51520</v>
      </c>
      <c r="Q677" s="35">
        <v>84429</v>
      </c>
      <c r="R677" s="35">
        <v>33945</v>
      </c>
      <c r="S677" s="35">
        <v>46272</v>
      </c>
      <c r="T677" s="35">
        <v>63522</v>
      </c>
      <c r="U677" s="35">
        <v>43280</v>
      </c>
      <c r="V677" s="35">
        <f t="shared" si="645"/>
        <v>1616846</v>
      </c>
      <c r="W677" s="35">
        <f t="shared" ref="W677:AP677" si="650">B677-B676</f>
        <v>745</v>
      </c>
      <c r="X677" s="35">
        <f t="shared" si="650"/>
        <v>923</v>
      </c>
      <c r="Y677" s="35">
        <f t="shared" si="650"/>
        <v>517</v>
      </c>
      <c r="Z677" s="35">
        <f t="shared" si="650"/>
        <v>1002</v>
      </c>
      <c r="AA677" s="35">
        <f t="shared" si="650"/>
        <v>2299</v>
      </c>
      <c r="AB677" s="35">
        <f t="shared" si="650"/>
        <v>815</v>
      </c>
      <c r="AC677" s="35">
        <f t="shared" si="650"/>
        <v>752</v>
      </c>
      <c r="AD677" s="35">
        <f t="shared" si="650"/>
        <v>1052</v>
      </c>
      <c r="AE677" s="35">
        <f t="shared" si="650"/>
        <v>942</v>
      </c>
      <c r="AF677" s="35">
        <f t="shared" si="650"/>
        <v>386</v>
      </c>
      <c r="AG677" s="35">
        <f t="shared" si="650"/>
        <v>515</v>
      </c>
      <c r="AH677" s="35">
        <f t="shared" si="650"/>
        <v>570</v>
      </c>
      <c r="AI677" s="35">
        <f t="shared" si="650"/>
        <v>404</v>
      </c>
      <c r="AJ677" s="35">
        <f t="shared" si="650"/>
        <v>1967</v>
      </c>
      <c r="AK677" s="35">
        <f t="shared" si="650"/>
        <v>605</v>
      </c>
      <c r="AL677" s="35">
        <f t="shared" si="650"/>
        <v>1090</v>
      </c>
      <c r="AM677" s="35">
        <f t="shared" si="650"/>
        <v>406</v>
      </c>
      <c r="AN677" s="35">
        <f t="shared" si="650"/>
        <v>383</v>
      </c>
      <c r="AO677" s="35">
        <f t="shared" si="650"/>
        <v>697</v>
      </c>
      <c r="AP677" s="35">
        <f t="shared" si="650"/>
        <v>365</v>
      </c>
    </row>
    <row r="678" spans="1:42" ht="13">
      <c r="A678" s="36">
        <v>44597</v>
      </c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</row>
    <row r="679" spans="1:42" ht="13">
      <c r="A679" s="36">
        <v>44598</v>
      </c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</row>
    <row r="680" spans="1:42" ht="13">
      <c r="A680" s="36">
        <v>44599</v>
      </c>
      <c r="B680" s="35">
        <v>84395</v>
      </c>
      <c r="C680" s="35">
        <v>65051</v>
      </c>
      <c r="D680" s="35">
        <v>48330</v>
      </c>
      <c r="E680" s="35">
        <v>93798</v>
      </c>
      <c r="F680" s="35">
        <v>291978</v>
      </c>
      <c r="G680" s="35">
        <v>70352</v>
      </c>
      <c r="H680" s="35">
        <v>68746</v>
      </c>
      <c r="I680" s="35">
        <v>88539</v>
      </c>
      <c r="J680" s="35">
        <v>86458</v>
      </c>
      <c r="K680" s="35">
        <v>45587</v>
      </c>
      <c r="L680" s="35">
        <v>59260</v>
      </c>
      <c r="M680" s="35">
        <v>52579</v>
      </c>
      <c r="N680" s="35">
        <v>36434</v>
      </c>
      <c r="O680" s="35">
        <v>228947</v>
      </c>
      <c r="P680" s="35">
        <v>52533</v>
      </c>
      <c r="Q680" s="35">
        <v>86362</v>
      </c>
      <c r="R680" s="35">
        <v>34636</v>
      </c>
      <c r="S680" s="35">
        <v>47390</v>
      </c>
      <c r="T680" s="35">
        <v>65030</v>
      </c>
      <c r="U680" s="35">
        <v>44157</v>
      </c>
      <c r="V680" s="35">
        <f t="shared" ref="V680:V684" si="651">SUM(B680:U680)</f>
        <v>1650562</v>
      </c>
      <c r="W680" s="35">
        <f t="shared" ref="W680:AP680" si="652">B680-B677</f>
        <v>1662</v>
      </c>
      <c r="X680" s="35">
        <f t="shared" si="652"/>
        <v>1684</v>
      </c>
      <c r="Y680" s="35">
        <f t="shared" si="652"/>
        <v>826</v>
      </c>
      <c r="Z680" s="35">
        <f t="shared" si="652"/>
        <v>2227</v>
      </c>
      <c r="AA680" s="35">
        <f t="shared" si="652"/>
        <v>4822</v>
      </c>
      <c r="AB680" s="35">
        <f t="shared" si="652"/>
        <v>1478</v>
      </c>
      <c r="AC680" s="35">
        <f t="shared" si="652"/>
        <v>1490</v>
      </c>
      <c r="AD680" s="35">
        <f t="shared" si="652"/>
        <v>2295</v>
      </c>
      <c r="AE680" s="35">
        <f t="shared" si="652"/>
        <v>1954</v>
      </c>
      <c r="AF680" s="35">
        <f t="shared" si="652"/>
        <v>894</v>
      </c>
      <c r="AG680" s="35">
        <f t="shared" si="652"/>
        <v>1231</v>
      </c>
      <c r="AH680" s="35">
        <f t="shared" si="652"/>
        <v>1226</v>
      </c>
      <c r="AI680" s="35">
        <f t="shared" si="652"/>
        <v>771</v>
      </c>
      <c r="AJ680" s="35">
        <f t="shared" si="652"/>
        <v>4016</v>
      </c>
      <c r="AK680" s="35">
        <f t="shared" si="652"/>
        <v>1013</v>
      </c>
      <c r="AL680" s="35">
        <f t="shared" si="652"/>
        <v>1933</v>
      </c>
      <c r="AM680" s="35">
        <f t="shared" si="652"/>
        <v>691</v>
      </c>
      <c r="AN680" s="35">
        <f t="shared" si="652"/>
        <v>1118</v>
      </c>
      <c r="AO680" s="35">
        <f t="shared" si="652"/>
        <v>1508</v>
      </c>
      <c r="AP680" s="35">
        <f t="shared" si="652"/>
        <v>877</v>
      </c>
    </row>
    <row r="681" spans="1:42" ht="13">
      <c r="A681" s="36">
        <v>44600</v>
      </c>
      <c r="B681" s="35">
        <v>84723</v>
      </c>
      <c r="C681" s="35">
        <v>65491</v>
      </c>
      <c r="D681" s="35">
        <v>48590</v>
      </c>
      <c r="E681" s="35">
        <v>94086</v>
      </c>
      <c r="F681" s="35">
        <v>293055</v>
      </c>
      <c r="G681" s="35">
        <v>70565</v>
      </c>
      <c r="H681" s="35">
        <v>69036</v>
      </c>
      <c r="I681" s="35">
        <v>88918</v>
      </c>
      <c r="J681" s="35">
        <v>86841</v>
      </c>
      <c r="K681" s="35">
        <v>45857</v>
      </c>
      <c r="L681" s="35">
        <v>59531</v>
      </c>
      <c r="M681" s="35">
        <v>52703</v>
      </c>
      <c r="N681" s="35">
        <v>36507</v>
      </c>
      <c r="O681" s="35">
        <v>229836</v>
      </c>
      <c r="P681" s="35">
        <v>52733</v>
      </c>
      <c r="Q681" s="35">
        <v>86945</v>
      </c>
      <c r="R681" s="35">
        <v>34820</v>
      </c>
      <c r="S681" s="35">
        <v>47689</v>
      </c>
      <c r="T681" s="35">
        <v>65320</v>
      </c>
      <c r="U681" s="35">
        <v>44369</v>
      </c>
      <c r="V681" s="35">
        <f t="shared" si="651"/>
        <v>1657615</v>
      </c>
      <c r="W681" s="35">
        <f t="shared" ref="W681:AP681" si="653">B681-B680</f>
        <v>328</v>
      </c>
      <c r="X681" s="35">
        <f t="shared" si="653"/>
        <v>440</v>
      </c>
      <c r="Y681" s="35">
        <f t="shared" si="653"/>
        <v>260</v>
      </c>
      <c r="Z681" s="35">
        <f t="shared" si="653"/>
        <v>288</v>
      </c>
      <c r="AA681" s="35">
        <f t="shared" si="653"/>
        <v>1077</v>
      </c>
      <c r="AB681" s="35">
        <f t="shared" si="653"/>
        <v>213</v>
      </c>
      <c r="AC681" s="35">
        <f t="shared" si="653"/>
        <v>290</v>
      </c>
      <c r="AD681" s="35">
        <f t="shared" si="653"/>
        <v>379</v>
      </c>
      <c r="AE681" s="35">
        <f t="shared" si="653"/>
        <v>383</v>
      </c>
      <c r="AF681" s="35">
        <f t="shared" si="653"/>
        <v>270</v>
      </c>
      <c r="AG681" s="35">
        <f t="shared" si="653"/>
        <v>271</v>
      </c>
      <c r="AH681" s="35">
        <f t="shared" si="653"/>
        <v>124</v>
      </c>
      <c r="AI681" s="35">
        <f t="shared" si="653"/>
        <v>73</v>
      </c>
      <c r="AJ681" s="35">
        <f t="shared" si="653"/>
        <v>889</v>
      </c>
      <c r="AK681" s="35">
        <f t="shared" si="653"/>
        <v>200</v>
      </c>
      <c r="AL681" s="35">
        <f t="shared" si="653"/>
        <v>583</v>
      </c>
      <c r="AM681" s="35">
        <f t="shared" si="653"/>
        <v>184</v>
      </c>
      <c r="AN681" s="35">
        <f t="shared" si="653"/>
        <v>299</v>
      </c>
      <c r="AO681" s="35">
        <f t="shared" si="653"/>
        <v>290</v>
      </c>
      <c r="AP681" s="35">
        <f t="shared" si="653"/>
        <v>212</v>
      </c>
    </row>
    <row r="682" spans="1:42" ht="13">
      <c r="A682" s="36">
        <v>44601</v>
      </c>
      <c r="B682" s="35">
        <v>85431</v>
      </c>
      <c r="C682" s="35">
        <v>66482</v>
      </c>
      <c r="D682" s="35">
        <v>49067</v>
      </c>
      <c r="E682" s="35">
        <v>94947</v>
      </c>
      <c r="F682" s="35">
        <v>294939</v>
      </c>
      <c r="G682" s="35">
        <v>71022</v>
      </c>
      <c r="H682" s="35">
        <v>69539</v>
      </c>
      <c r="I682" s="35">
        <v>89710</v>
      </c>
      <c r="J682" s="35">
        <v>87547</v>
      </c>
      <c r="K682" s="35">
        <v>46266</v>
      </c>
      <c r="L682" s="35">
        <v>59976</v>
      </c>
      <c r="M682" s="35">
        <v>53062</v>
      </c>
      <c r="N682" s="35">
        <v>36865</v>
      </c>
      <c r="O682" s="35">
        <v>231609</v>
      </c>
      <c r="P682" s="35">
        <v>53182</v>
      </c>
      <c r="Q682" s="35">
        <v>87989</v>
      </c>
      <c r="R682" s="35">
        <v>35197</v>
      </c>
      <c r="S682" s="35">
        <v>48076</v>
      </c>
      <c r="T682" s="35">
        <v>65843</v>
      </c>
      <c r="U682" s="35">
        <v>44798</v>
      </c>
      <c r="V682" s="35">
        <f t="shared" si="651"/>
        <v>1671547</v>
      </c>
      <c r="W682" s="35">
        <f t="shared" ref="W682:AP682" si="654">B682-B681</f>
        <v>708</v>
      </c>
      <c r="X682" s="35">
        <f t="shared" si="654"/>
        <v>991</v>
      </c>
      <c r="Y682" s="35">
        <f t="shared" si="654"/>
        <v>477</v>
      </c>
      <c r="Z682" s="35">
        <f t="shared" si="654"/>
        <v>861</v>
      </c>
      <c r="AA682" s="35">
        <f t="shared" si="654"/>
        <v>1884</v>
      </c>
      <c r="AB682" s="35">
        <f t="shared" si="654"/>
        <v>457</v>
      </c>
      <c r="AC682" s="35">
        <f t="shared" si="654"/>
        <v>503</v>
      </c>
      <c r="AD682" s="35">
        <f t="shared" si="654"/>
        <v>792</v>
      </c>
      <c r="AE682" s="35">
        <f t="shared" si="654"/>
        <v>706</v>
      </c>
      <c r="AF682" s="35">
        <f t="shared" si="654"/>
        <v>409</v>
      </c>
      <c r="AG682" s="35">
        <f t="shared" si="654"/>
        <v>445</v>
      </c>
      <c r="AH682" s="35">
        <f t="shared" si="654"/>
        <v>359</v>
      </c>
      <c r="AI682" s="35">
        <f t="shared" si="654"/>
        <v>358</v>
      </c>
      <c r="AJ682" s="35">
        <f t="shared" si="654"/>
        <v>1773</v>
      </c>
      <c r="AK682" s="35">
        <f t="shared" si="654"/>
        <v>449</v>
      </c>
      <c r="AL682" s="35">
        <f t="shared" si="654"/>
        <v>1044</v>
      </c>
      <c r="AM682" s="35">
        <f t="shared" si="654"/>
        <v>377</v>
      </c>
      <c r="AN682" s="35">
        <f t="shared" si="654"/>
        <v>387</v>
      </c>
      <c r="AO682" s="35">
        <f t="shared" si="654"/>
        <v>523</v>
      </c>
      <c r="AP682" s="35">
        <f t="shared" si="654"/>
        <v>429</v>
      </c>
    </row>
    <row r="683" spans="1:42" ht="13">
      <c r="A683" s="36">
        <v>44602</v>
      </c>
      <c r="B683" s="35">
        <v>86053</v>
      </c>
      <c r="C683" s="35">
        <v>67201</v>
      </c>
      <c r="D683" s="35">
        <v>49454</v>
      </c>
      <c r="E683" s="35">
        <v>95824</v>
      </c>
      <c r="F683" s="35">
        <v>296734</v>
      </c>
      <c r="G683" s="35">
        <v>71563</v>
      </c>
      <c r="H683" s="35">
        <v>70091</v>
      </c>
      <c r="I683" s="35">
        <v>90447</v>
      </c>
      <c r="J683" s="35">
        <v>88226</v>
      </c>
      <c r="K683" s="35">
        <v>46608</v>
      </c>
      <c r="L683" s="35">
        <v>60377</v>
      </c>
      <c r="M683" s="35">
        <v>53462</v>
      </c>
      <c r="N683" s="35">
        <v>37156</v>
      </c>
      <c r="O683" s="35">
        <v>233182</v>
      </c>
      <c r="P683" s="35">
        <v>53650</v>
      </c>
      <c r="Q683" s="35">
        <v>88868</v>
      </c>
      <c r="R683" s="35">
        <v>35531</v>
      </c>
      <c r="S683" s="35">
        <v>48484</v>
      </c>
      <c r="T683" s="35">
        <v>66378</v>
      </c>
      <c r="U683" s="35">
        <v>45143</v>
      </c>
      <c r="V683" s="35">
        <f t="shared" si="651"/>
        <v>1684432</v>
      </c>
      <c r="W683" s="35">
        <f t="shared" ref="W683:AP683" si="655">B683-B682</f>
        <v>622</v>
      </c>
      <c r="X683" s="35">
        <f t="shared" si="655"/>
        <v>719</v>
      </c>
      <c r="Y683" s="35">
        <f t="shared" si="655"/>
        <v>387</v>
      </c>
      <c r="Z683" s="35">
        <f t="shared" si="655"/>
        <v>877</v>
      </c>
      <c r="AA683" s="35">
        <f t="shared" si="655"/>
        <v>1795</v>
      </c>
      <c r="AB683" s="35">
        <f t="shared" si="655"/>
        <v>541</v>
      </c>
      <c r="AC683" s="35">
        <f t="shared" si="655"/>
        <v>552</v>
      </c>
      <c r="AD683" s="35">
        <f t="shared" si="655"/>
        <v>737</v>
      </c>
      <c r="AE683" s="35">
        <f t="shared" si="655"/>
        <v>679</v>
      </c>
      <c r="AF683" s="35">
        <f t="shared" si="655"/>
        <v>342</v>
      </c>
      <c r="AG683" s="35">
        <f t="shared" si="655"/>
        <v>401</v>
      </c>
      <c r="AH683" s="35">
        <f t="shared" si="655"/>
        <v>400</v>
      </c>
      <c r="AI683" s="35">
        <f t="shared" si="655"/>
        <v>291</v>
      </c>
      <c r="AJ683" s="35">
        <f t="shared" si="655"/>
        <v>1573</v>
      </c>
      <c r="AK683" s="35">
        <f t="shared" si="655"/>
        <v>468</v>
      </c>
      <c r="AL683" s="35">
        <f t="shared" si="655"/>
        <v>879</v>
      </c>
      <c r="AM683" s="35">
        <f t="shared" si="655"/>
        <v>334</v>
      </c>
      <c r="AN683" s="35">
        <f t="shared" si="655"/>
        <v>408</v>
      </c>
      <c r="AO683" s="35">
        <f t="shared" si="655"/>
        <v>535</v>
      </c>
      <c r="AP683" s="35">
        <f t="shared" si="655"/>
        <v>345</v>
      </c>
    </row>
    <row r="684" spans="1:42" ht="13">
      <c r="A684" s="36">
        <v>44603</v>
      </c>
      <c r="B684" s="35">
        <v>86586</v>
      </c>
      <c r="C684" s="35">
        <v>67796</v>
      </c>
      <c r="D684" s="35">
        <v>49837</v>
      </c>
      <c r="E684" s="35">
        <v>96755</v>
      </c>
      <c r="F684" s="35">
        <v>298310</v>
      </c>
      <c r="G684" s="35">
        <v>72102</v>
      </c>
      <c r="H684" s="35">
        <v>70644</v>
      </c>
      <c r="I684" s="35">
        <v>91088</v>
      </c>
      <c r="J684" s="35">
        <v>88885</v>
      </c>
      <c r="K684" s="35">
        <v>46918</v>
      </c>
      <c r="L684" s="35">
        <v>60751</v>
      </c>
      <c r="M684" s="35">
        <v>53863</v>
      </c>
      <c r="N684" s="35">
        <v>37404</v>
      </c>
      <c r="O684" s="35">
        <v>234402</v>
      </c>
      <c r="P684" s="35">
        <v>53957</v>
      </c>
      <c r="Q684" s="35">
        <v>89641</v>
      </c>
      <c r="R684" s="35">
        <v>35842</v>
      </c>
      <c r="S684" s="35">
        <v>48881</v>
      </c>
      <c r="T684" s="35">
        <v>66890</v>
      </c>
      <c r="U684" s="35">
        <v>45439</v>
      </c>
      <c r="V684" s="35">
        <f t="shared" si="651"/>
        <v>1695991</v>
      </c>
      <c r="W684" s="35">
        <f t="shared" ref="W684:AP684" si="656">B684-B683</f>
        <v>533</v>
      </c>
      <c r="X684" s="35">
        <f t="shared" si="656"/>
        <v>595</v>
      </c>
      <c r="Y684" s="35">
        <f t="shared" si="656"/>
        <v>383</v>
      </c>
      <c r="Z684" s="35">
        <f t="shared" si="656"/>
        <v>931</v>
      </c>
      <c r="AA684" s="35">
        <f t="shared" si="656"/>
        <v>1576</v>
      </c>
      <c r="AB684" s="35">
        <f t="shared" si="656"/>
        <v>539</v>
      </c>
      <c r="AC684" s="35">
        <f t="shared" si="656"/>
        <v>553</v>
      </c>
      <c r="AD684" s="35">
        <f t="shared" si="656"/>
        <v>641</v>
      </c>
      <c r="AE684" s="35">
        <f t="shared" si="656"/>
        <v>659</v>
      </c>
      <c r="AF684" s="35">
        <f t="shared" si="656"/>
        <v>310</v>
      </c>
      <c r="AG684" s="35">
        <f t="shared" si="656"/>
        <v>374</v>
      </c>
      <c r="AH684" s="35">
        <f t="shared" si="656"/>
        <v>401</v>
      </c>
      <c r="AI684" s="35">
        <f t="shared" si="656"/>
        <v>248</v>
      </c>
      <c r="AJ684" s="35">
        <f t="shared" si="656"/>
        <v>1220</v>
      </c>
      <c r="AK684" s="35">
        <f t="shared" si="656"/>
        <v>307</v>
      </c>
      <c r="AL684" s="35">
        <f t="shared" si="656"/>
        <v>773</v>
      </c>
      <c r="AM684" s="35">
        <f t="shared" si="656"/>
        <v>311</v>
      </c>
      <c r="AN684" s="35">
        <f t="shared" si="656"/>
        <v>397</v>
      </c>
      <c r="AO684" s="35">
        <f t="shared" si="656"/>
        <v>512</v>
      </c>
      <c r="AP684" s="35">
        <f t="shared" si="656"/>
        <v>296</v>
      </c>
    </row>
    <row r="685" spans="1:42" ht="13">
      <c r="A685" s="36">
        <v>44604</v>
      </c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</row>
    <row r="686" spans="1:42" ht="13">
      <c r="A686" s="36">
        <v>44605</v>
      </c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</row>
    <row r="687" spans="1:42" ht="13">
      <c r="A687" s="36">
        <v>44606</v>
      </c>
      <c r="B687" s="35">
        <v>87546</v>
      </c>
      <c r="C687" s="35">
        <v>68906</v>
      </c>
      <c r="D687" s="35">
        <v>50302</v>
      </c>
      <c r="E687" s="35">
        <v>98460</v>
      </c>
      <c r="F687" s="35">
        <v>301403</v>
      </c>
      <c r="G687" s="35">
        <v>73070</v>
      </c>
      <c r="H687" s="35">
        <v>71645</v>
      </c>
      <c r="I687" s="35">
        <v>92314</v>
      </c>
      <c r="J687" s="35">
        <v>90246</v>
      </c>
      <c r="K687" s="35">
        <v>47415</v>
      </c>
      <c r="L687" s="35">
        <v>61471</v>
      </c>
      <c r="M687" s="35">
        <v>54503</v>
      </c>
      <c r="N687" s="35">
        <v>37896</v>
      </c>
      <c r="O687" s="35">
        <v>236741</v>
      </c>
      <c r="P687" s="35">
        <v>54505</v>
      </c>
      <c r="Q687" s="35">
        <v>90994</v>
      </c>
      <c r="R687" s="35">
        <v>36304</v>
      </c>
      <c r="S687" s="35">
        <v>49676</v>
      </c>
      <c r="T687" s="35">
        <v>67828</v>
      </c>
      <c r="U687" s="35">
        <v>45847</v>
      </c>
      <c r="V687" s="35">
        <f t="shared" ref="V687:V691" si="657">SUM(B687:U687)</f>
        <v>1717072</v>
      </c>
      <c r="W687" s="35">
        <f t="shared" ref="W687:AP687" si="658">B687-B684</f>
        <v>960</v>
      </c>
      <c r="X687" s="35">
        <f t="shared" si="658"/>
        <v>1110</v>
      </c>
      <c r="Y687" s="35">
        <f t="shared" si="658"/>
        <v>465</v>
      </c>
      <c r="Z687" s="35">
        <f t="shared" si="658"/>
        <v>1705</v>
      </c>
      <c r="AA687" s="35">
        <f t="shared" si="658"/>
        <v>3093</v>
      </c>
      <c r="AB687" s="35">
        <f t="shared" si="658"/>
        <v>968</v>
      </c>
      <c r="AC687" s="35">
        <f t="shared" si="658"/>
        <v>1001</v>
      </c>
      <c r="AD687" s="35">
        <f t="shared" si="658"/>
        <v>1226</v>
      </c>
      <c r="AE687" s="35">
        <f t="shared" si="658"/>
        <v>1361</v>
      </c>
      <c r="AF687" s="35">
        <f t="shared" si="658"/>
        <v>497</v>
      </c>
      <c r="AG687" s="35">
        <f t="shared" si="658"/>
        <v>720</v>
      </c>
      <c r="AH687" s="35">
        <f t="shared" si="658"/>
        <v>640</v>
      </c>
      <c r="AI687" s="35">
        <f t="shared" si="658"/>
        <v>492</v>
      </c>
      <c r="AJ687" s="35">
        <f t="shared" si="658"/>
        <v>2339</v>
      </c>
      <c r="AK687" s="35">
        <f t="shared" si="658"/>
        <v>548</v>
      </c>
      <c r="AL687" s="35">
        <f t="shared" si="658"/>
        <v>1353</v>
      </c>
      <c r="AM687" s="35">
        <f t="shared" si="658"/>
        <v>462</v>
      </c>
      <c r="AN687" s="35">
        <f t="shared" si="658"/>
        <v>795</v>
      </c>
      <c r="AO687" s="35">
        <f t="shared" si="658"/>
        <v>938</v>
      </c>
      <c r="AP687" s="35">
        <f t="shared" si="658"/>
        <v>408</v>
      </c>
    </row>
    <row r="688" spans="1:42" ht="13">
      <c r="A688" s="36">
        <v>44607</v>
      </c>
      <c r="B688" s="35">
        <v>87737</v>
      </c>
      <c r="C688" s="35">
        <v>69261</v>
      </c>
      <c r="D688" s="35">
        <v>50475</v>
      </c>
      <c r="E688" s="35">
        <v>98681</v>
      </c>
      <c r="F688" s="35">
        <v>301948</v>
      </c>
      <c r="G688" s="35">
        <v>73261</v>
      </c>
      <c r="H688" s="35">
        <v>71801</v>
      </c>
      <c r="I688" s="35">
        <v>92562</v>
      </c>
      <c r="J688" s="35">
        <v>90450</v>
      </c>
      <c r="K688" s="35">
        <v>47554</v>
      </c>
      <c r="L688" s="35">
        <v>61596</v>
      </c>
      <c r="M688" s="35">
        <v>54672</v>
      </c>
      <c r="N688" s="35">
        <v>37946</v>
      </c>
      <c r="O688" s="35">
        <v>237222</v>
      </c>
      <c r="P688" s="35">
        <v>54627</v>
      </c>
      <c r="Q688" s="35">
        <v>91369</v>
      </c>
      <c r="R688" s="35">
        <v>36450</v>
      </c>
      <c r="S688" s="35">
        <v>49797</v>
      </c>
      <c r="T688" s="35">
        <v>68049</v>
      </c>
      <c r="U688" s="35">
        <v>46025</v>
      </c>
      <c r="V688" s="35">
        <f t="shared" si="657"/>
        <v>1721483</v>
      </c>
      <c r="W688" s="35">
        <f t="shared" ref="W688:AP688" si="659">B688-B687</f>
        <v>191</v>
      </c>
      <c r="X688" s="35">
        <f t="shared" si="659"/>
        <v>355</v>
      </c>
      <c r="Y688" s="35">
        <f t="shared" si="659"/>
        <v>173</v>
      </c>
      <c r="Z688" s="35">
        <f t="shared" si="659"/>
        <v>221</v>
      </c>
      <c r="AA688" s="35">
        <f t="shared" si="659"/>
        <v>545</v>
      </c>
      <c r="AB688" s="35">
        <f t="shared" si="659"/>
        <v>191</v>
      </c>
      <c r="AC688" s="35">
        <f t="shared" si="659"/>
        <v>156</v>
      </c>
      <c r="AD688" s="35">
        <f t="shared" si="659"/>
        <v>248</v>
      </c>
      <c r="AE688" s="35">
        <f t="shared" si="659"/>
        <v>204</v>
      </c>
      <c r="AF688" s="35">
        <f t="shared" si="659"/>
        <v>139</v>
      </c>
      <c r="AG688" s="35">
        <f t="shared" si="659"/>
        <v>125</v>
      </c>
      <c r="AH688" s="35">
        <f t="shared" si="659"/>
        <v>169</v>
      </c>
      <c r="AI688" s="35">
        <f t="shared" si="659"/>
        <v>50</v>
      </c>
      <c r="AJ688" s="35">
        <f t="shared" si="659"/>
        <v>481</v>
      </c>
      <c r="AK688" s="35">
        <f t="shared" si="659"/>
        <v>122</v>
      </c>
      <c r="AL688" s="35">
        <f t="shared" si="659"/>
        <v>375</v>
      </c>
      <c r="AM688" s="35">
        <f t="shared" si="659"/>
        <v>146</v>
      </c>
      <c r="AN688" s="35">
        <f t="shared" si="659"/>
        <v>121</v>
      </c>
      <c r="AO688" s="35">
        <f t="shared" si="659"/>
        <v>221</v>
      </c>
      <c r="AP688" s="35">
        <f t="shared" si="659"/>
        <v>178</v>
      </c>
    </row>
    <row r="689" spans="1:42" ht="13">
      <c r="A689" s="36">
        <v>44608</v>
      </c>
      <c r="B689" s="35">
        <v>88146</v>
      </c>
      <c r="C689" s="35">
        <v>69927</v>
      </c>
      <c r="D689" s="35">
        <v>50751</v>
      </c>
      <c r="E689" s="35">
        <v>99295</v>
      </c>
      <c r="F689" s="35">
        <v>303230</v>
      </c>
      <c r="G689" s="35">
        <v>73549</v>
      </c>
      <c r="H689" s="35">
        <v>72172</v>
      </c>
      <c r="I689" s="35">
        <v>93044</v>
      </c>
      <c r="J689" s="35">
        <v>90910</v>
      </c>
      <c r="K689" s="35">
        <v>47768</v>
      </c>
      <c r="L689" s="35">
        <v>61862</v>
      </c>
      <c r="M689" s="35">
        <v>54890</v>
      </c>
      <c r="N689" s="35">
        <v>38196</v>
      </c>
      <c r="O689" s="35">
        <v>238229</v>
      </c>
      <c r="P689" s="35">
        <v>54886</v>
      </c>
      <c r="Q689" s="35">
        <v>92109</v>
      </c>
      <c r="R689" s="35">
        <v>36687</v>
      </c>
      <c r="S689" s="35">
        <v>50030</v>
      </c>
      <c r="T689" s="35">
        <v>68410</v>
      </c>
      <c r="U689" s="35">
        <v>46275</v>
      </c>
      <c r="V689" s="35">
        <f t="shared" si="657"/>
        <v>1730366</v>
      </c>
      <c r="W689" s="35">
        <f t="shared" ref="W689:AP689" si="660">B689-B688</f>
        <v>409</v>
      </c>
      <c r="X689" s="35">
        <f t="shared" si="660"/>
        <v>666</v>
      </c>
      <c r="Y689" s="35">
        <f t="shared" si="660"/>
        <v>276</v>
      </c>
      <c r="Z689" s="35">
        <f t="shared" si="660"/>
        <v>614</v>
      </c>
      <c r="AA689" s="35">
        <f t="shared" si="660"/>
        <v>1282</v>
      </c>
      <c r="AB689" s="35">
        <f t="shared" si="660"/>
        <v>288</v>
      </c>
      <c r="AC689" s="35">
        <f t="shared" si="660"/>
        <v>371</v>
      </c>
      <c r="AD689" s="35">
        <f t="shared" si="660"/>
        <v>482</v>
      </c>
      <c r="AE689" s="35">
        <f t="shared" si="660"/>
        <v>460</v>
      </c>
      <c r="AF689" s="35">
        <f t="shared" si="660"/>
        <v>214</v>
      </c>
      <c r="AG689" s="35">
        <f t="shared" si="660"/>
        <v>266</v>
      </c>
      <c r="AH689" s="35">
        <f t="shared" si="660"/>
        <v>218</v>
      </c>
      <c r="AI689" s="35">
        <f t="shared" si="660"/>
        <v>250</v>
      </c>
      <c r="AJ689" s="35">
        <f t="shared" si="660"/>
        <v>1007</v>
      </c>
      <c r="AK689" s="35">
        <f t="shared" si="660"/>
        <v>259</v>
      </c>
      <c r="AL689" s="35">
        <f t="shared" si="660"/>
        <v>740</v>
      </c>
      <c r="AM689" s="35">
        <f t="shared" si="660"/>
        <v>237</v>
      </c>
      <c r="AN689" s="35">
        <f t="shared" si="660"/>
        <v>233</v>
      </c>
      <c r="AO689" s="35">
        <f t="shared" si="660"/>
        <v>361</v>
      </c>
      <c r="AP689" s="35">
        <f t="shared" si="660"/>
        <v>250</v>
      </c>
    </row>
    <row r="690" spans="1:42" ht="13">
      <c r="A690" s="36">
        <v>44609</v>
      </c>
      <c r="B690" s="35">
        <v>88509</v>
      </c>
      <c r="C690" s="35">
        <v>70468</v>
      </c>
      <c r="D690" s="35">
        <v>50989</v>
      </c>
      <c r="E690" s="35">
        <v>99971</v>
      </c>
      <c r="F690" s="35">
        <v>304547</v>
      </c>
      <c r="G690" s="35">
        <v>73959</v>
      </c>
      <c r="H690" s="35">
        <v>72504</v>
      </c>
      <c r="I690" s="35">
        <v>93475</v>
      </c>
      <c r="J690" s="35">
        <v>91346</v>
      </c>
      <c r="K690" s="35">
        <v>48004</v>
      </c>
      <c r="L690" s="35">
        <v>62140</v>
      </c>
      <c r="M690" s="35">
        <v>55128</v>
      </c>
      <c r="N690" s="35">
        <v>38420</v>
      </c>
      <c r="O690" s="35">
        <v>239129</v>
      </c>
      <c r="P690" s="35">
        <v>55167</v>
      </c>
      <c r="Q690" s="35">
        <v>92728</v>
      </c>
      <c r="R690" s="35">
        <v>36915</v>
      </c>
      <c r="S690" s="35">
        <v>50270</v>
      </c>
      <c r="T690" s="35">
        <v>68793</v>
      </c>
      <c r="U690" s="35">
        <v>46482</v>
      </c>
      <c r="V690" s="35">
        <f t="shared" si="657"/>
        <v>1738944</v>
      </c>
      <c r="W690" s="35">
        <f t="shared" ref="W690:AP690" si="661">B690-B689</f>
        <v>363</v>
      </c>
      <c r="X690" s="35">
        <f t="shared" si="661"/>
        <v>541</v>
      </c>
      <c r="Y690" s="35">
        <f t="shared" si="661"/>
        <v>238</v>
      </c>
      <c r="Z690" s="35">
        <f t="shared" si="661"/>
        <v>676</v>
      </c>
      <c r="AA690" s="35">
        <f t="shared" si="661"/>
        <v>1317</v>
      </c>
      <c r="AB690" s="35">
        <f t="shared" si="661"/>
        <v>410</v>
      </c>
      <c r="AC690" s="35">
        <f t="shared" si="661"/>
        <v>332</v>
      </c>
      <c r="AD690" s="35">
        <f t="shared" si="661"/>
        <v>431</v>
      </c>
      <c r="AE690" s="35">
        <f t="shared" si="661"/>
        <v>436</v>
      </c>
      <c r="AF690" s="35">
        <f t="shared" si="661"/>
        <v>236</v>
      </c>
      <c r="AG690" s="35">
        <f t="shared" si="661"/>
        <v>278</v>
      </c>
      <c r="AH690" s="35">
        <f t="shared" si="661"/>
        <v>238</v>
      </c>
      <c r="AI690" s="35">
        <f t="shared" si="661"/>
        <v>224</v>
      </c>
      <c r="AJ690" s="35">
        <f t="shared" si="661"/>
        <v>900</v>
      </c>
      <c r="AK690" s="35">
        <f t="shared" si="661"/>
        <v>281</v>
      </c>
      <c r="AL690" s="35">
        <f t="shared" si="661"/>
        <v>619</v>
      </c>
      <c r="AM690" s="35">
        <f t="shared" si="661"/>
        <v>228</v>
      </c>
      <c r="AN690" s="35">
        <f t="shared" si="661"/>
        <v>240</v>
      </c>
      <c r="AO690" s="35">
        <f t="shared" si="661"/>
        <v>383</v>
      </c>
      <c r="AP690" s="35">
        <f t="shared" si="661"/>
        <v>207</v>
      </c>
    </row>
    <row r="691" spans="1:42" ht="13">
      <c r="A691" s="36">
        <v>44610</v>
      </c>
      <c r="B691" s="35">
        <v>88816</v>
      </c>
      <c r="C691" s="35">
        <v>70935</v>
      </c>
      <c r="D691" s="35">
        <v>51231</v>
      </c>
      <c r="E691" s="35">
        <v>100648</v>
      </c>
      <c r="F691" s="35">
        <v>305562</v>
      </c>
      <c r="G691" s="35">
        <v>74257</v>
      </c>
      <c r="H691" s="35">
        <v>72836</v>
      </c>
      <c r="I691" s="35">
        <v>93891</v>
      </c>
      <c r="J691" s="35">
        <v>91802</v>
      </c>
      <c r="K691" s="35">
        <v>48236</v>
      </c>
      <c r="L691" s="35">
        <v>62406</v>
      </c>
      <c r="M691" s="35">
        <v>55389</v>
      </c>
      <c r="N691" s="35">
        <v>38611</v>
      </c>
      <c r="O691" s="35">
        <v>239840</v>
      </c>
      <c r="P691" s="35">
        <v>55378</v>
      </c>
      <c r="Q691" s="35">
        <v>93265</v>
      </c>
      <c r="R691" s="35">
        <v>37099</v>
      </c>
      <c r="S691" s="35">
        <v>50474</v>
      </c>
      <c r="T691" s="35">
        <v>69127</v>
      </c>
      <c r="U691" s="35">
        <v>46621</v>
      </c>
      <c r="V691" s="35">
        <f t="shared" si="657"/>
        <v>1746424</v>
      </c>
      <c r="W691" s="35">
        <f t="shared" ref="W691:AP691" si="662">B691-B690</f>
        <v>307</v>
      </c>
      <c r="X691" s="35">
        <f t="shared" si="662"/>
        <v>467</v>
      </c>
      <c r="Y691" s="35">
        <f t="shared" si="662"/>
        <v>242</v>
      </c>
      <c r="Z691" s="35">
        <f t="shared" si="662"/>
        <v>677</v>
      </c>
      <c r="AA691" s="35">
        <f t="shared" si="662"/>
        <v>1015</v>
      </c>
      <c r="AB691" s="35">
        <f t="shared" si="662"/>
        <v>298</v>
      </c>
      <c r="AC691" s="35">
        <f t="shared" si="662"/>
        <v>332</v>
      </c>
      <c r="AD691" s="35">
        <f t="shared" si="662"/>
        <v>416</v>
      </c>
      <c r="AE691" s="35">
        <f t="shared" si="662"/>
        <v>456</v>
      </c>
      <c r="AF691" s="35">
        <f t="shared" si="662"/>
        <v>232</v>
      </c>
      <c r="AG691" s="35">
        <f t="shared" si="662"/>
        <v>266</v>
      </c>
      <c r="AH691" s="35">
        <f t="shared" si="662"/>
        <v>261</v>
      </c>
      <c r="AI691" s="35">
        <f t="shared" si="662"/>
        <v>191</v>
      </c>
      <c r="AJ691" s="35">
        <f t="shared" si="662"/>
        <v>711</v>
      </c>
      <c r="AK691" s="35">
        <f t="shared" si="662"/>
        <v>211</v>
      </c>
      <c r="AL691" s="35">
        <f t="shared" si="662"/>
        <v>537</v>
      </c>
      <c r="AM691" s="35">
        <f t="shared" si="662"/>
        <v>184</v>
      </c>
      <c r="AN691" s="35">
        <f t="shared" si="662"/>
        <v>204</v>
      </c>
      <c r="AO691" s="35">
        <f t="shared" si="662"/>
        <v>334</v>
      </c>
      <c r="AP691" s="35">
        <f t="shared" si="662"/>
        <v>139</v>
      </c>
    </row>
    <row r="692" spans="1:42" ht="13">
      <c r="A692" s="36">
        <v>44611</v>
      </c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</row>
    <row r="693" spans="1:42" ht="13">
      <c r="A693" s="36">
        <v>44612</v>
      </c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</row>
    <row r="694" spans="1:42" ht="13">
      <c r="A694" s="36">
        <v>44613</v>
      </c>
      <c r="B694" s="35">
        <v>89431</v>
      </c>
      <c r="C694" s="35">
        <v>71678</v>
      </c>
      <c r="D694" s="35">
        <v>51492</v>
      </c>
      <c r="E694" s="35">
        <v>101801</v>
      </c>
      <c r="F694" s="35">
        <v>307688</v>
      </c>
      <c r="G694" s="35">
        <v>74714</v>
      </c>
      <c r="H694" s="35">
        <v>73374</v>
      </c>
      <c r="I694" s="35">
        <v>94592</v>
      </c>
      <c r="J694" s="35">
        <v>92622</v>
      </c>
      <c r="K694" s="35">
        <v>48595</v>
      </c>
      <c r="L694" s="35">
        <v>62853</v>
      </c>
      <c r="M694" s="35">
        <v>55805</v>
      </c>
      <c r="N694" s="35">
        <v>38907</v>
      </c>
      <c r="O694" s="35">
        <v>241276</v>
      </c>
      <c r="P694" s="35">
        <v>55667</v>
      </c>
      <c r="Q694" s="35">
        <v>94255</v>
      </c>
      <c r="R694" s="35">
        <v>37387</v>
      </c>
      <c r="S694" s="35">
        <v>50897</v>
      </c>
      <c r="T694" s="35">
        <v>69788</v>
      </c>
      <c r="U694" s="35">
        <v>46863</v>
      </c>
      <c r="V694" s="35">
        <f t="shared" ref="V694:V698" si="663">SUM(B694:U694)</f>
        <v>1759685</v>
      </c>
      <c r="W694" s="35">
        <f t="shared" ref="W694:AP694" si="664">B694-B691</f>
        <v>615</v>
      </c>
      <c r="X694" s="35">
        <f t="shared" si="664"/>
        <v>743</v>
      </c>
      <c r="Y694" s="35">
        <f t="shared" si="664"/>
        <v>261</v>
      </c>
      <c r="Z694" s="35">
        <f t="shared" si="664"/>
        <v>1153</v>
      </c>
      <c r="AA694" s="35">
        <f t="shared" si="664"/>
        <v>2126</v>
      </c>
      <c r="AB694" s="35">
        <f t="shared" si="664"/>
        <v>457</v>
      </c>
      <c r="AC694" s="35">
        <f t="shared" si="664"/>
        <v>538</v>
      </c>
      <c r="AD694" s="35">
        <f t="shared" si="664"/>
        <v>701</v>
      </c>
      <c r="AE694" s="35">
        <f t="shared" si="664"/>
        <v>820</v>
      </c>
      <c r="AF694" s="35">
        <f t="shared" si="664"/>
        <v>359</v>
      </c>
      <c r="AG694" s="35">
        <f t="shared" si="664"/>
        <v>447</v>
      </c>
      <c r="AH694" s="35">
        <f t="shared" si="664"/>
        <v>416</v>
      </c>
      <c r="AI694" s="35">
        <f t="shared" si="664"/>
        <v>296</v>
      </c>
      <c r="AJ694" s="35">
        <f t="shared" si="664"/>
        <v>1436</v>
      </c>
      <c r="AK694" s="35">
        <f t="shared" si="664"/>
        <v>289</v>
      </c>
      <c r="AL694" s="35">
        <f t="shared" si="664"/>
        <v>990</v>
      </c>
      <c r="AM694" s="35">
        <f t="shared" si="664"/>
        <v>288</v>
      </c>
      <c r="AN694" s="35">
        <f t="shared" si="664"/>
        <v>423</v>
      </c>
      <c r="AO694" s="35">
        <f t="shared" si="664"/>
        <v>661</v>
      </c>
      <c r="AP694" s="35">
        <f t="shared" si="664"/>
        <v>242</v>
      </c>
    </row>
    <row r="695" spans="1:42" ht="13">
      <c r="A695" s="36">
        <v>44614</v>
      </c>
      <c r="B695" s="35">
        <v>89570</v>
      </c>
      <c r="C695" s="35">
        <v>71902</v>
      </c>
      <c r="D695" s="35">
        <v>51612</v>
      </c>
      <c r="E695" s="35">
        <v>101980</v>
      </c>
      <c r="F695" s="35">
        <v>308125</v>
      </c>
      <c r="G695" s="35">
        <v>74826</v>
      </c>
      <c r="H695" s="35">
        <v>73558</v>
      </c>
      <c r="I695" s="35">
        <v>94765</v>
      </c>
      <c r="J695" s="35">
        <v>92770</v>
      </c>
      <c r="K695" s="35">
        <v>48690</v>
      </c>
      <c r="L695" s="35">
        <v>62970</v>
      </c>
      <c r="M695" s="35">
        <v>55884</v>
      </c>
      <c r="N695" s="35">
        <v>38947</v>
      </c>
      <c r="O695" s="35">
        <v>241555</v>
      </c>
      <c r="P695" s="35">
        <v>55746</v>
      </c>
      <c r="Q695" s="35">
        <v>94549</v>
      </c>
      <c r="R695" s="35">
        <v>37495</v>
      </c>
      <c r="S695" s="35">
        <v>51012</v>
      </c>
      <c r="T695" s="35">
        <v>69949</v>
      </c>
      <c r="U695" s="35">
        <v>46973</v>
      </c>
      <c r="V695" s="35">
        <f t="shared" si="663"/>
        <v>1762878</v>
      </c>
      <c r="W695" s="35">
        <f t="shared" ref="W695:AP695" si="665">B695-B694</f>
        <v>139</v>
      </c>
      <c r="X695" s="35">
        <f t="shared" si="665"/>
        <v>224</v>
      </c>
      <c r="Y695" s="35">
        <f t="shared" si="665"/>
        <v>120</v>
      </c>
      <c r="Z695" s="35">
        <f t="shared" si="665"/>
        <v>179</v>
      </c>
      <c r="AA695" s="35">
        <f t="shared" si="665"/>
        <v>437</v>
      </c>
      <c r="AB695" s="35">
        <f t="shared" si="665"/>
        <v>112</v>
      </c>
      <c r="AC695" s="35">
        <f t="shared" si="665"/>
        <v>184</v>
      </c>
      <c r="AD695" s="35">
        <f t="shared" si="665"/>
        <v>173</v>
      </c>
      <c r="AE695" s="35">
        <f t="shared" si="665"/>
        <v>148</v>
      </c>
      <c r="AF695" s="35">
        <f t="shared" si="665"/>
        <v>95</v>
      </c>
      <c r="AG695" s="35">
        <f t="shared" si="665"/>
        <v>117</v>
      </c>
      <c r="AH695" s="35">
        <f t="shared" si="665"/>
        <v>79</v>
      </c>
      <c r="AI695" s="35">
        <f t="shared" si="665"/>
        <v>40</v>
      </c>
      <c r="AJ695" s="35">
        <f t="shared" si="665"/>
        <v>279</v>
      </c>
      <c r="AK695" s="35">
        <f t="shared" si="665"/>
        <v>79</v>
      </c>
      <c r="AL695" s="35">
        <f t="shared" si="665"/>
        <v>294</v>
      </c>
      <c r="AM695" s="35">
        <f t="shared" si="665"/>
        <v>108</v>
      </c>
      <c r="AN695" s="35">
        <f t="shared" si="665"/>
        <v>115</v>
      </c>
      <c r="AO695" s="35">
        <f t="shared" si="665"/>
        <v>161</v>
      </c>
      <c r="AP695" s="35">
        <f t="shared" si="665"/>
        <v>110</v>
      </c>
    </row>
    <row r="696" spans="1:42" ht="13">
      <c r="A696" s="36">
        <v>44615</v>
      </c>
      <c r="B696" s="35">
        <v>89819</v>
      </c>
      <c r="C696" s="35">
        <v>72295</v>
      </c>
      <c r="D696" s="35">
        <v>51831</v>
      </c>
      <c r="E696" s="35">
        <v>102481</v>
      </c>
      <c r="F696" s="35">
        <v>309005</v>
      </c>
      <c r="G696" s="35">
        <v>75217</v>
      </c>
      <c r="H696" s="35">
        <v>73786</v>
      </c>
      <c r="I696" s="35">
        <v>95065</v>
      </c>
      <c r="J696" s="35">
        <v>93107</v>
      </c>
      <c r="K696" s="35">
        <v>48880</v>
      </c>
      <c r="L696" s="35">
        <v>63159</v>
      </c>
      <c r="M696" s="35">
        <v>56039</v>
      </c>
      <c r="N696" s="35">
        <v>39102</v>
      </c>
      <c r="O696" s="35">
        <v>242248</v>
      </c>
      <c r="P696" s="35">
        <v>55921</v>
      </c>
      <c r="Q696" s="35">
        <v>95141</v>
      </c>
      <c r="R696" s="35">
        <v>37636</v>
      </c>
      <c r="S696" s="35">
        <v>51165</v>
      </c>
      <c r="T696" s="35">
        <v>70165</v>
      </c>
      <c r="U696" s="35">
        <v>47102</v>
      </c>
      <c r="V696" s="35">
        <f t="shared" si="663"/>
        <v>1769164</v>
      </c>
      <c r="W696" s="35">
        <f t="shared" ref="W696:AP696" si="666">B696-B695</f>
        <v>249</v>
      </c>
      <c r="X696" s="35">
        <f t="shared" si="666"/>
        <v>393</v>
      </c>
      <c r="Y696" s="35">
        <f t="shared" si="666"/>
        <v>219</v>
      </c>
      <c r="Z696" s="35">
        <f t="shared" si="666"/>
        <v>501</v>
      </c>
      <c r="AA696" s="35">
        <f t="shared" si="666"/>
        <v>880</v>
      </c>
      <c r="AB696" s="35">
        <f t="shared" si="666"/>
        <v>391</v>
      </c>
      <c r="AC696" s="35">
        <f t="shared" si="666"/>
        <v>228</v>
      </c>
      <c r="AD696" s="35">
        <f t="shared" si="666"/>
        <v>300</v>
      </c>
      <c r="AE696" s="35">
        <f t="shared" si="666"/>
        <v>337</v>
      </c>
      <c r="AF696" s="35">
        <f t="shared" si="666"/>
        <v>190</v>
      </c>
      <c r="AG696" s="35">
        <f t="shared" si="666"/>
        <v>189</v>
      </c>
      <c r="AH696" s="35">
        <f t="shared" si="666"/>
        <v>155</v>
      </c>
      <c r="AI696" s="35">
        <f t="shared" si="666"/>
        <v>155</v>
      </c>
      <c r="AJ696" s="35">
        <f t="shared" si="666"/>
        <v>693</v>
      </c>
      <c r="AK696" s="35">
        <f t="shared" si="666"/>
        <v>175</v>
      </c>
      <c r="AL696" s="35">
        <f t="shared" si="666"/>
        <v>592</v>
      </c>
      <c r="AM696" s="35">
        <f t="shared" si="666"/>
        <v>141</v>
      </c>
      <c r="AN696" s="35">
        <f t="shared" si="666"/>
        <v>153</v>
      </c>
      <c r="AO696" s="35">
        <f t="shared" si="666"/>
        <v>216</v>
      </c>
      <c r="AP696" s="35">
        <f t="shared" si="666"/>
        <v>129</v>
      </c>
    </row>
    <row r="697" spans="1:42" ht="13">
      <c r="A697" s="36">
        <v>44616</v>
      </c>
      <c r="B697" s="35">
        <v>90040</v>
      </c>
      <c r="C697" s="35">
        <v>72664</v>
      </c>
      <c r="D697" s="35">
        <v>51961</v>
      </c>
      <c r="E697" s="35">
        <v>102990</v>
      </c>
      <c r="F697" s="35">
        <v>309818</v>
      </c>
      <c r="G697" s="35">
        <v>75428</v>
      </c>
      <c r="H697" s="35">
        <v>74064</v>
      </c>
      <c r="I697" s="35">
        <v>95372</v>
      </c>
      <c r="J697" s="35">
        <v>93447</v>
      </c>
      <c r="K697" s="35">
        <v>49033</v>
      </c>
      <c r="L697" s="35">
        <v>63330</v>
      </c>
      <c r="M697" s="35">
        <v>56194</v>
      </c>
      <c r="N697" s="35">
        <v>39249</v>
      </c>
      <c r="O697" s="35">
        <v>242792</v>
      </c>
      <c r="P697" s="35">
        <v>56110</v>
      </c>
      <c r="Q697" s="35">
        <v>95528</v>
      </c>
      <c r="R697" s="35">
        <v>37759</v>
      </c>
      <c r="S697" s="35">
        <v>51308</v>
      </c>
      <c r="T697" s="35">
        <v>70380</v>
      </c>
      <c r="U697" s="35">
        <v>47209</v>
      </c>
      <c r="V697" s="35">
        <f t="shared" si="663"/>
        <v>1774676</v>
      </c>
      <c r="W697" s="35">
        <f t="shared" ref="W697:AP697" si="667">B697-B696</f>
        <v>221</v>
      </c>
      <c r="X697" s="35">
        <f t="shared" si="667"/>
        <v>369</v>
      </c>
      <c r="Y697" s="35">
        <f t="shared" si="667"/>
        <v>130</v>
      </c>
      <c r="Z697" s="35">
        <f t="shared" si="667"/>
        <v>509</v>
      </c>
      <c r="AA697" s="35">
        <f t="shared" si="667"/>
        <v>813</v>
      </c>
      <c r="AB697" s="35">
        <f t="shared" si="667"/>
        <v>211</v>
      </c>
      <c r="AC697" s="35">
        <f t="shared" si="667"/>
        <v>278</v>
      </c>
      <c r="AD697" s="35">
        <f t="shared" si="667"/>
        <v>307</v>
      </c>
      <c r="AE697" s="35">
        <f t="shared" si="667"/>
        <v>340</v>
      </c>
      <c r="AF697" s="35">
        <f t="shared" si="667"/>
        <v>153</v>
      </c>
      <c r="AG697" s="35">
        <f t="shared" si="667"/>
        <v>171</v>
      </c>
      <c r="AH697" s="35">
        <f t="shared" si="667"/>
        <v>155</v>
      </c>
      <c r="AI697" s="35">
        <f t="shared" si="667"/>
        <v>147</v>
      </c>
      <c r="AJ697" s="35">
        <f t="shared" si="667"/>
        <v>544</v>
      </c>
      <c r="AK697" s="35">
        <f t="shared" si="667"/>
        <v>189</v>
      </c>
      <c r="AL697" s="35">
        <f t="shared" si="667"/>
        <v>387</v>
      </c>
      <c r="AM697" s="35">
        <f t="shared" si="667"/>
        <v>123</v>
      </c>
      <c r="AN697" s="35">
        <f t="shared" si="667"/>
        <v>143</v>
      </c>
      <c r="AO697" s="35">
        <f t="shared" si="667"/>
        <v>215</v>
      </c>
      <c r="AP697" s="35">
        <f t="shared" si="667"/>
        <v>107</v>
      </c>
    </row>
    <row r="698" spans="1:42" ht="13">
      <c r="A698" s="36">
        <v>44617</v>
      </c>
      <c r="B698" s="35">
        <v>90229</v>
      </c>
      <c r="C698" s="35">
        <v>72917</v>
      </c>
      <c r="D698" s="35">
        <v>52092</v>
      </c>
      <c r="E698" s="35">
        <v>103380</v>
      </c>
      <c r="F698" s="35">
        <v>310447</v>
      </c>
      <c r="G698" s="35">
        <v>75598</v>
      </c>
      <c r="H698" s="35">
        <v>74235</v>
      </c>
      <c r="I698" s="35">
        <v>95627</v>
      </c>
      <c r="J698" s="35">
        <v>93756</v>
      </c>
      <c r="K698" s="35">
        <v>49145</v>
      </c>
      <c r="L698" s="35">
        <v>63532</v>
      </c>
      <c r="M698" s="35">
        <v>56361</v>
      </c>
      <c r="N698" s="35">
        <v>39357</v>
      </c>
      <c r="O698" s="35">
        <v>243249</v>
      </c>
      <c r="P698" s="35">
        <v>56253</v>
      </c>
      <c r="Q698" s="35">
        <v>95868</v>
      </c>
      <c r="R698" s="35">
        <v>37845</v>
      </c>
      <c r="S698" s="35">
        <v>51411</v>
      </c>
      <c r="T698" s="35">
        <v>70569</v>
      </c>
      <c r="U698" s="35">
        <v>47303</v>
      </c>
      <c r="V698" s="35">
        <f t="shared" si="663"/>
        <v>1779174</v>
      </c>
      <c r="W698" s="35">
        <f t="shared" ref="W698:AP698" si="668">B698-B697</f>
        <v>189</v>
      </c>
      <c r="X698" s="35">
        <f t="shared" si="668"/>
        <v>253</v>
      </c>
      <c r="Y698" s="35">
        <f t="shared" si="668"/>
        <v>131</v>
      </c>
      <c r="Z698" s="35">
        <f t="shared" si="668"/>
        <v>390</v>
      </c>
      <c r="AA698" s="35">
        <f t="shared" si="668"/>
        <v>629</v>
      </c>
      <c r="AB698" s="35">
        <f t="shared" si="668"/>
        <v>170</v>
      </c>
      <c r="AC698" s="35">
        <f t="shared" si="668"/>
        <v>171</v>
      </c>
      <c r="AD698" s="35">
        <f t="shared" si="668"/>
        <v>255</v>
      </c>
      <c r="AE698" s="35">
        <f t="shared" si="668"/>
        <v>309</v>
      </c>
      <c r="AF698" s="35">
        <f t="shared" si="668"/>
        <v>112</v>
      </c>
      <c r="AG698" s="35">
        <f t="shared" si="668"/>
        <v>202</v>
      </c>
      <c r="AH698" s="35">
        <f t="shared" si="668"/>
        <v>167</v>
      </c>
      <c r="AI698" s="35">
        <f t="shared" si="668"/>
        <v>108</v>
      </c>
      <c r="AJ698" s="35">
        <f t="shared" si="668"/>
        <v>457</v>
      </c>
      <c r="AK698" s="35">
        <f t="shared" si="668"/>
        <v>143</v>
      </c>
      <c r="AL698" s="35">
        <f t="shared" si="668"/>
        <v>340</v>
      </c>
      <c r="AM698" s="35">
        <f t="shared" si="668"/>
        <v>86</v>
      </c>
      <c r="AN698" s="35">
        <f t="shared" si="668"/>
        <v>103</v>
      </c>
      <c r="AO698" s="35">
        <f t="shared" si="668"/>
        <v>189</v>
      </c>
      <c r="AP698" s="35">
        <f t="shared" si="668"/>
        <v>94</v>
      </c>
    </row>
    <row r="699" spans="1:42" ht="13">
      <c r="A699" s="36">
        <v>44618</v>
      </c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</row>
    <row r="700" spans="1:42" ht="13">
      <c r="A700" s="36">
        <v>44619</v>
      </c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</row>
    <row r="701" spans="1:42" ht="13">
      <c r="A701" s="36">
        <v>44620</v>
      </c>
      <c r="B701" s="35">
        <v>90624</v>
      </c>
      <c r="C701" s="35">
        <v>73396</v>
      </c>
      <c r="D701" s="35">
        <v>52293</v>
      </c>
      <c r="E701" s="35">
        <v>104069</v>
      </c>
      <c r="F701" s="35">
        <v>311834</v>
      </c>
      <c r="G701" s="35">
        <v>75941</v>
      </c>
      <c r="H701" s="35">
        <v>74585</v>
      </c>
      <c r="I701" s="35">
        <v>96115</v>
      </c>
      <c r="J701" s="35">
        <v>94275</v>
      </c>
      <c r="K701" s="35">
        <v>49361</v>
      </c>
      <c r="L701" s="35">
        <v>63774</v>
      </c>
      <c r="M701" s="35">
        <v>56616</v>
      </c>
      <c r="N701" s="35">
        <v>39549</v>
      </c>
      <c r="O701" s="35">
        <v>244236</v>
      </c>
      <c r="P701" s="35">
        <v>56456</v>
      </c>
      <c r="Q701" s="35">
        <v>96424</v>
      </c>
      <c r="R701" s="35">
        <v>37992</v>
      </c>
      <c r="S701" s="35">
        <v>51693</v>
      </c>
      <c r="T701" s="35">
        <v>70895</v>
      </c>
      <c r="U701" s="35">
        <v>47416</v>
      </c>
      <c r="V701" s="35">
        <f t="shared" ref="V701:V705" si="669">SUM(B701:U701)</f>
        <v>1787544</v>
      </c>
      <c r="W701" s="35">
        <f t="shared" ref="W701:AP701" si="670">B701-B698</f>
        <v>395</v>
      </c>
      <c r="X701" s="35">
        <f t="shared" si="670"/>
        <v>479</v>
      </c>
      <c r="Y701" s="35">
        <f t="shared" si="670"/>
        <v>201</v>
      </c>
      <c r="Z701" s="35">
        <f t="shared" si="670"/>
        <v>689</v>
      </c>
      <c r="AA701" s="35">
        <f t="shared" si="670"/>
        <v>1387</v>
      </c>
      <c r="AB701" s="35">
        <f t="shared" si="670"/>
        <v>343</v>
      </c>
      <c r="AC701" s="35">
        <f t="shared" si="670"/>
        <v>350</v>
      </c>
      <c r="AD701" s="35">
        <f t="shared" si="670"/>
        <v>488</v>
      </c>
      <c r="AE701" s="35">
        <f t="shared" si="670"/>
        <v>519</v>
      </c>
      <c r="AF701" s="35">
        <f t="shared" si="670"/>
        <v>216</v>
      </c>
      <c r="AG701" s="35">
        <f t="shared" si="670"/>
        <v>242</v>
      </c>
      <c r="AH701" s="35">
        <f t="shared" si="670"/>
        <v>255</v>
      </c>
      <c r="AI701" s="35">
        <f t="shared" si="670"/>
        <v>192</v>
      </c>
      <c r="AJ701" s="35">
        <f t="shared" si="670"/>
        <v>987</v>
      </c>
      <c r="AK701" s="35">
        <f t="shared" si="670"/>
        <v>203</v>
      </c>
      <c r="AL701" s="35">
        <f t="shared" si="670"/>
        <v>556</v>
      </c>
      <c r="AM701" s="35">
        <f t="shared" si="670"/>
        <v>147</v>
      </c>
      <c r="AN701" s="35">
        <f t="shared" si="670"/>
        <v>282</v>
      </c>
      <c r="AO701" s="35">
        <f t="shared" si="670"/>
        <v>326</v>
      </c>
      <c r="AP701" s="35">
        <f t="shared" si="670"/>
        <v>113</v>
      </c>
    </row>
    <row r="702" spans="1:42" ht="13">
      <c r="A702" s="36">
        <v>44621</v>
      </c>
      <c r="B702" s="35">
        <v>90711</v>
      </c>
      <c r="C702" s="35">
        <v>73546</v>
      </c>
      <c r="D702" s="35">
        <v>52391</v>
      </c>
      <c r="E702" s="35">
        <v>104215</v>
      </c>
      <c r="F702" s="35">
        <v>312103</v>
      </c>
      <c r="G702" s="35">
        <v>76020</v>
      </c>
      <c r="H702" s="35">
        <v>74650</v>
      </c>
      <c r="I702" s="35">
        <v>96224</v>
      </c>
      <c r="J702" s="35">
        <v>94408</v>
      </c>
      <c r="K702" s="35">
        <v>49421</v>
      </c>
      <c r="L702" s="35">
        <v>63836</v>
      </c>
      <c r="M702" s="35">
        <v>56655</v>
      </c>
      <c r="N702" s="35">
        <v>39586</v>
      </c>
      <c r="O702" s="35">
        <v>244441</v>
      </c>
      <c r="P702" s="35">
        <v>56503</v>
      </c>
      <c r="Q702" s="35">
        <v>96590</v>
      </c>
      <c r="R702" s="35">
        <v>38054</v>
      </c>
      <c r="S702" s="35">
        <v>51772</v>
      </c>
      <c r="T702" s="35">
        <v>70981</v>
      </c>
      <c r="U702" s="35">
        <v>47474</v>
      </c>
      <c r="V702" s="35">
        <f t="shared" si="669"/>
        <v>1789581</v>
      </c>
      <c r="W702" s="35">
        <f t="shared" ref="W702:AP702" si="671">B702-B701</f>
        <v>87</v>
      </c>
      <c r="X702" s="35">
        <f t="shared" si="671"/>
        <v>150</v>
      </c>
      <c r="Y702" s="35">
        <f t="shared" si="671"/>
        <v>98</v>
      </c>
      <c r="Z702" s="35">
        <f t="shared" si="671"/>
        <v>146</v>
      </c>
      <c r="AA702" s="35">
        <f t="shared" si="671"/>
        <v>269</v>
      </c>
      <c r="AB702" s="35">
        <f t="shared" si="671"/>
        <v>79</v>
      </c>
      <c r="AC702" s="35">
        <f t="shared" si="671"/>
        <v>65</v>
      </c>
      <c r="AD702" s="35">
        <f t="shared" si="671"/>
        <v>109</v>
      </c>
      <c r="AE702" s="35">
        <f t="shared" si="671"/>
        <v>133</v>
      </c>
      <c r="AF702" s="35">
        <f t="shared" si="671"/>
        <v>60</v>
      </c>
      <c r="AG702" s="35">
        <f t="shared" si="671"/>
        <v>62</v>
      </c>
      <c r="AH702" s="35">
        <f t="shared" si="671"/>
        <v>39</v>
      </c>
      <c r="AI702" s="35">
        <f t="shared" si="671"/>
        <v>37</v>
      </c>
      <c r="AJ702" s="35">
        <f t="shared" si="671"/>
        <v>205</v>
      </c>
      <c r="AK702" s="35">
        <f t="shared" si="671"/>
        <v>47</v>
      </c>
      <c r="AL702" s="35">
        <f t="shared" si="671"/>
        <v>166</v>
      </c>
      <c r="AM702" s="35">
        <f t="shared" si="671"/>
        <v>62</v>
      </c>
      <c r="AN702" s="35">
        <f t="shared" si="671"/>
        <v>79</v>
      </c>
      <c r="AO702" s="35">
        <f t="shared" si="671"/>
        <v>86</v>
      </c>
      <c r="AP702" s="35">
        <f t="shared" si="671"/>
        <v>58</v>
      </c>
    </row>
    <row r="703" spans="1:42" ht="13">
      <c r="A703" s="36">
        <v>44622</v>
      </c>
      <c r="B703" s="35">
        <v>90896</v>
      </c>
      <c r="C703" s="35">
        <v>73793</v>
      </c>
      <c r="D703" s="35">
        <v>52489</v>
      </c>
      <c r="E703" s="35">
        <v>104488</v>
      </c>
      <c r="F703" s="35">
        <v>312684</v>
      </c>
      <c r="G703" s="35">
        <v>76147</v>
      </c>
      <c r="H703" s="35">
        <v>74786</v>
      </c>
      <c r="I703" s="35">
        <v>96422</v>
      </c>
      <c r="J703" s="35">
        <v>94621</v>
      </c>
      <c r="K703" s="35">
        <v>49526</v>
      </c>
      <c r="L703" s="35">
        <v>63992</v>
      </c>
      <c r="M703" s="35">
        <v>56731</v>
      </c>
      <c r="N703" s="35">
        <v>39682</v>
      </c>
      <c r="O703" s="35">
        <v>244797</v>
      </c>
      <c r="P703" s="35">
        <v>56612</v>
      </c>
      <c r="Q703" s="35">
        <v>96836</v>
      </c>
      <c r="R703" s="35">
        <v>38130</v>
      </c>
      <c r="S703" s="35">
        <v>51864</v>
      </c>
      <c r="T703" s="35">
        <v>71094</v>
      </c>
      <c r="U703" s="35">
        <v>47530</v>
      </c>
      <c r="V703" s="35">
        <f t="shared" si="669"/>
        <v>1793120</v>
      </c>
      <c r="W703" s="35">
        <f t="shared" ref="W703:AP703" si="672">B703-B702</f>
        <v>185</v>
      </c>
      <c r="X703" s="35">
        <f t="shared" si="672"/>
        <v>247</v>
      </c>
      <c r="Y703" s="35">
        <f t="shared" si="672"/>
        <v>98</v>
      </c>
      <c r="Z703" s="35">
        <f t="shared" si="672"/>
        <v>273</v>
      </c>
      <c r="AA703" s="35">
        <f t="shared" si="672"/>
        <v>581</v>
      </c>
      <c r="AB703" s="35">
        <f t="shared" si="672"/>
        <v>127</v>
      </c>
      <c r="AC703" s="35">
        <f t="shared" si="672"/>
        <v>136</v>
      </c>
      <c r="AD703" s="35">
        <f t="shared" si="672"/>
        <v>198</v>
      </c>
      <c r="AE703" s="35">
        <f t="shared" si="672"/>
        <v>213</v>
      </c>
      <c r="AF703" s="35">
        <f t="shared" si="672"/>
        <v>105</v>
      </c>
      <c r="AG703" s="35">
        <f t="shared" si="672"/>
        <v>156</v>
      </c>
      <c r="AH703" s="35">
        <f t="shared" si="672"/>
        <v>76</v>
      </c>
      <c r="AI703" s="35">
        <f t="shared" si="672"/>
        <v>96</v>
      </c>
      <c r="AJ703" s="35">
        <f t="shared" si="672"/>
        <v>356</v>
      </c>
      <c r="AK703" s="35">
        <f t="shared" si="672"/>
        <v>109</v>
      </c>
      <c r="AL703" s="35">
        <f t="shared" si="672"/>
        <v>246</v>
      </c>
      <c r="AM703" s="35">
        <f t="shared" si="672"/>
        <v>76</v>
      </c>
      <c r="AN703" s="35">
        <f t="shared" si="672"/>
        <v>92</v>
      </c>
      <c r="AO703" s="35">
        <f t="shared" si="672"/>
        <v>113</v>
      </c>
      <c r="AP703" s="35">
        <f t="shared" si="672"/>
        <v>56</v>
      </c>
    </row>
    <row r="704" spans="1:42" ht="13">
      <c r="A704" s="36">
        <v>44623</v>
      </c>
      <c r="B704" s="35">
        <v>91037</v>
      </c>
      <c r="C704" s="35">
        <v>74036</v>
      </c>
      <c r="D704" s="35">
        <v>52588</v>
      </c>
      <c r="E704" s="35">
        <v>104774</v>
      </c>
      <c r="F704" s="35">
        <v>313373</v>
      </c>
      <c r="G704" s="35">
        <v>76306</v>
      </c>
      <c r="H704" s="35">
        <v>74917</v>
      </c>
      <c r="I704" s="35">
        <v>96620</v>
      </c>
      <c r="J704" s="35">
        <v>94877</v>
      </c>
      <c r="K704" s="35">
        <v>49665</v>
      </c>
      <c r="L704" s="35">
        <v>64128</v>
      </c>
      <c r="M704" s="35">
        <v>56831</v>
      </c>
      <c r="N704" s="35">
        <v>39753</v>
      </c>
      <c r="O704" s="35">
        <v>245281</v>
      </c>
      <c r="P704" s="35">
        <v>56721</v>
      </c>
      <c r="Q704" s="35">
        <v>97090</v>
      </c>
      <c r="R704" s="35">
        <v>38207</v>
      </c>
      <c r="S704" s="35">
        <v>51962</v>
      </c>
      <c r="T704" s="35">
        <v>71235</v>
      </c>
      <c r="U704" s="35">
        <v>47581</v>
      </c>
      <c r="V704" s="35">
        <f t="shared" si="669"/>
        <v>1796982</v>
      </c>
      <c r="W704" s="35">
        <f t="shared" ref="W704:AP704" si="673">B704-B703</f>
        <v>141</v>
      </c>
      <c r="X704" s="35">
        <f t="shared" si="673"/>
        <v>243</v>
      </c>
      <c r="Y704" s="35">
        <f t="shared" si="673"/>
        <v>99</v>
      </c>
      <c r="Z704" s="35">
        <f t="shared" si="673"/>
        <v>286</v>
      </c>
      <c r="AA704" s="35">
        <f t="shared" si="673"/>
        <v>689</v>
      </c>
      <c r="AB704" s="35">
        <f t="shared" si="673"/>
        <v>159</v>
      </c>
      <c r="AC704" s="35">
        <f t="shared" si="673"/>
        <v>131</v>
      </c>
      <c r="AD704" s="35">
        <f t="shared" si="673"/>
        <v>198</v>
      </c>
      <c r="AE704" s="35">
        <f t="shared" si="673"/>
        <v>256</v>
      </c>
      <c r="AF704" s="35">
        <f t="shared" si="673"/>
        <v>139</v>
      </c>
      <c r="AG704" s="35">
        <f t="shared" si="673"/>
        <v>136</v>
      </c>
      <c r="AH704" s="35">
        <f t="shared" si="673"/>
        <v>100</v>
      </c>
      <c r="AI704" s="35">
        <f t="shared" si="673"/>
        <v>71</v>
      </c>
      <c r="AJ704" s="35">
        <f t="shared" si="673"/>
        <v>484</v>
      </c>
      <c r="AK704" s="35">
        <f t="shared" si="673"/>
        <v>109</v>
      </c>
      <c r="AL704" s="35">
        <f t="shared" si="673"/>
        <v>254</v>
      </c>
      <c r="AM704" s="35">
        <f t="shared" si="673"/>
        <v>77</v>
      </c>
      <c r="AN704" s="35">
        <f t="shared" si="673"/>
        <v>98</v>
      </c>
      <c r="AO704" s="35">
        <f t="shared" si="673"/>
        <v>141</v>
      </c>
      <c r="AP704" s="35">
        <f t="shared" si="673"/>
        <v>51</v>
      </c>
    </row>
    <row r="705" spans="1:42" ht="13">
      <c r="A705" s="36">
        <v>44624</v>
      </c>
      <c r="B705" s="35">
        <v>91204</v>
      </c>
      <c r="C705" s="35">
        <v>74254</v>
      </c>
      <c r="D705" s="35">
        <v>52675</v>
      </c>
      <c r="E705" s="35">
        <v>105108</v>
      </c>
      <c r="F705" s="35">
        <v>313842</v>
      </c>
      <c r="G705" s="35">
        <v>76448</v>
      </c>
      <c r="H705" s="35">
        <v>75033</v>
      </c>
      <c r="I705" s="35">
        <v>96755</v>
      </c>
      <c r="J705" s="35">
        <v>95059</v>
      </c>
      <c r="K705" s="35">
        <v>49747</v>
      </c>
      <c r="L705" s="35">
        <v>64212</v>
      </c>
      <c r="M705" s="35">
        <v>56956</v>
      </c>
      <c r="N705" s="35">
        <v>39806</v>
      </c>
      <c r="O705" s="35">
        <v>245549</v>
      </c>
      <c r="P705" s="35">
        <v>56797</v>
      </c>
      <c r="Q705" s="35">
        <v>97310</v>
      </c>
      <c r="R705" s="35">
        <v>38267</v>
      </c>
      <c r="S705" s="35">
        <v>52044</v>
      </c>
      <c r="T705" s="35">
        <v>71346</v>
      </c>
      <c r="U705" s="35">
        <v>47634</v>
      </c>
      <c r="V705" s="35">
        <f t="shared" si="669"/>
        <v>1800046</v>
      </c>
      <c r="W705" s="35">
        <f t="shared" ref="W705:AP705" si="674">B705-B704</f>
        <v>167</v>
      </c>
      <c r="X705" s="35">
        <f t="shared" si="674"/>
        <v>218</v>
      </c>
      <c r="Y705" s="35">
        <f t="shared" si="674"/>
        <v>87</v>
      </c>
      <c r="Z705" s="35">
        <f t="shared" si="674"/>
        <v>334</v>
      </c>
      <c r="AA705" s="35">
        <f t="shared" si="674"/>
        <v>469</v>
      </c>
      <c r="AB705" s="35">
        <f t="shared" si="674"/>
        <v>142</v>
      </c>
      <c r="AC705" s="35">
        <f t="shared" si="674"/>
        <v>116</v>
      </c>
      <c r="AD705" s="35">
        <f t="shared" si="674"/>
        <v>135</v>
      </c>
      <c r="AE705" s="35">
        <f t="shared" si="674"/>
        <v>182</v>
      </c>
      <c r="AF705" s="35">
        <f t="shared" si="674"/>
        <v>82</v>
      </c>
      <c r="AG705" s="35">
        <f t="shared" si="674"/>
        <v>84</v>
      </c>
      <c r="AH705" s="35">
        <f t="shared" si="674"/>
        <v>125</v>
      </c>
      <c r="AI705" s="35">
        <f t="shared" si="674"/>
        <v>53</v>
      </c>
      <c r="AJ705" s="35">
        <f t="shared" si="674"/>
        <v>268</v>
      </c>
      <c r="AK705" s="35">
        <f t="shared" si="674"/>
        <v>76</v>
      </c>
      <c r="AL705" s="35">
        <f t="shared" si="674"/>
        <v>220</v>
      </c>
      <c r="AM705" s="35">
        <f t="shared" si="674"/>
        <v>60</v>
      </c>
      <c r="AN705" s="35">
        <f t="shared" si="674"/>
        <v>82</v>
      </c>
      <c r="AO705" s="35">
        <f t="shared" si="674"/>
        <v>111</v>
      </c>
      <c r="AP705" s="35">
        <f t="shared" si="674"/>
        <v>53</v>
      </c>
    </row>
    <row r="706" spans="1:42" ht="13">
      <c r="A706" s="36">
        <v>44625</v>
      </c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</row>
    <row r="707" spans="1:42" ht="13">
      <c r="A707" s="36">
        <v>44626</v>
      </c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</row>
    <row r="708" spans="1:42" ht="13">
      <c r="A708" s="36">
        <v>44627</v>
      </c>
      <c r="B708" s="35">
        <v>91442</v>
      </c>
      <c r="C708" s="35">
        <v>74600</v>
      </c>
      <c r="D708" s="35">
        <v>52809</v>
      </c>
      <c r="E708" s="35">
        <v>105604</v>
      </c>
      <c r="F708" s="35">
        <v>314877</v>
      </c>
      <c r="G708" s="35">
        <v>76684</v>
      </c>
      <c r="H708" s="35">
        <v>75300</v>
      </c>
      <c r="I708" s="35">
        <v>97163</v>
      </c>
      <c r="J708" s="35">
        <v>95391</v>
      </c>
      <c r="K708" s="35">
        <v>49886</v>
      </c>
      <c r="L708" s="35">
        <v>64354</v>
      </c>
      <c r="M708" s="35">
        <v>57117</v>
      </c>
      <c r="N708" s="35">
        <v>39946</v>
      </c>
      <c r="O708" s="35">
        <v>246193</v>
      </c>
      <c r="P708" s="35">
        <v>56960</v>
      </c>
      <c r="Q708" s="35">
        <v>97721</v>
      </c>
      <c r="R708" s="35">
        <v>38372</v>
      </c>
      <c r="S708" s="35">
        <v>52200</v>
      </c>
      <c r="T708" s="35">
        <v>71542</v>
      </c>
      <c r="U708" s="35">
        <v>47737</v>
      </c>
      <c r="V708" s="35">
        <f t="shared" ref="V708:V712" si="675">SUM(B708:U708)</f>
        <v>1805898</v>
      </c>
      <c r="W708" s="35">
        <f t="shared" ref="W708:AP708" si="676">B708-B705</f>
        <v>238</v>
      </c>
      <c r="X708" s="35">
        <f t="shared" si="676"/>
        <v>346</v>
      </c>
      <c r="Y708" s="35">
        <f t="shared" si="676"/>
        <v>134</v>
      </c>
      <c r="Z708" s="35">
        <f t="shared" si="676"/>
        <v>496</v>
      </c>
      <c r="AA708" s="35">
        <f t="shared" si="676"/>
        <v>1035</v>
      </c>
      <c r="AB708" s="35">
        <f t="shared" si="676"/>
        <v>236</v>
      </c>
      <c r="AC708" s="35">
        <f t="shared" si="676"/>
        <v>267</v>
      </c>
      <c r="AD708" s="35">
        <f t="shared" si="676"/>
        <v>408</v>
      </c>
      <c r="AE708" s="35">
        <f t="shared" si="676"/>
        <v>332</v>
      </c>
      <c r="AF708" s="35">
        <f t="shared" si="676"/>
        <v>139</v>
      </c>
      <c r="AG708" s="35">
        <f t="shared" si="676"/>
        <v>142</v>
      </c>
      <c r="AH708" s="35">
        <f t="shared" si="676"/>
        <v>161</v>
      </c>
      <c r="AI708" s="35">
        <f t="shared" si="676"/>
        <v>140</v>
      </c>
      <c r="AJ708" s="35">
        <f t="shared" si="676"/>
        <v>644</v>
      </c>
      <c r="AK708" s="35">
        <f t="shared" si="676"/>
        <v>163</v>
      </c>
      <c r="AL708" s="35">
        <f t="shared" si="676"/>
        <v>411</v>
      </c>
      <c r="AM708" s="35">
        <f t="shared" si="676"/>
        <v>105</v>
      </c>
      <c r="AN708" s="35">
        <f t="shared" si="676"/>
        <v>156</v>
      </c>
      <c r="AO708" s="35">
        <f t="shared" si="676"/>
        <v>196</v>
      </c>
      <c r="AP708" s="35">
        <f t="shared" si="676"/>
        <v>103</v>
      </c>
    </row>
    <row r="709" spans="1:42" ht="13">
      <c r="A709" s="36">
        <v>44628</v>
      </c>
      <c r="B709" s="35">
        <v>91492</v>
      </c>
      <c r="C709" s="35">
        <v>74708</v>
      </c>
      <c r="D709" s="35">
        <v>52853</v>
      </c>
      <c r="E709" s="35">
        <v>105701</v>
      </c>
      <c r="F709" s="35">
        <v>315095</v>
      </c>
      <c r="G709" s="35">
        <v>76723</v>
      </c>
      <c r="H709" s="35">
        <v>75338</v>
      </c>
      <c r="I709" s="35">
        <v>97227</v>
      </c>
      <c r="J709" s="35">
        <v>95473</v>
      </c>
      <c r="K709" s="35">
        <v>49934</v>
      </c>
      <c r="L709" s="35">
        <v>64401</v>
      </c>
      <c r="M709" s="35">
        <v>57147</v>
      </c>
      <c r="N709" s="35">
        <v>39972</v>
      </c>
      <c r="O709" s="35">
        <v>246318</v>
      </c>
      <c r="P709" s="35">
        <v>57013</v>
      </c>
      <c r="Q709" s="35">
        <v>97845</v>
      </c>
      <c r="R709" s="35">
        <v>38416</v>
      </c>
      <c r="S709" s="35">
        <v>52242</v>
      </c>
      <c r="T709" s="35">
        <v>71610</v>
      </c>
      <c r="U709" s="35">
        <v>47777</v>
      </c>
      <c r="V709" s="35">
        <f t="shared" si="675"/>
        <v>1807285</v>
      </c>
      <c r="W709" s="35">
        <f t="shared" ref="W709:AP709" si="677">B709-B708</f>
        <v>50</v>
      </c>
      <c r="X709" s="35">
        <f t="shared" si="677"/>
        <v>108</v>
      </c>
      <c r="Y709" s="35">
        <f t="shared" si="677"/>
        <v>44</v>
      </c>
      <c r="Z709" s="35">
        <f t="shared" si="677"/>
        <v>97</v>
      </c>
      <c r="AA709" s="35">
        <f t="shared" si="677"/>
        <v>218</v>
      </c>
      <c r="AB709" s="35">
        <f t="shared" si="677"/>
        <v>39</v>
      </c>
      <c r="AC709" s="35">
        <f t="shared" si="677"/>
        <v>38</v>
      </c>
      <c r="AD709" s="35">
        <f t="shared" si="677"/>
        <v>64</v>
      </c>
      <c r="AE709" s="35">
        <f t="shared" si="677"/>
        <v>82</v>
      </c>
      <c r="AF709" s="35">
        <f t="shared" si="677"/>
        <v>48</v>
      </c>
      <c r="AG709" s="35">
        <f t="shared" si="677"/>
        <v>47</v>
      </c>
      <c r="AH709" s="35">
        <f t="shared" si="677"/>
        <v>30</v>
      </c>
      <c r="AI709" s="35">
        <f t="shared" si="677"/>
        <v>26</v>
      </c>
      <c r="AJ709" s="35">
        <f t="shared" si="677"/>
        <v>125</v>
      </c>
      <c r="AK709" s="35">
        <f t="shared" si="677"/>
        <v>53</v>
      </c>
      <c r="AL709" s="35">
        <f t="shared" si="677"/>
        <v>124</v>
      </c>
      <c r="AM709" s="35">
        <f t="shared" si="677"/>
        <v>44</v>
      </c>
      <c r="AN709" s="35">
        <f t="shared" si="677"/>
        <v>42</v>
      </c>
      <c r="AO709" s="35">
        <f t="shared" si="677"/>
        <v>68</v>
      </c>
      <c r="AP709" s="35">
        <f t="shared" si="677"/>
        <v>40</v>
      </c>
    </row>
    <row r="710" spans="1:42" ht="13">
      <c r="A710" s="36">
        <v>44629</v>
      </c>
      <c r="B710" s="35">
        <v>91597</v>
      </c>
      <c r="C710" s="35">
        <v>74919</v>
      </c>
      <c r="D710" s="35">
        <v>52939</v>
      </c>
      <c r="E710" s="35">
        <v>105912</v>
      </c>
      <c r="F710" s="35">
        <v>315565</v>
      </c>
      <c r="G710" s="35">
        <v>76820</v>
      </c>
      <c r="H710" s="35">
        <v>75423</v>
      </c>
      <c r="I710" s="35">
        <v>97377</v>
      </c>
      <c r="J710" s="35">
        <v>95621</v>
      </c>
      <c r="K710" s="35">
        <v>50010</v>
      </c>
      <c r="L710" s="35">
        <v>64511</v>
      </c>
      <c r="M710" s="35">
        <v>57200</v>
      </c>
      <c r="N710" s="35">
        <v>40020</v>
      </c>
      <c r="O710" s="35">
        <v>246614</v>
      </c>
      <c r="P710" s="35">
        <v>57082</v>
      </c>
      <c r="Q710" s="35">
        <v>98016</v>
      </c>
      <c r="R710" s="35">
        <v>38473</v>
      </c>
      <c r="S710" s="35">
        <v>52308</v>
      </c>
      <c r="T710" s="35">
        <v>71692</v>
      </c>
      <c r="U710" s="35">
        <v>47818</v>
      </c>
      <c r="V710" s="35">
        <f t="shared" si="675"/>
        <v>1809917</v>
      </c>
      <c r="W710" s="35">
        <f t="shared" ref="W710:AP710" si="678">B710-B709</f>
        <v>105</v>
      </c>
      <c r="X710" s="35">
        <f t="shared" si="678"/>
        <v>211</v>
      </c>
      <c r="Y710" s="35">
        <f t="shared" si="678"/>
        <v>86</v>
      </c>
      <c r="Z710" s="35">
        <f t="shared" si="678"/>
        <v>211</v>
      </c>
      <c r="AA710" s="35">
        <f t="shared" si="678"/>
        <v>470</v>
      </c>
      <c r="AB710" s="35">
        <f t="shared" si="678"/>
        <v>97</v>
      </c>
      <c r="AC710" s="35">
        <f t="shared" si="678"/>
        <v>85</v>
      </c>
      <c r="AD710" s="35">
        <f t="shared" si="678"/>
        <v>150</v>
      </c>
      <c r="AE710" s="35">
        <f t="shared" si="678"/>
        <v>148</v>
      </c>
      <c r="AF710" s="35">
        <f t="shared" si="678"/>
        <v>76</v>
      </c>
      <c r="AG710" s="35">
        <f t="shared" si="678"/>
        <v>110</v>
      </c>
      <c r="AH710" s="35">
        <f t="shared" si="678"/>
        <v>53</v>
      </c>
      <c r="AI710" s="35">
        <f t="shared" si="678"/>
        <v>48</v>
      </c>
      <c r="AJ710" s="35">
        <f t="shared" si="678"/>
        <v>296</v>
      </c>
      <c r="AK710" s="35">
        <f t="shared" si="678"/>
        <v>69</v>
      </c>
      <c r="AL710" s="35">
        <f t="shared" si="678"/>
        <v>171</v>
      </c>
      <c r="AM710" s="35">
        <f t="shared" si="678"/>
        <v>57</v>
      </c>
      <c r="AN710" s="35">
        <f t="shared" si="678"/>
        <v>66</v>
      </c>
      <c r="AO710" s="35">
        <f t="shared" si="678"/>
        <v>82</v>
      </c>
      <c r="AP710" s="35">
        <f t="shared" si="678"/>
        <v>41</v>
      </c>
    </row>
    <row r="711" spans="1:42" ht="13">
      <c r="A711" s="36">
        <v>44630</v>
      </c>
      <c r="B711" s="35">
        <v>91664</v>
      </c>
      <c r="C711" s="35">
        <v>75092</v>
      </c>
      <c r="D711" s="35">
        <v>52997</v>
      </c>
      <c r="E711" s="35">
        <v>106079</v>
      </c>
      <c r="F711" s="35">
        <v>316010</v>
      </c>
      <c r="G711" s="35">
        <v>76914</v>
      </c>
      <c r="H711" s="35">
        <v>75505</v>
      </c>
      <c r="I711" s="35">
        <v>97525</v>
      </c>
      <c r="J711" s="35">
        <v>95769</v>
      </c>
      <c r="K711" s="35">
        <v>50084</v>
      </c>
      <c r="L711" s="35">
        <v>64580</v>
      </c>
      <c r="M711" s="35">
        <v>57262</v>
      </c>
      <c r="N711" s="35">
        <v>40077</v>
      </c>
      <c r="O711" s="35">
        <v>246884</v>
      </c>
      <c r="P711" s="35">
        <v>57157</v>
      </c>
      <c r="Q711" s="35">
        <v>98170</v>
      </c>
      <c r="R711" s="35">
        <v>38527</v>
      </c>
      <c r="S711" s="35">
        <v>52347</v>
      </c>
      <c r="T711" s="35">
        <v>71805</v>
      </c>
      <c r="U711" s="35">
        <v>47846</v>
      </c>
      <c r="V711" s="35">
        <f t="shared" si="675"/>
        <v>1812294</v>
      </c>
      <c r="W711" s="35">
        <f t="shared" ref="W711:AP711" si="679">B711-B710</f>
        <v>67</v>
      </c>
      <c r="X711" s="35">
        <f t="shared" si="679"/>
        <v>173</v>
      </c>
      <c r="Y711" s="35">
        <f t="shared" si="679"/>
        <v>58</v>
      </c>
      <c r="Z711" s="35">
        <f t="shared" si="679"/>
        <v>167</v>
      </c>
      <c r="AA711" s="35">
        <f t="shared" si="679"/>
        <v>445</v>
      </c>
      <c r="AB711" s="35">
        <f t="shared" si="679"/>
        <v>94</v>
      </c>
      <c r="AC711" s="35">
        <f t="shared" si="679"/>
        <v>82</v>
      </c>
      <c r="AD711" s="35">
        <f t="shared" si="679"/>
        <v>148</v>
      </c>
      <c r="AE711" s="35">
        <f t="shared" si="679"/>
        <v>148</v>
      </c>
      <c r="AF711" s="35">
        <f t="shared" si="679"/>
        <v>74</v>
      </c>
      <c r="AG711" s="35">
        <f t="shared" si="679"/>
        <v>69</v>
      </c>
      <c r="AH711" s="35">
        <f t="shared" si="679"/>
        <v>62</v>
      </c>
      <c r="AI711" s="35">
        <f t="shared" si="679"/>
        <v>57</v>
      </c>
      <c r="AJ711" s="35">
        <f t="shared" si="679"/>
        <v>270</v>
      </c>
      <c r="AK711" s="35">
        <f t="shared" si="679"/>
        <v>75</v>
      </c>
      <c r="AL711" s="35">
        <f t="shared" si="679"/>
        <v>154</v>
      </c>
      <c r="AM711" s="35">
        <f t="shared" si="679"/>
        <v>54</v>
      </c>
      <c r="AN711" s="35">
        <f t="shared" si="679"/>
        <v>39</v>
      </c>
      <c r="AO711" s="35">
        <f t="shared" si="679"/>
        <v>113</v>
      </c>
      <c r="AP711" s="35">
        <f t="shared" si="679"/>
        <v>28</v>
      </c>
    </row>
    <row r="712" spans="1:42" ht="13">
      <c r="A712" s="36">
        <v>44631</v>
      </c>
      <c r="B712" s="35">
        <v>91744</v>
      </c>
      <c r="C712" s="35">
        <v>75224</v>
      </c>
      <c r="D712" s="35">
        <v>53053</v>
      </c>
      <c r="E712" s="35">
        <v>106241</v>
      </c>
      <c r="F712" s="35">
        <v>316385</v>
      </c>
      <c r="G712" s="35">
        <v>77000</v>
      </c>
      <c r="H712" s="35">
        <v>75589</v>
      </c>
      <c r="I712" s="35">
        <v>97630</v>
      </c>
      <c r="J712" s="35">
        <v>95894</v>
      </c>
      <c r="K712" s="35">
        <v>50135</v>
      </c>
      <c r="L712" s="35">
        <v>64630</v>
      </c>
      <c r="M712" s="35">
        <v>57317</v>
      </c>
      <c r="N712" s="35">
        <v>40125</v>
      </c>
      <c r="O712" s="35">
        <v>247121</v>
      </c>
      <c r="P712" s="35">
        <v>57244</v>
      </c>
      <c r="Q712" s="35">
        <v>98310</v>
      </c>
      <c r="R712" s="35">
        <v>38560</v>
      </c>
      <c r="S712" s="35">
        <v>52393</v>
      </c>
      <c r="T712" s="35">
        <v>71883</v>
      </c>
      <c r="U712" s="35">
        <v>47884</v>
      </c>
      <c r="V712" s="35">
        <f t="shared" si="675"/>
        <v>1814362</v>
      </c>
      <c r="W712" s="35">
        <f t="shared" ref="W712:AP712" si="680">B712-B711</f>
        <v>80</v>
      </c>
      <c r="X712" s="35">
        <f t="shared" si="680"/>
        <v>132</v>
      </c>
      <c r="Y712" s="35">
        <f t="shared" si="680"/>
        <v>56</v>
      </c>
      <c r="Z712" s="35">
        <f t="shared" si="680"/>
        <v>162</v>
      </c>
      <c r="AA712" s="35">
        <f t="shared" si="680"/>
        <v>375</v>
      </c>
      <c r="AB712" s="35">
        <f t="shared" si="680"/>
        <v>86</v>
      </c>
      <c r="AC712" s="35">
        <f t="shared" si="680"/>
        <v>84</v>
      </c>
      <c r="AD712" s="35">
        <f t="shared" si="680"/>
        <v>105</v>
      </c>
      <c r="AE712" s="35">
        <f t="shared" si="680"/>
        <v>125</v>
      </c>
      <c r="AF712" s="35">
        <f t="shared" si="680"/>
        <v>51</v>
      </c>
      <c r="AG712" s="35">
        <f t="shared" si="680"/>
        <v>50</v>
      </c>
      <c r="AH712" s="35">
        <f t="shared" si="680"/>
        <v>55</v>
      </c>
      <c r="AI712" s="35">
        <f t="shared" si="680"/>
        <v>48</v>
      </c>
      <c r="AJ712" s="35">
        <f t="shared" si="680"/>
        <v>237</v>
      </c>
      <c r="AK712" s="35">
        <f t="shared" si="680"/>
        <v>87</v>
      </c>
      <c r="AL712" s="35">
        <f t="shared" si="680"/>
        <v>140</v>
      </c>
      <c r="AM712" s="35">
        <f t="shared" si="680"/>
        <v>33</v>
      </c>
      <c r="AN712" s="35">
        <f t="shared" si="680"/>
        <v>46</v>
      </c>
      <c r="AO712" s="35">
        <f t="shared" si="680"/>
        <v>78</v>
      </c>
      <c r="AP712" s="35">
        <f t="shared" si="680"/>
        <v>38</v>
      </c>
    </row>
    <row r="713" spans="1:42" ht="13">
      <c r="A713" s="36">
        <v>44632</v>
      </c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</row>
    <row r="714" spans="1:42" ht="13">
      <c r="A714" s="36">
        <v>44633</v>
      </c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</row>
    <row r="715" spans="1:42" ht="13">
      <c r="A715" s="36">
        <v>44634</v>
      </c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</row>
    <row r="716" spans="1:42" ht="13">
      <c r="A716" s="36">
        <v>44635</v>
      </c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</row>
    <row r="717" spans="1:42" ht="13">
      <c r="A717" s="36">
        <v>44636</v>
      </c>
      <c r="B717" s="35">
        <v>91922</v>
      </c>
      <c r="C717" s="35">
        <v>75471</v>
      </c>
      <c r="D717" s="35">
        <v>53140</v>
      </c>
      <c r="E717" s="35">
        <v>106553</v>
      </c>
      <c r="F717" s="35">
        <v>317565</v>
      </c>
      <c r="G717" s="35">
        <v>77244</v>
      </c>
      <c r="H717" s="35">
        <v>75770</v>
      </c>
      <c r="I717" s="35">
        <v>97927</v>
      </c>
      <c r="J717" s="35">
        <v>96167</v>
      </c>
      <c r="K717" s="35">
        <v>50241</v>
      </c>
      <c r="L717" s="35">
        <v>64758</v>
      </c>
      <c r="M717" s="35">
        <v>57445</v>
      </c>
      <c r="N717" s="35">
        <v>40237</v>
      </c>
      <c r="O717" s="35">
        <v>247676</v>
      </c>
      <c r="P717" s="35">
        <v>57391</v>
      </c>
      <c r="Q717" s="35">
        <v>98605</v>
      </c>
      <c r="R717" s="35">
        <v>38630</v>
      </c>
      <c r="S717" s="35">
        <v>52524</v>
      </c>
      <c r="T717" s="35">
        <v>72071</v>
      </c>
      <c r="U717" s="35">
        <v>47927</v>
      </c>
      <c r="V717" s="35">
        <f t="shared" ref="V717:V719" si="681">SUM(B717:U717)</f>
        <v>1819264</v>
      </c>
      <c r="W717" s="35">
        <f t="shared" ref="W717:AP717" si="682">B717-B712</f>
        <v>178</v>
      </c>
      <c r="X717" s="35">
        <f t="shared" si="682"/>
        <v>247</v>
      </c>
      <c r="Y717" s="35">
        <f t="shared" si="682"/>
        <v>87</v>
      </c>
      <c r="Z717" s="35">
        <f t="shared" si="682"/>
        <v>312</v>
      </c>
      <c r="AA717" s="35">
        <f t="shared" si="682"/>
        <v>1180</v>
      </c>
      <c r="AB717" s="35">
        <f t="shared" si="682"/>
        <v>244</v>
      </c>
      <c r="AC717" s="35">
        <f t="shared" si="682"/>
        <v>181</v>
      </c>
      <c r="AD717" s="35">
        <f t="shared" si="682"/>
        <v>297</v>
      </c>
      <c r="AE717" s="35">
        <f t="shared" si="682"/>
        <v>273</v>
      </c>
      <c r="AF717" s="35">
        <f t="shared" si="682"/>
        <v>106</v>
      </c>
      <c r="AG717" s="35">
        <f t="shared" si="682"/>
        <v>128</v>
      </c>
      <c r="AH717" s="35">
        <f t="shared" si="682"/>
        <v>128</v>
      </c>
      <c r="AI717" s="35">
        <f t="shared" si="682"/>
        <v>112</v>
      </c>
      <c r="AJ717" s="35">
        <f t="shared" si="682"/>
        <v>555</v>
      </c>
      <c r="AK717" s="35">
        <f t="shared" si="682"/>
        <v>147</v>
      </c>
      <c r="AL717" s="35">
        <f t="shared" si="682"/>
        <v>295</v>
      </c>
      <c r="AM717" s="35">
        <f t="shared" si="682"/>
        <v>70</v>
      </c>
      <c r="AN717" s="35">
        <f t="shared" si="682"/>
        <v>131</v>
      </c>
      <c r="AO717" s="35">
        <f t="shared" si="682"/>
        <v>188</v>
      </c>
      <c r="AP717" s="35">
        <f t="shared" si="682"/>
        <v>43</v>
      </c>
    </row>
    <row r="718" spans="1:42" ht="13">
      <c r="A718" s="36">
        <v>44637</v>
      </c>
      <c r="B718" s="35">
        <v>91978</v>
      </c>
      <c r="C718" s="35">
        <v>75572</v>
      </c>
      <c r="D718" s="35">
        <v>53204</v>
      </c>
      <c r="E718" s="35">
        <v>106656</v>
      </c>
      <c r="F718" s="35">
        <v>317859</v>
      </c>
      <c r="G718" s="35">
        <v>77304</v>
      </c>
      <c r="H718" s="35">
        <v>75819</v>
      </c>
      <c r="I718" s="35">
        <v>98013</v>
      </c>
      <c r="J718" s="35">
        <v>96244</v>
      </c>
      <c r="K718" s="35">
        <v>50287</v>
      </c>
      <c r="L718" s="35">
        <v>64799</v>
      </c>
      <c r="M718" s="35">
        <v>57483</v>
      </c>
      <c r="N718" s="35">
        <v>40266</v>
      </c>
      <c r="O718" s="35">
        <v>247827</v>
      </c>
      <c r="P718" s="35">
        <v>57438</v>
      </c>
      <c r="Q718" s="35">
        <v>98716</v>
      </c>
      <c r="R718" s="35">
        <v>38676</v>
      </c>
      <c r="S718" s="35">
        <v>52547</v>
      </c>
      <c r="T718" s="35">
        <v>72212</v>
      </c>
      <c r="U718" s="35">
        <v>47967</v>
      </c>
      <c r="V718" s="35">
        <f t="shared" si="681"/>
        <v>1820867</v>
      </c>
      <c r="W718" s="35">
        <f t="shared" ref="W718:AP718" si="683">B718-B717</f>
        <v>56</v>
      </c>
      <c r="X718" s="35">
        <f t="shared" si="683"/>
        <v>101</v>
      </c>
      <c r="Y718" s="35">
        <f t="shared" si="683"/>
        <v>64</v>
      </c>
      <c r="Z718" s="35">
        <f t="shared" si="683"/>
        <v>103</v>
      </c>
      <c r="AA718" s="35">
        <f t="shared" si="683"/>
        <v>294</v>
      </c>
      <c r="AB718" s="35">
        <f t="shared" si="683"/>
        <v>60</v>
      </c>
      <c r="AC718" s="35">
        <f t="shared" si="683"/>
        <v>49</v>
      </c>
      <c r="AD718" s="35">
        <f t="shared" si="683"/>
        <v>86</v>
      </c>
      <c r="AE718" s="35">
        <f t="shared" si="683"/>
        <v>77</v>
      </c>
      <c r="AF718" s="35">
        <f t="shared" si="683"/>
        <v>46</v>
      </c>
      <c r="AG718" s="35">
        <f t="shared" si="683"/>
        <v>41</v>
      </c>
      <c r="AH718" s="35">
        <f t="shared" si="683"/>
        <v>38</v>
      </c>
      <c r="AI718" s="35">
        <f t="shared" si="683"/>
        <v>29</v>
      </c>
      <c r="AJ718" s="35">
        <f t="shared" si="683"/>
        <v>151</v>
      </c>
      <c r="AK718" s="35">
        <f t="shared" si="683"/>
        <v>47</v>
      </c>
      <c r="AL718" s="35">
        <f t="shared" si="683"/>
        <v>111</v>
      </c>
      <c r="AM718" s="35">
        <f t="shared" si="683"/>
        <v>46</v>
      </c>
      <c r="AN718" s="35">
        <f t="shared" si="683"/>
        <v>23</v>
      </c>
      <c r="AO718" s="35">
        <f t="shared" si="683"/>
        <v>141</v>
      </c>
      <c r="AP718" s="35">
        <f t="shared" si="683"/>
        <v>40</v>
      </c>
    </row>
    <row r="719" spans="1:42" ht="13">
      <c r="A719" s="36">
        <v>44638</v>
      </c>
      <c r="B719" s="35">
        <v>92109</v>
      </c>
      <c r="C719" s="35">
        <v>75815</v>
      </c>
      <c r="D719" s="35">
        <v>53329</v>
      </c>
      <c r="E719" s="35">
        <v>106823</v>
      </c>
      <c r="F719" s="35">
        <v>318531</v>
      </c>
      <c r="G719" s="35">
        <v>77447</v>
      </c>
      <c r="H719" s="35">
        <v>75937</v>
      </c>
      <c r="I719" s="35">
        <v>98180</v>
      </c>
      <c r="J719" s="35">
        <v>96450</v>
      </c>
      <c r="K719" s="35">
        <v>50371</v>
      </c>
      <c r="L719" s="35">
        <v>64906</v>
      </c>
      <c r="M719" s="35">
        <v>57548</v>
      </c>
      <c r="N719" s="35">
        <v>40321</v>
      </c>
      <c r="O719" s="35">
        <v>248220</v>
      </c>
      <c r="P719" s="35">
        <v>57547</v>
      </c>
      <c r="Q719" s="35">
        <v>98964</v>
      </c>
      <c r="R719" s="35">
        <v>38736</v>
      </c>
      <c r="S719" s="35">
        <v>52619</v>
      </c>
      <c r="T719" s="35">
        <v>72202</v>
      </c>
      <c r="U719" s="35">
        <v>48034</v>
      </c>
      <c r="V719" s="35">
        <f t="shared" si="681"/>
        <v>1824089</v>
      </c>
      <c r="W719" s="35">
        <f t="shared" ref="W719:AP719" si="684">B719-B718</f>
        <v>131</v>
      </c>
      <c r="X719" s="35">
        <f t="shared" si="684"/>
        <v>243</v>
      </c>
      <c r="Y719" s="35">
        <f t="shared" si="684"/>
        <v>125</v>
      </c>
      <c r="Z719" s="35">
        <f t="shared" si="684"/>
        <v>167</v>
      </c>
      <c r="AA719" s="35">
        <f t="shared" si="684"/>
        <v>672</v>
      </c>
      <c r="AB719" s="35">
        <f t="shared" si="684"/>
        <v>143</v>
      </c>
      <c r="AC719" s="35">
        <f t="shared" si="684"/>
        <v>118</v>
      </c>
      <c r="AD719" s="35">
        <f t="shared" si="684"/>
        <v>167</v>
      </c>
      <c r="AE719" s="35">
        <f t="shared" si="684"/>
        <v>206</v>
      </c>
      <c r="AF719" s="35">
        <f t="shared" si="684"/>
        <v>84</v>
      </c>
      <c r="AG719" s="35">
        <f t="shared" si="684"/>
        <v>107</v>
      </c>
      <c r="AH719" s="35">
        <f t="shared" si="684"/>
        <v>65</v>
      </c>
      <c r="AI719" s="35">
        <f t="shared" si="684"/>
        <v>55</v>
      </c>
      <c r="AJ719" s="35">
        <f t="shared" si="684"/>
        <v>393</v>
      </c>
      <c r="AK719" s="35">
        <f t="shared" si="684"/>
        <v>109</v>
      </c>
      <c r="AL719" s="35">
        <f t="shared" si="684"/>
        <v>248</v>
      </c>
      <c r="AM719" s="35">
        <f t="shared" si="684"/>
        <v>60</v>
      </c>
      <c r="AN719" s="35">
        <f t="shared" si="684"/>
        <v>72</v>
      </c>
      <c r="AO719" s="35">
        <f t="shared" si="684"/>
        <v>-10</v>
      </c>
      <c r="AP719" s="35">
        <f t="shared" si="684"/>
        <v>67</v>
      </c>
    </row>
    <row r="720" spans="1:42" ht="13">
      <c r="A720" s="36">
        <v>44639</v>
      </c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</row>
    <row r="721" spans="1:42" ht="13">
      <c r="A721" s="36">
        <v>44640</v>
      </c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</row>
    <row r="722" spans="1:42" ht="13">
      <c r="A722" s="36">
        <v>44641</v>
      </c>
      <c r="B722" s="16">
        <v>92342</v>
      </c>
      <c r="C722" s="16">
        <v>76209</v>
      </c>
      <c r="D722" s="16">
        <v>53445</v>
      </c>
      <c r="E722" s="16">
        <v>107200</v>
      </c>
      <c r="F722" s="16">
        <v>319807</v>
      </c>
      <c r="G722" s="16">
        <v>77719</v>
      </c>
      <c r="H722" s="16">
        <v>76115</v>
      </c>
      <c r="I722" s="16">
        <v>98735</v>
      </c>
      <c r="J722" s="16">
        <v>96723</v>
      </c>
      <c r="K722" s="16">
        <v>50503</v>
      </c>
      <c r="L722" s="16">
        <v>65050</v>
      </c>
      <c r="M722" s="16">
        <v>57729</v>
      </c>
      <c r="N722" s="16">
        <v>40407</v>
      </c>
      <c r="O722" s="16">
        <v>248848</v>
      </c>
      <c r="P722" s="16">
        <v>57713</v>
      </c>
      <c r="Q722" s="16">
        <v>99274</v>
      </c>
      <c r="R722" s="16">
        <v>38828</v>
      </c>
      <c r="S722" s="16">
        <v>52756</v>
      </c>
      <c r="T722" s="16">
        <v>72385</v>
      </c>
      <c r="U722" s="16">
        <v>48140</v>
      </c>
      <c r="V722" s="35">
        <f t="shared" ref="V722:V726" si="685">SUM(B722:U722)</f>
        <v>1829928</v>
      </c>
      <c r="W722" s="35">
        <f t="shared" ref="W722:AP722" si="686">B722-B719</f>
        <v>233</v>
      </c>
      <c r="X722" s="35">
        <f t="shared" si="686"/>
        <v>394</v>
      </c>
      <c r="Y722" s="35">
        <f t="shared" si="686"/>
        <v>116</v>
      </c>
      <c r="Z722" s="35">
        <f t="shared" si="686"/>
        <v>377</v>
      </c>
      <c r="AA722" s="35">
        <f t="shared" si="686"/>
        <v>1276</v>
      </c>
      <c r="AB722" s="35">
        <f t="shared" si="686"/>
        <v>272</v>
      </c>
      <c r="AC722" s="35">
        <f t="shared" si="686"/>
        <v>178</v>
      </c>
      <c r="AD722" s="35">
        <f t="shared" si="686"/>
        <v>555</v>
      </c>
      <c r="AE722" s="35">
        <f t="shared" si="686"/>
        <v>273</v>
      </c>
      <c r="AF722" s="35">
        <f t="shared" si="686"/>
        <v>132</v>
      </c>
      <c r="AG722" s="35">
        <f t="shared" si="686"/>
        <v>144</v>
      </c>
      <c r="AH722" s="35">
        <f t="shared" si="686"/>
        <v>181</v>
      </c>
      <c r="AI722" s="35">
        <f t="shared" si="686"/>
        <v>86</v>
      </c>
      <c r="AJ722" s="35">
        <f t="shared" si="686"/>
        <v>628</v>
      </c>
      <c r="AK722" s="35">
        <f t="shared" si="686"/>
        <v>166</v>
      </c>
      <c r="AL722" s="35">
        <f t="shared" si="686"/>
        <v>310</v>
      </c>
      <c r="AM722" s="35">
        <f t="shared" si="686"/>
        <v>92</v>
      </c>
      <c r="AN722" s="35">
        <f t="shared" si="686"/>
        <v>137</v>
      </c>
      <c r="AO722" s="35">
        <f t="shared" si="686"/>
        <v>183</v>
      </c>
      <c r="AP722" s="35">
        <f t="shared" si="686"/>
        <v>106</v>
      </c>
    </row>
    <row r="723" spans="1:42" ht="13">
      <c r="A723" s="36">
        <v>44642</v>
      </c>
      <c r="B723" s="35">
        <v>92394</v>
      </c>
      <c r="C723" s="35">
        <v>76324</v>
      </c>
      <c r="D723" s="35">
        <v>53496</v>
      </c>
      <c r="E723" s="35">
        <v>107287</v>
      </c>
      <c r="F723" s="35">
        <v>320101</v>
      </c>
      <c r="G723" s="35">
        <v>77786</v>
      </c>
      <c r="H723" s="35">
        <v>76172</v>
      </c>
      <c r="I723" s="35">
        <v>98793</v>
      </c>
      <c r="J723" s="35">
        <v>96791</v>
      </c>
      <c r="K723" s="35">
        <v>50563</v>
      </c>
      <c r="L723" s="35">
        <v>65098</v>
      </c>
      <c r="M723" s="35">
        <v>57764</v>
      </c>
      <c r="N723" s="35">
        <v>40425</v>
      </c>
      <c r="O723" s="35">
        <v>249024</v>
      </c>
      <c r="P723" s="35">
        <v>57763</v>
      </c>
      <c r="Q723" s="35">
        <v>99381</v>
      </c>
      <c r="R723" s="35">
        <v>38860</v>
      </c>
      <c r="S723" s="35">
        <v>52778</v>
      </c>
      <c r="T723" s="35">
        <v>72442</v>
      </c>
      <c r="U723" s="35">
        <v>48181</v>
      </c>
      <c r="V723" s="35">
        <f t="shared" si="685"/>
        <v>1831423</v>
      </c>
      <c r="W723" s="35">
        <f t="shared" ref="W723:AP723" si="687">B723-B722</f>
        <v>52</v>
      </c>
      <c r="X723" s="35">
        <f t="shared" si="687"/>
        <v>115</v>
      </c>
      <c r="Y723" s="35">
        <f t="shared" si="687"/>
        <v>51</v>
      </c>
      <c r="Z723" s="35">
        <f t="shared" si="687"/>
        <v>87</v>
      </c>
      <c r="AA723" s="35">
        <f t="shared" si="687"/>
        <v>294</v>
      </c>
      <c r="AB723" s="35">
        <f t="shared" si="687"/>
        <v>67</v>
      </c>
      <c r="AC723" s="35">
        <f t="shared" si="687"/>
        <v>57</v>
      </c>
      <c r="AD723" s="35">
        <f t="shared" si="687"/>
        <v>58</v>
      </c>
      <c r="AE723" s="35">
        <f t="shared" si="687"/>
        <v>68</v>
      </c>
      <c r="AF723" s="35">
        <f t="shared" si="687"/>
        <v>60</v>
      </c>
      <c r="AG723" s="35">
        <f t="shared" si="687"/>
        <v>48</v>
      </c>
      <c r="AH723" s="35">
        <f t="shared" si="687"/>
        <v>35</v>
      </c>
      <c r="AI723" s="35">
        <f t="shared" si="687"/>
        <v>18</v>
      </c>
      <c r="AJ723" s="35">
        <f t="shared" si="687"/>
        <v>176</v>
      </c>
      <c r="AK723" s="35">
        <f t="shared" si="687"/>
        <v>50</v>
      </c>
      <c r="AL723" s="35">
        <f t="shared" si="687"/>
        <v>107</v>
      </c>
      <c r="AM723" s="35">
        <f t="shared" si="687"/>
        <v>32</v>
      </c>
      <c r="AN723" s="35">
        <f t="shared" si="687"/>
        <v>22</v>
      </c>
      <c r="AO723" s="35">
        <f t="shared" si="687"/>
        <v>57</v>
      </c>
      <c r="AP723" s="35">
        <f t="shared" si="687"/>
        <v>41</v>
      </c>
    </row>
    <row r="724" spans="1:42" ht="13">
      <c r="A724" s="36">
        <v>44643</v>
      </c>
      <c r="B724" s="35">
        <v>92521</v>
      </c>
      <c r="C724" s="35">
        <v>76534</v>
      </c>
      <c r="D724" s="35">
        <v>53572</v>
      </c>
      <c r="E724" s="35">
        <v>107477</v>
      </c>
      <c r="F724" s="35">
        <v>320728</v>
      </c>
      <c r="G724" s="35">
        <v>77898</v>
      </c>
      <c r="H724" s="35">
        <v>76259</v>
      </c>
      <c r="I724" s="35">
        <v>98954</v>
      </c>
      <c r="J724" s="35">
        <v>96939</v>
      </c>
      <c r="K724" s="35">
        <v>50629</v>
      </c>
      <c r="L724" s="35">
        <v>65182</v>
      </c>
      <c r="M724" s="35">
        <v>57825</v>
      </c>
      <c r="N724" s="35">
        <v>40461</v>
      </c>
      <c r="O724" s="35">
        <v>249393</v>
      </c>
      <c r="P724" s="35">
        <v>57836</v>
      </c>
      <c r="Q724" s="35">
        <v>99547</v>
      </c>
      <c r="R724" s="35">
        <v>38912</v>
      </c>
      <c r="S724" s="35">
        <v>52847</v>
      </c>
      <c r="T724" s="35">
        <v>72507</v>
      </c>
      <c r="U724" s="35">
        <v>48247</v>
      </c>
      <c r="V724" s="35">
        <f t="shared" si="685"/>
        <v>1834268</v>
      </c>
      <c r="W724" s="35">
        <f t="shared" ref="W724:AP724" si="688">B724-B723</f>
        <v>127</v>
      </c>
      <c r="X724" s="35">
        <f t="shared" si="688"/>
        <v>210</v>
      </c>
      <c r="Y724" s="35">
        <f t="shared" si="688"/>
        <v>76</v>
      </c>
      <c r="Z724" s="35">
        <f t="shared" si="688"/>
        <v>190</v>
      </c>
      <c r="AA724" s="35">
        <f t="shared" si="688"/>
        <v>627</v>
      </c>
      <c r="AB724" s="35">
        <f t="shared" si="688"/>
        <v>112</v>
      </c>
      <c r="AC724" s="35">
        <f t="shared" si="688"/>
        <v>87</v>
      </c>
      <c r="AD724" s="35">
        <f t="shared" si="688"/>
        <v>161</v>
      </c>
      <c r="AE724" s="35">
        <f t="shared" si="688"/>
        <v>148</v>
      </c>
      <c r="AF724" s="35">
        <f t="shared" si="688"/>
        <v>66</v>
      </c>
      <c r="AG724" s="35">
        <f t="shared" si="688"/>
        <v>84</v>
      </c>
      <c r="AH724" s="35">
        <f t="shared" si="688"/>
        <v>61</v>
      </c>
      <c r="AI724" s="35">
        <f t="shared" si="688"/>
        <v>36</v>
      </c>
      <c r="AJ724" s="35">
        <f t="shared" si="688"/>
        <v>369</v>
      </c>
      <c r="AK724" s="35">
        <f t="shared" si="688"/>
        <v>73</v>
      </c>
      <c r="AL724" s="35">
        <f t="shared" si="688"/>
        <v>166</v>
      </c>
      <c r="AM724" s="35">
        <f t="shared" si="688"/>
        <v>52</v>
      </c>
      <c r="AN724" s="35">
        <f t="shared" si="688"/>
        <v>69</v>
      </c>
      <c r="AO724" s="35">
        <f t="shared" si="688"/>
        <v>65</v>
      </c>
      <c r="AP724" s="35">
        <f t="shared" si="688"/>
        <v>66</v>
      </c>
    </row>
    <row r="725" spans="1:42" ht="13">
      <c r="A725" s="36">
        <v>44644</v>
      </c>
      <c r="B725" s="35">
        <v>92642</v>
      </c>
      <c r="C725" s="35">
        <v>76709</v>
      </c>
      <c r="D725" s="35">
        <v>53648</v>
      </c>
      <c r="E725" s="35">
        <v>107635</v>
      </c>
      <c r="F725" s="35">
        <v>321349</v>
      </c>
      <c r="G725" s="35">
        <v>78002</v>
      </c>
      <c r="H725" s="35">
        <v>76335</v>
      </c>
      <c r="I725" s="35">
        <v>99122</v>
      </c>
      <c r="J725" s="35">
        <v>97081</v>
      </c>
      <c r="K725" s="35">
        <v>50678</v>
      </c>
      <c r="L725" s="35">
        <v>65241</v>
      </c>
      <c r="M725" s="35">
        <v>57913</v>
      </c>
      <c r="N725" s="35">
        <v>40498</v>
      </c>
      <c r="O725" s="35">
        <v>249690</v>
      </c>
      <c r="P725" s="35">
        <v>57915</v>
      </c>
      <c r="Q725" s="35">
        <v>99694</v>
      </c>
      <c r="R725" s="35">
        <v>38965</v>
      </c>
      <c r="S725" s="35">
        <v>52903</v>
      </c>
      <c r="T725" s="35">
        <v>72614</v>
      </c>
      <c r="U725" s="35">
        <v>48285</v>
      </c>
      <c r="V725" s="35">
        <f t="shared" si="685"/>
        <v>1836919</v>
      </c>
      <c r="W725" s="35">
        <f t="shared" ref="W725:AP725" si="689">B725-B724</f>
        <v>121</v>
      </c>
      <c r="X725" s="35">
        <f t="shared" si="689"/>
        <v>175</v>
      </c>
      <c r="Y725" s="35">
        <f t="shared" si="689"/>
        <v>76</v>
      </c>
      <c r="Z725" s="35">
        <f t="shared" si="689"/>
        <v>158</v>
      </c>
      <c r="AA725" s="35">
        <f t="shared" si="689"/>
        <v>621</v>
      </c>
      <c r="AB725" s="35">
        <f t="shared" si="689"/>
        <v>104</v>
      </c>
      <c r="AC725" s="35">
        <f t="shared" si="689"/>
        <v>76</v>
      </c>
      <c r="AD725" s="35">
        <f t="shared" si="689"/>
        <v>168</v>
      </c>
      <c r="AE725" s="35">
        <f t="shared" si="689"/>
        <v>142</v>
      </c>
      <c r="AF725" s="35">
        <f t="shared" si="689"/>
        <v>49</v>
      </c>
      <c r="AG725" s="35">
        <f t="shared" si="689"/>
        <v>59</v>
      </c>
      <c r="AH725" s="35">
        <f t="shared" si="689"/>
        <v>88</v>
      </c>
      <c r="AI725" s="35">
        <f t="shared" si="689"/>
        <v>37</v>
      </c>
      <c r="AJ725" s="35">
        <f t="shared" si="689"/>
        <v>297</v>
      </c>
      <c r="AK725" s="35">
        <f t="shared" si="689"/>
        <v>79</v>
      </c>
      <c r="AL725" s="35">
        <f t="shared" si="689"/>
        <v>147</v>
      </c>
      <c r="AM725" s="35">
        <f t="shared" si="689"/>
        <v>53</v>
      </c>
      <c r="AN725" s="35">
        <f t="shared" si="689"/>
        <v>56</v>
      </c>
      <c r="AO725" s="35">
        <f t="shared" si="689"/>
        <v>107</v>
      </c>
      <c r="AP725" s="35">
        <f t="shared" si="689"/>
        <v>38</v>
      </c>
    </row>
    <row r="726" spans="1:42" ht="13">
      <c r="A726" s="36">
        <v>44645</v>
      </c>
      <c r="B726" s="35">
        <v>92735</v>
      </c>
      <c r="C726" s="35">
        <v>76850</v>
      </c>
      <c r="D726" s="35">
        <v>53709</v>
      </c>
      <c r="E726" s="35">
        <v>107750</v>
      </c>
      <c r="F726" s="35">
        <v>321937</v>
      </c>
      <c r="G726" s="35">
        <v>78105</v>
      </c>
      <c r="H726" s="35">
        <v>76441</v>
      </c>
      <c r="I726" s="35">
        <v>99249</v>
      </c>
      <c r="J726" s="35">
        <v>97216</v>
      </c>
      <c r="K726" s="35">
        <v>50750</v>
      </c>
      <c r="L726" s="35">
        <v>65312</v>
      </c>
      <c r="M726" s="35">
        <v>57980</v>
      </c>
      <c r="N726" s="35">
        <v>40527</v>
      </c>
      <c r="O726" s="35">
        <v>250000</v>
      </c>
      <c r="P726" s="35">
        <v>57995</v>
      </c>
      <c r="Q726" s="35">
        <v>99822</v>
      </c>
      <c r="R726" s="35">
        <v>39007</v>
      </c>
      <c r="S726" s="35">
        <v>52972</v>
      </c>
      <c r="T726" s="35">
        <v>72675</v>
      </c>
      <c r="U726" s="35">
        <v>48326</v>
      </c>
      <c r="V726" s="35">
        <f t="shared" si="685"/>
        <v>1839358</v>
      </c>
      <c r="W726" s="35">
        <f t="shared" ref="W726:AP726" si="690">B726-B725</f>
        <v>93</v>
      </c>
      <c r="X726" s="35">
        <f t="shared" si="690"/>
        <v>141</v>
      </c>
      <c r="Y726" s="35">
        <f t="shared" si="690"/>
        <v>61</v>
      </c>
      <c r="Z726" s="35">
        <f t="shared" si="690"/>
        <v>115</v>
      </c>
      <c r="AA726" s="35">
        <f t="shared" si="690"/>
        <v>588</v>
      </c>
      <c r="AB726" s="35">
        <f t="shared" si="690"/>
        <v>103</v>
      </c>
      <c r="AC726" s="35">
        <f t="shared" si="690"/>
        <v>106</v>
      </c>
      <c r="AD726" s="35">
        <f t="shared" si="690"/>
        <v>127</v>
      </c>
      <c r="AE726" s="35">
        <f t="shared" si="690"/>
        <v>135</v>
      </c>
      <c r="AF726" s="35">
        <f t="shared" si="690"/>
        <v>72</v>
      </c>
      <c r="AG726" s="35">
        <f t="shared" si="690"/>
        <v>71</v>
      </c>
      <c r="AH726" s="35">
        <f t="shared" si="690"/>
        <v>67</v>
      </c>
      <c r="AI726" s="35">
        <f t="shared" si="690"/>
        <v>29</v>
      </c>
      <c r="AJ726" s="35">
        <f t="shared" si="690"/>
        <v>310</v>
      </c>
      <c r="AK726" s="35">
        <f t="shared" si="690"/>
        <v>80</v>
      </c>
      <c r="AL726" s="35">
        <f t="shared" si="690"/>
        <v>128</v>
      </c>
      <c r="AM726" s="35">
        <f t="shared" si="690"/>
        <v>42</v>
      </c>
      <c r="AN726" s="35">
        <f t="shared" si="690"/>
        <v>69</v>
      </c>
      <c r="AO726" s="35">
        <f t="shared" si="690"/>
        <v>61</v>
      </c>
      <c r="AP726" s="35">
        <f t="shared" si="690"/>
        <v>41</v>
      </c>
    </row>
    <row r="727" spans="1:42" ht="13">
      <c r="A727" s="36">
        <v>44646</v>
      </c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</row>
    <row r="728" spans="1:42" ht="13">
      <c r="A728" s="36">
        <v>44647</v>
      </c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</row>
    <row r="729" spans="1:42" ht="13">
      <c r="A729" s="36">
        <v>44648</v>
      </c>
      <c r="B729" s="35">
        <v>92965</v>
      </c>
      <c r="C729" s="35">
        <v>77127</v>
      </c>
      <c r="D729" s="35">
        <v>53872</v>
      </c>
      <c r="E729" s="35">
        <v>108029</v>
      </c>
      <c r="F729" s="35">
        <v>323304</v>
      </c>
      <c r="G729" s="35">
        <v>78345</v>
      </c>
      <c r="H729" s="35">
        <v>76611</v>
      </c>
      <c r="I729" s="35">
        <v>99521</v>
      </c>
      <c r="J729" s="35">
        <v>97447</v>
      </c>
      <c r="K729" s="35">
        <v>50872</v>
      </c>
      <c r="L729" s="35">
        <v>65442</v>
      </c>
      <c r="M729" s="35">
        <v>58092</v>
      </c>
      <c r="N729" s="35">
        <v>40619</v>
      </c>
      <c r="O729" s="35">
        <v>250653</v>
      </c>
      <c r="P729" s="35">
        <v>58169</v>
      </c>
      <c r="Q729" s="35">
        <v>100066</v>
      </c>
      <c r="R729" s="35">
        <v>39077</v>
      </c>
      <c r="S729" s="35">
        <v>53090</v>
      </c>
      <c r="T729" s="35">
        <v>72862</v>
      </c>
      <c r="U729" s="35">
        <v>48418</v>
      </c>
      <c r="V729" s="35">
        <f t="shared" ref="V729:V733" si="691">SUM(B729:U729)</f>
        <v>1844581</v>
      </c>
      <c r="W729" s="35">
        <f t="shared" ref="W729:AP729" si="692">B729-B726</f>
        <v>230</v>
      </c>
      <c r="X729" s="35">
        <f t="shared" si="692"/>
        <v>277</v>
      </c>
      <c r="Y729" s="35">
        <f t="shared" si="692"/>
        <v>163</v>
      </c>
      <c r="Z729" s="35">
        <f t="shared" si="692"/>
        <v>279</v>
      </c>
      <c r="AA729" s="35">
        <f t="shared" si="692"/>
        <v>1367</v>
      </c>
      <c r="AB729" s="35">
        <f t="shared" si="692"/>
        <v>240</v>
      </c>
      <c r="AC729" s="35">
        <f t="shared" si="692"/>
        <v>170</v>
      </c>
      <c r="AD729" s="35">
        <f t="shared" si="692"/>
        <v>272</v>
      </c>
      <c r="AE729" s="35">
        <f t="shared" si="692"/>
        <v>231</v>
      </c>
      <c r="AF729" s="35">
        <f t="shared" si="692"/>
        <v>122</v>
      </c>
      <c r="AG729" s="35">
        <f t="shared" si="692"/>
        <v>130</v>
      </c>
      <c r="AH729" s="35">
        <f t="shared" si="692"/>
        <v>112</v>
      </c>
      <c r="AI729" s="35">
        <f t="shared" si="692"/>
        <v>92</v>
      </c>
      <c r="AJ729" s="35">
        <f t="shared" si="692"/>
        <v>653</v>
      </c>
      <c r="AK729" s="35">
        <f t="shared" si="692"/>
        <v>174</v>
      </c>
      <c r="AL729" s="35">
        <f t="shared" si="692"/>
        <v>244</v>
      </c>
      <c r="AM729" s="35">
        <f t="shared" si="692"/>
        <v>70</v>
      </c>
      <c r="AN729" s="35">
        <f t="shared" si="692"/>
        <v>118</v>
      </c>
      <c r="AO729" s="35">
        <f t="shared" si="692"/>
        <v>187</v>
      </c>
      <c r="AP729" s="35">
        <f t="shared" si="692"/>
        <v>92</v>
      </c>
    </row>
    <row r="730" spans="1:42" ht="13">
      <c r="A730" s="36">
        <v>44649</v>
      </c>
      <c r="B730">
        <v>93038</v>
      </c>
      <c r="C730">
        <v>77249</v>
      </c>
      <c r="D730">
        <v>53922</v>
      </c>
      <c r="E730">
        <v>108112</v>
      </c>
      <c r="F730">
        <v>323644</v>
      </c>
      <c r="G730">
        <v>78421</v>
      </c>
      <c r="H730">
        <v>76668</v>
      </c>
      <c r="I730">
        <v>99605</v>
      </c>
      <c r="J730">
        <v>97547</v>
      </c>
      <c r="K730">
        <v>50919</v>
      </c>
      <c r="L730">
        <v>65498</v>
      </c>
      <c r="M730">
        <v>58146</v>
      </c>
      <c r="N730">
        <v>40642</v>
      </c>
      <c r="O730">
        <v>250826</v>
      </c>
      <c r="P730">
        <v>58231</v>
      </c>
      <c r="Q730">
        <v>100212</v>
      </c>
      <c r="R730">
        <v>39122</v>
      </c>
      <c r="S730">
        <v>53135</v>
      </c>
      <c r="T730">
        <v>72918</v>
      </c>
      <c r="U730">
        <v>48456</v>
      </c>
      <c r="V730" s="35">
        <f t="shared" si="691"/>
        <v>1846311</v>
      </c>
      <c r="W730" s="35">
        <f t="shared" ref="W730:AP730" si="693">B730-B729</f>
        <v>73</v>
      </c>
      <c r="X730" s="35">
        <f t="shared" si="693"/>
        <v>122</v>
      </c>
      <c r="Y730" s="35">
        <f t="shared" si="693"/>
        <v>50</v>
      </c>
      <c r="Z730" s="35">
        <f t="shared" si="693"/>
        <v>83</v>
      </c>
      <c r="AA730" s="35">
        <f t="shared" si="693"/>
        <v>340</v>
      </c>
      <c r="AB730" s="35">
        <f t="shared" si="693"/>
        <v>76</v>
      </c>
      <c r="AC730" s="35">
        <f t="shared" si="693"/>
        <v>57</v>
      </c>
      <c r="AD730" s="35">
        <f t="shared" si="693"/>
        <v>84</v>
      </c>
      <c r="AE730" s="35">
        <f t="shared" si="693"/>
        <v>100</v>
      </c>
      <c r="AF730" s="35">
        <f t="shared" si="693"/>
        <v>47</v>
      </c>
      <c r="AG730" s="35">
        <f t="shared" si="693"/>
        <v>56</v>
      </c>
      <c r="AH730" s="35">
        <f t="shared" si="693"/>
        <v>54</v>
      </c>
      <c r="AI730" s="35">
        <f t="shared" si="693"/>
        <v>23</v>
      </c>
      <c r="AJ730" s="35">
        <f t="shared" si="693"/>
        <v>173</v>
      </c>
      <c r="AK730" s="35">
        <f t="shared" si="693"/>
        <v>62</v>
      </c>
      <c r="AL730" s="35">
        <f t="shared" si="693"/>
        <v>146</v>
      </c>
      <c r="AM730" s="35">
        <f t="shared" si="693"/>
        <v>45</v>
      </c>
      <c r="AN730" s="35">
        <f t="shared" si="693"/>
        <v>45</v>
      </c>
      <c r="AO730" s="35">
        <f t="shared" si="693"/>
        <v>56</v>
      </c>
      <c r="AP730" s="35">
        <f t="shared" si="693"/>
        <v>38</v>
      </c>
    </row>
    <row r="731" spans="1:42" ht="13">
      <c r="A731" s="36">
        <v>44650</v>
      </c>
      <c r="B731" s="16">
        <v>93174</v>
      </c>
      <c r="C731" s="16">
        <v>77416</v>
      </c>
      <c r="D731" s="16">
        <v>54016</v>
      </c>
      <c r="E731" s="16">
        <v>108289</v>
      </c>
      <c r="F731" s="16">
        <v>324311</v>
      </c>
      <c r="G731" s="16">
        <v>78555</v>
      </c>
      <c r="H731" s="16">
        <v>76748</v>
      </c>
      <c r="I731" s="16">
        <v>99715</v>
      </c>
      <c r="J731" s="16">
        <v>97685</v>
      </c>
      <c r="K731" s="16">
        <v>50986</v>
      </c>
      <c r="L731" s="16">
        <v>65592</v>
      </c>
      <c r="M731" s="16">
        <v>58222</v>
      </c>
      <c r="N731" s="16">
        <v>40677</v>
      </c>
      <c r="O731" s="16">
        <v>251242</v>
      </c>
      <c r="P731" s="16">
        <v>58301</v>
      </c>
      <c r="Q731" s="16">
        <v>100411</v>
      </c>
      <c r="R731" s="16">
        <v>39174</v>
      </c>
      <c r="S731" s="16">
        <v>53198</v>
      </c>
      <c r="T731" s="16">
        <v>72978</v>
      </c>
      <c r="U731" s="16">
        <v>48527</v>
      </c>
      <c r="V731" s="35">
        <f t="shared" si="691"/>
        <v>1849217</v>
      </c>
      <c r="W731" s="35">
        <f t="shared" ref="W731:AP731" si="694">B731-B730</f>
        <v>136</v>
      </c>
      <c r="X731" s="35">
        <f t="shared" si="694"/>
        <v>167</v>
      </c>
      <c r="Y731" s="35">
        <f t="shared" si="694"/>
        <v>94</v>
      </c>
      <c r="Z731" s="35">
        <f t="shared" si="694"/>
        <v>177</v>
      </c>
      <c r="AA731" s="35">
        <f t="shared" si="694"/>
        <v>667</v>
      </c>
      <c r="AB731" s="35">
        <f t="shared" si="694"/>
        <v>134</v>
      </c>
      <c r="AC731" s="35">
        <f t="shared" si="694"/>
        <v>80</v>
      </c>
      <c r="AD731" s="35">
        <f t="shared" si="694"/>
        <v>110</v>
      </c>
      <c r="AE731" s="35">
        <f t="shared" si="694"/>
        <v>138</v>
      </c>
      <c r="AF731" s="35">
        <f t="shared" si="694"/>
        <v>67</v>
      </c>
      <c r="AG731" s="35">
        <f t="shared" si="694"/>
        <v>94</v>
      </c>
      <c r="AH731" s="35">
        <f t="shared" si="694"/>
        <v>76</v>
      </c>
      <c r="AI731" s="35">
        <f t="shared" si="694"/>
        <v>35</v>
      </c>
      <c r="AJ731" s="35">
        <f t="shared" si="694"/>
        <v>416</v>
      </c>
      <c r="AK731" s="35">
        <f t="shared" si="694"/>
        <v>70</v>
      </c>
      <c r="AL731" s="35">
        <f t="shared" si="694"/>
        <v>199</v>
      </c>
      <c r="AM731" s="35">
        <f t="shared" si="694"/>
        <v>52</v>
      </c>
      <c r="AN731" s="35">
        <f t="shared" si="694"/>
        <v>63</v>
      </c>
      <c r="AO731" s="35">
        <f t="shared" si="694"/>
        <v>60</v>
      </c>
      <c r="AP731" s="35">
        <f t="shared" si="694"/>
        <v>71</v>
      </c>
    </row>
    <row r="732" spans="1:42" ht="13">
      <c r="A732" s="36">
        <v>44651</v>
      </c>
      <c r="B732" s="35">
        <v>93298</v>
      </c>
      <c r="C732" s="35">
        <v>77552</v>
      </c>
      <c r="D732" s="35">
        <v>54087</v>
      </c>
      <c r="E732" s="35">
        <v>108440</v>
      </c>
      <c r="F732" s="35">
        <v>324965</v>
      </c>
      <c r="G732" s="35">
        <v>78653</v>
      </c>
      <c r="H732" s="35">
        <v>76827</v>
      </c>
      <c r="I732" s="35">
        <v>99845</v>
      </c>
      <c r="J732" s="35">
        <v>97822</v>
      </c>
      <c r="K732" s="35">
        <v>51050</v>
      </c>
      <c r="L732" s="35">
        <v>65662</v>
      </c>
      <c r="M732" s="35">
        <v>58293</v>
      </c>
      <c r="N732" s="35">
        <v>40720</v>
      </c>
      <c r="O732" s="35">
        <v>251553</v>
      </c>
      <c r="P732" s="35">
        <v>58376</v>
      </c>
      <c r="Q732" s="35">
        <v>100575</v>
      </c>
      <c r="R732" s="35">
        <v>39222</v>
      </c>
      <c r="S732" s="35">
        <v>53284</v>
      </c>
      <c r="T732" s="35">
        <v>73053</v>
      </c>
      <c r="U732" s="35">
        <v>48594</v>
      </c>
      <c r="V732" s="35">
        <f t="shared" si="691"/>
        <v>1851871</v>
      </c>
      <c r="W732" s="35">
        <f t="shared" ref="W732:AP732" si="695">B732-B731</f>
        <v>124</v>
      </c>
      <c r="X732" s="35">
        <f t="shared" si="695"/>
        <v>136</v>
      </c>
      <c r="Y732" s="35">
        <f t="shared" si="695"/>
        <v>71</v>
      </c>
      <c r="Z732" s="35">
        <f t="shared" si="695"/>
        <v>151</v>
      </c>
      <c r="AA732" s="35">
        <f t="shared" si="695"/>
        <v>654</v>
      </c>
      <c r="AB732" s="35">
        <f t="shared" si="695"/>
        <v>98</v>
      </c>
      <c r="AC732" s="35">
        <f t="shared" si="695"/>
        <v>79</v>
      </c>
      <c r="AD732" s="35">
        <f t="shared" si="695"/>
        <v>130</v>
      </c>
      <c r="AE732" s="35">
        <f t="shared" si="695"/>
        <v>137</v>
      </c>
      <c r="AF732" s="35">
        <f t="shared" si="695"/>
        <v>64</v>
      </c>
      <c r="AG732" s="35">
        <f t="shared" si="695"/>
        <v>70</v>
      </c>
      <c r="AH732" s="35">
        <f t="shared" si="695"/>
        <v>71</v>
      </c>
      <c r="AI732" s="35">
        <f t="shared" si="695"/>
        <v>43</v>
      </c>
      <c r="AJ732" s="35">
        <f t="shared" si="695"/>
        <v>311</v>
      </c>
      <c r="AK732" s="35">
        <f t="shared" si="695"/>
        <v>75</v>
      </c>
      <c r="AL732" s="35">
        <f t="shared" si="695"/>
        <v>164</v>
      </c>
      <c r="AM732" s="35">
        <f t="shared" si="695"/>
        <v>48</v>
      </c>
      <c r="AN732" s="35">
        <f t="shared" si="695"/>
        <v>86</v>
      </c>
      <c r="AO732" s="35">
        <f t="shared" si="695"/>
        <v>75</v>
      </c>
      <c r="AP732" s="35">
        <f t="shared" si="695"/>
        <v>67</v>
      </c>
    </row>
    <row r="733" spans="1:42" ht="13">
      <c r="A733" s="36">
        <v>44652</v>
      </c>
      <c r="B733" s="16">
        <v>93402</v>
      </c>
      <c r="C733" s="16">
        <v>77664</v>
      </c>
      <c r="D733" s="16">
        <v>54154</v>
      </c>
      <c r="E733" s="16">
        <v>108564</v>
      </c>
      <c r="F733" s="16">
        <v>325554</v>
      </c>
      <c r="G733" s="16">
        <v>78748</v>
      </c>
      <c r="H733" s="16">
        <v>76922</v>
      </c>
      <c r="I733" s="16">
        <v>99945</v>
      </c>
      <c r="J733" s="16">
        <v>97959</v>
      </c>
      <c r="K733" s="16">
        <v>51094</v>
      </c>
      <c r="L733" s="16">
        <v>65728</v>
      </c>
      <c r="M733" s="16">
        <v>58343</v>
      </c>
      <c r="N733" s="16">
        <v>40755</v>
      </c>
      <c r="O733" s="16">
        <v>251844</v>
      </c>
      <c r="P733" s="16">
        <v>58459</v>
      </c>
      <c r="Q733" s="16">
        <v>100703</v>
      </c>
      <c r="R733" s="16">
        <v>39253</v>
      </c>
      <c r="S733" s="16">
        <v>53350</v>
      </c>
      <c r="T733" s="16">
        <v>73126</v>
      </c>
      <c r="U733" s="16">
        <v>48631</v>
      </c>
      <c r="V733" s="35">
        <f t="shared" si="691"/>
        <v>1854198</v>
      </c>
      <c r="W733" s="35">
        <f t="shared" ref="W733:AP733" si="696">B733-B732</f>
        <v>104</v>
      </c>
      <c r="X733" s="35">
        <f t="shared" si="696"/>
        <v>112</v>
      </c>
      <c r="Y733" s="35">
        <f t="shared" si="696"/>
        <v>67</v>
      </c>
      <c r="Z733" s="35">
        <f t="shared" si="696"/>
        <v>124</v>
      </c>
      <c r="AA733" s="35">
        <f t="shared" si="696"/>
        <v>589</v>
      </c>
      <c r="AB733" s="35">
        <f t="shared" si="696"/>
        <v>95</v>
      </c>
      <c r="AC733" s="35">
        <f t="shared" si="696"/>
        <v>95</v>
      </c>
      <c r="AD733" s="35">
        <f t="shared" si="696"/>
        <v>100</v>
      </c>
      <c r="AE733" s="35">
        <f t="shared" si="696"/>
        <v>137</v>
      </c>
      <c r="AF733" s="35">
        <f t="shared" si="696"/>
        <v>44</v>
      </c>
      <c r="AG733" s="35">
        <f t="shared" si="696"/>
        <v>66</v>
      </c>
      <c r="AH733" s="35">
        <f t="shared" si="696"/>
        <v>50</v>
      </c>
      <c r="AI733" s="35">
        <f t="shared" si="696"/>
        <v>35</v>
      </c>
      <c r="AJ733" s="35">
        <f t="shared" si="696"/>
        <v>291</v>
      </c>
      <c r="AK733" s="35">
        <f t="shared" si="696"/>
        <v>83</v>
      </c>
      <c r="AL733" s="35">
        <f t="shared" si="696"/>
        <v>128</v>
      </c>
      <c r="AM733" s="35">
        <f t="shared" si="696"/>
        <v>31</v>
      </c>
      <c r="AN733" s="35">
        <f t="shared" si="696"/>
        <v>66</v>
      </c>
      <c r="AO733" s="35">
        <f t="shared" si="696"/>
        <v>73</v>
      </c>
      <c r="AP733" s="35">
        <f t="shared" si="696"/>
        <v>37</v>
      </c>
    </row>
    <row r="734" spans="1:42" ht="13">
      <c r="A734" s="36">
        <v>44653</v>
      </c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</row>
    <row r="735" spans="1:42" ht="13">
      <c r="A735" s="36">
        <v>44654</v>
      </c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</row>
    <row r="736" spans="1:42" ht="13">
      <c r="A736" s="36">
        <v>44655</v>
      </c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</row>
    <row r="737" spans="1:42" ht="13">
      <c r="A737" s="36">
        <v>44656</v>
      </c>
      <c r="B737" s="35">
        <v>93735</v>
      </c>
      <c r="C737" s="35">
        <v>77910</v>
      </c>
      <c r="D737" s="35">
        <v>54339</v>
      </c>
      <c r="E737" s="35">
        <v>108853</v>
      </c>
      <c r="F737" s="35">
        <v>327049</v>
      </c>
      <c r="G737" s="35">
        <v>78995</v>
      </c>
      <c r="H737" s="35">
        <v>77127</v>
      </c>
      <c r="I737" s="35">
        <v>100244</v>
      </c>
      <c r="J737" s="35">
        <v>98312</v>
      </c>
      <c r="K737" s="35">
        <v>51228</v>
      </c>
      <c r="L737" s="35">
        <v>65906</v>
      </c>
      <c r="M737" s="35">
        <v>58473</v>
      </c>
      <c r="N737" s="35">
        <v>40850</v>
      </c>
      <c r="O737" s="35">
        <v>252564</v>
      </c>
      <c r="P737" s="35">
        <v>58624</v>
      </c>
      <c r="Q737" s="35">
        <v>101049</v>
      </c>
      <c r="R737" s="35">
        <v>39359</v>
      </c>
      <c r="S737" s="35">
        <v>53499</v>
      </c>
      <c r="T737" s="35">
        <v>73304</v>
      </c>
      <c r="U737" s="35">
        <v>48739</v>
      </c>
      <c r="V737" s="35">
        <f t="shared" ref="V737:V738" si="697">SUM(B737:U737)</f>
        <v>1860159</v>
      </c>
      <c r="W737" s="35">
        <f t="shared" ref="W737:AP737" si="698">B737-B733</f>
        <v>333</v>
      </c>
      <c r="X737" s="35">
        <f t="shared" si="698"/>
        <v>246</v>
      </c>
      <c r="Y737" s="35">
        <f t="shared" si="698"/>
        <v>185</v>
      </c>
      <c r="Z737" s="35">
        <f t="shared" si="698"/>
        <v>289</v>
      </c>
      <c r="AA737" s="35">
        <f t="shared" si="698"/>
        <v>1495</v>
      </c>
      <c r="AB737" s="35">
        <f t="shared" si="698"/>
        <v>247</v>
      </c>
      <c r="AC737" s="35">
        <f t="shared" si="698"/>
        <v>205</v>
      </c>
      <c r="AD737" s="35">
        <f t="shared" si="698"/>
        <v>299</v>
      </c>
      <c r="AE737" s="35">
        <f t="shared" si="698"/>
        <v>353</v>
      </c>
      <c r="AF737" s="35">
        <f t="shared" si="698"/>
        <v>134</v>
      </c>
      <c r="AG737" s="35">
        <f t="shared" si="698"/>
        <v>178</v>
      </c>
      <c r="AH737" s="35">
        <f t="shared" si="698"/>
        <v>130</v>
      </c>
      <c r="AI737" s="35">
        <f t="shared" si="698"/>
        <v>95</v>
      </c>
      <c r="AJ737" s="35">
        <f t="shared" si="698"/>
        <v>720</v>
      </c>
      <c r="AK737" s="35">
        <f t="shared" si="698"/>
        <v>165</v>
      </c>
      <c r="AL737" s="35">
        <f t="shared" si="698"/>
        <v>346</v>
      </c>
      <c r="AM737" s="35">
        <f t="shared" si="698"/>
        <v>106</v>
      </c>
      <c r="AN737" s="35">
        <f t="shared" si="698"/>
        <v>149</v>
      </c>
      <c r="AO737" s="35">
        <f t="shared" si="698"/>
        <v>178</v>
      </c>
      <c r="AP737" s="35">
        <f t="shared" si="698"/>
        <v>108</v>
      </c>
    </row>
    <row r="738" spans="1:42" ht="13">
      <c r="A738" s="36">
        <v>44657</v>
      </c>
      <c r="B738" s="35">
        <v>93897</v>
      </c>
      <c r="C738" s="35">
        <v>78094</v>
      </c>
      <c r="D738" s="35">
        <v>54430</v>
      </c>
      <c r="E738" s="35">
        <v>108993</v>
      </c>
      <c r="F738" s="35">
        <v>327731</v>
      </c>
      <c r="G738" s="35">
        <v>79124</v>
      </c>
      <c r="H738" s="35">
        <v>77251</v>
      </c>
      <c r="I738" s="35">
        <v>100344</v>
      </c>
      <c r="J738" s="35">
        <v>98476</v>
      </c>
      <c r="K738" s="35">
        <v>51293</v>
      </c>
      <c r="L738" s="35">
        <v>65981</v>
      </c>
      <c r="M738" s="35">
        <v>58518</v>
      </c>
      <c r="N738" s="35">
        <v>40887</v>
      </c>
      <c r="O738" s="35">
        <v>252957</v>
      </c>
      <c r="P738" s="35">
        <v>58719</v>
      </c>
      <c r="Q738" s="35">
        <v>101213</v>
      </c>
      <c r="R738" s="35">
        <v>39413</v>
      </c>
      <c r="S738" s="35">
        <v>53552</v>
      </c>
      <c r="T738" s="35">
        <v>73364</v>
      </c>
      <c r="U738" s="35">
        <v>48802</v>
      </c>
      <c r="V738" s="35">
        <f t="shared" si="697"/>
        <v>1863039</v>
      </c>
      <c r="W738" s="35">
        <f t="shared" ref="W738:AP738" si="699">B738-B737</f>
        <v>162</v>
      </c>
      <c r="X738" s="35">
        <f t="shared" si="699"/>
        <v>184</v>
      </c>
      <c r="Y738" s="35">
        <f t="shared" si="699"/>
        <v>91</v>
      </c>
      <c r="Z738" s="35">
        <f t="shared" si="699"/>
        <v>140</v>
      </c>
      <c r="AA738" s="35">
        <f t="shared" si="699"/>
        <v>682</v>
      </c>
      <c r="AB738" s="35">
        <f t="shared" si="699"/>
        <v>129</v>
      </c>
      <c r="AC738" s="35">
        <f t="shared" si="699"/>
        <v>124</v>
      </c>
      <c r="AD738" s="35">
        <f t="shared" si="699"/>
        <v>100</v>
      </c>
      <c r="AE738" s="35">
        <f t="shared" si="699"/>
        <v>164</v>
      </c>
      <c r="AF738" s="35">
        <f t="shared" si="699"/>
        <v>65</v>
      </c>
      <c r="AG738" s="35">
        <f t="shared" si="699"/>
        <v>75</v>
      </c>
      <c r="AH738" s="35">
        <f t="shared" si="699"/>
        <v>45</v>
      </c>
      <c r="AI738" s="35">
        <f t="shared" si="699"/>
        <v>37</v>
      </c>
      <c r="AJ738" s="35">
        <f t="shared" si="699"/>
        <v>393</v>
      </c>
      <c r="AK738" s="35">
        <f t="shared" si="699"/>
        <v>95</v>
      </c>
      <c r="AL738" s="35">
        <f t="shared" si="699"/>
        <v>164</v>
      </c>
      <c r="AM738" s="35">
        <f t="shared" si="699"/>
        <v>54</v>
      </c>
      <c r="AN738" s="35">
        <f t="shared" si="699"/>
        <v>53</v>
      </c>
      <c r="AO738" s="35">
        <f t="shared" si="699"/>
        <v>60</v>
      </c>
      <c r="AP738" s="35">
        <f t="shared" si="699"/>
        <v>63</v>
      </c>
    </row>
    <row r="739" spans="1:42" ht="13">
      <c r="A739" s="36">
        <v>44658</v>
      </c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</row>
    <row r="740" spans="1:42" ht="13">
      <c r="A740" s="36">
        <v>44659</v>
      </c>
      <c r="B740" s="35">
        <v>94130</v>
      </c>
      <c r="C740" s="35">
        <v>78320</v>
      </c>
      <c r="D740" s="35">
        <v>54563</v>
      </c>
      <c r="E740" s="35">
        <v>109242</v>
      </c>
      <c r="F740" s="35">
        <v>328979</v>
      </c>
      <c r="G740" s="35">
        <v>79322</v>
      </c>
      <c r="H740" s="35">
        <v>77421</v>
      </c>
      <c r="I740" s="35">
        <v>100592</v>
      </c>
      <c r="J740" s="35">
        <v>98748</v>
      </c>
      <c r="K740" s="35">
        <v>51395</v>
      </c>
      <c r="L740" s="35">
        <v>66103</v>
      </c>
      <c r="M740" s="35">
        <v>58656</v>
      </c>
      <c r="N740" s="35">
        <v>40962</v>
      </c>
      <c r="O740" s="35">
        <v>253603</v>
      </c>
      <c r="P740" s="35">
        <v>58909</v>
      </c>
      <c r="Q740" s="35">
        <v>101446</v>
      </c>
      <c r="R740" s="35">
        <v>39522</v>
      </c>
      <c r="S740" s="35">
        <v>53678</v>
      </c>
      <c r="T740" s="35">
        <v>73520</v>
      </c>
      <c r="U740" s="35">
        <v>48896</v>
      </c>
      <c r="V740" s="35">
        <f>SUM(B740:U740)</f>
        <v>1868007</v>
      </c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</row>
    <row r="741" spans="1:42" ht="13">
      <c r="A741" s="36">
        <v>44660</v>
      </c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</row>
    <row r="742" spans="1:42" ht="13">
      <c r="A742" s="36">
        <v>44661</v>
      </c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</row>
    <row r="743" spans="1:42" ht="13">
      <c r="A743" s="36">
        <v>44662</v>
      </c>
      <c r="B743" s="35">
        <v>94326</v>
      </c>
      <c r="C743" s="35">
        <v>78521</v>
      </c>
      <c r="D743" s="35">
        <v>54688</v>
      </c>
      <c r="E743" s="35">
        <v>109457</v>
      </c>
      <c r="F743" s="35">
        <v>330224</v>
      </c>
      <c r="G743" s="35">
        <v>79509</v>
      </c>
      <c r="H743" s="35">
        <v>77612</v>
      </c>
      <c r="I743" s="35">
        <v>100830</v>
      </c>
      <c r="J743" s="35">
        <v>98954</v>
      </c>
      <c r="K743" s="35">
        <v>51518</v>
      </c>
      <c r="L743" s="35">
        <v>66239</v>
      </c>
      <c r="M743" s="35">
        <v>58784</v>
      </c>
      <c r="N743" s="35">
        <v>41050</v>
      </c>
      <c r="O743" s="35">
        <v>254194</v>
      </c>
      <c r="P743" s="35">
        <v>59052</v>
      </c>
      <c r="Q743" s="35">
        <v>101674</v>
      </c>
      <c r="R743" s="35">
        <v>39596</v>
      </c>
      <c r="S743" s="35">
        <v>53815</v>
      </c>
      <c r="T743" s="35">
        <v>73663</v>
      </c>
      <c r="U743" s="35">
        <v>48958</v>
      </c>
      <c r="V743" s="35">
        <f t="shared" ref="V743:V746" si="700">SUM(B743:U743)</f>
        <v>1872664</v>
      </c>
      <c r="W743" s="35">
        <f t="shared" ref="W743:AP743" si="701">B743-B740</f>
        <v>196</v>
      </c>
      <c r="X743" s="35">
        <f t="shared" si="701"/>
        <v>201</v>
      </c>
      <c r="Y743" s="35">
        <f t="shared" si="701"/>
        <v>125</v>
      </c>
      <c r="Z743" s="35">
        <f t="shared" si="701"/>
        <v>215</v>
      </c>
      <c r="AA743" s="35">
        <f t="shared" si="701"/>
        <v>1245</v>
      </c>
      <c r="AB743" s="35">
        <f t="shared" si="701"/>
        <v>187</v>
      </c>
      <c r="AC743" s="35">
        <f t="shared" si="701"/>
        <v>191</v>
      </c>
      <c r="AD743" s="35">
        <f t="shared" si="701"/>
        <v>238</v>
      </c>
      <c r="AE743" s="35">
        <f t="shared" si="701"/>
        <v>206</v>
      </c>
      <c r="AF743" s="35">
        <f t="shared" si="701"/>
        <v>123</v>
      </c>
      <c r="AG743" s="35">
        <f t="shared" si="701"/>
        <v>136</v>
      </c>
      <c r="AH743" s="35">
        <f t="shared" si="701"/>
        <v>128</v>
      </c>
      <c r="AI743" s="35">
        <f t="shared" si="701"/>
        <v>88</v>
      </c>
      <c r="AJ743" s="35">
        <f t="shared" si="701"/>
        <v>591</v>
      </c>
      <c r="AK743" s="35">
        <f t="shared" si="701"/>
        <v>143</v>
      </c>
      <c r="AL743" s="35">
        <f t="shared" si="701"/>
        <v>228</v>
      </c>
      <c r="AM743" s="35">
        <f t="shared" si="701"/>
        <v>74</v>
      </c>
      <c r="AN743" s="35">
        <f t="shared" si="701"/>
        <v>137</v>
      </c>
      <c r="AO743" s="35">
        <f t="shared" si="701"/>
        <v>143</v>
      </c>
      <c r="AP743" s="35">
        <f t="shared" si="701"/>
        <v>62</v>
      </c>
    </row>
    <row r="744" spans="1:42" ht="13">
      <c r="A744" s="36">
        <v>44663</v>
      </c>
      <c r="B744" s="35">
        <v>94371</v>
      </c>
      <c r="C744" s="35">
        <v>78603</v>
      </c>
      <c r="D744" s="35">
        <v>54756</v>
      </c>
      <c r="E744" s="35">
        <v>109519</v>
      </c>
      <c r="F744" s="35">
        <v>330528</v>
      </c>
      <c r="G744" s="35">
        <v>79548</v>
      </c>
      <c r="H744" s="35">
        <v>77668</v>
      </c>
      <c r="I744" s="35">
        <v>100903</v>
      </c>
      <c r="J744" s="35">
        <v>99019</v>
      </c>
      <c r="K744" s="35">
        <v>51577</v>
      </c>
      <c r="L744" s="35">
        <v>66290</v>
      </c>
      <c r="M744" s="35">
        <v>58815</v>
      </c>
      <c r="N744" s="35">
        <v>41067</v>
      </c>
      <c r="O744" s="35">
        <v>254413</v>
      </c>
      <c r="P744" s="35">
        <v>59115</v>
      </c>
      <c r="Q744" s="35">
        <v>101801</v>
      </c>
      <c r="R744" s="35">
        <v>39642</v>
      </c>
      <c r="S744" s="35">
        <v>53859</v>
      </c>
      <c r="T744" s="35">
        <v>73717</v>
      </c>
      <c r="U744" s="35">
        <v>48995</v>
      </c>
      <c r="V744" s="35">
        <f t="shared" si="700"/>
        <v>1874206</v>
      </c>
      <c r="W744" s="35">
        <f t="shared" ref="W744:AP744" si="702">B744-B743</f>
        <v>45</v>
      </c>
      <c r="X744" s="35">
        <f t="shared" si="702"/>
        <v>82</v>
      </c>
      <c r="Y744" s="35">
        <f t="shared" si="702"/>
        <v>68</v>
      </c>
      <c r="Z744" s="35">
        <f t="shared" si="702"/>
        <v>62</v>
      </c>
      <c r="AA744" s="35">
        <f t="shared" si="702"/>
        <v>304</v>
      </c>
      <c r="AB744" s="35">
        <f t="shared" si="702"/>
        <v>39</v>
      </c>
      <c r="AC744" s="35">
        <f t="shared" si="702"/>
        <v>56</v>
      </c>
      <c r="AD744" s="35">
        <f t="shared" si="702"/>
        <v>73</v>
      </c>
      <c r="AE744" s="35">
        <f t="shared" si="702"/>
        <v>65</v>
      </c>
      <c r="AF744" s="35">
        <f t="shared" si="702"/>
        <v>59</v>
      </c>
      <c r="AG744" s="35">
        <f t="shared" si="702"/>
        <v>51</v>
      </c>
      <c r="AH744" s="35">
        <f t="shared" si="702"/>
        <v>31</v>
      </c>
      <c r="AI744" s="35">
        <f t="shared" si="702"/>
        <v>17</v>
      </c>
      <c r="AJ744" s="35">
        <f t="shared" si="702"/>
        <v>219</v>
      </c>
      <c r="AK744" s="35">
        <f t="shared" si="702"/>
        <v>63</v>
      </c>
      <c r="AL744" s="35">
        <f t="shared" si="702"/>
        <v>127</v>
      </c>
      <c r="AM744" s="35">
        <f t="shared" si="702"/>
        <v>46</v>
      </c>
      <c r="AN744" s="35">
        <f t="shared" si="702"/>
        <v>44</v>
      </c>
      <c r="AO744" s="35">
        <f t="shared" si="702"/>
        <v>54</v>
      </c>
      <c r="AP744" s="35">
        <f t="shared" si="702"/>
        <v>37</v>
      </c>
    </row>
    <row r="745" spans="1:42" ht="13">
      <c r="A745" s="36">
        <v>44664</v>
      </c>
      <c r="B745" s="35">
        <v>94511</v>
      </c>
      <c r="C745" s="35">
        <v>78763</v>
      </c>
      <c r="D745" s="35">
        <v>54829</v>
      </c>
      <c r="E745" s="35">
        <v>109657</v>
      </c>
      <c r="F745" s="35">
        <v>331190</v>
      </c>
      <c r="G745" s="35">
        <v>79641</v>
      </c>
      <c r="H745" s="35">
        <v>77731</v>
      </c>
      <c r="I745" s="35">
        <v>101033</v>
      </c>
      <c r="J745" s="35">
        <v>99138</v>
      </c>
      <c r="K745" s="35">
        <v>51647</v>
      </c>
      <c r="L745" s="35">
        <v>66382</v>
      </c>
      <c r="M745" s="35">
        <v>58875</v>
      </c>
      <c r="N745" s="35">
        <v>41102</v>
      </c>
      <c r="O745" s="35">
        <v>254784</v>
      </c>
      <c r="P745" s="35">
        <v>59226</v>
      </c>
      <c r="Q745" s="35">
        <v>101952</v>
      </c>
      <c r="R745" s="35">
        <v>39705</v>
      </c>
      <c r="S745" s="35">
        <v>53955</v>
      </c>
      <c r="T745" s="35">
        <v>73788</v>
      </c>
      <c r="U745" s="35">
        <v>49037</v>
      </c>
      <c r="V745" s="35">
        <f t="shared" si="700"/>
        <v>1876946</v>
      </c>
      <c r="W745" s="35">
        <f t="shared" ref="W745:AP745" si="703">B745-B744</f>
        <v>140</v>
      </c>
      <c r="X745" s="35">
        <f t="shared" si="703"/>
        <v>160</v>
      </c>
      <c r="Y745" s="35">
        <f t="shared" si="703"/>
        <v>73</v>
      </c>
      <c r="Z745" s="35">
        <f t="shared" si="703"/>
        <v>138</v>
      </c>
      <c r="AA745" s="35">
        <f t="shared" si="703"/>
        <v>662</v>
      </c>
      <c r="AB745" s="35">
        <f t="shared" si="703"/>
        <v>93</v>
      </c>
      <c r="AC745" s="35">
        <f t="shared" si="703"/>
        <v>63</v>
      </c>
      <c r="AD745" s="35">
        <f t="shared" si="703"/>
        <v>130</v>
      </c>
      <c r="AE745" s="35">
        <f t="shared" si="703"/>
        <v>119</v>
      </c>
      <c r="AF745" s="35">
        <f t="shared" si="703"/>
        <v>70</v>
      </c>
      <c r="AG745" s="35">
        <f t="shared" si="703"/>
        <v>92</v>
      </c>
      <c r="AH745" s="35">
        <f t="shared" si="703"/>
        <v>60</v>
      </c>
      <c r="AI745" s="35">
        <f t="shared" si="703"/>
        <v>35</v>
      </c>
      <c r="AJ745" s="35">
        <f t="shared" si="703"/>
        <v>371</v>
      </c>
      <c r="AK745" s="35">
        <f t="shared" si="703"/>
        <v>111</v>
      </c>
      <c r="AL745" s="35">
        <f t="shared" si="703"/>
        <v>151</v>
      </c>
      <c r="AM745" s="35">
        <f t="shared" si="703"/>
        <v>63</v>
      </c>
      <c r="AN745" s="35">
        <f t="shared" si="703"/>
        <v>96</v>
      </c>
      <c r="AO745" s="35">
        <f t="shared" si="703"/>
        <v>71</v>
      </c>
      <c r="AP745" s="35">
        <f t="shared" si="703"/>
        <v>42</v>
      </c>
    </row>
    <row r="746" spans="1:42" ht="13">
      <c r="A746" s="36">
        <v>44665</v>
      </c>
      <c r="B746" s="35">
        <v>94617</v>
      </c>
      <c r="C746" s="35">
        <v>78874</v>
      </c>
      <c r="D746" s="35">
        <v>54886</v>
      </c>
      <c r="E746" s="35">
        <v>109771</v>
      </c>
      <c r="F746" s="35">
        <v>331841</v>
      </c>
      <c r="G746" s="35">
        <v>79750</v>
      </c>
      <c r="H746" s="35">
        <v>77844</v>
      </c>
      <c r="I746" s="35">
        <v>101148</v>
      </c>
      <c r="J746" s="35">
        <v>99274</v>
      </c>
      <c r="K746" s="35">
        <v>51716</v>
      </c>
      <c r="L746" s="35">
        <v>66453</v>
      </c>
      <c r="M746" s="35">
        <v>58937</v>
      </c>
      <c r="N746" s="35">
        <v>41138</v>
      </c>
      <c r="O746" s="35">
        <v>255100</v>
      </c>
      <c r="P746" s="35">
        <v>59310</v>
      </c>
      <c r="Q746" s="35">
        <v>102091</v>
      </c>
      <c r="R746" s="35">
        <v>39737</v>
      </c>
      <c r="S746" s="35">
        <v>54056</v>
      </c>
      <c r="T746" s="35">
        <v>73857</v>
      </c>
      <c r="U746" s="35">
        <v>49080</v>
      </c>
      <c r="V746" s="35">
        <f t="shared" si="700"/>
        <v>1879480</v>
      </c>
      <c r="W746" s="35">
        <f t="shared" ref="W746:AP746" si="704">B746-B745</f>
        <v>106</v>
      </c>
      <c r="X746" s="35">
        <f t="shared" si="704"/>
        <v>111</v>
      </c>
      <c r="Y746" s="35">
        <f t="shared" si="704"/>
        <v>57</v>
      </c>
      <c r="Z746" s="35">
        <f t="shared" si="704"/>
        <v>114</v>
      </c>
      <c r="AA746" s="35">
        <f t="shared" si="704"/>
        <v>651</v>
      </c>
      <c r="AB746" s="35">
        <f t="shared" si="704"/>
        <v>109</v>
      </c>
      <c r="AC746" s="35">
        <f t="shared" si="704"/>
        <v>113</v>
      </c>
      <c r="AD746" s="35">
        <f t="shared" si="704"/>
        <v>115</v>
      </c>
      <c r="AE746" s="35">
        <f t="shared" si="704"/>
        <v>136</v>
      </c>
      <c r="AF746" s="35">
        <f t="shared" si="704"/>
        <v>69</v>
      </c>
      <c r="AG746" s="35">
        <f t="shared" si="704"/>
        <v>71</v>
      </c>
      <c r="AH746" s="35">
        <f t="shared" si="704"/>
        <v>62</v>
      </c>
      <c r="AI746" s="35">
        <f t="shared" si="704"/>
        <v>36</v>
      </c>
      <c r="AJ746" s="35">
        <f t="shared" si="704"/>
        <v>316</v>
      </c>
      <c r="AK746" s="35">
        <f t="shared" si="704"/>
        <v>84</v>
      </c>
      <c r="AL746" s="35">
        <f t="shared" si="704"/>
        <v>139</v>
      </c>
      <c r="AM746" s="35">
        <f t="shared" si="704"/>
        <v>32</v>
      </c>
      <c r="AN746" s="35">
        <f t="shared" si="704"/>
        <v>101</v>
      </c>
      <c r="AO746" s="35">
        <f t="shared" si="704"/>
        <v>69</v>
      </c>
      <c r="AP746" s="35">
        <f t="shared" si="704"/>
        <v>43</v>
      </c>
    </row>
    <row r="747" spans="1:42" ht="13">
      <c r="A747" s="36">
        <v>44666</v>
      </c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</row>
    <row r="748" spans="1:42" ht="13">
      <c r="A748" s="36">
        <v>44667</v>
      </c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</row>
    <row r="749" spans="1:42" ht="13">
      <c r="A749" s="36">
        <v>44668</v>
      </c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</row>
    <row r="750" spans="1:42" ht="13">
      <c r="A750" s="36">
        <v>44669</v>
      </c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</row>
    <row r="751" spans="1:42" ht="13">
      <c r="A751" s="36">
        <v>44670</v>
      </c>
      <c r="B751" s="35">
        <v>94825</v>
      </c>
      <c r="C751" s="35">
        <v>79097</v>
      </c>
      <c r="D751" s="35">
        <v>55000</v>
      </c>
      <c r="E751" s="35">
        <v>109991</v>
      </c>
      <c r="F751" s="35">
        <v>333228</v>
      </c>
      <c r="G751" s="35">
        <v>79930</v>
      </c>
      <c r="H751" s="35">
        <v>78044</v>
      </c>
      <c r="I751" s="35">
        <v>101365</v>
      </c>
      <c r="J751" s="35">
        <v>99483</v>
      </c>
      <c r="K751" s="35">
        <v>51831</v>
      </c>
      <c r="L751" s="35">
        <v>66600</v>
      </c>
      <c r="M751" s="35">
        <v>59059</v>
      </c>
      <c r="N751" s="35">
        <v>41198</v>
      </c>
      <c r="O751" s="35">
        <v>255868</v>
      </c>
      <c r="P751" s="35">
        <v>59477</v>
      </c>
      <c r="Q751" s="35">
        <v>102327</v>
      </c>
      <c r="R751" s="35">
        <v>39802</v>
      </c>
      <c r="S751" s="35">
        <v>54206</v>
      </c>
      <c r="T751" s="35">
        <v>73985</v>
      </c>
      <c r="U751" s="35">
        <v>49142</v>
      </c>
      <c r="V751" s="35">
        <f t="shared" ref="V751:V754" si="705">SUM(B751:U751)</f>
        <v>1884458</v>
      </c>
      <c r="W751" s="35">
        <f t="shared" ref="W751:AP751" si="706">B751-B746</f>
        <v>208</v>
      </c>
      <c r="X751" s="35">
        <f t="shared" si="706"/>
        <v>223</v>
      </c>
      <c r="Y751" s="35">
        <f t="shared" si="706"/>
        <v>114</v>
      </c>
      <c r="Z751" s="35">
        <f t="shared" si="706"/>
        <v>220</v>
      </c>
      <c r="AA751" s="35">
        <f t="shared" si="706"/>
        <v>1387</v>
      </c>
      <c r="AB751" s="35">
        <f t="shared" si="706"/>
        <v>180</v>
      </c>
      <c r="AC751" s="35">
        <f t="shared" si="706"/>
        <v>200</v>
      </c>
      <c r="AD751" s="35">
        <f t="shared" si="706"/>
        <v>217</v>
      </c>
      <c r="AE751" s="35">
        <f t="shared" si="706"/>
        <v>209</v>
      </c>
      <c r="AF751" s="35">
        <f t="shared" si="706"/>
        <v>115</v>
      </c>
      <c r="AG751" s="35">
        <f t="shared" si="706"/>
        <v>147</v>
      </c>
      <c r="AH751" s="35">
        <f t="shared" si="706"/>
        <v>122</v>
      </c>
      <c r="AI751" s="35">
        <f t="shared" si="706"/>
        <v>60</v>
      </c>
      <c r="AJ751" s="35">
        <f t="shared" si="706"/>
        <v>768</v>
      </c>
      <c r="AK751" s="35">
        <f t="shared" si="706"/>
        <v>167</v>
      </c>
      <c r="AL751" s="35">
        <f t="shared" si="706"/>
        <v>236</v>
      </c>
      <c r="AM751" s="35">
        <f t="shared" si="706"/>
        <v>65</v>
      </c>
      <c r="AN751" s="35">
        <f t="shared" si="706"/>
        <v>150</v>
      </c>
      <c r="AO751" s="35">
        <f t="shared" si="706"/>
        <v>128</v>
      </c>
      <c r="AP751" s="35">
        <f t="shared" si="706"/>
        <v>62</v>
      </c>
    </row>
    <row r="752" spans="1:42" ht="13">
      <c r="A752" s="36">
        <v>44671</v>
      </c>
      <c r="B752" s="35">
        <v>94884</v>
      </c>
      <c r="C752" s="35">
        <v>79178</v>
      </c>
      <c r="D752" s="35">
        <v>55053</v>
      </c>
      <c r="E752" s="35">
        <v>110039</v>
      </c>
      <c r="F752" s="35">
        <v>333573</v>
      </c>
      <c r="G752" s="35">
        <v>79997</v>
      </c>
      <c r="H752" s="35">
        <v>78086</v>
      </c>
      <c r="I752" s="35">
        <v>101425</v>
      </c>
      <c r="J752" s="35">
        <v>99555</v>
      </c>
      <c r="K752" s="35">
        <v>51865</v>
      </c>
      <c r="L752" s="35">
        <v>66638</v>
      </c>
      <c r="M752" s="35">
        <v>59096</v>
      </c>
      <c r="N752" s="35">
        <v>41209</v>
      </c>
      <c r="O752" s="35">
        <v>256045</v>
      </c>
      <c r="P752" s="35">
        <v>59530</v>
      </c>
      <c r="Q752" s="35">
        <v>102412</v>
      </c>
      <c r="R752" s="35">
        <v>39844</v>
      </c>
      <c r="S752" s="35">
        <v>54236</v>
      </c>
      <c r="T752" s="35">
        <v>74022</v>
      </c>
      <c r="U752" s="35">
        <v>49178</v>
      </c>
      <c r="V752" s="35">
        <f t="shared" si="705"/>
        <v>1885865</v>
      </c>
      <c r="W752" s="35">
        <f t="shared" ref="W752:AP752" si="707">B752-B751</f>
        <v>59</v>
      </c>
      <c r="X752" s="35">
        <f t="shared" si="707"/>
        <v>81</v>
      </c>
      <c r="Y752" s="35">
        <f t="shared" si="707"/>
        <v>53</v>
      </c>
      <c r="Z752" s="35">
        <f t="shared" si="707"/>
        <v>48</v>
      </c>
      <c r="AA752" s="35">
        <f t="shared" si="707"/>
        <v>345</v>
      </c>
      <c r="AB752" s="35">
        <f t="shared" si="707"/>
        <v>67</v>
      </c>
      <c r="AC752" s="35">
        <f t="shared" si="707"/>
        <v>42</v>
      </c>
      <c r="AD752" s="35">
        <f t="shared" si="707"/>
        <v>60</v>
      </c>
      <c r="AE752" s="35">
        <f t="shared" si="707"/>
        <v>72</v>
      </c>
      <c r="AF752" s="35">
        <f t="shared" si="707"/>
        <v>34</v>
      </c>
      <c r="AG752" s="35">
        <f t="shared" si="707"/>
        <v>38</v>
      </c>
      <c r="AH752" s="35">
        <f t="shared" si="707"/>
        <v>37</v>
      </c>
      <c r="AI752" s="35">
        <f t="shared" si="707"/>
        <v>11</v>
      </c>
      <c r="AJ752" s="35">
        <f t="shared" si="707"/>
        <v>177</v>
      </c>
      <c r="AK752" s="35">
        <f t="shared" si="707"/>
        <v>53</v>
      </c>
      <c r="AL752" s="35">
        <f t="shared" si="707"/>
        <v>85</v>
      </c>
      <c r="AM752" s="35">
        <f t="shared" si="707"/>
        <v>42</v>
      </c>
      <c r="AN752" s="35">
        <f t="shared" si="707"/>
        <v>30</v>
      </c>
      <c r="AO752" s="35">
        <f t="shared" si="707"/>
        <v>37</v>
      </c>
      <c r="AP752" s="35">
        <f t="shared" si="707"/>
        <v>36</v>
      </c>
    </row>
    <row r="753" spans="1:42" ht="13">
      <c r="A753" s="36">
        <v>44672</v>
      </c>
      <c r="B753" s="35">
        <v>95049</v>
      </c>
      <c r="C753" s="35">
        <v>79376</v>
      </c>
      <c r="D753" s="35">
        <v>55153</v>
      </c>
      <c r="E753" s="35">
        <v>110193</v>
      </c>
      <c r="F753" s="35">
        <v>334193</v>
      </c>
      <c r="G753" s="35">
        <v>80094</v>
      </c>
      <c r="H753" s="35">
        <v>78196</v>
      </c>
      <c r="I753" s="35">
        <v>101608</v>
      </c>
      <c r="J753" s="35">
        <v>99663</v>
      </c>
      <c r="K753" s="35">
        <v>51962</v>
      </c>
      <c r="L753" s="35">
        <v>66723</v>
      </c>
      <c r="M753" s="35">
        <v>59156</v>
      </c>
      <c r="N753" s="35">
        <v>41247</v>
      </c>
      <c r="O753" s="35">
        <v>256494</v>
      </c>
      <c r="P753" s="35">
        <v>59627</v>
      </c>
      <c r="Q753" s="35">
        <v>102611</v>
      </c>
      <c r="R753" s="35">
        <v>39896</v>
      </c>
      <c r="S753" s="35">
        <v>54330</v>
      </c>
      <c r="T753" s="35">
        <v>74089</v>
      </c>
      <c r="U753" s="35">
        <v>49246</v>
      </c>
      <c r="V753" s="35">
        <f t="shared" si="705"/>
        <v>1888906</v>
      </c>
      <c r="W753" s="35">
        <f t="shared" ref="W753:AP753" si="708">B753-B752</f>
        <v>165</v>
      </c>
      <c r="X753" s="35">
        <f t="shared" si="708"/>
        <v>198</v>
      </c>
      <c r="Y753" s="35">
        <f t="shared" si="708"/>
        <v>100</v>
      </c>
      <c r="Z753" s="35">
        <f t="shared" si="708"/>
        <v>154</v>
      </c>
      <c r="AA753" s="35">
        <f t="shared" si="708"/>
        <v>620</v>
      </c>
      <c r="AB753" s="35">
        <f t="shared" si="708"/>
        <v>97</v>
      </c>
      <c r="AC753" s="35">
        <f t="shared" si="708"/>
        <v>110</v>
      </c>
      <c r="AD753" s="35">
        <f t="shared" si="708"/>
        <v>183</v>
      </c>
      <c r="AE753" s="35">
        <f t="shared" si="708"/>
        <v>108</v>
      </c>
      <c r="AF753" s="35">
        <f t="shared" si="708"/>
        <v>97</v>
      </c>
      <c r="AG753" s="35">
        <f t="shared" si="708"/>
        <v>85</v>
      </c>
      <c r="AH753" s="35">
        <f t="shared" si="708"/>
        <v>60</v>
      </c>
      <c r="AI753" s="35">
        <f t="shared" si="708"/>
        <v>38</v>
      </c>
      <c r="AJ753" s="35">
        <f t="shared" si="708"/>
        <v>449</v>
      </c>
      <c r="AK753" s="35">
        <f t="shared" si="708"/>
        <v>97</v>
      </c>
      <c r="AL753" s="35">
        <f t="shared" si="708"/>
        <v>199</v>
      </c>
      <c r="AM753" s="35">
        <f t="shared" si="708"/>
        <v>52</v>
      </c>
      <c r="AN753" s="35">
        <f t="shared" si="708"/>
        <v>94</v>
      </c>
      <c r="AO753" s="35">
        <f t="shared" si="708"/>
        <v>67</v>
      </c>
      <c r="AP753" s="35">
        <f t="shared" si="708"/>
        <v>68</v>
      </c>
    </row>
    <row r="754" spans="1:42" ht="13">
      <c r="A754" s="36">
        <v>44673</v>
      </c>
      <c r="B754" s="35">
        <v>95145</v>
      </c>
      <c r="C754" s="35">
        <v>79495</v>
      </c>
      <c r="D754" s="35">
        <v>55221</v>
      </c>
      <c r="E754" s="35">
        <v>110333</v>
      </c>
      <c r="F754" s="35">
        <v>334667</v>
      </c>
      <c r="G754" s="35">
        <v>80166</v>
      </c>
      <c r="H754" s="35">
        <v>78261</v>
      </c>
      <c r="I754" s="35">
        <v>101696</v>
      </c>
      <c r="J754" s="35">
        <v>99732</v>
      </c>
      <c r="K754" s="35">
        <v>52020</v>
      </c>
      <c r="L754" s="35">
        <v>66780</v>
      </c>
      <c r="M754" s="35">
        <v>59197</v>
      </c>
      <c r="N754" s="35">
        <v>41291</v>
      </c>
      <c r="O754" s="35">
        <v>256794</v>
      </c>
      <c r="P754" s="35">
        <v>59688</v>
      </c>
      <c r="Q754" s="35">
        <v>102725</v>
      </c>
      <c r="R754" s="35">
        <v>39925</v>
      </c>
      <c r="S754" s="35">
        <v>54382</v>
      </c>
      <c r="T754" s="35">
        <v>74134</v>
      </c>
      <c r="U754" s="35">
        <v>49301</v>
      </c>
      <c r="V754" s="35">
        <f t="shared" si="705"/>
        <v>1890953</v>
      </c>
      <c r="W754" s="35">
        <f t="shared" ref="W754:AP754" si="709">B754-B753</f>
        <v>96</v>
      </c>
      <c r="X754" s="35">
        <f t="shared" si="709"/>
        <v>119</v>
      </c>
      <c r="Y754" s="35">
        <f t="shared" si="709"/>
        <v>68</v>
      </c>
      <c r="Z754" s="35">
        <f t="shared" si="709"/>
        <v>140</v>
      </c>
      <c r="AA754" s="35">
        <f t="shared" si="709"/>
        <v>474</v>
      </c>
      <c r="AB754" s="35">
        <f t="shared" si="709"/>
        <v>72</v>
      </c>
      <c r="AC754" s="35">
        <f t="shared" si="709"/>
        <v>65</v>
      </c>
      <c r="AD754" s="35">
        <f t="shared" si="709"/>
        <v>88</v>
      </c>
      <c r="AE754" s="35">
        <f t="shared" si="709"/>
        <v>69</v>
      </c>
      <c r="AF754" s="35">
        <f t="shared" si="709"/>
        <v>58</v>
      </c>
      <c r="AG754" s="35">
        <f t="shared" si="709"/>
        <v>57</v>
      </c>
      <c r="AH754" s="35">
        <f t="shared" si="709"/>
        <v>41</v>
      </c>
      <c r="AI754" s="35">
        <f t="shared" si="709"/>
        <v>44</v>
      </c>
      <c r="AJ754" s="35">
        <f t="shared" si="709"/>
        <v>300</v>
      </c>
      <c r="AK754" s="35">
        <f t="shared" si="709"/>
        <v>61</v>
      </c>
      <c r="AL754" s="35">
        <f t="shared" si="709"/>
        <v>114</v>
      </c>
      <c r="AM754" s="35">
        <f t="shared" si="709"/>
        <v>29</v>
      </c>
      <c r="AN754" s="35">
        <f t="shared" si="709"/>
        <v>52</v>
      </c>
      <c r="AO754" s="35">
        <f t="shared" si="709"/>
        <v>45</v>
      </c>
      <c r="AP754" s="35">
        <f t="shared" si="709"/>
        <v>55</v>
      </c>
    </row>
    <row r="755" spans="1:42" ht="13">
      <c r="A755" s="36">
        <v>44674</v>
      </c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</row>
    <row r="756" spans="1:42" ht="13">
      <c r="A756" s="36">
        <v>44675</v>
      </c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</row>
    <row r="757" spans="1:42" ht="13">
      <c r="A757" s="36">
        <v>44676</v>
      </c>
      <c r="B757" s="35">
        <v>95294</v>
      </c>
      <c r="C757" s="35">
        <v>79653</v>
      </c>
      <c r="D757" s="35">
        <v>55310</v>
      </c>
      <c r="E757" s="35">
        <v>110464</v>
      </c>
      <c r="F757" s="35">
        <v>335511</v>
      </c>
      <c r="G757" s="35">
        <v>80261</v>
      </c>
      <c r="H757" s="35">
        <v>78370</v>
      </c>
      <c r="I757" s="35">
        <v>101864</v>
      </c>
      <c r="J757" s="35">
        <v>99847</v>
      </c>
      <c r="K757" s="35">
        <v>52132</v>
      </c>
      <c r="L757" s="35">
        <v>66875</v>
      </c>
      <c r="M757" s="35">
        <v>59271</v>
      </c>
      <c r="N757" s="35">
        <v>41340</v>
      </c>
      <c r="O757" s="35">
        <v>257298</v>
      </c>
      <c r="P757" s="35">
        <v>59768</v>
      </c>
      <c r="Q757" s="35">
        <v>102930</v>
      </c>
      <c r="R757" s="35">
        <v>39987</v>
      </c>
      <c r="S757" s="35">
        <v>54478</v>
      </c>
      <c r="T757" s="35">
        <v>74250</v>
      </c>
      <c r="U757" s="35">
        <v>49375</v>
      </c>
      <c r="V757" s="35">
        <f t="shared" ref="V757:V760" si="710">SUM(B757:U757)</f>
        <v>1894278</v>
      </c>
      <c r="W757" s="35">
        <f t="shared" ref="W757:AP757" si="711">B757-B754</f>
        <v>149</v>
      </c>
      <c r="X757" s="35">
        <f t="shared" si="711"/>
        <v>158</v>
      </c>
      <c r="Y757" s="35">
        <f t="shared" si="711"/>
        <v>89</v>
      </c>
      <c r="Z757" s="35">
        <f t="shared" si="711"/>
        <v>131</v>
      </c>
      <c r="AA757" s="35">
        <f t="shared" si="711"/>
        <v>844</v>
      </c>
      <c r="AB757" s="35">
        <f t="shared" si="711"/>
        <v>95</v>
      </c>
      <c r="AC757" s="35">
        <f t="shared" si="711"/>
        <v>109</v>
      </c>
      <c r="AD757" s="35">
        <f t="shared" si="711"/>
        <v>168</v>
      </c>
      <c r="AE757" s="35">
        <f t="shared" si="711"/>
        <v>115</v>
      </c>
      <c r="AF757" s="35">
        <f t="shared" si="711"/>
        <v>112</v>
      </c>
      <c r="AG757" s="35">
        <f t="shared" si="711"/>
        <v>95</v>
      </c>
      <c r="AH757" s="35">
        <f t="shared" si="711"/>
        <v>74</v>
      </c>
      <c r="AI757" s="35">
        <f t="shared" si="711"/>
        <v>49</v>
      </c>
      <c r="AJ757" s="35">
        <f t="shared" si="711"/>
        <v>504</v>
      </c>
      <c r="AK757" s="35">
        <f t="shared" si="711"/>
        <v>80</v>
      </c>
      <c r="AL757" s="35">
        <f t="shared" si="711"/>
        <v>205</v>
      </c>
      <c r="AM757" s="35">
        <f t="shared" si="711"/>
        <v>62</v>
      </c>
      <c r="AN757" s="35">
        <f t="shared" si="711"/>
        <v>96</v>
      </c>
      <c r="AO757" s="35">
        <f t="shared" si="711"/>
        <v>116</v>
      </c>
      <c r="AP757" s="35">
        <f t="shared" si="711"/>
        <v>74</v>
      </c>
    </row>
    <row r="758" spans="1:42" ht="13">
      <c r="A758" s="36">
        <v>44677</v>
      </c>
      <c r="B758" s="35">
        <v>95366</v>
      </c>
      <c r="C758" s="35">
        <v>79736</v>
      </c>
      <c r="D758" s="35">
        <v>55365</v>
      </c>
      <c r="E758" s="35">
        <v>110532</v>
      </c>
      <c r="F758" s="35">
        <v>335817</v>
      </c>
      <c r="G758" s="35">
        <v>80305</v>
      </c>
      <c r="H758" s="35">
        <v>78416</v>
      </c>
      <c r="I758" s="35">
        <v>101937</v>
      </c>
      <c r="J758" s="35">
        <v>99899</v>
      </c>
      <c r="K758" s="35">
        <v>52167</v>
      </c>
      <c r="L758" s="35">
        <v>66918</v>
      </c>
      <c r="M758" s="35">
        <v>59296</v>
      </c>
      <c r="N758" s="35">
        <v>41365</v>
      </c>
      <c r="O758" s="35">
        <v>257458</v>
      </c>
      <c r="P758" s="35">
        <v>59832</v>
      </c>
      <c r="Q758" s="35">
        <v>103032</v>
      </c>
      <c r="R758" s="35">
        <v>40015</v>
      </c>
      <c r="S758" s="35">
        <v>54507</v>
      </c>
      <c r="T758" s="35">
        <v>74278</v>
      </c>
      <c r="U758" s="35">
        <v>49436</v>
      </c>
      <c r="V758" s="35">
        <f t="shared" si="710"/>
        <v>1895677</v>
      </c>
      <c r="W758" s="35">
        <f t="shared" ref="W758:AP758" si="712">B758-B757</f>
        <v>72</v>
      </c>
      <c r="X758" s="35">
        <f t="shared" si="712"/>
        <v>83</v>
      </c>
      <c r="Y758" s="35">
        <f t="shared" si="712"/>
        <v>55</v>
      </c>
      <c r="Z758" s="35">
        <f t="shared" si="712"/>
        <v>68</v>
      </c>
      <c r="AA758" s="35">
        <f t="shared" si="712"/>
        <v>306</v>
      </c>
      <c r="AB758" s="35">
        <f t="shared" si="712"/>
        <v>44</v>
      </c>
      <c r="AC758" s="35">
        <f t="shared" si="712"/>
        <v>46</v>
      </c>
      <c r="AD758" s="35">
        <f t="shared" si="712"/>
        <v>73</v>
      </c>
      <c r="AE758" s="35">
        <f t="shared" si="712"/>
        <v>52</v>
      </c>
      <c r="AF758" s="35">
        <f t="shared" si="712"/>
        <v>35</v>
      </c>
      <c r="AG758" s="35">
        <f t="shared" si="712"/>
        <v>43</v>
      </c>
      <c r="AH758" s="35">
        <f t="shared" si="712"/>
        <v>25</v>
      </c>
      <c r="AI758" s="35">
        <f t="shared" si="712"/>
        <v>25</v>
      </c>
      <c r="AJ758" s="35">
        <f t="shared" si="712"/>
        <v>160</v>
      </c>
      <c r="AK758" s="35">
        <f t="shared" si="712"/>
        <v>64</v>
      </c>
      <c r="AL758" s="35">
        <f t="shared" si="712"/>
        <v>102</v>
      </c>
      <c r="AM758" s="35">
        <f t="shared" si="712"/>
        <v>28</v>
      </c>
      <c r="AN758" s="35">
        <f t="shared" si="712"/>
        <v>29</v>
      </c>
      <c r="AO758" s="35">
        <f t="shared" si="712"/>
        <v>28</v>
      </c>
      <c r="AP758" s="35">
        <f t="shared" si="712"/>
        <v>61</v>
      </c>
    </row>
    <row r="759" spans="1:42" ht="13">
      <c r="A759" s="36">
        <v>44678</v>
      </c>
      <c r="B759" s="35">
        <v>95467</v>
      </c>
      <c r="C759" s="35">
        <v>79888</v>
      </c>
      <c r="D759" s="35">
        <v>55417</v>
      </c>
      <c r="E759" s="35">
        <v>110640</v>
      </c>
      <c r="F759" s="35">
        <v>336311</v>
      </c>
      <c r="G759" s="35">
        <v>80382</v>
      </c>
      <c r="H759" s="35">
        <v>78504</v>
      </c>
      <c r="I759" s="35">
        <v>102037</v>
      </c>
      <c r="J759" s="35">
        <v>100001</v>
      </c>
      <c r="K759" s="35">
        <v>52236</v>
      </c>
      <c r="L759" s="35">
        <v>66987</v>
      </c>
      <c r="M759" s="35">
        <v>59349</v>
      </c>
      <c r="N759" s="35">
        <v>41425</v>
      </c>
      <c r="O759" s="35">
        <v>257782</v>
      </c>
      <c r="P759" s="35">
        <v>59887</v>
      </c>
      <c r="Q759" s="35">
        <v>103149</v>
      </c>
      <c r="R759" s="35">
        <v>40070</v>
      </c>
      <c r="S759" s="35">
        <v>54549</v>
      </c>
      <c r="T759" s="35">
        <v>74327</v>
      </c>
      <c r="U759" s="35">
        <v>49489</v>
      </c>
      <c r="V759" s="35">
        <f t="shared" si="710"/>
        <v>1897897</v>
      </c>
      <c r="W759" s="35">
        <f t="shared" ref="W759:AP759" si="713">B759-B758</f>
        <v>101</v>
      </c>
      <c r="X759" s="35">
        <f t="shared" si="713"/>
        <v>152</v>
      </c>
      <c r="Y759" s="35">
        <f t="shared" si="713"/>
        <v>52</v>
      </c>
      <c r="Z759" s="35">
        <f t="shared" si="713"/>
        <v>108</v>
      </c>
      <c r="AA759" s="35">
        <f t="shared" si="713"/>
        <v>494</v>
      </c>
      <c r="AB759" s="35">
        <f t="shared" si="713"/>
        <v>77</v>
      </c>
      <c r="AC759" s="35">
        <f t="shared" si="713"/>
        <v>88</v>
      </c>
      <c r="AD759" s="35">
        <f t="shared" si="713"/>
        <v>100</v>
      </c>
      <c r="AE759" s="35">
        <f t="shared" si="713"/>
        <v>102</v>
      </c>
      <c r="AF759" s="35">
        <f t="shared" si="713"/>
        <v>69</v>
      </c>
      <c r="AG759" s="35">
        <f t="shared" si="713"/>
        <v>69</v>
      </c>
      <c r="AH759" s="35">
        <f t="shared" si="713"/>
        <v>53</v>
      </c>
      <c r="AI759" s="35">
        <f t="shared" si="713"/>
        <v>60</v>
      </c>
      <c r="AJ759" s="35">
        <f t="shared" si="713"/>
        <v>324</v>
      </c>
      <c r="AK759" s="35">
        <f t="shared" si="713"/>
        <v>55</v>
      </c>
      <c r="AL759" s="35">
        <f t="shared" si="713"/>
        <v>117</v>
      </c>
      <c r="AM759" s="35">
        <f t="shared" si="713"/>
        <v>55</v>
      </c>
      <c r="AN759" s="35">
        <f t="shared" si="713"/>
        <v>42</v>
      </c>
      <c r="AO759" s="35">
        <f t="shared" si="713"/>
        <v>49</v>
      </c>
      <c r="AP759" s="35">
        <f t="shared" si="713"/>
        <v>53</v>
      </c>
    </row>
    <row r="760" spans="1:42" ht="13">
      <c r="A760" s="36">
        <v>44679</v>
      </c>
      <c r="B760" s="35">
        <v>95552</v>
      </c>
      <c r="C760" s="35">
        <v>79991</v>
      </c>
      <c r="D760" s="35">
        <v>55458</v>
      </c>
      <c r="E760" s="35">
        <v>110716</v>
      </c>
      <c r="F760" s="35">
        <v>336680</v>
      </c>
      <c r="G760" s="35">
        <v>80458</v>
      </c>
      <c r="H760" s="35">
        <v>78553</v>
      </c>
      <c r="I760" s="35">
        <v>102121</v>
      </c>
      <c r="J760" s="35">
        <v>100065</v>
      </c>
      <c r="K760" s="35">
        <v>52292</v>
      </c>
      <c r="L760" s="35">
        <v>67048</v>
      </c>
      <c r="M760" s="35">
        <v>59390</v>
      </c>
      <c r="N760" s="35">
        <v>41448</v>
      </c>
      <c r="O760" s="35">
        <v>258041</v>
      </c>
      <c r="P760" s="35">
        <v>59937</v>
      </c>
      <c r="Q760" s="35">
        <v>103261</v>
      </c>
      <c r="R760" s="35">
        <v>40110</v>
      </c>
      <c r="S760" s="35">
        <v>54592</v>
      </c>
      <c r="T760" s="35">
        <v>74384</v>
      </c>
      <c r="U760" s="35">
        <v>49536</v>
      </c>
      <c r="V760" s="35">
        <f t="shared" si="710"/>
        <v>1899633</v>
      </c>
      <c r="W760" s="35">
        <f t="shared" ref="W760:AP760" si="714">B760-B759</f>
        <v>85</v>
      </c>
      <c r="X760" s="35">
        <f t="shared" si="714"/>
        <v>103</v>
      </c>
      <c r="Y760" s="35">
        <f t="shared" si="714"/>
        <v>41</v>
      </c>
      <c r="Z760" s="35">
        <f t="shared" si="714"/>
        <v>76</v>
      </c>
      <c r="AA760" s="35">
        <f t="shared" si="714"/>
        <v>369</v>
      </c>
      <c r="AB760" s="35">
        <f t="shared" si="714"/>
        <v>76</v>
      </c>
      <c r="AC760" s="35">
        <f t="shared" si="714"/>
        <v>49</v>
      </c>
      <c r="AD760" s="35">
        <f t="shared" si="714"/>
        <v>84</v>
      </c>
      <c r="AE760" s="35">
        <f t="shared" si="714"/>
        <v>64</v>
      </c>
      <c r="AF760" s="35">
        <f t="shared" si="714"/>
        <v>56</v>
      </c>
      <c r="AG760" s="35">
        <f t="shared" si="714"/>
        <v>61</v>
      </c>
      <c r="AH760" s="35">
        <f t="shared" si="714"/>
        <v>41</v>
      </c>
      <c r="AI760" s="35">
        <f t="shared" si="714"/>
        <v>23</v>
      </c>
      <c r="AJ760" s="35">
        <f t="shared" si="714"/>
        <v>259</v>
      </c>
      <c r="AK760" s="35">
        <f t="shared" si="714"/>
        <v>50</v>
      </c>
      <c r="AL760" s="35">
        <f t="shared" si="714"/>
        <v>112</v>
      </c>
      <c r="AM760" s="35">
        <f t="shared" si="714"/>
        <v>40</v>
      </c>
      <c r="AN760" s="35">
        <f t="shared" si="714"/>
        <v>43</v>
      </c>
      <c r="AO760" s="35">
        <f t="shared" si="714"/>
        <v>57</v>
      </c>
      <c r="AP760" s="35">
        <f t="shared" si="714"/>
        <v>47</v>
      </c>
    </row>
    <row r="761" spans="1:42" ht="13">
      <c r="A761" s="36">
        <v>44680</v>
      </c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</row>
    <row r="762" spans="1:42" ht="13">
      <c r="A762" s="36">
        <v>44681</v>
      </c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</row>
    <row r="763" spans="1:42" ht="13">
      <c r="A763" s="36">
        <v>44682</v>
      </c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</row>
    <row r="764" spans="1:42" ht="13">
      <c r="A764" s="36">
        <v>44683</v>
      </c>
      <c r="B764" s="35">
        <v>95739</v>
      </c>
      <c r="C764" s="35">
        <v>80168</v>
      </c>
      <c r="D764" s="35">
        <v>55534</v>
      </c>
      <c r="E764" s="35">
        <v>110858</v>
      </c>
      <c r="F764" s="35">
        <v>337632</v>
      </c>
      <c r="G764" s="35">
        <v>80586</v>
      </c>
      <c r="H764" s="35">
        <v>78673</v>
      </c>
      <c r="I764" s="35">
        <v>102289</v>
      </c>
      <c r="J764" s="35">
        <v>100187</v>
      </c>
      <c r="K764" s="35">
        <v>52382</v>
      </c>
      <c r="L764" s="35">
        <v>67161</v>
      </c>
      <c r="M764" s="35">
        <v>59473</v>
      </c>
      <c r="N764" s="35">
        <v>41502</v>
      </c>
      <c r="O764" s="35">
        <v>258577</v>
      </c>
      <c r="P764" s="35">
        <v>60028</v>
      </c>
      <c r="Q764" s="35">
        <v>103441</v>
      </c>
      <c r="R764" s="35">
        <v>40168</v>
      </c>
      <c r="S764" s="35">
        <v>54687</v>
      </c>
      <c r="T764" s="35">
        <v>74484</v>
      </c>
      <c r="U764" s="35">
        <v>49631</v>
      </c>
      <c r="V764" s="35">
        <f>SUM(B764:U764)</f>
        <v>1903200</v>
      </c>
      <c r="W764" s="35">
        <f t="shared" ref="W764:AP764" si="715">B764-B760</f>
        <v>187</v>
      </c>
      <c r="X764" s="35">
        <f t="shared" si="715"/>
        <v>177</v>
      </c>
      <c r="Y764" s="35">
        <f t="shared" si="715"/>
        <v>76</v>
      </c>
      <c r="Z764" s="35">
        <f t="shared" si="715"/>
        <v>142</v>
      </c>
      <c r="AA764" s="35">
        <f t="shared" si="715"/>
        <v>952</v>
      </c>
      <c r="AB764" s="35">
        <f t="shared" si="715"/>
        <v>128</v>
      </c>
      <c r="AC764" s="35">
        <f t="shared" si="715"/>
        <v>120</v>
      </c>
      <c r="AD764" s="35">
        <f t="shared" si="715"/>
        <v>168</v>
      </c>
      <c r="AE764" s="35">
        <f t="shared" si="715"/>
        <v>122</v>
      </c>
      <c r="AF764" s="35">
        <f t="shared" si="715"/>
        <v>90</v>
      </c>
      <c r="AG764" s="35">
        <f t="shared" si="715"/>
        <v>113</v>
      </c>
      <c r="AH764" s="35">
        <f t="shared" si="715"/>
        <v>83</v>
      </c>
      <c r="AI764" s="35">
        <f t="shared" si="715"/>
        <v>54</v>
      </c>
      <c r="AJ764" s="35">
        <f t="shared" si="715"/>
        <v>536</v>
      </c>
      <c r="AK764" s="35">
        <f t="shared" si="715"/>
        <v>91</v>
      </c>
      <c r="AL764" s="35">
        <f t="shared" si="715"/>
        <v>180</v>
      </c>
      <c r="AM764" s="35">
        <f t="shared" si="715"/>
        <v>58</v>
      </c>
      <c r="AN764" s="35">
        <f t="shared" si="715"/>
        <v>95</v>
      </c>
      <c r="AO764" s="35">
        <f t="shared" si="715"/>
        <v>100</v>
      </c>
      <c r="AP764" s="35">
        <f t="shared" si="715"/>
        <v>95</v>
      </c>
    </row>
    <row r="765" spans="1:42" ht="13">
      <c r="A765" s="36">
        <v>44684</v>
      </c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</row>
    <row r="766" spans="1:42" ht="13">
      <c r="A766" s="36">
        <v>44685</v>
      </c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</row>
    <row r="767" spans="1:42" ht="13">
      <c r="A767" s="36">
        <v>44686</v>
      </c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</row>
    <row r="768" spans="1:42" ht="13">
      <c r="A768" s="36">
        <v>44687</v>
      </c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</row>
    <row r="769" spans="1:42" ht="13">
      <c r="A769" s="36">
        <v>44688</v>
      </c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</row>
    <row r="770" spans="1:42" ht="13">
      <c r="A770" s="36">
        <v>44689</v>
      </c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</row>
    <row r="771" spans="1:42" ht="13">
      <c r="A771" s="36">
        <v>44690</v>
      </c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</row>
    <row r="772" spans="1:42" ht="13">
      <c r="A772" s="36">
        <v>44691</v>
      </c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</row>
    <row r="773" spans="1:42" ht="13">
      <c r="A773" s="36">
        <v>44692</v>
      </c>
      <c r="B773" s="35">
        <v>96077</v>
      </c>
      <c r="C773" s="35">
        <v>80474</v>
      </c>
      <c r="D773" s="35">
        <v>55755</v>
      </c>
      <c r="E773" s="35">
        <v>111145</v>
      </c>
      <c r="F773" s="35">
        <v>339285</v>
      </c>
      <c r="G773" s="35">
        <v>80845</v>
      </c>
      <c r="H773" s="35">
        <v>78929</v>
      </c>
      <c r="I773" s="35">
        <v>102612</v>
      </c>
      <c r="J773" s="35">
        <v>100433</v>
      </c>
      <c r="K773" s="35">
        <v>52591</v>
      </c>
      <c r="L773" s="35">
        <v>67356</v>
      </c>
      <c r="M773" s="35">
        <v>59649</v>
      </c>
      <c r="N773" s="35">
        <v>41614</v>
      </c>
      <c r="O773" s="35">
        <v>259503</v>
      </c>
      <c r="P773" s="35">
        <v>60227</v>
      </c>
      <c r="Q773" s="35">
        <v>103805</v>
      </c>
      <c r="R773" s="35">
        <v>40300</v>
      </c>
      <c r="S773" s="35">
        <v>54851</v>
      </c>
      <c r="T773" s="35">
        <v>74656</v>
      </c>
      <c r="U773" s="35">
        <v>49841</v>
      </c>
      <c r="V773" s="35">
        <f>SUM(B773:U773)</f>
        <v>1909948</v>
      </c>
      <c r="W773" s="35">
        <f t="shared" ref="W773:AP773" si="716">B773-B764</f>
        <v>338</v>
      </c>
      <c r="X773" s="35">
        <f t="shared" si="716"/>
        <v>306</v>
      </c>
      <c r="Y773" s="35">
        <f t="shared" si="716"/>
        <v>221</v>
      </c>
      <c r="Z773" s="35">
        <f t="shared" si="716"/>
        <v>287</v>
      </c>
      <c r="AA773" s="35">
        <f t="shared" si="716"/>
        <v>1653</v>
      </c>
      <c r="AB773" s="35">
        <f t="shared" si="716"/>
        <v>259</v>
      </c>
      <c r="AC773" s="35">
        <f t="shared" si="716"/>
        <v>256</v>
      </c>
      <c r="AD773" s="35">
        <f t="shared" si="716"/>
        <v>323</v>
      </c>
      <c r="AE773" s="35">
        <f t="shared" si="716"/>
        <v>246</v>
      </c>
      <c r="AF773" s="35">
        <f t="shared" si="716"/>
        <v>209</v>
      </c>
      <c r="AG773" s="35">
        <f t="shared" si="716"/>
        <v>195</v>
      </c>
      <c r="AH773" s="35">
        <f t="shared" si="716"/>
        <v>176</v>
      </c>
      <c r="AI773" s="35">
        <f t="shared" si="716"/>
        <v>112</v>
      </c>
      <c r="AJ773" s="35">
        <f t="shared" si="716"/>
        <v>926</v>
      </c>
      <c r="AK773" s="35">
        <f t="shared" si="716"/>
        <v>199</v>
      </c>
      <c r="AL773" s="35">
        <f t="shared" si="716"/>
        <v>364</v>
      </c>
      <c r="AM773" s="35">
        <f t="shared" si="716"/>
        <v>132</v>
      </c>
      <c r="AN773" s="35">
        <f t="shared" si="716"/>
        <v>164</v>
      </c>
      <c r="AO773" s="35">
        <f t="shared" si="716"/>
        <v>172</v>
      </c>
      <c r="AP773" s="35">
        <f t="shared" si="716"/>
        <v>210</v>
      </c>
    </row>
    <row r="774" spans="1:42" ht="13">
      <c r="A774" s="36">
        <v>44693</v>
      </c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</row>
    <row r="775" spans="1:42" ht="13">
      <c r="A775" s="36">
        <v>44694</v>
      </c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</row>
    <row r="776" spans="1:42" ht="13">
      <c r="A776" s="36">
        <v>44695</v>
      </c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</row>
    <row r="777" spans="1:42" ht="13">
      <c r="A777" s="36">
        <v>44696</v>
      </c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</row>
    <row r="778" spans="1:42" ht="13">
      <c r="A778" s="36">
        <v>44697</v>
      </c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</row>
    <row r="779" spans="1:42" ht="13">
      <c r="A779" s="36">
        <v>44698</v>
      </c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</row>
    <row r="780" spans="1:42" ht="13">
      <c r="A780" s="36">
        <v>44699</v>
      </c>
      <c r="B780" s="35">
        <v>96287</v>
      </c>
      <c r="C780" s="35">
        <v>80678</v>
      </c>
      <c r="D780" s="35">
        <v>55876</v>
      </c>
      <c r="E780" s="35">
        <v>111343</v>
      </c>
      <c r="F780" s="35">
        <v>340423</v>
      </c>
      <c r="G780" s="35">
        <v>81056</v>
      </c>
      <c r="H780" s="35">
        <v>79131</v>
      </c>
      <c r="I780" s="35">
        <v>102868</v>
      </c>
      <c r="J780" s="35">
        <v>100591</v>
      </c>
      <c r="K780" s="35">
        <v>52750</v>
      </c>
      <c r="L780" s="35">
        <v>67486</v>
      </c>
      <c r="M780" s="35">
        <v>59752</v>
      </c>
      <c r="N780" s="35">
        <v>41696</v>
      </c>
      <c r="O780" s="35">
        <v>260191</v>
      </c>
      <c r="P780" s="35">
        <v>60325</v>
      </c>
      <c r="Q780" s="35">
        <v>104039</v>
      </c>
      <c r="R780" s="35">
        <v>40399</v>
      </c>
      <c r="S780" s="35">
        <v>54991</v>
      </c>
      <c r="T780" s="35">
        <v>74813</v>
      </c>
      <c r="U780" s="35">
        <v>50002</v>
      </c>
      <c r="V780" s="35">
        <f>SUM(B780:U780)</f>
        <v>1914697</v>
      </c>
      <c r="W780" s="35">
        <f t="shared" ref="W780:AP780" si="717">B780-B773</f>
        <v>210</v>
      </c>
      <c r="X780" s="35">
        <f t="shared" si="717"/>
        <v>204</v>
      </c>
      <c r="Y780" s="35">
        <f t="shared" si="717"/>
        <v>121</v>
      </c>
      <c r="Z780" s="35">
        <f t="shared" si="717"/>
        <v>198</v>
      </c>
      <c r="AA780" s="35">
        <f t="shared" si="717"/>
        <v>1138</v>
      </c>
      <c r="AB780" s="35">
        <f t="shared" si="717"/>
        <v>211</v>
      </c>
      <c r="AC780" s="35">
        <f t="shared" si="717"/>
        <v>202</v>
      </c>
      <c r="AD780" s="35">
        <f t="shared" si="717"/>
        <v>256</v>
      </c>
      <c r="AE780" s="35">
        <f t="shared" si="717"/>
        <v>158</v>
      </c>
      <c r="AF780" s="35">
        <f t="shared" si="717"/>
        <v>159</v>
      </c>
      <c r="AG780" s="35">
        <f t="shared" si="717"/>
        <v>130</v>
      </c>
      <c r="AH780" s="35">
        <f t="shared" si="717"/>
        <v>103</v>
      </c>
      <c r="AI780" s="35">
        <f t="shared" si="717"/>
        <v>82</v>
      </c>
      <c r="AJ780" s="35">
        <f t="shared" si="717"/>
        <v>688</v>
      </c>
      <c r="AK780" s="35">
        <f t="shared" si="717"/>
        <v>98</v>
      </c>
      <c r="AL780" s="35">
        <f t="shared" si="717"/>
        <v>234</v>
      </c>
      <c r="AM780" s="35">
        <f t="shared" si="717"/>
        <v>99</v>
      </c>
      <c r="AN780" s="35">
        <f t="shared" si="717"/>
        <v>140</v>
      </c>
      <c r="AO780" s="35">
        <f t="shared" si="717"/>
        <v>157</v>
      </c>
      <c r="AP780" s="35">
        <f t="shared" si="717"/>
        <v>161</v>
      </c>
    </row>
    <row r="781" spans="1:42" ht="13">
      <c r="A781" s="36">
        <v>44700</v>
      </c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</row>
    <row r="782" spans="1:42" ht="13">
      <c r="A782" s="36">
        <v>44701</v>
      </c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</row>
    <row r="783" spans="1:42" ht="13">
      <c r="A783" s="36">
        <v>44702</v>
      </c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</row>
    <row r="784" spans="1:42" ht="13">
      <c r="A784" s="36">
        <v>44703</v>
      </c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</row>
    <row r="785" spans="1:42" ht="13">
      <c r="A785" s="36">
        <v>44704</v>
      </c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</row>
    <row r="786" spans="1:42" ht="13">
      <c r="A786" s="36">
        <v>44705</v>
      </c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</row>
    <row r="787" spans="1:42" ht="13">
      <c r="A787" s="36">
        <v>44706</v>
      </c>
      <c r="B787" s="35">
        <v>96413</v>
      </c>
      <c r="C787" s="35">
        <v>80796</v>
      </c>
      <c r="D787" s="35">
        <v>55936</v>
      </c>
      <c r="E787" s="35">
        <v>111485</v>
      </c>
      <c r="F787" s="35">
        <v>341250</v>
      </c>
      <c r="G787" s="35">
        <v>81155</v>
      </c>
      <c r="H787" s="35">
        <v>79250</v>
      </c>
      <c r="I787" s="35">
        <v>103031</v>
      </c>
      <c r="J787" s="35">
        <v>100658</v>
      </c>
      <c r="K787" s="35">
        <v>52821</v>
      </c>
      <c r="L787" s="35">
        <v>67579</v>
      </c>
      <c r="M787" s="35">
        <v>59823</v>
      </c>
      <c r="N787" s="35">
        <v>41746</v>
      </c>
      <c r="O787" s="35">
        <v>260650</v>
      </c>
      <c r="P787" s="35">
        <v>60424</v>
      </c>
      <c r="Q787" s="35">
        <v>104196</v>
      </c>
      <c r="R787" s="35">
        <v>40441</v>
      </c>
      <c r="S787" s="35">
        <v>55085</v>
      </c>
      <c r="T787" s="35">
        <v>74914</v>
      </c>
      <c r="U787" s="35">
        <v>50124</v>
      </c>
      <c r="V787" s="35">
        <f>SUM(B787:U787)</f>
        <v>1917777</v>
      </c>
      <c r="W787" s="35">
        <f t="shared" ref="W787:AP787" si="718">B787-B780</f>
        <v>126</v>
      </c>
      <c r="X787" s="35">
        <f t="shared" si="718"/>
        <v>118</v>
      </c>
      <c r="Y787" s="35">
        <f t="shared" si="718"/>
        <v>60</v>
      </c>
      <c r="Z787" s="35">
        <f t="shared" si="718"/>
        <v>142</v>
      </c>
      <c r="AA787" s="35">
        <f t="shared" si="718"/>
        <v>827</v>
      </c>
      <c r="AB787" s="35">
        <f t="shared" si="718"/>
        <v>99</v>
      </c>
      <c r="AC787" s="35">
        <f t="shared" si="718"/>
        <v>119</v>
      </c>
      <c r="AD787" s="35">
        <f t="shared" si="718"/>
        <v>163</v>
      </c>
      <c r="AE787" s="35">
        <f t="shared" si="718"/>
        <v>67</v>
      </c>
      <c r="AF787" s="35">
        <f t="shared" si="718"/>
        <v>71</v>
      </c>
      <c r="AG787" s="35">
        <f t="shared" si="718"/>
        <v>93</v>
      </c>
      <c r="AH787" s="35">
        <f t="shared" si="718"/>
        <v>71</v>
      </c>
      <c r="AI787" s="35">
        <f t="shared" si="718"/>
        <v>50</v>
      </c>
      <c r="AJ787" s="35">
        <f t="shared" si="718"/>
        <v>459</v>
      </c>
      <c r="AK787" s="35">
        <f t="shared" si="718"/>
        <v>99</v>
      </c>
      <c r="AL787" s="35">
        <f t="shared" si="718"/>
        <v>157</v>
      </c>
      <c r="AM787" s="35">
        <f t="shared" si="718"/>
        <v>42</v>
      </c>
      <c r="AN787" s="35">
        <f t="shared" si="718"/>
        <v>94</v>
      </c>
      <c r="AO787" s="35">
        <f t="shared" si="718"/>
        <v>101</v>
      </c>
      <c r="AP787" s="35">
        <f t="shared" si="718"/>
        <v>122</v>
      </c>
    </row>
    <row r="788" spans="1:42" ht="13">
      <c r="A788" s="36">
        <v>44707</v>
      </c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</row>
    <row r="789" spans="1:42" ht="13">
      <c r="A789" s="36">
        <v>44708</v>
      </c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</row>
    <row r="790" spans="1:42" ht="13">
      <c r="A790" s="36">
        <v>44709</v>
      </c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</row>
    <row r="791" spans="1:42" ht="13">
      <c r="A791" s="36">
        <v>44710</v>
      </c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</row>
    <row r="792" spans="1:42" ht="13">
      <c r="A792" s="36">
        <v>44711</v>
      </c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</row>
    <row r="793" spans="1:42" ht="13">
      <c r="A793" s="36">
        <v>44712</v>
      </c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</row>
    <row r="794" spans="1:42" ht="13">
      <c r="A794" s="36">
        <v>44713</v>
      </c>
      <c r="B794" s="35">
        <v>96468</v>
      </c>
      <c r="C794" s="35">
        <v>80875</v>
      </c>
      <c r="D794" s="35">
        <v>55977</v>
      </c>
      <c r="E794" s="35">
        <v>111577</v>
      </c>
      <c r="F794" s="35">
        <v>341938</v>
      </c>
      <c r="G794" s="35">
        <v>81213</v>
      </c>
      <c r="H794" s="35">
        <v>79334</v>
      </c>
      <c r="I794" s="35">
        <v>103133</v>
      </c>
      <c r="J794" s="35">
        <v>100721</v>
      </c>
      <c r="K794" s="35">
        <v>52869</v>
      </c>
      <c r="L794" s="35">
        <v>67625</v>
      </c>
      <c r="M794" s="35">
        <v>59864</v>
      </c>
      <c r="N794" s="35">
        <v>41785</v>
      </c>
      <c r="O794" s="35">
        <v>260928</v>
      </c>
      <c r="P794" s="35">
        <v>60472</v>
      </c>
      <c r="Q794" s="35">
        <v>104322</v>
      </c>
      <c r="R794" s="35">
        <v>40457</v>
      </c>
      <c r="S794" s="35">
        <v>55126</v>
      </c>
      <c r="T794" s="35">
        <v>74964</v>
      </c>
      <c r="U794" s="35">
        <v>50192</v>
      </c>
      <c r="V794" s="35">
        <f>SUM(B794:U794)</f>
        <v>1919840</v>
      </c>
      <c r="W794" s="35">
        <f t="shared" ref="W794:AP794" si="719">B794-B787</f>
        <v>55</v>
      </c>
      <c r="X794" s="35">
        <f t="shared" si="719"/>
        <v>79</v>
      </c>
      <c r="Y794" s="35">
        <f t="shared" si="719"/>
        <v>41</v>
      </c>
      <c r="Z794" s="35">
        <f t="shared" si="719"/>
        <v>92</v>
      </c>
      <c r="AA794" s="35">
        <f t="shared" si="719"/>
        <v>688</v>
      </c>
      <c r="AB794" s="35">
        <f t="shared" si="719"/>
        <v>58</v>
      </c>
      <c r="AC794" s="35">
        <f t="shared" si="719"/>
        <v>84</v>
      </c>
      <c r="AD794" s="35">
        <f t="shared" si="719"/>
        <v>102</v>
      </c>
      <c r="AE794" s="35">
        <f t="shared" si="719"/>
        <v>63</v>
      </c>
      <c r="AF794" s="35">
        <f t="shared" si="719"/>
        <v>48</v>
      </c>
      <c r="AG794" s="35">
        <f t="shared" si="719"/>
        <v>46</v>
      </c>
      <c r="AH794" s="35">
        <f t="shared" si="719"/>
        <v>41</v>
      </c>
      <c r="AI794" s="35">
        <f t="shared" si="719"/>
        <v>39</v>
      </c>
      <c r="AJ794" s="35">
        <f t="shared" si="719"/>
        <v>278</v>
      </c>
      <c r="AK794" s="35">
        <f t="shared" si="719"/>
        <v>48</v>
      </c>
      <c r="AL794" s="35">
        <f t="shared" si="719"/>
        <v>126</v>
      </c>
      <c r="AM794" s="35">
        <f t="shared" si="719"/>
        <v>16</v>
      </c>
      <c r="AN794" s="35">
        <f t="shared" si="719"/>
        <v>41</v>
      </c>
      <c r="AO794" s="35">
        <f t="shared" si="719"/>
        <v>50</v>
      </c>
      <c r="AP794" s="35">
        <f t="shared" si="719"/>
        <v>68</v>
      </c>
    </row>
    <row r="795" spans="1:42" ht="13">
      <c r="A795" s="36">
        <v>44714</v>
      </c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</row>
    <row r="796" spans="1:42" ht="13">
      <c r="A796" s="36">
        <v>44715</v>
      </c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</row>
    <row r="797" spans="1:42" ht="13">
      <c r="A797" s="36">
        <v>44716</v>
      </c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</row>
    <row r="798" spans="1:42" ht="13">
      <c r="A798" s="36">
        <v>44717</v>
      </c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</row>
    <row r="799" spans="1:42" ht="13">
      <c r="A799" s="36">
        <v>44718</v>
      </c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</row>
    <row r="800" spans="1:42" ht="13">
      <c r="A800" s="36">
        <v>44719</v>
      </c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</row>
    <row r="801" spans="1:42" ht="13">
      <c r="A801" s="36">
        <v>44720</v>
      </c>
      <c r="B801" s="35">
        <v>96517</v>
      </c>
      <c r="C801" s="35">
        <v>80939</v>
      </c>
      <c r="D801" s="35">
        <v>56006</v>
      </c>
      <c r="E801" s="35">
        <v>111633</v>
      </c>
      <c r="F801" s="35">
        <v>342535</v>
      </c>
      <c r="G801" s="35">
        <v>81259</v>
      </c>
      <c r="H801" s="35">
        <v>79384</v>
      </c>
      <c r="I801" s="35">
        <v>103214</v>
      </c>
      <c r="J801" s="35">
        <v>100757</v>
      </c>
      <c r="K801" s="35">
        <v>52897</v>
      </c>
      <c r="L801" s="35">
        <v>67670</v>
      </c>
      <c r="M801" s="35">
        <v>59905</v>
      </c>
      <c r="N801" s="35">
        <v>41826</v>
      </c>
      <c r="O801" s="35">
        <v>261163</v>
      </c>
      <c r="P801" s="35">
        <v>60504</v>
      </c>
      <c r="Q801" s="35">
        <v>104430</v>
      </c>
      <c r="R801" s="35">
        <v>40470</v>
      </c>
      <c r="S801" s="35">
        <v>55142</v>
      </c>
      <c r="T801" s="35">
        <v>75008</v>
      </c>
      <c r="U801" s="35">
        <v>50227</v>
      </c>
      <c r="V801" s="35">
        <f>SUM(B801:U801)</f>
        <v>1921486</v>
      </c>
      <c r="W801" s="35">
        <f t="shared" ref="W801:AP801" si="720">B801-B794</f>
        <v>49</v>
      </c>
      <c r="X801" s="35">
        <f t="shared" si="720"/>
        <v>64</v>
      </c>
      <c r="Y801" s="35">
        <f t="shared" si="720"/>
        <v>29</v>
      </c>
      <c r="Z801" s="35">
        <f t="shared" si="720"/>
        <v>56</v>
      </c>
      <c r="AA801" s="35">
        <f t="shared" si="720"/>
        <v>597</v>
      </c>
      <c r="AB801" s="35">
        <f t="shared" si="720"/>
        <v>46</v>
      </c>
      <c r="AC801" s="35">
        <f t="shared" si="720"/>
        <v>50</v>
      </c>
      <c r="AD801" s="35">
        <f t="shared" si="720"/>
        <v>81</v>
      </c>
      <c r="AE801" s="35">
        <f t="shared" si="720"/>
        <v>36</v>
      </c>
      <c r="AF801" s="35">
        <f t="shared" si="720"/>
        <v>28</v>
      </c>
      <c r="AG801" s="35">
        <f t="shared" si="720"/>
        <v>45</v>
      </c>
      <c r="AH801" s="35">
        <f t="shared" si="720"/>
        <v>41</v>
      </c>
      <c r="AI801" s="35">
        <f t="shared" si="720"/>
        <v>41</v>
      </c>
      <c r="AJ801" s="35">
        <f t="shared" si="720"/>
        <v>235</v>
      </c>
      <c r="AK801" s="35">
        <f t="shared" si="720"/>
        <v>32</v>
      </c>
      <c r="AL801" s="35">
        <f t="shared" si="720"/>
        <v>108</v>
      </c>
      <c r="AM801" s="35">
        <f t="shared" si="720"/>
        <v>13</v>
      </c>
      <c r="AN801" s="35">
        <f t="shared" si="720"/>
        <v>16</v>
      </c>
      <c r="AO801" s="35">
        <f t="shared" si="720"/>
        <v>44</v>
      </c>
      <c r="AP801" s="35">
        <f t="shared" si="720"/>
        <v>35</v>
      </c>
    </row>
    <row r="802" spans="1:42" ht="13">
      <c r="A802" s="36">
        <v>44721</v>
      </c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</row>
    <row r="803" spans="1:42" ht="13">
      <c r="A803" s="36">
        <v>44722</v>
      </c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</row>
    <row r="804" spans="1:42" ht="13">
      <c r="A804" s="36">
        <v>44723</v>
      </c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</row>
    <row r="805" spans="1:42" ht="13">
      <c r="A805" s="36">
        <v>44724</v>
      </c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</row>
    <row r="806" spans="1:42" ht="13">
      <c r="A806" s="36">
        <v>44725</v>
      </c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</row>
    <row r="807" spans="1:42" ht="13">
      <c r="A807" s="36">
        <v>44726</v>
      </c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</row>
    <row r="808" spans="1:42" ht="13">
      <c r="A808" s="36">
        <v>44727</v>
      </c>
      <c r="B808" s="35">
        <v>96570</v>
      </c>
      <c r="C808" s="35">
        <v>80997</v>
      </c>
      <c r="D808" s="35">
        <v>56033</v>
      </c>
      <c r="E808" s="35">
        <v>111698</v>
      </c>
      <c r="F808" s="35">
        <v>343136</v>
      </c>
      <c r="G808" s="35">
        <v>81310</v>
      </c>
      <c r="H808" s="35">
        <v>79436</v>
      </c>
      <c r="I808" s="35">
        <v>103279</v>
      </c>
      <c r="J808" s="35">
        <v>100796</v>
      </c>
      <c r="K808" s="35">
        <v>52921</v>
      </c>
      <c r="L808" s="35">
        <v>67710</v>
      </c>
      <c r="M808" s="35">
        <v>59938</v>
      </c>
      <c r="N808" s="35">
        <v>41871</v>
      </c>
      <c r="O808" s="35">
        <v>261397</v>
      </c>
      <c r="P808" s="35">
        <v>60540</v>
      </c>
      <c r="Q808" s="35">
        <v>104538</v>
      </c>
      <c r="R808" s="35">
        <v>40506</v>
      </c>
      <c r="S808" s="35">
        <v>55154</v>
      </c>
      <c r="T808" s="35">
        <v>75031</v>
      </c>
      <c r="U808" s="35">
        <v>50261</v>
      </c>
      <c r="V808" s="35">
        <f>SUM(B808:U808)</f>
        <v>1923122</v>
      </c>
      <c r="W808" s="35">
        <f t="shared" ref="W808:AP808" si="721">B808-B801</f>
        <v>53</v>
      </c>
      <c r="X808" s="35">
        <f t="shared" si="721"/>
        <v>58</v>
      </c>
      <c r="Y808" s="35">
        <f t="shared" si="721"/>
        <v>27</v>
      </c>
      <c r="Z808" s="35">
        <f t="shared" si="721"/>
        <v>65</v>
      </c>
      <c r="AA808" s="35">
        <f t="shared" si="721"/>
        <v>601</v>
      </c>
      <c r="AB808" s="35">
        <f t="shared" si="721"/>
        <v>51</v>
      </c>
      <c r="AC808" s="35">
        <f t="shared" si="721"/>
        <v>52</v>
      </c>
      <c r="AD808" s="35">
        <f t="shared" si="721"/>
        <v>65</v>
      </c>
      <c r="AE808" s="35">
        <f t="shared" si="721"/>
        <v>39</v>
      </c>
      <c r="AF808" s="35">
        <f t="shared" si="721"/>
        <v>24</v>
      </c>
      <c r="AG808" s="35">
        <f t="shared" si="721"/>
        <v>40</v>
      </c>
      <c r="AH808" s="35">
        <f t="shared" si="721"/>
        <v>33</v>
      </c>
      <c r="AI808" s="35">
        <f t="shared" si="721"/>
        <v>45</v>
      </c>
      <c r="AJ808" s="35">
        <f t="shared" si="721"/>
        <v>234</v>
      </c>
      <c r="AK808" s="35">
        <f t="shared" si="721"/>
        <v>36</v>
      </c>
      <c r="AL808" s="35">
        <f t="shared" si="721"/>
        <v>108</v>
      </c>
      <c r="AM808" s="35">
        <f t="shared" si="721"/>
        <v>36</v>
      </c>
      <c r="AN808" s="35">
        <f t="shared" si="721"/>
        <v>12</v>
      </c>
      <c r="AO808" s="35">
        <f t="shared" si="721"/>
        <v>23</v>
      </c>
      <c r="AP808" s="35">
        <f t="shared" si="721"/>
        <v>34</v>
      </c>
    </row>
    <row r="809" spans="1:42" ht="13">
      <c r="A809" s="36">
        <v>44728</v>
      </c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</row>
    <row r="810" spans="1:42" ht="13">
      <c r="A810" s="36">
        <v>44729</v>
      </c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</row>
    <row r="811" spans="1:42" ht="13">
      <c r="A811" s="36">
        <v>44730</v>
      </c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</row>
    <row r="812" spans="1:42" ht="13">
      <c r="A812" s="36">
        <v>44731</v>
      </c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</row>
    <row r="813" spans="1:42" ht="13">
      <c r="A813" s="36">
        <v>44732</v>
      </c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</row>
    <row r="814" spans="1:42" ht="13">
      <c r="A814" s="36">
        <v>44733</v>
      </c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</row>
    <row r="815" spans="1:42" ht="13">
      <c r="A815" s="36">
        <v>44734</v>
      </c>
      <c r="B815" s="35">
        <v>96638</v>
      </c>
      <c r="C815" s="35">
        <v>81057</v>
      </c>
      <c r="D815" s="35">
        <v>56049</v>
      </c>
      <c r="E815" s="35">
        <v>111771</v>
      </c>
      <c r="F815" s="35">
        <v>343896</v>
      </c>
      <c r="G815" s="35">
        <v>81394</v>
      </c>
      <c r="H815" s="35">
        <v>79496</v>
      </c>
      <c r="I815" s="35">
        <v>103376</v>
      </c>
      <c r="J815" s="35">
        <v>100833</v>
      </c>
      <c r="K815" s="35">
        <v>52957</v>
      </c>
      <c r="L815" s="35">
        <v>67748</v>
      </c>
      <c r="M815" s="35">
        <v>59966</v>
      </c>
      <c r="N815" s="35">
        <v>41885</v>
      </c>
      <c r="O815" s="35">
        <v>261700</v>
      </c>
      <c r="P815" s="35">
        <v>60593</v>
      </c>
      <c r="Q815" s="35">
        <v>104633</v>
      </c>
      <c r="R815" s="35">
        <v>40542</v>
      </c>
      <c r="S815" s="35">
        <v>55169</v>
      </c>
      <c r="T815" s="35">
        <v>75082</v>
      </c>
      <c r="U815" s="35">
        <v>50298</v>
      </c>
      <c r="V815" s="35">
        <f>SUM(B815:U815)</f>
        <v>1925083</v>
      </c>
      <c r="W815" s="35">
        <f t="shared" ref="W815:AP815" si="722">B815-B808</f>
        <v>68</v>
      </c>
      <c r="X815" s="35">
        <f t="shared" si="722"/>
        <v>60</v>
      </c>
      <c r="Y815" s="35">
        <f t="shared" si="722"/>
        <v>16</v>
      </c>
      <c r="Z815" s="35">
        <f t="shared" si="722"/>
        <v>73</v>
      </c>
      <c r="AA815" s="35">
        <f t="shared" si="722"/>
        <v>760</v>
      </c>
      <c r="AB815" s="35">
        <f t="shared" si="722"/>
        <v>84</v>
      </c>
      <c r="AC815" s="35">
        <f t="shared" si="722"/>
        <v>60</v>
      </c>
      <c r="AD815" s="35">
        <f t="shared" si="722"/>
        <v>97</v>
      </c>
      <c r="AE815" s="35">
        <f t="shared" si="722"/>
        <v>37</v>
      </c>
      <c r="AF815" s="35">
        <f t="shared" si="722"/>
        <v>36</v>
      </c>
      <c r="AG815" s="35">
        <f t="shared" si="722"/>
        <v>38</v>
      </c>
      <c r="AH815" s="35">
        <f t="shared" si="722"/>
        <v>28</v>
      </c>
      <c r="AI815" s="35">
        <f t="shared" si="722"/>
        <v>14</v>
      </c>
      <c r="AJ815" s="35">
        <f t="shared" si="722"/>
        <v>303</v>
      </c>
      <c r="AK815" s="35">
        <f t="shared" si="722"/>
        <v>53</v>
      </c>
      <c r="AL815" s="35">
        <f t="shared" si="722"/>
        <v>95</v>
      </c>
      <c r="AM815" s="35">
        <f t="shared" si="722"/>
        <v>36</v>
      </c>
      <c r="AN815" s="35">
        <f t="shared" si="722"/>
        <v>15</v>
      </c>
      <c r="AO815" s="35">
        <f t="shared" si="722"/>
        <v>51</v>
      </c>
      <c r="AP815" s="35">
        <f t="shared" si="722"/>
        <v>37</v>
      </c>
    </row>
    <row r="816" spans="1:42" ht="13">
      <c r="A816" s="36">
        <v>44735</v>
      </c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</row>
    <row r="817" spans="1:42" ht="13">
      <c r="A817" s="36">
        <v>44736</v>
      </c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</row>
    <row r="818" spans="1:42" ht="13">
      <c r="A818" s="36">
        <v>44737</v>
      </c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</row>
    <row r="819" spans="1:42" ht="13">
      <c r="A819" s="36">
        <v>44738</v>
      </c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</row>
    <row r="820" spans="1:42" ht="13">
      <c r="A820" s="36">
        <v>44739</v>
      </c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</row>
    <row r="821" spans="1:42" ht="13">
      <c r="A821" s="36">
        <v>44740</v>
      </c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</row>
    <row r="822" spans="1:42" ht="13">
      <c r="A822" s="36">
        <v>44741</v>
      </c>
      <c r="B822" s="35">
        <v>96734</v>
      </c>
      <c r="C822" s="35">
        <v>81149</v>
      </c>
      <c r="D822" s="35">
        <v>56086</v>
      </c>
      <c r="E822" s="35">
        <v>111846</v>
      </c>
      <c r="F822" s="35">
        <v>344978</v>
      </c>
      <c r="G822" s="35">
        <v>81490</v>
      </c>
      <c r="H822" s="35">
        <v>79597</v>
      </c>
      <c r="I822" s="35">
        <v>103524</v>
      </c>
      <c r="J822" s="35">
        <v>100921</v>
      </c>
      <c r="K822" s="35">
        <v>53026</v>
      </c>
      <c r="L822" s="35">
        <v>67809</v>
      </c>
      <c r="M822" s="35">
        <v>60024</v>
      </c>
      <c r="N822" s="35">
        <v>41929</v>
      </c>
      <c r="O822" s="35">
        <v>262220</v>
      </c>
      <c r="P822" s="35">
        <v>60673</v>
      </c>
      <c r="Q822" s="35">
        <v>104759</v>
      </c>
      <c r="R822" s="35">
        <v>40606</v>
      </c>
      <c r="S822" s="35">
        <v>55222</v>
      </c>
      <c r="T822" s="35">
        <v>75174</v>
      </c>
      <c r="U822" s="35">
        <v>50358</v>
      </c>
      <c r="V822" s="35">
        <f>SUM(B822:U822)</f>
        <v>1928125</v>
      </c>
      <c r="W822" s="35">
        <f t="shared" ref="W822:AP822" si="723">B822-B815</f>
        <v>96</v>
      </c>
      <c r="X822" s="35">
        <f t="shared" si="723"/>
        <v>92</v>
      </c>
      <c r="Y822" s="35">
        <f t="shared" si="723"/>
        <v>37</v>
      </c>
      <c r="Z822" s="35">
        <f t="shared" si="723"/>
        <v>75</v>
      </c>
      <c r="AA822" s="35">
        <f t="shared" si="723"/>
        <v>1082</v>
      </c>
      <c r="AB822" s="35">
        <f t="shared" si="723"/>
        <v>96</v>
      </c>
      <c r="AC822" s="35">
        <f t="shared" si="723"/>
        <v>101</v>
      </c>
      <c r="AD822" s="35">
        <f t="shared" si="723"/>
        <v>148</v>
      </c>
      <c r="AE822" s="35">
        <f t="shared" si="723"/>
        <v>88</v>
      </c>
      <c r="AF822" s="35">
        <f t="shared" si="723"/>
        <v>69</v>
      </c>
      <c r="AG822" s="35">
        <f t="shared" si="723"/>
        <v>61</v>
      </c>
      <c r="AH822" s="35">
        <f t="shared" si="723"/>
        <v>58</v>
      </c>
      <c r="AI822" s="35">
        <f t="shared" si="723"/>
        <v>44</v>
      </c>
      <c r="AJ822" s="35">
        <f t="shared" si="723"/>
        <v>520</v>
      </c>
      <c r="AK822" s="35">
        <f t="shared" si="723"/>
        <v>80</v>
      </c>
      <c r="AL822" s="35">
        <f t="shared" si="723"/>
        <v>126</v>
      </c>
      <c r="AM822" s="35">
        <f t="shared" si="723"/>
        <v>64</v>
      </c>
      <c r="AN822" s="35">
        <f t="shared" si="723"/>
        <v>53</v>
      </c>
      <c r="AO822" s="35">
        <f t="shared" si="723"/>
        <v>92</v>
      </c>
      <c r="AP822" s="35">
        <f t="shared" si="723"/>
        <v>60</v>
      </c>
    </row>
    <row r="823" spans="1:42" ht="13">
      <c r="A823" s="36">
        <v>44742</v>
      </c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</row>
    <row r="824" spans="1:42" ht="13">
      <c r="A824" s="36">
        <v>44743</v>
      </c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</row>
    <row r="825" spans="1:42" ht="13">
      <c r="A825" s="36">
        <v>44744</v>
      </c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</row>
    <row r="826" spans="1:42" ht="13">
      <c r="A826" s="36">
        <v>44745</v>
      </c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</row>
    <row r="827" spans="1:42" ht="13">
      <c r="A827" s="36">
        <v>44746</v>
      </c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</row>
    <row r="828" spans="1:42" ht="13">
      <c r="A828" s="36">
        <v>44747</v>
      </c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</row>
    <row r="829" spans="1:42" ht="13">
      <c r="A829" s="36">
        <v>44748</v>
      </c>
      <c r="B829" s="35">
        <v>96901</v>
      </c>
      <c r="C829" s="35">
        <v>81306</v>
      </c>
      <c r="D829" s="35">
        <v>56151</v>
      </c>
      <c r="E829" s="35">
        <v>111984</v>
      </c>
      <c r="F829" s="35">
        <v>346551</v>
      </c>
      <c r="G829" s="35">
        <v>81628</v>
      </c>
      <c r="H829" s="35">
        <v>79737</v>
      </c>
      <c r="I829" s="35">
        <v>103810</v>
      </c>
      <c r="J829" s="35">
        <v>101066</v>
      </c>
      <c r="K829" s="35">
        <v>53139</v>
      </c>
      <c r="L829" s="35">
        <v>67917</v>
      </c>
      <c r="M829" s="35">
        <v>60117</v>
      </c>
      <c r="N829" s="35">
        <v>41985</v>
      </c>
      <c r="O829" s="35">
        <v>262963</v>
      </c>
      <c r="P829" s="35">
        <v>60757</v>
      </c>
      <c r="Q829" s="35">
        <v>104979</v>
      </c>
      <c r="R829" s="35">
        <v>40706</v>
      </c>
      <c r="S829" s="35">
        <v>55340</v>
      </c>
      <c r="T829" s="35">
        <v>75284</v>
      </c>
      <c r="U829" s="35">
        <v>50467</v>
      </c>
      <c r="V829" s="35">
        <f>SUM(B829:U829)</f>
        <v>1932788</v>
      </c>
      <c r="W829" s="35">
        <f t="shared" ref="W829:AP829" si="724">B829-B822</f>
        <v>167</v>
      </c>
      <c r="X829" s="35">
        <f t="shared" si="724"/>
        <v>157</v>
      </c>
      <c r="Y829" s="35">
        <f t="shared" si="724"/>
        <v>65</v>
      </c>
      <c r="Z829" s="35">
        <f t="shared" si="724"/>
        <v>138</v>
      </c>
      <c r="AA829" s="35">
        <f t="shared" si="724"/>
        <v>1573</v>
      </c>
      <c r="AB829" s="35">
        <f t="shared" si="724"/>
        <v>138</v>
      </c>
      <c r="AC829" s="35">
        <f t="shared" si="724"/>
        <v>140</v>
      </c>
      <c r="AD829" s="35">
        <f t="shared" si="724"/>
        <v>286</v>
      </c>
      <c r="AE829" s="35">
        <f t="shared" si="724"/>
        <v>145</v>
      </c>
      <c r="AF829" s="35">
        <f t="shared" si="724"/>
        <v>113</v>
      </c>
      <c r="AG829" s="35">
        <f t="shared" si="724"/>
        <v>108</v>
      </c>
      <c r="AH829" s="35">
        <f t="shared" si="724"/>
        <v>93</v>
      </c>
      <c r="AI829" s="35">
        <f t="shared" si="724"/>
        <v>56</v>
      </c>
      <c r="AJ829" s="35">
        <f t="shared" si="724"/>
        <v>743</v>
      </c>
      <c r="AK829" s="35">
        <f t="shared" si="724"/>
        <v>84</v>
      </c>
      <c r="AL829" s="35">
        <f t="shared" si="724"/>
        <v>220</v>
      </c>
      <c r="AM829" s="35">
        <f t="shared" si="724"/>
        <v>100</v>
      </c>
      <c r="AN829" s="35">
        <f t="shared" si="724"/>
        <v>118</v>
      </c>
      <c r="AO829" s="35">
        <f t="shared" si="724"/>
        <v>110</v>
      </c>
      <c r="AP829" s="35">
        <f t="shared" si="724"/>
        <v>109</v>
      </c>
    </row>
    <row r="830" spans="1:42" ht="13">
      <c r="A830" s="36">
        <v>44749</v>
      </c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</row>
    <row r="831" spans="1:42" ht="13">
      <c r="A831" s="36">
        <v>44750</v>
      </c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</row>
    <row r="832" spans="1:42" ht="13">
      <c r="A832" s="36">
        <v>44751</v>
      </c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</row>
    <row r="833" spans="1:42" ht="13">
      <c r="A833" s="36">
        <v>44752</v>
      </c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</row>
    <row r="834" spans="1:42" ht="13">
      <c r="A834" s="36">
        <v>44753</v>
      </c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</row>
    <row r="835" spans="1:42" ht="13">
      <c r="A835" s="36">
        <v>44754</v>
      </c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</row>
    <row r="836" spans="1:42" ht="13">
      <c r="A836" s="36">
        <v>44755</v>
      </c>
      <c r="B836" s="35">
        <v>97201</v>
      </c>
      <c r="C836" s="35">
        <v>81628</v>
      </c>
      <c r="D836" s="35">
        <v>56344</v>
      </c>
      <c r="E836" s="35">
        <v>112291</v>
      </c>
      <c r="F836" s="35">
        <v>348680</v>
      </c>
      <c r="G836" s="35">
        <v>81876</v>
      </c>
      <c r="H836" s="35">
        <v>80000</v>
      </c>
      <c r="I836" s="35">
        <v>104308</v>
      </c>
      <c r="J836" s="35">
        <v>101327</v>
      </c>
      <c r="K836" s="35">
        <v>53396</v>
      </c>
      <c r="L836" s="35">
        <v>68121</v>
      </c>
      <c r="M836" s="35">
        <v>60272</v>
      </c>
      <c r="N836" s="35">
        <v>42064</v>
      </c>
      <c r="O836" s="35">
        <v>264184</v>
      </c>
      <c r="P836" s="35">
        <v>60955</v>
      </c>
      <c r="Q836" s="35">
        <v>105391</v>
      </c>
      <c r="R836" s="35">
        <v>40907</v>
      </c>
      <c r="S836" s="35">
        <v>55629</v>
      </c>
      <c r="T836" s="35">
        <v>75551</v>
      </c>
      <c r="U836" s="35">
        <v>50699</v>
      </c>
      <c r="V836" s="35">
        <f>SUM(B836:U836)</f>
        <v>1940824</v>
      </c>
      <c r="W836" s="35">
        <f t="shared" ref="W836:AP836" si="725">B836-B829</f>
        <v>300</v>
      </c>
      <c r="X836" s="35">
        <f t="shared" si="725"/>
        <v>322</v>
      </c>
      <c r="Y836" s="35">
        <f t="shared" si="725"/>
        <v>193</v>
      </c>
      <c r="Z836" s="35">
        <f t="shared" si="725"/>
        <v>307</v>
      </c>
      <c r="AA836" s="35">
        <f t="shared" si="725"/>
        <v>2129</v>
      </c>
      <c r="AB836" s="35">
        <f t="shared" si="725"/>
        <v>248</v>
      </c>
      <c r="AC836" s="35">
        <f t="shared" si="725"/>
        <v>263</v>
      </c>
      <c r="AD836" s="35">
        <f t="shared" si="725"/>
        <v>498</v>
      </c>
      <c r="AE836" s="35">
        <f t="shared" si="725"/>
        <v>261</v>
      </c>
      <c r="AF836" s="35">
        <f t="shared" si="725"/>
        <v>257</v>
      </c>
      <c r="AG836" s="35">
        <f t="shared" si="725"/>
        <v>204</v>
      </c>
      <c r="AH836" s="35">
        <f t="shared" si="725"/>
        <v>155</v>
      </c>
      <c r="AI836" s="35">
        <f t="shared" si="725"/>
        <v>79</v>
      </c>
      <c r="AJ836" s="35">
        <f t="shared" si="725"/>
        <v>1221</v>
      </c>
      <c r="AK836" s="35">
        <f t="shared" si="725"/>
        <v>198</v>
      </c>
      <c r="AL836" s="35">
        <f t="shared" si="725"/>
        <v>412</v>
      </c>
      <c r="AM836" s="35">
        <f t="shared" si="725"/>
        <v>201</v>
      </c>
      <c r="AN836" s="35">
        <f t="shared" si="725"/>
        <v>289</v>
      </c>
      <c r="AO836" s="35">
        <f t="shared" si="725"/>
        <v>267</v>
      </c>
      <c r="AP836" s="35">
        <f t="shared" si="725"/>
        <v>232</v>
      </c>
    </row>
    <row r="837" spans="1:42" ht="13">
      <c r="A837" s="36">
        <v>44756</v>
      </c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</row>
    <row r="838" spans="1:42" ht="13">
      <c r="A838" s="36">
        <v>44757</v>
      </c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</row>
    <row r="839" spans="1:42" ht="13">
      <c r="A839" s="36">
        <v>44758</v>
      </c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</row>
    <row r="840" spans="1:42" ht="13">
      <c r="A840" s="36">
        <v>44759</v>
      </c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</row>
    <row r="841" spans="1:42" ht="13">
      <c r="A841" s="36">
        <v>44760</v>
      </c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</row>
    <row r="842" spans="1:42" ht="13">
      <c r="A842" s="36">
        <v>44761</v>
      </c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</row>
    <row r="843" spans="1:42" ht="13">
      <c r="A843" s="36">
        <v>44762</v>
      </c>
      <c r="B843" s="35">
        <v>97693</v>
      </c>
      <c r="C843" s="35">
        <v>82062</v>
      </c>
      <c r="D843" s="35">
        <v>56598</v>
      </c>
      <c r="E843" s="35">
        <v>112742</v>
      </c>
      <c r="F843" s="35">
        <v>351102</v>
      </c>
      <c r="G843" s="35">
        <v>82169</v>
      </c>
      <c r="H843" s="35">
        <v>80325</v>
      </c>
      <c r="I843" s="35">
        <v>104955</v>
      </c>
      <c r="J843" s="35">
        <v>101698</v>
      </c>
      <c r="K843" s="35">
        <v>53754</v>
      </c>
      <c r="L843" s="35">
        <v>68407</v>
      </c>
      <c r="M843" s="35">
        <v>60518</v>
      </c>
      <c r="N843" s="35">
        <v>42174</v>
      </c>
      <c r="O843" s="35">
        <v>265632</v>
      </c>
      <c r="P843" s="35">
        <v>61238</v>
      </c>
      <c r="Q843" s="35">
        <v>105931</v>
      </c>
      <c r="R843" s="35">
        <v>41164</v>
      </c>
      <c r="S843" s="35">
        <v>55949</v>
      </c>
      <c r="T843" s="35">
        <v>75901</v>
      </c>
      <c r="U843" s="35">
        <v>51067</v>
      </c>
      <c r="V843" s="35">
        <f>SUM(B843:U843)</f>
        <v>1951079</v>
      </c>
      <c r="W843" s="35">
        <f t="shared" ref="W843:AP843" si="726">B843-B836</f>
        <v>492</v>
      </c>
      <c r="X843" s="35">
        <f t="shared" si="726"/>
        <v>434</v>
      </c>
      <c r="Y843" s="35">
        <f t="shared" si="726"/>
        <v>254</v>
      </c>
      <c r="Z843" s="35">
        <f t="shared" si="726"/>
        <v>451</v>
      </c>
      <c r="AA843" s="35">
        <f t="shared" si="726"/>
        <v>2422</v>
      </c>
      <c r="AB843" s="35">
        <f t="shared" si="726"/>
        <v>293</v>
      </c>
      <c r="AC843" s="35">
        <f t="shared" si="726"/>
        <v>325</v>
      </c>
      <c r="AD843" s="35">
        <f t="shared" si="726"/>
        <v>647</v>
      </c>
      <c r="AE843" s="35">
        <f t="shared" si="726"/>
        <v>371</v>
      </c>
      <c r="AF843" s="35">
        <f t="shared" si="726"/>
        <v>358</v>
      </c>
      <c r="AG843" s="35">
        <f t="shared" si="726"/>
        <v>286</v>
      </c>
      <c r="AH843" s="35">
        <f t="shared" si="726"/>
        <v>246</v>
      </c>
      <c r="AI843" s="35">
        <f t="shared" si="726"/>
        <v>110</v>
      </c>
      <c r="AJ843" s="35">
        <f t="shared" si="726"/>
        <v>1448</v>
      </c>
      <c r="AK843" s="35">
        <f t="shared" si="726"/>
        <v>283</v>
      </c>
      <c r="AL843" s="35">
        <f t="shared" si="726"/>
        <v>540</v>
      </c>
      <c r="AM843" s="35">
        <f t="shared" si="726"/>
        <v>257</v>
      </c>
      <c r="AN843" s="35">
        <f t="shared" si="726"/>
        <v>320</v>
      </c>
      <c r="AO843" s="35">
        <f t="shared" si="726"/>
        <v>350</v>
      </c>
      <c r="AP843" s="35">
        <f t="shared" si="726"/>
        <v>368</v>
      </c>
    </row>
    <row r="844" spans="1:42" ht="13">
      <c r="A844" s="36">
        <v>44763</v>
      </c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</row>
    <row r="845" spans="1:42" ht="13">
      <c r="A845" s="36">
        <v>44764</v>
      </c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</row>
    <row r="846" spans="1:42" ht="13">
      <c r="A846" s="36">
        <v>44765</v>
      </c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</row>
    <row r="847" spans="1:42" ht="13">
      <c r="A847" s="36">
        <v>44766</v>
      </c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</row>
    <row r="848" spans="1:42" ht="13">
      <c r="A848" s="36">
        <v>44767</v>
      </c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</row>
    <row r="849" spans="1:42" ht="13">
      <c r="A849" s="36">
        <v>44768</v>
      </c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</row>
    <row r="850" spans="1:42" ht="13">
      <c r="A850" s="36">
        <v>44769</v>
      </c>
      <c r="B850" s="35">
        <v>98418</v>
      </c>
      <c r="C850" s="35">
        <v>82728</v>
      </c>
      <c r="D850" s="35">
        <v>57106</v>
      </c>
      <c r="E850" s="35">
        <v>113519</v>
      </c>
      <c r="F850" s="35">
        <v>353952</v>
      </c>
      <c r="G850" s="35">
        <v>82664</v>
      </c>
      <c r="H850" s="35">
        <v>80921</v>
      </c>
      <c r="I850" s="35">
        <v>105823</v>
      </c>
      <c r="J850" s="35">
        <v>102278</v>
      </c>
      <c r="K850" s="35">
        <v>54170</v>
      </c>
      <c r="L850" s="35">
        <v>68877</v>
      </c>
      <c r="M850" s="35">
        <v>60916</v>
      </c>
      <c r="N850" s="35">
        <v>42472</v>
      </c>
      <c r="O850" s="35">
        <v>267462</v>
      </c>
      <c r="P850" s="35">
        <v>61626</v>
      </c>
      <c r="Q850" s="35">
        <v>106714</v>
      </c>
      <c r="R850" s="35">
        <v>41546</v>
      </c>
      <c r="S850" s="35">
        <v>56403</v>
      </c>
      <c r="T850" s="35">
        <v>76374</v>
      </c>
      <c r="U850" s="35">
        <v>51512</v>
      </c>
      <c r="V850" s="35">
        <f>SUM(B850:U850)</f>
        <v>1965481</v>
      </c>
      <c r="W850" s="35">
        <f t="shared" ref="W850:AP850" si="727">B850-B843</f>
        <v>725</v>
      </c>
      <c r="X850" s="35">
        <f t="shared" si="727"/>
        <v>666</v>
      </c>
      <c r="Y850" s="35">
        <f t="shared" si="727"/>
        <v>508</v>
      </c>
      <c r="Z850" s="35">
        <f t="shared" si="727"/>
        <v>777</v>
      </c>
      <c r="AA850" s="35">
        <f t="shared" si="727"/>
        <v>2850</v>
      </c>
      <c r="AB850" s="35">
        <f t="shared" si="727"/>
        <v>495</v>
      </c>
      <c r="AC850" s="35">
        <f t="shared" si="727"/>
        <v>596</v>
      </c>
      <c r="AD850" s="35">
        <f t="shared" si="727"/>
        <v>868</v>
      </c>
      <c r="AE850" s="35">
        <f t="shared" si="727"/>
        <v>580</v>
      </c>
      <c r="AF850" s="35">
        <f t="shared" si="727"/>
        <v>416</v>
      </c>
      <c r="AG850" s="35">
        <f t="shared" si="727"/>
        <v>470</v>
      </c>
      <c r="AH850" s="35">
        <f t="shared" si="727"/>
        <v>398</v>
      </c>
      <c r="AI850" s="35">
        <f t="shared" si="727"/>
        <v>298</v>
      </c>
      <c r="AJ850" s="35">
        <f t="shared" si="727"/>
        <v>1830</v>
      </c>
      <c r="AK850" s="35">
        <f t="shared" si="727"/>
        <v>388</v>
      </c>
      <c r="AL850" s="35">
        <f t="shared" si="727"/>
        <v>783</v>
      </c>
      <c r="AM850" s="35">
        <f t="shared" si="727"/>
        <v>382</v>
      </c>
      <c r="AN850" s="35">
        <f t="shared" si="727"/>
        <v>454</v>
      </c>
      <c r="AO850" s="35">
        <f t="shared" si="727"/>
        <v>473</v>
      </c>
      <c r="AP850" s="35">
        <f t="shared" si="727"/>
        <v>445</v>
      </c>
    </row>
    <row r="851" spans="1:42" ht="13">
      <c r="A851" s="36">
        <v>44770</v>
      </c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</row>
    <row r="852" spans="1:42" ht="13">
      <c r="A852" s="36">
        <v>44771</v>
      </c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</row>
    <row r="853" spans="1:42" ht="13">
      <c r="A853" s="36">
        <v>44772</v>
      </c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</row>
    <row r="854" spans="1:42" ht="13">
      <c r="A854" s="36">
        <v>44773</v>
      </c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</row>
    <row r="855" spans="1:42" ht="13">
      <c r="A855" s="36">
        <v>44774</v>
      </c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</row>
    <row r="856" spans="1:42" ht="13">
      <c r="A856" s="36">
        <v>44775</v>
      </c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</row>
    <row r="857" spans="1:42" ht="13">
      <c r="A857" s="36">
        <v>44776</v>
      </c>
      <c r="B857" s="35">
        <v>99499</v>
      </c>
      <c r="C857" s="35">
        <v>83631</v>
      </c>
      <c r="D857" s="35">
        <v>57911</v>
      </c>
      <c r="E857" s="35">
        <v>114637</v>
      </c>
      <c r="F857" s="35">
        <v>358735</v>
      </c>
      <c r="G857" s="35">
        <v>83537</v>
      </c>
      <c r="H857" s="35">
        <v>81692</v>
      </c>
      <c r="I857" s="35">
        <v>106996</v>
      </c>
      <c r="J857" s="35">
        <v>103305</v>
      </c>
      <c r="K857" s="35">
        <v>54705</v>
      </c>
      <c r="L857" s="35">
        <v>69635</v>
      </c>
      <c r="M857" s="35">
        <v>61525</v>
      </c>
      <c r="N857" s="35">
        <v>42839</v>
      </c>
      <c r="O857" s="35">
        <v>270342</v>
      </c>
      <c r="P857" s="35">
        <v>62244</v>
      </c>
      <c r="Q857" s="35">
        <v>107893</v>
      </c>
      <c r="R857" s="35">
        <v>42082</v>
      </c>
      <c r="S857" s="35">
        <v>56910</v>
      </c>
      <c r="T857" s="35">
        <v>77083</v>
      </c>
      <c r="U857" s="35">
        <v>52120</v>
      </c>
      <c r="V857" s="35">
        <f>SUM(B857:U857)</f>
        <v>1987321</v>
      </c>
      <c r="W857" s="35">
        <f t="shared" ref="W857:AP857" si="728">B857-B850</f>
        <v>1081</v>
      </c>
      <c r="X857" s="35">
        <f t="shared" si="728"/>
        <v>903</v>
      </c>
      <c r="Y857" s="35">
        <f t="shared" si="728"/>
        <v>805</v>
      </c>
      <c r="Z857" s="35">
        <f t="shared" si="728"/>
        <v>1118</v>
      </c>
      <c r="AA857" s="35">
        <f t="shared" si="728"/>
        <v>4783</v>
      </c>
      <c r="AB857" s="35">
        <f t="shared" si="728"/>
        <v>873</v>
      </c>
      <c r="AC857" s="35">
        <f t="shared" si="728"/>
        <v>771</v>
      </c>
      <c r="AD857" s="35">
        <f t="shared" si="728"/>
        <v>1173</v>
      </c>
      <c r="AE857" s="35">
        <f t="shared" si="728"/>
        <v>1027</v>
      </c>
      <c r="AF857" s="35">
        <f t="shared" si="728"/>
        <v>535</v>
      </c>
      <c r="AG857" s="35">
        <f t="shared" si="728"/>
        <v>758</v>
      </c>
      <c r="AH857" s="35">
        <f t="shared" si="728"/>
        <v>609</v>
      </c>
      <c r="AI857" s="35">
        <f t="shared" si="728"/>
        <v>367</v>
      </c>
      <c r="AJ857" s="35">
        <f t="shared" si="728"/>
        <v>2880</v>
      </c>
      <c r="AK857" s="35">
        <f t="shared" si="728"/>
        <v>618</v>
      </c>
      <c r="AL857" s="35">
        <f t="shared" si="728"/>
        <v>1179</v>
      </c>
      <c r="AM857" s="35">
        <f t="shared" si="728"/>
        <v>536</v>
      </c>
      <c r="AN857" s="35">
        <f t="shared" si="728"/>
        <v>507</v>
      </c>
      <c r="AO857" s="35">
        <f t="shared" si="728"/>
        <v>709</v>
      </c>
      <c r="AP857" s="35">
        <f t="shared" si="728"/>
        <v>608</v>
      </c>
    </row>
    <row r="858" spans="1:42" ht="13">
      <c r="A858" s="36">
        <v>44777</v>
      </c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</row>
    <row r="859" spans="1:42" ht="13">
      <c r="A859" s="36">
        <v>44778</v>
      </c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</row>
    <row r="860" spans="1:42" ht="13">
      <c r="A860" s="36">
        <v>44779</v>
      </c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</row>
    <row r="861" spans="1:42" ht="13">
      <c r="A861" s="36">
        <v>44780</v>
      </c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</row>
    <row r="862" spans="1:42" ht="13">
      <c r="A862" s="36">
        <v>44781</v>
      </c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</row>
    <row r="863" spans="1:42" ht="13">
      <c r="A863" s="36">
        <v>44782</v>
      </c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</row>
    <row r="864" spans="1:42" ht="13">
      <c r="A864" s="36">
        <v>44783</v>
      </c>
      <c r="B864" s="35">
        <v>100540</v>
      </c>
      <c r="C864" s="35">
        <v>84481</v>
      </c>
      <c r="D864" s="35">
        <v>58810</v>
      </c>
      <c r="E864" s="35">
        <v>115725</v>
      </c>
      <c r="F864" s="35">
        <v>361372</v>
      </c>
      <c r="G864" s="35">
        <v>84440</v>
      </c>
      <c r="H864" s="35">
        <v>82455</v>
      </c>
      <c r="I864" s="35">
        <v>107880</v>
      </c>
      <c r="J864" s="35">
        <v>104284</v>
      </c>
      <c r="K864" s="35">
        <v>55300</v>
      </c>
      <c r="L864" s="35">
        <v>70448</v>
      </c>
      <c r="M864" s="35">
        <v>61910</v>
      </c>
      <c r="N864" s="35">
        <v>43183</v>
      </c>
      <c r="O864" s="35">
        <v>272483</v>
      </c>
      <c r="P864" s="35">
        <v>62795</v>
      </c>
      <c r="Q864" s="35">
        <v>109222</v>
      </c>
      <c r="R864" s="35">
        <v>42586</v>
      </c>
      <c r="S864" s="35">
        <v>57225</v>
      </c>
      <c r="T864" s="35">
        <v>77629</v>
      </c>
      <c r="U864" s="35">
        <v>52631</v>
      </c>
      <c r="V864" s="35">
        <f>SUM(B864:U864)</f>
        <v>2005399</v>
      </c>
      <c r="W864" s="35">
        <f t="shared" ref="W864:AP864" si="729">B864-B857</f>
        <v>1041</v>
      </c>
      <c r="X864" s="35">
        <f t="shared" si="729"/>
        <v>850</v>
      </c>
      <c r="Y864" s="35">
        <f t="shared" si="729"/>
        <v>899</v>
      </c>
      <c r="Z864" s="35">
        <f t="shared" si="729"/>
        <v>1088</v>
      </c>
      <c r="AA864" s="35">
        <f t="shared" si="729"/>
        <v>2637</v>
      </c>
      <c r="AB864" s="35">
        <f t="shared" si="729"/>
        <v>903</v>
      </c>
      <c r="AC864" s="35">
        <f t="shared" si="729"/>
        <v>763</v>
      </c>
      <c r="AD864" s="35">
        <f t="shared" si="729"/>
        <v>884</v>
      </c>
      <c r="AE864" s="35">
        <f t="shared" si="729"/>
        <v>979</v>
      </c>
      <c r="AF864" s="35">
        <f t="shared" si="729"/>
        <v>595</v>
      </c>
      <c r="AG864" s="35">
        <f t="shared" si="729"/>
        <v>813</v>
      </c>
      <c r="AH864" s="35">
        <f t="shared" si="729"/>
        <v>385</v>
      </c>
      <c r="AI864" s="35">
        <f t="shared" si="729"/>
        <v>344</v>
      </c>
      <c r="AJ864" s="35">
        <f t="shared" si="729"/>
        <v>2141</v>
      </c>
      <c r="AK864" s="35">
        <f t="shared" si="729"/>
        <v>551</v>
      </c>
      <c r="AL864" s="35">
        <f t="shared" si="729"/>
        <v>1329</v>
      </c>
      <c r="AM864" s="35">
        <f t="shared" si="729"/>
        <v>504</v>
      </c>
      <c r="AN864" s="35">
        <f t="shared" si="729"/>
        <v>315</v>
      </c>
      <c r="AO864" s="35">
        <f t="shared" si="729"/>
        <v>546</v>
      </c>
      <c r="AP864" s="35">
        <f t="shared" si="729"/>
        <v>511</v>
      </c>
    </row>
    <row r="865" spans="1:42" ht="13">
      <c r="A865" s="36">
        <v>44784</v>
      </c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</row>
    <row r="866" spans="1:42" ht="13">
      <c r="A866" s="36">
        <v>44785</v>
      </c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</row>
    <row r="867" spans="1:42" ht="13">
      <c r="A867" s="36">
        <v>44786</v>
      </c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</row>
    <row r="868" spans="1:42" ht="13">
      <c r="A868" s="36">
        <v>44787</v>
      </c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</row>
    <row r="869" spans="1:42" ht="13">
      <c r="A869" s="36">
        <v>44788</v>
      </c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</row>
    <row r="870" spans="1:42" ht="13">
      <c r="A870" s="36">
        <v>44789</v>
      </c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</row>
    <row r="871" spans="1:42" ht="13">
      <c r="A871" s="36">
        <v>44790</v>
      </c>
      <c r="B871" s="35">
        <v>101529</v>
      </c>
      <c r="C871" s="35">
        <v>85330</v>
      </c>
      <c r="D871" s="35">
        <v>59727</v>
      </c>
      <c r="E871" s="35">
        <v>116738</v>
      </c>
      <c r="F871" s="35">
        <v>363503</v>
      </c>
      <c r="G871" s="35">
        <v>85446</v>
      </c>
      <c r="H871" s="35">
        <v>83091</v>
      </c>
      <c r="I871" s="35">
        <v>108652</v>
      </c>
      <c r="J871" s="35">
        <v>105198</v>
      </c>
      <c r="K871" s="35">
        <v>55841</v>
      </c>
      <c r="L871" s="35">
        <v>71173</v>
      </c>
      <c r="M871" s="35">
        <v>62253</v>
      </c>
      <c r="N871" s="35">
        <v>43536</v>
      </c>
      <c r="O871" s="35">
        <v>274201</v>
      </c>
      <c r="P871" s="35">
        <v>63358</v>
      </c>
      <c r="Q871" s="35">
        <v>110412</v>
      </c>
      <c r="R871" s="35">
        <v>43061</v>
      </c>
      <c r="S871" s="35">
        <v>57474</v>
      </c>
      <c r="T871" s="35">
        <v>78081</v>
      </c>
      <c r="U871" s="35">
        <v>53044</v>
      </c>
      <c r="V871" s="35">
        <f>SUM(B871:U871)</f>
        <v>2021648</v>
      </c>
      <c r="W871" s="35">
        <f t="shared" ref="W871:AP871" si="730">B871-B864</f>
        <v>989</v>
      </c>
      <c r="X871" s="35">
        <f t="shared" si="730"/>
        <v>849</v>
      </c>
      <c r="Y871" s="35">
        <f t="shared" si="730"/>
        <v>917</v>
      </c>
      <c r="Z871" s="35">
        <f t="shared" si="730"/>
        <v>1013</v>
      </c>
      <c r="AA871" s="35">
        <f t="shared" si="730"/>
        <v>2131</v>
      </c>
      <c r="AB871" s="35">
        <f t="shared" si="730"/>
        <v>1006</v>
      </c>
      <c r="AC871" s="35">
        <f t="shared" si="730"/>
        <v>636</v>
      </c>
      <c r="AD871" s="35">
        <f t="shared" si="730"/>
        <v>772</v>
      </c>
      <c r="AE871" s="35">
        <f t="shared" si="730"/>
        <v>914</v>
      </c>
      <c r="AF871" s="35">
        <f t="shared" si="730"/>
        <v>541</v>
      </c>
      <c r="AG871" s="35">
        <f t="shared" si="730"/>
        <v>725</v>
      </c>
      <c r="AH871" s="35">
        <f t="shared" si="730"/>
        <v>343</v>
      </c>
      <c r="AI871" s="35">
        <f t="shared" si="730"/>
        <v>353</v>
      </c>
      <c r="AJ871" s="35">
        <f t="shared" si="730"/>
        <v>1718</v>
      </c>
      <c r="AK871" s="35">
        <f t="shared" si="730"/>
        <v>563</v>
      </c>
      <c r="AL871" s="35">
        <f t="shared" si="730"/>
        <v>1190</v>
      </c>
      <c r="AM871" s="35">
        <f t="shared" si="730"/>
        <v>475</v>
      </c>
      <c r="AN871" s="35">
        <f t="shared" si="730"/>
        <v>249</v>
      </c>
      <c r="AO871" s="35">
        <f t="shared" si="730"/>
        <v>452</v>
      </c>
      <c r="AP871" s="35">
        <f t="shared" si="730"/>
        <v>413</v>
      </c>
    </row>
    <row r="872" spans="1:42" ht="13">
      <c r="A872" s="36">
        <v>44791</v>
      </c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</row>
    <row r="873" spans="1:42" ht="13">
      <c r="A873" s="36">
        <v>44792</v>
      </c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</row>
    <row r="874" spans="1:42" ht="13">
      <c r="A874" s="36">
        <v>44793</v>
      </c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</row>
    <row r="875" spans="1:42" ht="13">
      <c r="A875" s="36">
        <v>44794</v>
      </c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</row>
    <row r="876" spans="1:42" ht="13">
      <c r="A876" s="36">
        <v>44795</v>
      </c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</row>
    <row r="877" spans="1:42" ht="13">
      <c r="A877" s="36">
        <v>44796</v>
      </c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</row>
    <row r="878" spans="1:42" ht="13">
      <c r="A878" s="36">
        <v>44797</v>
      </c>
      <c r="B878" s="35">
        <v>102423</v>
      </c>
      <c r="C878" s="35">
        <v>86171</v>
      </c>
      <c r="D878" s="35">
        <v>60444</v>
      </c>
      <c r="E878" s="35">
        <v>117778</v>
      </c>
      <c r="F878" s="35">
        <v>365420</v>
      </c>
      <c r="G878" s="35">
        <v>86295</v>
      </c>
      <c r="H878" s="35">
        <v>83637</v>
      </c>
      <c r="I878" s="35">
        <v>109299</v>
      </c>
      <c r="J878" s="35">
        <v>105943</v>
      </c>
      <c r="K878" s="35">
        <v>56363</v>
      </c>
      <c r="L878" s="35">
        <v>71781</v>
      </c>
      <c r="M878" s="35">
        <v>62545</v>
      </c>
      <c r="N878" s="35">
        <v>43942</v>
      </c>
      <c r="O878" s="35">
        <v>275699</v>
      </c>
      <c r="P878" s="35">
        <v>63854</v>
      </c>
      <c r="Q878" s="35">
        <v>111607</v>
      </c>
      <c r="R878" s="35">
        <v>43460</v>
      </c>
      <c r="S878" s="35">
        <v>57747</v>
      </c>
      <c r="T878" s="35">
        <v>78544</v>
      </c>
      <c r="U878" s="35">
        <v>53438</v>
      </c>
      <c r="V878" s="35">
        <f>SUM(B878:U878)</f>
        <v>2036390</v>
      </c>
      <c r="W878" s="35">
        <f t="shared" ref="W878:AP878" si="731">B878-B871</f>
        <v>894</v>
      </c>
      <c r="X878" s="35">
        <f t="shared" si="731"/>
        <v>841</v>
      </c>
      <c r="Y878" s="35">
        <f t="shared" si="731"/>
        <v>717</v>
      </c>
      <c r="Z878" s="35">
        <f t="shared" si="731"/>
        <v>1040</v>
      </c>
      <c r="AA878" s="35">
        <f t="shared" si="731"/>
        <v>1917</v>
      </c>
      <c r="AB878" s="35">
        <f t="shared" si="731"/>
        <v>849</v>
      </c>
      <c r="AC878" s="35">
        <f t="shared" si="731"/>
        <v>546</v>
      </c>
      <c r="AD878" s="35">
        <f t="shared" si="731"/>
        <v>647</v>
      </c>
      <c r="AE878" s="35">
        <f t="shared" si="731"/>
        <v>745</v>
      </c>
      <c r="AF878" s="35">
        <f t="shared" si="731"/>
        <v>522</v>
      </c>
      <c r="AG878" s="35">
        <f t="shared" si="731"/>
        <v>608</v>
      </c>
      <c r="AH878" s="35">
        <f t="shared" si="731"/>
        <v>292</v>
      </c>
      <c r="AI878" s="35">
        <f t="shared" si="731"/>
        <v>406</v>
      </c>
      <c r="AJ878" s="35">
        <f t="shared" si="731"/>
        <v>1498</v>
      </c>
      <c r="AK878" s="35">
        <f t="shared" si="731"/>
        <v>496</v>
      </c>
      <c r="AL878" s="35">
        <f t="shared" si="731"/>
        <v>1195</v>
      </c>
      <c r="AM878" s="35">
        <f t="shared" si="731"/>
        <v>399</v>
      </c>
      <c r="AN878" s="35">
        <f t="shared" si="731"/>
        <v>273</v>
      </c>
      <c r="AO878" s="35">
        <f t="shared" si="731"/>
        <v>463</v>
      </c>
      <c r="AP878" s="35">
        <f t="shared" si="731"/>
        <v>394</v>
      </c>
    </row>
    <row r="879" spans="1:42" ht="13">
      <c r="A879" s="36">
        <v>44798</v>
      </c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</row>
    <row r="880" spans="1:42" ht="13">
      <c r="A880" s="36">
        <v>44799</v>
      </c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</row>
    <row r="881" spans="1:42" ht="13">
      <c r="A881" s="36">
        <v>44800</v>
      </c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</row>
    <row r="882" spans="1:42" ht="13">
      <c r="A882" s="36">
        <v>44801</v>
      </c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</row>
    <row r="883" spans="1:42" ht="13">
      <c r="A883" s="36">
        <v>44802</v>
      </c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</row>
    <row r="884" spans="1:42" ht="13">
      <c r="A884" s="36">
        <v>44803</v>
      </c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</row>
    <row r="885" spans="1:42" ht="13">
      <c r="A885" s="36">
        <v>44804</v>
      </c>
      <c r="B885" s="35">
        <v>103191</v>
      </c>
      <c r="C885" s="35">
        <v>86967</v>
      </c>
      <c r="D885" s="35">
        <v>61023</v>
      </c>
      <c r="E885" s="35">
        <v>118589</v>
      </c>
      <c r="F885" s="35">
        <v>366905</v>
      </c>
      <c r="G885" s="35">
        <v>86948</v>
      </c>
      <c r="H885" s="35">
        <v>84058</v>
      </c>
      <c r="I885" s="35">
        <v>109851</v>
      </c>
      <c r="J885" s="35">
        <v>106513</v>
      </c>
      <c r="K885" s="35">
        <v>56769</v>
      </c>
      <c r="L885" s="35">
        <v>72283</v>
      </c>
      <c r="M885" s="35">
        <v>62833</v>
      </c>
      <c r="N885" s="35">
        <v>44253</v>
      </c>
      <c r="O885" s="35">
        <v>277042</v>
      </c>
      <c r="P885" s="35">
        <v>64310</v>
      </c>
      <c r="Q885" s="35">
        <v>112522</v>
      </c>
      <c r="R885" s="35">
        <v>43783</v>
      </c>
      <c r="S885" s="35">
        <v>57967</v>
      </c>
      <c r="T885" s="35">
        <v>78906</v>
      </c>
      <c r="U885" s="35">
        <v>53834</v>
      </c>
      <c r="V885" s="35">
        <f>SUM(B885:U885)</f>
        <v>2048547</v>
      </c>
      <c r="W885" s="35">
        <f t="shared" ref="W885:AP885" si="732">B885-B878</f>
        <v>768</v>
      </c>
      <c r="X885" s="35">
        <f t="shared" si="732"/>
        <v>796</v>
      </c>
      <c r="Y885" s="35">
        <f t="shared" si="732"/>
        <v>579</v>
      </c>
      <c r="Z885" s="35">
        <f t="shared" si="732"/>
        <v>811</v>
      </c>
      <c r="AA885" s="35">
        <f t="shared" si="732"/>
        <v>1485</v>
      </c>
      <c r="AB885" s="35">
        <f t="shared" si="732"/>
        <v>653</v>
      </c>
      <c r="AC885" s="35">
        <f t="shared" si="732"/>
        <v>421</v>
      </c>
      <c r="AD885" s="35">
        <f t="shared" si="732"/>
        <v>552</v>
      </c>
      <c r="AE885" s="35">
        <f t="shared" si="732"/>
        <v>570</v>
      </c>
      <c r="AF885" s="35">
        <f t="shared" si="732"/>
        <v>406</v>
      </c>
      <c r="AG885" s="35">
        <f t="shared" si="732"/>
        <v>502</v>
      </c>
      <c r="AH885" s="35">
        <f t="shared" si="732"/>
        <v>288</v>
      </c>
      <c r="AI885" s="35">
        <f t="shared" si="732"/>
        <v>311</v>
      </c>
      <c r="AJ885" s="35">
        <f t="shared" si="732"/>
        <v>1343</v>
      </c>
      <c r="AK885" s="35">
        <f t="shared" si="732"/>
        <v>456</v>
      </c>
      <c r="AL885" s="35">
        <f t="shared" si="732"/>
        <v>915</v>
      </c>
      <c r="AM885" s="35">
        <f t="shared" si="732"/>
        <v>323</v>
      </c>
      <c r="AN885" s="35">
        <f t="shared" si="732"/>
        <v>220</v>
      </c>
      <c r="AO885" s="35">
        <f t="shared" si="732"/>
        <v>362</v>
      </c>
      <c r="AP885" s="35">
        <f t="shared" si="732"/>
        <v>396</v>
      </c>
    </row>
    <row r="886" spans="1:42" ht="13">
      <c r="A886" s="36">
        <v>44805</v>
      </c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</row>
    <row r="887" spans="1:42" ht="13">
      <c r="A887" s="36">
        <v>44806</v>
      </c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</row>
    <row r="888" spans="1:42" ht="13">
      <c r="A888" s="36">
        <v>44807</v>
      </c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</row>
    <row r="889" spans="1:42" ht="13">
      <c r="A889" s="36">
        <v>44808</v>
      </c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</row>
    <row r="890" spans="1:42" ht="13">
      <c r="A890" s="36">
        <v>44809</v>
      </c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</row>
    <row r="891" spans="1:42" ht="13">
      <c r="A891" s="36">
        <v>44810</v>
      </c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</row>
    <row r="892" spans="1:42" ht="13">
      <c r="A892" s="36">
        <v>44811</v>
      </c>
      <c r="B892" s="35">
        <v>103819</v>
      </c>
      <c r="C892" s="35">
        <v>87727</v>
      </c>
      <c r="D892" s="35">
        <v>61478</v>
      </c>
      <c r="E892" s="35">
        <v>119272</v>
      </c>
      <c r="F892" s="35">
        <v>368122</v>
      </c>
      <c r="G892" s="35">
        <v>87621</v>
      </c>
      <c r="H892" s="35">
        <v>84386</v>
      </c>
      <c r="I892" s="35">
        <v>110346</v>
      </c>
      <c r="J892" s="35">
        <v>106968</v>
      </c>
      <c r="K892" s="35">
        <v>57091</v>
      </c>
      <c r="L892" s="35">
        <v>72677</v>
      </c>
      <c r="M892" s="35">
        <v>63073</v>
      </c>
      <c r="N892" s="35">
        <v>44484</v>
      </c>
      <c r="O892" s="35">
        <v>278148</v>
      </c>
      <c r="P892" s="35">
        <v>64748</v>
      </c>
      <c r="Q892" s="35">
        <v>113284</v>
      </c>
      <c r="R892" s="35">
        <v>44028</v>
      </c>
      <c r="S892" s="35">
        <v>58177</v>
      </c>
      <c r="T892" s="35">
        <v>79234</v>
      </c>
      <c r="U892" s="35">
        <v>54164</v>
      </c>
      <c r="V892" s="35">
        <f>SUM(B892:U892)</f>
        <v>2058847</v>
      </c>
      <c r="W892" s="35">
        <f t="shared" ref="W892:AP892" si="733">B892-B885</f>
        <v>628</v>
      </c>
      <c r="X892" s="35">
        <f t="shared" si="733"/>
        <v>760</v>
      </c>
      <c r="Y892" s="35">
        <f t="shared" si="733"/>
        <v>455</v>
      </c>
      <c r="Z892" s="35">
        <f t="shared" si="733"/>
        <v>683</v>
      </c>
      <c r="AA892" s="35">
        <f t="shared" si="733"/>
        <v>1217</v>
      </c>
      <c r="AB892" s="35">
        <f t="shared" si="733"/>
        <v>673</v>
      </c>
      <c r="AC892" s="35">
        <f t="shared" si="733"/>
        <v>328</v>
      </c>
      <c r="AD892" s="35">
        <f t="shared" si="733"/>
        <v>495</v>
      </c>
      <c r="AE892" s="35">
        <f t="shared" si="733"/>
        <v>455</v>
      </c>
      <c r="AF892" s="35">
        <f t="shared" si="733"/>
        <v>322</v>
      </c>
      <c r="AG892" s="35">
        <f t="shared" si="733"/>
        <v>394</v>
      </c>
      <c r="AH892" s="35">
        <f t="shared" si="733"/>
        <v>240</v>
      </c>
      <c r="AI892" s="35">
        <f t="shared" si="733"/>
        <v>231</v>
      </c>
      <c r="AJ892" s="35">
        <f t="shared" si="733"/>
        <v>1106</v>
      </c>
      <c r="AK892" s="35">
        <f t="shared" si="733"/>
        <v>438</v>
      </c>
      <c r="AL892" s="35">
        <f t="shared" si="733"/>
        <v>762</v>
      </c>
      <c r="AM892" s="35">
        <f t="shared" si="733"/>
        <v>245</v>
      </c>
      <c r="AN892" s="35">
        <f t="shared" si="733"/>
        <v>210</v>
      </c>
      <c r="AO892" s="35">
        <f t="shared" si="733"/>
        <v>328</v>
      </c>
      <c r="AP892" s="35">
        <f t="shared" si="733"/>
        <v>330</v>
      </c>
    </row>
    <row r="893" spans="1:42" ht="13">
      <c r="A893" s="36">
        <v>44812</v>
      </c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</row>
    <row r="894" spans="1:42" ht="13">
      <c r="A894" s="36">
        <v>44813</v>
      </c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</row>
    <row r="895" spans="1:42" ht="13">
      <c r="A895" s="36">
        <v>44814</v>
      </c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</row>
    <row r="896" spans="1:42" ht="13">
      <c r="A896" s="36">
        <v>44815</v>
      </c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</row>
    <row r="897" spans="1:42" ht="13">
      <c r="A897" s="36">
        <v>44816</v>
      </c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</row>
    <row r="898" spans="1:42" ht="13">
      <c r="A898" s="36">
        <v>44817</v>
      </c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</row>
    <row r="899" spans="1:42" ht="13">
      <c r="A899" s="36">
        <v>44818</v>
      </c>
      <c r="B899" s="35">
        <v>104539</v>
      </c>
      <c r="C899" s="35">
        <v>88576</v>
      </c>
      <c r="D899" s="35">
        <v>62042</v>
      </c>
      <c r="E899" s="35">
        <v>120027</v>
      </c>
      <c r="F899" s="35">
        <v>369280</v>
      </c>
      <c r="G899" s="35">
        <v>88336</v>
      </c>
      <c r="H899" s="35">
        <v>84743</v>
      </c>
      <c r="I899" s="35">
        <v>110828</v>
      </c>
      <c r="J899" s="35">
        <v>107573</v>
      </c>
      <c r="K899" s="35">
        <v>57446</v>
      </c>
      <c r="L899" s="35">
        <v>73158</v>
      </c>
      <c r="M899" s="35">
        <v>63320</v>
      </c>
      <c r="N899" s="35">
        <v>44702</v>
      </c>
      <c r="O899" s="35">
        <v>279321</v>
      </c>
      <c r="P899" s="35">
        <v>65233</v>
      </c>
      <c r="Q899" s="35">
        <v>114435</v>
      </c>
      <c r="R899" s="35">
        <v>44358</v>
      </c>
      <c r="S899" s="35">
        <v>58401</v>
      </c>
      <c r="T899" s="35">
        <v>79555</v>
      </c>
      <c r="U899" s="35">
        <v>54570</v>
      </c>
      <c r="V899" s="35">
        <f>SUM(B899:U899)</f>
        <v>2070443</v>
      </c>
      <c r="W899" s="35">
        <f t="shared" ref="W899:AP899" si="734">B899-B892</f>
        <v>720</v>
      </c>
      <c r="X899" s="35">
        <f t="shared" si="734"/>
        <v>849</v>
      </c>
      <c r="Y899" s="35">
        <f t="shared" si="734"/>
        <v>564</v>
      </c>
      <c r="Z899" s="35">
        <f t="shared" si="734"/>
        <v>755</v>
      </c>
      <c r="AA899" s="35">
        <f t="shared" si="734"/>
        <v>1158</v>
      </c>
      <c r="AB899" s="35">
        <f t="shared" si="734"/>
        <v>715</v>
      </c>
      <c r="AC899" s="35">
        <f t="shared" si="734"/>
        <v>357</v>
      </c>
      <c r="AD899" s="35">
        <f t="shared" si="734"/>
        <v>482</v>
      </c>
      <c r="AE899" s="35">
        <f t="shared" si="734"/>
        <v>605</v>
      </c>
      <c r="AF899" s="35">
        <f t="shared" si="734"/>
        <v>355</v>
      </c>
      <c r="AG899" s="35">
        <f t="shared" si="734"/>
        <v>481</v>
      </c>
      <c r="AH899" s="35">
        <f t="shared" si="734"/>
        <v>247</v>
      </c>
      <c r="AI899" s="35">
        <f t="shared" si="734"/>
        <v>218</v>
      </c>
      <c r="AJ899" s="35">
        <f t="shared" si="734"/>
        <v>1173</v>
      </c>
      <c r="AK899" s="35">
        <f t="shared" si="734"/>
        <v>485</v>
      </c>
      <c r="AL899" s="35">
        <f t="shared" si="734"/>
        <v>1151</v>
      </c>
      <c r="AM899" s="35">
        <f t="shared" si="734"/>
        <v>330</v>
      </c>
      <c r="AN899" s="35">
        <f t="shared" si="734"/>
        <v>224</v>
      </c>
      <c r="AO899" s="35">
        <f t="shared" si="734"/>
        <v>321</v>
      </c>
      <c r="AP899" s="35">
        <f t="shared" si="734"/>
        <v>406</v>
      </c>
    </row>
    <row r="900" spans="1:42" ht="13">
      <c r="A900" s="36">
        <v>44819</v>
      </c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</row>
    <row r="901" spans="1:42" ht="13">
      <c r="A901" s="36">
        <v>44820</v>
      </c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</row>
    <row r="902" spans="1:42" ht="13">
      <c r="A902" s="36">
        <v>44821</v>
      </c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</row>
    <row r="903" spans="1:42" ht="13">
      <c r="A903" s="36">
        <v>44822</v>
      </c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</row>
    <row r="904" spans="1:42" ht="13">
      <c r="A904" s="36">
        <v>44823</v>
      </c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</row>
    <row r="905" spans="1:42" ht="13">
      <c r="A905" s="36">
        <v>44824</v>
      </c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</row>
    <row r="906" spans="1:42" ht="13">
      <c r="A906" s="36">
        <v>44825</v>
      </c>
      <c r="B906" s="35">
        <v>105295</v>
      </c>
      <c r="C906" s="35">
        <v>89377</v>
      </c>
      <c r="D906" s="35">
        <v>62675</v>
      </c>
      <c r="E906" s="35">
        <v>120809</v>
      </c>
      <c r="F906" s="35">
        <v>370450</v>
      </c>
      <c r="G906" s="35">
        <v>89096</v>
      </c>
      <c r="H906" s="35">
        <v>85147</v>
      </c>
      <c r="I906" s="35">
        <v>111413</v>
      </c>
      <c r="J906" s="35">
        <v>108267</v>
      </c>
      <c r="K906" s="35">
        <v>57804</v>
      </c>
      <c r="L906" s="35">
        <v>73593</v>
      </c>
      <c r="M906" s="35">
        <v>63551</v>
      </c>
      <c r="N906" s="35">
        <v>44954</v>
      </c>
      <c r="O906" s="35">
        <v>280539</v>
      </c>
      <c r="P906" s="35">
        <v>65803</v>
      </c>
      <c r="Q906" s="35">
        <v>115703</v>
      </c>
      <c r="R906" s="35">
        <v>44755</v>
      </c>
      <c r="S906" s="35">
        <v>58658</v>
      </c>
      <c r="T906" s="35">
        <v>79852</v>
      </c>
      <c r="U906" s="35">
        <v>55009</v>
      </c>
      <c r="V906" s="35">
        <f>SUM(B906:U906)</f>
        <v>2082750</v>
      </c>
      <c r="W906" s="35">
        <f t="shared" ref="W906:AP906" si="735">B906-B899</f>
        <v>756</v>
      </c>
      <c r="X906" s="35">
        <f t="shared" si="735"/>
        <v>801</v>
      </c>
      <c r="Y906" s="35">
        <f t="shared" si="735"/>
        <v>633</v>
      </c>
      <c r="Z906" s="35">
        <f t="shared" si="735"/>
        <v>782</v>
      </c>
      <c r="AA906" s="35">
        <f t="shared" si="735"/>
        <v>1170</v>
      </c>
      <c r="AB906" s="35">
        <f t="shared" si="735"/>
        <v>760</v>
      </c>
      <c r="AC906" s="35">
        <f t="shared" si="735"/>
        <v>404</v>
      </c>
      <c r="AD906" s="35">
        <f t="shared" si="735"/>
        <v>585</v>
      </c>
      <c r="AE906" s="35">
        <f t="shared" si="735"/>
        <v>694</v>
      </c>
      <c r="AF906" s="35">
        <f t="shared" si="735"/>
        <v>358</v>
      </c>
      <c r="AG906" s="35">
        <f t="shared" si="735"/>
        <v>435</v>
      </c>
      <c r="AH906" s="35">
        <f t="shared" si="735"/>
        <v>231</v>
      </c>
      <c r="AI906" s="35">
        <f t="shared" si="735"/>
        <v>252</v>
      </c>
      <c r="AJ906" s="35">
        <f t="shared" si="735"/>
        <v>1218</v>
      </c>
      <c r="AK906" s="35">
        <f t="shared" si="735"/>
        <v>570</v>
      </c>
      <c r="AL906" s="35">
        <f t="shared" si="735"/>
        <v>1268</v>
      </c>
      <c r="AM906" s="35">
        <f t="shared" si="735"/>
        <v>397</v>
      </c>
      <c r="AN906" s="35">
        <f t="shared" si="735"/>
        <v>257</v>
      </c>
      <c r="AO906" s="35">
        <f t="shared" si="735"/>
        <v>297</v>
      </c>
      <c r="AP906" s="35">
        <f t="shared" si="735"/>
        <v>439</v>
      </c>
    </row>
    <row r="907" spans="1:42" ht="13">
      <c r="A907" s="36">
        <v>44826</v>
      </c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</row>
    <row r="908" spans="1:42" ht="13">
      <c r="A908" s="36">
        <v>44827</v>
      </c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</row>
    <row r="909" spans="1:42" ht="13">
      <c r="A909" s="36">
        <v>44828</v>
      </c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</row>
    <row r="910" spans="1:42" ht="13">
      <c r="A910" s="36">
        <v>44829</v>
      </c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</row>
    <row r="911" spans="1:42" ht="13">
      <c r="A911" s="36">
        <v>44830</v>
      </c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</row>
    <row r="912" spans="1:42" ht="13">
      <c r="A912" s="36">
        <v>44831</v>
      </c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</row>
    <row r="913" spans="1:42" ht="13">
      <c r="A913" s="36">
        <v>44832</v>
      </c>
      <c r="B913" s="35">
        <v>105943</v>
      </c>
      <c r="C913" s="35">
        <v>90094</v>
      </c>
      <c r="D913" s="35">
        <v>63175</v>
      </c>
      <c r="E913" s="35">
        <v>121636</v>
      </c>
      <c r="F913" s="35">
        <v>371730</v>
      </c>
      <c r="G913" s="35">
        <v>89779</v>
      </c>
      <c r="H913" s="35">
        <v>85505</v>
      </c>
      <c r="I913" s="35">
        <v>111944</v>
      </c>
      <c r="J913" s="35">
        <v>108865</v>
      </c>
      <c r="K913" s="35">
        <v>58197</v>
      </c>
      <c r="L913" s="35">
        <v>73951</v>
      </c>
      <c r="M913" s="35">
        <v>63797</v>
      </c>
      <c r="N913" s="35">
        <v>45121</v>
      </c>
      <c r="O913" s="35">
        <v>281643</v>
      </c>
      <c r="P913" s="35">
        <v>66328</v>
      </c>
      <c r="Q913" s="35">
        <v>116692</v>
      </c>
      <c r="R913" s="35">
        <v>45171</v>
      </c>
      <c r="S913" s="35">
        <v>58960</v>
      </c>
      <c r="T913" s="35">
        <v>80219</v>
      </c>
      <c r="U913" s="35">
        <v>55392</v>
      </c>
      <c r="V913" s="35">
        <f>SUM(B913:U913)</f>
        <v>2094142</v>
      </c>
      <c r="W913" s="35">
        <f t="shared" ref="W913:AP913" si="736">B913-B906</f>
        <v>648</v>
      </c>
      <c r="X913" s="35">
        <f t="shared" si="736"/>
        <v>717</v>
      </c>
      <c r="Y913" s="35">
        <f t="shared" si="736"/>
        <v>500</v>
      </c>
      <c r="Z913" s="35">
        <f t="shared" si="736"/>
        <v>827</v>
      </c>
      <c r="AA913" s="35">
        <f t="shared" si="736"/>
        <v>1280</v>
      </c>
      <c r="AB913" s="35">
        <f t="shared" si="736"/>
        <v>683</v>
      </c>
      <c r="AC913" s="35">
        <f t="shared" si="736"/>
        <v>358</v>
      </c>
      <c r="AD913" s="35">
        <f t="shared" si="736"/>
        <v>531</v>
      </c>
      <c r="AE913" s="35">
        <f t="shared" si="736"/>
        <v>598</v>
      </c>
      <c r="AF913" s="35">
        <f t="shared" si="736"/>
        <v>393</v>
      </c>
      <c r="AG913" s="35">
        <f t="shared" si="736"/>
        <v>358</v>
      </c>
      <c r="AH913" s="35">
        <f t="shared" si="736"/>
        <v>246</v>
      </c>
      <c r="AI913" s="35">
        <f t="shared" si="736"/>
        <v>167</v>
      </c>
      <c r="AJ913" s="35">
        <f t="shared" si="736"/>
        <v>1104</v>
      </c>
      <c r="AK913" s="35">
        <f t="shared" si="736"/>
        <v>525</v>
      </c>
      <c r="AL913" s="35">
        <f t="shared" si="736"/>
        <v>989</v>
      </c>
      <c r="AM913" s="35">
        <f t="shared" si="736"/>
        <v>416</v>
      </c>
      <c r="AN913" s="35">
        <f t="shared" si="736"/>
        <v>302</v>
      </c>
      <c r="AO913" s="35">
        <f t="shared" si="736"/>
        <v>367</v>
      </c>
      <c r="AP913" s="35">
        <f t="shared" si="736"/>
        <v>383</v>
      </c>
    </row>
    <row r="914" spans="1:42" ht="13">
      <c r="A914" s="36">
        <v>44833</v>
      </c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</row>
    <row r="915" spans="1:42" ht="13">
      <c r="A915" s="36">
        <v>44834</v>
      </c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</row>
    <row r="916" spans="1:42" ht="13">
      <c r="A916" s="36">
        <v>44835</v>
      </c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</row>
    <row r="917" spans="1:42" ht="13">
      <c r="A917" s="36">
        <v>44836</v>
      </c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</row>
    <row r="918" spans="1:42" ht="13">
      <c r="A918" s="36">
        <v>44837</v>
      </c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</row>
    <row r="919" spans="1:42" ht="13">
      <c r="A919" s="36">
        <v>44838</v>
      </c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</row>
    <row r="920" spans="1:42" ht="13">
      <c r="A920" s="36">
        <v>44839</v>
      </c>
      <c r="B920" s="35">
        <v>106697</v>
      </c>
      <c r="C920" s="35">
        <v>91066</v>
      </c>
      <c r="D920" s="35">
        <v>63706</v>
      </c>
      <c r="E920" s="35">
        <v>122542</v>
      </c>
      <c r="F920" s="35">
        <v>373529</v>
      </c>
      <c r="G920" s="35">
        <v>90522</v>
      </c>
      <c r="H920" s="35">
        <v>85924</v>
      </c>
      <c r="I920" s="35">
        <v>112788</v>
      </c>
      <c r="J920" s="35">
        <v>109560</v>
      </c>
      <c r="K920" s="35">
        <v>58595</v>
      </c>
      <c r="L920" s="35">
        <v>74424</v>
      </c>
      <c r="M920" s="35">
        <v>64144</v>
      </c>
      <c r="N920" s="35">
        <v>45333</v>
      </c>
      <c r="O920" s="35">
        <v>282963</v>
      </c>
      <c r="P920" s="35">
        <v>66919</v>
      </c>
      <c r="Q920" s="35">
        <v>117601</v>
      </c>
      <c r="R920" s="35">
        <v>45682</v>
      </c>
      <c r="S920" s="35">
        <v>59299</v>
      </c>
      <c r="T920" s="35">
        <v>80718</v>
      </c>
      <c r="U920" s="35">
        <v>55895</v>
      </c>
      <c r="V920" s="35">
        <f>SUM(B920:U920)</f>
        <v>2107907</v>
      </c>
      <c r="W920" s="35">
        <f t="shared" ref="W920:AP920" si="737">B920-B913</f>
        <v>754</v>
      </c>
      <c r="X920" s="35">
        <f t="shared" si="737"/>
        <v>972</v>
      </c>
      <c r="Y920" s="35">
        <f t="shared" si="737"/>
        <v>531</v>
      </c>
      <c r="Z920" s="35">
        <f t="shared" si="737"/>
        <v>906</v>
      </c>
      <c r="AA920" s="35">
        <f t="shared" si="737"/>
        <v>1799</v>
      </c>
      <c r="AB920" s="35">
        <f t="shared" si="737"/>
        <v>743</v>
      </c>
      <c r="AC920" s="35">
        <f t="shared" si="737"/>
        <v>419</v>
      </c>
      <c r="AD920" s="35">
        <f t="shared" si="737"/>
        <v>844</v>
      </c>
      <c r="AE920" s="35">
        <f t="shared" si="737"/>
        <v>695</v>
      </c>
      <c r="AF920" s="35">
        <f t="shared" si="737"/>
        <v>398</v>
      </c>
      <c r="AG920" s="35">
        <f t="shared" si="737"/>
        <v>473</v>
      </c>
      <c r="AH920" s="35">
        <f t="shared" si="737"/>
        <v>347</v>
      </c>
      <c r="AI920" s="35">
        <f t="shared" si="737"/>
        <v>212</v>
      </c>
      <c r="AJ920" s="35">
        <f t="shared" si="737"/>
        <v>1320</v>
      </c>
      <c r="AK920" s="35">
        <f t="shared" si="737"/>
        <v>591</v>
      </c>
      <c r="AL920" s="35">
        <f t="shared" si="737"/>
        <v>909</v>
      </c>
      <c r="AM920" s="35">
        <f t="shared" si="737"/>
        <v>511</v>
      </c>
      <c r="AN920" s="35">
        <f t="shared" si="737"/>
        <v>339</v>
      </c>
      <c r="AO920" s="35">
        <f t="shared" si="737"/>
        <v>499</v>
      </c>
      <c r="AP920" s="35">
        <f t="shared" si="737"/>
        <v>503</v>
      </c>
    </row>
    <row r="921" spans="1:42" ht="13">
      <c r="A921" s="36">
        <v>44840</v>
      </c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</row>
    <row r="922" spans="1:42" ht="13">
      <c r="A922" s="36">
        <v>44841</v>
      </c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</row>
    <row r="923" spans="1:42" ht="13">
      <c r="A923" s="36">
        <v>44842</v>
      </c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</row>
    <row r="924" spans="1:42" ht="13">
      <c r="A924" s="36">
        <v>44843</v>
      </c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</row>
    <row r="925" spans="1:42" ht="13">
      <c r="A925" s="36">
        <v>44844</v>
      </c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</row>
    <row r="926" spans="1:42" ht="13">
      <c r="A926" s="36">
        <v>44845</v>
      </c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</row>
    <row r="927" spans="1:42" ht="13">
      <c r="A927" s="36">
        <v>44846</v>
      </c>
      <c r="B927" s="35">
        <v>107365</v>
      </c>
      <c r="C927" s="16">
        <v>91913</v>
      </c>
      <c r="D927" s="35">
        <v>64218</v>
      </c>
      <c r="E927" s="35">
        <v>123333</v>
      </c>
      <c r="F927" s="35">
        <v>375430</v>
      </c>
      <c r="G927" s="35">
        <v>91024</v>
      </c>
      <c r="H927" s="35">
        <v>86360</v>
      </c>
      <c r="I927" s="35">
        <v>113444</v>
      </c>
      <c r="J927" s="35">
        <v>110130</v>
      </c>
      <c r="K927" s="35">
        <v>58939</v>
      </c>
      <c r="L927" s="35">
        <v>74892</v>
      </c>
      <c r="M927" s="35">
        <v>64417</v>
      </c>
      <c r="N927" s="35">
        <v>45539</v>
      </c>
      <c r="O927" s="35">
        <v>284420</v>
      </c>
      <c r="P927" s="35">
        <v>67377</v>
      </c>
      <c r="Q927" s="35">
        <v>118370</v>
      </c>
      <c r="R927" s="35">
        <v>46056</v>
      </c>
      <c r="S927" s="35">
        <v>59603</v>
      </c>
      <c r="T927" s="35">
        <v>81287</v>
      </c>
      <c r="U927" s="35">
        <v>56426</v>
      </c>
      <c r="V927" s="35">
        <f>SUM(B927:U927)</f>
        <v>2120543</v>
      </c>
      <c r="W927" s="35">
        <f t="shared" ref="W927:AP927" si="738">B927-B920</f>
        <v>668</v>
      </c>
      <c r="X927" s="35">
        <f t="shared" si="738"/>
        <v>847</v>
      </c>
      <c r="Y927" s="35">
        <f t="shared" si="738"/>
        <v>512</v>
      </c>
      <c r="Z927" s="35">
        <f t="shared" si="738"/>
        <v>791</v>
      </c>
      <c r="AA927" s="35">
        <f t="shared" si="738"/>
        <v>1901</v>
      </c>
      <c r="AB927" s="35">
        <f t="shared" si="738"/>
        <v>502</v>
      </c>
      <c r="AC927" s="35">
        <f t="shared" si="738"/>
        <v>436</v>
      </c>
      <c r="AD927" s="35">
        <f t="shared" si="738"/>
        <v>656</v>
      </c>
      <c r="AE927" s="35">
        <f t="shared" si="738"/>
        <v>570</v>
      </c>
      <c r="AF927" s="35">
        <f t="shared" si="738"/>
        <v>344</v>
      </c>
      <c r="AG927" s="35">
        <f t="shared" si="738"/>
        <v>468</v>
      </c>
      <c r="AH927" s="35">
        <f t="shared" si="738"/>
        <v>273</v>
      </c>
      <c r="AI927" s="35">
        <f t="shared" si="738"/>
        <v>206</v>
      </c>
      <c r="AJ927" s="35">
        <f t="shared" si="738"/>
        <v>1457</v>
      </c>
      <c r="AK927" s="35">
        <f t="shared" si="738"/>
        <v>458</v>
      </c>
      <c r="AL927" s="35">
        <f t="shared" si="738"/>
        <v>769</v>
      </c>
      <c r="AM927" s="35">
        <f t="shared" si="738"/>
        <v>374</v>
      </c>
      <c r="AN927" s="35">
        <f t="shared" si="738"/>
        <v>304</v>
      </c>
      <c r="AO927" s="35">
        <f t="shared" si="738"/>
        <v>569</v>
      </c>
      <c r="AP927" s="35">
        <f t="shared" si="738"/>
        <v>531</v>
      </c>
    </row>
    <row r="928" spans="1:42" ht="13">
      <c r="A928" s="36">
        <v>44847</v>
      </c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</row>
    <row r="929" spans="1:42" ht="13">
      <c r="A929" s="36">
        <v>44848</v>
      </c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</row>
    <row r="930" spans="1:42" ht="13">
      <c r="A930" s="36">
        <v>44849</v>
      </c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</row>
    <row r="931" spans="1:42" ht="13">
      <c r="A931" s="36">
        <v>44850</v>
      </c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</row>
    <row r="932" spans="1:42" ht="13">
      <c r="A932" s="36">
        <v>44851</v>
      </c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</row>
    <row r="933" spans="1:42" ht="13">
      <c r="A933" s="36">
        <v>44852</v>
      </c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</row>
    <row r="934" spans="1:42" ht="13">
      <c r="A934" s="36">
        <v>44853</v>
      </c>
      <c r="B934" s="35">
        <v>107942</v>
      </c>
      <c r="C934" s="35">
        <v>92571</v>
      </c>
      <c r="D934" s="35">
        <v>64803</v>
      </c>
      <c r="E934" s="35">
        <v>123991</v>
      </c>
      <c r="F934" s="35">
        <v>377249</v>
      </c>
      <c r="G934" s="35">
        <v>91549</v>
      </c>
      <c r="H934" s="35">
        <v>86756</v>
      </c>
      <c r="I934" s="35">
        <v>114218</v>
      </c>
      <c r="J934" s="35">
        <v>110693</v>
      </c>
      <c r="K934" s="35">
        <v>59250</v>
      </c>
      <c r="L934" s="35">
        <v>75257</v>
      </c>
      <c r="M934" s="35">
        <v>64689</v>
      </c>
      <c r="N934" s="35">
        <v>45702</v>
      </c>
      <c r="O934" s="35">
        <v>285801</v>
      </c>
      <c r="P934" s="35">
        <v>67825</v>
      </c>
      <c r="Q934" s="35">
        <v>119042</v>
      </c>
      <c r="R934" s="35">
        <v>46435</v>
      </c>
      <c r="S934" s="35">
        <v>59905</v>
      </c>
      <c r="T934" s="35">
        <v>81836</v>
      </c>
      <c r="U934" s="35">
        <v>56976</v>
      </c>
      <c r="V934" s="35">
        <f>SUM(B934:U934)</f>
        <v>2132490</v>
      </c>
      <c r="W934" s="35">
        <f t="shared" ref="W934:AP934" si="739">B934-B927</f>
        <v>577</v>
      </c>
      <c r="X934" s="35">
        <f t="shared" si="739"/>
        <v>658</v>
      </c>
      <c r="Y934" s="35">
        <f t="shared" si="739"/>
        <v>585</v>
      </c>
      <c r="Z934" s="35">
        <f t="shared" si="739"/>
        <v>658</v>
      </c>
      <c r="AA934" s="35">
        <f t="shared" si="739"/>
        <v>1819</v>
      </c>
      <c r="AB934" s="35">
        <f t="shared" si="739"/>
        <v>525</v>
      </c>
      <c r="AC934" s="35">
        <f t="shared" si="739"/>
        <v>396</v>
      </c>
      <c r="AD934" s="35">
        <f t="shared" si="739"/>
        <v>774</v>
      </c>
      <c r="AE934" s="35">
        <f t="shared" si="739"/>
        <v>563</v>
      </c>
      <c r="AF934" s="35">
        <f t="shared" si="739"/>
        <v>311</v>
      </c>
      <c r="AG934" s="35">
        <f t="shared" si="739"/>
        <v>365</v>
      </c>
      <c r="AH934" s="35">
        <f t="shared" si="739"/>
        <v>272</v>
      </c>
      <c r="AI934" s="35">
        <f t="shared" si="739"/>
        <v>163</v>
      </c>
      <c r="AJ934" s="35">
        <f t="shared" si="739"/>
        <v>1381</v>
      </c>
      <c r="AK934" s="35">
        <f t="shared" si="739"/>
        <v>448</v>
      </c>
      <c r="AL934" s="35">
        <f t="shared" si="739"/>
        <v>672</v>
      </c>
      <c r="AM934" s="35">
        <f t="shared" si="739"/>
        <v>379</v>
      </c>
      <c r="AN934" s="35">
        <f t="shared" si="739"/>
        <v>302</v>
      </c>
      <c r="AO934" s="35">
        <f t="shared" si="739"/>
        <v>549</v>
      </c>
      <c r="AP934" s="35">
        <f t="shared" si="739"/>
        <v>550</v>
      </c>
    </row>
    <row r="935" spans="1:42" ht="13">
      <c r="A935" s="36">
        <v>44854</v>
      </c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</row>
    <row r="936" spans="1:42" ht="13">
      <c r="A936" s="36">
        <v>44855</v>
      </c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</row>
    <row r="937" spans="1:42" ht="13">
      <c r="A937" s="36">
        <v>44856</v>
      </c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</row>
    <row r="938" spans="1:42" ht="13">
      <c r="A938" s="36">
        <v>44857</v>
      </c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</row>
    <row r="939" spans="1:42" ht="13">
      <c r="A939" s="36">
        <v>44858</v>
      </c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</row>
    <row r="940" spans="1:42" ht="13">
      <c r="A940" s="36">
        <v>44859</v>
      </c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</row>
    <row r="941" spans="1:42" ht="13">
      <c r="A941" s="36">
        <v>44860</v>
      </c>
      <c r="B941" s="35">
        <v>108447</v>
      </c>
      <c r="C941" s="35">
        <v>93108</v>
      </c>
      <c r="D941" s="35">
        <v>65162</v>
      </c>
      <c r="E941" s="35">
        <v>124486</v>
      </c>
      <c r="F941" s="35">
        <v>378686</v>
      </c>
      <c r="G941" s="35">
        <v>91908</v>
      </c>
      <c r="H941" s="35">
        <v>87073</v>
      </c>
      <c r="I941" s="35">
        <v>114775</v>
      </c>
      <c r="J941" s="35">
        <v>111098</v>
      </c>
      <c r="K941" s="35">
        <v>59488</v>
      </c>
      <c r="L941" s="35">
        <v>75498</v>
      </c>
      <c r="M941" s="35">
        <v>64896</v>
      </c>
      <c r="N941" s="35">
        <v>45848</v>
      </c>
      <c r="O941" s="35">
        <v>286902</v>
      </c>
      <c r="P941" s="35">
        <v>68170</v>
      </c>
      <c r="Q941" s="35">
        <v>119502</v>
      </c>
      <c r="R941" s="35">
        <v>46725</v>
      </c>
      <c r="S941" s="35">
        <v>60125</v>
      </c>
      <c r="T941" s="35">
        <v>82233</v>
      </c>
      <c r="U941" s="35">
        <v>57383</v>
      </c>
      <c r="V941" s="35">
        <f>SUM(B941:U941)</f>
        <v>2141513</v>
      </c>
      <c r="W941" s="35">
        <f t="shared" ref="W941:AP941" si="740">B941-B934</f>
        <v>505</v>
      </c>
      <c r="X941" s="35">
        <f t="shared" si="740"/>
        <v>537</v>
      </c>
      <c r="Y941" s="35">
        <f t="shared" si="740"/>
        <v>359</v>
      </c>
      <c r="Z941" s="35">
        <f t="shared" si="740"/>
        <v>495</v>
      </c>
      <c r="AA941" s="35">
        <f t="shared" si="740"/>
        <v>1437</v>
      </c>
      <c r="AB941" s="35">
        <f t="shared" si="740"/>
        <v>359</v>
      </c>
      <c r="AC941" s="35">
        <f t="shared" si="740"/>
        <v>317</v>
      </c>
      <c r="AD941" s="35">
        <f t="shared" si="740"/>
        <v>557</v>
      </c>
      <c r="AE941" s="35">
        <f t="shared" si="740"/>
        <v>405</v>
      </c>
      <c r="AF941" s="35">
        <f t="shared" si="740"/>
        <v>238</v>
      </c>
      <c r="AG941" s="35">
        <f t="shared" si="740"/>
        <v>241</v>
      </c>
      <c r="AH941" s="35">
        <f t="shared" si="740"/>
        <v>207</v>
      </c>
      <c r="AI941" s="35">
        <f t="shared" si="740"/>
        <v>146</v>
      </c>
      <c r="AJ941" s="35">
        <f t="shared" si="740"/>
        <v>1101</v>
      </c>
      <c r="AK941" s="35">
        <f t="shared" si="740"/>
        <v>345</v>
      </c>
      <c r="AL941" s="35">
        <f t="shared" si="740"/>
        <v>460</v>
      </c>
      <c r="AM941" s="35">
        <f t="shared" si="740"/>
        <v>290</v>
      </c>
      <c r="AN941" s="35">
        <f t="shared" si="740"/>
        <v>220</v>
      </c>
      <c r="AO941" s="35">
        <f t="shared" si="740"/>
        <v>397</v>
      </c>
      <c r="AP941" s="35">
        <f t="shared" si="740"/>
        <v>407</v>
      </c>
    </row>
    <row r="942" spans="1:42" ht="13">
      <c r="A942" s="36">
        <v>44861</v>
      </c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</row>
    <row r="943" spans="1:42" ht="13">
      <c r="A943" s="36">
        <v>44862</v>
      </c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</row>
    <row r="944" spans="1:42" ht="13">
      <c r="A944" s="36">
        <v>44863</v>
      </c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</row>
    <row r="945" spans="1:42" ht="13">
      <c r="A945" s="36">
        <v>44864</v>
      </c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</row>
    <row r="946" spans="1:42" ht="13">
      <c r="A946" s="36">
        <v>44865</v>
      </c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</row>
    <row r="947" spans="1:42" ht="13">
      <c r="A947" s="36">
        <v>44866</v>
      </c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</row>
    <row r="948" spans="1:42" ht="13">
      <c r="A948" s="36">
        <v>44867</v>
      </c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</row>
    <row r="949" spans="1:42" ht="13">
      <c r="A949" s="36">
        <v>44868</v>
      </c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</row>
    <row r="950" spans="1:42" ht="13">
      <c r="A950" s="36">
        <v>44869</v>
      </c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</row>
    <row r="951" spans="1:42" ht="13">
      <c r="A951" s="36">
        <v>44870</v>
      </c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</row>
    <row r="952" spans="1:42" ht="13">
      <c r="A952" s="36">
        <v>44871</v>
      </c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</row>
    <row r="953" spans="1:42" ht="13">
      <c r="A953" s="36">
        <v>44872</v>
      </c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</row>
    <row r="954" spans="1:42" ht="13">
      <c r="A954" s="36">
        <v>44873</v>
      </c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</row>
    <row r="955" spans="1:42" ht="13">
      <c r="A955" s="36">
        <v>44874</v>
      </c>
      <c r="B955" s="35">
        <v>109177</v>
      </c>
      <c r="C955" s="35">
        <v>93769</v>
      </c>
      <c r="D955" s="35">
        <v>65669</v>
      </c>
      <c r="E955" s="35">
        <v>125061</v>
      </c>
      <c r="F955" s="35">
        <v>380663</v>
      </c>
      <c r="G955" s="35">
        <v>92449</v>
      </c>
      <c r="H955" s="35">
        <v>87498</v>
      </c>
      <c r="I955" s="35">
        <v>115555</v>
      </c>
      <c r="J955" s="35">
        <v>111660</v>
      </c>
      <c r="K955" s="35">
        <v>59825</v>
      </c>
      <c r="L955" s="35">
        <v>75845</v>
      </c>
      <c r="M955" s="35">
        <v>65220</v>
      </c>
      <c r="N955" s="35">
        <v>46006</v>
      </c>
      <c r="O955" s="35">
        <v>288300</v>
      </c>
      <c r="P955" s="35">
        <v>68631</v>
      </c>
      <c r="Q955" s="35">
        <v>120086</v>
      </c>
      <c r="R955" s="35">
        <v>47104</v>
      </c>
      <c r="S955" s="35">
        <v>60367</v>
      </c>
      <c r="T955" s="35">
        <v>82745</v>
      </c>
      <c r="U955" s="35">
        <v>57934</v>
      </c>
      <c r="V955" s="35">
        <f>SUM(B955:U955)</f>
        <v>2153564</v>
      </c>
      <c r="W955" s="35">
        <f t="shared" ref="W955:AP955" si="741">B955-B941</f>
        <v>730</v>
      </c>
      <c r="X955" s="35">
        <f t="shared" si="741"/>
        <v>661</v>
      </c>
      <c r="Y955" s="35">
        <f t="shared" si="741"/>
        <v>507</v>
      </c>
      <c r="Z955" s="35">
        <f t="shared" si="741"/>
        <v>575</v>
      </c>
      <c r="AA955" s="35">
        <f t="shared" si="741"/>
        <v>1977</v>
      </c>
      <c r="AB955" s="35">
        <f t="shared" si="741"/>
        <v>541</v>
      </c>
      <c r="AC955" s="35">
        <f t="shared" si="741"/>
        <v>425</v>
      </c>
      <c r="AD955" s="35">
        <f t="shared" si="741"/>
        <v>780</v>
      </c>
      <c r="AE955" s="35">
        <f t="shared" si="741"/>
        <v>562</v>
      </c>
      <c r="AF955" s="35">
        <f t="shared" si="741"/>
        <v>337</v>
      </c>
      <c r="AG955" s="35">
        <f t="shared" si="741"/>
        <v>347</v>
      </c>
      <c r="AH955" s="35">
        <f t="shared" si="741"/>
        <v>324</v>
      </c>
      <c r="AI955" s="35">
        <f t="shared" si="741"/>
        <v>158</v>
      </c>
      <c r="AJ955" s="35">
        <f t="shared" si="741"/>
        <v>1398</v>
      </c>
      <c r="AK955" s="35">
        <f t="shared" si="741"/>
        <v>461</v>
      </c>
      <c r="AL955" s="35">
        <f t="shared" si="741"/>
        <v>584</v>
      </c>
      <c r="AM955" s="35">
        <f t="shared" si="741"/>
        <v>379</v>
      </c>
      <c r="AN955" s="35">
        <f t="shared" si="741"/>
        <v>242</v>
      </c>
      <c r="AO955" s="35">
        <f t="shared" si="741"/>
        <v>512</v>
      </c>
      <c r="AP955" s="35">
        <f t="shared" si="741"/>
        <v>551</v>
      </c>
    </row>
    <row r="956" spans="1:42" ht="13">
      <c r="A956" s="36">
        <v>44875</v>
      </c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</row>
    <row r="957" spans="1:42" ht="13">
      <c r="A957" s="36">
        <v>44876</v>
      </c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</row>
    <row r="958" spans="1:42" ht="13">
      <c r="A958" s="36">
        <v>44877</v>
      </c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</row>
    <row r="959" spans="1:42" ht="13">
      <c r="A959" s="36">
        <v>44878</v>
      </c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</row>
    <row r="960" spans="1:42" ht="13">
      <c r="A960" s="36">
        <v>44879</v>
      </c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</row>
    <row r="961" spans="1:42" ht="13">
      <c r="A961" s="36">
        <v>44880</v>
      </c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</row>
    <row r="962" spans="1:42" ht="13">
      <c r="A962" s="36">
        <v>44881</v>
      </c>
      <c r="B962" s="35">
        <v>109394</v>
      </c>
      <c r="C962" s="35">
        <v>94026</v>
      </c>
      <c r="D962" s="35">
        <v>65877</v>
      </c>
      <c r="E962" s="35">
        <v>125240</v>
      </c>
      <c r="F962" s="35">
        <v>381498</v>
      </c>
      <c r="G962" s="35">
        <v>92612</v>
      </c>
      <c r="H962" s="35">
        <v>87640</v>
      </c>
      <c r="I962" s="35">
        <v>115864</v>
      </c>
      <c r="J962" s="35">
        <v>111874</v>
      </c>
      <c r="K962" s="35">
        <v>59962</v>
      </c>
      <c r="L962" s="35">
        <v>75995</v>
      </c>
      <c r="M962" s="35">
        <v>65348</v>
      </c>
      <c r="N962" s="35">
        <v>46056</v>
      </c>
      <c r="O962" s="35">
        <v>288843</v>
      </c>
      <c r="P962" s="35">
        <v>68779</v>
      </c>
      <c r="Q962" s="35">
        <v>120275</v>
      </c>
      <c r="R962" s="35">
        <v>47253</v>
      </c>
      <c r="S962" s="35">
        <v>60450</v>
      </c>
      <c r="T962" s="35">
        <v>82923</v>
      </c>
      <c r="U962" s="35">
        <v>58086</v>
      </c>
      <c r="V962" s="35">
        <f>SUM(B962:U962)</f>
        <v>2157995</v>
      </c>
      <c r="W962" s="35">
        <f t="shared" ref="W962:AP962" si="742">B962-B955</f>
        <v>217</v>
      </c>
      <c r="X962" s="35">
        <f t="shared" si="742"/>
        <v>257</v>
      </c>
      <c r="Y962" s="35">
        <f t="shared" si="742"/>
        <v>208</v>
      </c>
      <c r="Z962" s="35">
        <f t="shared" si="742"/>
        <v>179</v>
      </c>
      <c r="AA962" s="35">
        <f t="shared" si="742"/>
        <v>835</v>
      </c>
      <c r="AB962" s="35">
        <f t="shared" si="742"/>
        <v>163</v>
      </c>
      <c r="AC962" s="35">
        <f t="shared" si="742"/>
        <v>142</v>
      </c>
      <c r="AD962" s="35">
        <f t="shared" si="742"/>
        <v>309</v>
      </c>
      <c r="AE962" s="35">
        <f t="shared" si="742"/>
        <v>214</v>
      </c>
      <c r="AF962" s="35">
        <f t="shared" si="742"/>
        <v>137</v>
      </c>
      <c r="AG962" s="35">
        <f t="shared" si="742"/>
        <v>150</v>
      </c>
      <c r="AH962" s="35">
        <f t="shared" si="742"/>
        <v>128</v>
      </c>
      <c r="AI962" s="35">
        <f t="shared" si="742"/>
        <v>50</v>
      </c>
      <c r="AJ962" s="35">
        <f t="shared" si="742"/>
        <v>543</v>
      </c>
      <c r="AK962" s="35">
        <f t="shared" si="742"/>
        <v>148</v>
      </c>
      <c r="AL962" s="35">
        <f t="shared" si="742"/>
        <v>189</v>
      </c>
      <c r="AM962" s="35">
        <f t="shared" si="742"/>
        <v>149</v>
      </c>
      <c r="AN962" s="35">
        <f t="shared" si="742"/>
        <v>83</v>
      </c>
      <c r="AO962" s="35">
        <f t="shared" si="742"/>
        <v>178</v>
      </c>
      <c r="AP962" s="35">
        <f t="shared" si="742"/>
        <v>152</v>
      </c>
    </row>
    <row r="963" spans="1:42" ht="13">
      <c r="A963" s="36">
        <v>44882</v>
      </c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</row>
    <row r="964" spans="1:42" ht="13">
      <c r="A964" s="36">
        <v>44883</v>
      </c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</row>
    <row r="965" spans="1:42" ht="13">
      <c r="A965" s="36">
        <v>44884</v>
      </c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</row>
    <row r="966" spans="1:42" ht="13">
      <c r="A966" s="36">
        <v>44885</v>
      </c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</row>
    <row r="967" spans="1:42" ht="13">
      <c r="A967" s="36">
        <v>44886</v>
      </c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</row>
    <row r="968" spans="1:42" ht="13">
      <c r="A968" s="36">
        <v>44887</v>
      </c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</row>
    <row r="969" spans="1:42" ht="13">
      <c r="A969" s="36">
        <v>44888</v>
      </c>
      <c r="B969" s="35">
        <v>109610</v>
      </c>
      <c r="C969" s="35">
        <v>94230</v>
      </c>
      <c r="D969" s="35">
        <v>66076</v>
      </c>
      <c r="E969" s="35">
        <v>125414</v>
      </c>
      <c r="F969" s="35">
        <v>382284</v>
      </c>
      <c r="G969" s="35">
        <v>92762</v>
      </c>
      <c r="H969" s="35">
        <v>87818</v>
      </c>
      <c r="I969" s="35">
        <v>116141</v>
      </c>
      <c r="J969" s="35">
        <v>112041</v>
      </c>
      <c r="K969" s="35">
        <v>60077</v>
      </c>
      <c r="L969" s="35">
        <v>76105</v>
      </c>
      <c r="M969" s="35">
        <v>65467</v>
      </c>
      <c r="N969" s="35">
        <v>46100</v>
      </c>
      <c r="O969" s="35">
        <v>289377</v>
      </c>
      <c r="P969" s="35">
        <v>68914</v>
      </c>
      <c r="Q969" s="35">
        <v>120479</v>
      </c>
      <c r="R969" s="35">
        <v>47368</v>
      </c>
      <c r="S969" s="35">
        <v>60513</v>
      </c>
      <c r="T969" s="35">
        <v>83076</v>
      </c>
      <c r="U969" s="35">
        <v>58241</v>
      </c>
      <c r="V969" s="35">
        <f>SUM(B969:U969)</f>
        <v>2162093</v>
      </c>
      <c r="W969" s="35">
        <f t="shared" ref="W969:AP969" si="743">B969-B962</f>
        <v>216</v>
      </c>
      <c r="X969" s="35">
        <f t="shared" si="743"/>
        <v>204</v>
      </c>
      <c r="Y969" s="35">
        <f t="shared" si="743"/>
        <v>199</v>
      </c>
      <c r="Z969" s="35">
        <f t="shared" si="743"/>
        <v>174</v>
      </c>
      <c r="AA969" s="35">
        <f t="shared" si="743"/>
        <v>786</v>
      </c>
      <c r="AB969" s="35">
        <f t="shared" si="743"/>
        <v>150</v>
      </c>
      <c r="AC969" s="35">
        <f t="shared" si="743"/>
        <v>178</v>
      </c>
      <c r="AD969" s="35">
        <f t="shared" si="743"/>
        <v>277</v>
      </c>
      <c r="AE969" s="35">
        <f t="shared" si="743"/>
        <v>167</v>
      </c>
      <c r="AF969" s="35">
        <f t="shared" si="743"/>
        <v>115</v>
      </c>
      <c r="AG969" s="35">
        <f t="shared" si="743"/>
        <v>110</v>
      </c>
      <c r="AH969" s="35">
        <f t="shared" si="743"/>
        <v>119</v>
      </c>
      <c r="AI969" s="35">
        <f t="shared" si="743"/>
        <v>44</v>
      </c>
      <c r="AJ969" s="35">
        <f t="shared" si="743"/>
        <v>534</v>
      </c>
      <c r="AK969" s="35">
        <f t="shared" si="743"/>
        <v>135</v>
      </c>
      <c r="AL969" s="35">
        <f t="shared" si="743"/>
        <v>204</v>
      </c>
      <c r="AM969" s="35">
        <f t="shared" si="743"/>
        <v>115</v>
      </c>
      <c r="AN969" s="35">
        <f t="shared" si="743"/>
        <v>63</v>
      </c>
      <c r="AO969" s="35">
        <f t="shared" si="743"/>
        <v>153</v>
      </c>
      <c r="AP969" s="35">
        <f t="shared" si="743"/>
        <v>155</v>
      </c>
    </row>
    <row r="970" spans="1:42" ht="13">
      <c r="A970" s="36">
        <v>44889</v>
      </c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</row>
    <row r="971" spans="1:42" ht="13">
      <c r="A971" s="36">
        <v>44890</v>
      </c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</row>
    <row r="972" spans="1:42" ht="13">
      <c r="A972" s="36">
        <v>44891</v>
      </c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</row>
    <row r="973" spans="1:42" ht="13">
      <c r="A973" s="36">
        <v>44892</v>
      </c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</row>
    <row r="974" spans="1:42" ht="13">
      <c r="A974" s="36">
        <v>44893</v>
      </c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</row>
    <row r="975" spans="1:42" ht="13">
      <c r="A975" s="36">
        <v>44894</v>
      </c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</row>
    <row r="976" spans="1:42" ht="13">
      <c r="A976" s="36">
        <v>44895</v>
      </c>
      <c r="B976" s="35">
        <v>109794</v>
      </c>
      <c r="C976" s="35">
        <v>94412</v>
      </c>
      <c r="D976" s="35">
        <v>66304</v>
      </c>
      <c r="E976" s="35">
        <v>125572</v>
      </c>
      <c r="F976" s="35">
        <v>383079</v>
      </c>
      <c r="G976" s="35">
        <v>92939</v>
      </c>
      <c r="H976" s="35">
        <v>87985</v>
      </c>
      <c r="I976" s="35">
        <v>116421</v>
      </c>
      <c r="J976" s="35">
        <v>112264</v>
      </c>
      <c r="K976" s="35">
        <v>60200</v>
      </c>
      <c r="L976" s="35">
        <v>76248</v>
      </c>
      <c r="M976" s="35">
        <v>65592</v>
      </c>
      <c r="N976" s="35">
        <v>46176</v>
      </c>
      <c r="O976" s="35">
        <v>289963</v>
      </c>
      <c r="P976" s="35">
        <v>69051</v>
      </c>
      <c r="Q976" s="35">
        <v>120702</v>
      </c>
      <c r="R976" s="35">
        <v>47458</v>
      </c>
      <c r="S976" s="35">
        <v>60603</v>
      </c>
      <c r="T976" s="35">
        <v>83214</v>
      </c>
      <c r="U976" s="35">
        <v>58375</v>
      </c>
      <c r="V976" s="35">
        <f>SUM(B976:U976)</f>
        <v>2166352</v>
      </c>
      <c r="W976" s="35">
        <f t="shared" ref="W976:AP976" si="744">B976-B969</f>
        <v>184</v>
      </c>
      <c r="X976" s="35">
        <f t="shared" si="744"/>
        <v>182</v>
      </c>
      <c r="Y976" s="35">
        <f t="shared" si="744"/>
        <v>228</v>
      </c>
      <c r="Z976" s="35">
        <f t="shared" si="744"/>
        <v>158</v>
      </c>
      <c r="AA976" s="35">
        <f t="shared" si="744"/>
        <v>795</v>
      </c>
      <c r="AB976" s="35">
        <f t="shared" si="744"/>
        <v>177</v>
      </c>
      <c r="AC976" s="35">
        <f t="shared" si="744"/>
        <v>167</v>
      </c>
      <c r="AD976" s="35">
        <f t="shared" si="744"/>
        <v>280</v>
      </c>
      <c r="AE976" s="35">
        <f t="shared" si="744"/>
        <v>223</v>
      </c>
      <c r="AF976" s="35">
        <f t="shared" si="744"/>
        <v>123</v>
      </c>
      <c r="AG976" s="35">
        <f t="shared" si="744"/>
        <v>143</v>
      </c>
      <c r="AH976" s="35">
        <f t="shared" si="744"/>
        <v>125</v>
      </c>
      <c r="AI976" s="35">
        <f t="shared" si="744"/>
        <v>76</v>
      </c>
      <c r="AJ976" s="35">
        <f t="shared" si="744"/>
        <v>586</v>
      </c>
      <c r="AK976" s="35">
        <f t="shared" si="744"/>
        <v>137</v>
      </c>
      <c r="AL976" s="35">
        <f t="shared" si="744"/>
        <v>223</v>
      </c>
      <c r="AM976" s="35">
        <f t="shared" si="744"/>
        <v>90</v>
      </c>
      <c r="AN976" s="35">
        <f t="shared" si="744"/>
        <v>90</v>
      </c>
      <c r="AO976" s="35">
        <f t="shared" si="744"/>
        <v>138</v>
      </c>
      <c r="AP976" s="35">
        <f t="shared" si="744"/>
        <v>134</v>
      </c>
    </row>
    <row r="977" spans="1:42" ht="13">
      <c r="A977" s="36">
        <v>44896</v>
      </c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</row>
    <row r="978" spans="1:42" ht="13">
      <c r="A978" s="36">
        <v>44897</v>
      </c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</row>
    <row r="979" spans="1:42" ht="13">
      <c r="A979" s="36">
        <v>44898</v>
      </c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</row>
    <row r="980" spans="1:42" ht="13">
      <c r="A980" s="36">
        <v>44899</v>
      </c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</row>
    <row r="981" spans="1:42" ht="13">
      <c r="A981" s="36">
        <v>44900</v>
      </c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</row>
    <row r="982" spans="1:42" ht="13">
      <c r="A982" s="36">
        <v>44901</v>
      </c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</row>
    <row r="983" spans="1:42" ht="13">
      <c r="A983" s="36">
        <v>44902</v>
      </c>
      <c r="B983" s="35">
        <v>109971</v>
      </c>
      <c r="C983" s="35">
        <v>94605</v>
      </c>
      <c r="D983" s="35">
        <v>66508</v>
      </c>
      <c r="E983" s="35">
        <v>125746</v>
      </c>
      <c r="F983" s="35">
        <v>384090</v>
      </c>
      <c r="G983" s="35">
        <v>93120</v>
      </c>
      <c r="H983" s="35">
        <v>88165</v>
      </c>
      <c r="I983" s="35">
        <v>116681</v>
      </c>
      <c r="J983" s="35">
        <v>112503</v>
      </c>
      <c r="K983" s="35">
        <v>60318</v>
      </c>
      <c r="L983" s="35">
        <v>76392</v>
      </c>
      <c r="M983" s="35">
        <v>65713</v>
      </c>
      <c r="N983" s="35">
        <v>46268</v>
      </c>
      <c r="O983" s="35">
        <v>290725</v>
      </c>
      <c r="P983" s="35">
        <v>69171</v>
      </c>
      <c r="Q983" s="35">
        <v>120895</v>
      </c>
      <c r="R983" s="35">
        <v>47562</v>
      </c>
      <c r="S983" s="35">
        <v>60705</v>
      </c>
      <c r="T983" s="35">
        <v>83389</v>
      </c>
      <c r="U983" s="35">
        <v>58529</v>
      </c>
      <c r="V983" s="35">
        <f>SUM(B983:U983)</f>
        <v>2171056</v>
      </c>
      <c r="W983" s="35">
        <f t="shared" ref="W983:AP983" si="745">B983-B976</f>
        <v>177</v>
      </c>
      <c r="X983" s="35">
        <f t="shared" si="745"/>
        <v>193</v>
      </c>
      <c r="Y983" s="35">
        <f t="shared" si="745"/>
        <v>204</v>
      </c>
      <c r="Z983" s="35">
        <f t="shared" si="745"/>
        <v>174</v>
      </c>
      <c r="AA983" s="35">
        <f t="shared" si="745"/>
        <v>1011</v>
      </c>
      <c r="AB983" s="35">
        <f t="shared" si="745"/>
        <v>181</v>
      </c>
      <c r="AC983" s="35">
        <f t="shared" si="745"/>
        <v>180</v>
      </c>
      <c r="AD983" s="35">
        <f t="shared" si="745"/>
        <v>260</v>
      </c>
      <c r="AE983" s="35">
        <f t="shared" si="745"/>
        <v>239</v>
      </c>
      <c r="AF983" s="35">
        <f t="shared" si="745"/>
        <v>118</v>
      </c>
      <c r="AG983" s="35">
        <f t="shared" si="745"/>
        <v>144</v>
      </c>
      <c r="AH983" s="35">
        <f t="shared" si="745"/>
        <v>121</v>
      </c>
      <c r="AI983" s="35">
        <f t="shared" si="745"/>
        <v>92</v>
      </c>
      <c r="AJ983" s="35">
        <f t="shared" si="745"/>
        <v>762</v>
      </c>
      <c r="AK983" s="35">
        <f t="shared" si="745"/>
        <v>120</v>
      </c>
      <c r="AL983" s="35">
        <f t="shared" si="745"/>
        <v>193</v>
      </c>
      <c r="AM983" s="35">
        <f t="shared" si="745"/>
        <v>104</v>
      </c>
      <c r="AN983" s="35">
        <f t="shared" si="745"/>
        <v>102</v>
      </c>
      <c r="AO983" s="35">
        <f t="shared" si="745"/>
        <v>175</v>
      </c>
      <c r="AP983" s="35">
        <f t="shared" si="745"/>
        <v>154</v>
      </c>
    </row>
    <row r="984" spans="1:42" ht="13">
      <c r="A984" s="36">
        <v>44903</v>
      </c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</row>
    <row r="985" spans="1:42" ht="13">
      <c r="A985" s="36">
        <v>44904</v>
      </c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</row>
    <row r="986" spans="1:42" ht="13">
      <c r="A986" s="36">
        <v>44905</v>
      </c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</row>
    <row r="987" spans="1:42" ht="13">
      <c r="A987" s="36">
        <v>44906</v>
      </c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</row>
    <row r="988" spans="1:42" ht="13">
      <c r="A988" s="36">
        <v>44907</v>
      </c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</row>
    <row r="989" spans="1:42" ht="13">
      <c r="A989" s="36">
        <v>44908</v>
      </c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</row>
    <row r="990" spans="1:42" ht="13">
      <c r="A990" s="36">
        <v>44909</v>
      </c>
      <c r="B990" s="35">
        <v>110155</v>
      </c>
      <c r="C990" s="35">
        <v>94837</v>
      </c>
      <c r="D990" s="35">
        <v>66747</v>
      </c>
      <c r="E990" s="35">
        <v>125941</v>
      </c>
      <c r="F990" s="35">
        <v>385261</v>
      </c>
      <c r="G990" s="35">
        <v>93339</v>
      </c>
      <c r="H990" s="35">
        <v>88370</v>
      </c>
      <c r="I990" s="35">
        <v>117000</v>
      </c>
      <c r="J990" s="35">
        <v>112720</v>
      </c>
      <c r="K990" s="35">
        <v>60439</v>
      </c>
      <c r="L990" s="35">
        <v>76543</v>
      </c>
      <c r="M990" s="35">
        <v>65844</v>
      </c>
      <c r="N990" s="35">
        <v>46347</v>
      </c>
      <c r="O990" s="35">
        <v>291521</v>
      </c>
      <c r="P990" s="35">
        <v>69315</v>
      </c>
      <c r="Q990" s="35">
        <v>121154</v>
      </c>
      <c r="R990" s="35">
        <v>47659</v>
      </c>
      <c r="S990" s="35">
        <v>60796</v>
      </c>
      <c r="T990" s="35">
        <v>83584</v>
      </c>
      <c r="U990" s="35">
        <v>58677</v>
      </c>
      <c r="V990" s="35">
        <f>SUM(B990:U990)</f>
        <v>2176249</v>
      </c>
      <c r="W990" s="35">
        <f t="shared" ref="W990:AP990" si="746">B990-B983</f>
        <v>184</v>
      </c>
      <c r="X990" s="35">
        <f t="shared" si="746"/>
        <v>232</v>
      </c>
      <c r="Y990" s="35">
        <f t="shared" si="746"/>
        <v>239</v>
      </c>
      <c r="Z990" s="35">
        <f t="shared" si="746"/>
        <v>195</v>
      </c>
      <c r="AA990" s="35">
        <f t="shared" si="746"/>
        <v>1171</v>
      </c>
      <c r="AB990" s="35">
        <f t="shared" si="746"/>
        <v>219</v>
      </c>
      <c r="AC990" s="35">
        <f t="shared" si="746"/>
        <v>205</v>
      </c>
      <c r="AD990" s="35">
        <f t="shared" si="746"/>
        <v>319</v>
      </c>
      <c r="AE990" s="35">
        <f t="shared" si="746"/>
        <v>217</v>
      </c>
      <c r="AF990" s="35">
        <f t="shared" si="746"/>
        <v>121</v>
      </c>
      <c r="AG990" s="35">
        <f t="shared" si="746"/>
        <v>151</v>
      </c>
      <c r="AH990" s="35">
        <f t="shared" si="746"/>
        <v>131</v>
      </c>
      <c r="AI990" s="35">
        <f t="shared" si="746"/>
        <v>79</v>
      </c>
      <c r="AJ990" s="35">
        <f t="shared" si="746"/>
        <v>796</v>
      </c>
      <c r="AK990" s="35">
        <f t="shared" si="746"/>
        <v>144</v>
      </c>
      <c r="AL990" s="35">
        <f t="shared" si="746"/>
        <v>259</v>
      </c>
      <c r="AM990" s="35">
        <f t="shared" si="746"/>
        <v>97</v>
      </c>
      <c r="AN990" s="35">
        <f t="shared" si="746"/>
        <v>91</v>
      </c>
      <c r="AO990" s="35">
        <f t="shared" si="746"/>
        <v>195</v>
      </c>
      <c r="AP990" s="35">
        <f t="shared" si="746"/>
        <v>148</v>
      </c>
    </row>
    <row r="991" spans="1:42" ht="13">
      <c r="A991" s="36">
        <v>44910</v>
      </c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</row>
    <row r="992" spans="1:42" ht="13">
      <c r="A992" s="36">
        <v>44911</v>
      </c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</row>
    <row r="993" spans="1:42" ht="13">
      <c r="A993" s="36">
        <v>44912</v>
      </c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</row>
    <row r="994" spans="1:42" ht="13">
      <c r="A994" s="36">
        <v>44913</v>
      </c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</row>
    <row r="995" spans="1:42" ht="13">
      <c r="A995" s="36">
        <v>44914</v>
      </c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</row>
    <row r="996" spans="1:42" ht="13">
      <c r="A996" s="36">
        <v>44915</v>
      </c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</row>
    <row r="997" spans="1:42" ht="13">
      <c r="A997" s="36">
        <v>44916</v>
      </c>
      <c r="B997" s="40">
        <v>110352</v>
      </c>
      <c r="C997" s="40">
        <v>95191</v>
      </c>
      <c r="D997" s="40">
        <v>66973</v>
      </c>
      <c r="E997" s="40">
        <v>126146</v>
      </c>
      <c r="F997" s="40">
        <v>386303</v>
      </c>
      <c r="G997" s="40">
        <v>93568</v>
      </c>
      <c r="H997" s="40">
        <v>88576</v>
      </c>
      <c r="I997" s="40">
        <v>117283</v>
      </c>
      <c r="J997" s="40">
        <v>112936</v>
      </c>
      <c r="K997" s="40">
        <v>60557</v>
      </c>
      <c r="L997" s="40">
        <v>76710</v>
      </c>
      <c r="M997" s="40">
        <v>66002</v>
      </c>
      <c r="N997" s="40">
        <v>46441</v>
      </c>
      <c r="O997" s="40">
        <v>292300</v>
      </c>
      <c r="P997" s="40">
        <v>69461</v>
      </c>
      <c r="Q997" s="40">
        <v>121440</v>
      </c>
      <c r="R997" s="40">
        <v>47760</v>
      </c>
      <c r="S997" s="40">
        <v>60869</v>
      </c>
      <c r="T997" s="40">
        <v>83731</v>
      </c>
      <c r="U997" s="40">
        <v>58820</v>
      </c>
      <c r="V997" s="35">
        <f>SUM(B997:U997)</f>
        <v>2181419</v>
      </c>
      <c r="W997" s="35">
        <f t="shared" ref="W997:AP997" si="747">B997-B990</f>
        <v>197</v>
      </c>
      <c r="X997" s="35">
        <f t="shared" si="747"/>
        <v>354</v>
      </c>
      <c r="Y997" s="35">
        <f t="shared" si="747"/>
        <v>226</v>
      </c>
      <c r="Z997" s="35">
        <f t="shared" si="747"/>
        <v>205</v>
      </c>
      <c r="AA997" s="35">
        <f t="shared" si="747"/>
        <v>1042</v>
      </c>
      <c r="AB997" s="35">
        <f t="shared" si="747"/>
        <v>229</v>
      </c>
      <c r="AC997" s="35">
        <f t="shared" si="747"/>
        <v>206</v>
      </c>
      <c r="AD997" s="35">
        <f t="shared" si="747"/>
        <v>283</v>
      </c>
      <c r="AE997" s="35">
        <f t="shared" si="747"/>
        <v>216</v>
      </c>
      <c r="AF997" s="35">
        <f t="shared" si="747"/>
        <v>118</v>
      </c>
      <c r="AG997" s="35">
        <f t="shared" si="747"/>
        <v>167</v>
      </c>
      <c r="AH997" s="35">
        <f t="shared" si="747"/>
        <v>158</v>
      </c>
      <c r="AI997" s="35">
        <f t="shared" si="747"/>
        <v>94</v>
      </c>
      <c r="AJ997" s="35">
        <f t="shared" si="747"/>
        <v>779</v>
      </c>
      <c r="AK997" s="35">
        <f t="shared" si="747"/>
        <v>146</v>
      </c>
      <c r="AL997" s="35">
        <f t="shared" si="747"/>
        <v>286</v>
      </c>
      <c r="AM997" s="35">
        <f t="shared" si="747"/>
        <v>101</v>
      </c>
      <c r="AN997" s="35">
        <f t="shared" si="747"/>
        <v>73</v>
      </c>
      <c r="AO997" s="35">
        <f t="shared" si="747"/>
        <v>147</v>
      </c>
      <c r="AP997" s="35">
        <f t="shared" si="747"/>
        <v>143</v>
      </c>
    </row>
    <row r="998" spans="1:42" ht="13">
      <c r="A998" s="36">
        <v>44917</v>
      </c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</row>
    <row r="999" spans="1:42" ht="13">
      <c r="A999" s="36">
        <v>44918</v>
      </c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</row>
    <row r="1000" spans="1:42" ht="13">
      <c r="A1000" s="36">
        <v>44919</v>
      </c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</row>
    <row r="1001" spans="1:42" ht="13">
      <c r="A1001" s="36">
        <v>44920</v>
      </c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  <c r="AF1001" s="35"/>
      <c r="AG1001" s="35"/>
      <c r="AH1001" s="35"/>
      <c r="AI1001" s="35"/>
      <c r="AJ1001" s="35"/>
      <c r="AK1001" s="35"/>
      <c r="AL1001" s="35"/>
      <c r="AM1001" s="35"/>
      <c r="AN1001" s="35"/>
      <c r="AO1001" s="35"/>
      <c r="AP1001" s="35"/>
    </row>
    <row r="1002" spans="1:42" ht="13">
      <c r="A1002" s="36">
        <v>44921</v>
      </c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  <c r="AF1002" s="35"/>
      <c r="AG1002" s="35"/>
      <c r="AH1002" s="35"/>
      <c r="AI1002" s="35"/>
      <c r="AJ1002" s="35"/>
      <c r="AK1002" s="35"/>
      <c r="AL1002" s="35"/>
      <c r="AM1002" s="35"/>
      <c r="AN1002" s="35"/>
      <c r="AO1002" s="35"/>
      <c r="AP1002" s="35"/>
    </row>
    <row r="1003" spans="1:42" ht="13">
      <c r="A1003" s="36">
        <v>44922</v>
      </c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  <c r="AF1003" s="35"/>
      <c r="AG1003" s="35"/>
      <c r="AH1003" s="35"/>
      <c r="AI1003" s="35"/>
      <c r="AJ1003" s="35"/>
      <c r="AK1003" s="35"/>
      <c r="AL1003" s="35"/>
      <c r="AM1003" s="35"/>
      <c r="AN1003" s="35"/>
      <c r="AO1003" s="35"/>
      <c r="AP1003" s="35"/>
    </row>
    <row r="1004" spans="1:42" ht="13">
      <c r="A1004" s="36">
        <v>44923</v>
      </c>
      <c r="B1004" s="35">
        <v>110519</v>
      </c>
      <c r="C1004" s="35">
        <v>95492</v>
      </c>
      <c r="D1004" s="35">
        <v>67165</v>
      </c>
      <c r="E1004" s="35">
        <v>126321</v>
      </c>
      <c r="F1004" s="35">
        <v>387189</v>
      </c>
      <c r="G1004" s="35">
        <v>93763</v>
      </c>
      <c r="H1004" s="35">
        <v>88751</v>
      </c>
      <c r="I1004" s="35">
        <v>117524</v>
      </c>
      <c r="J1004" s="35">
        <v>113120</v>
      </c>
      <c r="K1004" s="35">
        <v>60658</v>
      </c>
      <c r="L1004" s="35">
        <v>76852</v>
      </c>
      <c r="M1004" s="35">
        <v>66136</v>
      </c>
      <c r="N1004" s="35">
        <v>46521</v>
      </c>
      <c r="O1004" s="35">
        <v>292963</v>
      </c>
      <c r="P1004" s="35">
        <v>69586</v>
      </c>
      <c r="Q1004" s="35">
        <v>121684</v>
      </c>
      <c r="R1004" s="35">
        <v>47845</v>
      </c>
      <c r="S1004" s="35">
        <v>60932</v>
      </c>
      <c r="T1004" s="35">
        <v>83856</v>
      </c>
      <c r="U1004" s="35">
        <v>58939</v>
      </c>
      <c r="V1004" s="35">
        <f>SUM(B1004:U1004)</f>
        <v>2185816</v>
      </c>
      <c r="W1004" s="35">
        <f t="shared" ref="W1004:AP1004" si="748">B1004-B997</f>
        <v>167</v>
      </c>
      <c r="X1004" s="35">
        <f t="shared" si="748"/>
        <v>301</v>
      </c>
      <c r="Y1004" s="35">
        <f t="shared" si="748"/>
        <v>192</v>
      </c>
      <c r="Z1004" s="35">
        <f t="shared" si="748"/>
        <v>175</v>
      </c>
      <c r="AA1004" s="35">
        <f t="shared" si="748"/>
        <v>886</v>
      </c>
      <c r="AB1004" s="35">
        <f t="shared" si="748"/>
        <v>195</v>
      </c>
      <c r="AC1004" s="35">
        <f t="shared" si="748"/>
        <v>175</v>
      </c>
      <c r="AD1004" s="35">
        <f t="shared" si="748"/>
        <v>241</v>
      </c>
      <c r="AE1004" s="35">
        <f t="shared" si="748"/>
        <v>184</v>
      </c>
      <c r="AF1004" s="35">
        <f t="shared" si="748"/>
        <v>101</v>
      </c>
      <c r="AG1004" s="35">
        <f t="shared" si="748"/>
        <v>142</v>
      </c>
      <c r="AH1004" s="35">
        <f t="shared" si="748"/>
        <v>134</v>
      </c>
      <c r="AI1004" s="35">
        <f t="shared" si="748"/>
        <v>80</v>
      </c>
      <c r="AJ1004" s="35">
        <f t="shared" si="748"/>
        <v>663</v>
      </c>
      <c r="AK1004" s="35">
        <f t="shared" si="748"/>
        <v>125</v>
      </c>
      <c r="AL1004" s="35">
        <f t="shared" si="748"/>
        <v>244</v>
      </c>
      <c r="AM1004" s="35">
        <f t="shared" si="748"/>
        <v>85</v>
      </c>
      <c r="AN1004" s="35">
        <f t="shared" si="748"/>
        <v>63</v>
      </c>
      <c r="AO1004" s="35">
        <f t="shared" si="748"/>
        <v>125</v>
      </c>
      <c r="AP1004" s="35">
        <f t="shared" si="748"/>
        <v>119</v>
      </c>
    </row>
    <row r="1005" spans="1:42" ht="13">
      <c r="A1005" s="36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  <c r="AF1005" s="35"/>
      <c r="AG1005" s="35"/>
      <c r="AH1005" s="35"/>
      <c r="AI1005" s="35"/>
      <c r="AJ1005" s="35"/>
      <c r="AK1005" s="35"/>
      <c r="AL1005" s="35"/>
      <c r="AM1005" s="35"/>
      <c r="AN1005" s="35"/>
      <c r="AO1005" s="35"/>
      <c r="AP1005" s="35"/>
    </row>
    <row r="1006" spans="1:42" ht="13">
      <c r="A1006" s="36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  <c r="AF1006" s="35"/>
      <c r="AG1006" s="35"/>
      <c r="AH1006" s="35"/>
      <c r="AI1006" s="35"/>
      <c r="AJ1006" s="35"/>
      <c r="AK1006" s="35"/>
      <c r="AL1006" s="35"/>
      <c r="AM1006" s="35"/>
      <c r="AN1006" s="35"/>
      <c r="AO1006" s="35"/>
      <c r="AP1006" s="35"/>
    </row>
    <row r="1007" spans="1:42" ht="13">
      <c r="A1007" s="36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  <c r="AF1007" s="35"/>
      <c r="AG1007" s="35"/>
      <c r="AH1007" s="35"/>
      <c r="AI1007" s="35"/>
      <c r="AJ1007" s="35"/>
      <c r="AK1007" s="35"/>
      <c r="AL1007" s="35"/>
      <c r="AM1007" s="35"/>
      <c r="AN1007" s="35"/>
      <c r="AO1007" s="35"/>
      <c r="AP1007" s="35"/>
    </row>
    <row r="1008" spans="1:42" ht="13">
      <c r="A1008" s="36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  <c r="AF1008" s="35"/>
      <c r="AG1008" s="35"/>
      <c r="AH1008" s="35"/>
      <c r="AI1008" s="35"/>
      <c r="AJ1008" s="35"/>
      <c r="AK1008" s="35"/>
      <c r="AL1008" s="35"/>
      <c r="AM1008" s="35"/>
      <c r="AN1008" s="35"/>
      <c r="AO1008" s="35"/>
      <c r="AP1008" s="35"/>
    </row>
    <row r="1009" spans="1:42" ht="13">
      <c r="A1009" s="36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  <c r="AF1009" s="35"/>
      <c r="AG1009" s="35"/>
      <c r="AH1009" s="35"/>
      <c r="AI1009" s="35"/>
      <c r="AJ1009" s="35"/>
      <c r="AK1009" s="35"/>
      <c r="AL1009" s="35"/>
      <c r="AM1009" s="35"/>
      <c r="AN1009" s="35"/>
      <c r="AO1009" s="35"/>
      <c r="AP1009" s="35"/>
    </row>
    <row r="1010" spans="1:42" ht="13">
      <c r="A1010" s="36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/>
  <cols>
    <col min="1" max="1" width="28" customWidth="1"/>
    <col min="2" max="2" width="26.33203125" customWidth="1"/>
  </cols>
  <sheetData>
    <row r="1" spans="1:9" ht="15.75" customHeight="1">
      <c r="A1" s="47" t="s">
        <v>57</v>
      </c>
      <c r="B1" s="47"/>
    </row>
    <row r="2" spans="1:9" ht="15.75" customHeight="1">
      <c r="A2" s="47" t="s">
        <v>58</v>
      </c>
      <c r="B2" s="47"/>
    </row>
    <row r="3" spans="1:9" ht="15.75" customHeight="1">
      <c r="A3" s="47" t="s">
        <v>59</v>
      </c>
      <c r="B3" s="48">
        <f>C3</f>
        <v>13571</v>
      </c>
      <c r="C3" s="49">
        <f>LOOKUP(1000000000/(koronahun!L:L&lt;&gt;""),koronahun!L:L)</f>
        <v>13571</v>
      </c>
      <c r="D3" s="16" t="s">
        <v>60</v>
      </c>
      <c r="H3" s="50">
        <v>1954</v>
      </c>
      <c r="I3" s="16">
        <v>24</v>
      </c>
    </row>
    <row r="4" spans="1:9" ht="15.75" customHeight="1">
      <c r="A4" s="47" t="s">
        <v>61</v>
      </c>
      <c r="B4" s="47">
        <f>LOOKUP(1000000000/(koronahun!L:L&lt;&gt;""),koronahun!D:D)</f>
        <v>48495</v>
      </c>
      <c r="C4" s="49">
        <f>LOOKUP(1000000000/(koronahun!L:L&lt;&gt;""),koronahun!R:R)</f>
        <v>56</v>
      </c>
      <c r="D4" s="51">
        <f>LOOKUP(1000000000/(koronahun!L:L&lt;&gt;""),koronahun!Q:Q)</f>
        <v>0.17260960761242133</v>
      </c>
      <c r="H4" s="50">
        <v>135658</v>
      </c>
      <c r="I4" s="16">
        <v>8616</v>
      </c>
    </row>
    <row r="5" spans="1:9">
      <c r="A5" s="47" t="s">
        <v>62</v>
      </c>
      <c r="B5" s="52">
        <f>C5*100</f>
        <v>2.2186222445073143</v>
      </c>
      <c r="C5" s="51">
        <f>LOOKUP(1000000000/(koronahun!L:L&lt;&gt;""),koronahun!M:M)</f>
        <v>2.2186222445073144E-2</v>
      </c>
      <c r="E5" s="53">
        <v>21</v>
      </c>
      <c r="H5" s="13">
        <f t="shared" ref="H5:I5" si="0">H3/H4</f>
        <v>1.4403868551799377E-2</v>
      </c>
      <c r="I5" s="13">
        <f t="shared" si="0"/>
        <v>2.7855153203342618E-3</v>
      </c>
    </row>
    <row r="6" spans="1:9">
      <c r="A6" s="47" t="s">
        <v>57</v>
      </c>
      <c r="B6" s="54">
        <f>LOOKUP(1000000000/(koronahun!L:L&lt;&gt;""),koronahun!A:A)</f>
        <v>44923</v>
      </c>
      <c r="E6" s="53">
        <v>13</v>
      </c>
    </row>
    <row r="7" spans="1:9">
      <c r="A7" s="16" t="s">
        <v>63</v>
      </c>
      <c r="B7" s="20">
        <f>LOOKUP(1000000000/(koronahun!L:L&lt;&gt;""),koronahun!C:C)</f>
        <v>4397</v>
      </c>
      <c r="C7" s="16" t="s">
        <v>64</v>
      </c>
      <c r="D7" s="16" t="s">
        <v>65</v>
      </c>
      <c r="E7" s="53">
        <v>39</v>
      </c>
    </row>
    <row r="8" spans="1:9">
      <c r="C8" s="49">
        <f>LOOKUP(1000000000/(koronahun!L:L&lt;&gt;""),koronahun!P:P)</f>
        <v>0</v>
      </c>
      <c r="D8">
        <f t="array" ref="D8">(INDEX(koronahun!P:P,LARGE(IF(koronahun!P:P&lt;&gt;"",ROW(koronahun!P:P)),1)))-(INDEX(koronahun!P:P,LARGE(IF(koronahun!P:P&lt;&gt;"",ROW(koronahun!P:P)),2)))</f>
        <v>0</v>
      </c>
      <c r="E8" s="53">
        <v>62</v>
      </c>
    </row>
    <row r="9" spans="1:9">
      <c r="C9" s="16" t="s">
        <v>66</v>
      </c>
      <c r="E9" s="53">
        <v>1932</v>
      </c>
    </row>
    <row r="10" spans="1:9">
      <c r="C10" s="49">
        <f>LOOKUP(1000000000/(koronahun!L:L&lt;&gt;""),koronahun!T:T)</f>
        <v>386</v>
      </c>
      <c r="D10">
        <f>LOOKUP(1000000000/(koronahun!L:L&lt;&gt;""),koronahun!W:W)</f>
        <v>1345</v>
      </c>
      <c r="E10" s="53">
        <v>118</v>
      </c>
    </row>
    <row r="11" spans="1:9">
      <c r="C11" s="16" t="s">
        <v>67</v>
      </c>
      <c r="E11" s="53">
        <v>376</v>
      </c>
    </row>
    <row r="12" spans="1:9">
      <c r="C12" s="49">
        <f>LOOKUP(1000000000/(koronahun!L:L&lt;&gt;""),koronahun!U:U)</f>
        <v>9</v>
      </c>
      <c r="D12">
        <f>LOOKUP(1000000000/(koronahun!L:L&lt;&gt;""),koronahun!X:X)</f>
        <v>19</v>
      </c>
      <c r="E12" s="53">
        <v>86</v>
      </c>
    </row>
    <row r="13" spans="1:9">
      <c r="E13" s="53">
        <v>27</v>
      </c>
    </row>
    <row r="14" spans="1:9">
      <c r="E14" s="53">
        <v>14</v>
      </c>
    </row>
    <row r="15" spans="1:9">
      <c r="B15" s="16">
        <v>18</v>
      </c>
      <c r="D15" s="55"/>
      <c r="E15" s="53">
        <v>17</v>
      </c>
    </row>
    <row r="16" spans="1:9">
      <c r="E16" s="53">
        <v>300</v>
      </c>
    </row>
    <row r="17" spans="5:5">
      <c r="E17" s="53">
        <v>51</v>
      </c>
    </row>
    <row r="18" spans="5:5">
      <c r="E18" s="53">
        <v>597</v>
      </c>
    </row>
    <row r="19" spans="5:5">
      <c r="E19" s="53">
        <v>22</v>
      </c>
    </row>
    <row r="20" spans="5:5">
      <c r="E20" s="53">
        <v>47</v>
      </c>
    </row>
    <row r="21" spans="5:5">
      <c r="E21" s="53">
        <v>13</v>
      </c>
    </row>
    <row r="22" spans="5:5">
      <c r="E22" s="53">
        <v>17</v>
      </c>
    </row>
    <row r="23" spans="5:5">
      <c r="E23" s="53">
        <v>63</v>
      </c>
    </row>
    <row r="24" spans="5:5">
      <c r="E24" s="53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60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5" max="6" width="31.5" customWidth="1"/>
  </cols>
  <sheetData>
    <row r="1" spans="1:6" ht="15.75" customHeight="1">
      <c r="A1" s="16" t="s">
        <v>0</v>
      </c>
      <c r="B1" s="16">
        <v>2020</v>
      </c>
      <c r="C1" s="16">
        <v>2021</v>
      </c>
      <c r="D1" s="16">
        <v>2022</v>
      </c>
      <c r="E1" s="16" t="s">
        <v>68</v>
      </c>
      <c r="F1" s="16" t="s">
        <v>69</v>
      </c>
    </row>
    <row r="2" spans="1:6" ht="15.75" customHeight="1">
      <c r="A2" s="16">
        <v>1</v>
      </c>
      <c r="C2" s="20">
        <v>158548</v>
      </c>
      <c r="D2">
        <f>koronahun!L670</f>
        <v>0</v>
      </c>
      <c r="E2" s="56" t="s">
        <v>11</v>
      </c>
      <c r="F2" s="56" t="s">
        <v>11</v>
      </c>
    </row>
    <row r="3" spans="1:6" ht="15.75" customHeight="1">
      <c r="A3" s="16">
        <v>2</v>
      </c>
      <c r="C3" s="20">
        <v>153504</v>
      </c>
      <c r="D3">
        <f>koronahun!L671</f>
        <v>0</v>
      </c>
      <c r="E3" s="56" t="s">
        <v>11</v>
      </c>
      <c r="F3" s="56" t="s">
        <v>11</v>
      </c>
    </row>
    <row r="4" spans="1:6" ht="15.75" customHeight="1">
      <c r="A4" s="16">
        <v>3</v>
      </c>
      <c r="C4" s="20">
        <v>149730</v>
      </c>
      <c r="D4">
        <f>koronahun!L672</f>
        <v>101023</v>
      </c>
      <c r="E4" s="56" t="s">
        <v>11</v>
      </c>
      <c r="F4" s="56" t="s">
        <v>11</v>
      </c>
    </row>
    <row r="5" spans="1:6" ht="15.75" customHeight="1">
      <c r="A5" s="16">
        <v>4</v>
      </c>
      <c r="C5" s="20">
        <v>144804</v>
      </c>
      <c r="D5">
        <f>koronahun!L673</f>
        <v>100247</v>
      </c>
      <c r="E5" s="56" t="s">
        <v>11</v>
      </c>
      <c r="F5" s="56" t="s">
        <v>11</v>
      </c>
    </row>
    <row r="6" spans="1:6" ht="15.75" customHeight="1">
      <c r="A6" s="16">
        <v>5</v>
      </c>
      <c r="C6" s="20">
        <v>143065</v>
      </c>
      <c r="D6">
        <f>koronahun!L674</f>
        <v>101457</v>
      </c>
      <c r="E6" s="56" t="s">
        <v>11</v>
      </c>
      <c r="F6" s="56" t="s">
        <v>11</v>
      </c>
    </row>
    <row r="7" spans="1:6" ht="15.75" customHeight="1">
      <c r="A7" s="16">
        <v>6</v>
      </c>
      <c r="C7" s="20">
        <v>142029</v>
      </c>
      <c r="D7">
        <f>koronahun!L675</f>
        <v>103409</v>
      </c>
      <c r="E7" s="56" t="s">
        <v>11</v>
      </c>
      <c r="F7" s="56" t="s">
        <v>11</v>
      </c>
    </row>
    <row r="8" spans="1:6" ht="15.75" customHeight="1">
      <c r="A8" s="16">
        <v>7</v>
      </c>
      <c r="C8" s="20">
        <v>144970</v>
      </c>
      <c r="D8">
        <f>koronahun!L676</f>
        <v>105529</v>
      </c>
      <c r="E8" s="56" t="s">
        <v>11</v>
      </c>
      <c r="F8" s="56" t="s">
        <v>11</v>
      </c>
    </row>
    <row r="9" spans="1:6" ht="15.75" customHeight="1">
      <c r="A9" s="16">
        <v>8</v>
      </c>
      <c r="C9" s="20">
        <v>140854</v>
      </c>
      <c r="D9">
        <f>koronahun!L677</f>
        <v>0</v>
      </c>
      <c r="E9" s="56" t="s">
        <v>11</v>
      </c>
      <c r="F9" s="56" t="s">
        <v>11</v>
      </c>
    </row>
    <row r="10" spans="1:6" ht="15.75" customHeight="1">
      <c r="A10" s="16">
        <v>9</v>
      </c>
      <c r="C10" s="20">
        <v>136733</v>
      </c>
      <c r="D10">
        <f>koronahun!L678</f>
        <v>0</v>
      </c>
      <c r="E10" s="56" t="s">
        <v>11</v>
      </c>
      <c r="F10" s="56" t="s">
        <v>11</v>
      </c>
    </row>
    <row r="11" spans="1:6" ht="15.75" customHeight="1">
      <c r="A11" s="16">
        <v>10</v>
      </c>
      <c r="C11" s="20">
        <v>133653</v>
      </c>
      <c r="D11">
        <f>koronahun!L679</f>
        <v>111895</v>
      </c>
      <c r="E11" s="56" t="s">
        <v>11</v>
      </c>
      <c r="F11" s="56" t="s">
        <v>11</v>
      </c>
    </row>
    <row r="12" spans="1:6" ht="15.75" customHeight="1">
      <c r="A12" s="16">
        <v>11</v>
      </c>
      <c r="C12" s="20">
        <v>128959</v>
      </c>
      <c r="D12">
        <f>koronahun!L680</f>
        <v>113160</v>
      </c>
      <c r="E12" s="56" t="s">
        <v>11</v>
      </c>
      <c r="F12" s="56" t="s">
        <v>11</v>
      </c>
    </row>
    <row r="13" spans="1:6" ht="15.75" customHeight="1">
      <c r="A13" s="16">
        <v>12</v>
      </c>
      <c r="C13" s="20">
        <v>123647</v>
      </c>
      <c r="D13">
        <f>koronahun!L681</f>
        <v>118945</v>
      </c>
      <c r="E13" s="56" t="s">
        <v>11</v>
      </c>
      <c r="F13" s="56" t="s">
        <v>11</v>
      </c>
    </row>
    <row r="14" spans="1:6" ht="15.75" customHeight="1">
      <c r="A14" s="16">
        <v>13</v>
      </c>
      <c r="C14" s="20">
        <v>119309</v>
      </c>
      <c r="D14">
        <f>koronahun!L682</f>
        <v>122424</v>
      </c>
      <c r="E14" s="56" t="s">
        <v>11</v>
      </c>
      <c r="F14" s="56" t="s">
        <v>11</v>
      </c>
    </row>
    <row r="15" spans="1:6" ht="15.75" customHeight="1">
      <c r="A15" s="16">
        <v>14</v>
      </c>
      <c r="C15" s="20">
        <v>116266</v>
      </c>
      <c r="D15">
        <f>koronahun!L683</f>
        <v>128268</v>
      </c>
      <c r="E15" s="56" t="s">
        <v>11</v>
      </c>
      <c r="F15" s="56" t="s">
        <v>11</v>
      </c>
    </row>
    <row r="16" spans="1:6" ht="15.75" customHeight="1">
      <c r="A16" s="16">
        <v>15</v>
      </c>
      <c r="C16" s="20">
        <v>112951</v>
      </c>
      <c r="D16">
        <f>koronahun!L684</f>
        <v>0</v>
      </c>
      <c r="E16" s="56" t="s">
        <v>11</v>
      </c>
      <c r="F16" s="56" t="s">
        <v>11</v>
      </c>
    </row>
    <row r="17" spans="1:6" ht="15.75" customHeight="1">
      <c r="A17" s="16">
        <v>16</v>
      </c>
      <c r="C17" s="20">
        <v>111998</v>
      </c>
      <c r="D17">
        <f>koronahun!L685</f>
        <v>0</v>
      </c>
      <c r="E17" s="56" t="s">
        <v>11</v>
      </c>
      <c r="F17" s="56" t="s">
        <v>11</v>
      </c>
    </row>
    <row r="18" spans="1:6" ht="15.75" customHeight="1">
      <c r="A18" s="16">
        <v>17</v>
      </c>
      <c r="C18" s="20">
        <v>111872</v>
      </c>
      <c r="D18">
        <f>koronahun!L686</f>
        <v>137951</v>
      </c>
      <c r="E18" s="56" t="s">
        <v>11</v>
      </c>
      <c r="F18" s="56" t="s">
        <v>11</v>
      </c>
    </row>
    <row r="19" spans="1:6" ht="15.75" customHeight="1">
      <c r="A19" s="16">
        <v>18</v>
      </c>
      <c r="C19" s="20">
        <v>110853</v>
      </c>
      <c r="D19">
        <f>koronahun!L687</f>
        <v>137628</v>
      </c>
      <c r="E19" s="56" t="s">
        <v>11</v>
      </c>
      <c r="F19" s="56" t="s">
        <v>11</v>
      </c>
    </row>
    <row r="20" spans="1:6" ht="15.75" customHeight="1">
      <c r="A20" s="16">
        <v>19</v>
      </c>
      <c r="C20" s="20">
        <v>109841</v>
      </c>
      <c r="D20">
        <f>koronahun!L688</f>
        <v>147573</v>
      </c>
      <c r="E20" s="56" t="s">
        <v>11</v>
      </c>
      <c r="F20" s="56" t="s">
        <v>11</v>
      </c>
    </row>
    <row r="21" spans="1:6" ht="15.75" customHeight="1">
      <c r="A21" s="16">
        <v>20</v>
      </c>
      <c r="C21" s="20">
        <v>109405</v>
      </c>
      <c r="D21">
        <f>koronahun!L689</f>
        <v>158424</v>
      </c>
      <c r="E21" s="56" t="s">
        <v>11</v>
      </c>
      <c r="F21" s="56" t="s">
        <v>11</v>
      </c>
    </row>
    <row r="22" spans="1:6" ht="15.75" customHeight="1">
      <c r="A22" s="16">
        <v>21</v>
      </c>
      <c r="C22" s="20">
        <v>108673</v>
      </c>
      <c r="D22">
        <f>koronahun!L690</f>
        <v>167425</v>
      </c>
      <c r="E22" s="56" t="s">
        <v>11</v>
      </c>
      <c r="F22" s="56" t="s">
        <v>11</v>
      </c>
    </row>
    <row r="23" spans="1:6" ht="15.75" customHeight="1">
      <c r="A23" s="16">
        <v>22</v>
      </c>
      <c r="C23" s="20">
        <v>107800</v>
      </c>
      <c r="D23">
        <f>koronahun!L691</f>
        <v>0</v>
      </c>
      <c r="E23" s="56" t="s">
        <v>11</v>
      </c>
      <c r="F23" s="56" t="s">
        <v>11</v>
      </c>
    </row>
    <row r="24" spans="1:6" ht="15.75" customHeight="1">
      <c r="A24" s="16">
        <v>23</v>
      </c>
      <c r="C24" s="20">
        <v>106533</v>
      </c>
      <c r="D24">
        <f>koronahun!L692</f>
        <v>0</v>
      </c>
      <c r="E24" s="56" t="s">
        <v>11</v>
      </c>
      <c r="F24" s="56" t="s">
        <v>11</v>
      </c>
    </row>
    <row r="25" spans="1:6" ht="15.75" customHeight="1">
      <c r="A25" s="16">
        <v>24</v>
      </c>
      <c r="C25" s="20">
        <v>106134</v>
      </c>
      <c r="D25">
        <f>koronahun!L693</f>
        <v>191312</v>
      </c>
      <c r="E25" s="56" t="s">
        <v>11</v>
      </c>
      <c r="F25" s="56" t="s">
        <v>11</v>
      </c>
    </row>
    <row r="26" spans="1:6" ht="15.75" customHeight="1">
      <c r="A26" s="16">
        <v>25</v>
      </c>
      <c r="C26" s="20">
        <v>105302</v>
      </c>
      <c r="D26">
        <f>koronahun!L694</f>
        <v>193630</v>
      </c>
      <c r="E26" s="56" t="s">
        <v>11</v>
      </c>
      <c r="F26" s="56" t="s">
        <v>11</v>
      </c>
    </row>
    <row r="27" spans="1:6" ht="15.75" customHeight="1">
      <c r="A27" s="16">
        <v>26</v>
      </c>
      <c r="C27" s="20">
        <v>104083</v>
      </c>
      <c r="D27">
        <f>koronahun!L695</f>
        <v>205376</v>
      </c>
      <c r="E27" s="56" t="s">
        <v>11</v>
      </c>
      <c r="F27" s="56" t="s">
        <v>11</v>
      </c>
    </row>
    <row r="28" spans="1:6" ht="15.75" customHeight="1">
      <c r="A28" s="16">
        <v>27</v>
      </c>
      <c r="C28" s="20">
        <v>103087</v>
      </c>
      <c r="D28">
        <f>koronahun!L696</f>
        <v>215839</v>
      </c>
      <c r="E28" s="56" t="s">
        <v>11</v>
      </c>
      <c r="F28" s="56" t="s">
        <v>11</v>
      </c>
    </row>
    <row r="29" spans="1:6" ht="15.75" customHeight="1">
      <c r="A29" s="16">
        <v>28</v>
      </c>
      <c r="C29" s="20">
        <v>102156</v>
      </c>
      <c r="D29">
        <f>koronahun!L697</f>
        <v>225801</v>
      </c>
      <c r="E29" s="56" t="s">
        <v>11</v>
      </c>
      <c r="F29" s="56" t="s">
        <v>11</v>
      </c>
    </row>
    <row r="30" spans="1:6" ht="15.75" customHeight="1">
      <c r="A30" s="16">
        <v>29</v>
      </c>
      <c r="C30" s="20">
        <v>97752</v>
      </c>
      <c r="D30">
        <f>koronahun!L698</f>
        <v>0</v>
      </c>
      <c r="E30" s="56" t="s">
        <v>11</v>
      </c>
      <c r="F30" s="56" t="s">
        <v>11</v>
      </c>
    </row>
    <row r="31" spans="1:6" ht="15.75" customHeight="1">
      <c r="A31" s="16">
        <v>30</v>
      </c>
      <c r="C31" s="20">
        <v>94261</v>
      </c>
      <c r="D31">
        <f>koronahun!L699</f>
        <v>0</v>
      </c>
      <c r="E31" s="56" t="s">
        <v>11</v>
      </c>
      <c r="F31" s="56" t="s">
        <v>11</v>
      </c>
    </row>
    <row r="32" spans="1:6" ht="15.75" customHeight="1">
      <c r="A32" s="16">
        <v>31</v>
      </c>
      <c r="C32" s="20">
        <v>92094</v>
      </c>
      <c r="D32">
        <f>koronahun!L700</f>
        <v>231601</v>
      </c>
      <c r="E32" s="56" t="s">
        <v>11</v>
      </c>
      <c r="F32" s="56" t="s">
        <v>11</v>
      </c>
    </row>
    <row r="33" spans="1:6" ht="15.75" customHeight="1">
      <c r="A33" s="16">
        <v>32</v>
      </c>
      <c r="C33" s="20">
        <v>91872</v>
      </c>
      <c r="D33">
        <f>koronahun!L701</f>
        <v>229857</v>
      </c>
      <c r="E33" s="56" t="s">
        <v>11</v>
      </c>
      <c r="F33" s="56" t="s">
        <v>11</v>
      </c>
    </row>
    <row r="34" spans="1:6" ht="15.75" customHeight="1">
      <c r="A34" s="16">
        <v>33</v>
      </c>
      <c r="C34" s="20">
        <v>87829</v>
      </c>
      <c r="D34">
        <f>koronahun!L702</f>
        <v>230549</v>
      </c>
      <c r="E34" s="56" t="s">
        <v>11</v>
      </c>
      <c r="F34" s="56" t="s">
        <v>11</v>
      </c>
    </row>
    <row r="35" spans="1:6" ht="15.75" customHeight="1">
      <c r="A35" s="16">
        <v>34</v>
      </c>
      <c r="C35" s="20">
        <v>85313</v>
      </c>
      <c r="D35">
        <f>koronahun!L703</f>
        <v>227899</v>
      </c>
      <c r="E35" s="56" t="s">
        <v>11</v>
      </c>
      <c r="F35" s="56" t="s">
        <v>11</v>
      </c>
    </row>
    <row r="36" spans="1:6" ht="15.75" customHeight="1">
      <c r="A36" s="16">
        <v>35</v>
      </c>
      <c r="C36" s="20">
        <v>84848</v>
      </c>
      <c r="D36">
        <f>koronahun!L704</f>
        <v>227407</v>
      </c>
      <c r="E36" s="56" t="s">
        <v>11</v>
      </c>
      <c r="F36" s="56" t="s">
        <v>11</v>
      </c>
    </row>
    <row r="37" spans="1:6" ht="15.75" customHeight="1">
      <c r="A37" s="16">
        <v>36</v>
      </c>
      <c r="C37" s="20">
        <v>84870</v>
      </c>
      <c r="D37">
        <f>koronahun!L705</f>
        <v>0</v>
      </c>
      <c r="E37" s="56" t="s">
        <v>11</v>
      </c>
      <c r="F37" s="56" t="s">
        <v>11</v>
      </c>
    </row>
    <row r="38" spans="1:6" ht="15.75" customHeight="1">
      <c r="A38" s="16">
        <v>37</v>
      </c>
      <c r="C38" s="20">
        <v>84150</v>
      </c>
      <c r="D38">
        <f>koronahun!L706</f>
        <v>0</v>
      </c>
      <c r="E38" s="56" t="s">
        <v>11</v>
      </c>
      <c r="F38" s="56" t="s">
        <v>11</v>
      </c>
    </row>
    <row r="39" spans="1:6" ht="15.75" customHeight="1">
      <c r="A39" s="16">
        <v>38</v>
      </c>
      <c r="C39" s="20">
        <v>83642</v>
      </c>
      <c r="D39">
        <f>koronahun!L707</f>
        <v>231490</v>
      </c>
      <c r="E39" s="56" t="s">
        <v>11</v>
      </c>
      <c r="F39" s="56" t="s">
        <v>11</v>
      </c>
    </row>
    <row r="40" spans="1:6" ht="15.75" customHeight="1">
      <c r="A40" s="16">
        <v>39</v>
      </c>
      <c r="C40" s="20">
        <v>82661</v>
      </c>
      <c r="D40">
        <f>koronahun!L708</f>
        <v>231376</v>
      </c>
      <c r="E40" s="56" t="s">
        <v>11</v>
      </c>
      <c r="F40" s="56" t="s">
        <v>11</v>
      </c>
    </row>
    <row r="41" spans="1:6" ht="15.75" customHeight="1">
      <c r="A41" s="16">
        <v>40</v>
      </c>
      <c r="C41" s="20">
        <v>82203</v>
      </c>
      <c r="D41">
        <f>koronahun!L709</f>
        <v>229240</v>
      </c>
      <c r="E41" s="56" t="s">
        <v>11</v>
      </c>
      <c r="F41" s="56" t="s">
        <v>11</v>
      </c>
    </row>
    <row r="42" spans="1:6" ht="15.75" customHeight="1">
      <c r="A42" s="16">
        <v>41</v>
      </c>
      <c r="C42" s="20">
        <v>81644</v>
      </c>
      <c r="D42">
        <f>koronahun!L710</f>
        <v>231613</v>
      </c>
      <c r="E42" s="56" t="s">
        <v>11</v>
      </c>
      <c r="F42" s="56" t="s">
        <v>11</v>
      </c>
    </row>
    <row r="43" spans="1:6" ht="15.75" customHeight="1">
      <c r="A43" s="16">
        <v>42</v>
      </c>
      <c r="C43" s="20">
        <v>81297</v>
      </c>
      <c r="D43">
        <f>koronahun!L711</f>
        <v>229710</v>
      </c>
      <c r="E43" s="56" t="s">
        <v>11</v>
      </c>
      <c r="F43" s="56" t="s">
        <v>11</v>
      </c>
    </row>
    <row r="44" spans="1:6" ht="15.75" customHeight="1">
      <c r="A44" s="16">
        <v>43</v>
      </c>
      <c r="C44" s="20">
        <v>80672</v>
      </c>
      <c r="D44">
        <f>koronahun!L712</f>
        <v>0</v>
      </c>
      <c r="E44" s="56" t="s">
        <v>11</v>
      </c>
      <c r="F44" s="56" t="s">
        <v>11</v>
      </c>
    </row>
    <row r="45" spans="1:6" ht="15.75" customHeight="1">
      <c r="A45" s="16">
        <v>44</v>
      </c>
      <c r="C45" s="20">
        <v>78577</v>
      </c>
      <c r="D45">
        <f>koronahun!L713</f>
        <v>0</v>
      </c>
      <c r="E45" s="56" t="s">
        <v>11</v>
      </c>
      <c r="F45" s="56" t="s">
        <v>11</v>
      </c>
    </row>
    <row r="46" spans="1:6" ht="15.75" customHeight="1">
      <c r="A46" s="16">
        <v>45</v>
      </c>
      <c r="C46" s="20">
        <v>77583</v>
      </c>
      <c r="D46">
        <f>koronahun!L714</f>
        <v>223810</v>
      </c>
      <c r="E46" s="56" t="s">
        <v>11</v>
      </c>
      <c r="F46" s="56" t="s">
        <v>11</v>
      </c>
    </row>
    <row r="47" spans="1:6" ht="15.75" customHeight="1">
      <c r="A47" s="16">
        <v>46</v>
      </c>
      <c r="C47" s="20">
        <v>77039</v>
      </c>
      <c r="D47">
        <f>koronahun!L715</f>
        <v>210285</v>
      </c>
      <c r="E47" s="56" t="s">
        <v>11</v>
      </c>
      <c r="F47" s="56" t="s">
        <v>11</v>
      </c>
    </row>
    <row r="48" spans="1:6" ht="15.75" customHeight="1">
      <c r="A48" s="16">
        <v>47</v>
      </c>
      <c r="C48" s="20">
        <v>77012</v>
      </c>
      <c r="D48">
        <f>koronahun!L716</f>
        <v>209035</v>
      </c>
      <c r="E48" s="56" t="s">
        <v>11</v>
      </c>
      <c r="F48" s="56" t="s">
        <v>11</v>
      </c>
    </row>
    <row r="49" spans="1:6" ht="15.75" customHeight="1">
      <c r="A49" s="16">
        <v>48</v>
      </c>
      <c r="C49" s="20">
        <v>77250</v>
      </c>
      <c r="D49">
        <f>koronahun!L717</f>
        <v>202738</v>
      </c>
      <c r="E49" s="56" t="s">
        <v>11</v>
      </c>
      <c r="F49" s="56" t="s">
        <v>11</v>
      </c>
    </row>
    <row r="50" spans="1:6" ht="15.75" customHeight="1">
      <c r="A50" s="16">
        <v>49</v>
      </c>
      <c r="C50" s="20">
        <v>78625</v>
      </c>
      <c r="D50">
        <f>koronahun!L718</f>
        <v>199303</v>
      </c>
      <c r="E50" s="56" t="s">
        <v>11</v>
      </c>
      <c r="F50" s="56" t="s">
        <v>11</v>
      </c>
    </row>
    <row r="51" spans="1:6" ht="15.75" customHeight="1">
      <c r="A51" s="16">
        <v>50</v>
      </c>
      <c r="C51" s="20">
        <v>80282</v>
      </c>
      <c r="D51">
        <f>koronahun!L719</f>
        <v>0</v>
      </c>
      <c r="E51" s="56" t="s">
        <v>11</v>
      </c>
      <c r="F51" s="56" t="s">
        <v>11</v>
      </c>
    </row>
    <row r="52" spans="1:6" ht="15.75" customHeight="1">
      <c r="A52" s="16">
        <v>51</v>
      </c>
      <c r="C52" s="20">
        <v>81179</v>
      </c>
      <c r="D52">
        <f>koronahun!L720</f>
        <v>0</v>
      </c>
      <c r="E52" s="56" t="s">
        <v>11</v>
      </c>
      <c r="F52" s="56" t="s">
        <v>11</v>
      </c>
    </row>
    <row r="53" spans="1:6" ht="15.75" customHeight="1">
      <c r="A53" s="16">
        <v>52</v>
      </c>
      <c r="C53" s="20">
        <v>82103</v>
      </c>
      <c r="D53">
        <f>koronahun!L721</f>
        <v>189560</v>
      </c>
      <c r="E53" s="56" t="s">
        <v>11</v>
      </c>
      <c r="F53" s="56" t="s">
        <v>11</v>
      </c>
    </row>
    <row r="54" spans="1:6" ht="15.75" customHeight="1">
      <c r="A54" s="16">
        <v>53</v>
      </c>
      <c r="C54" s="20">
        <v>82649</v>
      </c>
      <c r="D54">
        <f>koronahun!L722</f>
        <v>183992</v>
      </c>
      <c r="E54" s="56" t="s">
        <v>11</v>
      </c>
      <c r="F54" s="56" t="s">
        <v>11</v>
      </c>
    </row>
    <row r="55" spans="1:6" ht="15.75" customHeight="1">
      <c r="A55" s="16">
        <v>54</v>
      </c>
      <c r="C55" s="20">
        <v>81976</v>
      </c>
      <c r="D55">
        <f>koronahun!L723</f>
        <v>178730</v>
      </c>
      <c r="E55" s="56" t="s">
        <v>11</v>
      </c>
      <c r="F55" s="56" t="s">
        <v>11</v>
      </c>
    </row>
    <row r="56" spans="1:6" ht="15.75" customHeight="1">
      <c r="A56" s="16">
        <v>55</v>
      </c>
      <c r="C56" s="20">
        <v>82127</v>
      </c>
      <c r="D56">
        <f>koronahun!L724</f>
        <v>173798</v>
      </c>
      <c r="E56" s="56" t="s">
        <v>11</v>
      </c>
      <c r="F56" s="56" t="s">
        <v>11</v>
      </c>
    </row>
    <row r="57" spans="1:6" ht="15.75" customHeight="1">
      <c r="A57" s="16">
        <v>56</v>
      </c>
      <c r="C57" s="20">
        <v>84061</v>
      </c>
      <c r="D57">
        <f>koronahun!L725</f>
        <v>168913</v>
      </c>
      <c r="E57" s="56" t="s">
        <v>11</v>
      </c>
      <c r="F57" s="56" t="s">
        <v>11</v>
      </c>
    </row>
    <row r="58" spans="1:6" ht="15.75" customHeight="1">
      <c r="A58" s="16">
        <v>57</v>
      </c>
      <c r="C58" s="20">
        <v>86488</v>
      </c>
      <c r="D58">
        <f>koronahun!L726</f>
        <v>0</v>
      </c>
      <c r="E58" s="56" t="s">
        <v>11</v>
      </c>
      <c r="F58" s="56" t="s">
        <v>11</v>
      </c>
    </row>
    <row r="59" spans="1:6" ht="15.75" customHeight="1">
      <c r="A59" s="16">
        <v>58</v>
      </c>
      <c r="C59" s="20">
        <v>89537</v>
      </c>
      <c r="D59">
        <f>koronahun!L727</f>
        <v>0</v>
      </c>
      <c r="E59" s="56" t="s">
        <v>11</v>
      </c>
      <c r="F59" s="56" t="s">
        <v>11</v>
      </c>
    </row>
    <row r="60" spans="1:6" ht="15.75" customHeight="1">
      <c r="A60" s="16">
        <v>59</v>
      </c>
      <c r="C60" s="20">
        <v>92497</v>
      </c>
      <c r="D60">
        <f>koronahun!L728</f>
        <v>154752</v>
      </c>
      <c r="E60" s="56" t="s">
        <v>11</v>
      </c>
      <c r="F60" s="56" t="s">
        <v>11</v>
      </c>
    </row>
    <row r="61" spans="1:6" ht="15.75" customHeight="1">
      <c r="A61" s="16">
        <v>60</v>
      </c>
      <c r="C61" s="20">
        <v>94911</v>
      </c>
      <c r="D61">
        <f>koronahun!L729</f>
        <v>150522</v>
      </c>
      <c r="E61" s="56" t="s">
        <v>11</v>
      </c>
      <c r="F61" s="56" t="s">
        <v>11</v>
      </c>
    </row>
    <row r="62" spans="1:6" ht="15.75" customHeight="1">
      <c r="A62" s="16">
        <v>61</v>
      </c>
      <c r="C62" s="20">
        <v>96299</v>
      </c>
      <c r="D62">
        <f>koronahun!L730</f>
        <v>142902</v>
      </c>
      <c r="E62" s="56" t="s">
        <v>11</v>
      </c>
      <c r="F62" s="56" t="s">
        <v>11</v>
      </c>
    </row>
    <row r="63" spans="1:6" ht="15.75" customHeight="1">
      <c r="A63" s="16">
        <v>62</v>
      </c>
      <c r="C63" s="20">
        <v>98361</v>
      </c>
      <c r="D63">
        <f>koronahun!L731</f>
        <v>142456</v>
      </c>
      <c r="E63" s="56" t="s">
        <v>11</v>
      </c>
      <c r="F63" s="56" t="s">
        <v>11</v>
      </c>
    </row>
    <row r="64" spans="1:6" ht="13">
      <c r="A64" s="16">
        <v>63</v>
      </c>
      <c r="B64" s="16">
        <v>2</v>
      </c>
      <c r="C64" s="20">
        <v>102566</v>
      </c>
      <c r="D64">
        <f>koronahun!L732</f>
        <v>137186</v>
      </c>
      <c r="E64" s="56" t="s">
        <v>11</v>
      </c>
      <c r="F64" s="56" t="s">
        <v>11</v>
      </c>
    </row>
    <row r="65" spans="1:6" ht="13">
      <c r="A65" s="16">
        <v>64</v>
      </c>
      <c r="B65" s="16">
        <v>4</v>
      </c>
      <c r="C65" s="20">
        <v>105371</v>
      </c>
      <c r="D65">
        <f>koronahun!L733</f>
        <v>0</v>
      </c>
      <c r="E65" s="56" t="s">
        <v>11</v>
      </c>
      <c r="F65" s="56" t="s">
        <v>11</v>
      </c>
    </row>
    <row r="66" spans="1:6" ht="13">
      <c r="A66" s="16">
        <v>65</v>
      </c>
      <c r="B66" s="16">
        <v>4</v>
      </c>
      <c r="C66" s="20">
        <v>111006</v>
      </c>
      <c r="D66">
        <f>koronahun!L734</f>
        <v>0</v>
      </c>
      <c r="E66" s="56" t="s">
        <v>11</v>
      </c>
      <c r="F66" s="56" t="s">
        <v>11</v>
      </c>
    </row>
    <row r="67" spans="1:6" ht="13">
      <c r="A67" s="16">
        <v>66</v>
      </c>
      <c r="B67" s="16">
        <v>5</v>
      </c>
      <c r="C67" s="20">
        <v>114632</v>
      </c>
      <c r="D67">
        <f>koronahun!L735</f>
        <v>129137</v>
      </c>
      <c r="E67" s="56" t="s">
        <v>11</v>
      </c>
      <c r="F67" s="56" t="s">
        <v>11</v>
      </c>
    </row>
    <row r="68" spans="1:6" ht="13">
      <c r="A68" s="16">
        <v>67</v>
      </c>
      <c r="B68" s="16">
        <v>7</v>
      </c>
      <c r="C68" s="20">
        <v>115981</v>
      </c>
      <c r="D68">
        <f>koronahun!L736</f>
        <v>126009</v>
      </c>
      <c r="E68" s="56" t="s">
        <v>11</v>
      </c>
      <c r="F68" s="56" t="s">
        <v>11</v>
      </c>
    </row>
    <row r="69" spans="1:6" ht="13">
      <c r="A69" s="16">
        <v>68</v>
      </c>
      <c r="B69" s="16">
        <v>9</v>
      </c>
      <c r="C69" s="20">
        <v>120115</v>
      </c>
      <c r="D69">
        <f>koronahun!L737</f>
        <v>124112</v>
      </c>
      <c r="E69" s="56" t="s">
        <v>11</v>
      </c>
      <c r="F69" s="56" t="s">
        <v>11</v>
      </c>
    </row>
    <row r="70" spans="1:6" ht="13">
      <c r="A70" s="16">
        <v>69</v>
      </c>
      <c r="B70" s="16">
        <v>12</v>
      </c>
      <c r="C70" s="20">
        <v>123691</v>
      </c>
      <c r="D70">
        <f>koronahun!L738</f>
        <v>121654</v>
      </c>
      <c r="E70" s="56" t="s">
        <v>11</v>
      </c>
      <c r="F70" s="56" t="s">
        <v>11</v>
      </c>
    </row>
    <row r="71" spans="1:6" ht="13">
      <c r="A71" s="16">
        <v>70</v>
      </c>
      <c r="B71" s="16">
        <v>13</v>
      </c>
      <c r="C71" s="20">
        <v>128408</v>
      </c>
      <c r="D71">
        <f>koronahun!L739</f>
        <v>119066</v>
      </c>
      <c r="E71" s="56" t="s">
        <v>11</v>
      </c>
      <c r="F71" s="56" t="s">
        <v>11</v>
      </c>
    </row>
    <row r="72" spans="1:6" ht="13">
      <c r="A72" s="16">
        <v>71</v>
      </c>
      <c r="B72" s="16">
        <v>16</v>
      </c>
      <c r="C72" s="20">
        <v>134652</v>
      </c>
      <c r="D72">
        <f>koronahun!L740</f>
        <v>0</v>
      </c>
      <c r="E72" s="56" t="s">
        <v>11</v>
      </c>
      <c r="F72" s="56" t="s">
        <v>11</v>
      </c>
    </row>
    <row r="73" spans="1:6" ht="13">
      <c r="A73" s="16">
        <v>72</v>
      </c>
      <c r="B73" s="16">
        <v>18</v>
      </c>
      <c r="C73" s="20">
        <v>141307</v>
      </c>
      <c r="D73">
        <f>koronahun!L741</f>
        <v>0</v>
      </c>
      <c r="E73" s="56" t="s">
        <v>11</v>
      </c>
      <c r="F73" s="56" t="s">
        <v>11</v>
      </c>
    </row>
    <row r="74" spans="1:6" ht="13">
      <c r="A74" s="16">
        <v>73</v>
      </c>
      <c r="B74" s="16">
        <v>29</v>
      </c>
      <c r="C74" s="20">
        <v>147647</v>
      </c>
      <c r="D74">
        <f>koronahun!L742</f>
        <v>0</v>
      </c>
      <c r="E74" s="56" t="s">
        <v>11</v>
      </c>
      <c r="F74" s="56" t="s">
        <v>11</v>
      </c>
    </row>
    <row r="75" spans="1:6" ht="13">
      <c r="A75" s="16">
        <v>74</v>
      </c>
      <c r="B75" s="16">
        <v>31</v>
      </c>
      <c r="C75" s="20">
        <v>152296</v>
      </c>
      <c r="D75">
        <f>koronahun!L743</f>
        <v>0</v>
      </c>
      <c r="E75" s="56" t="s">
        <v>11</v>
      </c>
      <c r="F75" s="56" t="s">
        <v>11</v>
      </c>
    </row>
    <row r="76" spans="1:6" ht="13">
      <c r="A76" s="16">
        <v>75</v>
      </c>
      <c r="B76" s="16">
        <v>36</v>
      </c>
      <c r="C76" s="20">
        <v>155217</v>
      </c>
      <c r="D76">
        <f>koronahun!L744</f>
        <v>110526</v>
      </c>
      <c r="E76" s="56" t="s">
        <v>11</v>
      </c>
      <c r="F76" s="56" t="s">
        <v>11</v>
      </c>
    </row>
    <row r="77" spans="1:6" ht="13">
      <c r="A77" s="16">
        <v>76</v>
      </c>
      <c r="B77" s="16">
        <v>47</v>
      </c>
      <c r="C77" s="20">
        <v>156096</v>
      </c>
      <c r="D77">
        <f>koronahun!L745</f>
        <v>108761</v>
      </c>
      <c r="E77" s="56" t="s">
        <v>11</v>
      </c>
      <c r="F77" s="56" t="s">
        <v>11</v>
      </c>
    </row>
    <row r="78" spans="1:6" ht="13">
      <c r="A78" s="16">
        <v>77</v>
      </c>
      <c r="B78" s="16">
        <v>55</v>
      </c>
      <c r="C78" s="20">
        <v>160557</v>
      </c>
      <c r="D78">
        <f>koronahun!L746</f>
        <v>106429</v>
      </c>
      <c r="E78" s="56" t="s">
        <v>11</v>
      </c>
      <c r="F78" s="56" t="s">
        <v>11</v>
      </c>
    </row>
    <row r="79" spans="1:6" ht="13">
      <c r="A79" s="16">
        <v>78</v>
      </c>
      <c r="B79" s="16">
        <v>70</v>
      </c>
      <c r="C79" s="20">
        <v>167190</v>
      </c>
      <c r="D79">
        <f>koronahun!L747</f>
        <v>0</v>
      </c>
      <c r="E79" s="56" t="s">
        <v>11</v>
      </c>
      <c r="F79" s="56" t="s">
        <v>11</v>
      </c>
    </row>
    <row r="80" spans="1:6" ht="13">
      <c r="A80" s="16">
        <v>79</v>
      </c>
      <c r="B80" s="16">
        <v>74</v>
      </c>
      <c r="C80" s="20">
        <v>176129</v>
      </c>
      <c r="D80">
        <f>koronahun!L748</f>
        <v>0</v>
      </c>
      <c r="E80" s="56" t="s">
        <v>11</v>
      </c>
      <c r="F80" s="56" t="s">
        <v>11</v>
      </c>
    </row>
    <row r="81" spans="1:6" ht="13">
      <c r="A81" s="16">
        <v>80</v>
      </c>
      <c r="B81" s="16">
        <v>92</v>
      </c>
      <c r="C81" s="20">
        <v>183336</v>
      </c>
      <c r="D81">
        <f>koronahun!L749</f>
        <v>103565</v>
      </c>
      <c r="E81" s="56" t="s">
        <v>11</v>
      </c>
      <c r="F81" s="56" t="s">
        <v>11</v>
      </c>
    </row>
    <row r="82" spans="1:6" ht="13">
      <c r="A82" s="16">
        <v>81</v>
      </c>
      <c r="B82" s="16">
        <v>109</v>
      </c>
      <c r="C82" s="20">
        <v>188525</v>
      </c>
      <c r="D82">
        <f>koronahun!L750</f>
        <v>103266</v>
      </c>
      <c r="E82" s="56" t="s">
        <v>11</v>
      </c>
      <c r="F82" s="56" t="s">
        <v>11</v>
      </c>
    </row>
    <row r="83" spans="1:6" ht="13">
      <c r="A83" s="16">
        <v>82</v>
      </c>
      <c r="B83" s="16">
        <v>138</v>
      </c>
      <c r="C83" s="20">
        <v>189244</v>
      </c>
      <c r="D83">
        <f>koronahun!L751</f>
        <v>102764</v>
      </c>
      <c r="E83" s="56" t="s">
        <v>11</v>
      </c>
      <c r="F83" s="56" t="s">
        <v>11</v>
      </c>
    </row>
    <row r="84" spans="1:6" ht="13">
      <c r="A84" s="16">
        <v>83</v>
      </c>
      <c r="B84" s="16">
        <v>157</v>
      </c>
      <c r="C84" s="20">
        <v>192951</v>
      </c>
      <c r="D84">
        <f>koronahun!L752</f>
        <v>102239</v>
      </c>
      <c r="E84" s="56" t="s">
        <v>11</v>
      </c>
      <c r="F84" s="56" t="s">
        <v>11</v>
      </c>
    </row>
    <row r="85" spans="1:6" ht="13">
      <c r="A85" s="16">
        <v>84</v>
      </c>
      <c r="B85" s="16">
        <v>195</v>
      </c>
      <c r="C85" s="20">
        <v>196553</v>
      </c>
      <c r="D85">
        <f>koronahun!L753</f>
        <v>100707</v>
      </c>
      <c r="E85" s="56" t="s">
        <v>11</v>
      </c>
      <c r="F85" s="56" t="s">
        <v>11</v>
      </c>
    </row>
    <row r="86" spans="1:6" ht="13">
      <c r="A86" s="16">
        <v>85</v>
      </c>
      <c r="B86" s="16">
        <v>223</v>
      </c>
      <c r="C86" s="20">
        <v>202799</v>
      </c>
      <c r="D86">
        <f>koronahun!L754</f>
        <v>0</v>
      </c>
      <c r="E86" s="56" t="s">
        <v>11</v>
      </c>
      <c r="F86" s="56" t="s">
        <v>11</v>
      </c>
    </row>
    <row r="87" spans="1:6" ht="13">
      <c r="A87" s="16">
        <v>86</v>
      </c>
      <c r="B87" s="16">
        <v>256</v>
      </c>
      <c r="C87" s="20">
        <v>211028</v>
      </c>
      <c r="D87">
        <f>koronahun!L755</f>
        <v>0</v>
      </c>
      <c r="E87" s="56" t="s">
        <v>11</v>
      </c>
      <c r="F87" s="56" t="s">
        <v>11</v>
      </c>
    </row>
    <row r="88" spans="1:6" ht="13">
      <c r="A88" s="16">
        <v>87</v>
      </c>
      <c r="B88" s="16">
        <v>298</v>
      </c>
      <c r="C88" s="20">
        <v>218099</v>
      </c>
      <c r="D88">
        <f>koronahun!L756</f>
        <v>100067</v>
      </c>
      <c r="E88" s="56" t="s">
        <v>11</v>
      </c>
      <c r="F88" s="56" t="s">
        <v>11</v>
      </c>
    </row>
    <row r="89" spans="1:6" ht="13">
      <c r="A89" s="16">
        <v>88</v>
      </c>
      <c r="B89" s="16">
        <v>361</v>
      </c>
      <c r="C89" s="20">
        <v>221002</v>
      </c>
      <c r="D89">
        <f>koronahun!L757</f>
        <v>100193</v>
      </c>
      <c r="E89" s="56" t="s">
        <v>11</v>
      </c>
      <c r="F89" s="56" t="s">
        <v>11</v>
      </c>
    </row>
    <row r="90" spans="1:6" ht="13">
      <c r="A90" s="16">
        <v>89</v>
      </c>
      <c r="B90" s="16">
        <v>398</v>
      </c>
      <c r="C90" s="20">
        <v>222234</v>
      </c>
      <c r="D90">
        <f>koronahun!L758</f>
        <v>99855</v>
      </c>
      <c r="E90" s="56" t="s">
        <v>11</v>
      </c>
      <c r="F90" s="56" t="s">
        <v>11</v>
      </c>
    </row>
    <row r="91" spans="1:6" ht="13">
      <c r="A91" s="16">
        <v>90</v>
      </c>
      <c r="B91" s="16">
        <v>439</v>
      </c>
      <c r="C91" s="20">
        <v>224761</v>
      </c>
      <c r="D91">
        <f>koronahun!L759</f>
        <v>99675</v>
      </c>
      <c r="E91" s="56" t="s">
        <v>11</v>
      </c>
      <c r="F91" s="56" t="s">
        <v>11</v>
      </c>
    </row>
    <row r="92" spans="1:6" ht="13">
      <c r="A92" s="16">
        <v>91</v>
      </c>
      <c r="B92" s="16">
        <v>465</v>
      </c>
      <c r="C92" s="20">
        <v>230161</v>
      </c>
      <c r="D92">
        <f>koronahun!L760</f>
        <v>99318</v>
      </c>
      <c r="E92" s="56" t="s">
        <v>11</v>
      </c>
      <c r="F92" s="56" t="s">
        <v>11</v>
      </c>
    </row>
    <row r="93" spans="1:6" ht="13">
      <c r="A93" s="16">
        <v>92</v>
      </c>
      <c r="B93" s="16">
        <v>522</v>
      </c>
      <c r="C93" s="20">
        <v>236144</v>
      </c>
      <c r="D93">
        <f>koronahun!L761</f>
        <v>0</v>
      </c>
      <c r="E93" s="56" t="s">
        <v>11</v>
      </c>
      <c r="F93" s="56" t="s">
        <v>11</v>
      </c>
    </row>
    <row r="94" spans="1:6" ht="13">
      <c r="A94" s="16">
        <v>93</v>
      </c>
      <c r="B94" s="16">
        <v>554</v>
      </c>
      <c r="C94" s="20">
        <v>242308</v>
      </c>
      <c r="D94">
        <f>koronahun!L762</f>
        <v>0</v>
      </c>
      <c r="E94" s="56" t="s">
        <v>11</v>
      </c>
      <c r="F94" s="56" t="s">
        <v>11</v>
      </c>
    </row>
    <row r="95" spans="1:6" ht="13">
      <c r="A95" s="16">
        <v>94</v>
      </c>
      <c r="B95" s="16">
        <v>588</v>
      </c>
      <c r="C95" s="20">
        <v>247292</v>
      </c>
      <c r="D95">
        <f>koronahun!L763</f>
        <v>0</v>
      </c>
      <c r="E95" s="56" t="s">
        <v>11</v>
      </c>
      <c r="F95" s="56" t="s">
        <v>11</v>
      </c>
    </row>
    <row r="96" spans="1:6" ht="13">
      <c r="A96" s="16">
        <v>95</v>
      </c>
      <c r="B96" s="16">
        <v>633</v>
      </c>
      <c r="C96" s="20">
        <v>249841</v>
      </c>
      <c r="D96">
        <f>koronahun!L764</f>
        <v>97280</v>
      </c>
      <c r="E96" s="56" t="s">
        <v>11</v>
      </c>
      <c r="F96" s="56" t="s">
        <v>11</v>
      </c>
    </row>
    <row r="97" spans="1:6" ht="13">
      <c r="A97" s="16">
        <v>96</v>
      </c>
      <c r="B97" s="16">
        <v>639</v>
      </c>
      <c r="C97" s="20">
        <v>251077</v>
      </c>
      <c r="D97">
        <f>koronahun!L765</f>
        <v>96895</v>
      </c>
      <c r="E97" s="56" t="s">
        <v>11</v>
      </c>
      <c r="F97" s="56" t="s">
        <v>11</v>
      </c>
    </row>
    <row r="98" spans="1:6" ht="13">
      <c r="A98" s="16">
        <v>97</v>
      </c>
      <c r="B98" s="16">
        <v>699</v>
      </c>
      <c r="C98" s="20">
        <v>252115</v>
      </c>
      <c r="D98">
        <f>koronahun!L766</f>
        <v>96903</v>
      </c>
      <c r="E98" s="56" t="s">
        <v>11</v>
      </c>
      <c r="F98" s="56" t="s">
        <v>11</v>
      </c>
    </row>
    <row r="99" spans="1:6" ht="13">
      <c r="A99" s="16">
        <v>98</v>
      </c>
      <c r="B99" s="16">
        <v>743</v>
      </c>
      <c r="C99" s="20">
        <v>256044</v>
      </c>
      <c r="D99">
        <f>koronahun!L767</f>
        <v>96962</v>
      </c>
      <c r="E99" s="56" t="s">
        <v>11</v>
      </c>
      <c r="F99" s="56" t="s">
        <v>11</v>
      </c>
    </row>
    <row r="100" spans="1:6" ht="13">
      <c r="A100" s="16">
        <v>99</v>
      </c>
      <c r="B100" s="16">
        <v>818</v>
      </c>
      <c r="C100" s="20">
        <v>262574</v>
      </c>
      <c r="D100">
        <f>koronahun!L768</f>
        <v>0</v>
      </c>
      <c r="E100" s="56" t="s">
        <v>11</v>
      </c>
      <c r="F100" s="56" t="s">
        <v>11</v>
      </c>
    </row>
    <row r="101" spans="1:6" ht="13">
      <c r="A101" s="16">
        <v>100</v>
      </c>
      <c r="B101" s="16">
        <v>1001</v>
      </c>
      <c r="C101" s="20">
        <v>267291</v>
      </c>
      <c r="D101">
        <f>koronahun!L769</f>
        <v>0</v>
      </c>
      <c r="E101" s="56" t="s">
        <v>11</v>
      </c>
      <c r="F101" s="56" t="s">
        <v>11</v>
      </c>
    </row>
    <row r="102" spans="1:6" ht="13">
      <c r="A102" s="16">
        <v>101</v>
      </c>
      <c r="B102" s="16">
        <v>1110</v>
      </c>
      <c r="C102" s="20">
        <v>270353</v>
      </c>
      <c r="D102">
        <f>koronahun!L770</f>
        <v>95067</v>
      </c>
      <c r="E102" s="56" t="s">
        <v>11</v>
      </c>
      <c r="F102" s="56" t="s">
        <v>11</v>
      </c>
    </row>
    <row r="103" spans="1:6" ht="13">
      <c r="A103" s="16">
        <v>102</v>
      </c>
      <c r="B103" s="16">
        <v>1193</v>
      </c>
      <c r="C103" s="20">
        <v>272459</v>
      </c>
      <c r="D103">
        <f>koronahun!L771</f>
        <v>92465</v>
      </c>
      <c r="E103" s="56" t="s">
        <v>11</v>
      </c>
      <c r="F103" s="56" t="s">
        <v>11</v>
      </c>
    </row>
    <row r="104" spans="1:6" ht="13">
      <c r="A104" s="16">
        <v>103</v>
      </c>
      <c r="B104" s="16">
        <v>1229</v>
      </c>
      <c r="C104" s="20">
        <v>272974</v>
      </c>
      <c r="D104">
        <f>koronahun!L772</f>
        <v>89057</v>
      </c>
      <c r="E104" s="56" t="s">
        <v>11</v>
      </c>
      <c r="F104" s="56" t="s">
        <v>11</v>
      </c>
    </row>
    <row r="105" spans="1:6" ht="13">
      <c r="A105" s="16">
        <v>104</v>
      </c>
      <c r="B105" s="16">
        <v>1268</v>
      </c>
      <c r="C105" s="20">
        <v>272066</v>
      </c>
      <c r="D105">
        <f>koronahun!L773</f>
        <v>84908</v>
      </c>
      <c r="E105" s="56" t="s">
        <v>11</v>
      </c>
      <c r="F105" s="56" t="s">
        <v>11</v>
      </c>
    </row>
    <row r="106" spans="1:6" ht="13">
      <c r="A106" s="16">
        <v>105</v>
      </c>
      <c r="B106" s="16">
        <v>1253</v>
      </c>
      <c r="C106" s="20">
        <v>271963</v>
      </c>
      <c r="D106">
        <f>koronahun!L774</f>
        <v>0</v>
      </c>
      <c r="E106" s="56" t="s">
        <v>11</v>
      </c>
      <c r="F106" s="56" t="s">
        <v>11</v>
      </c>
    </row>
    <row r="107" spans="1:6" ht="13">
      <c r="A107" s="16">
        <v>106</v>
      </c>
      <c r="B107" s="16">
        <v>1311</v>
      </c>
      <c r="C107" s="20">
        <v>271516</v>
      </c>
      <c r="D107">
        <f>koronahun!L775</f>
        <v>0</v>
      </c>
      <c r="E107" s="56" t="s">
        <v>11</v>
      </c>
      <c r="F107" s="56" t="s">
        <v>11</v>
      </c>
    </row>
    <row r="108" spans="1:6" ht="13">
      <c r="A108" s="16">
        <v>107</v>
      </c>
      <c r="B108" s="16">
        <v>1400</v>
      </c>
      <c r="C108" s="20">
        <v>271032</v>
      </c>
      <c r="D108">
        <f>koronahun!L776</f>
        <v>0</v>
      </c>
      <c r="E108" s="56" t="s">
        <v>11</v>
      </c>
      <c r="F108" s="56" t="s">
        <v>11</v>
      </c>
    </row>
    <row r="109" spans="1:6" ht="13">
      <c r="A109" s="16">
        <v>108</v>
      </c>
      <c r="B109" s="16">
        <v>1431</v>
      </c>
      <c r="C109" s="20">
        <v>270295</v>
      </c>
      <c r="D109">
        <f>koronahun!L777</f>
        <v>0</v>
      </c>
      <c r="E109" s="56" t="s">
        <v>11</v>
      </c>
      <c r="F109" s="56" t="s">
        <v>11</v>
      </c>
    </row>
    <row r="110" spans="1:6" ht="13">
      <c r="A110" s="16">
        <v>109</v>
      </c>
      <c r="B110" s="16">
        <v>1477</v>
      </c>
      <c r="C110" s="20">
        <v>269595</v>
      </c>
      <c r="D110">
        <f>koronahun!L778</f>
        <v>77710</v>
      </c>
      <c r="E110" s="56" t="s">
        <v>11</v>
      </c>
      <c r="F110" s="56" t="s">
        <v>11</v>
      </c>
    </row>
    <row r="111" spans="1:6" ht="13">
      <c r="A111" s="16">
        <v>110</v>
      </c>
      <c r="B111" s="16">
        <v>1518</v>
      </c>
      <c r="C111" s="20">
        <v>268072</v>
      </c>
      <c r="D111">
        <f>koronahun!L779</f>
        <v>75954</v>
      </c>
      <c r="E111" s="56" t="s">
        <v>11</v>
      </c>
      <c r="F111" s="56" t="s">
        <v>11</v>
      </c>
    </row>
    <row r="112" spans="1:6" ht="13">
      <c r="A112" s="16">
        <v>111</v>
      </c>
      <c r="B112" s="16">
        <v>1598</v>
      </c>
      <c r="C112" s="20">
        <v>266823</v>
      </c>
      <c r="D112">
        <f>koronahun!L780</f>
        <v>72816</v>
      </c>
      <c r="E112" s="56" t="s">
        <v>11</v>
      </c>
      <c r="F112" s="56" t="s">
        <v>11</v>
      </c>
    </row>
    <row r="113" spans="1:6" ht="13">
      <c r="A113" s="16">
        <v>112</v>
      </c>
      <c r="B113" s="16">
        <v>1648</v>
      </c>
      <c r="C113" s="20">
        <v>265374</v>
      </c>
      <c r="D113">
        <f>koronahun!L781</f>
        <v>68288</v>
      </c>
      <c r="E113" s="56" t="s">
        <v>11</v>
      </c>
      <c r="F113" s="56" t="s">
        <v>11</v>
      </c>
    </row>
    <row r="114" spans="1:6" ht="13">
      <c r="A114" s="16">
        <v>113</v>
      </c>
      <c r="B114" s="16">
        <v>1655</v>
      </c>
      <c r="C114" s="20">
        <v>264039</v>
      </c>
      <c r="D114">
        <f>koronahun!L782</f>
        <v>0</v>
      </c>
      <c r="E114" s="56" t="s">
        <v>11</v>
      </c>
      <c r="F114" s="56" t="s">
        <v>11</v>
      </c>
    </row>
    <row r="115" spans="1:6" ht="13">
      <c r="A115" s="16">
        <v>114</v>
      </c>
      <c r="B115" s="16">
        <v>1732</v>
      </c>
      <c r="C115" s="20">
        <v>262447</v>
      </c>
      <c r="D115">
        <f>koronahun!L783</f>
        <v>0</v>
      </c>
      <c r="E115" s="56" t="s">
        <v>11</v>
      </c>
      <c r="F115" s="56" t="s">
        <v>11</v>
      </c>
    </row>
    <row r="116" spans="1:6" ht="13">
      <c r="A116" s="16">
        <v>115</v>
      </c>
      <c r="B116" s="16">
        <v>1723</v>
      </c>
      <c r="C116" s="20">
        <v>260686</v>
      </c>
      <c r="D116">
        <f>koronahun!L784</f>
        <v>59986</v>
      </c>
      <c r="E116" s="56" t="s">
        <v>11</v>
      </c>
      <c r="F116" s="56" t="s">
        <v>11</v>
      </c>
    </row>
    <row r="117" spans="1:6" ht="13">
      <c r="A117" s="16">
        <v>116</v>
      </c>
      <c r="B117" s="16">
        <v>1743</v>
      </c>
      <c r="C117" s="20">
        <v>258218</v>
      </c>
      <c r="D117">
        <f>koronahun!L785</f>
        <v>56928</v>
      </c>
      <c r="E117" s="56" t="s">
        <v>11</v>
      </c>
      <c r="F117" s="56" t="s">
        <v>11</v>
      </c>
    </row>
    <row r="118" spans="1:6" ht="13">
      <c r="A118" s="16">
        <v>117</v>
      </c>
      <c r="B118" s="16">
        <v>1805</v>
      </c>
      <c r="C118" s="20">
        <v>254103</v>
      </c>
      <c r="D118">
        <f>koronahun!L786</f>
        <v>54591</v>
      </c>
      <c r="E118" s="56" t="s">
        <v>11</v>
      </c>
      <c r="F118" s="56" t="s">
        <v>11</v>
      </c>
    </row>
    <row r="119" spans="1:6" ht="13">
      <c r="A119" s="16">
        <v>118</v>
      </c>
      <c r="B119" s="16">
        <v>1842</v>
      </c>
      <c r="C119" s="20">
        <v>250143</v>
      </c>
      <c r="D119">
        <f>koronahun!L787</f>
        <v>51631</v>
      </c>
      <c r="E119" s="56" t="s">
        <v>11</v>
      </c>
      <c r="F119" s="56" t="s">
        <v>11</v>
      </c>
    </row>
    <row r="120" spans="1:6" ht="13">
      <c r="A120" s="16">
        <v>119</v>
      </c>
      <c r="B120" s="16">
        <v>1891</v>
      </c>
      <c r="C120" s="20">
        <v>245928</v>
      </c>
      <c r="D120">
        <f>koronahun!L788</f>
        <v>50521</v>
      </c>
      <c r="E120" s="56" t="s">
        <v>11</v>
      </c>
      <c r="F120" s="56" t="s">
        <v>11</v>
      </c>
    </row>
    <row r="121" spans="1:6" ht="13">
      <c r="A121" s="16">
        <v>120</v>
      </c>
      <c r="B121" s="16">
        <v>1882</v>
      </c>
      <c r="C121" s="20">
        <v>241429</v>
      </c>
      <c r="D121">
        <f>koronahun!L789</f>
        <v>0</v>
      </c>
      <c r="E121" s="56" t="s">
        <v>11</v>
      </c>
      <c r="F121" s="56" t="s">
        <v>11</v>
      </c>
    </row>
    <row r="122" spans="1:6" ht="13">
      <c r="A122" s="16">
        <v>121</v>
      </c>
      <c r="B122" s="16">
        <v>1931</v>
      </c>
      <c r="C122" s="20">
        <v>236572</v>
      </c>
      <c r="D122">
        <f>koronahun!L790</f>
        <v>0</v>
      </c>
      <c r="E122" s="56" t="s">
        <v>11</v>
      </c>
      <c r="F122" s="56" t="s">
        <v>11</v>
      </c>
    </row>
    <row r="123" spans="1:6" ht="13">
      <c r="A123" s="16">
        <v>122</v>
      </c>
      <c r="B123" s="16">
        <v>1982</v>
      </c>
      <c r="C123" s="20">
        <v>231580</v>
      </c>
      <c r="D123">
        <f>koronahun!L791</f>
        <v>48873</v>
      </c>
      <c r="E123" s="56" t="s">
        <v>11</v>
      </c>
      <c r="F123" s="56" t="s">
        <v>11</v>
      </c>
    </row>
    <row r="124" spans="1:6" ht="13">
      <c r="A124" s="16">
        <v>123</v>
      </c>
      <c r="B124" s="16">
        <v>2029</v>
      </c>
      <c r="C124" s="20">
        <v>228002</v>
      </c>
      <c r="D124">
        <f>koronahun!L792</f>
        <v>0</v>
      </c>
      <c r="E124" s="56" t="s">
        <v>11</v>
      </c>
      <c r="F124" s="56" t="s">
        <v>11</v>
      </c>
    </row>
    <row r="125" spans="1:6" ht="13">
      <c r="A125" s="16">
        <v>124</v>
      </c>
      <c r="B125" s="16">
        <v>2054</v>
      </c>
      <c r="C125" s="20">
        <v>223802</v>
      </c>
      <c r="D125">
        <f>koronahun!L793</f>
        <v>0</v>
      </c>
      <c r="E125" s="56" t="s">
        <v>11</v>
      </c>
      <c r="F125" s="56" t="s">
        <v>11</v>
      </c>
    </row>
    <row r="126" spans="1:6" ht="13">
      <c r="A126" s="16">
        <v>125</v>
      </c>
      <c r="B126" s="16">
        <v>1993</v>
      </c>
      <c r="C126" s="20">
        <v>218829</v>
      </c>
      <c r="D126">
        <f>koronahun!L794</f>
        <v>0</v>
      </c>
      <c r="E126" s="56" t="s">
        <v>11</v>
      </c>
      <c r="F126" s="56" t="s">
        <v>11</v>
      </c>
    </row>
    <row r="127" spans="1:6" ht="13">
      <c r="A127" s="16">
        <v>126</v>
      </c>
      <c r="B127" s="16">
        <v>1979</v>
      </c>
      <c r="C127" s="20">
        <v>213104</v>
      </c>
      <c r="D127">
        <f>koronahun!L795</f>
        <v>0</v>
      </c>
      <c r="E127" s="56" t="s">
        <v>11</v>
      </c>
      <c r="F127" s="56" t="s">
        <v>11</v>
      </c>
    </row>
    <row r="128" spans="1:6" ht="13">
      <c r="A128" s="16">
        <v>127</v>
      </c>
      <c r="B128" s="16">
        <v>1966</v>
      </c>
      <c r="C128" s="20">
        <v>206949</v>
      </c>
      <c r="D128">
        <f>koronahun!L796</f>
        <v>0</v>
      </c>
      <c r="E128" s="56" t="s">
        <v>11</v>
      </c>
      <c r="F128" s="56" t="s">
        <v>11</v>
      </c>
    </row>
    <row r="129" spans="1:6" ht="13">
      <c r="A129" s="16">
        <v>128</v>
      </c>
      <c r="B129" s="16">
        <v>1921</v>
      </c>
      <c r="C129" s="20">
        <v>200941</v>
      </c>
      <c r="D129">
        <f>koronahun!L797</f>
        <v>0</v>
      </c>
      <c r="E129" s="56" t="s">
        <v>11</v>
      </c>
      <c r="F129" s="56" t="s">
        <v>11</v>
      </c>
    </row>
    <row r="130" spans="1:6" ht="13">
      <c r="A130" s="16">
        <v>129</v>
      </c>
      <c r="B130" s="16">
        <v>1904</v>
      </c>
      <c r="C130" s="20">
        <v>194778</v>
      </c>
      <c r="D130">
        <f>koronahun!L798</f>
        <v>0</v>
      </c>
      <c r="E130" s="56" t="s">
        <v>11</v>
      </c>
      <c r="F130" s="56" t="s">
        <v>11</v>
      </c>
    </row>
    <row r="131" spans="1:6" ht="13">
      <c r="A131" s="16">
        <v>130</v>
      </c>
      <c r="B131" s="16">
        <v>1917</v>
      </c>
      <c r="C131" s="20">
        <v>188083</v>
      </c>
      <c r="D131">
        <f>koronahun!L799</f>
        <v>0</v>
      </c>
      <c r="E131" s="56" t="s">
        <v>11</v>
      </c>
      <c r="F131" s="56" t="s">
        <v>11</v>
      </c>
    </row>
    <row r="132" spans="1:6" ht="13">
      <c r="A132" s="16">
        <v>131</v>
      </c>
      <c r="B132" s="16">
        <v>1905</v>
      </c>
      <c r="C132" s="20">
        <v>180285</v>
      </c>
      <c r="D132">
        <f>koronahun!L800</f>
        <v>42170</v>
      </c>
      <c r="E132" s="56" t="s">
        <v>11</v>
      </c>
      <c r="F132" s="56" t="s">
        <v>11</v>
      </c>
    </row>
    <row r="133" spans="1:6" ht="13">
      <c r="A133" s="16">
        <v>132</v>
      </c>
      <c r="B133" s="16">
        <v>1881</v>
      </c>
      <c r="C133" s="20">
        <v>172456</v>
      </c>
      <c r="D133">
        <f>koronahun!L801</f>
        <v>0</v>
      </c>
      <c r="E133" s="56" t="s">
        <v>11</v>
      </c>
      <c r="F133" s="56" t="s">
        <v>11</v>
      </c>
    </row>
    <row r="134" spans="1:6" ht="13">
      <c r="A134" s="16">
        <v>133</v>
      </c>
      <c r="B134" s="16">
        <v>1809</v>
      </c>
      <c r="C134" s="20">
        <v>165769</v>
      </c>
      <c r="D134">
        <f>koronahun!L802</f>
        <v>0</v>
      </c>
      <c r="E134" s="56" t="s">
        <v>11</v>
      </c>
      <c r="F134" s="56" t="s">
        <v>11</v>
      </c>
    </row>
    <row r="135" spans="1:6" ht="13">
      <c r="A135" s="16">
        <v>134</v>
      </c>
      <c r="B135" s="16">
        <v>1775</v>
      </c>
      <c r="C135" s="20">
        <v>158458</v>
      </c>
      <c r="D135">
        <f>koronahun!L803</f>
        <v>0</v>
      </c>
      <c r="E135" s="56" t="s">
        <v>11</v>
      </c>
      <c r="F135" s="56" t="s">
        <v>11</v>
      </c>
    </row>
    <row r="136" spans="1:6" ht="13">
      <c r="A136" s="16">
        <v>135</v>
      </c>
      <c r="B136" s="16">
        <v>1688</v>
      </c>
      <c r="C136" s="20">
        <v>149707</v>
      </c>
      <c r="D136">
        <f>koronahun!L804</f>
        <v>0</v>
      </c>
      <c r="E136" s="56" t="s">
        <v>11</v>
      </c>
      <c r="F136" s="56" t="s">
        <v>11</v>
      </c>
    </row>
    <row r="137" spans="1:6" ht="13">
      <c r="A137" s="16">
        <v>136</v>
      </c>
      <c r="B137" s="16">
        <v>1654</v>
      </c>
      <c r="C137" s="20">
        <v>143884</v>
      </c>
      <c r="D137">
        <f>koronahun!L805</f>
        <v>0</v>
      </c>
      <c r="E137" s="56" t="s">
        <v>11</v>
      </c>
      <c r="F137" s="56" t="s">
        <v>11</v>
      </c>
    </row>
    <row r="138" spans="1:6" ht="13">
      <c r="A138" s="16">
        <v>137</v>
      </c>
      <c r="B138" s="16">
        <v>1662</v>
      </c>
      <c r="C138" s="20">
        <v>138384</v>
      </c>
      <c r="D138">
        <f>koronahun!L806</f>
        <v>0</v>
      </c>
      <c r="E138" s="56" t="s">
        <v>11</v>
      </c>
      <c r="F138" s="56" t="s">
        <v>11</v>
      </c>
    </row>
    <row r="139" spans="1:6" ht="13">
      <c r="A139" s="16">
        <v>138</v>
      </c>
      <c r="B139" s="16">
        <v>1673</v>
      </c>
      <c r="C139" s="20">
        <v>128714</v>
      </c>
      <c r="D139">
        <f>koronahun!L807</f>
        <v>37448</v>
      </c>
      <c r="E139" s="56" t="s">
        <v>11</v>
      </c>
      <c r="F139" s="56" t="s">
        <v>11</v>
      </c>
    </row>
    <row r="140" spans="1:6" ht="13">
      <c r="A140" s="16">
        <v>139</v>
      </c>
      <c r="B140" s="16">
        <v>1677</v>
      </c>
      <c r="C140" s="20">
        <v>121746</v>
      </c>
      <c r="D140">
        <f>koronahun!L808</f>
        <v>0</v>
      </c>
      <c r="E140" s="56" t="s">
        <v>11</v>
      </c>
      <c r="F140" s="56" t="s">
        <v>11</v>
      </c>
    </row>
    <row r="141" spans="1:6" ht="13">
      <c r="A141" s="16">
        <v>140</v>
      </c>
      <c r="B141" s="16">
        <v>1674</v>
      </c>
      <c r="C141" s="20">
        <v>115029</v>
      </c>
      <c r="D141">
        <f>koronahun!L809</f>
        <v>0</v>
      </c>
      <c r="E141" s="56" t="s">
        <v>11</v>
      </c>
      <c r="F141" s="56" t="s">
        <v>11</v>
      </c>
    </row>
    <row r="142" spans="1:6" ht="13">
      <c r="A142" s="16">
        <v>141</v>
      </c>
      <c r="B142" s="16">
        <v>1659</v>
      </c>
      <c r="C142" s="20">
        <v>110034</v>
      </c>
      <c r="D142">
        <f>koronahun!L810</f>
        <v>0</v>
      </c>
      <c r="E142" s="56" t="s">
        <v>11</v>
      </c>
      <c r="F142" s="56" t="s">
        <v>11</v>
      </c>
    </row>
    <row r="143" spans="1:6" ht="13">
      <c r="A143" s="16">
        <v>142</v>
      </c>
      <c r="B143" s="16">
        <v>1615</v>
      </c>
      <c r="C143" s="20">
        <v>106645</v>
      </c>
      <c r="D143">
        <f>koronahun!L811</f>
        <v>0</v>
      </c>
      <c r="E143" s="56" t="s">
        <v>11</v>
      </c>
      <c r="F143" s="56" t="s">
        <v>11</v>
      </c>
    </row>
    <row r="144" spans="1:6" ht="13">
      <c r="A144" s="16">
        <v>143</v>
      </c>
      <c r="B144" s="16">
        <v>1576</v>
      </c>
      <c r="C144" s="20">
        <v>103749</v>
      </c>
      <c r="D144">
        <f>koronahun!L812</f>
        <v>0</v>
      </c>
      <c r="E144" s="56" t="s">
        <v>11</v>
      </c>
      <c r="F144" s="56" t="s">
        <v>11</v>
      </c>
    </row>
    <row r="145" spans="1:6" ht="13">
      <c r="A145" s="16">
        <v>144</v>
      </c>
      <c r="B145" s="16">
        <v>1565</v>
      </c>
      <c r="C145" s="20">
        <v>102581</v>
      </c>
      <c r="D145">
        <f>koronahun!L813</f>
        <v>0</v>
      </c>
      <c r="E145" s="56" t="s">
        <v>11</v>
      </c>
      <c r="F145" s="56" t="s">
        <v>11</v>
      </c>
    </row>
    <row r="146" spans="1:6" ht="13">
      <c r="A146" s="16">
        <v>145</v>
      </c>
      <c r="B146" s="16">
        <v>1554</v>
      </c>
      <c r="C146" s="20">
        <v>101537</v>
      </c>
      <c r="D146">
        <f>koronahun!L814</f>
        <v>29539</v>
      </c>
      <c r="E146" s="56" t="s">
        <v>11</v>
      </c>
      <c r="F146" s="56" t="s">
        <v>11</v>
      </c>
    </row>
    <row r="147" spans="1:6" ht="13">
      <c r="A147" s="16">
        <v>146</v>
      </c>
      <c r="B147" s="16">
        <v>1436</v>
      </c>
      <c r="C147" s="20">
        <v>98019</v>
      </c>
      <c r="D147">
        <f>koronahun!L815</f>
        <v>0</v>
      </c>
      <c r="E147" s="56" t="s">
        <v>11</v>
      </c>
      <c r="F147" s="56" t="s">
        <v>11</v>
      </c>
    </row>
    <row r="148" spans="1:6" ht="13">
      <c r="A148" s="16">
        <v>147</v>
      </c>
      <c r="B148" s="16">
        <v>1432</v>
      </c>
      <c r="C148" s="20">
        <v>91164</v>
      </c>
      <c r="D148">
        <f>koronahun!L816</f>
        <v>0</v>
      </c>
      <c r="E148" s="56" t="s">
        <v>11</v>
      </c>
      <c r="F148" s="56" t="s">
        <v>11</v>
      </c>
    </row>
    <row r="149" spans="1:6" ht="13">
      <c r="A149" s="16">
        <v>148</v>
      </c>
      <c r="B149" s="16">
        <v>1311</v>
      </c>
      <c r="C149" s="20">
        <v>84719</v>
      </c>
      <c r="D149">
        <f>koronahun!L817</f>
        <v>0</v>
      </c>
      <c r="E149" s="56" t="s">
        <v>11</v>
      </c>
      <c r="F149" s="56" t="s">
        <v>11</v>
      </c>
    </row>
    <row r="150" spans="1:6" ht="13">
      <c r="A150" s="16">
        <v>149</v>
      </c>
      <c r="B150" s="16">
        <v>1300</v>
      </c>
      <c r="C150" s="20">
        <v>82075</v>
      </c>
      <c r="D150">
        <f>koronahun!L818</f>
        <v>0</v>
      </c>
      <c r="E150" s="56" t="s">
        <v>11</v>
      </c>
      <c r="F150" s="56" t="s">
        <v>11</v>
      </c>
    </row>
    <row r="151" spans="1:6" ht="13">
      <c r="A151" s="16">
        <v>150</v>
      </c>
      <c r="B151" s="16">
        <v>1201</v>
      </c>
      <c r="C151" s="20">
        <v>78625</v>
      </c>
      <c r="D151">
        <f>koronahun!L819</f>
        <v>0</v>
      </c>
      <c r="E151" s="56" t="s">
        <v>11</v>
      </c>
      <c r="F151" s="56" t="s">
        <v>11</v>
      </c>
    </row>
    <row r="152" spans="1:6" ht="13">
      <c r="A152" s="16">
        <v>151</v>
      </c>
      <c r="B152" s="16">
        <v>1203</v>
      </c>
      <c r="C152" s="20">
        <v>74569</v>
      </c>
      <c r="D152">
        <f>koronahun!L820</f>
        <v>0</v>
      </c>
      <c r="E152" s="56" t="s">
        <v>11</v>
      </c>
      <c r="F152" s="56" t="s">
        <v>11</v>
      </c>
    </row>
    <row r="153" spans="1:6" ht="13">
      <c r="A153" s="16">
        <v>152</v>
      </c>
      <c r="B153" s="16">
        <v>1209</v>
      </c>
      <c r="C153" s="20">
        <v>71599</v>
      </c>
      <c r="D153">
        <f>koronahun!L821</f>
        <v>25547</v>
      </c>
      <c r="E153" s="56" t="s">
        <v>11</v>
      </c>
      <c r="F153" s="56" t="s">
        <v>11</v>
      </c>
    </row>
    <row r="154" spans="1:6" ht="13">
      <c r="A154" s="16">
        <v>153</v>
      </c>
      <c r="B154" s="16">
        <v>1229</v>
      </c>
      <c r="C154" s="20">
        <v>69835</v>
      </c>
      <c r="D154">
        <f>koronahun!L822</f>
        <v>0</v>
      </c>
      <c r="E154" s="56" t="s">
        <v>11</v>
      </c>
      <c r="F154" s="56" t="s">
        <v>11</v>
      </c>
    </row>
    <row r="155" spans="1:6" ht="13">
      <c r="A155" s="16">
        <v>154</v>
      </c>
      <c r="B155" s="16">
        <v>1207</v>
      </c>
      <c r="C155" s="20">
        <v>67312</v>
      </c>
      <c r="D155">
        <f>koronahun!L823</f>
        <v>0</v>
      </c>
      <c r="E155" s="56" t="s">
        <v>11</v>
      </c>
      <c r="F155" s="56" t="s">
        <v>11</v>
      </c>
    </row>
    <row r="156" spans="1:6" ht="13">
      <c r="A156" s="16">
        <v>155</v>
      </c>
      <c r="B156" s="16">
        <v>1210</v>
      </c>
      <c r="C156" s="20">
        <v>64648</v>
      </c>
      <c r="D156">
        <f>koronahun!L824</f>
        <v>0</v>
      </c>
      <c r="E156" s="56" t="s">
        <v>11</v>
      </c>
      <c r="F156" s="56" t="s">
        <v>11</v>
      </c>
    </row>
    <row r="157" spans="1:6" ht="13">
      <c r="A157" s="16">
        <v>156</v>
      </c>
      <c r="B157" s="16">
        <v>1183</v>
      </c>
      <c r="C157" s="20">
        <v>61700</v>
      </c>
      <c r="D157">
        <f>koronahun!L825</f>
        <v>0</v>
      </c>
      <c r="E157" s="56" t="s">
        <v>11</v>
      </c>
      <c r="F157" s="56" t="s">
        <v>11</v>
      </c>
    </row>
    <row r="158" spans="1:6" ht="13">
      <c r="A158" s="16">
        <v>157</v>
      </c>
      <c r="B158" s="16">
        <v>1166</v>
      </c>
      <c r="C158" s="20">
        <v>59991</v>
      </c>
      <c r="D158">
        <f>koronahun!L826</f>
        <v>0</v>
      </c>
      <c r="E158" s="56" t="s">
        <v>11</v>
      </c>
      <c r="F158" s="56" t="s">
        <v>11</v>
      </c>
    </row>
    <row r="159" spans="1:6" ht="13">
      <c r="A159" s="16">
        <v>158</v>
      </c>
      <c r="B159" s="16">
        <v>1183</v>
      </c>
      <c r="C159" s="20">
        <v>58969</v>
      </c>
      <c r="D159">
        <f>koronahun!L827</f>
        <v>0</v>
      </c>
      <c r="E159" s="56" t="s">
        <v>11</v>
      </c>
      <c r="F159" s="56" t="s">
        <v>11</v>
      </c>
    </row>
    <row r="160" spans="1:6" ht="13">
      <c r="A160" s="16">
        <v>159</v>
      </c>
      <c r="B160" s="16">
        <v>1182</v>
      </c>
      <c r="C160" s="20">
        <v>57746</v>
      </c>
      <c r="D160">
        <f>koronahun!L828</f>
        <v>21821</v>
      </c>
      <c r="E160" s="56" t="s">
        <v>11</v>
      </c>
      <c r="F160" s="56" t="s">
        <v>11</v>
      </c>
    </row>
    <row r="161" spans="1:6" ht="13">
      <c r="A161" s="16">
        <v>160</v>
      </c>
      <c r="B161" s="16">
        <v>1143</v>
      </c>
      <c r="C161" s="20">
        <v>56096</v>
      </c>
      <c r="D161">
        <f>koronahun!L829</f>
        <v>0</v>
      </c>
      <c r="E161" s="56" t="s">
        <v>11</v>
      </c>
      <c r="F161" s="56" t="s">
        <v>11</v>
      </c>
    </row>
    <row r="162" spans="1:6" ht="13">
      <c r="A162" s="16">
        <v>161</v>
      </c>
      <c r="B162" s="16">
        <v>1121</v>
      </c>
      <c r="C162" s="20">
        <v>54399</v>
      </c>
      <c r="D162">
        <f>koronahun!L830</f>
        <v>0</v>
      </c>
      <c r="E162" s="56" t="s">
        <v>11</v>
      </c>
      <c r="F162" s="56" t="s">
        <v>11</v>
      </c>
    </row>
    <row r="163" spans="1:6" ht="13">
      <c r="A163" s="16">
        <v>162</v>
      </c>
      <c r="B163" s="16">
        <v>1095</v>
      </c>
      <c r="C163" s="20">
        <v>52272</v>
      </c>
      <c r="D163">
        <f>koronahun!L831</f>
        <v>0</v>
      </c>
      <c r="E163" s="56" t="s">
        <v>11</v>
      </c>
      <c r="F163" s="56" t="s">
        <v>11</v>
      </c>
    </row>
    <row r="164" spans="1:6" ht="13">
      <c r="A164" s="16">
        <v>163</v>
      </c>
      <c r="B164" s="16">
        <v>1051</v>
      </c>
      <c r="C164" s="20"/>
      <c r="D164">
        <f>koronahun!L832</f>
        <v>0</v>
      </c>
      <c r="E164" s="56" t="s">
        <v>11</v>
      </c>
      <c r="F164" s="56" t="s">
        <v>11</v>
      </c>
    </row>
    <row r="165" spans="1:6" ht="13">
      <c r="A165" s="16">
        <v>164</v>
      </c>
      <c r="B165" s="16">
        <v>1029</v>
      </c>
      <c r="C165" s="20"/>
      <c r="D165">
        <f>koronahun!L833</f>
        <v>0</v>
      </c>
      <c r="E165" s="56" t="s">
        <v>11</v>
      </c>
      <c r="F165" s="56" t="s">
        <v>11</v>
      </c>
    </row>
    <row r="166" spans="1:6" ht="13">
      <c r="A166" s="16">
        <v>165</v>
      </c>
      <c r="B166" s="16">
        <v>1025</v>
      </c>
      <c r="C166" s="20">
        <v>46532</v>
      </c>
      <c r="D166">
        <f>koronahun!L834</f>
        <v>0</v>
      </c>
      <c r="E166" s="56" t="s">
        <v>11</v>
      </c>
      <c r="F166" s="56" t="s">
        <v>11</v>
      </c>
    </row>
    <row r="167" spans="1:6" ht="13">
      <c r="A167" s="16">
        <v>166</v>
      </c>
      <c r="B167" s="16">
        <v>1028</v>
      </c>
      <c r="C167" s="20">
        <v>45541</v>
      </c>
      <c r="D167">
        <f>koronahun!L835</f>
        <v>14194</v>
      </c>
      <c r="E167" s="56" t="s">
        <v>11</v>
      </c>
      <c r="F167" s="56" t="s">
        <v>11</v>
      </c>
    </row>
    <row r="168" spans="1:6" ht="13">
      <c r="A168" s="16">
        <v>167</v>
      </c>
      <c r="B168" s="16">
        <v>996</v>
      </c>
      <c r="C168" s="20">
        <v>44364</v>
      </c>
      <c r="D168">
        <f>koronahun!L836</f>
        <v>0</v>
      </c>
      <c r="E168" s="56" t="s">
        <v>11</v>
      </c>
      <c r="F168" s="56" t="s">
        <v>11</v>
      </c>
    </row>
    <row r="169" spans="1:6" ht="13">
      <c r="A169" s="16">
        <v>168</v>
      </c>
      <c r="B169" s="16">
        <v>964</v>
      </c>
      <c r="C169" s="20">
        <v>43467</v>
      </c>
      <c r="D169">
        <f>koronahun!L837</f>
        <v>0</v>
      </c>
      <c r="E169" s="56" t="s">
        <v>11</v>
      </c>
      <c r="F169" s="56" t="s">
        <v>11</v>
      </c>
    </row>
    <row r="170" spans="1:6" ht="13">
      <c r="A170" s="16">
        <v>169</v>
      </c>
      <c r="B170" s="16">
        <v>947</v>
      </c>
      <c r="C170" s="20">
        <v>42851</v>
      </c>
      <c r="D170">
        <f>koronahun!L838</f>
        <v>0</v>
      </c>
      <c r="E170" s="56" t="s">
        <v>11</v>
      </c>
      <c r="F170" s="56" t="s">
        <v>11</v>
      </c>
    </row>
    <row r="171" spans="1:6" ht="13">
      <c r="A171" s="16">
        <v>170</v>
      </c>
      <c r="B171" s="16">
        <v>932</v>
      </c>
      <c r="D171">
        <f>koronahun!L839</f>
        <v>0</v>
      </c>
      <c r="E171" s="56" t="s">
        <v>11</v>
      </c>
      <c r="F171" s="56" t="s">
        <v>11</v>
      </c>
    </row>
    <row r="172" spans="1:6" ht="13">
      <c r="A172" s="16">
        <v>171</v>
      </c>
      <c r="B172" s="16">
        <v>931</v>
      </c>
      <c r="C172" s="20"/>
      <c r="D172">
        <f>koronahun!L840</f>
        <v>0</v>
      </c>
      <c r="E172" s="56" t="s">
        <v>11</v>
      </c>
      <c r="F172" s="56" t="s">
        <v>11</v>
      </c>
    </row>
    <row r="173" spans="1:6" ht="13">
      <c r="A173" s="16">
        <v>172</v>
      </c>
      <c r="B173" s="16">
        <v>935</v>
      </c>
      <c r="C173" s="20">
        <v>42097</v>
      </c>
      <c r="D173">
        <f>koronahun!L841</f>
        <v>0</v>
      </c>
      <c r="E173" s="56" t="s">
        <v>11</v>
      </c>
      <c r="F173" s="56" t="s">
        <v>11</v>
      </c>
    </row>
    <row r="174" spans="1:6" ht="13">
      <c r="A174" s="16">
        <v>173</v>
      </c>
      <c r="B174" s="16">
        <v>940</v>
      </c>
      <c r="C174" s="20">
        <v>41784</v>
      </c>
      <c r="D174">
        <f>koronahun!L842</f>
        <v>9213</v>
      </c>
      <c r="E174" s="56" t="s">
        <v>11</v>
      </c>
      <c r="F174" s="56" t="s">
        <v>11</v>
      </c>
    </row>
    <row r="175" spans="1:6" ht="13">
      <c r="A175" s="16">
        <v>174</v>
      </c>
      <c r="B175" s="16">
        <v>934</v>
      </c>
      <c r="C175" s="20">
        <v>41417</v>
      </c>
      <c r="D175">
        <f>koronahun!L843</f>
        <v>0</v>
      </c>
      <c r="E175" s="56" t="s">
        <v>11</v>
      </c>
      <c r="F175" s="56" t="s">
        <v>11</v>
      </c>
    </row>
    <row r="176" spans="1:6" ht="13">
      <c r="A176" s="16">
        <v>175</v>
      </c>
      <c r="B176" s="16">
        <v>920</v>
      </c>
      <c r="C176" s="20">
        <v>41018</v>
      </c>
      <c r="D176">
        <f>koronahun!L844</f>
        <v>0</v>
      </c>
      <c r="E176" s="56" t="s">
        <v>11</v>
      </c>
      <c r="F176" s="56" t="s">
        <v>11</v>
      </c>
    </row>
    <row r="177" spans="1:6" ht="13">
      <c r="A177" s="16">
        <v>176</v>
      </c>
      <c r="B177" s="16">
        <v>906</v>
      </c>
      <c r="C177" s="20">
        <v>40697</v>
      </c>
      <c r="D177">
        <f>koronahun!L845</f>
        <v>0</v>
      </c>
      <c r="E177" s="56" t="s">
        <v>11</v>
      </c>
      <c r="F177" s="56" t="s">
        <v>11</v>
      </c>
    </row>
    <row r="178" spans="1:6" ht="13">
      <c r="A178" s="16">
        <v>177</v>
      </c>
      <c r="B178" s="16">
        <v>886</v>
      </c>
      <c r="C178" s="20"/>
      <c r="D178">
        <f>koronahun!L846</f>
        <v>0</v>
      </c>
      <c r="E178" s="56" t="s">
        <v>11</v>
      </c>
      <c r="F178" s="56" t="s">
        <v>11</v>
      </c>
    </row>
    <row r="179" spans="1:6" ht="13">
      <c r="A179" s="16">
        <v>178</v>
      </c>
      <c r="B179" s="16">
        <v>879</v>
      </c>
      <c r="C179" s="20"/>
      <c r="D179">
        <f>koronahun!L847</f>
        <v>0</v>
      </c>
      <c r="E179" s="56" t="s">
        <v>11</v>
      </c>
      <c r="F179" s="56" t="s">
        <v>11</v>
      </c>
    </row>
    <row r="180" spans="1:6" ht="13">
      <c r="A180" s="16">
        <v>179</v>
      </c>
      <c r="B180" s="16">
        <v>876</v>
      </c>
      <c r="C180" s="20">
        <v>39662</v>
      </c>
      <c r="D180">
        <f>koronahun!L848</f>
        <v>0</v>
      </c>
      <c r="E180" s="56" t="s">
        <v>11</v>
      </c>
      <c r="F180" s="56" t="s">
        <v>11</v>
      </c>
    </row>
    <row r="181" spans="1:6" ht="13">
      <c r="A181" s="16">
        <v>180</v>
      </c>
      <c r="B181" s="16">
        <v>875</v>
      </c>
      <c r="C181" s="20">
        <v>39543</v>
      </c>
      <c r="D181">
        <f>koronahun!L849</f>
        <v>9548</v>
      </c>
      <c r="E181" s="56" t="s">
        <v>11</v>
      </c>
      <c r="F181" s="56" t="s">
        <v>11</v>
      </c>
    </row>
    <row r="182" spans="1:6" ht="13">
      <c r="A182" s="16">
        <v>181</v>
      </c>
      <c r="B182" s="16">
        <v>878</v>
      </c>
      <c r="C182" s="20">
        <v>39354</v>
      </c>
      <c r="D182">
        <f>koronahun!L850</f>
        <v>0</v>
      </c>
      <c r="E182" s="56" t="s">
        <v>11</v>
      </c>
      <c r="F182" s="56" t="s">
        <v>11</v>
      </c>
    </row>
    <row r="183" spans="1:6" ht="13">
      <c r="A183" s="16">
        <v>182</v>
      </c>
      <c r="B183" s="16">
        <v>857</v>
      </c>
      <c r="C183" s="20">
        <v>38964</v>
      </c>
      <c r="D183">
        <f>koronahun!L851</f>
        <v>0</v>
      </c>
      <c r="E183" s="56" t="s">
        <v>11</v>
      </c>
      <c r="F183" s="56" t="s">
        <v>11</v>
      </c>
    </row>
    <row r="184" spans="1:6" ht="13">
      <c r="A184" s="16">
        <v>183</v>
      </c>
      <c r="B184" s="16">
        <v>858</v>
      </c>
      <c r="C184" s="20">
        <v>38644</v>
      </c>
      <c r="D184">
        <f>koronahun!L852</f>
        <v>0</v>
      </c>
      <c r="E184" s="56" t="s">
        <v>11</v>
      </c>
      <c r="F184" s="56" t="s">
        <v>11</v>
      </c>
    </row>
    <row r="185" spans="1:6" ht="13">
      <c r="A185" s="16">
        <v>184</v>
      </c>
      <c r="B185" s="16">
        <v>832</v>
      </c>
      <c r="C185" s="20"/>
      <c r="D185">
        <f>koronahun!L853</f>
        <v>0</v>
      </c>
      <c r="E185" s="56" t="s">
        <v>11</v>
      </c>
      <c r="F185" s="56" t="s">
        <v>11</v>
      </c>
    </row>
    <row r="186" spans="1:6" ht="13">
      <c r="A186" s="16">
        <v>185</v>
      </c>
      <c r="B186" s="16">
        <v>801</v>
      </c>
      <c r="C186" s="20"/>
      <c r="D186">
        <f>koronahun!L854</f>
        <v>0</v>
      </c>
      <c r="E186" s="56" t="s">
        <v>11</v>
      </c>
      <c r="F186" s="56" t="s">
        <v>11</v>
      </c>
    </row>
    <row r="187" spans="1:6" ht="13">
      <c r="A187" s="16">
        <v>186</v>
      </c>
      <c r="B187" s="16">
        <v>783</v>
      </c>
      <c r="C187" s="20">
        <v>38071</v>
      </c>
      <c r="D187">
        <f>koronahun!L855</f>
        <v>0</v>
      </c>
      <c r="E187" s="56" t="s">
        <v>11</v>
      </c>
      <c r="F187" s="56" t="s">
        <v>11</v>
      </c>
    </row>
    <row r="188" spans="1:6" ht="13">
      <c r="A188" s="16">
        <v>187</v>
      </c>
      <c r="B188" s="16">
        <v>740</v>
      </c>
      <c r="C188" s="20">
        <v>37969</v>
      </c>
      <c r="D188">
        <f>koronahun!L856</f>
        <v>11195</v>
      </c>
      <c r="E188" s="56" t="s">
        <v>11</v>
      </c>
      <c r="F188" s="56" t="s">
        <v>11</v>
      </c>
    </row>
    <row r="189" spans="1:6" ht="13">
      <c r="A189" s="16">
        <v>188</v>
      </c>
      <c r="B189" s="16">
        <v>742</v>
      </c>
      <c r="C189" s="20">
        <v>37804</v>
      </c>
      <c r="D189">
        <f>koronahun!L857</f>
        <v>0</v>
      </c>
      <c r="E189" s="56" t="s">
        <v>11</v>
      </c>
      <c r="F189" s="56" t="s">
        <v>11</v>
      </c>
    </row>
    <row r="190" spans="1:6" ht="13">
      <c r="A190" s="16">
        <v>189</v>
      </c>
      <c r="B190" s="16">
        <v>736</v>
      </c>
      <c r="C190" s="20">
        <v>37599</v>
      </c>
      <c r="D190">
        <f>koronahun!L858</f>
        <v>0</v>
      </c>
      <c r="E190" s="56" t="s">
        <v>11</v>
      </c>
      <c r="F190" s="56" t="s">
        <v>11</v>
      </c>
    </row>
    <row r="191" spans="1:6" ht="13">
      <c r="A191" s="16">
        <v>190</v>
      </c>
      <c r="B191" s="16">
        <v>742</v>
      </c>
      <c r="C191" s="20">
        <v>37350</v>
      </c>
      <c r="D191">
        <f>koronahun!L859</f>
        <v>0</v>
      </c>
      <c r="E191" s="56" t="s">
        <v>11</v>
      </c>
      <c r="F191" s="56" t="s">
        <v>11</v>
      </c>
    </row>
    <row r="192" spans="1:6" ht="13">
      <c r="A192" s="16">
        <v>191</v>
      </c>
      <c r="B192" s="16">
        <v>689</v>
      </c>
      <c r="C192" s="20"/>
      <c r="D192">
        <f>koronahun!L860</f>
        <v>0</v>
      </c>
      <c r="E192" s="56" t="s">
        <v>11</v>
      </c>
      <c r="F192" s="56" t="s">
        <v>11</v>
      </c>
    </row>
    <row r="193" spans="1:6" ht="13">
      <c r="A193" s="16">
        <v>192</v>
      </c>
      <c r="B193" s="16">
        <v>660</v>
      </c>
      <c r="C193" s="20"/>
      <c r="D193">
        <f>koronahun!L861</f>
        <v>0</v>
      </c>
      <c r="E193" s="56" t="s">
        <v>11</v>
      </c>
      <c r="F193" s="56" t="s">
        <v>11</v>
      </c>
    </row>
    <row r="194" spans="1:6" ht="13">
      <c r="A194" s="16">
        <v>193</v>
      </c>
      <c r="B194" s="16">
        <v>603</v>
      </c>
      <c r="C194" s="20">
        <v>37023</v>
      </c>
      <c r="D194">
        <f>koronahun!L862</f>
        <v>0</v>
      </c>
      <c r="E194" s="56" t="s">
        <v>11</v>
      </c>
      <c r="F194" s="56" t="s">
        <v>11</v>
      </c>
    </row>
    <row r="195" spans="1:6" ht="13">
      <c r="A195" s="16">
        <v>194</v>
      </c>
      <c r="B195" s="16">
        <v>579</v>
      </c>
      <c r="C195" s="20">
        <v>36883</v>
      </c>
      <c r="D195">
        <f>koronahun!L863</f>
        <v>15907</v>
      </c>
      <c r="E195" s="56" t="s">
        <v>11</v>
      </c>
      <c r="F195" s="56" t="s">
        <v>11</v>
      </c>
    </row>
    <row r="196" spans="1:6" ht="13">
      <c r="A196" s="16">
        <v>195</v>
      </c>
      <c r="B196" s="16">
        <v>557</v>
      </c>
      <c r="C196" s="20">
        <v>36703</v>
      </c>
      <c r="D196">
        <f>koronahun!L864</f>
        <v>0</v>
      </c>
      <c r="E196" s="56" t="s">
        <v>11</v>
      </c>
      <c r="F196" s="56" t="s">
        <v>11</v>
      </c>
    </row>
    <row r="197" spans="1:6" ht="13">
      <c r="A197" s="16">
        <v>196</v>
      </c>
      <c r="B197" s="16">
        <v>541</v>
      </c>
      <c r="C197" s="20">
        <v>36378</v>
      </c>
      <c r="D197">
        <f>koronahun!L865</f>
        <v>0</v>
      </c>
      <c r="E197" s="56" t="s">
        <v>11</v>
      </c>
      <c r="F197" s="56" t="s">
        <v>11</v>
      </c>
    </row>
    <row r="198" spans="1:6" ht="13">
      <c r="A198" s="16">
        <v>197</v>
      </c>
      <c r="B198" s="16">
        <v>528</v>
      </c>
      <c r="C198" s="20">
        <v>36078</v>
      </c>
      <c r="D198">
        <f>koronahun!L866</f>
        <v>0</v>
      </c>
      <c r="E198" s="56" t="s">
        <v>11</v>
      </c>
      <c r="F198" s="56" t="s">
        <v>11</v>
      </c>
    </row>
    <row r="199" spans="1:6" ht="13">
      <c r="A199" s="16">
        <v>198</v>
      </c>
      <c r="B199" s="16">
        <v>478</v>
      </c>
      <c r="C199" s="20"/>
      <c r="D199">
        <f>koronahun!L867</f>
        <v>0</v>
      </c>
      <c r="E199" s="56" t="s">
        <v>11</v>
      </c>
      <c r="F199" s="56" t="s">
        <v>11</v>
      </c>
    </row>
    <row r="200" spans="1:6" ht="13">
      <c r="A200" s="16">
        <v>199</v>
      </c>
      <c r="B200" s="16">
        <v>497</v>
      </c>
      <c r="C200" s="20"/>
      <c r="D200">
        <f>koronahun!L868</f>
        <v>0</v>
      </c>
      <c r="E200" s="56" t="s">
        <v>11</v>
      </c>
      <c r="F200" s="56" t="s">
        <v>11</v>
      </c>
    </row>
    <row r="201" spans="1:6" ht="13">
      <c r="A201" s="16">
        <v>200</v>
      </c>
      <c r="B201" s="16">
        <v>514</v>
      </c>
      <c r="C201" s="20">
        <v>35602</v>
      </c>
      <c r="D201">
        <f>koronahun!L869</f>
        <v>0</v>
      </c>
      <c r="E201" s="56" t="s">
        <v>11</v>
      </c>
      <c r="F201" s="56" t="s">
        <v>11</v>
      </c>
    </row>
    <row r="202" spans="1:6" ht="13">
      <c r="A202" s="16">
        <v>201</v>
      </c>
      <c r="B202" s="16">
        <v>511</v>
      </c>
      <c r="C202" s="20">
        <v>35421</v>
      </c>
      <c r="D202">
        <f>koronahun!L870</f>
        <v>21258</v>
      </c>
      <c r="E202" s="56" t="s">
        <v>11</v>
      </c>
      <c r="F202" s="56" t="s">
        <v>11</v>
      </c>
    </row>
    <row r="203" spans="1:6" ht="13">
      <c r="A203" s="16">
        <v>202</v>
      </c>
      <c r="B203" s="16">
        <v>494</v>
      </c>
      <c r="C203" s="20">
        <v>34875</v>
      </c>
      <c r="D203">
        <f>koronahun!L871</f>
        <v>0</v>
      </c>
      <c r="E203" s="56" t="s">
        <v>11</v>
      </c>
      <c r="F203" s="56" t="s">
        <v>11</v>
      </c>
    </row>
    <row r="204" spans="1:6" ht="13">
      <c r="A204" s="16">
        <v>203</v>
      </c>
      <c r="B204" s="16">
        <v>487</v>
      </c>
      <c r="C204" s="20">
        <v>34282</v>
      </c>
      <c r="D204">
        <f>koronahun!L872</f>
        <v>0</v>
      </c>
      <c r="E204" s="56" t="s">
        <v>11</v>
      </c>
      <c r="F204" s="56" t="s">
        <v>11</v>
      </c>
    </row>
    <row r="205" spans="1:6" ht="13">
      <c r="A205" s="16">
        <v>204</v>
      </c>
      <c r="B205" s="16">
        <v>484</v>
      </c>
      <c r="C205" s="20">
        <v>33804</v>
      </c>
      <c r="D205">
        <f>koronahun!L873</f>
        <v>0</v>
      </c>
      <c r="E205" s="56" t="s">
        <v>11</v>
      </c>
      <c r="F205" s="56" t="s">
        <v>11</v>
      </c>
    </row>
    <row r="206" spans="1:6" ht="13">
      <c r="A206" s="16">
        <v>205</v>
      </c>
      <c r="B206" s="16">
        <v>490</v>
      </c>
      <c r="C206" s="20"/>
      <c r="D206">
        <f>koronahun!L874</f>
        <v>0</v>
      </c>
      <c r="E206" s="56" t="s">
        <v>11</v>
      </c>
      <c r="F206" s="56" t="s">
        <v>11</v>
      </c>
    </row>
    <row r="207" spans="1:6" ht="13">
      <c r="A207" s="16">
        <v>206</v>
      </c>
      <c r="B207" s="16">
        <v>504</v>
      </c>
      <c r="C207" s="20"/>
      <c r="D207">
        <f>koronahun!L875</f>
        <v>0</v>
      </c>
      <c r="E207" s="56" t="s">
        <v>11</v>
      </c>
      <c r="F207" s="56" t="s">
        <v>11</v>
      </c>
    </row>
    <row r="208" spans="1:6" ht="13">
      <c r="A208" s="16">
        <v>207</v>
      </c>
      <c r="B208" s="16">
        <v>510</v>
      </c>
      <c r="C208" s="20">
        <v>33394</v>
      </c>
      <c r="D208">
        <f>koronahun!L876</f>
        <v>0</v>
      </c>
      <c r="E208" s="56" t="s">
        <v>11</v>
      </c>
      <c r="F208" s="56" t="s">
        <v>11</v>
      </c>
    </row>
    <row r="209" spans="1:6" ht="13">
      <c r="A209" s="16">
        <v>208</v>
      </c>
      <c r="B209" s="16">
        <v>523</v>
      </c>
      <c r="C209" s="20">
        <v>33048</v>
      </c>
      <c r="D209">
        <f>koronahun!L877</f>
        <v>28510</v>
      </c>
      <c r="E209" s="56" t="s">
        <v>11</v>
      </c>
      <c r="F209" s="56" t="s">
        <v>11</v>
      </c>
    </row>
    <row r="210" spans="1:6" ht="13">
      <c r="A210" s="16">
        <v>209</v>
      </c>
      <c r="B210" s="16">
        <v>529</v>
      </c>
      <c r="C210" s="20">
        <v>32356</v>
      </c>
      <c r="D210">
        <f>koronahun!L878</f>
        <v>0</v>
      </c>
      <c r="E210" s="56" t="s">
        <v>11</v>
      </c>
      <c r="F210" s="56" t="s">
        <v>11</v>
      </c>
    </row>
    <row r="211" spans="1:6" ht="13">
      <c r="A211" s="16">
        <v>210</v>
      </c>
      <c r="B211" s="16">
        <v>530</v>
      </c>
      <c r="C211" s="20">
        <v>31890</v>
      </c>
      <c r="D211">
        <f>koronahun!L879</f>
        <v>0</v>
      </c>
      <c r="E211" s="56" t="s">
        <v>11</v>
      </c>
      <c r="F211" s="56" t="s">
        <v>11</v>
      </c>
    </row>
    <row r="212" spans="1:6" ht="13">
      <c r="A212" s="16">
        <v>211</v>
      </c>
      <c r="B212" s="16">
        <v>542</v>
      </c>
      <c r="C212" s="20">
        <v>31308</v>
      </c>
      <c r="D212">
        <f>koronahun!L880</f>
        <v>0</v>
      </c>
      <c r="E212" s="56" t="s">
        <v>11</v>
      </c>
      <c r="F212" s="56" t="s">
        <v>11</v>
      </c>
    </row>
    <row r="213" spans="1:6" ht="13">
      <c r="A213" s="16">
        <v>212</v>
      </c>
      <c r="B213" s="16">
        <v>556</v>
      </c>
      <c r="C213" s="20"/>
      <c r="D213">
        <f>koronahun!L881</f>
        <v>0</v>
      </c>
      <c r="E213" s="56" t="s">
        <v>11</v>
      </c>
      <c r="F213" s="56" t="s">
        <v>11</v>
      </c>
    </row>
    <row r="214" spans="1:6" ht="13">
      <c r="A214" s="16">
        <v>213</v>
      </c>
      <c r="B214" s="16">
        <v>565</v>
      </c>
      <c r="C214" s="20"/>
      <c r="D214">
        <f>koronahun!L882</f>
        <v>0</v>
      </c>
      <c r="E214" s="56" t="s">
        <v>11</v>
      </c>
      <c r="F214" s="56" t="s">
        <v>11</v>
      </c>
    </row>
    <row r="215" spans="1:6" ht="13">
      <c r="A215" s="16">
        <v>214</v>
      </c>
      <c r="B215" s="16">
        <v>549</v>
      </c>
      <c r="C215" s="20">
        <v>30434</v>
      </c>
      <c r="D215">
        <f>koronahun!L883</f>
        <v>0</v>
      </c>
      <c r="E215" s="56" t="s">
        <v>11</v>
      </c>
      <c r="F215" s="56" t="s">
        <v>11</v>
      </c>
    </row>
    <row r="216" spans="1:6" ht="13">
      <c r="A216" s="16">
        <v>215</v>
      </c>
      <c r="B216" s="16">
        <v>534</v>
      </c>
      <c r="C216" s="20">
        <v>30182</v>
      </c>
      <c r="D216">
        <f>koronahun!L884</f>
        <v>42061</v>
      </c>
      <c r="E216" s="56" t="s">
        <v>11</v>
      </c>
      <c r="F216" s="56" t="s">
        <v>11</v>
      </c>
    </row>
    <row r="217" spans="1:6" ht="13">
      <c r="A217" s="16">
        <v>216</v>
      </c>
      <c r="B217" s="16">
        <v>540</v>
      </c>
      <c r="C217" s="20">
        <v>29926</v>
      </c>
      <c r="D217">
        <f>koronahun!L885</f>
        <v>0</v>
      </c>
      <c r="E217" s="56" t="s">
        <v>11</v>
      </c>
      <c r="F217" s="56" t="s">
        <v>11</v>
      </c>
    </row>
    <row r="218" spans="1:6" ht="13">
      <c r="A218" s="16">
        <v>217</v>
      </c>
      <c r="B218" s="16">
        <v>534</v>
      </c>
      <c r="C218" s="20">
        <v>28816</v>
      </c>
      <c r="D218">
        <f>koronahun!L886</f>
        <v>0</v>
      </c>
      <c r="E218" s="56" t="s">
        <v>11</v>
      </c>
      <c r="F218" s="56" t="s">
        <v>11</v>
      </c>
    </row>
    <row r="219" spans="1:6" ht="13">
      <c r="A219" s="16">
        <v>218</v>
      </c>
      <c r="B219" s="16">
        <v>534</v>
      </c>
      <c r="C219" s="20">
        <v>27113</v>
      </c>
      <c r="D219">
        <f>koronahun!L887</f>
        <v>0</v>
      </c>
      <c r="E219" s="56" t="s">
        <v>11</v>
      </c>
      <c r="F219" s="56" t="s">
        <v>11</v>
      </c>
    </row>
    <row r="220" spans="1:6" ht="13">
      <c r="A220" s="16">
        <v>219</v>
      </c>
      <c r="B220" s="16">
        <v>555</v>
      </c>
      <c r="C220" s="20"/>
      <c r="D220">
        <f>koronahun!L888</f>
        <v>0</v>
      </c>
      <c r="E220" s="56" t="s">
        <v>11</v>
      </c>
      <c r="F220" s="56" t="s">
        <v>11</v>
      </c>
    </row>
    <row r="221" spans="1:6" ht="13">
      <c r="A221" s="16">
        <v>220</v>
      </c>
      <c r="B221" s="16">
        <v>560</v>
      </c>
      <c r="C221" s="20"/>
      <c r="D221">
        <f>koronahun!L889</f>
        <v>0</v>
      </c>
      <c r="E221" s="56" t="s">
        <v>11</v>
      </c>
      <c r="F221" s="56" t="s">
        <v>11</v>
      </c>
    </row>
    <row r="222" spans="1:6" ht="13">
      <c r="A222" s="16">
        <v>221</v>
      </c>
      <c r="B222" s="16">
        <v>595</v>
      </c>
      <c r="C222" s="20">
        <v>22727</v>
      </c>
      <c r="D222">
        <f>koronahun!L890</f>
        <v>0</v>
      </c>
      <c r="E222" s="56" t="s">
        <v>11</v>
      </c>
      <c r="F222" s="56" t="s">
        <v>11</v>
      </c>
    </row>
    <row r="223" spans="1:6" ht="13">
      <c r="A223" s="16">
        <v>222</v>
      </c>
      <c r="B223" s="16">
        <v>601</v>
      </c>
      <c r="C223" s="20">
        <v>20976</v>
      </c>
      <c r="D223">
        <f>koronahun!L891</f>
        <v>49526</v>
      </c>
      <c r="E223" s="56" t="s">
        <v>11</v>
      </c>
      <c r="F223" s="56" t="s">
        <v>11</v>
      </c>
    </row>
    <row r="224" spans="1:6" ht="13">
      <c r="A224" s="16">
        <v>223</v>
      </c>
      <c r="B224" s="16">
        <v>614</v>
      </c>
      <c r="C224" s="20">
        <v>18824</v>
      </c>
      <c r="D224">
        <f>koronahun!L892</f>
        <v>0</v>
      </c>
      <c r="E224" s="56" t="s">
        <v>11</v>
      </c>
      <c r="F224" s="56" t="s">
        <v>11</v>
      </c>
    </row>
    <row r="225" spans="1:6" ht="13">
      <c r="A225" s="16">
        <v>224</v>
      </c>
      <c r="B225" s="16">
        <v>634</v>
      </c>
      <c r="C225" s="20">
        <v>16374</v>
      </c>
      <c r="D225">
        <f>koronahun!L893</f>
        <v>0</v>
      </c>
      <c r="E225" s="56" t="s">
        <v>11</v>
      </c>
      <c r="F225" s="56" t="s">
        <v>11</v>
      </c>
    </row>
    <row r="226" spans="1:6" ht="13">
      <c r="A226" s="16">
        <v>225</v>
      </c>
      <c r="B226" s="16">
        <v>645</v>
      </c>
      <c r="C226" s="20">
        <v>14326</v>
      </c>
      <c r="D226">
        <f>koronahun!L894</f>
        <v>0</v>
      </c>
      <c r="E226" s="56" t="s">
        <v>11</v>
      </c>
      <c r="F226" s="56" t="s">
        <v>11</v>
      </c>
    </row>
    <row r="227" spans="1:6" ht="13">
      <c r="A227" s="16">
        <v>226</v>
      </c>
      <c r="B227" s="16">
        <v>656</v>
      </c>
      <c r="C227" s="20"/>
      <c r="D227">
        <f>koronahun!L895</f>
        <v>0</v>
      </c>
      <c r="E227" s="56" t="s">
        <v>11</v>
      </c>
      <c r="F227" s="56" t="s">
        <v>11</v>
      </c>
    </row>
    <row r="228" spans="1:6" ht="13">
      <c r="A228" s="16">
        <v>227</v>
      </c>
      <c r="B228" s="16">
        <v>664</v>
      </c>
      <c r="C228" s="20"/>
      <c r="D228">
        <f>koronahun!L896</f>
        <v>0</v>
      </c>
      <c r="E228" s="56" t="s">
        <v>11</v>
      </c>
      <c r="F228" s="56" t="s">
        <v>11</v>
      </c>
    </row>
    <row r="229" spans="1:6" ht="13">
      <c r="A229" s="16">
        <v>228</v>
      </c>
      <c r="B229" s="16">
        <v>685</v>
      </c>
      <c r="C229" s="20">
        <v>12155</v>
      </c>
      <c r="D229">
        <f>koronahun!L897</f>
        <v>0</v>
      </c>
      <c r="E229" s="56" t="s">
        <v>11</v>
      </c>
      <c r="F229" s="56" t="s">
        <v>11</v>
      </c>
    </row>
    <row r="230" spans="1:6" ht="13">
      <c r="A230" s="16">
        <v>229</v>
      </c>
      <c r="B230" s="16">
        <v>708</v>
      </c>
      <c r="C230" s="20">
        <v>11988</v>
      </c>
      <c r="D230">
        <f>koronahun!L898</f>
        <v>50543</v>
      </c>
      <c r="E230" s="56" t="s">
        <v>11</v>
      </c>
      <c r="F230" s="56" t="s">
        <v>11</v>
      </c>
    </row>
    <row r="231" spans="1:6" ht="13">
      <c r="A231" s="16">
        <v>230</v>
      </c>
      <c r="B231" s="16">
        <v>730</v>
      </c>
      <c r="C231" s="20">
        <v>11722</v>
      </c>
      <c r="D231">
        <f>koronahun!L899</f>
        <v>0</v>
      </c>
      <c r="E231" s="56" t="s">
        <v>11</v>
      </c>
      <c r="F231" s="56" t="s">
        <v>11</v>
      </c>
    </row>
    <row r="232" spans="1:6" ht="13">
      <c r="A232" s="16">
        <v>231</v>
      </c>
      <c r="B232" s="16">
        <v>728</v>
      </c>
      <c r="C232" s="20">
        <v>10958</v>
      </c>
      <c r="D232">
        <f>koronahun!L900</f>
        <v>0</v>
      </c>
      <c r="E232" s="56" t="s">
        <v>11</v>
      </c>
      <c r="F232" s="56" t="s">
        <v>11</v>
      </c>
    </row>
    <row r="233" spans="1:6" ht="13">
      <c r="A233" s="16">
        <v>232</v>
      </c>
      <c r="B233" s="16">
        <v>759</v>
      </c>
      <c r="C233" s="20"/>
      <c r="D233">
        <f>koronahun!L901</f>
        <v>0</v>
      </c>
      <c r="E233" s="56" t="s">
        <v>11</v>
      </c>
      <c r="F233" s="56" t="s">
        <v>11</v>
      </c>
    </row>
    <row r="234" spans="1:6" ht="13">
      <c r="A234" s="16">
        <v>233</v>
      </c>
      <c r="B234" s="16">
        <v>806</v>
      </c>
      <c r="C234" s="20"/>
      <c r="D234">
        <f>koronahun!L902</f>
        <v>0</v>
      </c>
      <c r="E234" s="56" t="s">
        <v>11</v>
      </c>
      <c r="F234" s="56" t="s">
        <v>11</v>
      </c>
    </row>
    <row r="235" spans="1:6" ht="13">
      <c r="A235" s="16">
        <v>234</v>
      </c>
      <c r="B235" s="16">
        <v>830</v>
      </c>
      <c r="C235" s="20"/>
      <c r="D235">
        <f>koronahun!L903</f>
        <v>0</v>
      </c>
      <c r="E235" s="56" t="s">
        <v>11</v>
      </c>
      <c r="F235" s="56" t="s">
        <v>11</v>
      </c>
    </row>
    <row r="236" spans="1:6" ht="13">
      <c r="A236" s="16">
        <v>235</v>
      </c>
      <c r="B236" s="16">
        <v>847</v>
      </c>
      <c r="C236" s="20">
        <v>9539</v>
      </c>
      <c r="D236">
        <f>koronahun!L904</f>
        <v>0</v>
      </c>
      <c r="E236" s="56" t="s">
        <v>11</v>
      </c>
      <c r="F236" s="56" t="s">
        <v>11</v>
      </c>
    </row>
    <row r="237" spans="1:6" ht="13">
      <c r="A237" s="16">
        <v>236</v>
      </c>
      <c r="B237" s="16">
        <v>883</v>
      </c>
      <c r="C237" s="20">
        <v>8908</v>
      </c>
      <c r="D237">
        <f>koronahun!L905</f>
        <v>43289</v>
      </c>
      <c r="E237" s="56" t="s">
        <v>11</v>
      </c>
      <c r="F237" s="56" t="s">
        <v>11</v>
      </c>
    </row>
    <row r="238" spans="1:6" ht="13">
      <c r="A238" s="16">
        <v>237</v>
      </c>
      <c r="B238" s="16">
        <v>885</v>
      </c>
      <c r="C238" s="20">
        <v>7713</v>
      </c>
      <c r="D238">
        <f>koronahun!L906</f>
        <v>0</v>
      </c>
      <c r="E238" s="56" t="s">
        <v>11</v>
      </c>
      <c r="F238" s="56" t="s">
        <v>11</v>
      </c>
    </row>
    <row r="239" spans="1:6" ht="13">
      <c r="A239" s="16">
        <v>238</v>
      </c>
      <c r="B239" s="16">
        <v>940</v>
      </c>
      <c r="C239" s="20">
        <v>6861</v>
      </c>
      <c r="D239">
        <f>koronahun!L907</f>
        <v>0</v>
      </c>
      <c r="E239" s="56" t="s">
        <v>11</v>
      </c>
      <c r="F239" s="56" t="s">
        <v>11</v>
      </c>
    </row>
    <row r="240" spans="1:6" ht="13">
      <c r="A240" s="16">
        <v>239</v>
      </c>
      <c r="B240" s="16">
        <v>1008</v>
      </c>
      <c r="C240" s="20">
        <v>6363</v>
      </c>
      <c r="D240">
        <f>koronahun!L908</f>
        <v>0</v>
      </c>
      <c r="E240" s="56" t="s">
        <v>11</v>
      </c>
      <c r="F240" s="56" t="s">
        <v>11</v>
      </c>
    </row>
    <row r="241" spans="1:6" ht="13">
      <c r="A241" s="16">
        <v>240</v>
      </c>
      <c r="B241" s="16">
        <v>1138</v>
      </c>
      <c r="C241" s="20"/>
      <c r="D241">
        <f>koronahun!L909</f>
        <v>0</v>
      </c>
      <c r="E241" s="56" t="s">
        <v>11</v>
      </c>
      <c r="F241" s="56" t="s">
        <v>11</v>
      </c>
    </row>
    <row r="242" spans="1:6" ht="13">
      <c r="A242" s="16">
        <v>241</v>
      </c>
      <c r="B242" s="16">
        <v>1296</v>
      </c>
      <c r="C242" s="20"/>
      <c r="D242">
        <f>koronahun!L910</f>
        <v>0</v>
      </c>
      <c r="E242" s="56" t="s">
        <v>11</v>
      </c>
      <c r="F242" s="56" t="s">
        <v>11</v>
      </c>
    </row>
    <row r="243" spans="1:6" ht="13">
      <c r="A243" s="16">
        <v>242</v>
      </c>
      <c r="B243" s="16">
        <v>1588</v>
      </c>
      <c r="C243" s="20">
        <v>4936</v>
      </c>
      <c r="D243">
        <f>koronahun!L911</f>
        <v>0</v>
      </c>
      <c r="E243" s="56" t="s">
        <v>11</v>
      </c>
      <c r="F243" s="56" t="s">
        <v>11</v>
      </c>
    </row>
    <row r="244" spans="1:6" ht="13">
      <c r="A244" s="16">
        <v>243</v>
      </c>
      <c r="B244" s="16">
        <v>1763</v>
      </c>
      <c r="C244" s="20">
        <v>4834</v>
      </c>
      <c r="D244">
        <f>koronahun!L912</f>
        <v>38558</v>
      </c>
      <c r="E244" s="56" t="s">
        <v>11</v>
      </c>
      <c r="F244" s="56" t="s">
        <v>11</v>
      </c>
    </row>
    <row r="245" spans="1:6" ht="13">
      <c r="A245" s="16">
        <v>244</v>
      </c>
      <c r="B245" s="16">
        <v>1820</v>
      </c>
      <c r="C245" s="20">
        <v>4826</v>
      </c>
      <c r="D245">
        <f>koronahun!L913</f>
        <v>0</v>
      </c>
      <c r="E245" s="56" t="s">
        <v>11</v>
      </c>
      <c r="F245" s="56" t="s">
        <v>11</v>
      </c>
    </row>
    <row r="246" spans="1:6" ht="13">
      <c r="A246" s="16">
        <v>245</v>
      </c>
      <c r="B246" s="16">
        <v>2100</v>
      </c>
      <c r="C246" s="20">
        <v>4824</v>
      </c>
      <c r="D246">
        <f>koronahun!L914</f>
        <v>0</v>
      </c>
      <c r="E246" s="56" t="s">
        <v>11</v>
      </c>
      <c r="F246" s="56" t="s">
        <v>11</v>
      </c>
    </row>
    <row r="247" spans="1:6" ht="13">
      <c r="A247" s="16">
        <v>246</v>
      </c>
      <c r="B247" s="16">
        <v>2373</v>
      </c>
      <c r="C247" s="20">
        <v>4991</v>
      </c>
      <c r="D247">
        <f>koronahun!L915</f>
        <v>0</v>
      </c>
      <c r="E247" s="56" t="s">
        <v>11</v>
      </c>
      <c r="F247" s="56" t="s">
        <v>11</v>
      </c>
    </row>
    <row r="248" spans="1:6" ht="13">
      <c r="A248" s="16">
        <v>247</v>
      </c>
      <c r="B248" s="16">
        <v>2817</v>
      </c>
      <c r="C248" s="20"/>
      <c r="D248">
        <f>koronahun!L916</f>
        <v>0</v>
      </c>
      <c r="E248" s="56" t="s">
        <v>11</v>
      </c>
      <c r="F248" s="56" t="s">
        <v>11</v>
      </c>
    </row>
    <row r="249" spans="1:6" ht="13">
      <c r="A249" s="16">
        <v>248</v>
      </c>
      <c r="B249" s="16">
        <v>3316</v>
      </c>
      <c r="C249" s="20"/>
      <c r="D249">
        <f>koronahun!L917</f>
        <v>0</v>
      </c>
      <c r="E249" s="56" t="s">
        <v>11</v>
      </c>
      <c r="F249" s="56" t="s">
        <v>11</v>
      </c>
    </row>
    <row r="250" spans="1:6" ht="13">
      <c r="A250" s="16">
        <v>249</v>
      </c>
      <c r="B250" s="16">
        <v>3805</v>
      </c>
      <c r="C250" s="20">
        <v>5382</v>
      </c>
      <c r="D250">
        <f>koronahun!L918</f>
        <v>0</v>
      </c>
      <c r="E250" s="56" t="s">
        <v>11</v>
      </c>
      <c r="F250" s="56" t="s">
        <v>11</v>
      </c>
    </row>
    <row r="251" spans="1:6" ht="13">
      <c r="A251" s="16">
        <v>250</v>
      </c>
      <c r="B251" s="16">
        <v>4377</v>
      </c>
      <c r="C251" s="20">
        <v>5486</v>
      </c>
      <c r="D251">
        <f>koronahun!L919</f>
        <v>34672</v>
      </c>
      <c r="E251" s="56" t="s">
        <v>11</v>
      </c>
      <c r="F251" s="56" t="s">
        <v>11</v>
      </c>
    </row>
    <row r="252" spans="1:6" ht="13">
      <c r="A252" s="16">
        <v>251</v>
      </c>
      <c r="B252" s="16">
        <v>4706</v>
      </c>
      <c r="C252" s="20">
        <v>5586</v>
      </c>
      <c r="D252">
        <f>koronahun!L920</f>
        <v>0</v>
      </c>
      <c r="E252" s="56" t="s">
        <v>11</v>
      </c>
      <c r="F252" s="56" t="s">
        <v>11</v>
      </c>
    </row>
    <row r="253" spans="1:6" ht="13">
      <c r="A253" s="16">
        <v>252</v>
      </c>
      <c r="B253" s="16">
        <v>5103</v>
      </c>
      <c r="C253" s="20">
        <v>5798</v>
      </c>
      <c r="D253">
        <f>koronahun!L921</f>
        <v>0</v>
      </c>
      <c r="E253" s="56" t="s">
        <v>11</v>
      </c>
      <c r="F253" s="56" t="s">
        <v>11</v>
      </c>
    </row>
    <row r="254" spans="1:6" ht="13">
      <c r="A254" s="16">
        <v>253</v>
      </c>
      <c r="B254" s="16">
        <v>5571</v>
      </c>
      <c r="C254" s="20">
        <v>6006</v>
      </c>
      <c r="D254">
        <f>koronahun!L922</f>
        <v>0</v>
      </c>
      <c r="E254" s="56" t="s">
        <v>11</v>
      </c>
      <c r="F254" s="56" t="s">
        <v>11</v>
      </c>
    </row>
    <row r="255" spans="1:6" ht="13">
      <c r="A255" s="16">
        <v>254</v>
      </c>
      <c r="B255" s="16">
        <v>6264</v>
      </c>
      <c r="C255" s="20"/>
      <c r="D255">
        <f>koronahun!L923</f>
        <v>0</v>
      </c>
      <c r="E255" s="56" t="s">
        <v>11</v>
      </c>
      <c r="F255" s="56" t="s">
        <v>11</v>
      </c>
    </row>
    <row r="256" spans="1:6" ht="13">
      <c r="A256" s="16">
        <v>255</v>
      </c>
      <c r="B256" s="16">
        <v>7134</v>
      </c>
      <c r="C256" s="20"/>
      <c r="D256">
        <f>koronahun!L924</f>
        <v>0</v>
      </c>
      <c r="E256" s="56" t="s">
        <v>11</v>
      </c>
      <c r="F256" s="56" t="s">
        <v>11</v>
      </c>
    </row>
    <row r="257" spans="1:6" ht="13">
      <c r="A257" s="16">
        <v>256</v>
      </c>
      <c r="B257" s="16">
        <v>7603</v>
      </c>
      <c r="C257" s="20">
        <v>6502</v>
      </c>
      <c r="D257">
        <f>koronahun!L925</f>
        <v>0</v>
      </c>
      <c r="E257" s="56" t="s">
        <v>11</v>
      </c>
      <c r="F257" s="56" t="s">
        <v>11</v>
      </c>
    </row>
    <row r="258" spans="1:6" ht="13">
      <c r="A258" s="16">
        <v>257</v>
      </c>
      <c r="B258" s="16">
        <v>8394</v>
      </c>
      <c r="C258" s="20">
        <v>6635</v>
      </c>
      <c r="D258">
        <f>koronahun!L926</f>
        <v>34275</v>
      </c>
      <c r="E258" s="56" t="s">
        <v>11</v>
      </c>
      <c r="F258" s="56" t="s">
        <v>11</v>
      </c>
    </row>
    <row r="259" spans="1:6" ht="13">
      <c r="A259" s="16">
        <v>258</v>
      </c>
      <c r="B259" s="16">
        <v>9103</v>
      </c>
      <c r="C259" s="20">
        <v>6858</v>
      </c>
      <c r="D259">
        <f>koronahun!L927</f>
        <v>0</v>
      </c>
      <c r="E259" s="56" t="s">
        <v>11</v>
      </c>
      <c r="F259" s="56" t="s">
        <v>11</v>
      </c>
    </row>
    <row r="260" spans="1:6" ht="13">
      <c r="A260" s="16">
        <v>259</v>
      </c>
      <c r="B260" s="16">
        <v>9653</v>
      </c>
      <c r="C260" s="20">
        <v>7129</v>
      </c>
      <c r="D260">
        <f>koronahun!L928</f>
        <v>0</v>
      </c>
      <c r="E260" s="56" t="s">
        <v>11</v>
      </c>
      <c r="F260" s="56" t="s">
        <v>11</v>
      </c>
    </row>
    <row r="261" spans="1:6" ht="13">
      <c r="A261" s="16">
        <v>260</v>
      </c>
      <c r="B261" s="16">
        <v>10280</v>
      </c>
      <c r="C261" s="20">
        <v>7259</v>
      </c>
      <c r="D261">
        <f>koronahun!L929</f>
        <v>0</v>
      </c>
      <c r="E261" s="56" t="s">
        <v>11</v>
      </c>
      <c r="F261" s="56" t="s">
        <v>11</v>
      </c>
    </row>
    <row r="262" spans="1:6" ht="13">
      <c r="A262" s="16">
        <v>261</v>
      </c>
      <c r="B262" s="16">
        <v>11202</v>
      </c>
      <c r="C262" s="20"/>
      <c r="D262">
        <f>koronahun!L930</f>
        <v>0</v>
      </c>
      <c r="E262" s="56" t="s">
        <v>11</v>
      </c>
      <c r="F262" s="56" t="s">
        <v>11</v>
      </c>
    </row>
    <row r="263" spans="1:6" ht="13">
      <c r="A263" s="16">
        <v>262</v>
      </c>
      <c r="B263" s="16">
        <v>11863</v>
      </c>
      <c r="C263" s="20"/>
      <c r="D263">
        <f>koronahun!L931</f>
        <v>0</v>
      </c>
      <c r="E263" s="56" t="s">
        <v>11</v>
      </c>
      <c r="F263" s="56" t="s">
        <v>11</v>
      </c>
    </row>
    <row r="264" spans="1:6" ht="13">
      <c r="A264" s="16">
        <v>263</v>
      </c>
      <c r="B264" s="16">
        <v>12916</v>
      </c>
      <c r="C264" s="20">
        <v>7630</v>
      </c>
      <c r="D264">
        <f>koronahun!L932</f>
        <v>0</v>
      </c>
      <c r="E264" s="56" t="s">
        <v>11</v>
      </c>
      <c r="F264" s="56" t="s">
        <v>11</v>
      </c>
    </row>
    <row r="265" spans="1:6" ht="13">
      <c r="A265" s="16">
        <v>264</v>
      </c>
      <c r="B265" s="16">
        <v>13779</v>
      </c>
      <c r="C265" s="20">
        <v>7639</v>
      </c>
      <c r="D265">
        <f>koronahun!L933</f>
        <v>33564</v>
      </c>
      <c r="E265" s="56" t="s">
        <v>11</v>
      </c>
      <c r="F265" s="56" t="s">
        <v>11</v>
      </c>
    </row>
    <row r="266" spans="1:6" ht="13">
      <c r="A266" s="16">
        <v>265</v>
      </c>
      <c r="B266" s="16">
        <v>14246</v>
      </c>
      <c r="C266" s="20">
        <v>7740</v>
      </c>
      <c r="D266">
        <f>koronahun!L934</f>
        <v>0</v>
      </c>
      <c r="E266" s="56" t="s">
        <v>11</v>
      </c>
      <c r="F266" s="56" t="s">
        <v>11</v>
      </c>
    </row>
    <row r="267" spans="1:6" ht="13">
      <c r="A267" s="16">
        <v>266</v>
      </c>
      <c r="B267" s="16">
        <v>15104</v>
      </c>
      <c r="C267" s="20">
        <v>7960</v>
      </c>
      <c r="D267">
        <f>koronahun!L935</f>
        <v>0</v>
      </c>
      <c r="E267" s="56" t="s">
        <v>11</v>
      </c>
      <c r="F267" s="56" t="s">
        <v>11</v>
      </c>
    </row>
    <row r="268" spans="1:6" ht="13">
      <c r="A268" s="16">
        <v>267</v>
      </c>
      <c r="B268" s="16">
        <v>15673</v>
      </c>
      <c r="C268" s="20">
        <v>8133</v>
      </c>
      <c r="D268">
        <f>koronahun!L936</f>
        <v>0</v>
      </c>
      <c r="E268" s="56" t="s">
        <v>11</v>
      </c>
      <c r="F268" s="56" t="s">
        <v>11</v>
      </c>
    </row>
    <row r="269" spans="1:6" ht="13">
      <c r="A269" s="16">
        <v>268</v>
      </c>
      <c r="B269" s="16">
        <v>16464</v>
      </c>
      <c r="C269" s="20"/>
      <c r="D269">
        <f>koronahun!L937</f>
        <v>0</v>
      </c>
      <c r="E269" s="56" t="s">
        <v>11</v>
      </c>
      <c r="F269" s="56" t="s">
        <v>11</v>
      </c>
    </row>
    <row r="270" spans="1:6" ht="13">
      <c r="A270" s="16">
        <v>269</v>
      </c>
      <c r="B270" s="16">
        <v>17248</v>
      </c>
      <c r="C270" s="20"/>
      <c r="D270">
        <f>koronahun!L938</f>
        <v>0</v>
      </c>
      <c r="E270" s="56" t="s">
        <v>11</v>
      </c>
      <c r="F270" s="56" t="s">
        <v>11</v>
      </c>
    </row>
    <row r="271" spans="1:6" ht="13">
      <c r="A271" s="16">
        <v>270</v>
      </c>
      <c r="B271" s="16">
        <v>18137</v>
      </c>
      <c r="C271" s="20">
        <v>7923</v>
      </c>
      <c r="D271">
        <f>koronahun!L939</f>
        <v>0</v>
      </c>
      <c r="E271" s="56" t="s">
        <v>11</v>
      </c>
      <c r="F271" s="56" t="s">
        <v>11</v>
      </c>
    </row>
    <row r="272" spans="1:6" ht="13">
      <c r="A272" s="16">
        <v>271</v>
      </c>
      <c r="B272" s="16">
        <v>18815</v>
      </c>
      <c r="C272" s="20">
        <v>7532</v>
      </c>
      <c r="D272">
        <f>koronahun!L940</f>
        <v>32464</v>
      </c>
      <c r="E272" s="56" t="s">
        <v>11</v>
      </c>
      <c r="F272" s="56" t="s">
        <v>11</v>
      </c>
    </row>
    <row r="273" spans="1:6" ht="13">
      <c r="A273" s="16">
        <v>272</v>
      </c>
      <c r="B273" s="16">
        <v>19637</v>
      </c>
      <c r="C273" s="20">
        <v>7348</v>
      </c>
      <c r="D273">
        <f>koronahun!L941</f>
        <v>0</v>
      </c>
      <c r="E273" s="56" t="s">
        <v>11</v>
      </c>
      <c r="F273" s="56" t="s">
        <v>11</v>
      </c>
    </row>
    <row r="274" spans="1:6" ht="13">
      <c r="A274" s="16">
        <v>273</v>
      </c>
      <c r="B274" s="16">
        <v>19806</v>
      </c>
      <c r="C274" s="20">
        <v>7425</v>
      </c>
      <c r="D274">
        <f>koronahun!L942</f>
        <v>0</v>
      </c>
      <c r="E274" s="56" t="s">
        <v>11</v>
      </c>
      <c r="F274" s="56" t="s">
        <v>11</v>
      </c>
    </row>
    <row r="275" spans="1:6" ht="13">
      <c r="A275" s="16">
        <v>274</v>
      </c>
      <c r="B275" s="16">
        <v>20410</v>
      </c>
      <c r="C275" s="20">
        <v>7539</v>
      </c>
      <c r="D275">
        <f>koronahun!L943</f>
        <v>0</v>
      </c>
      <c r="E275" s="56" t="s">
        <v>11</v>
      </c>
      <c r="F275" s="56" t="s">
        <v>11</v>
      </c>
    </row>
    <row r="276" spans="1:6" ht="13">
      <c r="A276" s="16">
        <v>275</v>
      </c>
      <c r="B276" s="16">
        <v>21484</v>
      </c>
      <c r="C276" s="20"/>
      <c r="D276">
        <f>koronahun!L944</f>
        <v>0</v>
      </c>
      <c r="E276" s="56" t="s">
        <v>11</v>
      </c>
      <c r="F276" s="56" t="s">
        <v>11</v>
      </c>
    </row>
    <row r="277" spans="1:6" ht="13">
      <c r="A277" s="16">
        <v>276</v>
      </c>
      <c r="B277" s="16">
        <v>22081</v>
      </c>
      <c r="C277" s="20"/>
      <c r="D277">
        <f>koronahun!L945</f>
        <v>0</v>
      </c>
      <c r="E277" s="56" t="s">
        <v>11</v>
      </c>
      <c r="F277" s="56" t="s">
        <v>11</v>
      </c>
    </row>
    <row r="278" spans="1:6" ht="13">
      <c r="A278" s="16">
        <v>277</v>
      </c>
      <c r="B278" s="16">
        <v>22283</v>
      </c>
      <c r="C278" s="20">
        <v>7909</v>
      </c>
      <c r="D278">
        <f>koronahun!L946</f>
        <v>0</v>
      </c>
      <c r="E278" s="56" t="s">
        <v>11</v>
      </c>
      <c r="F278" s="56" t="s">
        <v>11</v>
      </c>
    </row>
    <row r="279" spans="1:6" ht="13">
      <c r="A279" s="16">
        <v>278</v>
      </c>
      <c r="B279" s="16">
        <v>22482</v>
      </c>
      <c r="C279" s="20">
        <v>8041</v>
      </c>
      <c r="D279">
        <f>koronahun!L947</f>
        <v>35039</v>
      </c>
      <c r="E279" s="56" t="s">
        <v>11</v>
      </c>
      <c r="F279" s="56" t="s">
        <v>11</v>
      </c>
    </row>
    <row r="280" spans="1:6" ht="13">
      <c r="A280" s="16">
        <v>279</v>
      </c>
      <c r="B280" s="16">
        <v>22722</v>
      </c>
      <c r="C280" s="20">
        <v>8316</v>
      </c>
      <c r="D280">
        <f>koronahun!L948</f>
        <v>0</v>
      </c>
      <c r="E280" s="56" t="s">
        <v>11</v>
      </c>
      <c r="F280" s="56" t="s">
        <v>11</v>
      </c>
    </row>
    <row r="281" spans="1:6" ht="13">
      <c r="A281" s="16">
        <v>280</v>
      </c>
      <c r="B281" s="20">
        <v>23088</v>
      </c>
      <c r="C281" s="20">
        <v>8722</v>
      </c>
      <c r="D281">
        <f>koronahun!L949</f>
        <v>0</v>
      </c>
      <c r="E281" s="56" t="s">
        <v>11</v>
      </c>
      <c r="F281" s="56" t="s">
        <v>11</v>
      </c>
    </row>
    <row r="282" spans="1:6" ht="13">
      <c r="A282" s="16">
        <v>281</v>
      </c>
      <c r="B282" s="20">
        <v>23961</v>
      </c>
      <c r="C282" s="20">
        <v>9121</v>
      </c>
      <c r="D282">
        <f>koronahun!L950</f>
        <v>0</v>
      </c>
      <c r="E282" s="56" t="s">
        <v>11</v>
      </c>
      <c r="F282" s="56" t="s">
        <v>11</v>
      </c>
    </row>
    <row r="283" spans="1:6" ht="13">
      <c r="A283" s="16">
        <v>282</v>
      </c>
      <c r="B283" s="20">
        <v>25107</v>
      </c>
      <c r="C283" s="20"/>
      <c r="D283">
        <f>koronahun!L951</f>
        <v>0</v>
      </c>
      <c r="E283" s="56" t="s">
        <v>11</v>
      </c>
      <c r="F283" s="56" t="s">
        <v>11</v>
      </c>
    </row>
    <row r="284" spans="1:6" ht="13">
      <c r="A284" s="16">
        <v>283</v>
      </c>
      <c r="B284" s="20">
        <v>25980</v>
      </c>
      <c r="C284" s="20"/>
      <c r="D284">
        <f>koronahun!L952</f>
        <v>0</v>
      </c>
      <c r="E284" s="56" t="s">
        <v>11</v>
      </c>
      <c r="F284" s="56" t="s">
        <v>11</v>
      </c>
    </row>
    <row r="285" spans="1:6" ht="13">
      <c r="A285" s="16">
        <v>284</v>
      </c>
      <c r="B285" s="20">
        <v>25862</v>
      </c>
      <c r="C285" s="20">
        <v>10143</v>
      </c>
      <c r="D285">
        <f>koronahun!L953</f>
        <v>0</v>
      </c>
      <c r="E285" s="56" t="s">
        <v>11</v>
      </c>
      <c r="F285" s="56" t="s">
        <v>11</v>
      </c>
    </row>
    <row r="286" spans="1:6" ht="13">
      <c r="A286" s="16">
        <v>285</v>
      </c>
      <c r="B286" s="20">
        <v>26832</v>
      </c>
      <c r="C286" s="20">
        <v>10269</v>
      </c>
      <c r="D286">
        <f>koronahun!L954</f>
        <v>36163</v>
      </c>
      <c r="E286" s="56" t="s">
        <v>11</v>
      </c>
      <c r="F286" s="56" t="s">
        <v>11</v>
      </c>
    </row>
    <row r="287" spans="1:6" ht="13">
      <c r="A287" s="16">
        <v>286</v>
      </c>
      <c r="B287" s="20">
        <v>27113</v>
      </c>
      <c r="C287" s="20">
        <v>10690</v>
      </c>
      <c r="D287">
        <f>koronahun!L955</f>
        <v>0</v>
      </c>
      <c r="E287" s="56" t="s">
        <v>11</v>
      </c>
      <c r="F287" s="56" t="s">
        <v>11</v>
      </c>
    </row>
    <row r="288" spans="1:6" ht="13">
      <c r="A288" s="16">
        <v>287</v>
      </c>
      <c r="B288" s="20">
        <v>27595</v>
      </c>
      <c r="C288" s="20">
        <v>11398</v>
      </c>
      <c r="D288">
        <f>koronahun!L956</f>
        <v>0</v>
      </c>
      <c r="E288" s="56" t="s">
        <v>11</v>
      </c>
      <c r="F288" s="56" t="s">
        <v>11</v>
      </c>
    </row>
    <row r="289" spans="1:6" ht="13">
      <c r="A289" s="16">
        <v>288</v>
      </c>
      <c r="B289" s="20">
        <v>28052</v>
      </c>
      <c r="C289" s="20">
        <v>12118</v>
      </c>
      <c r="D289">
        <f>koronahun!L957</f>
        <v>0</v>
      </c>
      <c r="E289" s="56" t="s">
        <v>11</v>
      </c>
      <c r="F289" s="56" t="s">
        <v>11</v>
      </c>
    </row>
    <row r="290" spans="1:6" ht="13">
      <c r="A290" s="16">
        <v>289</v>
      </c>
      <c r="B290" s="20">
        <v>28806</v>
      </c>
      <c r="C290" s="20"/>
      <c r="D290">
        <f>koronahun!L958</f>
        <v>0</v>
      </c>
      <c r="E290" s="56" t="s">
        <v>11</v>
      </c>
      <c r="F290" s="56" t="s">
        <v>11</v>
      </c>
    </row>
    <row r="291" spans="1:6" ht="13">
      <c r="A291" s="16">
        <v>290</v>
      </c>
      <c r="B291" s="20">
        <v>30127</v>
      </c>
      <c r="C291" s="20"/>
      <c r="D291">
        <f>koronahun!L959</f>
        <v>0</v>
      </c>
      <c r="E291" s="56" t="s">
        <v>11</v>
      </c>
      <c r="F291" s="56" t="s">
        <v>11</v>
      </c>
    </row>
    <row r="292" spans="1:6" ht="13">
      <c r="A292" s="16">
        <v>291</v>
      </c>
      <c r="B292" s="20">
        <v>31060</v>
      </c>
      <c r="C292" s="20">
        <v>13989</v>
      </c>
      <c r="D292">
        <f>koronahun!L960</f>
        <v>0</v>
      </c>
      <c r="E292" s="56" t="s">
        <v>11</v>
      </c>
      <c r="F292" s="56" t="s">
        <v>11</v>
      </c>
    </row>
    <row r="293" spans="1:6" ht="13">
      <c r="A293" s="16">
        <v>292</v>
      </c>
      <c r="B293" s="20">
        <v>32283</v>
      </c>
      <c r="C293" s="20">
        <v>14588</v>
      </c>
      <c r="D293">
        <f>koronahun!L961</f>
        <v>35043</v>
      </c>
      <c r="E293" s="56" t="s">
        <v>11</v>
      </c>
      <c r="F293" s="56" t="s">
        <v>11</v>
      </c>
    </row>
    <row r="294" spans="1:6" ht="13">
      <c r="A294" s="16">
        <v>293</v>
      </c>
      <c r="B294" s="20">
        <v>32909</v>
      </c>
      <c r="C294" s="20">
        <v>15711</v>
      </c>
      <c r="D294">
        <f>koronahun!L962</f>
        <v>0</v>
      </c>
      <c r="E294" s="56" t="s">
        <v>11</v>
      </c>
      <c r="F294" s="56" t="s">
        <v>11</v>
      </c>
    </row>
    <row r="295" spans="1:6" ht="13">
      <c r="A295" s="16">
        <v>294</v>
      </c>
      <c r="B295" s="20">
        <v>34016</v>
      </c>
      <c r="C295" s="20">
        <v>17521</v>
      </c>
      <c r="D295">
        <f>koronahun!L963</f>
        <v>0</v>
      </c>
      <c r="E295" s="56" t="s">
        <v>11</v>
      </c>
      <c r="F295" s="56" t="s">
        <v>11</v>
      </c>
    </row>
    <row r="296" spans="1:6" ht="13">
      <c r="A296" s="16">
        <v>295</v>
      </c>
      <c r="B296" s="20">
        <v>35653</v>
      </c>
      <c r="C296" s="20">
        <v>19491</v>
      </c>
      <c r="D296">
        <f>koronahun!L964</f>
        <v>0</v>
      </c>
      <c r="E296" s="56" t="s">
        <v>11</v>
      </c>
      <c r="F296" s="56" t="s">
        <v>11</v>
      </c>
    </row>
    <row r="297" spans="1:6" ht="13">
      <c r="A297" s="16">
        <v>296</v>
      </c>
      <c r="B297" s="20">
        <v>37272</v>
      </c>
      <c r="C297" s="20"/>
      <c r="D297">
        <f>koronahun!L965</f>
        <v>0</v>
      </c>
      <c r="E297" s="56" t="s">
        <v>11</v>
      </c>
      <c r="F297" s="56" t="s">
        <v>11</v>
      </c>
    </row>
    <row r="298" spans="1:6" ht="13">
      <c r="A298" s="16">
        <v>297</v>
      </c>
      <c r="B298" s="20">
        <v>38701</v>
      </c>
      <c r="C298" s="20"/>
      <c r="D298">
        <f>koronahun!L966</f>
        <v>0</v>
      </c>
      <c r="E298" s="56" t="s">
        <v>11</v>
      </c>
      <c r="F298" s="56" t="s">
        <v>11</v>
      </c>
    </row>
    <row r="299" spans="1:6" ht="13">
      <c r="A299" s="16">
        <v>298</v>
      </c>
      <c r="B299" s="20">
        <v>41580</v>
      </c>
      <c r="C299" s="20">
        <v>24384</v>
      </c>
      <c r="D299">
        <f>koronahun!L967</f>
        <v>0</v>
      </c>
      <c r="E299" s="56" t="s">
        <v>11</v>
      </c>
      <c r="F299" s="56" t="s">
        <v>11</v>
      </c>
    </row>
    <row r="300" spans="1:6" ht="13">
      <c r="A300" s="16">
        <v>299</v>
      </c>
      <c r="B300" s="20">
        <v>43600</v>
      </c>
      <c r="C300" s="20">
        <v>25775</v>
      </c>
      <c r="D300">
        <f>koronahun!L968</f>
        <v>31576</v>
      </c>
      <c r="E300" s="56" t="s">
        <v>11</v>
      </c>
      <c r="F300" s="56" t="s">
        <v>11</v>
      </c>
    </row>
    <row r="301" spans="1:6" ht="13">
      <c r="A301" s="16">
        <v>300</v>
      </c>
      <c r="B301" s="20">
        <v>45461</v>
      </c>
      <c r="C301" s="20">
        <v>28257</v>
      </c>
      <c r="D301">
        <f>koronahun!L969</f>
        <v>0</v>
      </c>
      <c r="E301" s="56" t="s">
        <v>11</v>
      </c>
      <c r="F301" s="56" t="s">
        <v>11</v>
      </c>
    </row>
    <row r="302" spans="1:6" ht="13">
      <c r="A302" s="16">
        <v>301</v>
      </c>
      <c r="B302" s="20">
        <v>47257</v>
      </c>
      <c r="C302" s="20">
        <v>31544</v>
      </c>
      <c r="D302">
        <f>koronahun!L970</f>
        <v>0</v>
      </c>
      <c r="E302" s="56" t="s">
        <v>11</v>
      </c>
      <c r="F302" s="56" t="s">
        <v>11</v>
      </c>
    </row>
    <row r="303" spans="1:6" ht="13">
      <c r="A303" s="16">
        <v>302</v>
      </c>
      <c r="B303" s="20">
        <v>49024</v>
      </c>
      <c r="C303" s="20">
        <v>34780</v>
      </c>
      <c r="D303">
        <f>koronahun!L971</f>
        <v>0</v>
      </c>
      <c r="E303" s="56" t="s">
        <v>11</v>
      </c>
      <c r="F303" s="56" t="s">
        <v>11</v>
      </c>
    </row>
    <row r="304" spans="1:6" ht="13">
      <c r="A304" s="16">
        <v>303</v>
      </c>
      <c r="B304" s="20">
        <v>51761</v>
      </c>
      <c r="C304" s="20"/>
      <c r="D304">
        <f>koronahun!L972</f>
        <v>0</v>
      </c>
      <c r="E304" s="56" t="s">
        <v>11</v>
      </c>
      <c r="F304" s="56" t="s">
        <v>11</v>
      </c>
    </row>
    <row r="305" spans="1:6" ht="13">
      <c r="A305" s="16">
        <v>304</v>
      </c>
      <c r="B305" s="20">
        <v>54539</v>
      </c>
      <c r="C305" s="20"/>
      <c r="D305">
        <f>koronahun!L973</f>
        <v>0</v>
      </c>
      <c r="E305" s="56" t="s">
        <v>11</v>
      </c>
      <c r="F305" s="56" t="s">
        <v>11</v>
      </c>
    </row>
    <row r="306" spans="1:6" ht="13">
      <c r="A306" s="16">
        <v>305</v>
      </c>
      <c r="B306" s="20">
        <v>57302</v>
      </c>
      <c r="C306" s="20">
        <v>43542</v>
      </c>
      <c r="D306">
        <f>koronahun!L974</f>
        <v>0</v>
      </c>
      <c r="E306" s="56" t="s">
        <v>11</v>
      </c>
      <c r="F306" s="56" t="s">
        <v>11</v>
      </c>
    </row>
    <row r="307" spans="1:6" ht="13">
      <c r="A307" s="16">
        <v>306</v>
      </c>
      <c r="B307" s="20">
        <v>60415</v>
      </c>
      <c r="C307" s="20">
        <v>44781</v>
      </c>
      <c r="D307">
        <f>koronahun!L975</f>
        <v>0</v>
      </c>
      <c r="E307" s="56" t="s">
        <v>11</v>
      </c>
      <c r="F307" s="56" t="s">
        <v>11</v>
      </c>
    </row>
    <row r="308" spans="1:6" ht="13">
      <c r="A308" s="16">
        <v>307</v>
      </c>
      <c r="B308" s="20">
        <v>63940</v>
      </c>
      <c r="C308" s="20">
        <v>46408</v>
      </c>
      <c r="D308">
        <f>koronahun!L976</f>
        <v>0</v>
      </c>
      <c r="E308" s="56" t="s">
        <v>11</v>
      </c>
      <c r="F308" s="56" t="s">
        <v>11</v>
      </c>
    </row>
    <row r="309" spans="1:6" ht="13">
      <c r="A309" s="16">
        <v>308</v>
      </c>
      <c r="B309" s="20">
        <v>67693</v>
      </c>
      <c r="C309" s="20">
        <v>51108</v>
      </c>
      <c r="D309">
        <f>koronahun!L977</f>
        <v>0</v>
      </c>
      <c r="E309" s="56" t="s">
        <v>11</v>
      </c>
      <c r="F309" s="56" t="s">
        <v>11</v>
      </c>
    </row>
    <row r="310" spans="1:6" ht="13">
      <c r="A310" s="16">
        <v>309</v>
      </c>
      <c r="B310" s="20">
        <v>69946</v>
      </c>
      <c r="C310" s="20">
        <v>56260</v>
      </c>
      <c r="D310">
        <f>koronahun!L978</f>
        <v>0</v>
      </c>
      <c r="E310" s="56" t="s">
        <v>11</v>
      </c>
      <c r="F310" s="56" t="s">
        <v>11</v>
      </c>
    </row>
    <row r="311" spans="1:6" ht="13">
      <c r="A311" s="16">
        <v>310</v>
      </c>
      <c r="B311" s="20">
        <v>74162</v>
      </c>
      <c r="C311" s="20"/>
      <c r="D311">
        <f>koronahun!L979</f>
        <v>0</v>
      </c>
      <c r="E311" s="56" t="s">
        <v>11</v>
      </c>
      <c r="F311" s="56" t="s">
        <v>11</v>
      </c>
    </row>
    <row r="312" spans="1:6" ht="13">
      <c r="A312" s="16">
        <v>311</v>
      </c>
      <c r="B312" s="20">
        <v>77739</v>
      </c>
      <c r="C312" s="20"/>
      <c r="D312">
        <f>koronahun!L980</f>
        <v>0</v>
      </c>
      <c r="E312" s="56" t="s">
        <v>11</v>
      </c>
      <c r="F312" s="56" t="s">
        <v>11</v>
      </c>
    </row>
    <row r="313" spans="1:6" ht="13">
      <c r="A313" s="16">
        <v>312</v>
      </c>
      <c r="B313" s="20">
        <v>82108</v>
      </c>
      <c r="C313" s="20">
        <v>68586</v>
      </c>
      <c r="D313">
        <f>koronahun!L981</f>
        <v>0</v>
      </c>
      <c r="E313" s="56" t="s">
        <v>11</v>
      </c>
      <c r="F313" s="56" t="s">
        <v>11</v>
      </c>
    </row>
    <row r="314" spans="1:6" ht="13">
      <c r="A314" s="16">
        <v>313</v>
      </c>
      <c r="B314" s="20">
        <v>86134</v>
      </c>
      <c r="C314" s="20">
        <v>71799</v>
      </c>
      <c r="D314">
        <f>koronahun!L982</f>
        <v>22928</v>
      </c>
      <c r="E314" s="56" t="s">
        <v>11</v>
      </c>
      <c r="F314" s="56" t="s">
        <v>11</v>
      </c>
    </row>
    <row r="315" spans="1:6" ht="13">
      <c r="A315" s="16">
        <v>314</v>
      </c>
      <c r="B315" s="20">
        <v>88737</v>
      </c>
      <c r="C315" s="20">
        <v>78025</v>
      </c>
      <c r="D315">
        <f>koronahun!L983</f>
        <v>0</v>
      </c>
      <c r="E315" s="56" t="s">
        <v>11</v>
      </c>
      <c r="F315" s="56" t="s">
        <v>11</v>
      </c>
    </row>
    <row r="316" spans="1:6" ht="13">
      <c r="A316" s="16">
        <v>315</v>
      </c>
      <c r="B316" s="20">
        <v>91358</v>
      </c>
      <c r="C316" s="20">
        <v>83818</v>
      </c>
      <c r="D316">
        <f>koronahun!L984</f>
        <v>0</v>
      </c>
      <c r="E316" s="56" t="s">
        <v>11</v>
      </c>
      <c r="F316" s="56" t="s">
        <v>11</v>
      </c>
    </row>
    <row r="317" spans="1:6" ht="13">
      <c r="A317" s="16">
        <v>316</v>
      </c>
      <c r="B317" s="20">
        <v>94704</v>
      </c>
      <c r="C317" s="20">
        <v>89581</v>
      </c>
      <c r="D317">
        <f>koronahun!L985</f>
        <v>0</v>
      </c>
      <c r="E317" s="56" t="s">
        <v>11</v>
      </c>
      <c r="F317" s="56" t="s">
        <v>11</v>
      </c>
    </row>
    <row r="318" spans="1:6" ht="13">
      <c r="A318" s="16">
        <v>317</v>
      </c>
      <c r="B318" s="20">
        <v>99202</v>
      </c>
      <c r="C318" s="20"/>
      <c r="D318">
        <f>koronahun!L986</f>
        <v>0</v>
      </c>
      <c r="E318" s="56" t="s">
        <v>11</v>
      </c>
      <c r="F318" s="56" t="s">
        <v>11</v>
      </c>
    </row>
    <row r="319" spans="1:6" ht="13">
      <c r="A319" s="16">
        <v>318</v>
      </c>
      <c r="B319" s="20">
        <v>102607</v>
      </c>
      <c r="C319" s="20"/>
      <c r="D319">
        <f>koronahun!L987</f>
        <v>0</v>
      </c>
      <c r="E319" s="56" t="s">
        <v>11</v>
      </c>
      <c r="F319" s="56" t="s">
        <v>11</v>
      </c>
    </row>
    <row r="320" spans="1:6" ht="13">
      <c r="A320" s="16">
        <v>319</v>
      </c>
      <c r="B320" s="20">
        <v>106265</v>
      </c>
      <c r="C320" s="20">
        <v>102898</v>
      </c>
      <c r="D320">
        <f>koronahun!L988</f>
        <v>0</v>
      </c>
      <c r="E320" s="56" t="s">
        <v>11</v>
      </c>
      <c r="F320" s="56" t="s">
        <v>11</v>
      </c>
    </row>
    <row r="321" spans="1:6" ht="13">
      <c r="A321" s="16">
        <v>320</v>
      </c>
      <c r="B321" s="20">
        <v>110256</v>
      </c>
      <c r="C321" s="20">
        <v>106594</v>
      </c>
      <c r="D321">
        <f>koronahun!L989</f>
        <v>18533</v>
      </c>
      <c r="E321" s="56" t="s">
        <v>11</v>
      </c>
      <c r="F321" s="56" t="s">
        <v>11</v>
      </c>
    </row>
    <row r="322" spans="1:6" ht="13">
      <c r="A322" s="16">
        <v>321</v>
      </c>
      <c r="B322" s="20">
        <v>115193</v>
      </c>
      <c r="C322" s="20">
        <v>115383</v>
      </c>
      <c r="D322">
        <f>koronahun!L990</f>
        <v>0</v>
      </c>
      <c r="E322" s="56" t="s">
        <v>11</v>
      </c>
      <c r="F322" s="56" t="s">
        <v>11</v>
      </c>
    </row>
    <row r="323" spans="1:6" ht="13">
      <c r="A323" s="16">
        <v>322</v>
      </c>
      <c r="B323" s="20">
        <v>118723</v>
      </c>
      <c r="C323" s="20">
        <v>121138</v>
      </c>
      <c r="D323">
        <f>koronahun!L991</f>
        <v>0</v>
      </c>
      <c r="E323" s="56" t="s">
        <v>11</v>
      </c>
      <c r="F323" s="56" t="s">
        <v>11</v>
      </c>
    </row>
    <row r="324" spans="1:6" ht="13">
      <c r="A324" s="16">
        <v>323</v>
      </c>
      <c r="B324" s="20">
        <v>121644</v>
      </c>
      <c r="C324" s="20">
        <v>128124</v>
      </c>
      <c r="D324">
        <f>koronahun!L992</f>
        <v>0</v>
      </c>
      <c r="E324" s="56" t="s">
        <v>11</v>
      </c>
      <c r="F324" s="56" t="s">
        <v>11</v>
      </c>
    </row>
    <row r="325" spans="1:6" ht="13">
      <c r="A325" s="16">
        <v>324</v>
      </c>
      <c r="B325" s="20">
        <v>124259</v>
      </c>
      <c r="C325" s="20"/>
      <c r="D325">
        <f>koronahun!L993</f>
        <v>0</v>
      </c>
      <c r="E325" s="56" t="s">
        <v>11</v>
      </c>
      <c r="F325" s="56" t="s">
        <v>11</v>
      </c>
    </row>
    <row r="326" spans="1:6" ht="13">
      <c r="A326" s="16">
        <v>325</v>
      </c>
      <c r="B326" s="20">
        <v>125789</v>
      </c>
      <c r="C326" s="20"/>
      <c r="D326">
        <f>koronahun!L994</f>
        <v>0</v>
      </c>
      <c r="E326" s="56" t="s">
        <v>11</v>
      </c>
      <c r="F326" s="56" t="s">
        <v>11</v>
      </c>
    </row>
    <row r="327" spans="1:6" ht="13">
      <c r="A327" s="16">
        <v>326</v>
      </c>
      <c r="B327" s="20">
        <v>127903</v>
      </c>
      <c r="C327" s="20">
        <v>144533</v>
      </c>
      <c r="D327">
        <f>koronahun!L995</f>
        <v>0</v>
      </c>
      <c r="E327" s="56" t="s">
        <v>11</v>
      </c>
      <c r="F327" s="56" t="s">
        <v>11</v>
      </c>
    </row>
    <row r="328" spans="1:6" ht="13">
      <c r="A328" s="16">
        <v>327</v>
      </c>
      <c r="B328" s="20">
        <v>130722</v>
      </c>
      <c r="C328" s="20">
        <v>147558</v>
      </c>
      <c r="D328">
        <f>koronahun!L996</f>
        <v>15608</v>
      </c>
      <c r="E328" s="56" t="s">
        <v>11</v>
      </c>
      <c r="F328" s="56" t="s">
        <v>11</v>
      </c>
    </row>
    <row r="329" spans="1:6" ht="13">
      <c r="A329" s="16">
        <v>328</v>
      </c>
      <c r="B329" s="20">
        <v>133853</v>
      </c>
      <c r="C329" s="20">
        <v>155003</v>
      </c>
      <c r="D329">
        <f>koronahun!L997</f>
        <v>0</v>
      </c>
      <c r="E329" s="56" t="s">
        <v>11</v>
      </c>
      <c r="F329" s="56" t="s">
        <v>11</v>
      </c>
    </row>
    <row r="330" spans="1:6" ht="13">
      <c r="A330" s="16">
        <v>329</v>
      </c>
      <c r="B330" s="20">
        <v>137553</v>
      </c>
      <c r="C330" s="20">
        <v>165862</v>
      </c>
      <c r="D330">
        <f>koronahun!L998</f>
        <v>0</v>
      </c>
      <c r="E330" s="56" t="s">
        <v>11</v>
      </c>
      <c r="F330" s="56" t="s">
        <v>11</v>
      </c>
    </row>
    <row r="331" spans="1:6" ht="13">
      <c r="A331" s="16">
        <v>330</v>
      </c>
      <c r="B331" s="20">
        <v>138202</v>
      </c>
      <c r="C331" s="20">
        <v>172488</v>
      </c>
      <c r="D331">
        <f>koronahun!L999</f>
        <v>0</v>
      </c>
      <c r="E331" s="56" t="s">
        <v>11</v>
      </c>
      <c r="F331" s="56" t="s">
        <v>11</v>
      </c>
    </row>
    <row r="332" spans="1:6" ht="13">
      <c r="A332" s="16">
        <v>331</v>
      </c>
      <c r="B332" s="20">
        <v>141950</v>
      </c>
      <c r="C332" s="20"/>
      <c r="D332">
        <f>koronahun!L1000</f>
        <v>0</v>
      </c>
      <c r="E332" s="56" t="s">
        <v>11</v>
      </c>
      <c r="F332" s="56" t="s">
        <v>11</v>
      </c>
    </row>
    <row r="333" spans="1:6" ht="13">
      <c r="A333" s="16">
        <v>332</v>
      </c>
      <c r="B333" s="20">
        <v>146171</v>
      </c>
      <c r="C333" s="20"/>
      <c r="D333">
        <f>koronahun!L2001</f>
        <v>0</v>
      </c>
      <c r="E333" s="56" t="s">
        <v>11</v>
      </c>
      <c r="F333" s="56" t="s">
        <v>11</v>
      </c>
    </row>
    <row r="334" spans="1:6" ht="13">
      <c r="A334" s="16">
        <v>333</v>
      </c>
      <c r="B334" s="20">
        <v>151218</v>
      </c>
      <c r="C334" s="20">
        <v>185141</v>
      </c>
      <c r="D334">
        <f>koronahun!L2002</f>
        <v>0</v>
      </c>
      <c r="E334" s="56" t="s">
        <v>11</v>
      </c>
      <c r="F334" s="56" t="s">
        <v>11</v>
      </c>
    </row>
    <row r="335" spans="1:6" ht="13">
      <c r="A335" s="16">
        <v>334</v>
      </c>
      <c r="B335" s="20">
        <v>148439</v>
      </c>
      <c r="C335" s="20">
        <v>185928</v>
      </c>
      <c r="D335">
        <f>koronahun!L2003</f>
        <v>0</v>
      </c>
      <c r="E335" s="56" t="s">
        <v>11</v>
      </c>
      <c r="F335" s="56" t="s">
        <v>11</v>
      </c>
    </row>
    <row r="336" spans="1:6" ht="13">
      <c r="A336" s="16">
        <v>335</v>
      </c>
      <c r="B336" s="20">
        <v>151294</v>
      </c>
      <c r="C336" s="20">
        <v>187856</v>
      </c>
      <c r="D336">
        <f>koronahun!L2004</f>
        <v>0</v>
      </c>
      <c r="E336" s="56" t="s">
        <v>11</v>
      </c>
      <c r="F336" s="56" t="s">
        <v>11</v>
      </c>
    </row>
    <row r="337" spans="1:6" ht="13">
      <c r="A337" s="16">
        <v>336</v>
      </c>
      <c r="B337" s="20">
        <v>154179</v>
      </c>
      <c r="C337" s="20">
        <v>187795</v>
      </c>
      <c r="D337">
        <f>koronahun!L2005</f>
        <v>0</v>
      </c>
      <c r="E337" s="56" t="s">
        <v>11</v>
      </c>
      <c r="F337" s="56" t="s">
        <v>11</v>
      </c>
    </row>
    <row r="338" spans="1:6" ht="13">
      <c r="A338" s="16">
        <v>337</v>
      </c>
      <c r="B338" s="20">
        <v>159487</v>
      </c>
      <c r="C338" s="20">
        <v>189002</v>
      </c>
      <c r="D338">
        <f>koronahun!L2006</f>
        <v>0</v>
      </c>
      <c r="E338" s="56" t="s">
        <v>11</v>
      </c>
      <c r="F338" s="56" t="s">
        <v>11</v>
      </c>
    </row>
    <row r="339" spans="1:6" ht="13">
      <c r="A339" s="16">
        <v>338</v>
      </c>
      <c r="B339" s="20">
        <v>164018</v>
      </c>
      <c r="C339" s="20"/>
      <c r="D339">
        <f>koronahun!L2007</f>
        <v>0</v>
      </c>
      <c r="E339" s="56" t="s">
        <v>11</v>
      </c>
      <c r="F339" s="56" t="s">
        <v>11</v>
      </c>
    </row>
    <row r="340" spans="1:6" ht="13">
      <c r="A340" s="16">
        <v>339</v>
      </c>
      <c r="B340" s="20">
        <v>167749</v>
      </c>
      <c r="C340" s="20"/>
      <c r="D340">
        <f>koronahun!L2008</f>
        <v>0</v>
      </c>
      <c r="E340" s="56" t="s">
        <v>11</v>
      </c>
      <c r="F340" s="56" t="s">
        <v>11</v>
      </c>
    </row>
    <row r="341" spans="1:6" ht="13">
      <c r="A341" s="16">
        <v>340</v>
      </c>
      <c r="B341" s="20">
        <v>172728</v>
      </c>
      <c r="C341" s="20">
        <v>189753</v>
      </c>
      <c r="D341">
        <f>koronahun!L2009</f>
        <v>0</v>
      </c>
      <c r="E341" s="56" t="s">
        <v>11</v>
      </c>
      <c r="F341" s="56" t="s">
        <v>11</v>
      </c>
    </row>
    <row r="342" spans="1:6" ht="13">
      <c r="A342" s="16">
        <v>341</v>
      </c>
      <c r="B342" s="20">
        <v>173881</v>
      </c>
      <c r="C342" s="20">
        <v>187208</v>
      </c>
      <c r="D342">
        <f>koronahun!L2010</f>
        <v>0</v>
      </c>
      <c r="E342" s="56" t="s">
        <v>11</v>
      </c>
      <c r="F342" s="56" t="s">
        <v>11</v>
      </c>
    </row>
    <row r="343" spans="1:6" ht="13">
      <c r="A343" s="16">
        <v>342</v>
      </c>
      <c r="B343" s="20">
        <v>174966</v>
      </c>
      <c r="C343" s="20">
        <v>184295</v>
      </c>
      <c r="D343">
        <f>koronahun!L2011</f>
        <v>0</v>
      </c>
      <c r="E343" s="56" t="s">
        <v>11</v>
      </c>
      <c r="F343" s="56" t="s">
        <v>11</v>
      </c>
    </row>
    <row r="344" spans="1:6" ht="13">
      <c r="A344" s="16">
        <v>343</v>
      </c>
      <c r="B344" s="20">
        <v>177038</v>
      </c>
      <c r="C344" s="20">
        <v>184527</v>
      </c>
      <c r="D344">
        <f>koronahun!L2012</f>
        <v>0</v>
      </c>
      <c r="E344" s="56" t="s">
        <v>11</v>
      </c>
      <c r="F344" s="56" t="s">
        <v>11</v>
      </c>
    </row>
    <row r="345" spans="1:6" ht="13">
      <c r="A345" s="16">
        <v>344</v>
      </c>
      <c r="B345" s="20">
        <v>181190</v>
      </c>
      <c r="C345" s="20">
        <v>177596</v>
      </c>
      <c r="D345">
        <f>koronahun!L2013</f>
        <v>0</v>
      </c>
      <c r="E345" s="56" t="s">
        <v>11</v>
      </c>
      <c r="F345" s="56" t="s">
        <v>11</v>
      </c>
    </row>
    <row r="346" spans="1:6" ht="13">
      <c r="A346" s="16">
        <v>345</v>
      </c>
      <c r="B346" s="20">
        <v>185878</v>
      </c>
      <c r="C346" s="20"/>
      <c r="D346">
        <f>koronahun!L2014</f>
        <v>0</v>
      </c>
      <c r="E346" s="56" t="s">
        <v>11</v>
      </c>
      <c r="F346" s="56" t="s">
        <v>11</v>
      </c>
    </row>
    <row r="347" spans="1:6" ht="13">
      <c r="A347" s="16">
        <v>346</v>
      </c>
      <c r="B347" s="20">
        <v>189694</v>
      </c>
      <c r="C347" s="20"/>
      <c r="D347">
        <f>koronahun!L2015</f>
        <v>0</v>
      </c>
      <c r="E347" s="56" t="s">
        <v>11</v>
      </c>
      <c r="F347" s="56" t="s">
        <v>11</v>
      </c>
    </row>
    <row r="348" spans="1:6" ht="13">
      <c r="A348" s="16">
        <v>347</v>
      </c>
      <c r="B348" s="20">
        <v>192683</v>
      </c>
      <c r="C348" s="20">
        <v>170416</v>
      </c>
      <c r="D348">
        <f>koronahun!L2016</f>
        <v>0</v>
      </c>
      <c r="E348" s="56" t="s">
        <v>11</v>
      </c>
      <c r="F348" s="56" t="s">
        <v>11</v>
      </c>
    </row>
    <row r="349" spans="1:6" ht="13">
      <c r="A349" s="16">
        <v>348</v>
      </c>
      <c r="B349" s="20">
        <v>194194</v>
      </c>
      <c r="C349" s="20">
        <v>168918</v>
      </c>
      <c r="D349">
        <f>koronahun!L2017</f>
        <v>0</v>
      </c>
      <c r="E349" s="56" t="s">
        <v>11</v>
      </c>
      <c r="F349" s="56" t="s">
        <v>11</v>
      </c>
    </row>
    <row r="350" spans="1:6" ht="13">
      <c r="A350" s="16">
        <v>349</v>
      </c>
      <c r="B350" s="20">
        <v>195411</v>
      </c>
      <c r="C350" s="20">
        <v>165202</v>
      </c>
      <c r="D350">
        <f>koronahun!L2018</f>
        <v>0</v>
      </c>
      <c r="E350" s="56" t="s">
        <v>11</v>
      </c>
      <c r="F350" s="56" t="s">
        <v>11</v>
      </c>
    </row>
    <row r="351" spans="1:6" ht="13">
      <c r="A351" s="16">
        <v>350</v>
      </c>
      <c r="B351" s="20">
        <v>197246</v>
      </c>
      <c r="C351" s="20">
        <v>159853</v>
      </c>
      <c r="D351">
        <f>koronahun!L2019</f>
        <v>0</v>
      </c>
      <c r="E351" s="56" t="s">
        <v>11</v>
      </c>
      <c r="F351" s="56" t="s">
        <v>11</v>
      </c>
    </row>
    <row r="352" spans="1:6" ht="13">
      <c r="A352" s="16">
        <v>351</v>
      </c>
      <c r="B352" s="20">
        <v>197057</v>
      </c>
      <c r="C352" s="20">
        <v>154511</v>
      </c>
      <c r="D352">
        <f>koronahun!L2020</f>
        <v>0</v>
      </c>
      <c r="E352" s="56" t="s">
        <v>11</v>
      </c>
      <c r="F352" s="56" t="s">
        <v>11</v>
      </c>
    </row>
    <row r="353" spans="1:6" ht="13">
      <c r="A353" s="16">
        <v>352</v>
      </c>
      <c r="B353" s="20">
        <v>198438</v>
      </c>
      <c r="C353" s="20"/>
      <c r="D353">
        <f>koronahun!L2021</f>
        <v>0</v>
      </c>
      <c r="E353" s="56" t="s">
        <v>11</v>
      </c>
      <c r="F353" s="56" t="s">
        <v>11</v>
      </c>
    </row>
    <row r="354" spans="1:6" ht="13">
      <c r="A354" s="16">
        <v>353</v>
      </c>
      <c r="B354" s="20">
        <v>198785</v>
      </c>
      <c r="C354" s="20"/>
      <c r="D354">
        <f>koronahun!L2022</f>
        <v>0</v>
      </c>
      <c r="E354" s="56" t="s">
        <v>11</v>
      </c>
      <c r="F354" s="56" t="s">
        <v>11</v>
      </c>
    </row>
    <row r="355" spans="1:6" ht="13">
      <c r="A355" s="16">
        <v>354</v>
      </c>
      <c r="B355" s="20">
        <v>197447</v>
      </c>
      <c r="C355" s="20">
        <v>141871</v>
      </c>
      <c r="D355">
        <f>koronahun!L2023</f>
        <v>0</v>
      </c>
      <c r="E355" s="56" t="s">
        <v>11</v>
      </c>
      <c r="F355" s="56" t="s">
        <v>11</v>
      </c>
    </row>
    <row r="356" spans="1:6" ht="13">
      <c r="A356" s="16">
        <v>355</v>
      </c>
      <c r="B356" s="20">
        <v>193886</v>
      </c>
      <c r="C356" s="20">
        <v>138069</v>
      </c>
      <c r="D356">
        <f>koronahun!L2024</f>
        <v>0</v>
      </c>
      <c r="E356" s="56" t="s">
        <v>11</v>
      </c>
      <c r="F356" s="56" t="s">
        <v>11</v>
      </c>
    </row>
    <row r="357" spans="1:6" ht="13">
      <c r="A357" s="16">
        <v>356</v>
      </c>
      <c r="B357" s="20">
        <v>189230</v>
      </c>
      <c r="C357" s="20">
        <v>135217</v>
      </c>
      <c r="D357">
        <f>koronahun!L2025</f>
        <v>0</v>
      </c>
      <c r="E357" s="56" t="s">
        <v>11</v>
      </c>
      <c r="F357" s="56" t="s">
        <v>11</v>
      </c>
    </row>
    <row r="358" spans="1:6" ht="13">
      <c r="A358" s="16">
        <v>357</v>
      </c>
      <c r="B358" s="20">
        <v>185015</v>
      </c>
      <c r="C358" s="20">
        <v>127251</v>
      </c>
      <c r="D358">
        <f>koronahun!L2026</f>
        <v>0</v>
      </c>
      <c r="E358" s="56" t="s">
        <v>11</v>
      </c>
      <c r="F358" s="56" t="s">
        <v>11</v>
      </c>
    </row>
    <row r="359" spans="1:6" ht="13">
      <c r="A359" s="16">
        <v>358</v>
      </c>
      <c r="B359" s="20">
        <v>182296</v>
      </c>
      <c r="C359" s="20"/>
      <c r="D359">
        <f>koronahun!L2027</f>
        <v>0</v>
      </c>
      <c r="E359" s="56" t="s">
        <v>11</v>
      </c>
      <c r="F359" s="56" t="s">
        <v>11</v>
      </c>
    </row>
    <row r="360" spans="1:6" ht="13">
      <c r="A360" s="16">
        <v>359</v>
      </c>
      <c r="B360" s="20">
        <v>181342</v>
      </c>
      <c r="C360" s="20"/>
      <c r="D360">
        <f>koronahun!L2028</f>
        <v>0</v>
      </c>
      <c r="E360" s="56" t="s">
        <v>11</v>
      </c>
      <c r="F360" s="56" t="s">
        <v>11</v>
      </c>
    </row>
    <row r="361" spans="1:6" ht="13">
      <c r="A361" s="16">
        <v>360</v>
      </c>
      <c r="B361" s="20">
        <v>179929</v>
      </c>
      <c r="C361" s="20"/>
      <c r="D361">
        <f>koronahun!L2029</f>
        <v>0</v>
      </c>
      <c r="E361" s="56" t="s">
        <v>11</v>
      </c>
      <c r="F361" s="56" t="s">
        <v>11</v>
      </c>
    </row>
    <row r="362" spans="1:6" ht="13">
      <c r="A362" s="16">
        <v>361</v>
      </c>
      <c r="B362" s="20">
        <v>176593</v>
      </c>
      <c r="C362" s="20">
        <v>118633</v>
      </c>
      <c r="D362">
        <f>koronahun!L2030</f>
        <v>0</v>
      </c>
      <c r="E362" s="56" t="s">
        <v>11</v>
      </c>
      <c r="F362" s="56" t="s">
        <v>11</v>
      </c>
    </row>
    <row r="363" spans="1:6" ht="13">
      <c r="A363" s="16">
        <v>362</v>
      </c>
      <c r="B363" s="20">
        <v>173164</v>
      </c>
      <c r="C363" s="20">
        <v>116778</v>
      </c>
      <c r="D363">
        <f>koronahun!L2031</f>
        <v>0</v>
      </c>
      <c r="E363" s="56" t="s">
        <v>11</v>
      </c>
      <c r="F363" s="56" t="s">
        <v>11</v>
      </c>
    </row>
    <row r="364" spans="1:6" ht="13">
      <c r="A364" s="16">
        <v>363</v>
      </c>
      <c r="B364" s="20">
        <v>169914</v>
      </c>
      <c r="C364" s="20">
        <v>113057</v>
      </c>
      <c r="D364">
        <f>koronahun!L2032</f>
        <v>0</v>
      </c>
      <c r="E364" s="56" t="s">
        <v>11</v>
      </c>
      <c r="F364" s="56" t="s">
        <v>11</v>
      </c>
    </row>
    <row r="365" spans="1:6" ht="13">
      <c r="A365" s="16">
        <v>364</v>
      </c>
      <c r="B365" s="20">
        <v>165880</v>
      </c>
      <c r="C365" s="20">
        <v>107420</v>
      </c>
      <c r="D365">
        <f>koronahun!L2033</f>
        <v>0</v>
      </c>
      <c r="E365" s="56" t="s">
        <v>11</v>
      </c>
      <c r="F365" s="56" t="s">
        <v>11</v>
      </c>
    </row>
    <row r="366" spans="1:6" ht="13">
      <c r="A366" s="16">
        <v>365</v>
      </c>
      <c r="B366" s="20">
        <v>162875</v>
      </c>
      <c r="C366" s="20">
        <v>105553</v>
      </c>
      <c r="D366">
        <f>koronahun!L2034</f>
        <v>0</v>
      </c>
      <c r="E366" s="56" t="s">
        <v>11</v>
      </c>
      <c r="F366" s="56" t="s">
        <v>11</v>
      </c>
    </row>
    <row r="367" spans="1:6" ht="13">
      <c r="A367" s="16">
        <v>366</v>
      </c>
      <c r="D367">
        <f>koronahun!L2035</f>
        <v>0</v>
      </c>
      <c r="E367" s="56" t="s">
        <v>11</v>
      </c>
      <c r="F367" s="56" t="s">
        <v>11</v>
      </c>
    </row>
    <row r="368" spans="1:6" ht="13">
      <c r="A368" s="16">
        <v>1</v>
      </c>
      <c r="C368" s="20">
        <v>2764</v>
      </c>
      <c r="D368">
        <f>koronahun!C670</f>
        <v>0</v>
      </c>
      <c r="E368" s="56" t="s">
        <v>2</v>
      </c>
      <c r="F368" s="56" t="s">
        <v>2</v>
      </c>
    </row>
    <row r="369" spans="1:6" ht="13">
      <c r="A369" s="16">
        <v>2</v>
      </c>
      <c r="C369" s="20">
        <v>1410</v>
      </c>
      <c r="D369">
        <f>koronahun!C671</f>
        <v>0</v>
      </c>
      <c r="E369" s="56" t="s">
        <v>2</v>
      </c>
      <c r="F369" s="56" t="s">
        <v>2</v>
      </c>
    </row>
    <row r="370" spans="1:6" ht="13">
      <c r="A370" s="16">
        <v>3</v>
      </c>
      <c r="C370" s="20">
        <v>1307</v>
      </c>
      <c r="D370">
        <f>koronahun!C672</f>
        <v>5865</v>
      </c>
      <c r="E370" s="56" t="s">
        <v>2</v>
      </c>
      <c r="F370" s="56" t="s">
        <v>2</v>
      </c>
    </row>
    <row r="371" spans="1:6" ht="13">
      <c r="A371" s="16">
        <v>4</v>
      </c>
      <c r="C371" s="20">
        <v>856</v>
      </c>
      <c r="D371">
        <f>koronahun!C673</f>
        <v>2429</v>
      </c>
      <c r="E371" s="56" t="s">
        <v>2</v>
      </c>
      <c r="F371" s="56" t="s">
        <v>2</v>
      </c>
    </row>
    <row r="372" spans="1:6" ht="13">
      <c r="A372" s="16">
        <v>5</v>
      </c>
      <c r="C372" s="20">
        <v>870</v>
      </c>
      <c r="D372">
        <f>koronahun!C674</f>
        <v>5270</v>
      </c>
      <c r="E372" s="56" t="s">
        <v>2</v>
      </c>
      <c r="F372" s="56" t="s">
        <v>2</v>
      </c>
    </row>
    <row r="373" spans="1:6" ht="13">
      <c r="A373" s="16">
        <v>6</v>
      </c>
      <c r="C373" s="20">
        <v>2047</v>
      </c>
      <c r="D373">
        <f>koronahun!C675</f>
        <v>6454</v>
      </c>
      <c r="E373" s="56" t="s">
        <v>2</v>
      </c>
      <c r="F373" s="56" t="s">
        <v>2</v>
      </c>
    </row>
    <row r="374" spans="1:6" ht="13">
      <c r="A374" s="16">
        <v>7</v>
      </c>
      <c r="C374" s="20">
        <v>3068</v>
      </c>
      <c r="D374">
        <f>koronahun!C676</f>
        <v>6524</v>
      </c>
      <c r="E374" s="56" t="s">
        <v>2</v>
      </c>
      <c r="F374" s="56" t="s">
        <v>2</v>
      </c>
    </row>
    <row r="375" spans="1:6" ht="13">
      <c r="A375" s="16">
        <v>8</v>
      </c>
      <c r="C375" s="20">
        <v>2907</v>
      </c>
      <c r="D375">
        <f>koronahun!C677</f>
        <v>0</v>
      </c>
      <c r="E375" s="56" t="s">
        <v>2</v>
      </c>
      <c r="F375" s="56" t="s">
        <v>2</v>
      </c>
    </row>
    <row r="376" spans="1:6" ht="13">
      <c r="A376" s="16">
        <v>9</v>
      </c>
      <c r="C376" s="20">
        <v>2716</v>
      </c>
      <c r="D376">
        <f>koronahun!C678</f>
        <v>0</v>
      </c>
      <c r="E376" s="56" t="s">
        <v>2</v>
      </c>
      <c r="F376" s="56" t="s">
        <v>2</v>
      </c>
    </row>
    <row r="377" spans="1:6" ht="13">
      <c r="A377" s="16">
        <v>10</v>
      </c>
      <c r="C377" s="20">
        <v>1778</v>
      </c>
      <c r="D377">
        <f>koronahun!C679</f>
        <v>14655</v>
      </c>
      <c r="E377" s="56" t="s">
        <v>2</v>
      </c>
      <c r="F377" s="56" t="s">
        <v>2</v>
      </c>
    </row>
    <row r="378" spans="1:6" ht="13">
      <c r="A378" s="16">
        <v>11</v>
      </c>
      <c r="C378" s="20">
        <v>1419</v>
      </c>
      <c r="D378">
        <f>koronahun!C680</f>
        <v>3382</v>
      </c>
      <c r="E378" s="56" t="s">
        <v>2</v>
      </c>
      <c r="F378" s="56" t="s">
        <v>2</v>
      </c>
    </row>
    <row r="379" spans="1:6" ht="13">
      <c r="A379" s="16">
        <v>12</v>
      </c>
      <c r="C379" s="20">
        <v>696</v>
      </c>
      <c r="D379">
        <f>koronahun!C681</f>
        <v>7883</v>
      </c>
      <c r="E379" s="56" t="s">
        <v>2</v>
      </c>
      <c r="F379" s="56" t="s">
        <v>2</v>
      </c>
    </row>
    <row r="380" spans="1:6" ht="13">
      <c r="A380" s="16">
        <v>13</v>
      </c>
      <c r="C380" s="20">
        <v>1358</v>
      </c>
      <c r="D380">
        <f>koronahun!C682</f>
        <v>9216</v>
      </c>
      <c r="E380" s="56" t="s">
        <v>2</v>
      </c>
      <c r="F380" s="56" t="s">
        <v>2</v>
      </c>
    </row>
    <row r="381" spans="1:6" ht="13">
      <c r="A381" s="16">
        <v>14</v>
      </c>
      <c r="C381" s="20">
        <v>1926</v>
      </c>
      <c r="D381">
        <f>koronahun!C683</f>
        <v>8921</v>
      </c>
      <c r="E381" s="56" t="s">
        <v>2</v>
      </c>
      <c r="F381" s="56" t="s">
        <v>2</v>
      </c>
    </row>
    <row r="382" spans="1:6" ht="13">
      <c r="A382" s="16">
        <v>15</v>
      </c>
      <c r="C382" s="20">
        <v>1513</v>
      </c>
      <c r="D382">
        <f>koronahun!C684</f>
        <v>0</v>
      </c>
      <c r="E382" s="56" t="s">
        <v>2</v>
      </c>
      <c r="F382" s="56" t="s">
        <v>2</v>
      </c>
    </row>
    <row r="383" spans="1:6" ht="13">
      <c r="A383" s="16">
        <v>16</v>
      </c>
      <c r="C383" s="20">
        <v>1438</v>
      </c>
      <c r="D383">
        <f>koronahun!C685</f>
        <v>0</v>
      </c>
      <c r="E383" s="56" t="s">
        <v>2</v>
      </c>
      <c r="F383" s="56" t="s">
        <v>2</v>
      </c>
    </row>
    <row r="384" spans="1:6" ht="13">
      <c r="A384" s="16">
        <v>17</v>
      </c>
      <c r="C384" s="20">
        <v>1241</v>
      </c>
      <c r="D384">
        <f>koronahun!C686</f>
        <v>21219</v>
      </c>
      <c r="E384" s="56" t="s">
        <v>2</v>
      </c>
      <c r="F384" s="56" t="s">
        <v>2</v>
      </c>
    </row>
    <row r="385" spans="1:6" ht="13">
      <c r="A385" s="16">
        <v>18</v>
      </c>
      <c r="C385" s="20">
        <v>875</v>
      </c>
      <c r="D385">
        <f>koronahun!C687</f>
        <v>6851</v>
      </c>
      <c r="E385" s="56" t="s">
        <v>2</v>
      </c>
      <c r="F385" s="56" t="s">
        <v>2</v>
      </c>
    </row>
    <row r="386" spans="1:6" ht="13">
      <c r="A386" s="16">
        <v>19</v>
      </c>
      <c r="C386" s="20">
        <v>573</v>
      </c>
      <c r="D386">
        <f>koronahun!C688</f>
        <v>14890</v>
      </c>
      <c r="E386" s="56" t="s">
        <v>2</v>
      </c>
      <c r="F386" s="56" t="s">
        <v>2</v>
      </c>
    </row>
    <row r="387" spans="1:6" ht="13">
      <c r="A387" s="16">
        <v>20</v>
      </c>
      <c r="C387" s="20">
        <v>976</v>
      </c>
      <c r="D387">
        <f>koronahun!C689</f>
        <v>15526</v>
      </c>
      <c r="E387" s="56" t="s">
        <v>2</v>
      </c>
      <c r="F387" s="56" t="s">
        <v>2</v>
      </c>
    </row>
    <row r="388" spans="1:6" ht="13">
      <c r="A388" s="16">
        <v>21</v>
      </c>
      <c r="C388" s="20">
        <v>1410</v>
      </c>
      <c r="D388">
        <f>koronahun!C690</f>
        <v>15957</v>
      </c>
      <c r="E388" s="56" t="s">
        <v>2</v>
      </c>
      <c r="F388" s="56" t="s">
        <v>2</v>
      </c>
    </row>
    <row r="389" spans="1:6" ht="13">
      <c r="A389" s="16">
        <v>22</v>
      </c>
      <c r="C389" s="20">
        <v>1311</v>
      </c>
      <c r="D389">
        <f>koronahun!C691</f>
        <v>0</v>
      </c>
      <c r="E389" s="56" t="s">
        <v>2</v>
      </c>
      <c r="F389" s="56" t="s">
        <v>2</v>
      </c>
    </row>
    <row r="390" spans="1:6" ht="13">
      <c r="A390" s="16">
        <v>23</v>
      </c>
      <c r="C390" s="20">
        <v>1344</v>
      </c>
      <c r="D390">
        <f>koronahun!C692</f>
        <v>0</v>
      </c>
      <c r="E390" s="56" t="s">
        <v>2</v>
      </c>
      <c r="F390" s="56" t="s">
        <v>2</v>
      </c>
    </row>
    <row r="391" spans="1:6" ht="13">
      <c r="A391" s="16">
        <v>24</v>
      </c>
      <c r="C391" s="20">
        <v>1257</v>
      </c>
      <c r="D391">
        <f>koronahun!C693</f>
        <v>39928</v>
      </c>
      <c r="E391" s="56" t="s">
        <v>2</v>
      </c>
      <c r="F391" s="56" t="s">
        <v>2</v>
      </c>
    </row>
    <row r="392" spans="1:6" ht="13">
      <c r="A392" s="16">
        <v>25</v>
      </c>
      <c r="C392" s="20">
        <v>844</v>
      </c>
      <c r="D392">
        <f>koronahun!C694</f>
        <v>9717</v>
      </c>
      <c r="E392" s="56" t="s">
        <v>2</v>
      </c>
      <c r="F392" s="56" t="s">
        <v>2</v>
      </c>
    </row>
    <row r="393" spans="1:6" ht="13">
      <c r="A393" s="16">
        <v>26</v>
      </c>
      <c r="C393" s="20">
        <v>459</v>
      </c>
      <c r="D393">
        <f>koronahun!C695</f>
        <v>20174</v>
      </c>
      <c r="E393" s="56" t="s">
        <v>2</v>
      </c>
      <c r="F393" s="56" t="s">
        <v>2</v>
      </c>
    </row>
    <row r="394" spans="1:6" ht="13">
      <c r="A394" s="16">
        <v>27</v>
      </c>
      <c r="C394" s="20">
        <v>1004</v>
      </c>
      <c r="D394">
        <f>koronahun!C696</f>
        <v>19213</v>
      </c>
      <c r="E394" s="56" t="s">
        <v>2</v>
      </c>
      <c r="F394" s="56" t="s">
        <v>2</v>
      </c>
    </row>
    <row r="395" spans="1:6" ht="13">
      <c r="A395" s="16">
        <v>28</v>
      </c>
      <c r="C395" s="20">
        <v>1569</v>
      </c>
      <c r="D395">
        <f>koronahun!C697</f>
        <v>17869</v>
      </c>
      <c r="E395" s="56" t="s">
        <v>2</v>
      </c>
      <c r="F395" s="56" t="s">
        <v>2</v>
      </c>
    </row>
    <row r="396" spans="1:6" ht="13">
      <c r="A396" s="16">
        <v>29</v>
      </c>
      <c r="C396" s="20">
        <v>1459</v>
      </c>
      <c r="D396">
        <f>koronahun!C698</f>
        <v>0</v>
      </c>
      <c r="E396" s="56" t="s">
        <v>2</v>
      </c>
      <c r="F396" s="56" t="s">
        <v>2</v>
      </c>
    </row>
    <row r="397" spans="1:6" ht="13">
      <c r="A397" s="16">
        <v>30</v>
      </c>
      <c r="C397" s="20">
        <v>1370</v>
      </c>
      <c r="D397">
        <f>koronahun!C699</f>
        <v>0</v>
      </c>
      <c r="E397" s="56" t="s">
        <v>2</v>
      </c>
      <c r="F397" s="56" t="s">
        <v>2</v>
      </c>
    </row>
    <row r="398" spans="1:6" ht="13">
      <c r="A398" s="16">
        <v>31</v>
      </c>
      <c r="C398" s="20">
        <v>1307</v>
      </c>
      <c r="D398">
        <f>koronahun!C700</f>
        <v>45047</v>
      </c>
      <c r="E398" s="56" t="s">
        <v>2</v>
      </c>
      <c r="F398" s="56" t="s">
        <v>2</v>
      </c>
    </row>
    <row r="399" spans="1:6" ht="13">
      <c r="A399" s="16">
        <v>32</v>
      </c>
      <c r="C399" s="20">
        <v>1124</v>
      </c>
      <c r="D399">
        <f>koronahun!C701</f>
        <v>9422</v>
      </c>
      <c r="E399" s="56" t="s">
        <v>2</v>
      </c>
      <c r="F399" s="56" t="s">
        <v>2</v>
      </c>
    </row>
    <row r="400" spans="1:6" ht="13">
      <c r="A400" s="16">
        <v>33</v>
      </c>
      <c r="C400" s="20">
        <v>578</v>
      </c>
      <c r="D400">
        <f>koronahun!C702</f>
        <v>19690</v>
      </c>
      <c r="E400" s="56" t="s">
        <v>2</v>
      </c>
      <c r="F400" s="56" t="s">
        <v>2</v>
      </c>
    </row>
    <row r="401" spans="1:6" ht="13">
      <c r="A401" s="16">
        <v>34</v>
      </c>
      <c r="C401" s="20">
        <v>1048</v>
      </c>
      <c r="D401">
        <f>koronahun!C703</f>
        <v>17894</v>
      </c>
      <c r="E401" s="56" t="s">
        <v>2</v>
      </c>
      <c r="F401" s="56" t="s">
        <v>2</v>
      </c>
    </row>
    <row r="402" spans="1:6" ht="13">
      <c r="A402" s="16">
        <v>35</v>
      </c>
      <c r="C402" s="20">
        <v>1652</v>
      </c>
      <c r="D402">
        <f>koronahun!C704</f>
        <v>16435</v>
      </c>
      <c r="E402" s="56" t="s">
        <v>2</v>
      </c>
      <c r="F402" s="56" t="s">
        <v>2</v>
      </c>
    </row>
    <row r="403" spans="1:6" ht="13">
      <c r="A403" s="16">
        <v>36</v>
      </c>
      <c r="C403" s="20">
        <v>1576</v>
      </c>
      <c r="D403">
        <f>koronahun!C705</f>
        <v>0</v>
      </c>
      <c r="E403" s="56" t="s">
        <v>2</v>
      </c>
      <c r="F403" s="56" t="s">
        <v>2</v>
      </c>
    </row>
    <row r="404" spans="1:6" ht="13">
      <c r="A404" s="16">
        <v>37</v>
      </c>
      <c r="C404" s="20">
        <v>1561</v>
      </c>
      <c r="D404">
        <f>koronahun!C706</f>
        <v>0</v>
      </c>
      <c r="E404" s="56" t="s">
        <v>2</v>
      </c>
      <c r="F404" s="56" t="s">
        <v>2</v>
      </c>
    </row>
    <row r="405" spans="1:6" ht="13">
      <c r="A405" s="16">
        <v>38</v>
      </c>
      <c r="C405" s="20">
        <v>1370</v>
      </c>
      <c r="D405">
        <f>koronahun!C707</f>
        <v>33716</v>
      </c>
      <c r="E405" s="56" t="s">
        <v>2</v>
      </c>
      <c r="F405" s="56" t="s">
        <v>2</v>
      </c>
    </row>
    <row r="406" spans="1:6" ht="13">
      <c r="A406" s="16">
        <v>39</v>
      </c>
      <c r="C406" s="20">
        <v>1160</v>
      </c>
      <c r="D406">
        <f>koronahun!C708</f>
        <v>7053</v>
      </c>
      <c r="E406" s="56" t="s">
        <v>2</v>
      </c>
      <c r="F406" s="56" t="s">
        <v>2</v>
      </c>
    </row>
    <row r="407" spans="1:6" ht="13">
      <c r="A407" s="16">
        <v>40</v>
      </c>
      <c r="C407" s="20">
        <v>1079</v>
      </c>
      <c r="D407">
        <f>koronahun!C709</f>
        <v>13932</v>
      </c>
      <c r="E407" s="56" t="s">
        <v>2</v>
      </c>
      <c r="F407" s="56" t="s">
        <v>2</v>
      </c>
    </row>
    <row r="408" spans="1:6" ht="13">
      <c r="A408" s="16">
        <v>41</v>
      </c>
      <c r="C408" s="20">
        <v>1279</v>
      </c>
      <c r="D408">
        <f>koronahun!C710</f>
        <v>12885</v>
      </c>
      <c r="E408" s="56" t="s">
        <v>2</v>
      </c>
      <c r="F408" s="56" t="s">
        <v>2</v>
      </c>
    </row>
    <row r="409" spans="1:6" ht="13">
      <c r="A409" s="16">
        <v>42</v>
      </c>
      <c r="C409" s="20">
        <v>1862</v>
      </c>
      <c r="D409">
        <f>koronahun!C711</f>
        <v>11559</v>
      </c>
      <c r="E409" s="56" t="s">
        <v>2</v>
      </c>
      <c r="F409" s="56" t="s">
        <v>2</v>
      </c>
    </row>
    <row r="410" spans="1:6" ht="13">
      <c r="A410" s="16">
        <v>43</v>
      </c>
      <c r="C410" s="20">
        <v>1860</v>
      </c>
      <c r="D410">
        <f>koronahun!C712</f>
        <v>0</v>
      </c>
      <c r="E410" s="56" t="s">
        <v>2</v>
      </c>
      <c r="F410" s="56" t="s">
        <v>2</v>
      </c>
    </row>
    <row r="411" spans="1:6" ht="13">
      <c r="A411" s="16">
        <v>44</v>
      </c>
      <c r="C411" s="20">
        <v>2020</v>
      </c>
      <c r="D411">
        <f>koronahun!C713</f>
        <v>0</v>
      </c>
      <c r="E411" s="56" t="s">
        <v>2</v>
      </c>
      <c r="F411" s="56" t="s">
        <v>2</v>
      </c>
    </row>
    <row r="412" spans="1:6" ht="13">
      <c r="A412" s="16">
        <v>45</v>
      </c>
      <c r="C412" s="20">
        <v>1707</v>
      </c>
      <c r="D412">
        <f>koronahun!C714</f>
        <v>21081</v>
      </c>
      <c r="E412" s="56" t="s">
        <v>2</v>
      </c>
      <c r="F412" s="56" t="s">
        <v>2</v>
      </c>
    </row>
    <row r="413" spans="1:6" ht="13">
      <c r="A413" s="16">
        <v>46</v>
      </c>
      <c r="C413" s="20">
        <v>1337</v>
      </c>
      <c r="D413">
        <f>koronahun!C715</f>
        <v>4411</v>
      </c>
      <c r="E413" s="56" t="s">
        <v>2</v>
      </c>
      <c r="F413" s="56" t="s">
        <v>2</v>
      </c>
    </row>
    <row r="414" spans="1:6" ht="13">
      <c r="A414" s="16">
        <v>47</v>
      </c>
      <c r="C414" s="20">
        <v>823</v>
      </c>
      <c r="D414">
        <f>koronahun!C716</f>
        <v>8883</v>
      </c>
      <c r="E414" s="56" t="s">
        <v>2</v>
      </c>
      <c r="F414" s="56" t="s">
        <v>2</v>
      </c>
    </row>
    <row r="415" spans="1:6" ht="13">
      <c r="A415" s="16">
        <v>48</v>
      </c>
      <c r="C415" s="20">
        <v>1548</v>
      </c>
      <c r="D415">
        <f>koronahun!C717</f>
        <v>8578</v>
      </c>
      <c r="E415" s="56" t="s">
        <v>2</v>
      </c>
      <c r="F415" s="56" t="s">
        <v>2</v>
      </c>
    </row>
    <row r="416" spans="1:6" ht="13">
      <c r="A416" s="16">
        <v>49</v>
      </c>
      <c r="C416" s="20">
        <v>2853</v>
      </c>
      <c r="D416">
        <f>koronahun!C718</f>
        <v>7480</v>
      </c>
      <c r="E416" s="56" t="s">
        <v>2</v>
      </c>
      <c r="F416" s="56" t="s">
        <v>2</v>
      </c>
    </row>
    <row r="417" spans="1:6" ht="13">
      <c r="A417" s="16">
        <v>50</v>
      </c>
      <c r="C417" s="20">
        <v>3093</v>
      </c>
      <c r="D417">
        <f>koronahun!C719</f>
        <v>0</v>
      </c>
      <c r="E417" s="56" t="s">
        <v>2</v>
      </c>
      <c r="F417" s="56" t="s">
        <v>2</v>
      </c>
    </row>
    <row r="418" spans="1:6" ht="13">
      <c r="A418" s="16">
        <v>51</v>
      </c>
      <c r="C418" s="20">
        <v>2995</v>
      </c>
      <c r="D418">
        <f>koronahun!C720</f>
        <v>0</v>
      </c>
      <c r="E418" s="56" t="s">
        <v>2</v>
      </c>
      <c r="F418" s="56" t="s">
        <v>2</v>
      </c>
    </row>
    <row r="419" spans="1:6" ht="13">
      <c r="A419" s="16">
        <v>52</v>
      </c>
      <c r="C419" s="20">
        <v>2912</v>
      </c>
      <c r="D419">
        <f>koronahun!C721</f>
        <v>13261</v>
      </c>
      <c r="E419" s="56" t="s">
        <v>2</v>
      </c>
      <c r="F419" s="56" t="s">
        <v>2</v>
      </c>
    </row>
    <row r="420" spans="1:6" ht="13">
      <c r="A420" s="16">
        <v>53</v>
      </c>
      <c r="C420" s="20">
        <v>2623</v>
      </c>
      <c r="D420">
        <f>koronahun!C722</f>
        <v>3193</v>
      </c>
      <c r="E420" s="56" t="s">
        <v>2</v>
      </c>
      <c r="F420" s="56" t="s">
        <v>2</v>
      </c>
    </row>
    <row r="421" spans="1:6" ht="13">
      <c r="A421" s="16">
        <v>54</v>
      </c>
      <c r="C421" s="20">
        <v>1628</v>
      </c>
      <c r="D421">
        <f>koronahun!C723</f>
        <v>6286</v>
      </c>
      <c r="E421" s="56" t="s">
        <v>2</v>
      </c>
      <c r="F421" s="56" t="s">
        <v>2</v>
      </c>
    </row>
    <row r="422" spans="1:6" ht="13">
      <c r="A422" s="16">
        <v>55</v>
      </c>
      <c r="C422" s="20">
        <v>2855</v>
      </c>
      <c r="D422">
        <f>koronahun!C724</f>
        <v>5512</v>
      </c>
      <c r="E422" s="56" t="s">
        <v>2</v>
      </c>
      <c r="F422" s="56" t="s">
        <v>2</v>
      </c>
    </row>
    <row r="423" spans="1:6" ht="13">
      <c r="A423" s="16">
        <v>56</v>
      </c>
      <c r="C423" s="20">
        <v>4385</v>
      </c>
      <c r="D423">
        <f>koronahun!C725</f>
        <v>4498</v>
      </c>
      <c r="E423" s="56" t="s">
        <v>2</v>
      </c>
      <c r="F423" s="56" t="s">
        <v>2</v>
      </c>
    </row>
    <row r="424" spans="1:6" ht="13">
      <c r="A424" s="16">
        <v>57</v>
      </c>
      <c r="C424" s="20">
        <v>4668</v>
      </c>
      <c r="D424">
        <f>koronahun!C726</f>
        <v>0</v>
      </c>
      <c r="E424" s="56" t="s">
        <v>2</v>
      </c>
      <c r="F424" s="56" t="s">
        <v>2</v>
      </c>
    </row>
    <row r="425" spans="1:6" ht="13">
      <c r="A425" s="16">
        <v>58</v>
      </c>
      <c r="C425" s="20">
        <v>4948</v>
      </c>
      <c r="D425">
        <f>koronahun!C727</f>
        <v>0</v>
      </c>
      <c r="E425" s="56" t="s">
        <v>2</v>
      </c>
      <c r="F425" s="56" t="s">
        <v>2</v>
      </c>
    </row>
    <row r="426" spans="1:6" ht="13">
      <c r="A426" s="16">
        <v>59</v>
      </c>
      <c r="C426" s="20">
        <v>4469</v>
      </c>
      <c r="D426">
        <f>koronahun!C728</f>
        <v>8370</v>
      </c>
      <c r="E426" s="56" t="s">
        <v>2</v>
      </c>
      <c r="F426" s="56" t="s">
        <v>2</v>
      </c>
    </row>
    <row r="427" spans="1:6" ht="13">
      <c r="A427" s="16">
        <v>60</v>
      </c>
      <c r="C427" s="20">
        <v>4326</v>
      </c>
      <c r="D427">
        <f>koronahun!C729</f>
        <v>2037</v>
      </c>
      <c r="E427" s="56" t="s">
        <v>2</v>
      </c>
      <c r="F427" s="56" t="s">
        <v>2</v>
      </c>
    </row>
    <row r="428" spans="1:6" ht="13">
      <c r="A428" s="16">
        <v>61</v>
      </c>
      <c r="C428" s="20">
        <v>2764</v>
      </c>
      <c r="D428">
        <f>koronahun!C730</f>
        <v>3539</v>
      </c>
      <c r="E428" s="56" t="s">
        <v>2</v>
      </c>
      <c r="F428" s="56" t="s">
        <v>2</v>
      </c>
    </row>
    <row r="429" spans="1:6" ht="13">
      <c r="A429" s="16">
        <v>62</v>
      </c>
      <c r="C429" s="20">
        <v>4211</v>
      </c>
      <c r="D429">
        <f>koronahun!C731</f>
        <v>3862</v>
      </c>
      <c r="E429" s="56" t="s">
        <v>2</v>
      </c>
      <c r="F429" s="56" t="s">
        <v>2</v>
      </c>
    </row>
    <row r="430" spans="1:6" ht="13">
      <c r="A430" s="16">
        <v>63</v>
      </c>
      <c r="B430" s="16">
        <v>2</v>
      </c>
      <c r="C430" s="20">
        <v>6278</v>
      </c>
      <c r="D430">
        <f>koronahun!C732</f>
        <v>3064</v>
      </c>
      <c r="E430" s="56" t="s">
        <v>2</v>
      </c>
      <c r="F430" s="56" t="s">
        <v>2</v>
      </c>
    </row>
    <row r="431" spans="1:6" ht="13">
      <c r="A431" s="16">
        <v>64</v>
      </c>
      <c r="B431" s="16">
        <v>2</v>
      </c>
      <c r="C431" s="20">
        <v>6369</v>
      </c>
      <c r="D431">
        <f>koronahun!C733</f>
        <v>0</v>
      </c>
      <c r="E431" s="56" t="s">
        <v>2</v>
      </c>
      <c r="F431" s="56" t="s">
        <v>2</v>
      </c>
    </row>
    <row r="432" spans="1:6" ht="13">
      <c r="A432" s="16">
        <v>65</v>
      </c>
      <c r="B432" s="16">
        <v>0</v>
      </c>
      <c r="C432" s="20">
        <v>7269</v>
      </c>
      <c r="D432">
        <f>koronahun!C734</f>
        <v>0</v>
      </c>
      <c r="E432" s="56" t="s">
        <v>2</v>
      </c>
      <c r="F432" s="56" t="s">
        <v>2</v>
      </c>
    </row>
    <row r="433" spans="1:6" ht="13">
      <c r="A433" s="16">
        <v>66</v>
      </c>
      <c r="B433" s="16">
        <v>1</v>
      </c>
      <c r="C433" s="20">
        <v>6201</v>
      </c>
      <c r="D433">
        <f>koronahun!C735</f>
        <v>5852</v>
      </c>
      <c r="E433" s="56" t="s">
        <v>2</v>
      </c>
      <c r="F433" s="56" t="s">
        <v>2</v>
      </c>
    </row>
    <row r="434" spans="1:6" ht="13">
      <c r="A434" s="16">
        <v>67</v>
      </c>
      <c r="B434" s="16">
        <v>2</v>
      </c>
      <c r="C434" s="20">
        <v>2696</v>
      </c>
      <c r="D434">
        <f>koronahun!C736</f>
        <v>1387</v>
      </c>
      <c r="E434" s="56" t="s">
        <v>2</v>
      </c>
      <c r="F434" s="56" t="s">
        <v>2</v>
      </c>
    </row>
    <row r="435" spans="1:6" ht="13">
      <c r="A435" s="16">
        <v>68</v>
      </c>
      <c r="B435" s="16">
        <v>2</v>
      </c>
      <c r="C435" s="20">
        <v>6494</v>
      </c>
      <c r="D435">
        <f>koronahun!C737</f>
        <v>2632</v>
      </c>
      <c r="E435" s="56" t="s">
        <v>2</v>
      </c>
      <c r="F435" s="56" t="s">
        <v>2</v>
      </c>
    </row>
    <row r="436" spans="1:6" ht="13">
      <c r="A436" s="16">
        <v>69</v>
      </c>
      <c r="B436" s="16">
        <v>3</v>
      </c>
      <c r="C436" s="20">
        <v>5653</v>
      </c>
      <c r="D436">
        <f>koronahun!C738</f>
        <v>2377</v>
      </c>
      <c r="E436" s="56" t="s">
        <v>2</v>
      </c>
      <c r="F436" s="56" t="s">
        <v>2</v>
      </c>
    </row>
    <row r="437" spans="1:6" ht="13">
      <c r="A437" s="16">
        <v>70</v>
      </c>
      <c r="B437" s="16">
        <v>1</v>
      </c>
      <c r="C437" s="20">
        <v>8312</v>
      </c>
      <c r="D437">
        <f>koronahun!C739</f>
        <v>2068</v>
      </c>
      <c r="E437" s="56" t="s">
        <v>2</v>
      </c>
      <c r="F437" s="56" t="s">
        <v>2</v>
      </c>
    </row>
    <row r="438" spans="1:6" ht="13">
      <c r="A438" s="16">
        <v>71</v>
      </c>
      <c r="B438" s="16">
        <v>3</v>
      </c>
      <c r="C438" s="20">
        <v>9011</v>
      </c>
      <c r="D438">
        <f>koronahun!C740</f>
        <v>0</v>
      </c>
      <c r="E438" s="56" t="s">
        <v>2</v>
      </c>
      <c r="F438" s="56" t="s">
        <v>2</v>
      </c>
    </row>
    <row r="439" spans="1:6" ht="13">
      <c r="A439" s="16">
        <v>72</v>
      </c>
      <c r="B439" s="16">
        <v>3</v>
      </c>
      <c r="C439" s="20">
        <v>9444</v>
      </c>
      <c r="D439">
        <f>koronahun!C741</f>
        <v>0</v>
      </c>
      <c r="E439" s="56" t="s">
        <v>2</v>
      </c>
      <c r="F439" s="56" t="s">
        <v>2</v>
      </c>
    </row>
    <row r="440" spans="1:6" ht="13">
      <c r="A440" s="16">
        <v>73</v>
      </c>
      <c r="B440" s="16">
        <v>11</v>
      </c>
      <c r="C440" s="20">
        <v>8863</v>
      </c>
      <c r="D440">
        <f>koronahun!C742</f>
        <v>0</v>
      </c>
      <c r="E440" s="56" t="s">
        <v>2</v>
      </c>
      <c r="F440" s="56" t="s">
        <v>2</v>
      </c>
    </row>
    <row r="441" spans="1:6" ht="13">
      <c r="A441" s="16">
        <v>74</v>
      </c>
      <c r="B441" s="16">
        <v>2</v>
      </c>
      <c r="C441" s="20">
        <v>7706</v>
      </c>
      <c r="D441">
        <f>koronahun!C743</f>
        <v>0</v>
      </c>
      <c r="E441" s="56" t="s">
        <v>2</v>
      </c>
      <c r="F441" s="56" t="s">
        <v>2</v>
      </c>
    </row>
    <row r="442" spans="1:6" ht="13">
      <c r="A442" s="16">
        <v>75</v>
      </c>
      <c r="B442" s="16">
        <v>7</v>
      </c>
      <c r="C442" s="20">
        <v>4926</v>
      </c>
      <c r="D442">
        <f>koronahun!C744</f>
        <v>4902</v>
      </c>
      <c r="E442" s="56" t="s">
        <v>2</v>
      </c>
      <c r="F442" s="56" t="s">
        <v>2</v>
      </c>
    </row>
    <row r="443" spans="1:6" ht="13">
      <c r="A443" s="16">
        <v>76</v>
      </c>
      <c r="B443" s="16">
        <v>11</v>
      </c>
      <c r="C443" s="20">
        <v>3456</v>
      </c>
      <c r="D443">
        <f>koronahun!C745</f>
        <v>1503</v>
      </c>
      <c r="E443" s="56" t="s">
        <v>2</v>
      </c>
      <c r="F443" s="56" t="s">
        <v>2</v>
      </c>
    </row>
    <row r="444" spans="1:6" ht="13">
      <c r="A444" s="16">
        <v>77</v>
      </c>
      <c r="B444" s="16">
        <v>8</v>
      </c>
      <c r="C444" s="20">
        <v>6502</v>
      </c>
      <c r="D444">
        <f>koronahun!C746</f>
        <v>3322</v>
      </c>
      <c r="E444" s="56" t="s">
        <v>2</v>
      </c>
      <c r="F444" s="56" t="s">
        <v>2</v>
      </c>
    </row>
    <row r="445" spans="1:6" ht="13">
      <c r="A445" s="16">
        <v>78</v>
      </c>
      <c r="B445" s="16">
        <v>15</v>
      </c>
      <c r="C445" s="20">
        <v>10759</v>
      </c>
      <c r="D445">
        <f>koronahun!C747</f>
        <v>0</v>
      </c>
      <c r="E445" s="56" t="s">
        <v>2</v>
      </c>
      <c r="F445" s="56" t="s">
        <v>2</v>
      </c>
    </row>
    <row r="446" spans="1:6" ht="13">
      <c r="A446" s="16">
        <v>79</v>
      </c>
      <c r="B446" s="16">
        <v>12</v>
      </c>
      <c r="C446" s="20">
        <v>11132</v>
      </c>
      <c r="D446">
        <f>koronahun!C748</f>
        <v>0</v>
      </c>
      <c r="E446" s="56" t="s">
        <v>2</v>
      </c>
      <c r="F446" s="56" t="s">
        <v>2</v>
      </c>
    </row>
    <row r="447" spans="1:6" ht="13">
      <c r="A447" s="16">
        <v>80</v>
      </c>
      <c r="B447" s="16">
        <v>18</v>
      </c>
      <c r="C447" s="20">
        <v>10625</v>
      </c>
      <c r="D447">
        <f>koronahun!C749</f>
        <v>5839</v>
      </c>
      <c r="E447" s="56" t="s">
        <v>2</v>
      </c>
      <c r="F447" s="56" t="s">
        <v>2</v>
      </c>
    </row>
    <row r="448" spans="1:6" ht="13">
      <c r="A448" s="16">
        <v>81</v>
      </c>
      <c r="B448" s="16">
        <v>28</v>
      </c>
      <c r="C448" s="20">
        <v>9046</v>
      </c>
      <c r="D448">
        <f>koronahun!C750</f>
        <v>1495</v>
      </c>
      <c r="E448" s="56" t="s">
        <v>2</v>
      </c>
      <c r="F448" s="56" t="s">
        <v>2</v>
      </c>
    </row>
    <row r="449" spans="1:6" ht="13">
      <c r="A449" s="16">
        <v>82</v>
      </c>
      <c r="B449" s="16">
        <v>36</v>
      </c>
      <c r="C449" s="20">
        <v>5481</v>
      </c>
      <c r="D449">
        <f>koronahun!C751</f>
        <v>2845</v>
      </c>
      <c r="E449" s="56" t="s">
        <v>2</v>
      </c>
      <c r="F449" s="56" t="s">
        <v>2</v>
      </c>
    </row>
    <row r="450" spans="1:6" ht="13">
      <c r="A450" s="16">
        <v>83</v>
      </c>
      <c r="B450" s="16">
        <v>20</v>
      </c>
      <c r="C450" s="20">
        <v>7587</v>
      </c>
      <c r="D450">
        <f>koronahun!C752</f>
        <v>2651</v>
      </c>
      <c r="E450" s="56" t="s">
        <v>2</v>
      </c>
      <c r="F450" s="56" t="s">
        <v>2</v>
      </c>
    </row>
    <row r="451" spans="1:6" ht="13">
      <c r="A451" s="16">
        <v>84</v>
      </c>
      <c r="B451" s="16">
        <v>39</v>
      </c>
      <c r="C451" s="20">
        <v>9637</v>
      </c>
      <c r="D451">
        <f>koronahun!C753</f>
        <v>2439</v>
      </c>
      <c r="E451" s="56" t="s">
        <v>2</v>
      </c>
      <c r="F451" s="56" t="s">
        <v>2</v>
      </c>
    </row>
    <row r="452" spans="1:6" ht="13">
      <c r="A452" s="16">
        <v>85</v>
      </c>
      <c r="B452" s="16">
        <v>35</v>
      </c>
      <c r="C452" s="20">
        <v>11265</v>
      </c>
      <c r="D452">
        <f>koronahun!C754</f>
        <v>0</v>
      </c>
      <c r="E452" s="56" t="s">
        <v>2</v>
      </c>
      <c r="F452" s="56" t="s">
        <v>2</v>
      </c>
    </row>
    <row r="453" spans="1:6" ht="13">
      <c r="A453" s="16">
        <v>86</v>
      </c>
      <c r="B453" s="16">
        <v>39</v>
      </c>
      <c r="C453" s="20">
        <v>10167</v>
      </c>
      <c r="D453">
        <f>koronahun!C755</f>
        <v>0</v>
      </c>
      <c r="E453" s="56" t="s">
        <v>2</v>
      </c>
      <c r="F453" s="56" t="s">
        <v>2</v>
      </c>
    </row>
    <row r="454" spans="1:6" ht="13">
      <c r="A454" s="16">
        <v>87</v>
      </c>
      <c r="B454" s="16">
        <v>43</v>
      </c>
      <c r="C454" s="20">
        <v>9082</v>
      </c>
      <c r="D454">
        <f>koronahun!C756</f>
        <v>5223</v>
      </c>
      <c r="E454" s="56" t="s">
        <v>2</v>
      </c>
      <c r="F454" s="56" t="s">
        <v>2</v>
      </c>
    </row>
    <row r="455" spans="1:6" ht="13">
      <c r="A455" s="16">
        <v>88</v>
      </c>
      <c r="B455" s="16">
        <v>65</v>
      </c>
      <c r="C455" s="20">
        <v>7263</v>
      </c>
      <c r="D455">
        <f>koronahun!C757</f>
        <v>1730</v>
      </c>
      <c r="E455" s="56" t="s">
        <v>2</v>
      </c>
      <c r="F455" s="56" t="s">
        <v>2</v>
      </c>
    </row>
    <row r="456" spans="1:6" ht="13">
      <c r="A456" s="16">
        <v>89</v>
      </c>
      <c r="B456" s="16">
        <v>39</v>
      </c>
      <c r="C456" s="20">
        <v>4609</v>
      </c>
      <c r="D456">
        <f>koronahun!C758</f>
        <v>2906</v>
      </c>
      <c r="E456" s="56" t="s">
        <v>2</v>
      </c>
      <c r="F456" s="56" t="s">
        <v>2</v>
      </c>
    </row>
    <row r="457" spans="1:6" ht="13">
      <c r="A457" s="16">
        <v>90</v>
      </c>
      <c r="B457" s="16">
        <v>45</v>
      </c>
      <c r="C457" s="20">
        <v>6700</v>
      </c>
      <c r="D457">
        <f>koronahun!C759</f>
        <v>2654</v>
      </c>
      <c r="E457" s="56" t="s">
        <v>2</v>
      </c>
      <c r="F457" s="56" t="s">
        <v>2</v>
      </c>
    </row>
    <row r="458" spans="1:6" ht="13">
      <c r="A458" s="16">
        <v>91</v>
      </c>
      <c r="B458" s="16">
        <v>33</v>
      </c>
      <c r="C458" s="20">
        <v>9288</v>
      </c>
      <c r="D458">
        <f>koronahun!C760</f>
        <v>2327</v>
      </c>
      <c r="E458" s="56" t="s">
        <v>2</v>
      </c>
      <c r="F458" s="56" t="s">
        <v>2</v>
      </c>
    </row>
    <row r="459" spans="1:6" ht="13">
      <c r="A459" s="16">
        <v>92</v>
      </c>
      <c r="B459" s="16">
        <v>60</v>
      </c>
      <c r="C459" s="20">
        <v>9055</v>
      </c>
      <c r="D459">
        <f>koronahun!C761</f>
        <v>0</v>
      </c>
      <c r="E459" s="56" t="s">
        <v>2</v>
      </c>
      <c r="F459" s="56" t="s">
        <v>2</v>
      </c>
    </row>
    <row r="460" spans="1:6" ht="13">
      <c r="A460" s="16">
        <v>93</v>
      </c>
      <c r="B460" s="16">
        <v>38</v>
      </c>
      <c r="C460" s="20">
        <v>8637</v>
      </c>
      <c r="D460">
        <f>koronahun!C762</f>
        <v>0</v>
      </c>
      <c r="E460" s="56" t="s">
        <v>2</v>
      </c>
      <c r="F460" s="56" t="s">
        <v>2</v>
      </c>
    </row>
    <row r="461" spans="1:6" ht="13">
      <c r="A461" s="16">
        <v>94</v>
      </c>
      <c r="B461" s="16">
        <v>55</v>
      </c>
      <c r="C461" s="20">
        <v>6566</v>
      </c>
      <c r="D461">
        <f>koronahun!C763</f>
        <v>0</v>
      </c>
      <c r="E461" s="56" t="s">
        <v>2</v>
      </c>
      <c r="F461" s="56" t="s">
        <v>2</v>
      </c>
    </row>
    <row r="462" spans="1:6" ht="13">
      <c r="A462" s="16">
        <v>95</v>
      </c>
      <c r="B462" s="16">
        <v>55</v>
      </c>
      <c r="C462" s="20">
        <v>3874</v>
      </c>
      <c r="D462">
        <f>koronahun!C764</f>
        <v>5961</v>
      </c>
      <c r="E462" s="56" t="s">
        <v>2</v>
      </c>
      <c r="F462" s="56" t="s">
        <v>2</v>
      </c>
    </row>
    <row r="463" spans="1:6" ht="13">
      <c r="A463" s="16">
        <v>96</v>
      </c>
      <c r="B463" s="16">
        <v>11</v>
      </c>
      <c r="C463" s="20">
        <v>1890</v>
      </c>
      <c r="D463">
        <f>koronahun!C765</f>
        <v>2880</v>
      </c>
      <c r="E463" s="56" t="s">
        <v>2</v>
      </c>
      <c r="F463" s="56" t="s">
        <v>2</v>
      </c>
    </row>
    <row r="464" spans="1:6" ht="13">
      <c r="A464" s="16">
        <v>97</v>
      </c>
      <c r="B464" s="16">
        <v>73</v>
      </c>
      <c r="C464" s="20">
        <v>1933</v>
      </c>
      <c r="D464">
        <f>koronahun!C766</f>
        <v>2568</v>
      </c>
      <c r="E464" s="56" t="s">
        <v>2</v>
      </c>
      <c r="F464" s="56" t="s">
        <v>2</v>
      </c>
    </row>
    <row r="465" spans="1:6" ht="13">
      <c r="A465" s="16">
        <v>98</v>
      </c>
      <c r="B465" s="16">
        <v>78</v>
      </c>
      <c r="C465" s="20">
        <v>4814</v>
      </c>
      <c r="D465">
        <f>koronahun!C767</f>
        <v>2400</v>
      </c>
      <c r="E465" s="56" t="s">
        <v>2</v>
      </c>
      <c r="F465" s="56" t="s">
        <v>2</v>
      </c>
    </row>
    <row r="466" spans="1:6" ht="13">
      <c r="A466" s="16">
        <v>99</v>
      </c>
      <c r="B466" s="16">
        <v>85</v>
      </c>
      <c r="C466" s="20">
        <v>7325</v>
      </c>
      <c r="D466">
        <f>koronahun!C768</f>
        <v>0</v>
      </c>
      <c r="E466" s="56" t="s">
        <v>2</v>
      </c>
      <c r="F466" s="56" t="s">
        <v>2</v>
      </c>
    </row>
    <row r="467" spans="1:6" ht="13">
      <c r="A467" s="16">
        <v>100</v>
      </c>
      <c r="B467" s="16">
        <v>210</v>
      </c>
      <c r="C467" s="20">
        <v>8053</v>
      </c>
      <c r="D467">
        <f>koronahun!C769</f>
        <v>0</v>
      </c>
      <c r="E467" s="56" t="s">
        <v>2</v>
      </c>
      <c r="F467" s="56" t="s">
        <v>2</v>
      </c>
    </row>
    <row r="468" spans="1:6" ht="13">
      <c r="A468" s="16">
        <v>101</v>
      </c>
      <c r="B468" s="16">
        <v>120</v>
      </c>
      <c r="C468" s="20">
        <v>6296</v>
      </c>
      <c r="D468">
        <f>koronahun!C770</f>
        <v>4657</v>
      </c>
      <c r="E468" s="56" t="s">
        <v>2</v>
      </c>
      <c r="F468" s="56" t="s">
        <v>2</v>
      </c>
    </row>
    <row r="469" spans="1:6" ht="13">
      <c r="A469" s="16">
        <v>102</v>
      </c>
      <c r="B469" s="16">
        <v>100</v>
      </c>
      <c r="C469" s="20">
        <v>5077</v>
      </c>
      <c r="D469">
        <f>koronahun!C771</f>
        <v>1542</v>
      </c>
      <c r="E469" s="56" t="s">
        <v>2</v>
      </c>
      <c r="F469" s="56" t="s">
        <v>2</v>
      </c>
    </row>
    <row r="470" spans="1:6" ht="13">
      <c r="A470" s="16">
        <v>103</v>
      </c>
      <c r="B470" s="16">
        <v>48</v>
      </c>
      <c r="C470" s="20">
        <v>2837</v>
      </c>
      <c r="D470">
        <f>koronahun!C772</f>
        <v>2740</v>
      </c>
      <c r="E470" s="56" t="s">
        <v>2</v>
      </c>
      <c r="F470" s="56" t="s">
        <v>2</v>
      </c>
    </row>
    <row r="471" spans="1:6" ht="13">
      <c r="A471" s="16">
        <v>104</v>
      </c>
      <c r="B471" s="16">
        <v>54</v>
      </c>
      <c r="C471" s="20">
        <v>3597</v>
      </c>
      <c r="D471">
        <f>koronahun!C773</f>
        <v>2534</v>
      </c>
      <c r="E471" s="56" t="s">
        <v>2</v>
      </c>
      <c r="F471" s="56" t="s">
        <v>2</v>
      </c>
    </row>
    <row r="472" spans="1:6" ht="13">
      <c r="A472" s="16">
        <v>105</v>
      </c>
      <c r="B472" s="16">
        <v>67</v>
      </c>
      <c r="C472" s="20">
        <v>5307</v>
      </c>
      <c r="D472">
        <f>koronahun!C774</f>
        <v>0</v>
      </c>
      <c r="E472" s="56" t="s">
        <v>2</v>
      </c>
      <c r="F472" s="56" t="s">
        <v>2</v>
      </c>
    </row>
    <row r="473" spans="1:6" ht="13">
      <c r="A473" s="16">
        <v>106</v>
      </c>
      <c r="B473" s="16">
        <v>73</v>
      </c>
      <c r="C473" s="20">
        <v>5216</v>
      </c>
      <c r="D473">
        <f>koronahun!C775</f>
        <v>0</v>
      </c>
      <c r="E473" s="56" t="s">
        <v>2</v>
      </c>
      <c r="F473" s="56" t="s">
        <v>2</v>
      </c>
    </row>
    <row r="474" spans="1:6" ht="13">
      <c r="A474" s="16">
        <v>107</v>
      </c>
      <c r="B474" s="16">
        <v>111</v>
      </c>
      <c r="C474" s="20">
        <v>4604</v>
      </c>
      <c r="D474">
        <f>koronahun!C776</f>
        <v>0</v>
      </c>
      <c r="E474" s="56" t="s">
        <v>2</v>
      </c>
      <c r="F474" s="56" t="s">
        <v>2</v>
      </c>
    </row>
    <row r="475" spans="1:6" ht="13">
      <c r="A475" s="16">
        <v>108</v>
      </c>
      <c r="B475" s="16">
        <v>71</v>
      </c>
      <c r="C475" s="20">
        <v>3706</v>
      </c>
      <c r="D475">
        <f>koronahun!C777</f>
        <v>0</v>
      </c>
      <c r="E475" s="56" t="s">
        <v>2</v>
      </c>
      <c r="F475" s="56" t="s">
        <v>2</v>
      </c>
    </row>
    <row r="476" spans="1:6" ht="13">
      <c r="A476" s="16">
        <v>109</v>
      </c>
      <c r="B476" s="16">
        <v>82</v>
      </c>
      <c r="C476" s="20">
        <v>2680</v>
      </c>
      <c r="D476">
        <f>koronahun!C778</f>
        <v>4978</v>
      </c>
      <c r="E476" s="56" t="s">
        <v>2</v>
      </c>
      <c r="F476" s="56" t="s">
        <v>2</v>
      </c>
    </row>
    <row r="477" spans="1:6" ht="13">
      <c r="A477" s="16">
        <v>110</v>
      </c>
      <c r="B477" s="16">
        <v>68</v>
      </c>
      <c r="C477" s="20">
        <v>1645</v>
      </c>
      <c r="D477">
        <f>koronahun!C779</f>
        <v>1407</v>
      </c>
      <c r="E477" s="56" t="s">
        <v>2</v>
      </c>
      <c r="F477" s="56" t="s">
        <v>2</v>
      </c>
    </row>
    <row r="478" spans="1:6" ht="13">
      <c r="A478" s="16">
        <v>111</v>
      </c>
      <c r="B478" s="16">
        <v>114</v>
      </c>
      <c r="C478" s="20">
        <v>2527</v>
      </c>
      <c r="D478">
        <f>koronahun!C780</f>
        <v>3041</v>
      </c>
      <c r="E478" s="56" t="s">
        <v>2</v>
      </c>
      <c r="F478" s="56" t="s">
        <v>2</v>
      </c>
    </row>
    <row r="479" spans="1:6" ht="13">
      <c r="A479" s="16">
        <v>112</v>
      </c>
      <c r="B479" s="16">
        <v>70</v>
      </c>
      <c r="C479" s="20">
        <v>3607</v>
      </c>
      <c r="D479">
        <f>koronahun!C781</f>
        <v>2047</v>
      </c>
      <c r="E479" s="56" t="s">
        <v>2</v>
      </c>
      <c r="F479" s="56" t="s">
        <v>2</v>
      </c>
    </row>
    <row r="480" spans="1:6" ht="13">
      <c r="A480" s="16">
        <v>113</v>
      </c>
      <c r="B480" s="16">
        <v>116</v>
      </c>
      <c r="C480" s="20">
        <v>3427</v>
      </c>
      <c r="D480">
        <f>koronahun!C782</f>
        <v>0</v>
      </c>
      <c r="E480" s="56" t="s">
        <v>2</v>
      </c>
      <c r="F480" s="56" t="s">
        <v>2</v>
      </c>
    </row>
    <row r="481" spans="1:6" ht="13">
      <c r="A481" s="16">
        <v>114</v>
      </c>
      <c r="B481" s="16">
        <v>99</v>
      </c>
      <c r="C481" s="20">
        <v>2796</v>
      </c>
      <c r="D481">
        <f>koronahun!C783</f>
        <v>0</v>
      </c>
      <c r="E481" s="56" t="s">
        <v>2</v>
      </c>
      <c r="F481" s="56" t="s">
        <v>2</v>
      </c>
    </row>
    <row r="482" spans="1:6" ht="13">
      <c r="A482" s="16">
        <v>115</v>
      </c>
      <c r="B482" s="16">
        <v>60</v>
      </c>
      <c r="C482" s="20">
        <v>2328</v>
      </c>
      <c r="D482">
        <f>koronahun!C784</f>
        <v>3325</v>
      </c>
      <c r="E482" s="56" t="s">
        <v>2</v>
      </c>
      <c r="F482" s="56" t="s">
        <v>2</v>
      </c>
    </row>
    <row r="483" spans="1:6" ht="13">
      <c r="A483" s="16">
        <v>116</v>
      </c>
      <c r="B483" s="16">
        <v>57</v>
      </c>
      <c r="C483" s="20">
        <v>1936</v>
      </c>
      <c r="D483">
        <f>koronahun!C785</f>
        <v>1399</v>
      </c>
      <c r="E483" s="56" t="s">
        <v>2</v>
      </c>
      <c r="F483" s="56" t="s">
        <v>2</v>
      </c>
    </row>
    <row r="484" spans="1:6" ht="13">
      <c r="A484" s="16">
        <v>117</v>
      </c>
      <c r="B484" s="16">
        <v>83</v>
      </c>
      <c r="C484" s="20">
        <v>1253</v>
      </c>
      <c r="D484">
        <f>koronahun!C786</f>
        <v>2220</v>
      </c>
      <c r="E484" s="56" t="s">
        <v>2</v>
      </c>
      <c r="F484" s="56" t="s">
        <v>2</v>
      </c>
    </row>
    <row r="485" spans="1:6" ht="13">
      <c r="A485" s="16">
        <v>118</v>
      </c>
      <c r="B485" s="16">
        <v>66</v>
      </c>
      <c r="C485" s="20">
        <v>1692</v>
      </c>
      <c r="D485">
        <f>koronahun!C787</f>
        <v>1736</v>
      </c>
      <c r="E485" s="56" t="s">
        <v>2</v>
      </c>
      <c r="F485" s="56" t="s">
        <v>2</v>
      </c>
    </row>
    <row r="486" spans="1:6" ht="13">
      <c r="A486" s="16">
        <v>119</v>
      </c>
      <c r="B486" s="16">
        <v>78</v>
      </c>
      <c r="C486" s="20">
        <v>2584</v>
      </c>
      <c r="D486">
        <f>koronahun!C788</f>
        <v>1384</v>
      </c>
      <c r="E486" s="56" t="s">
        <v>2</v>
      </c>
      <c r="F486" s="56" t="s">
        <v>2</v>
      </c>
    </row>
    <row r="487" spans="1:6" ht="13">
      <c r="A487" s="16">
        <v>120</v>
      </c>
      <c r="B487" s="16">
        <v>48</v>
      </c>
      <c r="C487" s="20">
        <v>2365</v>
      </c>
      <c r="D487">
        <f>koronahun!C789</f>
        <v>0</v>
      </c>
      <c r="E487" s="56" t="s">
        <v>2</v>
      </c>
      <c r="F487" s="56" t="s">
        <v>2</v>
      </c>
    </row>
    <row r="488" spans="1:6" ht="13">
      <c r="A488" s="16">
        <v>121</v>
      </c>
      <c r="B488" s="16">
        <v>88</v>
      </c>
      <c r="C488" s="20">
        <v>1951</v>
      </c>
      <c r="D488">
        <f>koronahun!C790</f>
        <v>0</v>
      </c>
      <c r="E488" s="56" t="s">
        <v>2</v>
      </c>
      <c r="F488" s="56" t="s">
        <v>2</v>
      </c>
    </row>
    <row r="489" spans="1:6" ht="13">
      <c r="A489" s="16">
        <v>122</v>
      </c>
      <c r="B489" s="16">
        <v>79</v>
      </c>
      <c r="C489" s="20">
        <v>1593</v>
      </c>
      <c r="D489">
        <f>koronahun!C791</f>
        <v>2183</v>
      </c>
      <c r="E489" s="56" t="s">
        <v>2</v>
      </c>
      <c r="F489" s="56" t="s">
        <v>2</v>
      </c>
    </row>
    <row r="490" spans="1:6" ht="13">
      <c r="A490" s="16">
        <v>123</v>
      </c>
      <c r="B490" s="16">
        <v>56</v>
      </c>
      <c r="C490" s="20">
        <v>1219</v>
      </c>
      <c r="D490">
        <f>koronahun!C792</f>
        <v>0</v>
      </c>
      <c r="E490" s="56" t="s">
        <v>2</v>
      </c>
      <c r="F490" s="56" t="s">
        <v>2</v>
      </c>
    </row>
    <row r="491" spans="1:6" ht="13">
      <c r="A491" s="16">
        <v>124</v>
      </c>
      <c r="B491" s="16">
        <v>37</v>
      </c>
      <c r="C491" s="20">
        <v>726</v>
      </c>
      <c r="D491">
        <f>koronahun!C793</f>
        <v>0</v>
      </c>
      <c r="E491" s="56" t="s">
        <v>2</v>
      </c>
      <c r="F491" s="56" t="s">
        <v>2</v>
      </c>
    </row>
    <row r="492" spans="1:6" ht="13">
      <c r="A492" s="16">
        <v>125</v>
      </c>
      <c r="B492" s="16">
        <v>30</v>
      </c>
      <c r="C492" s="20">
        <v>1130</v>
      </c>
      <c r="D492">
        <f>koronahun!C794</f>
        <v>0</v>
      </c>
      <c r="E492" s="56" t="s">
        <v>2</v>
      </c>
      <c r="F492" s="56" t="s">
        <v>2</v>
      </c>
    </row>
    <row r="493" spans="1:6" ht="13">
      <c r="A493" s="16">
        <v>126</v>
      </c>
      <c r="B493" s="16">
        <v>46</v>
      </c>
      <c r="C493" s="20">
        <v>1680</v>
      </c>
      <c r="D493">
        <f>koronahun!C795</f>
        <v>0</v>
      </c>
      <c r="E493" s="56" t="s">
        <v>2</v>
      </c>
      <c r="F493" s="56" t="s">
        <v>2</v>
      </c>
    </row>
    <row r="494" spans="1:6" ht="13">
      <c r="A494" s="16">
        <v>127</v>
      </c>
      <c r="B494" s="16">
        <v>39</v>
      </c>
      <c r="C494" s="20">
        <v>1541</v>
      </c>
      <c r="D494">
        <f>koronahun!C796</f>
        <v>0</v>
      </c>
      <c r="E494" s="56" t="s">
        <v>2</v>
      </c>
      <c r="F494" s="56" t="s">
        <v>2</v>
      </c>
    </row>
    <row r="495" spans="1:6" ht="13">
      <c r="A495" s="16">
        <v>128</v>
      </c>
      <c r="B495" s="16">
        <v>28</v>
      </c>
      <c r="C495" s="20">
        <v>1376</v>
      </c>
      <c r="D495">
        <f>koronahun!C797</f>
        <v>0</v>
      </c>
      <c r="E495" s="56" t="s">
        <v>2</v>
      </c>
      <c r="F495" s="56" t="s">
        <v>2</v>
      </c>
    </row>
    <row r="496" spans="1:6" ht="13">
      <c r="A496" s="16">
        <v>129</v>
      </c>
      <c r="B496" s="16">
        <v>35</v>
      </c>
      <c r="C496" s="20">
        <v>1145</v>
      </c>
      <c r="D496">
        <f>koronahun!C798</f>
        <v>0</v>
      </c>
      <c r="E496" s="56" t="s">
        <v>2</v>
      </c>
      <c r="F496" s="56" t="s">
        <v>2</v>
      </c>
    </row>
    <row r="497" spans="1:6" ht="13">
      <c r="A497" s="16">
        <v>130</v>
      </c>
      <c r="B497" s="16">
        <v>50</v>
      </c>
      <c r="C497" s="20">
        <v>677</v>
      </c>
      <c r="D497">
        <f>koronahun!C799</f>
        <v>0</v>
      </c>
      <c r="E497" s="56" t="s">
        <v>2</v>
      </c>
      <c r="F497" s="56" t="s">
        <v>2</v>
      </c>
    </row>
    <row r="498" spans="1:6" ht="13">
      <c r="A498" s="16">
        <v>131</v>
      </c>
      <c r="B498" s="16">
        <v>21</v>
      </c>
      <c r="C498" s="20">
        <v>493</v>
      </c>
      <c r="D498">
        <f>koronahun!C800</f>
        <v>6748</v>
      </c>
      <c r="E498" s="56" t="s">
        <v>2</v>
      </c>
      <c r="F498" s="56" t="s">
        <v>2</v>
      </c>
    </row>
    <row r="499" spans="1:6" ht="13">
      <c r="A499" s="16">
        <v>132</v>
      </c>
      <c r="B499" s="16">
        <v>29</v>
      </c>
      <c r="C499" s="20">
        <v>905</v>
      </c>
      <c r="D499">
        <f>koronahun!C801</f>
        <v>0</v>
      </c>
      <c r="E499" s="56" t="s">
        <v>2</v>
      </c>
      <c r="F499" s="56" t="s">
        <v>2</v>
      </c>
    </row>
    <row r="500" spans="1:6" ht="13">
      <c r="A500" s="16">
        <v>133</v>
      </c>
      <c r="B500" s="16">
        <v>28</v>
      </c>
      <c r="C500" s="20">
        <v>1416</v>
      </c>
      <c r="D500">
        <f>koronahun!C802</f>
        <v>0</v>
      </c>
      <c r="E500" s="56" t="s">
        <v>2</v>
      </c>
      <c r="F500" s="56" t="s">
        <v>2</v>
      </c>
    </row>
    <row r="501" spans="1:6" ht="13">
      <c r="A501" s="16">
        <v>134</v>
      </c>
      <c r="B501" s="16">
        <v>39</v>
      </c>
      <c r="C501" s="20">
        <v>1190</v>
      </c>
      <c r="D501">
        <f>koronahun!C803</f>
        <v>0</v>
      </c>
      <c r="E501" s="56" t="s">
        <v>2</v>
      </c>
      <c r="F501" s="56" t="s">
        <v>2</v>
      </c>
    </row>
    <row r="502" spans="1:6" ht="13">
      <c r="A502" s="16">
        <v>135</v>
      </c>
      <c r="B502" s="16">
        <v>37</v>
      </c>
      <c r="C502" s="20">
        <v>1039</v>
      </c>
      <c r="D502">
        <f>koronahun!C804</f>
        <v>0</v>
      </c>
      <c r="E502" s="56" t="s">
        <v>2</v>
      </c>
      <c r="F502" s="56" t="s">
        <v>2</v>
      </c>
    </row>
    <row r="503" spans="1:6" ht="13">
      <c r="A503" s="16">
        <v>136</v>
      </c>
      <c r="B503" s="16">
        <v>56</v>
      </c>
      <c r="C503" s="20">
        <v>718</v>
      </c>
      <c r="D503">
        <f>koronahun!C805</f>
        <v>0</v>
      </c>
      <c r="E503" s="56" t="s">
        <v>2</v>
      </c>
      <c r="F503" s="56" t="s">
        <v>2</v>
      </c>
    </row>
    <row r="504" spans="1:6" ht="13">
      <c r="A504" s="16">
        <v>137</v>
      </c>
      <c r="B504" s="16">
        <v>36</v>
      </c>
      <c r="C504" s="20">
        <v>426</v>
      </c>
      <c r="D504">
        <f>koronahun!C806</f>
        <v>0</v>
      </c>
      <c r="E504" s="56" t="s">
        <v>2</v>
      </c>
      <c r="F504" s="56" t="s">
        <v>2</v>
      </c>
    </row>
    <row r="505" spans="1:6" ht="13">
      <c r="A505" s="16">
        <v>138</v>
      </c>
      <c r="B505" s="16">
        <v>26</v>
      </c>
      <c r="C505" s="20">
        <v>382</v>
      </c>
      <c r="D505">
        <f>koronahun!C807</f>
        <v>4749</v>
      </c>
      <c r="E505" s="56" t="s">
        <v>2</v>
      </c>
      <c r="F505" s="56" t="s">
        <v>2</v>
      </c>
    </row>
    <row r="506" spans="1:6" ht="13">
      <c r="A506" s="16">
        <v>139</v>
      </c>
      <c r="B506" s="16">
        <v>21</v>
      </c>
      <c r="C506" s="20">
        <v>633</v>
      </c>
      <c r="D506">
        <f>koronahun!C808</f>
        <v>0</v>
      </c>
      <c r="E506" s="56" t="s">
        <v>2</v>
      </c>
      <c r="F506" s="56" t="s">
        <v>2</v>
      </c>
    </row>
    <row r="507" spans="1:6" ht="13">
      <c r="A507" s="16">
        <v>140</v>
      </c>
      <c r="B507" s="16">
        <v>42</v>
      </c>
      <c r="C507" s="20">
        <v>780</v>
      </c>
      <c r="D507">
        <f>koronahun!C809</f>
        <v>0</v>
      </c>
      <c r="E507" s="56" t="s">
        <v>2</v>
      </c>
      <c r="F507" s="56" t="s">
        <v>2</v>
      </c>
    </row>
    <row r="508" spans="1:6" ht="13">
      <c r="A508" s="16">
        <v>141</v>
      </c>
      <c r="B508" s="16">
        <v>43</v>
      </c>
      <c r="C508" s="20">
        <v>657</v>
      </c>
      <c r="D508">
        <f>koronahun!C810</f>
        <v>0</v>
      </c>
      <c r="E508" s="56" t="s">
        <v>2</v>
      </c>
      <c r="F508" s="56" t="s">
        <v>2</v>
      </c>
    </row>
    <row r="509" spans="1:6" ht="13">
      <c r="A509" s="16">
        <v>142</v>
      </c>
      <c r="B509" s="16">
        <v>37</v>
      </c>
      <c r="C509" s="20">
        <v>647</v>
      </c>
      <c r="D509">
        <f>koronahun!C811</f>
        <v>0</v>
      </c>
      <c r="E509" s="56" t="s">
        <v>2</v>
      </c>
      <c r="F509" s="56" t="s">
        <v>2</v>
      </c>
    </row>
    <row r="510" spans="1:6" ht="13">
      <c r="A510" s="16">
        <v>143</v>
      </c>
      <c r="B510" s="16">
        <v>35</v>
      </c>
      <c r="C510" s="20">
        <v>416</v>
      </c>
      <c r="D510">
        <f>koronahun!C812</f>
        <v>0</v>
      </c>
      <c r="E510" s="56" t="s">
        <v>2</v>
      </c>
      <c r="F510" s="56" t="s">
        <v>2</v>
      </c>
    </row>
    <row r="511" spans="1:6" ht="13">
      <c r="A511" s="16">
        <v>144</v>
      </c>
      <c r="B511" s="16">
        <v>28</v>
      </c>
      <c r="C511" s="20">
        <v>258</v>
      </c>
      <c r="D511">
        <f>koronahun!C813</f>
        <v>0</v>
      </c>
      <c r="E511" s="56" t="s">
        <v>2</v>
      </c>
      <c r="F511" s="56" t="s">
        <v>2</v>
      </c>
    </row>
    <row r="512" spans="1:6" ht="13">
      <c r="A512" s="16">
        <v>145</v>
      </c>
      <c r="B512" s="16">
        <v>15</v>
      </c>
      <c r="C512" s="20">
        <v>164</v>
      </c>
      <c r="D512">
        <f>koronahun!C814</f>
        <v>3080</v>
      </c>
      <c r="E512" s="56" t="s">
        <v>2</v>
      </c>
      <c r="F512" s="56" t="s">
        <v>2</v>
      </c>
    </row>
    <row r="513" spans="1:6" ht="13">
      <c r="A513" s="16">
        <v>146</v>
      </c>
      <c r="B513" s="16">
        <v>15</v>
      </c>
      <c r="C513" s="20">
        <v>213</v>
      </c>
      <c r="D513">
        <f>koronahun!C815</f>
        <v>0</v>
      </c>
      <c r="E513" s="56" t="s">
        <v>2</v>
      </c>
      <c r="F513" s="56" t="s">
        <v>2</v>
      </c>
    </row>
    <row r="514" spans="1:6" ht="13">
      <c r="A514" s="16">
        <v>147</v>
      </c>
      <c r="B514" s="16">
        <v>22</v>
      </c>
      <c r="C514" s="20">
        <v>396</v>
      </c>
      <c r="D514">
        <f>koronahun!C816</f>
        <v>0</v>
      </c>
      <c r="E514" s="56" t="s">
        <v>2</v>
      </c>
      <c r="F514" s="56" t="s">
        <v>2</v>
      </c>
    </row>
    <row r="515" spans="1:6" ht="13">
      <c r="A515" s="16">
        <v>148</v>
      </c>
      <c r="B515" s="16">
        <v>23</v>
      </c>
      <c r="C515" s="20">
        <v>448</v>
      </c>
      <c r="D515">
        <f>koronahun!C817</f>
        <v>0</v>
      </c>
      <c r="E515" s="56" t="s">
        <v>2</v>
      </c>
      <c r="F515" s="56" t="s">
        <v>2</v>
      </c>
    </row>
    <row r="516" spans="1:6" ht="13">
      <c r="A516" s="16">
        <v>149</v>
      </c>
      <c r="B516" s="16">
        <v>25</v>
      </c>
      <c r="C516" s="20">
        <v>465</v>
      </c>
      <c r="D516">
        <f>koronahun!C818</f>
        <v>0</v>
      </c>
      <c r="E516" s="56" t="s">
        <v>2</v>
      </c>
      <c r="F516" s="56" t="s">
        <v>2</v>
      </c>
    </row>
    <row r="517" spans="1:6" ht="13">
      <c r="A517" s="16">
        <v>150</v>
      </c>
      <c r="B517" s="16">
        <v>26</v>
      </c>
      <c r="C517" s="20">
        <v>350</v>
      </c>
      <c r="D517">
        <f>koronahun!C819</f>
        <v>0</v>
      </c>
      <c r="E517" s="56" t="s">
        <v>2</v>
      </c>
      <c r="F517" s="56" t="s">
        <v>2</v>
      </c>
    </row>
    <row r="518" spans="1:6" ht="13">
      <c r="A518" s="16">
        <v>151</v>
      </c>
      <c r="B518" s="16">
        <v>9</v>
      </c>
      <c r="C518" s="20">
        <v>156</v>
      </c>
      <c r="D518">
        <f>koronahun!C820</f>
        <v>0</v>
      </c>
      <c r="E518" s="56" t="s">
        <v>2</v>
      </c>
      <c r="F518" s="56" t="s">
        <v>2</v>
      </c>
    </row>
    <row r="519" spans="1:6" ht="13">
      <c r="A519" s="16">
        <v>152</v>
      </c>
      <c r="B519" s="16">
        <v>16</v>
      </c>
      <c r="C519" s="20">
        <v>174</v>
      </c>
      <c r="D519">
        <f>koronahun!C821</f>
        <v>2063</v>
      </c>
      <c r="E519" s="56" t="s">
        <v>2</v>
      </c>
      <c r="F519" s="56" t="s">
        <v>2</v>
      </c>
    </row>
    <row r="520" spans="1:6" ht="13">
      <c r="A520" s="16">
        <v>153</v>
      </c>
      <c r="B520" s="16">
        <v>29</v>
      </c>
      <c r="C520" s="20">
        <v>275</v>
      </c>
      <c r="D520">
        <f>koronahun!C822</f>
        <v>0</v>
      </c>
      <c r="E520" s="56" t="s">
        <v>2</v>
      </c>
      <c r="F520" s="56" t="s">
        <v>2</v>
      </c>
    </row>
    <row r="521" spans="1:6" ht="13">
      <c r="A521" s="16">
        <v>154</v>
      </c>
      <c r="B521" s="16">
        <v>10</v>
      </c>
      <c r="C521" s="20">
        <v>315</v>
      </c>
      <c r="D521">
        <f>koronahun!C823</f>
        <v>0</v>
      </c>
      <c r="E521" s="56" t="s">
        <v>2</v>
      </c>
      <c r="F521" s="56" t="s">
        <v>2</v>
      </c>
    </row>
    <row r="522" spans="1:6" ht="13">
      <c r="A522" s="16">
        <v>155</v>
      </c>
      <c r="B522" s="16">
        <v>23</v>
      </c>
      <c r="C522" s="20">
        <v>269</v>
      </c>
      <c r="D522">
        <f>koronahun!C824</f>
        <v>0</v>
      </c>
      <c r="E522" s="56" t="s">
        <v>2</v>
      </c>
      <c r="F522" s="56" t="s">
        <v>2</v>
      </c>
    </row>
    <row r="523" spans="1:6" ht="13">
      <c r="A523" s="16">
        <v>156</v>
      </c>
      <c r="B523" s="16">
        <v>16</v>
      </c>
      <c r="C523" s="20">
        <v>300</v>
      </c>
      <c r="D523">
        <f>koronahun!C825</f>
        <v>0</v>
      </c>
      <c r="E523" s="56" t="s">
        <v>2</v>
      </c>
      <c r="F523" s="56" t="s">
        <v>2</v>
      </c>
    </row>
    <row r="524" spans="1:6" ht="13">
      <c r="A524" s="16">
        <v>157</v>
      </c>
      <c r="B524" s="16">
        <v>20</v>
      </c>
      <c r="C524" s="20">
        <v>137</v>
      </c>
      <c r="D524">
        <f>koronahun!C826</f>
        <v>0</v>
      </c>
      <c r="E524" s="56" t="s">
        <v>2</v>
      </c>
      <c r="F524" s="56" t="s">
        <v>2</v>
      </c>
    </row>
    <row r="525" spans="1:6" ht="13">
      <c r="A525" s="16">
        <v>158</v>
      </c>
      <c r="B525" s="16">
        <v>18</v>
      </c>
      <c r="C525" s="20">
        <v>81</v>
      </c>
      <c r="D525">
        <f>koronahun!C827</f>
        <v>0</v>
      </c>
      <c r="E525" s="56" t="s">
        <v>2</v>
      </c>
      <c r="F525" s="56" t="s">
        <v>2</v>
      </c>
    </row>
    <row r="526" spans="1:6" ht="13">
      <c r="A526" s="16">
        <v>159</v>
      </c>
      <c r="B526" s="16">
        <v>6</v>
      </c>
      <c r="C526" s="20">
        <v>117</v>
      </c>
      <c r="D526">
        <f>koronahun!C828</f>
        <v>1646</v>
      </c>
      <c r="E526" s="56" t="s">
        <v>2</v>
      </c>
      <c r="F526" s="56" t="s">
        <v>2</v>
      </c>
    </row>
    <row r="527" spans="1:6" ht="13">
      <c r="A527" s="16">
        <v>160</v>
      </c>
      <c r="B527" s="16">
        <v>3</v>
      </c>
      <c r="C527" s="20">
        <v>179</v>
      </c>
      <c r="D527">
        <f>koronahun!C829</f>
        <v>0</v>
      </c>
      <c r="E527" s="56" t="s">
        <v>2</v>
      </c>
      <c r="F527" s="56" t="s">
        <v>2</v>
      </c>
    </row>
    <row r="528" spans="1:6" ht="13">
      <c r="A528" s="16">
        <v>161</v>
      </c>
      <c r="B528" s="16">
        <v>10</v>
      </c>
      <c r="C528" s="20">
        <v>206</v>
      </c>
      <c r="D528">
        <f>koronahun!C830</f>
        <v>0</v>
      </c>
      <c r="E528" s="56" t="s">
        <v>2</v>
      </c>
      <c r="F528" s="56" t="s">
        <v>2</v>
      </c>
    </row>
    <row r="529" spans="1:6" ht="13">
      <c r="A529" s="16">
        <v>162</v>
      </c>
      <c r="B529" s="16">
        <v>12</v>
      </c>
      <c r="C529" s="20">
        <v>199</v>
      </c>
      <c r="D529">
        <f>koronahun!C831</f>
        <v>0</v>
      </c>
      <c r="E529" s="56" t="s">
        <v>2</v>
      </c>
      <c r="F529" s="56" t="s">
        <v>2</v>
      </c>
    </row>
    <row r="530" spans="1:6" ht="13">
      <c r="A530" s="16">
        <v>163</v>
      </c>
      <c r="B530" s="16">
        <v>14</v>
      </c>
      <c r="C530" s="20"/>
      <c r="D530">
        <f>koronahun!C832</f>
        <v>0</v>
      </c>
      <c r="E530" s="56" t="s">
        <v>2</v>
      </c>
      <c r="F530" s="56" t="s">
        <v>2</v>
      </c>
    </row>
    <row r="531" spans="1:6" ht="13">
      <c r="A531" s="16">
        <v>164</v>
      </c>
      <c r="B531" s="16">
        <v>11</v>
      </c>
      <c r="C531" s="20"/>
      <c r="D531">
        <f>koronahun!C833</f>
        <v>0</v>
      </c>
      <c r="E531" s="56" t="s">
        <v>2</v>
      </c>
      <c r="F531" s="56" t="s">
        <v>2</v>
      </c>
    </row>
    <row r="532" spans="1:6" ht="13">
      <c r="A532" s="16">
        <v>165</v>
      </c>
      <c r="B532" s="16">
        <v>5</v>
      </c>
      <c r="C532" s="20">
        <v>255</v>
      </c>
      <c r="D532">
        <f>koronahun!C834</f>
        <v>0</v>
      </c>
      <c r="E532" s="56" t="s">
        <v>2</v>
      </c>
      <c r="F532" s="56" t="s">
        <v>2</v>
      </c>
    </row>
    <row r="533" spans="1:6" ht="13">
      <c r="A533" s="16">
        <v>166</v>
      </c>
      <c r="B533" s="16">
        <v>7</v>
      </c>
      <c r="C533" s="20">
        <v>57</v>
      </c>
      <c r="D533">
        <f>koronahun!C835</f>
        <v>1636</v>
      </c>
      <c r="E533" s="56" t="s">
        <v>2</v>
      </c>
      <c r="F533" s="56" t="s">
        <v>2</v>
      </c>
    </row>
    <row r="534" spans="1:6" ht="13">
      <c r="A534" s="16">
        <v>167</v>
      </c>
      <c r="B534" s="16">
        <v>1</v>
      </c>
      <c r="C534" s="20">
        <v>107</v>
      </c>
      <c r="D534">
        <f>koronahun!C836</f>
        <v>0</v>
      </c>
      <c r="E534" s="56" t="s">
        <v>2</v>
      </c>
      <c r="F534" s="56" t="s">
        <v>2</v>
      </c>
    </row>
    <row r="535" spans="1:6" ht="13">
      <c r="A535" s="16">
        <v>168</v>
      </c>
      <c r="B535" s="16">
        <v>1</v>
      </c>
      <c r="C535" s="20">
        <v>113</v>
      </c>
      <c r="D535">
        <f>koronahun!C837</f>
        <v>0</v>
      </c>
      <c r="E535" s="56" t="s">
        <v>2</v>
      </c>
      <c r="F535" s="56" t="s">
        <v>2</v>
      </c>
    </row>
    <row r="536" spans="1:6" ht="13">
      <c r="A536" s="16">
        <v>169</v>
      </c>
      <c r="B536" s="16">
        <v>1</v>
      </c>
      <c r="C536" s="20">
        <v>106</v>
      </c>
      <c r="D536">
        <f>koronahun!C838</f>
        <v>0</v>
      </c>
      <c r="E536" s="56" t="s">
        <v>2</v>
      </c>
      <c r="F536" s="56" t="s">
        <v>2</v>
      </c>
    </row>
    <row r="537" spans="1:6" ht="13">
      <c r="A537" s="16">
        <v>170</v>
      </c>
      <c r="B537" s="16">
        <v>2</v>
      </c>
      <c r="D537">
        <f>koronahun!C839</f>
        <v>0</v>
      </c>
      <c r="E537" s="56" t="s">
        <v>2</v>
      </c>
      <c r="F537" s="56" t="s">
        <v>2</v>
      </c>
    </row>
    <row r="538" spans="1:6" ht="13">
      <c r="A538" s="16">
        <v>171</v>
      </c>
      <c r="B538" s="16">
        <v>5</v>
      </c>
      <c r="C538" s="20"/>
      <c r="D538">
        <f>koronahun!C840</f>
        <v>0</v>
      </c>
      <c r="E538" s="56" t="s">
        <v>2</v>
      </c>
      <c r="F538" s="56" t="s">
        <v>2</v>
      </c>
    </row>
    <row r="539" spans="1:6" ht="13">
      <c r="A539" s="16">
        <v>172</v>
      </c>
      <c r="B539" s="16">
        <v>8</v>
      </c>
      <c r="C539" s="20">
        <v>202</v>
      </c>
      <c r="D539">
        <f>koronahun!C841</f>
        <v>0</v>
      </c>
      <c r="E539" s="56" t="s">
        <v>2</v>
      </c>
      <c r="F539" s="56" t="s">
        <v>2</v>
      </c>
    </row>
    <row r="540" spans="1:6" ht="13">
      <c r="A540" s="16">
        <v>173</v>
      </c>
      <c r="B540" s="16">
        <v>8</v>
      </c>
      <c r="C540" s="20">
        <v>54</v>
      </c>
      <c r="D540">
        <f>koronahun!C842</f>
        <v>1961</v>
      </c>
      <c r="E540" s="56" t="s">
        <v>2</v>
      </c>
      <c r="F540" s="56" t="s">
        <v>2</v>
      </c>
    </row>
    <row r="541" spans="1:6" ht="13">
      <c r="A541" s="16">
        <v>174</v>
      </c>
      <c r="B541" s="16">
        <v>5</v>
      </c>
      <c r="C541" s="20">
        <v>91</v>
      </c>
      <c r="D541">
        <f>koronahun!C843</f>
        <v>0</v>
      </c>
      <c r="E541" s="56" t="s">
        <v>2</v>
      </c>
      <c r="F541" s="56" t="s">
        <v>2</v>
      </c>
    </row>
    <row r="542" spans="1:6" ht="13">
      <c r="A542" s="16">
        <v>175</v>
      </c>
      <c r="B542" s="16">
        <v>7</v>
      </c>
      <c r="C542" s="20">
        <v>69</v>
      </c>
      <c r="D542">
        <f>koronahun!C844</f>
        <v>0</v>
      </c>
      <c r="E542" s="56" t="s">
        <v>2</v>
      </c>
      <c r="F542" s="56" t="s">
        <v>2</v>
      </c>
    </row>
    <row r="543" spans="1:6" ht="13">
      <c r="A543" s="16">
        <v>176</v>
      </c>
      <c r="B543" s="16">
        <v>9</v>
      </c>
      <c r="C543" s="20">
        <v>66</v>
      </c>
      <c r="D543">
        <f>koronahun!C845</f>
        <v>0</v>
      </c>
      <c r="E543" s="56" t="s">
        <v>2</v>
      </c>
      <c r="F543" s="56" t="s">
        <v>2</v>
      </c>
    </row>
    <row r="544" spans="1:6" ht="13">
      <c r="A544" s="16">
        <v>177</v>
      </c>
      <c r="B544" s="16">
        <v>4</v>
      </c>
      <c r="C544" s="20"/>
      <c r="D544">
        <f>koronahun!C846</f>
        <v>0</v>
      </c>
      <c r="E544" s="56" t="s">
        <v>2</v>
      </c>
      <c r="F544" s="56" t="s">
        <v>2</v>
      </c>
    </row>
    <row r="545" spans="1:6" ht="13">
      <c r="A545" s="16">
        <v>178</v>
      </c>
      <c r="B545" s="16">
        <v>11</v>
      </c>
      <c r="C545" s="20"/>
      <c r="D545">
        <f>koronahun!C847</f>
        <v>0</v>
      </c>
      <c r="E545" s="56" t="s">
        <v>2</v>
      </c>
      <c r="F545" s="56" t="s">
        <v>2</v>
      </c>
    </row>
    <row r="546" spans="1:6" ht="13">
      <c r="A546" s="16">
        <v>179</v>
      </c>
      <c r="B546" s="16">
        <v>4</v>
      </c>
      <c r="C546" s="20">
        <v>132</v>
      </c>
      <c r="D546">
        <f>koronahun!C848</f>
        <v>0</v>
      </c>
      <c r="E546" s="56" t="s">
        <v>2</v>
      </c>
      <c r="F546" s="56" t="s">
        <v>2</v>
      </c>
    </row>
    <row r="547" spans="1:6" ht="13">
      <c r="A547" s="16">
        <v>180</v>
      </c>
      <c r="B547" s="16">
        <v>3</v>
      </c>
      <c r="C547" s="20">
        <v>34</v>
      </c>
      <c r="D547">
        <f>koronahun!C849</f>
        <v>3042</v>
      </c>
      <c r="E547" s="56" t="s">
        <v>2</v>
      </c>
      <c r="F547" s="56" t="s">
        <v>2</v>
      </c>
    </row>
    <row r="548" spans="1:6" ht="13">
      <c r="A548" s="16">
        <v>181</v>
      </c>
      <c r="B548" s="16">
        <v>10</v>
      </c>
      <c r="C548" s="20">
        <v>52</v>
      </c>
      <c r="D548">
        <f>koronahun!C850</f>
        <v>0</v>
      </c>
      <c r="E548" s="56" t="s">
        <v>2</v>
      </c>
      <c r="F548" s="56" t="s">
        <v>2</v>
      </c>
    </row>
    <row r="549" spans="1:6" ht="13">
      <c r="A549" s="16">
        <v>182</v>
      </c>
      <c r="B549" s="16">
        <v>2</v>
      </c>
      <c r="C549" s="20">
        <v>32</v>
      </c>
      <c r="D549">
        <f>koronahun!C851</f>
        <v>0</v>
      </c>
      <c r="E549" s="56" t="s">
        <v>2</v>
      </c>
      <c r="F549" s="56" t="s">
        <v>2</v>
      </c>
    </row>
    <row r="550" spans="1:6" ht="13">
      <c r="A550" s="16">
        <v>183</v>
      </c>
      <c r="B550" s="16">
        <v>9</v>
      </c>
      <c r="C550" s="20">
        <v>37</v>
      </c>
      <c r="D550">
        <f>koronahun!C852</f>
        <v>0</v>
      </c>
      <c r="E550" s="56" t="s">
        <v>2</v>
      </c>
      <c r="F550" s="56" t="s">
        <v>2</v>
      </c>
    </row>
    <row r="551" spans="1:6" ht="13">
      <c r="A551" s="16">
        <v>184</v>
      </c>
      <c r="B551" s="16">
        <v>6</v>
      </c>
      <c r="C551" s="20"/>
      <c r="D551">
        <f>koronahun!C853</f>
        <v>0</v>
      </c>
      <c r="E551" s="56" t="s">
        <v>2</v>
      </c>
      <c r="F551" s="56" t="s">
        <v>2</v>
      </c>
    </row>
    <row r="552" spans="1:6" ht="13">
      <c r="A552" s="16">
        <v>185</v>
      </c>
      <c r="B552" s="16">
        <v>2</v>
      </c>
      <c r="C552" s="20"/>
      <c r="D552">
        <f>koronahun!C854</f>
        <v>0</v>
      </c>
      <c r="E552" s="56" t="s">
        <v>2</v>
      </c>
      <c r="F552" s="56" t="s">
        <v>2</v>
      </c>
    </row>
    <row r="553" spans="1:6" ht="13">
      <c r="A553" s="16">
        <v>186</v>
      </c>
      <c r="B553" s="16">
        <v>9</v>
      </c>
      <c r="C553" s="20">
        <v>65</v>
      </c>
      <c r="D553">
        <f>koronahun!C855</f>
        <v>0</v>
      </c>
      <c r="E553" s="56" t="s">
        <v>2</v>
      </c>
      <c r="F553" s="56" t="s">
        <v>2</v>
      </c>
    </row>
    <row r="554" spans="1:6" ht="13">
      <c r="A554" s="16">
        <v>187</v>
      </c>
      <c r="B554" s="16">
        <v>6</v>
      </c>
      <c r="C554" s="20">
        <v>32</v>
      </c>
      <c r="D554">
        <f>koronahun!C856</f>
        <v>4663</v>
      </c>
      <c r="E554" s="56" t="s">
        <v>2</v>
      </c>
      <c r="F554" s="56" t="s">
        <v>2</v>
      </c>
    </row>
    <row r="555" spans="1:6" ht="13">
      <c r="A555" s="16">
        <v>188</v>
      </c>
      <c r="B555" s="16">
        <v>16</v>
      </c>
      <c r="C555" s="20">
        <v>44</v>
      </c>
      <c r="D555">
        <f>koronahun!C857</f>
        <v>0</v>
      </c>
      <c r="E555" s="56" t="s">
        <v>2</v>
      </c>
      <c r="F555" s="56" t="s">
        <v>2</v>
      </c>
    </row>
    <row r="556" spans="1:6" ht="13">
      <c r="A556" s="16">
        <v>189</v>
      </c>
      <c r="B556" s="16">
        <v>5</v>
      </c>
      <c r="C556" s="20">
        <v>55</v>
      </c>
      <c r="D556">
        <f>koronahun!C858</f>
        <v>0</v>
      </c>
      <c r="E556" s="56" t="s">
        <v>2</v>
      </c>
      <c r="F556" s="56" t="s">
        <v>2</v>
      </c>
    </row>
    <row r="557" spans="1:6" ht="13">
      <c r="A557" s="16">
        <v>190</v>
      </c>
      <c r="B557" s="16">
        <v>10</v>
      </c>
      <c r="C557" s="20">
        <v>44</v>
      </c>
      <c r="D557">
        <f>koronahun!C859</f>
        <v>0</v>
      </c>
      <c r="E557" s="56" t="s">
        <v>2</v>
      </c>
      <c r="F557" s="56" t="s">
        <v>2</v>
      </c>
    </row>
    <row r="558" spans="1:6" ht="13">
      <c r="A558" s="16">
        <v>191</v>
      </c>
      <c r="B558" s="16">
        <v>3</v>
      </c>
      <c r="C558" s="20"/>
      <c r="D558">
        <f>koronahun!C860</f>
        <v>0</v>
      </c>
      <c r="E558" s="56" t="s">
        <v>2</v>
      </c>
      <c r="F558" s="56" t="s">
        <v>2</v>
      </c>
    </row>
    <row r="559" spans="1:6" ht="13">
      <c r="A559" s="16">
        <v>192</v>
      </c>
      <c r="B559" s="16">
        <v>6</v>
      </c>
      <c r="C559" s="20"/>
      <c r="D559">
        <f>koronahun!C861</f>
        <v>0</v>
      </c>
      <c r="E559" s="56" t="s">
        <v>2</v>
      </c>
      <c r="F559" s="56" t="s">
        <v>2</v>
      </c>
    </row>
    <row r="560" spans="1:6" ht="13">
      <c r="A560" s="16">
        <v>193</v>
      </c>
      <c r="B560" s="16">
        <v>5</v>
      </c>
      <c r="C560" s="20">
        <v>102</v>
      </c>
      <c r="D560">
        <f>koronahun!C862</f>
        <v>0</v>
      </c>
      <c r="E560" s="56" t="s">
        <v>2</v>
      </c>
      <c r="F560" s="56" t="s">
        <v>2</v>
      </c>
    </row>
    <row r="561" spans="1:6" ht="13">
      <c r="A561" s="16">
        <v>194</v>
      </c>
      <c r="B561" s="16">
        <v>13</v>
      </c>
      <c r="C561" s="20">
        <v>17</v>
      </c>
      <c r="D561">
        <f>koronahun!C863</f>
        <v>8036</v>
      </c>
      <c r="E561" s="56" t="s">
        <v>2</v>
      </c>
      <c r="F561" s="56" t="s">
        <v>2</v>
      </c>
    </row>
    <row r="562" spans="1:6" ht="13">
      <c r="A562" s="16">
        <v>195</v>
      </c>
      <c r="B562" s="16">
        <v>11</v>
      </c>
      <c r="C562" s="20">
        <v>56</v>
      </c>
      <c r="D562">
        <f>koronahun!C864</f>
        <v>0</v>
      </c>
      <c r="E562" s="56" t="s">
        <v>2</v>
      </c>
      <c r="F562" s="56" t="s">
        <v>2</v>
      </c>
    </row>
    <row r="563" spans="1:6" ht="13">
      <c r="A563" s="16">
        <v>196</v>
      </c>
      <c r="B563" s="16">
        <v>5</v>
      </c>
      <c r="C563" s="20">
        <v>49</v>
      </c>
      <c r="D563">
        <f>koronahun!C865</f>
        <v>0</v>
      </c>
      <c r="E563" s="56" t="s">
        <v>2</v>
      </c>
      <c r="F563" s="56" t="s">
        <v>2</v>
      </c>
    </row>
    <row r="564" spans="1:6" ht="13">
      <c r="A564" s="16">
        <v>197</v>
      </c>
      <c r="B564" s="16">
        <v>16</v>
      </c>
      <c r="C564" s="20">
        <v>64</v>
      </c>
      <c r="D564">
        <f>koronahun!C866</f>
        <v>0</v>
      </c>
      <c r="E564" s="56" t="s">
        <v>2</v>
      </c>
      <c r="F564" s="56" t="s">
        <v>2</v>
      </c>
    </row>
    <row r="565" spans="1:6" ht="13">
      <c r="A565" s="16">
        <v>198</v>
      </c>
      <c r="B565" s="16">
        <v>14</v>
      </c>
      <c r="C565" s="20"/>
      <c r="D565">
        <f>koronahun!C867</f>
        <v>0</v>
      </c>
      <c r="E565" s="56" t="s">
        <v>2</v>
      </c>
      <c r="F565" s="56" t="s">
        <v>2</v>
      </c>
    </row>
    <row r="566" spans="1:6" ht="13">
      <c r="A566" s="16">
        <v>199</v>
      </c>
      <c r="B566" s="16">
        <v>22</v>
      </c>
      <c r="C566" s="20"/>
      <c r="D566">
        <f>koronahun!C868</f>
        <v>0</v>
      </c>
      <c r="E566" s="56" t="s">
        <v>2</v>
      </c>
      <c r="F566" s="56" t="s">
        <v>2</v>
      </c>
    </row>
    <row r="567" spans="1:6" ht="13">
      <c r="A567" s="16">
        <v>200</v>
      </c>
      <c r="B567" s="16">
        <v>18</v>
      </c>
      <c r="C567" s="20">
        <v>139</v>
      </c>
      <c r="D567">
        <f>koronahun!C869</f>
        <v>0</v>
      </c>
      <c r="E567" s="56" t="s">
        <v>2</v>
      </c>
      <c r="F567" s="56" t="s">
        <v>2</v>
      </c>
    </row>
    <row r="568" spans="1:6" ht="13">
      <c r="A568" s="16">
        <v>201</v>
      </c>
      <c r="B568" s="16">
        <v>6</v>
      </c>
      <c r="C568" s="20">
        <v>25</v>
      </c>
      <c r="D568">
        <f>koronahun!C870</f>
        <v>10255</v>
      </c>
      <c r="E568" s="56" t="s">
        <v>2</v>
      </c>
      <c r="F568" s="56" t="s">
        <v>2</v>
      </c>
    </row>
    <row r="569" spans="1:6" ht="13">
      <c r="A569" s="16">
        <v>202</v>
      </c>
      <c r="B569" s="16">
        <v>8</v>
      </c>
      <c r="C569" s="20">
        <v>56</v>
      </c>
      <c r="D569">
        <f>koronahun!C871</f>
        <v>0</v>
      </c>
      <c r="E569" s="56" t="s">
        <v>2</v>
      </c>
      <c r="F569" s="56" t="s">
        <v>2</v>
      </c>
    </row>
    <row r="570" spans="1:6" ht="13">
      <c r="A570" s="16">
        <v>203</v>
      </c>
      <c r="B570" s="16">
        <v>19</v>
      </c>
      <c r="C570" s="20">
        <v>71</v>
      </c>
      <c r="D570">
        <f>koronahun!C872</f>
        <v>0</v>
      </c>
      <c r="E570" s="56" t="s">
        <v>2</v>
      </c>
      <c r="F570" s="56" t="s">
        <v>2</v>
      </c>
    </row>
    <row r="571" spans="1:6" ht="13">
      <c r="A571" s="16">
        <v>204</v>
      </c>
      <c r="B571" s="16">
        <v>14</v>
      </c>
      <c r="C571" s="20">
        <v>85</v>
      </c>
      <c r="D571">
        <f>koronahun!C873</f>
        <v>0</v>
      </c>
      <c r="E571" s="56" t="s">
        <v>2</v>
      </c>
      <c r="F571" s="56" t="s">
        <v>2</v>
      </c>
    </row>
    <row r="572" spans="1:6" ht="13">
      <c r="A572" s="16">
        <v>205</v>
      </c>
      <c r="B572" s="16">
        <v>18</v>
      </c>
      <c r="C572" s="20"/>
      <c r="D572">
        <f>koronahun!C874</f>
        <v>0</v>
      </c>
      <c r="E572" s="56" t="s">
        <v>2</v>
      </c>
      <c r="F572" s="56" t="s">
        <v>2</v>
      </c>
    </row>
    <row r="573" spans="1:6" ht="13">
      <c r="A573" s="16">
        <v>206</v>
      </c>
      <c r="B573" s="16">
        <v>26</v>
      </c>
      <c r="C573" s="20"/>
      <c r="D573">
        <f>koronahun!C875</f>
        <v>0</v>
      </c>
      <c r="E573" s="56" t="s">
        <v>2</v>
      </c>
      <c r="F573" s="56" t="s">
        <v>2</v>
      </c>
    </row>
    <row r="574" spans="1:6" ht="13">
      <c r="A574" s="16">
        <v>207</v>
      </c>
      <c r="B574" s="16">
        <v>11</v>
      </c>
      <c r="C574" s="20">
        <v>161</v>
      </c>
      <c r="D574">
        <f>koronahun!C876</f>
        <v>0</v>
      </c>
      <c r="E574" s="56" t="s">
        <v>2</v>
      </c>
      <c r="F574" s="56" t="s">
        <v>2</v>
      </c>
    </row>
    <row r="575" spans="1:6" ht="13">
      <c r="A575" s="16">
        <v>208</v>
      </c>
      <c r="B575" s="16">
        <v>13</v>
      </c>
      <c r="C575" s="20">
        <v>26</v>
      </c>
      <c r="D575">
        <f>koronahun!C877</f>
        <v>14402</v>
      </c>
      <c r="E575" s="56" t="s">
        <v>2</v>
      </c>
      <c r="F575" s="56" t="s">
        <v>2</v>
      </c>
    </row>
    <row r="576" spans="1:6" ht="13">
      <c r="A576" s="16">
        <v>209</v>
      </c>
      <c r="B576" s="16">
        <v>8</v>
      </c>
      <c r="C576" s="20">
        <v>74</v>
      </c>
      <c r="D576">
        <f>koronahun!C878</f>
        <v>0</v>
      </c>
      <c r="E576" s="56" t="s">
        <v>2</v>
      </c>
      <c r="F576" s="56" t="s">
        <v>2</v>
      </c>
    </row>
    <row r="577" spans="1:6" ht="13">
      <c r="A577" s="16">
        <v>210</v>
      </c>
      <c r="B577" s="16">
        <v>9</v>
      </c>
      <c r="C577" s="20">
        <v>65</v>
      </c>
      <c r="D577">
        <f>koronahun!C879</f>
        <v>0</v>
      </c>
      <c r="E577" s="56" t="s">
        <v>2</v>
      </c>
      <c r="F577" s="56" t="s">
        <v>2</v>
      </c>
    </row>
    <row r="578" spans="1:6" ht="13">
      <c r="A578" s="16">
        <v>211</v>
      </c>
      <c r="B578" s="16">
        <v>19</v>
      </c>
      <c r="C578" s="20">
        <v>64</v>
      </c>
      <c r="D578">
        <f>koronahun!C880</f>
        <v>0</v>
      </c>
      <c r="E578" s="56" t="s">
        <v>2</v>
      </c>
      <c r="F578" s="56" t="s">
        <v>2</v>
      </c>
    </row>
    <row r="579" spans="1:6" ht="13">
      <c r="A579" s="16">
        <v>212</v>
      </c>
      <c r="B579" s="16">
        <v>21</v>
      </c>
      <c r="C579" s="20"/>
      <c r="D579">
        <f>koronahun!C881</f>
        <v>0</v>
      </c>
      <c r="E579" s="56" t="s">
        <v>2</v>
      </c>
      <c r="F579" s="56" t="s">
        <v>2</v>
      </c>
    </row>
    <row r="580" spans="1:6" ht="13">
      <c r="A580" s="16">
        <v>213</v>
      </c>
      <c r="B580" s="16">
        <v>21</v>
      </c>
      <c r="C580" s="20"/>
      <c r="D580">
        <f>koronahun!C882</f>
        <v>0</v>
      </c>
      <c r="E580" s="56" t="s">
        <v>2</v>
      </c>
      <c r="F580" s="56" t="s">
        <v>2</v>
      </c>
    </row>
    <row r="581" spans="1:6" ht="13">
      <c r="A581" s="16">
        <v>214</v>
      </c>
      <c r="B581" s="16">
        <v>9</v>
      </c>
      <c r="C581" s="20">
        <v>155</v>
      </c>
      <c r="D581">
        <f>koronahun!C883</f>
        <v>0</v>
      </c>
      <c r="E581" s="56" t="s">
        <v>2</v>
      </c>
      <c r="F581" s="56" t="s">
        <v>2</v>
      </c>
    </row>
    <row r="582" spans="1:6" ht="13">
      <c r="A582" s="16">
        <v>215</v>
      </c>
      <c r="B582" s="16">
        <v>9</v>
      </c>
      <c r="C582" s="20">
        <v>26</v>
      </c>
      <c r="D582">
        <f>koronahun!C884</f>
        <v>21840</v>
      </c>
      <c r="E582" s="56" t="s">
        <v>2</v>
      </c>
      <c r="F582" s="56" t="s">
        <v>2</v>
      </c>
    </row>
    <row r="583" spans="1:6" ht="13">
      <c r="A583" s="16">
        <v>216</v>
      </c>
      <c r="B583" s="16">
        <v>9</v>
      </c>
      <c r="C583" s="20">
        <v>59</v>
      </c>
      <c r="D583">
        <f>koronahun!C885</f>
        <v>0</v>
      </c>
      <c r="E583" s="56" t="s">
        <v>2</v>
      </c>
      <c r="F583" s="56" t="s">
        <v>2</v>
      </c>
    </row>
    <row r="584" spans="1:6" ht="13">
      <c r="A584" s="16">
        <v>217</v>
      </c>
      <c r="B584" s="16">
        <v>11</v>
      </c>
      <c r="C584" s="20">
        <v>72</v>
      </c>
      <c r="D584">
        <f>koronahun!C886</f>
        <v>0</v>
      </c>
      <c r="E584" s="56" t="s">
        <v>2</v>
      </c>
      <c r="F584" s="56" t="s">
        <v>2</v>
      </c>
    </row>
    <row r="585" spans="1:6" ht="13">
      <c r="A585" s="16">
        <v>218</v>
      </c>
      <c r="B585" s="16">
        <v>33</v>
      </c>
      <c r="C585" s="20">
        <v>52</v>
      </c>
      <c r="D585">
        <f>koronahun!C887</f>
        <v>0</v>
      </c>
      <c r="E585" s="56" t="s">
        <v>2</v>
      </c>
      <c r="F585" s="56" t="s">
        <v>2</v>
      </c>
    </row>
    <row r="586" spans="1:6" ht="13">
      <c r="A586" s="16">
        <v>219</v>
      </c>
      <c r="B586" s="16">
        <v>24</v>
      </c>
      <c r="C586" s="20"/>
      <c r="D586">
        <f>koronahun!C888</f>
        <v>0</v>
      </c>
      <c r="E586" s="56" t="s">
        <v>2</v>
      </c>
      <c r="F586" s="56" t="s">
        <v>2</v>
      </c>
    </row>
    <row r="587" spans="1:6" ht="13">
      <c r="A587" s="16">
        <v>220</v>
      </c>
      <c r="B587" s="16">
        <v>32</v>
      </c>
      <c r="C587" s="20"/>
      <c r="D587">
        <f>koronahun!C889</f>
        <v>0</v>
      </c>
      <c r="E587" s="56" t="s">
        <v>2</v>
      </c>
      <c r="F587" s="56" t="s">
        <v>2</v>
      </c>
    </row>
    <row r="588" spans="1:6" ht="13">
      <c r="A588" s="16">
        <v>221</v>
      </c>
      <c r="B588" s="16">
        <v>43</v>
      </c>
      <c r="C588" s="20">
        <v>156</v>
      </c>
      <c r="D588">
        <f>koronahun!C890</f>
        <v>0</v>
      </c>
      <c r="E588" s="56" t="s">
        <v>2</v>
      </c>
      <c r="F588" s="56" t="s">
        <v>2</v>
      </c>
    </row>
    <row r="589" spans="1:6" ht="13">
      <c r="A589" s="16">
        <v>222</v>
      </c>
      <c r="B589" s="16">
        <v>35</v>
      </c>
      <c r="C589" s="20">
        <v>35</v>
      </c>
      <c r="D589">
        <f>koronahun!C891</f>
        <v>18078</v>
      </c>
      <c r="E589" s="56" t="s">
        <v>2</v>
      </c>
      <c r="F589" s="56" t="s">
        <v>2</v>
      </c>
    </row>
    <row r="590" spans="1:6" ht="13">
      <c r="A590" s="16">
        <v>223</v>
      </c>
      <c r="B590" s="16">
        <v>15</v>
      </c>
      <c r="C590" s="20">
        <v>80</v>
      </c>
      <c r="D590">
        <f>koronahun!C892</f>
        <v>0</v>
      </c>
      <c r="E590" s="56" t="s">
        <v>2</v>
      </c>
      <c r="F590" s="56" t="s">
        <v>2</v>
      </c>
    </row>
    <row r="591" spans="1:6" ht="13">
      <c r="A591" s="16">
        <v>224</v>
      </c>
      <c r="B591" s="16">
        <v>22</v>
      </c>
      <c r="C591" s="20">
        <v>86</v>
      </c>
      <c r="D591">
        <f>koronahun!C893</f>
        <v>0</v>
      </c>
      <c r="E591" s="56" t="s">
        <v>2</v>
      </c>
      <c r="F591" s="56" t="s">
        <v>2</v>
      </c>
    </row>
    <row r="592" spans="1:6" ht="13">
      <c r="A592" s="16">
        <v>225</v>
      </c>
      <c r="B592" s="16">
        <v>45</v>
      </c>
      <c r="C592" s="20">
        <v>104</v>
      </c>
      <c r="D592">
        <f>koronahun!C894</f>
        <v>0</v>
      </c>
      <c r="E592" s="56" t="s">
        <v>2</v>
      </c>
      <c r="F592" s="56" t="s">
        <v>2</v>
      </c>
    </row>
    <row r="593" spans="1:6" ht="13">
      <c r="A593" s="16">
        <v>226</v>
      </c>
      <c r="B593" s="16">
        <v>40</v>
      </c>
      <c r="C593" s="20"/>
      <c r="D593">
        <f>koronahun!C895</f>
        <v>0</v>
      </c>
      <c r="E593" s="56" t="s">
        <v>2</v>
      </c>
      <c r="F593" s="56" t="s">
        <v>2</v>
      </c>
    </row>
    <row r="594" spans="1:6" ht="13">
      <c r="A594" s="16">
        <v>227</v>
      </c>
      <c r="B594" s="16">
        <v>24</v>
      </c>
      <c r="C594" s="20"/>
      <c r="D594">
        <f>koronahun!C896</f>
        <v>0</v>
      </c>
      <c r="E594" s="56" t="s">
        <v>2</v>
      </c>
      <c r="F594" s="56" t="s">
        <v>2</v>
      </c>
    </row>
    <row r="595" spans="1:6" ht="13">
      <c r="A595" s="16">
        <v>228</v>
      </c>
      <c r="B595" s="16">
        <v>39</v>
      </c>
      <c r="C595" s="20">
        <v>188</v>
      </c>
      <c r="D595">
        <f>koronahun!C897</f>
        <v>0</v>
      </c>
      <c r="E595" s="56" t="s">
        <v>2</v>
      </c>
      <c r="F595" s="56" t="s">
        <v>2</v>
      </c>
    </row>
    <row r="596" spans="1:6" ht="13">
      <c r="A596" s="16">
        <v>229</v>
      </c>
      <c r="B596" s="16">
        <v>30</v>
      </c>
      <c r="C596" s="20">
        <v>45</v>
      </c>
      <c r="D596">
        <f>koronahun!C898</f>
        <v>16249</v>
      </c>
      <c r="E596" s="56" t="s">
        <v>2</v>
      </c>
      <c r="F596" s="56" t="s">
        <v>2</v>
      </c>
    </row>
    <row r="597" spans="1:6" ht="13">
      <c r="A597" s="16">
        <v>230</v>
      </c>
      <c r="B597" s="16">
        <v>24</v>
      </c>
      <c r="C597" s="20">
        <v>109</v>
      </c>
      <c r="D597">
        <f>koronahun!C899</f>
        <v>0</v>
      </c>
      <c r="E597" s="56" t="s">
        <v>2</v>
      </c>
      <c r="F597" s="56" t="s">
        <v>2</v>
      </c>
    </row>
    <row r="598" spans="1:6" ht="13">
      <c r="A598" s="16">
        <v>231</v>
      </c>
      <c r="B598" s="16">
        <v>32</v>
      </c>
      <c r="C598" s="20">
        <v>123</v>
      </c>
      <c r="D598">
        <f>koronahun!C900</f>
        <v>0</v>
      </c>
      <c r="E598" s="56" t="s">
        <v>2</v>
      </c>
      <c r="F598" s="56" t="s">
        <v>2</v>
      </c>
    </row>
    <row r="599" spans="1:6" ht="13">
      <c r="A599" s="16">
        <v>232</v>
      </c>
      <c r="B599" s="16">
        <v>44</v>
      </c>
      <c r="C599" s="20"/>
      <c r="D599">
        <f>koronahun!C901</f>
        <v>0</v>
      </c>
      <c r="E599" s="56" t="s">
        <v>2</v>
      </c>
      <c r="F599" s="56" t="s">
        <v>2</v>
      </c>
    </row>
    <row r="600" spans="1:6" ht="13">
      <c r="A600" s="16">
        <v>233</v>
      </c>
      <c r="B600" s="16">
        <v>52</v>
      </c>
      <c r="C600" s="20"/>
      <c r="D600">
        <f>koronahun!C902</f>
        <v>0</v>
      </c>
      <c r="E600" s="56" t="s">
        <v>2</v>
      </c>
      <c r="F600" s="56" t="s">
        <v>2</v>
      </c>
    </row>
    <row r="601" spans="1:6" ht="13">
      <c r="A601" s="16">
        <v>234</v>
      </c>
      <c r="B601" s="16">
        <v>35</v>
      </c>
      <c r="C601" s="20"/>
      <c r="D601">
        <f>koronahun!C903</f>
        <v>0</v>
      </c>
      <c r="E601" s="56" t="s">
        <v>2</v>
      </c>
      <c r="F601" s="56" t="s">
        <v>2</v>
      </c>
    </row>
    <row r="602" spans="1:6" ht="13">
      <c r="A602" s="16">
        <v>235</v>
      </c>
      <c r="B602" s="16">
        <v>22</v>
      </c>
      <c r="C602" s="20">
        <v>340</v>
      </c>
      <c r="D602">
        <f>koronahun!C904</f>
        <v>0</v>
      </c>
      <c r="E602" s="56" t="s">
        <v>2</v>
      </c>
      <c r="F602" s="56" t="s">
        <v>2</v>
      </c>
    </row>
    <row r="603" spans="1:6" ht="13">
      <c r="A603" s="16">
        <v>236</v>
      </c>
      <c r="B603" s="16">
        <v>36</v>
      </c>
      <c r="C603" s="20">
        <v>82</v>
      </c>
      <c r="D603">
        <f>koronahun!C905</f>
        <v>14742</v>
      </c>
      <c r="E603" s="56" t="s">
        <v>2</v>
      </c>
      <c r="F603" s="56" t="s">
        <v>2</v>
      </c>
    </row>
    <row r="604" spans="1:6" ht="13">
      <c r="A604" s="16">
        <v>237</v>
      </c>
      <c r="B604" s="16">
        <v>24</v>
      </c>
      <c r="C604" s="20">
        <v>134</v>
      </c>
      <c r="D604">
        <f>koronahun!C906</f>
        <v>0</v>
      </c>
      <c r="E604" s="56" t="s">
        <v>2</v>
      </c>
      <c r="F604" s="56" t="s">
        <v>2</v>
      </c>
    </row>
    <row r="605" spans="1:6" ht="13">
      <c r="A605" s="16">
        <v>238</v>
      </c>
      <c r="B605" s="16">
        <v>73</v>
      </c>
      <c r="C605" s="20">
        <v>180</v>
      </c>
      <c r="D605">
        <f>koronahun!C907</f>
        <v>0</v>
      </c>
      <c r="E605" s="56" t="s">
        <v>2</v>
      </c>
      <c r="F605" s="56" t="s">
        <v>2</v>
      </c>
    </row>
    <row r="606" spans="1:6" ht="13">
      <c r="A606" s="16">
        <v>239</v>
      </c>
      <c r="B606" s="16">
        <v>91</v>
      </c>
      <c r="C606" s="20">
        <v>189</v>
      </c>
      <c r="D606">
        <f>koronahun!C908</f>
        <v>0</v>
      </c>
      <c r="E606" s="56" t="s">
        <v>2</v>
      </c>
      <c r="F606" s="56" t="s">
        <v>2</v>
      </c>
    </row>
    <row r="607" spans="1:6" ht="13">
      <c r="A607" s="16">
        <v>240</v>
      </c>
      <c r="B607" s="16">
        <v>132</v>
      </c>
      <c r="C607" s="20"/>
      <c r="D607">
        <f>koronahun!C909</f>
        <v>0</v>
      </c>
      <c r="E607" s="56" t="s">
        <v>2</v>
      </c>
      <c r="F607" s="56" t="s">
        <v>2</v>
      </c>
    </row>
    <row r="608" spans="1:6" ht="13">
      <c r="A608" s="16">
        <v>241</v>
      </c>
      <c r="B608" s="16">
        <v>158</v>
      </c>
      <c r="C608" s="20"/>
      <c r="D608">
        <f>koronahun!C910</f>
        <v>0</v>
      </c>
      <c r="E608" s="56" t="s">
        <v>2</v>
      </c>
      <c r="F608" s="56" t="s">
        <v>2</v>
      </c>
    </row>
    <row r="609" spans="1:6" ht="13">
      <c r="A609" s="16">
        <v>242</v>
      </c>
      <c r="B609" s="16">
        <v>292</v>
      </c>
      <c r="C609" s="20">
        <v>521</v>
      </c>
      <c r="D609">
        <f>koronahun!C911</f>
        <v>0</v>
      </c>
      <c r="E609" s="56" t="s">
        <v>2</v>
      </c>
      <c r="F609" s="56" t="s">
        <v>2</v>
      </c>
    </row>
    <row r="610" spans="1:6" ht="13">
      <c r="A610" s="16">
        <v>243</v>
      </c>
      <c r="B610" s="16">
        <v>178</v>
      </c>
      <c r="C610" s="20">
        <v>110</v>
      </c>
      <c r="D610">
        <f>koronahun!C912</f>
        <v>12157</v>
      </c>
      <c r="E610" s="56" t="s">
        <v>2</v>
      </c>
      <c r="F610" s="56" t="s">
        <v>2</v>
      </c>
    </row>
    <row r="611" spans="1:6" ht="13">
      <c r="A611" s="16">
        <v>244</v>
      </c>
      <c r="B611" s="16">
        <v>118</v>
      </c>
      <c r="C611" s="20">
        <v>194</v>
      </c>
      <c r="D611">
        <f>koronahun!C913</f>
        <v>0</v>
      </c>
      <c r="E611" s="56" t="s">
        <v>2</v>
      </c>
      <c r="F611" s="56" t="s">
        <v>2</v>
      </c>
    </row>
    <row r="612" spans="1:6" ht="13">
      <c r="A612" s="16">
        <v>245</v>
      </c>
      <c r="B612" s="16">
        <v>365</v>
      </c>
      <c r="C612" s="20">
        <v>262</v>
      </c>
      <c r="D612">
        <f>koronahun!C914</f>
        <v>0</v>
      </c>
      <c r="E612" s="56" t="s">
        <v>2</v>
      </c>
      <c r="F612" s="56" t="s">
        <v>2</v>
      </c>
    </row>
    <row r="613" spans="1:6" ht="13">
      <c r="A613" s="16">
        <v>246</v>
      </c>
      <c r="B613" s="16">
        <v>301</v>
      </c>
      <c r="C613" s="20">
        <v>247</v>
      </c>
      <c r="D613">
        <f>koronahun!C915</f>
        <v>0</v>
      </c>
      <c r="E613" s="56" t="s">
        <v>2</v>
      </c>
      <c r="F613" s="56" t="s">
        <v>2</v>
      </c>
    </row>
    <row r="614" spans="1:6" ht="13">
      <c r="A614" s="16">
        <v>247</v>
      </c>
      <c r="B614" s="16">
        <v>459</v>
      </c>
      <c r="C614" s="20"/>
      <c r="D614">
        <f>koronahun!C916</f>
        <v>0</v>
      </c>
      <c r="E614" s="56" t="s">
        <v>2</v>
      </c>
      <c r="F614" s="56" t="s">
        <v>2</v>
      </c>
    </row>
    <row r="615" spans="1:6" ht="13">
      <c r="A615" s="16">
        <v>248</v>
      </c>
      <c r="B615" s="16">
        <v>510</v>
      </c>
      <c r="C615" s="20"/>
      <c r="D615">
        <f>koronahun!C917</f>
        <v>0</v>
      </c>
      <c r="E615" s="56" t="s">
        <v>2</v>
      </c>
      <c r="F615" s="56" t="s">
        <v>2</v>
      </c>
    </row>
    <row r="616" spans="1:6" ht="13">
      <c r="A616" s="16">
        <v>249</v>
      </c>
      <c r="B616" s="16">
        <v>495</v>
      </c>
      <c r="C616" s="20">
        <v>648</v>
      </c>
      <c r="D616">
        <f>koronahun!C918</f>
        <v>0</v>
      </c>
      <c r="E616" s="56" t="s">
        <v>2</v>
      </c>
      <c r="F616" s="56" t="s">
        <v>2</v>
      </c>
    </row>
    <row r="617" spans="1:6" ht="13">
      <c r="A617" s="16">
        <v>250</v>
      </c>
      <c r="B617" s="16">
        <v>576</v>
      </c>
      <c r="C617" s="20">
        <v>130</v>
      </c>
      <c r="D617">
        <f>koronahun!C919</f>
        <v>10300</v>
      </c>
      <c r="E617" s="56" t="s">
        <v>2</v>
      </c>
      <c r="F617" s="56" t="s">
        <v>2</v>
      </c>
    </row>
    <row r="618" spans="1:6" ht="13">
      <c r="A618" s="16">
        <v>251</v>
      </c>
      <c r="B618" s="16">
        <v>341</v>
      </c>
      <c r="C618" s="20">
        <v>246</v>
      </c>
      <c r="D618">
        <f>koronahun!C920</f>
        <v>0</v>
      </c>
      <c r="E618" s="56" t="s">
        <v>2</v>
      </c>
      <c r="F618" s="56" t="s">
        <v>2</v>
      </c>
    </row>
    <row r="619" spans="1:6" ht="13">
      <c r="A619" s="16">
        <v>252</v>
      </c>
      <c r="B619" s="16">
        <v>411</v>
      </c>
      <c r="C619" s="20">
        <v>345</v>
      </c>
      <c r="D619">
        <f>koronahun!C921</f>
        <v>0</v>
      </c>
      <c r="E619" s="56" t="s">
        <v>2</v>
      </c>
      <c r="F619" s="56" t="s">
        <v>2</v>
      </c>
    </row>
    <row r="620" spans="1:6" ht="13">
      <c r="A620" s="16">
        <v>253</v>
      </c>
      <c r="B620" s="16">
        <v>476</v>
      </c>
      <c r="C620" s="20">
        <v>323</v>
      </c>
      <c r="D620">
        <f>koronahun!C922</f>
        <v>0</v>
      </c>
      <c r="E620" s="56" t="s">
        <v>2</v>
      </c>
      <c r="F620" s="56" t="s">
        <v>2</v>
      </c>
    </row>
    <row r="621" spans="1:6" ht="13">
      <c r="A621" s="16">
        <v>254</v>
      </c>
      <c r="B621" s="16">
        <v>718</v>
      </c>
      <c r="C621" s="20"/>
      <c r="D621">
        <f>koronahun!C923</f>
        <v>0</v>
      </c>
      <c r="E621" s="56" t="s">
        <v>2</v>
      </c>
      <c r="F621" s="56" t="s">
        <v>2</v>
      </c>
    </row>
    <row r="622" spans="1:6" ht="13">
      <c r="A622" s="16">
        <v>255</v>
      </c>
      <c r="B622" s="16">
        <v>916</v>
      </c>
      <c r="C622" s="20"/>
      <c r="D622">
        <f>koronahun!C924</f>
        <v>0</v>
      </c>
      <c r="E622" s="56" t="s">
        <v>2</v>
      </c>
      <c r="F622" s="56" t="s">
        <v>2</v>
      </c>
    </row>
    <row r="623" spans="1:6" ht="13">
      <c r="A623" s="16">
        <v>256</v>
      </c>
      <c r="B623" s="16">
        <v>484</v>
      </c>
      <c r="C623" s="20">
        <v>873</v>
      </c>
      <c r="D623">
        <f>koronahun!C925</f>
        <v>0</v>
      </c>
      <c r="E623" s="56" t="s">
        <v>2</v>
      </c>
      <c r="F623" s="56" t="s">
        <v>2</v>
      </c>
    </row>
    <row r="624" spans="1:6" ht="13">
      <c r="A624" s="16">
        <v>257</v>
      </c>
      <c r="B624" s="16">
        <v>844</v>
      </c>
      <c r="C624" s="20">
        <v>246</v>
      </c>
      <c r="D624">
        <f>koronahun!C926</f>
        <v>11596</v>
      </c>
      <c r="E624" s="56" t="s">
        <v>2</v>
      </c>
      <c r="F624" s="56" t="s">
        <v>2</v>
      </c>
    </row>
    <row r="625" spans="1:6" ht="13">
      <c r="A625" s="16">
        <v>258</v>
      </c>
      <c r="B625" s="16">
        <v>726</v>
      </c>
      <c r="C625" s="20">
        <v>371</v>
      </c>
      <c r="D625">
        <f>koronahun!C927</f>
        <v>0</v>
      </c>
      <c r="E625" s="56" t="s">
        <v>2</v>
      </c>
      <c r="F625" s="56" t="s">
        <v>2</v>
      </c>
    </row>
    <row r="626" spans="1:6" ht="13">
      <c r="A626" s="16">
        <v>259</v>
      </c>
      <c r="B626" s="16">
        <v>581</v>
      </c>
      <c r="C626" s="20">
        <v>458</v>
      </c>
      <c r="D626">
        <f>koronahun!C928</f>
        <v>0</v>
      </c>
      <c r="E626" s="56" t="s">
        <v>2</v>
      </c>
      <c r="F626" s="56" t="s">
        <v>2</v>
      </c>
    </row>
    <row r="627" spans="1:6" ht="13">
      <c r="A627" s="16">
        <v>260</v>
      </c>
      <c r="B627" s="16">
        <v>710</v>
      </c>
      <c r="C627" s="20">
        <v>479</v>
      </c>
      <c r="D627">
        <f>koronahun!C929</f>
        <v>0</v>
      </c>
      <c r="E627" s="56" t="s">
        <v>2</v>
      </c>
      <c r="F627" s="56" t="s">
        <v>2</v>
      </c>
    </row>
    <row r="628" spans="1:6" ht="13">
      <c r="A628" s="16">
        <v>261</v>
      </c>
      <c r="B628" s="16">
        <v>941</v>
      </c>
      <c r="C628" s="20"/>
      <c r="D628">
        <f>koronahun!C930</f>
        <v>0</v>
      </c>
      <c r="E628" s="56" t="s">
        <v>2</v>
      </c>
      <c r="F628" s="56" t="s">
        <v>2</v>
      </c>
    </row>
    <row r="629" spans="1:6" ht="13">
      <c r="A629" s="16">
        <v>262</v>
      </c>
      <c r="B629" s="16">
        <v>809</v>
      </c>
      <c r="C629" s="20"/>
      <c r="D629">
        <f>koronahun!C931</f>
        <v>0</v>
      </c>
      <c r="E629" s="56" t="s">
        <v>2</v>
      </c>
      <c r="F629" s="56" t="s">
        <v>2</v>
      </c>
    </row>
    <row r="630" spans="1:6" ht="13">
      <c r="A630" s="16">
        <v>263</v>
      </c>
      <c r="B630" s="16">
        <v>1070</v>
      </c>
      <c r="C630" s="20">
        <v>1072</v>
      </c>
      <c r="D630">
        <f>koronahun!C932</f>
        <v>0</v>
      </c>
      <c r="E630" s="56" t="s">
        <v>2</v>
      </c>
      <c r="F630" s="56" t="s">
        <v>2</v>
      </c>
    </row>
    <row r="631" spans="1:6" ht="13">
      <c r="A631" s="16">
        <v>264</v>
      </c>
      <c r="B631" s="16">
        <v>876</v>
      </c>
      <c r="C631" s="20">
        <v>289</v>
      </c>
      <c r="D631">
        <f>koronahun!C933</f>
        <v>12307</v>
      </c>
      <c r="E631" s="56" t="s">
        <v>2</v>
      </c>
      <c r="F631" s="56" t="s">
        <v>2</v>
      </c>
    </row>
    <row r="632" spans="1:6" ht="13">
      <c r="A632" s="16">
        <v>265</v>
      </c>
      <c r="B632" s="16">
        <v>633</v>
      </c>
      <c r="C632" s="20">
        <v>501</v>
      </c>
      <c r="D632">
        <f>koronahun!C934</f>
        <v>0</v>
      </c>
      <c r="E632" s="56" t="s">
        <v>2</v>
      </c>
      <c r="F632" s="56" t="s">
        <v>2</v>
      </c>
    </row>
    <row r="633" spans="1:6" ht="13">
      <c r="A633" s="16">
        <v>266</v>
      </c>
      <c r="B633" s="16">
        <v>951</v>
      </c>
      <c r="C633" s="20">
        <v>526</v>
      </c>
      <c r="D633">
        <f>koronahun!C935</f>
        <v>0</v>
      </c>
      <c r="E633" s="56" t="s">
        <v>2</v>
      </c>
      <c r="F633" s="56" t="s">
        <v>2</v>
      </c>
    </row>
    <row r="634" spans="1:6" ht="13">
      <c r="A634" s="16">
        <v>267</v>
      </c>
      <c r="B634" s="16">
        <v>750</v>
      </c>
      <c r="C634" s="20">
        <v>531</v>
      </c>
      <c r="D634">
        <f>koronahun!C936</f>
        <v>0</v>
      </c>
      <c r="E634" s="56" t="s">
        <v>2</v>
      </c>
      <c r="F634" s="56" t="s">
        <v>2</v>
      </c>
    </row>
    <row r="635" spans="1:6" ht="13">
      <c r="A635" s="16">
        <v>268</v>
      </c>
      <c r="B635" s="16">
        <v>927</v>
      </c>
      <c r="C635" s="20"/>
      <c r="D635">
        <f>koronahun!C937</f>
        <v>0</v>
      </c>
      <c r="E635" s="56" t="s">
        <v>2</v>
      </c>
      <c r="F635" s="56" t="s">
        <v>2</v>
      </c>
    </row>
    <row r="636" spans="1:6" ht="13">
      <c r="A636" s="16">
        <v>269</v>
      </c>
      <c r="B636" s="16">
        <v>950</v>
      </c>
      <c r="C636" s="20"/>
      <c r="D636">
        <f>koronahun!C938</f>
        <v>0</v>
      </c>
      <c r="E636" s="56" t="s">
        <v>2</v>
      </c>
      <c r="F636" s="56" t="s">
        <v>2</v>
      </c>
    </row>
    <row r="637" spans="1:6" ht="13">
      <c r="A637" s="16">
        <v>270</v>
      </c>
      <c r="B637" s="16">
        <v>937</v>
      </c>
      <c r="C637" s="20">
        <v>1183</v>
      </c>
      <c r="D637">
        <f>koronahun!C939</f>
        <v>0</v>
      </c>
      <c r="E637" s="56" t="s">
        <v>2</v>
      </c>
      <c r="F637" s="56" t="s">
        <v>2</v>
      </c>
    </row>
    <row r="638" spans="1:6" ht="13">
      <c r="A638" s="16">
        <v>271</v>
      </c>
      <c r="B638" s="16">
        <v>702</v>
      </c>
      <c r="C638" s="20">
        <v>265</v>
      </c>
      <c r="D638">
        <f>koronahun!C940</f>
        <v>11392</v>
      </c>
      <c r="E638" s="56" t="s">
        <v>2</v>
      </c>
      <c r="F638" s="56" t="s">
        <v>2</v>
      </c>
    </row>
    <row r="639" spans="1:6" ht="13">
      <c r="A639" s="16">
        <v>272</v>
      </c>
      <c r="B639" s="16">
        <v>851</v>
      </c>
      <c r="C639" s="20">
        <v>546</v>
      </c>
      <c r="D639">
        <f>koronahun!C941</f>
        <v>0</v>
      </c>
      <c r="E639" s="56" t="s">
        <v>2</v>
      </c>
      <c r="F639" s="56" t="s">
        <v>2</v>
      </c>
    </row>
    <row r="640" spans="1:6" ht="13">
      <c r="A640" s="16">
        <v>273</v>
      </c>
      <c r="B640" s="16">
        <v>894</v>
      </c>
      <c r="C640" s="20">
        <v>633</v>
      </c>
      <c r="D640">
        <f>koronahun!C942</f>
        <v>0</v>
      </c>
      <c r="E640" s="56" t="s">
        <v>2</v>
      </c>
      <c r="F640" s="56" t="s">
        <v>2</v>
      </c>
    </row>
    <row r="641" spans="1:6" ht="13">
      <c r="A641" s="16">
        <v>274</v>
      </c>
      <c r="B641" s="16">
        <v>848</v>
      </c>
      <c r="C641" s="20">
        <v>679</v>
      </c>
      <c r="D641">
        <f>koronahun!C943</f>
        <v>0</v>
      </c>
      <c r="E641" s="56" t="s">
        <v>2</v>
      </c>
      <c r="F641" s="56" t="s">
        <v>2</v>
      </c>
    </row>
    <row r="642" spans="1:6" ht="13">
      <c r="A642" s="16">
        <v>275</v>
      </c>
      <c r="B642" s="16">
        <v>1322</v>
      </c>
      <c r="C642" s="20"/>
      <c r="D642">
        <f>koronahun!C944</f>
        <v>0</v>
      </c>
      <c r="E642" s="56" t="s">
        <v>2</v>
      </c>
      <c r="F642" s="56" t="s">
        <v>2</v>
      </c>
    </row>
    <row r="643" spans="1:6" ht="13">
      <c r="A643" s="16">
        <v>276</v>
      </c>
      <c r="B643" s="16">
        <v>1086</v>
      </c>
      <c r="C643" s="20"/>
      <c r="D643">
        <f>koronahun!C945</f>
        <v>0</v>
      </c>
      <c r="E643" s="56" t="s">
        <v>2</v>
      </c>
      <c r="F643" s="56" t="s">
        <v>2</v>
      </c>
    </row>
    <row r="644" spans="1:6" ht="13">
      <c r="A644" s="16">
        <v>277</v>
      </c>
      <c r="B644" s="16">
        <v>858</v>
      </c>
      <c r="C644" s="20">
        <v>1492</v>
      </c>
      <c r="D644">
        <f>koronahun!C946</f>
        <v>0</v>
      </c>
      <c r="E644" s="56" t="s">
        <v>2</v>
      </c>
      <c r="F644" s="56" t="s">
        <v>2</v>
      </c>
    </row>
    <row r="645" spans="1:6" ht="13">
      <c r="A645" s="16">
        <v>278</v>
      </c>
      <c r="B645" s="16">
        <v>905</v>
      </c>
      <c r="C645" s="20">
        <v>294</v>
      </c>
      <c r="D645">
        <f>koronahun!C947</f>
        <v>13765</v>
      </c>
      <c r="E645" s="56" t="s">
        <v>2</v>
      </c>
      <c r="F645" s="56" t="s">
        <v>2</v>
      </c>
    </row>
    <row r="646" spans="1:6" ht="13">
      <c r="A646" s="16">
        <v>279</v>
      </c>
      <c r="B646" s="16">
        <v>818</v>
      </c>
      <c r="C646" s="20">
        <v>629</v>
      </c>
      <c r="D646">
        <f>koronahun!C948</f>
        <v>0</v>
      </c>
      <c r="E646" s="56" t="s">
        <v>2</v>
      </c>
      <c r="F646" s="56" t="s">
        <v>2</v>
      </c>
    </row>
    <row r="647" spans="1:6" ht="13">
      <c r="A647" s="16">
        <v>280</v>
      </c>
      <c r="B647" s="20">
        <v>816</v>
      </c>
      <c r="C647" s="20">
        <v>837</v>
      </c>
      <c r="D647">
        <f>koronahun!C949</f>
        <v>0</v>
      </c>
      <c r="E647" s="56" t="s">
        <v>2</v>
      </c>
      <c r="F647" s="56" t="s">
        <v>2</v>
      </c>
    </row>
    <row r="648" spans="1:6" ht="13">
      <c r="A648" s="16">
        <v>281</v>
      </c>
      <c r="B648" s="20">
        <v>932</v>
      </c>
      <c r="C648" s="20">
        <v>774</v>
      </c>
      <c r="D648">
        <f>koronahun!C950</f>
        <v>0</v>
      </c>
      <c r="E648" s="56" t="s">
        <v>2</v>
      </c>
      <c r="F648" s="56" t="s">
        <v>2</v>
      </c>
    </row>
    <row r="649" spans="1:6" ht="13">
      <c r="A649" s="16">
        <v>282</v>
      </c>
      <c r="B649" s="20">
        <v>1176</v>
      </c>
      <c r="C649" s="20"/>
      <c r="D649">
        <f>koronahun!C951</f>
        <v>0</v>
      </c>
      <c r="E649" s="56" t="s">
        <v>2</v>
      </c>
      <c r="F649" s="56" t="s">
        <v>2</v>
      </c>
    </row>
    <row r="650" spans="1:6" ht="13">
      <c r="A650" s="16">
        <v>283</v>
      </c>
      <c r="B650" s="20">
        <v>1374</v>
      </c>
      <c r="C650" s="20"/>
      <c r="D650">
        <f>koronahun!C952</f>
        <v>0</v>
      </c>
      <c r="E650" s="56" t="s">
        <v>2</v>
      </c>
      <c r="F650" s="56" t="s">
        <v>2</v>
      </c>
    </row>
    <row r="651" spans="1:6" ht="13">
      <c r="A651" s="16">
        <v>284</v>
      </c>
      <c r="B651" s="20">
        <v>1068</v>
      </c>
      <c r="C651" s="20">
        <v>2046</v>
      </c>
      <c r="D651">
        <f>koronahun!C953</f>
        <v>0</v>
      </c>
      <c r="E651" s="56" t="s">
        <v>2</v>
      </c>
      <c r="F651" s="56" t="s">
        <v>2</v>
      </c>
    </row>
    <row r="652" spans="1:6" ht="13">
      <c r="A652" s="16">
        <v>285</v>
      </c>
      <c r="B652" s="20">
        <v>1173</v>
      </c>
      <c r="C652" s="20">
        <v>455</v>
      </c>
      <c r="D652">
        <f>koronahun!C954</f>
        <v>12636</v>
      </c>
      <c r="E652" s="56" t="s">
        <v>2</v>
      </c>
      <c r="F652" s="56" t="s">
        <v>2</v>
      </c>
    </row>
    <row r="653" spans="1:6" ht="13">
      <c r="A653" s="16">
        <v>286</v>
      </c>
      <c r="B653" s="20">
        <v>1025</v>
      </c>
      <c r="C653" s="20">
        <v>814</v>
      </c>
      <c r="D653">
        <f>koronahun!C955</f>
        <v>0</v>
      </c>
      <c r="E653" s="56" t="s">
        <v>2</v>
      </c>
      <c r="F653" s="56" t="s">
        <v>2</v>
      </c>
    </row>
    <row r="654" spans="1:6" ht="13">
      <c r="A654" s="16">
        <v>287</v>
      </c>
      <c r="B654" s="20">
        <v>920</v>
      </c>
      <c r="C654" s="20">
        <v>1141</v>
      </c>
      <c r="D654">
        <f>koronahun!C956</f>
        <v>0</v>
      </c>
      <c r="E654" s="56" t="s">
        <v>2</v>
      </c>
      <c r="F654" s="56" t="s">
        <v>2</v>
      </c>
    </row>
    <row r="655" spans="1:6" ht="13">
      <c r="A655" s="16">
        <v>288</v>
      </c>
      <c r="B655" s="20">
        <v>950</v>
      </c>
      <c r="C655" s="20">
        <v>1249</v>
      </c>
      <c r="D655">
        <f>koronahun!C957</f>
        <v>0</v>
      </c>
      <c r="E655" s="56" t="s">
        <v>2</v>
      </c>
      <c r="F655" s="56" t="s">
        <v>2</v>
      </c>
    </row>
    <row r="656" spans="1:6" ht="13">
      <c r="A656" s="16">
        <v>289</v>
      </c>
      <c r="B656" s="20">
        <v>1293</v>
      </c>
      <c r="C656" s="20"/>
      <c r="D656">
        <f>koronahun!C958</f>
        <v>0</v>
      </c>
      <c r="E656" s="56" t="s">
        <v>2</v>
      </c>
      <c r="F656" s="56" t="s">
        <v>2</v>
      </c>
    </row>
    <row r="657" spans="1:6" ht="13">
      <c r="A657" s="16">
        <v>290</v>
      </c>
      <c r="B657" s="20">
        <v>1791</v>
      </c>
      <c r="C657" s="20"/>
      <c r="D657">
        <f>koronahun!C959</f>
        <v>0</v>
      </c>
      <c r="E657" s="56" t="s">
        <v>2</v>
      </c>
      <c r="F657" s="56" t="s">
        <v>2</v>
      </c>
    </row>
    <row r="658" spans="1:6" ht="13">
      <c r="A658" s="16">
        <v>291</v>
      </c>
      <c r="B658" s="20">
        <v>1474</v>
      </c>
      <c r="C658" s="20">
        <v>3274</v>
      </c>
      <c r="D658">
        <f>koronahun!C960</f>
        <v>0</v>
      </c>
      <c r="E658" s="56" t="s">
        <v>2</v>
      </c>
      <c r="F658" s="56" t="s">
        <v>2</v>
      </c>
    </row>
    <row r="659" spans="1:6" ht="13">
      <c r="A659" s="16">
        <v>292</v>
      </c>
      <c r="B659" s="20">
        <v>1478</v>
      </c>
      <c r="C659" s="20">
        <v>859</v>
      </c>
      <c r="D659">
        <f>koronahun!C961</f>
        <v>11947</v>
      </c>
      <c r="E659" s="56" t="s">
        <v>2</v>
      </c>
      <c r="F659" s="56" t="s">
        <v>2</v>
      </c>
    </row>
    <row r="660" spans="1:6" ht="13">
      <c r="A660" s="16">
        <v>293</v>
      </c>
      <c r="B660" s="20">
        <v>989</v>
      </c>
      <c r="C660" s="20">
        <v>1668</v>
      </c>
      <c r="D660">
        <f>koronahun!C962</f>
        <v>0</v>
      </c>
      <c r="E660" s="56" t="s">
        <v>2</v>
      </c>
      <c r="F660" s="56" t="s">
        <v>2</v>
      </c>
    </row>
    <row r="661" spans="1:6" ht="13">
      <c r="A661" s="16">
        <v>294</v>
      </c>
      <c r="B661" s="20">
        <v>1423</v>
      </c>
      <c r="C661" s="20">
        <v>2361</v>
      </c>
      <c r="D661">
        <f>koronahun!C963</f>
        <v>0</v>
      </c>
      <c r="E661" s="56" t="s">
        <v>2</v>
      </c>
      <c r="F661" s="56" t="s">
        <v>2</v>
      </c>
    </row>
    <row r="662" spans="1:6" ht="13">
      <c r="A662" s="16">
        <v>295</v>
      </c>
      <c r="B662" s="28">
        <v>2032</v>
      </c>
      <c r="C662" s="20">
        <v>2548</v>
      </c>
      <c r="D662">
        <f>koronahun!C964</f>
        <v>0</v>
      </c>
      <c r="E662" s="56" t="s">
        <v>2</v>
      </c>
      <c r="F662" s="56" t="s">
        <v>2</v>
      </c>
    </row>
    <row r="663" spans="1:6" ht="13">
      <c r="A663" s="16">
        <v>296</v>
      </c>
      <c r="B663" s="20">
        <v>2066</v>
      </c>
      <c r="C663" s="20"/>
      <c r="D663">
        <f>koronahun!C965</f>
        <v>0</v>
      </c>
      <c r="E663" s="56" t="s">
        <v>2</v>
      </c>
      <c r="F663" s="56" t="s">
        <v>2</v>
      </c>
    </row>
    <row r="664" spans="1:6" ht="13">
      <c r="A664" s="16">
        <v>297</v>
      </c>
      <c r="B664" s="20">
        <v>1820</v>
      </c>
      <c r="C664" s="20"/>
      <c r="D664">
        <f>koronahun!C966</f>
        <v>0</v>
      </c>
      <c r="E664" s="56" t="s">
        <v>2</v>
      </c>
      <c r="F664" s="56" t="s">
        <v>2</v>
      </c>
    </row>
    <row r="665" spans="1:6" ht="13">
      <c r="A665" s="16">
        <v>298</v>
      </c>
      <c r="B665" s="20">
        <v>3149</v>
      </c>
      <c r="C665" s="20">
        <v>6688</v>
      </c>
      <c r="D665">
        <f>koronahun!C967</f>
        <v>0</v>
      </c>
      <c r="E665" s="56" t="s">
        <v>2</v>
      </c>
      <c r="F665" s="56" t="s">
        <v>2</v>
      </c>
    </row>
    <row r="666" spans="1:6" ht="13">
      <c r="A666" s="16">
        <v>299</v>
      </c>
      <c r="B666" s="20">
        <v>2316</v>
      </c>
      <c r="C666" s="20">
        <v>1701</v>
      </c>
      <c r="D666">
        <f>koronahun!C968</f>
        <v>9023</v>
      </c>
      <c r="E666" s="56" t="s">
        <v>2</v>
      </c>
      <c r="F666" s="56" t="s">
        <v>2</v>
      </c>
    </row>
    <row r="667" spans="1:6" ht="13">
      <c r="A667" s="16">
        <v>300</v>
      </c>
      <c r="B667" s="20">
        <v>2079</v>
      </c>
      <c r="C667" s="20">
        <v>3125</v>
      </c>
      <c r="D667">
        <f>koronahun!C969</f>
        <v>0</v>
      </c>
      <c r="E667" s="56" t="s">
        <v>2</v>
      </c>
      <c r="F667" s="56" t="s">
        <v>2</v>
      </c>
    </row>
    <row r="668" spans="1:6" ht="13">
      <c r="A668" s="16">
        <v>301</v>
      </c>
      <c r="B668" s="20">
        <v>2291</v>
      </c>
      <c r="C668" s="20">
        <v>4039</v>
      </c>
      <c r="D668">
        <f>koronahun!C970</f>
        <v>0</v>
      </c>
      <c r="E668" s="56" t="s">
        <v>2</v>
      </c>
      <c r="F668" s="56" t="s">
        <v>2</v>
      </c>
    </row>
    <row r="669" spans="1:6" ht="13">
      <c r="A669" s="16">
        <v>302</v>
      </c>
      <c r="B669" s="20">
        <v>2194</v>
      </c>
      <c r="C669" s="20">
        <v>4041</v>
      </c>
      <c r="D669">
        <f>koronahun!C971</f>
        <v>0</v>
      </c>
      <c r="E669" s="56" t="s">
        <v>2</v>
      </c>
      <c r="F669" s="56" t="s">
        <v>2</v>
      </c>
    </row>
    <row r="670" spans="1:6" ht="13">
      <c r="A670" s="16">
        <v>303</v>
      </c>
      <c r="B670" s="20">
        <v>3286</v>
      </c>
      <c r="C670" s="20"/>
      <c r="D670">
        <f>koronahun!C972</f>
        <v>0</v>
      </c>
      <c r="E670" s="56" t="s">
        <v>2</v>
      </c>
      <c r="F670" s="56" t="s">
        <v>2</v>
      </c>
    </row>
    <row r="671" spans="1:6" ht="13">
      <c r="A671" s="16">
        <v>304</v>
      </c>
      <c r="B671" s="20">
        <v>3908</v>
      </c>
      <c r="C671" s="20"/>
      <c r="D671">
        <f>koronahun!C973</f>
        <v>0</v>
      </c>
      <c r="E671" s="56" t="s">
        <v>2</v>
      </c>
      <c r="F671" s="56" t="s">
        <v>2</v>
      </c>
    </row>
    <row r="672" spans="1:6" ht="13">
      <c r="A672" s="16">
        <v>305</v>
      </c>
      <c r="B672" s="20">
        <v>3878</v>
      </c>
      <c r="C672" s="20">
        <v>11211</v>
      </c>
      <c r="D672">
        <f>koronahun!C974</f>
        <v>0</v>
      </c>
      <c r="E672" s="56" t="s">
        <v>2</v>
      </c>
      <c r="F672" s="56" t="s">
        <v>2</v>
      </c>
    </row>
    <row r="673" spans="1:6" ht="13">
      <c r="A673" s="16">
        <v>306</v>
      </c>
      <c r="B673" s="20">
        <v>3581</v>
      </c>
      <c r="C673" s="20">
        <v>1867</v>
      </c>
      <c r="D673">
        <f>koronahun!C975</f>
        <v>7495</v>
      </c>
      <c r="E673" s="56" t="s">
        <v>2</v>
      </c>
      <c r="F673" s="56" t="s">
        <v>2</v>
      </c>
    </row>
    <row r="674" spans="1:6" ht="13">
      <c r="A674" s="16">
        <v>307</v>
      </c>
      <c r="B674" s="20">
        <v>3989</v>
      </c>
      <c r="C674" s="20">
        <v>2595</v>
      </c>
      <c r="D674">
        <f>koronahun!C976</f>
        <v>0</v>
      </c>
      <c r="E674" s="56" t="s">
        <v>2</v>
      </c>
      <c r="F674" s="56" t="s">
        <v>2</v>
      </c>
    </row>
    <row r="675" spans="1:6" ht="13">
      <c r="A675" s="16">
        <v>308</v>
      </c>
      <c r="B675" s="20">
        <v>4219</v>
      </c>
      <c r="C675" s="20">
        <v>6268</v>
      </c>
      <c r="D675">
        <f>koronahun!C977</f>
        <v>0</v>
      </c>
      <c r="E675" s="56" t="s">
        <v>2</v>
      </c>
      <c r="F675" s="56" t="s">
        <v>2</v>
      </c>
    </row>
    <row r="676" spans="1:6" ht="13">
      <c r="A676" s="16">
        <v>309</v>
      </c>
      <c r="B676" s="20">
        <v>3928</v>
      </c>
      <c r="C676" s="20">
        <v>6804</v>
      </c>
      <c r="D676">
        <f>koronahun!C978</f>
        <v>0</v>
      </c>
      <c r="E676" s="56" t="s">
        <v>2</v>
      </c>
      <c r="F676" s="56" t="s">
        <v>2</v>
      </c>
    </row>
    <row r="677" spans="1:6" ht="13">
      <c r="A677" s="16">
        <v>310</v>
      </c>
      <c r="B677" s="31">
        <v>4709</v>
      </c>
      <c r="C677" s="20"/>
      <c r="D677">
        <f>koronahun!C979</f>
        <v>0</v>
      </c>
      <c r="E677" s="56" t="s">
        <v>2</v>
      </c>
      <c r="F677" s="56" t="s">
        <v>2</v>
      </c>
    </row>
    <row r="678" spans="1:6" ht="13">
      <c r="A678" s="16">
        <v>311</v>
      </c>
      <c r="B678" s="20">
        <v>5318</v>
      </c>
      <c r="C678" s="20"/>
      <c r="D678">
        <f>koronahun!C980</f>
        <v>0</v>
      </c>
      <c r="E678" s="56" t="s">
        <v>2</v>
      </c>
      <c r="F678" s="56" t="s">
        <v>2</v>
      </c>
    </row>
    <row r="679" spans="1:6" ht="13">
      <c r="A679" s="16">
        <v>312</v>
      </c>
      <c r="B679" s="20">
        <v>4673</v>
      </c>
      <c r="C679" s="20">
        <v>17834</v>
      </c>
      <c r="D679">
        <f>koronahun!C981</f>
        <v>0</v>
      </c>
      <c r="E679" s="56" t="s">
        <v>2</v>
      </c>
      <c r="F679" s="56" t="s">
        <v>2</v>
      </c>
    </row>
    <row r="680" spans="1:6" ht="13">
      <c r="A680" s="16">
        <v>313</v>
      </c>
      <c r="B680" s="20">
        <v>5162</v>
      </c>
      <c r="C680" s="20">
        <v>4588</v>
      </c>
      <c r="D680">
        <f>koronahun!C982</f>
        <v>4556</v>
      </c>
      <c r="E680" s="56" t="s">
        <v>2</v>
      </c>
      <c r="F680" s="56" t="s">
        <v>2</v>
      </c>
    </row>
    <row r="681" spans="1:6" ht="13">
      <c r="A681" s="16">
        <v>314</v>
      </c>
      <c r="B681" s="20">
        <v>4140</v>
      </c>
      <c r="C681" s="20">
        <v>8434</v>
      </c>
      <c r="D681">
        <f>koronahun!C983</f>
        <v>0</v>
      </c>
      <c r="E681" s="56" t="s">
        <v>2</v>
      </c>
      <c r="F681" s="56" t="s">
        <v>2</v>
      </c>
    </row>
    <row r="682" spans="1:6" ht="13">
      <c r="A682" s="16">
        <v>315</v>
      </c>
      <c r="B682" s="20">
        <v>3945</v>
      </c>
      <c r="C682" s="20">
        <v>8394</v>
      </c>
      <c r="D682">
        <f>koronahun!C984</f>
        <v>0</v>
      </c>
      <c r="E682" s="56" t="s">
        <v>2</v>
      </c>
      <c r="F682" s="56" t="s">
        <v>2</v>
      </c>
    </row>
    <row r="683" spans="1:6" ht="13">
      <c r="A683" s="16">
        <v>316</v>
      </c>
      <c r="B683" s="20">
        <v>3927</v>
      </c>
      <c r="C683" s="20">
        <v>8370</v>
      </c>
      <c r="D683">
        <f>koronahun!C985</f>
        <v>0</v>
      </c>
      <c r="E683" s="56" t="s">
        <v>2</v>
      </c>
      <c r="F683" s="56" t="s">
        <v>2</v>
      </c>
    </row>
    <row r="684" spans="1:6" ht="13">
      <c r="A684" s="16">
        <v>317</v>
      </c>
      <c r="B684" s="20">
        <v>5097</v>
      </c>
      <c r="C684" s="20"/>
      <c r="D684">
        <f>koronahun!C986</f>
        <v>0</v>
      </c>
      <c r="E684" s="56" t="s">
        <v>2</v>
      </c>
      <c r="F684" s="56" t="s">
        <v>2</v>
      </c>
    </row>
    <row r="685" spans="1:6" ht="13">
      <c r="A685" s="16">
        <v>318</v>
      </c>
      <c r="B685" s="20">
        <v>4836</v>
      </c>
      <c r="C685" s="20"/>
      <c r="D685">
        <f>koronahun!C987</f>
        <v>0</v>
      </c>
      <c r="E685" s="56" t="s">
        <v>2</v>
      </c>
      <c r="F685" s="56" t="s">
        <v>2</v>
      </c>
    </row>
    <row r="686" spans="1:6" ht="13">
      <c r="A686" s="16">
        <v>319</v>
      </c>
      <c r="B686" s="20">
        <v>4238</v>
      </c>
      <c r="C686" s="20">
        <v>21060</v>
      </c>
      <c r="D686">
        <f>koronahun!C988</f>
        <v>0</v>
      </c>
      <c r="E686" s="56" t="s">
        <v>2</v>
      </c>
      <c r="F686" s="56" t="s">
        <v>2</v>
      </c>
    </row>
    <row r="687" spans="1:6" ht="13">
      <c r="A687" s="16">
        <v>320</v>
      </c>
      <c r="B687" s="20">
        <v>6495</v>
      </c>
      <c r="C687" s="20">
        <v>5323</v>
      </c>
      <c r="D687">
        <f>koronahun!C989</f>
        <v>4431</v>
      </c>
      <c r="E687" s="56" t="s">
        <v>2</v>
      </c>
      <c r="F687" s="56" t="s">
        <v>2</v>
      </c>
    </row>
    <row r="688" spans="1:6" ht="13">
      <c r="A688" s="16">
        <v>321</v>
      </c>
      <c r="B688" s="20">
        <v>5203</v>
      </c>
      <c r="C688" s="20">
        <v>10265</v>
      </c>
      <c r="D688">
        <f>koronahun!C990</f>
        <v>0</v>
      </c>
      <c r="E688" s="56" t="s">
        <v>2</v>
      </c>
      <c r="F688" s="56" t="s">
        <v>2</v>
      </c>
    </row>
    <row r="689" spans="1:6" ht="13">
      <c r="A689" s="16">
        <v>322</v>
      </c>
      <c r="B689" s="20">
        <v>4290</v>
      </c>
      <c r="C689" s="20">
        <v>10767</v>
      </c>
      <c r="D689">
        <f>koronahun!C991</f>
        <v>0</v>
      </c>
      <c r="E689" s="56" t="s">
        <v>2</v>
      </c>
      <c r="F689" s="56" t="s">
        <v>2</v>
      </c>
    </row>
    <row r="690" spans="1:6" ht="13">
      <c r="A690" s="16">
        <v>323</v>
      </c>
      <c r="B690" s="20">
        <v>4512</v>
      </c>
      <c r="C690" s="20">
        <v>11289</v>
      </c>
      <c r="D690">
        <f>koronahun!C992</f>
        <v>0</v>
      </c>
      <c r="E690" s="56" t="s">
        <v>2</v>
      </c>
      <c r="F690" s="56" t="s">
        <v>2</v>
      </c>
    </row>
    <row r="691" spans="1:6" ht="13">
      <c r="A691" s="16">
        <v>324</v>
      </c>
      <c r="B691" s="20">
        <v>4440</v>
      </c>
      <c r="C691" s="20"/>
      <c r="D691">
        <f>koronahun!C993</f>
        <v>0</v>
      </c>
      <c r="E691" s="56" t="s">
        <v>2</v>
      </c>
      <c r="F691" s="56" t="s">
        <v>2</v>
      </c>
    </row>
    <row r="692" spans="1:6" ht="13">
      <c r="A692" s="16">
        <v>325</v>
      </c>
      <c r="B692" s="20">
        <v>4397</v>
      </c>
      <c r="C692" s="20"/>
      <c r="D692">
        <f>koronahun!C994</f>
        <v>0</v>
      </c>
      <c r="E692" s="56" t="s">
        <v>2</v>
      </c>
      <c r="F692" s="56" t="s">
        <v>2</v>
      </c>
    </row>
    <row r="693" spans="1:6" ht="13">
      <c r="A693" s="16">
        <v>326</v>
      </c>
      <c r="B693" s="20">
        <v>4320</v>
      </c>
      <c r="C693" s="20">
        <v>27209</v>
      </c>
      <c r="D693">
        <f>koronahun!C995</f>
        <v>0</v>
      </c>
      <c r="E693" s="56" t="s">
        <v>2</v>
      </c>
      <c r="F693" s="56" t="s">
        <v>2</v>
      </c>
    </row>
    <row r="694" spans="1:6" ht="13">
      <c r="A694" s="16">
        <v>327</v>
      </c>
      <c r="B694" s="20">
        <v>3334</v>
      </c>
      <c r="C694" s="20">
        <v>6518</v>
      </c>
      <c r="D694">
        <f>koronahun!C996</f>
        <v>4098</v>
      </c>
      <c r="E694" s="56" t="s">
        <v>2</v>
      </c>
      <c r="F694" s="56" t="s">
        <v>2</v>
      </c>
    </row>
    <row r="695" spans="1:6" ht="13">
      <c r="A695" s="16">
        <v>328</v>
      </c>
      <c r="B695" s="20">
        <v>3929</v>
      </c>
      <c r="C695" s="20">
        <v>12637</v>
      </c>
      <c r="D695">
        <f>koronahun!C997</f>
        <v>0</v>
      </c>
      <c r="E695" s="56" t="s">
        <v>2</v>
      </c>
      <c r="F695" s="56" t="s">
        <v>2</v>
      </c>
    </row>
    <row r="696" spans="1:6" ht="13">
      <c r="A696" s="16">
        <v>329</v>
      </c>
      <c r="B696" s="20">
        <v>3806</v>
      </c>
      <c r="C696" s="20">
        <v>12165</v>
      </c>
      <c r="D696">
        <f>koronahun!C998</f>
        <v>0</v>
      </c>
      <c r="E696" s="56" t="s">
        <v>2</v>
      </c>
      <c r="F696" s="56" t="s">
        <v>2</v>
      </c>
    </row>
    <row r="697" spans="1:6" ht="13">
      <c r="A697" s="16">
        <v>330</v>
      </c>
      <c r="B697" s="20">
        <v>6360</v>
      </c>
      <c r="C697" s="20">
        <v>11871</v>
      </c>
      <c r="D697">
        <f>koronahun!C999</f>
        <v>0</v>
      </c>
      <c r="E697" s="56" t="s">
        <v>2</v>
      </c>
      <c r="F697" s="56" t="s">
        <v>2</v>
      </c>
    </row>
    <row r="698" spans="1:6" ht="13">
      <c r="A698" s="16">
        <v>331</v>
      </c>
      <c r="B698" s="20">
        <v>6393</v>
      </c>
      <c r="C698" s="20"/>
      <c r="D698">
        <f>koronahun!C1000</f>
        <v>0</v>
      </c>
      <c r="E698" s="56" t="s">
        <v>2</v>
      </c>
      <c r="F698" s="56" t="s">
        <v>2</v>
      </c>
    </row>
    <row r="699" spans="1:6" ht="13">
      <c r="A699" s="16">
        <v>332</v>
      </c>
      <c r="B699" s="20">
        <v>6268</v>
      </c>
      <c r="C699" s="20"/>
      <c r="D699">
        <f>koronahun!C2001</f>
        <v>0</v>
      </c>
      <c r="E699" s="56" t="s">
        <v>2</v>
      </c>
      <c r="F699" s="56" t="s">
        <v>2</v>
      </c>
    </row>
    <row r="700" spans="1:6" ht="13">
      <c r="A700" s="16">
        <v>333</v>
      </c>
      <c r="B700" s="20">
        <v>6819</v>
      </c>
      <c r="C700" s="20">
        <v>27830</v>
      </c>
      <c r="D700">
        <f>koronahun!C2002</f>
        <v>0</v>
      </c>
      <c r="E700" s="56" t="s">
        <v>2</v>
      </c>
      <c r="F700" s="56" t="s">
        <v>2</v>
      </c>
    </row>
    <row r="701" spans="1:6" ht="13">
      <c r="A701" s="16">
        <v>334</v>
      </c>
      <c r="B701" s="20">
        <v>5595</v>
      </c>
      <c r="C701" s="20">
        <v>6390</v>
      </c>
      <c r="D701">
        <f>koronahun!C2003</f>
        <v>0</v>
      </c>
      <c r="E701" s="56" t="s">
        <v>2</v>
      </c>
      <c r="F701" s="56" t="s">
        <v>2</v>
      </c>
    </row>
    <row r="702" spans="1:6" ht="13">
      <c r="A702" s="16">
        <v>335</v>
      </c>
      <c r="B702" s="20">
        <v>3951</v>
      </c>
      <c r="C702" s="20">
        <v>11152</v>
      </c>
      <c r="D702">
        <f>koronahun!C2004</f>
        <v>0</v>
      </c>
      <c r="E702" s="56" t="s">
        <v>2</v>
      </c>
      <c r="F702" s="56" t="s">
        <v>2</v>
      </c>
    </row>
    <row r="703" spans="1:6" ht="13">
      <c r="A703" s="16">
        <v>336</v>
      </c>
      <c r="B703" s="20">
        <v>4136</v>
      </c>
      <c r="C703" s="20">
        <v>10466</v>
      </c>
      <c r="D703">
        <f>koronahun!C2005</f>
        <v>0</v>
      </c>
      <c r="E703" s="56" t="s">
        <v>2</v>
      </c>
      <c r="F703" s="56" t="s">
        <v>2</v>
      </c>
    </row>
    <row r="704" spans="1:6" ht="13">
      <c r="A704" s="16">
        <v>337</v>
      </c>
      <c r="B704" s="20">
        <v>6635</v>
      </c>
      <c r="C704" s="20">
        <v>10143</v>
      </c>
      <c r="D704">
        <f>koronahun!C2006</f>
        <v>0</v>
      </c>
      <c r="E704" s="56" t="s">
        <v>2</v>
      </c>
      <c r="F704" s="56" t="s">
        <v>2</v>
      </c>
    </row>
    <row r="705" spans="1:6" ht="13">
      <c r="A705" s="16">
        <v>338</v>
      </c>
      <c r="B705" s="20">
        <v>6212</v>
      </c>
      <c r="C705" s="20"/>
      <c r="D705">
        <f>koronahun!C2007</f>
        <v>0</v>
      </c>
      <c r="E705" s="56" t="s">
        <v>2</v>
      </c>
      <c r="F705" s="56" t="s">
        <v>2</v>
      </c>
    </row>
    <row r="706" spans="1:6" ht="13">
      <c r="A706" s="16">
        <v>339</v>
      </c>
      <c r="B706" s="20">
        <v>5525</v>
      </c>
      <c r="C706" s="20"/>
      <c r="D706">
        <f>koronahun!C2008</f>
        <v>0</v>
      </c>
      <c r="E706" s="56" t="s">
        <v>2</v>
      </c>
      <c r="F706" s="56" t="s">
        <v>2</v>
      </c>
    </row>
    <row r="707" spans="1:6" ht="13">
      <c r="A707" s="16">
        <v>340</v>
      </c>
      <c r="B707" s="20">
        <v>6697</v>
      </c>
      <c r="C707" s="20">
        <v>22699</v>
      </c>
      <c r="D707">
        <f>koronahun!C2009</f>
        <v>0</v>
      </c>
      <c r="E707" s="56" t="s">
        <v>2</v>
      </c>
      <c r="F707" s="56" t="s">
        <v>2</v>
      </c>
    </row>
    <row r="708" spans="1:6" ht="13">
      <c r="A708" s="16">
        <v>341</v>
      </c>
      <c r="B708" s="20">
        <v>3870</v>
      </c>
      <c r="C708" s="20">
        <v>4311</v>
      </c>
      <c r="D708">
        <f>koronahun!C2010</f>
        <v>0</v>
      </c>
      <c r="E708" s="56" t="s">
        <v>2</v>
      </c>
      <c r="F708" s="56" t="s">
        <v>2</v>
      </c>
    </row>
    <row r="709" spans="1:6" ht="13">
      <c r="A709" s="16">
        <v>342</v>
      </c>
      <c r="B709" s="20">
        <v>2219</v>
      </c>
      <c r="C709" s="20">
        <v>6849</v>
      </c>
      <c r="D709">
        <f>koronahun!C2011</f>
        <v>0</v>
      </c>
      <c r="E709" s="56" t="s">
        <v>2</v>
      </c>
      <c r="F709" s="56" t="s">
        <v>2</v>
      </c>
    </row>
    <row r="710" spans="1:6" ht="13">
      <c r="A710" s="16">
        <v>343</v>
      </c>
      <c r="B710" s="20">
        <v>3221</v>
      </c>
      <c r="C710" s="20">
        <v>7310</v>
      </c>
      <c r="D710">
        <f>koronahun!C2012</f>
        <v>0</v>
      </c>
      <c r="E710" s="56" t="s">
        <v>2</v>
      </c>
      <c r="F710" s="56" t="s">
        <v>2</v>
      </c>
    </row>
    <row r="711" spans="1:6" ht="13">
      <c r="A711" s="16">
        <v>344</v>
      </c>
      <c r="B711" s="20">
        <v>5415</v>
      </c>
      <c r="C711" s="20">
        <v>6884</v>
      </c>
      <c r="D711">
        <f>koronahun!C2013</f>
        <v>0</v>
      </c>
      <c r="E711" s="56" t="s">
        <v>2</v>
      </c>
      <c r="F711" s="56" t="s">
        <v>2</v>
      </c>
    </row>
    <row r="712" spans="1:6" ht="13">
      <c r="A712" s="16">
        <v>345</v>
      </c>
      <c r="B712" s="20">
        <v>6197</v>
      </c>
      <c r="C712" s="20"/>
      <c r="D712">
        <f>koronahun!C2014</f>
        <v>0</v>
      </c>
      <c r="E712" s="56" t="s">
        <v>2</v>
      </c>
      <c r="F712" s="56" t="s">
        <v>2</v>
      </c>
    </row>
    <row r="713" spans="1:6" ht="13">
      <c r="A713" s="16">
        <v>346</v>
      </c>
      <c r="B713" s="20">
        <v>5047</v>
      </c>
      <c r="C713" s="20"/>
      <c r="D713">
        <f>koronahun!C2015</f>
        <v>0</v>
      </c>
      <c r="E713" s="56" t="s">
        <v>2</v>
      </c>
      <c r="F713" s="56" t="s">
        <v>2</v>
      </c>
    </row>
    <row r="714" spans="1:6" ht="13">
      <c r="A714" s="16">
        <v>347</v>
      </c>
      <c r="B714" s="20">
        <v>4153</v>
      </c>
      <c r="C714" s="20">
        <v>16017</v>
      </c>
      <c r="D714">
        <f>koronahun!C2016</f>
        <v>0</v>
      </c>
      <c r="E714" s="56" t="s">
        <v>2</v>
      </c>
      <c r="F714" s="56" t="s">
        <v>2</v>
      </c>
    </row>
    <row r="715" spans="1:6" ht="13">
      <c r="A715" s="16">
        <v>348</v>
      </c>
      <c r="B715" s="20">
        <v>3470</v>
      </c>
      <c r="C715" s="20">
        <v>3575</v>
      </c>
      <c r="D715">
        <f>koronahun!C2017</f>
        <v>0</v>
      </c>
      <c r="E715" s="56" t="s">
        <v>2</v>
      </c>
      <c r="F715" s="56" t="s">
        <v>2</v>
      </c>
    </row>
    <row r="716" spans="1:6" ht="13">
      <c r="A716" s="16">
        <v>349</v>
      </c>
      <c r="B716" s="20">
        <v>1893</v>
      </c>
      <c r="C716" s="20">
        <v>5506</v>
      </c>
      <c r="D716">
        <f>koronahun!C2018</f>
        <v>0</v>
      </c>
      <c r="E716" s="56" t="s">
        <v>2</v>
      </c>
      <c r="F716" s="56" t="s">
        <v>2</v>
      </c>
    </row>
    <row r="717" spans="1:6" ht="13">
      <c r="A717" s="16">
        <v>350</v>
      </c>
      <c r="B717" s="16">
        <v>2804</v>
      </c>
      <c r="C717" s="20">
        <v>5298</v>
      </c>
      <c r="D717">
        <f>koronahun!C2019</f>
        <v>0</v>
      </c>
      <c r="E717" s="56" t="s">
        <v>2</v>
      </c>
      <c r="F717" s="56" t="s">
        <v>2</v>
      </c>
    </row>
    <row r="718" spans="1:6" ht="13">
      <c r="A718" s="16">
        <v>351</v>
      </c>
      <c r="B718" s="20">
        <v>2982</v>
      </c>
      <c r="C718" s="20">
        <v>4977</v>
      </c>
      <c r="D718">
        <f>koronahun!C2020</f>
        <v>0</v>
      </c>
      <c r="E718" s="56" t="s">
        <v>2</v>
      </c>
      <c r="F718" s="56" t="s">
        <v>2</v>
      </c>
    </row>
    <row r="719" spans="1:6" ht="13">
      <c r="A719" s="16">
        <v>352</v>
      </c>
      <c r="B719" s="20">
        <v>4428</v>
      </c>
      <c r="C719" s="20"/>
      <c r="D719">
        <f>koronahun!C2021</f>
        <v>0</v>
      </c>
      <c r="E719" s="56" t="s">
        <v>2</v>
      </c>
      <c r="F719" s="56" t="s">
        <v>2</v>
      </c>
    </row>
    <row r="720" spans="1:6" ht="13">
      <c r="A720" s="16">
        <v>353</v>
      </c>
      <c r="B720" s="20">
        <v>4045</v>
      </c>
      <c r="C720" s="20"/>
      <c r="D720">
        <f>koronahun!C2022</f>
        <v>0</v>
      </c>
      <c r="E720" s="56" t="s">
        <v>2</v>
      </c>
      <c r="F720" s="56" t="s">
        <v>2</v>
      </c>
    </row>
    <row r="721" spans="1:6" ht="13">
      <c r="A721" s="16">
        <v>354</v>
      </c>
      <c r="B721" s="20">
        <v>2967</v>
      </c>
      <c r="C721" s="20">
        <v>10105</v>
      </c>
      <c r="D721">
        <f>koronahun!C2023</f>
        <v>0</v>
      </c>
      <c r="E721" s="56" t="s">
        <v>2</v>
      </c>
      <c r="F721" s="56" t="s">
        <v>2</v>
      </c>
    </row>
    <row r="722" spans="1:6" ht="13">
      <c r="A722" s="16">
        <v>355</v>
      </c>
      <c r="B722" s="20">
        <v>2141</v>
      </c>
      <c r="C722" s="20">
        <v>1985</v>
      </c>
      <c r="D722">
        <f>koronahun!C2024</f>
        <v>0</v>
      </c>
      <c r="E722" s="56" t="s">
        <v>2</v>
      </c>
      <c r="F722" s="56" t="s">
        <v>2</v>
      </c>
    </row>
    <row r="723" spans="1:6" ht="13">
      <c r="A723" s="16">
        <v>356</v>
      </c>
      <c r="B723" s="20">
        <v>1238</v>
      </c>
      <c r="C723" s="20">
        <v>3359</v>
      </c>
      <c r="D723">
        <f>koronahun!C2025</f>
        <v>0</v>
      </c>
      <c r="E723" s="56" t="s">
        <v>2</v>
      </c>
      <c r="F723" s="56" t="s">
        <v>2</v>
      </c>
    </row>
    <row r="724" spans="1:6" ht="13">
      <c r="A724" s="16">
        <v>357</v>
      </c>
      <c r="B724" s="20">
        <v>1894</v>
      </c>
      <c r="C724" s="20">
        <v>3586</v>
      </c>
      <c r="D724">
        <f>koronahun!C2026</f>
        <v>0</v>
      </c>
      <c r="E724" s="56" t="s">
        <v>2</v>
      </c>
      <c r="F724" s="56" t="s">
        <v>2</v>
      </c>
    </row>
    <row r="725" spans="1:6" ht="13">
      <c r="A725" s="16">
        <v>358</v>
      </c>
      <c r="B725" s="20">
        <v>3292</v>
      </c>
      <c r="C725" s="20"/>
      <c r="D725">
        <f>koronahun!C2027</f>
        <v>0</v>
      </c>
      <c r="E725" s="56" t="s">
        <v>2</v>
      </c>
      <c r="F725" s="56" t="s">
        <v>2</v>
      </c>
    </row>
    <row r="726" spans="1:6" ht="13">
      <c r="A726" s="16">
        <v>359</v>
      </c>
      <c r="B726" s="20">
        <v>2610</v>
      </c>
      <c r="C726" s="20"/>
      <c r="D726">
        <f>koronahun!C2028</f>
        <v>0</v>
      </c>
      <c r="E726" s="56" t="s">
        <v>2</v>
      </c>
      <c r="F726" s="56" t="s">
        <v>2</v>
      </c>
    </row>
    <row r="727" spans="1:6" ht="13">
      <c r="A727" s="16">
        <v>360</v>
      </c>
      <c r="B727" s="20">
        <v>1198</v>
      </c>
      <c r="C727" s="20"/>
      <c r="D727">
        <f>koronahun!C2029</f>
        <v>0</v>
      </c>
      <c r="E727" s="56" t="s">
        <v>2</v>
      </c>
      <c r="F727" s="56" t="s">
        <v>2</v>
      </c>
    </row>
    <row r="728" spans="1:6" ht="13">
      <c r="A728" s="16">
        <v>361</v>
      </c>
      <c r="B728" s="20">
        <v>698</v>
      </c>
      <c r="C728" s="20">
        <v>7989</v>
      </c>
      <c r="D728">
        <f>koronahun!C2030</f>
        <v>0</v>
      </c>
      <c r="E728" s="56" t="s">
        <v>2</v>
      </c>
      <c r="F728" s="56" t="s">
        <v>2</v>
      </c>
    </row>
    <row r="729" spans="1:6" ht="13">
      <c r="A729" s="16">
        <v>362</v>
      </c>
      <c r="B729" s="20">
        <v>609</v>
      </c>
      <c r="C729" s="20">
        <v>1370</v>
      </c>
      <c r="D729">
        <f>koronahun!C2031</f>
        <v>0</v>
      </c>
      <c r="E729" s="56" t="s">
        <v>2</v>
      </c>
      <c r="F729" s="56" t="s">
        <v>2</v>
      </c>
    </row>
    <row r="730" spans="1:6" ht="13">
      <c r="A730" s="16">
        <v>363</v>
      </c>
      <c r="B730" s="20">
        <v>902</v>
      </c>
      <c r="C730" s="20">
        <v>3005</v>
      </c>
      <c r="D730">
        <f>koronahun!C2032</f>
        <v>0</v>
      </c>
      <c r="E730" s="56" t="s">
        <v>2</v>
      </c>
      <c r="F730" s="56" t="s">
        <v>2</v>
      </c>
    </row>
    <row r="731" spans="1:6" ht="13">
      <c r="A731" s="16">
        <v>364</v>
      </c>
      <c r="B731" s="20">
        <v>1972</v>
      </c>
      <c r="C731" s="20">
        <v>3361</v>
      </c>
      <c r="D731">
        <f>koronahun!C2033</f>
        <v>0</v>
      </c>
      <c r="E731" s="56" t="s">
        <v>2</v>
      </c>
      <c r="F731" s="56" t="s">
        <v>2</v>
      </c>
    </row>
    <row r="732" spans="1:6" ht="13">
      <c r="A732" s="16">
        <v>365</v>
      </c>
      <c r="B732" s="20">
        <v>2971</v>
      </c>
      <c r="C732" s="20">
        <v>3360</v>
      </c>
      <c r="D732">
        <f>koronahun!C2034</f>
        <v>0</v>
      </c>
      <c r="E732" s="56" t="s">
        <v>2</v>
      </c>
      <c r="F732" s="56" t="s">
        <v>2</v>
      </c>
    </row>
    <row r="733" spans="1:6" ht="13">
      <c r="A733" s="16">
        <v>366</v>
      </c>
      <c r="D733">
        <f>koronahun!C2035</f>
        <v>0</v>
      </c>
      <c r="E733" s="56" t="s">
        <v>2</v>
      </c>
      <c r="F733" s="56" t="s">
        <v>2</v>
      </c>
    </row>
    <row r="734" spans="1:6" ht="13">
      <c r="A734" s="16">
        <v>1</v>
      </c>
      <c r="C734" s="16">
        <v>119.14285714285714</v>
      </c>
      <c r="D734">
        <f>koronahun!AD670</f>
        <v>0</v>
      </c>
      <c r="E734" s="56" t="s">
        <v>70</v>
      </c>
      <c r="F734" s="56" t="s">
        <v>70</v>
      </c>
    </row>
    <row r="735" spans="1:6" ht="13">
      <c r="A735" s="16">
        <v>2</v>
      </c>
      <c r="C735" s="16">
        <v>118.57142857142857</v>
      </c>
      <c r="D735">
        <f>koronahun!AD671</f>
        <v>0</v>
      </c>
      <c r="E735" s="56" t="s">
        <v>70</v>
      </c>
      <c r="F735" s="56" t="s">
        <v>70</v>
      </c>
    </row>
    <row r="736" spans="1:6" ht="13">
      <c r="A736" s="16">
        <v>3</v>
      </c>
      <c r="C736" s="16">
        <v>119.57142857142857</v>
      </c>
      <c r="D736" s="57">
        <f>koronahun!AD672</f>
        <v>98.714285714285708</v>
      </c>
      <c r="E736" s="56" t="s">
        <v>70</v>
      </c>
      <c r="F736" s="56" t="s">
        <v>70</v>
      </c>
    </row>
    <row r="737" spans="1:6" ht="13">
      <c r="A737" s="16">
        <v>4</v>
      </c>
      <c r="C737" s="16">
        <v>116.57142857142857</v>
      </c>
      <c r="D737" s="57">
        <f>koronahun!AD673</f>
        <v>89</v>
      </c>
      <c r="E737" s="56" t="s">
        <v>70</v>
      </c>
      <c r="F737" s="56" t="s">
        <v>70</v>
      </c>
    </row>
    <row r="738" spans="1:6" ht="13">
      <c r="A738" s="16">
        <v>5</v>
      </c>
      <c r="C738" s="16">
        <v>112.57142857142857</v>
      </c>
      <c r="D738" s="57">
        <f>koronahun!AD674</f>
        <v>84.285714285714292</v>
      </c>
      <c r="E738" s="56" t="s">
        <v>70</v>
      </c>
      <c r="F738" s="56" t="s">
        <v>70</v>
      </c>
    </row>
    <row r="739" spans="1:6" ht="13">
      <c r="A739" s="16">
        <v>6</v>
      </c>
      <c r="C739" s="16">
        <v>109.85714285714286</v>
      </c>
      <c r="D739" s="57">
        <f>koronahun!AD675</f>
        <v>82.142857142857139</v>
      </c>
      <c r="E739" s="56" t="s">
        <v>70</v>
      </c>
      <c r="F739" s="56" t="s">
        <v>70</v>
      </c>
    </row>
    <row r="740" spans="1:6" ht="13">
      <c r="A740" s="16">
        <v>7</v>
      </c>
      <c r="C740" s="16">
        <v>112.57142857142857</v>
      </c>
      <c r="D740" s="57">
        <f>koronahun!AD676</f>
        <v>84.857142857142861</v>
      </c>
      <c r="E740" s="56" t="s">
        <v>70</v>
      </c>
      <c r="F740" s="56" t="s">
        <v>70</v>
      </c>
    </row>
    <row r="741" spans="1:6" ht="13">
      <c r="A741" s="16">
        <v>8</v>
      </c>
      <c r="C741" s="16">
        <v>110.42857142857143</v>
      </c>
      <c r="D741">
        <f>koronahun!AD677</f>
        <v>0</v>
      </c>
      <c r="E741" s="56" t="s">
        <v>70</v>
      </c>
      <c r="F741" s="56" t="s">
        <v>70</v>
      </c>
    </row>
    <row r="742" spans="1:6" ht="13">
      <c r="A742" s="16">
        <v>9</v>
      </c>
      <c r="C742" s="16">
        <v>110.42857142857143</v>
      </c>
      <c r="D742">
        <f>koronahun!AD678</f>
        <v>0</v>
      </c>
      <c r="E742" s="56" t="s">
        <v>70</v>
      </c>
      <c r="F742" s="56" t="s">
        <v>70</v>
      </c>
    </row>
    <row r="743" spans="1:6" ht="13">
      <c r="A743" s="16">
        <v>10</v>
      </c>
      <c r="C743" s="16">
        <v>109.14285714285714</v>
      </c>
      <c r="D743" s="57">
        <f>koronahun!AD679</f>
        <v>73.285714285714292</v>
      </c>
      <c r="E743" s="56" t="s">
        <v>70</v>
      </c>
      <c r="F743" s="56" t="s">
        <v>70</v>
      </c>
    </row>
    <row r="744" spans="1:6" ht="13">
      <c r="A744" s="16">
        <v>11</v>
      </c>
      <c r="C744" s="16">
        <v>106.85714285714286</v>
      </c>
      <c r="D744" s="57">
        <f>koronahun!AD680</f>
        <v>71.285714285714292</v>
      </c>
      <c r="E744" s="56" t="s">
        <v>70</v>
      </c>
      <c r="F744" s="56" t="s">
        <v>70</v>
      </c>
    </row>
    <row r="745" spans="1:6" ht="13">
      <c r="A745" s="16">
        <v>12</v>
      </c>
      <c r="C745" s="16">
        <v>110.42857142857143</v>
      </c>
      <c r="D745" s="57">
        <f>koronahun!AD681</f>
        <v>69.142857142857139</v>
      </c>
      <c r="E745" s="56" t="s">
        <v>70</v>
      </c>
      <c r="F745" s="56" t="s">
        <v>70</v>
      </c>
    </row>
    <row r="746" spans="1:6" ht="13">
      <c r="A746" s="16">
        <v>13</v>
      </c>
      <c r="C746" s="16">
        <v>107.14285714285714</v>
      </c>
      <c r="D746" s="57">
        <f>koronahun!AD682</f>
        <v>69.285714285714292</v>
      </c>
      <c r="E746" s="56" t="s">
        <v>70</v>
      </c>
      <c r="F746" s="56" t="s">
        <v>70</v>
      </c>
    </row>
    <row r="747" spans="1:6" ht="13">
      <c r="A747" s="16">
        <v>14</v>
      </c>
      <c r="C747" s="16">
        <v>105.85714285714286</v>
      </c>
      <c r="D747" s="57">
        <f>koronahun!AD683</f>
        <v>65.285714285714292</v>
      </c>
      <c r="E747" s="56" t="s">
        <v>70</v>
      </c>
      <c r="F747" s="56" t="s">
        <v>70</v>
      </c>
    </row>
    <row r="748" spans="1:6" ht="13">
      <c r="A748" s="16">
        <v>15</v>
      </c>
      <c r="C748" s="16">
        <v>105.28571428571429</v>
      </c>
      <c r="D748">
        <f>koronahun!AD684</f>
        <v>0</v>
      </c>
      <c r="E748" s="56" t="s">
        <v>70</v>
      </c>
      <c r="F748" s="56" t="s">
        <v>70</v>
      </c>
    </row>
    <row r="749" spans="1:6" ht="13">
      <c r="A749" s="16">
        <v>16</v>
      </c>
      <c r="C749" s="16">
        <v>101.42857142857143</v>
      </c>
      <c r="D749">
        <f>koronahun!AD685</f>
        <v>0</v>
      </c>
      <c r="E749" s="56" t="s">
        <v>70</v>
      </c>
      <c r="F749" s="56" t="s">
        <v>70</v>
      </c>
    </row>
    <row r="750" spans="1:6" ht="13">
      <c r="A750" s="16">
        <v>17</v>
      </c>
      <c r="C750" s="16">
        <v>99</v>
      </c>
      <c r="D750" s="57">
        <f>koronahun!AD686</f>
        <v>80</v>
      </c>
      <c r="E750" s="56" t="s">
        <v>70</v>
      </c>
      <c r="F750" s="56" t="s">
        <v>70</v>
      </c>
    </row>
    <row r="751" spans="1:6" ht="13">
      <c r="A751" s="16">
        <v>18</v>
      </c>
      <c r="C751" s="16">
        <v>97.714285714285708</v>
      </c>
      <c r="D751" s="57">
        <f>koronahun!AD687</f>
        <v>83.571428571428569</v>
      </c>
      <c r="E751" s="56" t="s">
        <v>70</v>
      </c>
      <c r="F751" s="56" t="s">
        <v>70</v>
      </c>
    </row>
    <row r="752" spans="1:6" ht="13">
      <c r="A752" s="16">
        <v>19</v>
      </c>
      <c r="C752" s="16">
        <v>95.285714285714292</v>
      </c>
      <c r="D752" s="57">
        <f>koronahun!AD688</f>
        <v>86.142857142857139</v>
      </c>
      <c r="E752" s="56" t="s">
        <v>70</v>
      </c>
      <c r="F752" s="56" t="s">
        <v>70</v>
      </c>
    </row>
    <row r="753" spans="1:6" ht="13">
      <c r="A753" s="16">
        <v>20</v>
      </c>
      <c r="C753" s="16">
        <v>95.285714285714292</v>
      </c>
      <c r="D753" s="57">
        <f>koronahun!AD689</f>
        <v>84.714285714285708</v>
      </c>
      <c r="E753" s="56" t="s">
        <v>70</v>
      </c>
      <c r="F753" s="56" t="s">
        <v>70</v>
      </c>
    </row>
    <row r="754" spans="1:6" ht="13">
      <c r="A754" s="16">
        <v>21</v>
      </c>
      <c r="C754" s="16">
        <v>92.428571428571431</v>
      </c>
      <c r="D754" s="57">
        <f>koronahun!AD690</f>
        <v>83.571428571428569</v>
      </c>
      <c r="E754" s="56" t="s">
        <v>70</v>
      </c>
      <c r="F754" s="56" t="s">
        <v>70</v>
      </c>
    </row>
    <row r="755" spans="1:6" ht="13">
      <c r="A755" s="16">
        <v>22</v>
      </c>
      <c r="C755" s="16">
        <v>90.571428571428569</v>
      </c>
      <c r="D755">
        <f>koronahun!AD691</f>
        <v>0</v>
      </c>
      <c r="E755" s="56" t="s">
        <v>70</v>
      </c>
      <c r="F755" s="56" t="s">
        <v>70</v>
      </c>
    </row>
    <row r="756" spans="1:6" ht="13">
      <c r="A756" s="16">
        <v>23</v>
      </c>
      <c r="C756" s="16">
        <v>91.428571428571431</v>
      </c>
      <c r="D756">
        <f>koronahun!AD692</f>
        <v>0</v>
      </c>
      <c r="E756" s="56" t="s">
        <v>70</v>
      </c>
      <c r="F756" s="56" t="s">
        <v>70</v>
      </c>
    </row>
    <row r="757" spans="1:6" ht="13">
      <c r="A757" s="16">
        <v>24</v>
      </c>
      <c r="C757" s="16">
        <v>89.571428571428569</v>
      </c>
      <c r="D757" s="57">
        <f>koronahun!AD693</f>
        <v>62.428571428571431</v>
      </c>
      <c r="E757" s="56" t="s">
        <v>70</v>
      </c>
      <c r="F757" s="56" t="s">
        <v>70</v>
      </c>
    </row>
    <row r="758" spans="1:6" ht="13">
      <c r="A758" s="16">
        <v>25</v>
      </c>
      <c r="C758" s="16">
        <v>87.857142857142861</v>
      </c>
      <c r="D758" s="57">
        <f>koronahun!AD694</f>
        <v>59.571428571428569</v>
      </c>
      <c r="E758" s="56" t="s">
        <v>70</v>
      </c>
      <c r="F758" s="56" t="s">
        <v>70</v>
      </c>
    </row>
    <row r="759" spans="1:6" ht="13">
      <c r="A759" s="16">
        <v>26</v>
      </c>
      <c r="C759" s="16">
        <v>84.714285714285708</v>
      </c>
      <c r="D759" s="57">
        <f>koronahun!AD695</f>
        <v>57.285714285714285</v>
      </c>
      <c r="E759" s="56" t="s">
        <v>70</v>
      </c>
      <c r="F759" s="56" t="s">
        <v>70</v>
      </c>
    </row>
    <row r="760" spans="1:6" ht="13">
      <c r="A760" s="16">
        <v>27</v>
      </c>
      <c r="C760" s="16">
        <v>83.285714285714292</v>
      </c>
      <c r="D760" s="57">
        <f>koronahun!AD696</f>
        <v>56.285714285714285</v>
      </c>
      <c r="E760" s="56" t="s">
        <v>70</v>
      </c>
      <c r="F760" s="56" t="s">
        <v>70</v>
      </c>
    </row>
    <row r="761" spans="1:6" ht="13">
      <c r="A761" s="16">
        <v>28</v>
      </c>
      <c r="C761" s="16">
        <v>82.571428571428569</v>
      </c>
      <c r="D761" s="57">
        <f>koronahun!AD697</f>
        <v>58.142857142857146</v>
      </c>
      <c r="E761" s="56" t="s">
        <v>70</v>
      </c>
      <c r="F761" s="56" t="s">
        <v>70</v>
      </c>
    </row>
    <row r="762" spans="1:6" ht="13">
      <c r="A762" s="16">
        <v>29</v>
      </c>
      <c r="C762" s="16">
        <v>80.428571428571431</v>
      </c>
      <c r="D762">
        <f>koronahun!AD698</f>
        <v>0</v>
      </c>
      <c r="E762" s="56" t="s">
        <v>70</v>
      </c>
      <c r="F762" s="56" t="s">
        <v>70</v>
      </c>
    </row>
    <row r="763" spans="1:6" ht="13">
      <c r="A763" s="16">
        <v>30</v>
      </c>
      <c r="C763" s="16">
        <v>79.857142857142861</v>
      </c>
      <c r="D763">
        <f>koronahun!AD699</f>
        <v>0</v>
      </c>
      <c r="E763" s="56" t="s">
        <v>70</v>
      </c>
      <c r="F763" s="56" t="s">
        <v>70</v>
      </c>
    </row>
    <row r="764" spans="1:6" ht="13">
      <c r="A764" s="16">
        <v>31</v>
      </c>
      <c r="C764" s="16">
        <v>79.428571428571431</v>
      </c>
      <c r="D764" s="57">
        <f>koronahun!AD700</f>
        <v>65.857142857142861</v>
      </c>
      <c r="E764" s="56" t="s">
        <v>70</v>
      </c>
      <c r="F764" s="56" t="s">
        <v>70</v>
      </c>
    </row>
    <row r="765" spans="1:6" ht="13">
      <c r="A765" s="16">
        <v>32</v>
      </c>
      <c r="C765" s="16">
        <v>79.142857142857139</v>
      </c>
      <c r="D765" s="57">
        <f>koronahun!AD701</f>
        <v>64.714285714285708</v>
      </c>
      <c r="E765" s="56" t="s">
        <v>70</v>
      </c>
      <c r="F765" s="56" t="s">
        <v>70</v>
      </c>
    </row>
    <row r="766" spans="1:6" ht="13">
      <c r="A766" s="16">
        <v>33</v>
      </c>
      <c r="C766" s="16">
        <v>77.571428571428569</v>
      </c>
      <c r="D766" s="57">
        <f>koronahun!AD702</f>
        <v>65.857142857142861</v>
      </c>
      <c r="E766" s="56" t="s">
        <v>70</v>
      </c>
      <c r="F766" s="56" t="s">
        <v>70</v>
      </c>
    </row>
    <row r="767" spans="1:6" ht="13">
      <c r="A767" s="16">
        <v>34</v>
      </c>
      <c r="C767" s="16">
        <v>77.285714285714292</v>
      </c>
      <c r="D767" s="57">
        <f>koronahun!AD703</f>
        <v>69.285714285714292</v>
      </c>
      <c r="E767" s="56" t="s">
        <v>70</v>
      </c>
      <c r="F767" s="56" t="s">
        <v>70</v>
      </c>
    </row>
    <row r="768" spans="1:6" ht="13">
      <c r="A768" s="16">
        <v>35</v>
      </c>
      <c r="C768" s="16">
        <v>77.285714285714292</v>
      </c>
      <c r="D768" s="57">
        <f>koronahun!AD704</f>
        <v>73.142857142857139</v>
      </c>
      <c r="E768" s="56" t="s">
        <v>70</v>
      </c>
      <c r="F768" s="56" t="s">
        <v>70</v>
      </c>
    </row>
    <row r="769" spans="1:6" ht="13">
      <c r="A769" s="16">
        <v>36</v>
      </c>
      <c r="C769" s="16">
        <v>79.428571428571431</v>
      </c>
      <c r="D769">
        <f>koronahun!AD705</f>
        <v>0</v>
      </c>
      <c r="E769" s="56" t="s">
        <v>70</v>
      </c>
      <c r="F769" s="56" t="s">
        <v>70</v>
      </c>
    </row>
    <row r="770" spans="1:6" ht="13">
      <c r="A770" s="16">
        <v>37</v>
      </c>
      <c r="C770" s="16">
        <v>80.428571428571431</v>
      </c>
      <c r="D770">
        <f>koronahun!AD706</f>
        <v>0</v>
      </c>
      <c r="E770" s="56" t="s">
        <v>70</v>
      </c>
      <c r="F770" s="56" t="s">
        <v>70</v>
      </c>
    </row>
    <row r="771" spans="1:6" ht="13">
      <c r="A771" s="16">
        <v>38</v>
      </c>
      <c r="C771" s="16">
        <v>80.857142857142861</v>
      </c>
      <c r="D771" s="57">
        <f>koronahun!AD707</f>
        <v>81.428571428571431</v>
      </c>
      <c r="E771" s="56" t="s">
        <v>70</v>
      </c>
      <c r="F771" s="56" t="s">
        <v>70</v>
      </c>
    </row>
    <row r="772" spans="1:6" ht="13">
      <c r="A772" s="16">
        <v>39</v>
      </c>
      <c r="C772" s="16">
        <v>82.428571428571431</v>
      </c>
      <c r="D772" s="57">
        <f>koronahun!AD708</f>
        <v>85.428571428571431</v>
      </c>
      <c r="E772" s="56" t="s">
        <v>70</v>
      </c>
      <c r="F772" s="56" t="s">
        <v>70</v>
      </c>
    </row>
    <row r="773" spans="1:6" ht="13">
      <c r="A773" s="16">
        <v>40</v>
      </c>
      <c r="C773" s="16">
        <v>84.714285714285708</v>
      </c>
      <c r="D773" s="57">
        <f>koronahun!AD709</f>
        <v>88.857142857142861</v>
      </c>
      <c r="E773" s="56" t="s">
        <v>70</v>
      </c>
      <c r="F773" s="56" t="s">
        <v>70</v>
      </c>
    </row>
    <row r="774" spans="1:6" ht="13">
      <c r="A774" s="16">
        <v>41</v>
      </c>
      <c r="C774" s="16">
        <v>86.857142857142861</v>
      </c>
      <c r="D774" s="57">
        <f>koronahun!AD710</f>
        <v>90.428571428571431</v>
      </c>
      <c r="E774" s="56" t="s">
        <v>70</v>
      </c>
      <c r="F774" s="56" t="s">
        <v>70</v>
      </c>
    </row>
    <row r="775" spans="1:6" ht="13">
      <c r="A775" s="16">
        <v>42</v>
      </c>
      <c r="C775" s="16">
        <v>87.428571428571431</v>
      </c>
      <c r="D775" s="57">
        <f>koronahun!AD711</f>
        <v>88.428571428571431</v>
      </c>
      <c r="E775" s="56" t="s">
        <v>70</v>
      </c>
      <c r="F775" s="56" t="s">
        <v>70</v>
      </c>
    </row>
    <row r="776" spans="1:6" ht="13">
      <c r="A776" s="16">
        <v>43</v>
      </c>
      <c r="C776" s="16">
        <v>87.571428571428569</v>
      </c>
      <c r="D776">
        <f>koronahun!AD712</f>
        <v>0</v>
      </c>
      <c r="E776" s="56" t="s">
        <v>70</v>
      </c>
      <c r="F776" s="56" t="s">
        <v>70</v>
      </c>
    </row>
    <row r="777" spans="1:6" ht="13">
      <c r="A777" s="16">
        <v>44</v>
      </c>
      <c r="C777" s="16">
        <v>87.142857142857139</v>
      </c>
      <c r="D777">
        <f>koronahun!AD713</f>
        <v>0</v>
      </c>
      <c r="E777" s="56" t="s">
        <v>70</v>
      </c>
      <c r="F777" s="56" t="s">
        <v>70</v>
      </c>
    </row>
    <row r="778" spans="1:6" ht="13">
      <c r="A778" s="16">
        <v>45</v>
      </c>
      <c r="C778" s="16">
        <v>88</v>
      </c>
      <c r="D778" s="57">
        <f>koronahun!AD714</f>
        <v>93.714285714285708</v>
      </c>
      <c r="E778" s="56" t="s">
        <v>70</v>
      </c>
      <c r="F778" s="56" t="s">
        <v>70</v>
      </c>
    </row>
    <row r="779" spans="1:6" ht="13">
      <c r="A779" s="16">
        <v>46</v>
      </c>
      <c r="C779" s="16">
        <v>85.285714285714292</v>
      </c>
      <c r="D779" s="57">
        <f>koronahun!AD715</f>
        <v>97.857142857142861</v>
      </c>
      <c r="E779" s="56" t="s">
        <v>70</v>
      </c>
      <c r="F779" s="56" t="s">
        <v>70</v>
      </c>
    </row>
    <row r="780" spans="1:6" ht="13">
      <c r="A780" s="16">
        <v>47</v>
      </c>
      <c r="C780" s="16">
        <v>84</v>
      </c>
      <c r="D780" s="57">
        <f>koronahun!AD716</f>
        <v>97.285714285714292</v>
      </c>
      <c r="E780" s="56" t="s">
        <v>70</v>
      </c>
      <c r="F780" s="56" t="s">
        <v>70</v>
      </c>
    </row>
    <row r="781" spans="1:6" ht="13">
      <c r="A781" s="16">
        <v>48</v>
      </c>
      <c r="C781" s="16">
        <v>83.428571428571431</v>
      </c>
      <c r="D781" s="57">
        <f>koronahun!AD717</f>
        <v>99.571428571428569</v>
      </c>
      <c r="E781" s="56" t="s">
        <v>70</v>
      </c>
      <c r="F781" s="56" t="s">
        <v>70</v>
      </c>
    </row>
    <row r="782" spans="1:6" ht="13">
      <c r="A782" s="16">
        <v>49</v>
      </c>
      <c r="C782" s="16">
        <v>84.428571428571431</v>
      </c>
      <c r="D782" s="57">
        <f>koronahun!AD718</f>
        <v>100.85714285714286</v>
      </c>
      <c r="E782" s="56" t="s">
        <v>70</v>
      </c>
      <c r="F782" s="56" t="s">
        <v>70</v>
      </c>
    </row>
    <row r="783" spans="1:6" ht="13">
      <c r="A783" s="16">
        <v>50</v>
      </c>
      <c r="C783" s="16">
        <v>86</v>
      </c>
      <c r="D783">
        <f>koronahun!AD719</f>
        <v>0</v>
      </c>
      <c r="E783" s="56" t="s">
        <v>70</v>
      </c>
      <c r="F783" s="56" t="s">
        <v>70</v>
      </c>
    </row>
    <row r="784" spans="1:6" ht="13">
      <c r="A784" s="16">
        <v>51</v>
      </c>
      <c r="C784" s="16">
        <v>88</v>
      </c>
      <c r="D784">
        <f>koronahun!AD720</f>
        <v>0</v>
      </c>
      <c r="E784" s="56" t="s">
        <v>70</v>
      </c>
      <c r="F784" s="56" t="s">
        <v>70</v>
      </c>
    </row>
    <row r="785" spans="1:6" ht="13">
      <c r="A785" s="16">
        <v>52</v>
      </c>
      <c r="C785" s="16">
        <v>84.714285714285708</v>
      </c>
      <c r="D785" s="57">
        <f>koronahun!AD721</f>
        <v>95.428571428571431</v>
      </c>
      <c r="E785" s="56" t="s">
        <v>70</v>
      </c>
      <c r="F785" s="56" t="s">
        <v>70</v>
      </c>
    </row>
    <row r="786" spans="1:6" ht="13">
      <c r="A786" s="16">
        <v>53</v>
      </c>
      <c r="C786" s="16">
        <v>85</v>
      </c>
      <c r="D786" s="57">
        <f>koronahun!AD722</f>
        <v>96.571428571428569</v>
      </c>
      <c r="E786" s="56" t="s">
        <v>70</v>
      </c>
      <c r="F786" s="56" t="s">
        <v>70</v>
      </c>
    </row>
    <row r="787" spans="1:6" ht="13">
      <c r="A787" s="16">
        <v>54</v>
      </c>
      <c r="C787" s="16">
        <v>87.571428571428569</v>
      </c>
      <c r="D787" s="57">
        <f>koronahun!AD723</f>
        <v>101.57142857142857</v>
      </c>
      <c r="E787" s="56" t="s">
        <v>70</v>
      </c>
      <c r="F787" s="56" t="s">
        <v>70</v>
      </c>
    </row>
    <row r="788" spans="1:6" ht="13">
      <c r="A788" s="16">
        <v>55</v>
      </c>
      <c r="C788" s="16">
        <v>88.714285714285708</v>
      </c>
      <c r="D788" s="57">
        <f>koronahun!AD724</f>
        <v>99.714285714285708</v>
      </c>
      <c r="E788" s="56" t="s">
        <v>70</v>
      </c>
      <c r="F788" s="56" t="s">
        <v>70</v>
      </c>
    </row>
    <row r="789" spans="1:6" ht="13">
      <c r="A789" s="16">
        <v>56</v>
      </c>
      <c r="C789" s="16">
        <v>91</v>
      </c>
      <c r="D789" s="57">
        <f>koronahun!AD725</f>
        <v>98</v>
      </c>
      <c r="E789" s="56" t="s">
        <v>70</v>
      </c>
      <c r="F789" s="56" t="s">
        <v>70</v>
      </c>
    </row>
    <row r="790" spans="1:6" ht="13">
      <c r="A790" s="16">
        <v>57</v>
      </c>
      <c r="C790" s="16">
        <v>92.857142857142861</v>
      </c>
      <c r="D790">
        <f>koronahun!AD726</f>
        <v>0</v>
      </c>
      <c r="E790" s="56" t="s">
        <v>70</v>
      </c>
      <c r="F790" s="56" t="s">
        <v>70</v>
      </c>
    </row>
    <row r="791" spans="1:6" ht="13">
      <c r="A791" s="16">
        <v>58</v>
      </c>
      <c r="C791" s="16">
        <v>92.857142857142861</v>
      </c>
      <c r="D791">
        <f>koronahun!AD727</f>
        <v>0</v>
      </c>
      <c r="E791" s="56" t="s">
        <v>70</v>
      </c>
      <c r="F791" s="56" t="s">
        <v>70</v>
      </c>
    </row>
    <row r="792" spans="1:6" ht="13">
      <c r="A792" s="16">
        <v>59</v>
      </c>
      <c r="C792" s="16">
        <v>96.428571428571431</v>
      </c>
      <c r="D792" s="57">
        <f>koronahun!AD728</f>
        <v>92.857142857142861</v>
      </c>
      <c r="E792" s="56" t="s">
        <v>70</v>
      </c>
      <c r="F792" s="56" t="s">
        <v>70</v>
      </c>
    </row>
    <row r="793" spans="1:6" ht="13">
      <c r="A793" s="16">
        <v>60</v>
      </c>
      <c r="C793" s="16">
        <v>101.57142857142857</v>
      </c>
      <c r="D793" s="57">
        <f>koronahun!AD729</f>
        <v>88.714285714285708</v>
      </c>
      <c r="E793" s="56" t="s">
        <v>70</v>
      </c>
      <c r="F793" s="56" t="s">
        <v>70</v>
      </c>
    </row>
    <row r="794" spans="1:6" ht="13">
      <c r="A794" s="16">
        <v>61</v>
      </c>
      <c r="C794" s="16">
        <v>105.42857142857143</v>
      </c>
      <c r="D794" s="57">
        <f>koronahun!AD730</f>
        <v>81.714285714285708</v>
      </c>
      <c r="E794" s="56" t="s">
        <v>70</v>
      </c>
      <c r="F794" s="56" t="s">
        <v>70</v>
      </c>
    </row>
    <row r="795" spans="1:6" ht="13">
      <c r="A795" s="16">
        <v>62</v>
      </c>
      <c r="C795" s="16">
        <v>110.28571428571429</v>
      </c>
      <c r="D795" s="57">
        <f>koronahun!AD731</f>
        <v>78.142857142857139</v>
      </c>
      <c r="E795" s="56" t="s">
        <v>70</v>
      </c>
      <c r="F795" s="56" t="s">
        <v>70</v>
      </c>
    </row>
    <row r="796" spans="1:6" ht="13">
      <c r="A796" s="16">
        <v>63</v>
      </c>
      <c r="C796" s="16">
        <v>114.85714285714286</v>
      </c>
      <c r="D796" s="57">
        <f>koronahun!AD732</f>
        <v>76.285714285714292</v>
      </c>
      <c r="E796" s="56" t="s">
        <v>70</v>
      </c>
      <c r="F796" s="56" t="s">
        <v>70</v>
      </c>
    </row>
    <row r="797" spans="1:6" ht="13">
      <c r="A797" s="16">
        <v>64</v>
      </c>
      <c r="C797" s="16">
        <v>117.71428571428571</v>
      </c>
      <c r="D797">
        <f>koronahun!AD733</f>
        <v>0</v>
      </c>
      <c r="E797" s="56" t="s">
        <v>70</v>
      </c>
      <c r="F797" s="56" t="s">
        <v>70</v>
      </c>
    </row>
    <row r="798" spans="1:6" ht="13">
      <c r="A798" s="16">
        <v>65</v>
      </c>
      <c r="C798" s="16">
        <v>123.28571428571429</v>
      </c>
      <c r="D798">
        <f>koronahun!AD734</f>
        <v>0</v>
      </c>
      <c r="E798" s="56" t="s">
        <v>70</v>
      </c>
      <c r="F798" s="56" t="s">
        <v>70</v>
      </c>
    </row>
    <row r="799" spans="1:6" ht="13">
      <c r="A799" s="16">
        <v>66</v>
      </c>
      <c r="C799" s="16">
        <v>128.42857142857142</v>
      </c>
      <c r="D799" s="57">
        <f>koronahun!AD735</f>
        <v>69.571428571428569</v>
      </c>
      <c r="E799" s="56" t="s">
        <v>70</v>
      </c>
      <c r="F799" s="56" t="s">
        <v>70</v>
      </c>
    </row>
    <row r="800" spans="1:6" ht="13">
      <c r="A800" s="16">
        <v>67</v>
      </c>
      <c r="C800" s="16">
        <v>132.85714285714286</v>
      </c>
      <c r="D800" s="57">
        <f>koronahun!AD736</f>
        <v>63.428571428571431</v>
      </c>
      <c r="E800" s="56" t="s">
        <v>70</v>
      </c>
      <c r="F800" s="56" t="s">
        <v>70</v>
      </c>
    </row>
    <row r="801" spans="1:6" ht="13">
      <c r="A801" s="16">
        <v>68</v>
      </c>
      <c r="C801" s="16">
        <v>136.85714285714286</v>
      </c>
      <c r="D801" s="57">
        <f>koronahun!AD737</f>
        <v>59.285714285714285</v>
      </c>
      <c r="E801" s="56" t="s">
        <v>70</v>
      </c>
      <c r="F801" s="56" t="s">
        <v>70</v>
      </c>
    </row>
    <row r="802" spans="1:6" ht="13">
      <c r="A802" s="16">
        <v>69</v>
      </c>
      <c r="B802" s="16"/>
      <c r="C802" s="16">
        <v>143</v>
      </c>
      <c r="D802" s="57">
        <f>koronahun!AD738</f>
        <v>56</v>
      </c>
      <c r="E802" s="56" t="s">
        <v>70</v>
      </c>
      <c r="F802" s="56" t="s">
        <v>70</v>
      </c>
    </row>
    <row r="803" spans="1:6" ht="13">
      <c r="A803" s="16">
        <v>70</v>
      </c>
      <c r="B803" s="16"/>
      <c r="C803" s="16">
        <v>145.85714285714286</v>
      </c>
      <c r="D803" s="57">
        <f>koronahun!AD739</f>
        <v>52.428571428571431</v>
      </c>
      <c r="E803" s="56" t="s">
        <v>70</v>
      </c>
      <c r="F803" s="56" t="s">
        <v>70</v>
      </c>
    </row>
    <row r="804" spans="1:6" ht="13">
      <c r="A804" s="16">
        <v>71</v>
      </c>
      <c r="B804" s="16"/>
      <c r="C804" s="16">
        <v>144</v>
      </c>
      <c r="D804">
        <f>koronahun!AD740</f>
        <v>0</v>
      </c>
      <c r="E804" s="56" t="s">
        <v>70</v>
      </c>
      <c r="F804" s="56" t="s">
        <v>70</v>
      </c>
    </row>
    <row r="805" spans="1:6" ht="13">
      <c r="A805" s="16">
        <v>72</v>
      </c>
      <c r="B805" s="16"/>
      <c r="C805" s="16">
        <v>146.42857142857142</v>
      </c>
      <c r="D805">
        <f>koronahun!AD741</f>
        <v>0</v>
      </c>
      <c r="E805" s="56" t="s">
        <v>70</v>
      </c>
      <c r="F805" s="56" t="s">
        <v>70</v>
      </c>
    </row>
    <row r="806" spans="1:6" ht="13">
      <c r="A806" s="16">
        <v>73</v>
      </c>
      <c r="B806" s="16"/>
      <c r="C806" s="16">
        <v>154.14285714285714</v>
      </c>
      <c r="D806">
        <f>koronahun!AD742</f>
        <v>0</v>
      </c>
      <c r="E806" s="56" t="s">
        <v>70</v>
      </c>
      <c r="F806" s="56" t="s">
        <v>70</v>
      </c>
    </row>
    <row r="807" spans="1:6" ht="13">
      <c r="A807" s="16">
        <v>74</v>
      </c>
      <c r="B807" s="16"/>
      <c r="C807" s="16">
        <v>156.42857142857142</v>
      </c>
      <c r="D807">
        <f>koronahun!AD743</f>
        <v>0</v>
      </c>
      <c r="E807" s="56" t="s">
        <v>70</v>
      </c>
      <c r="F807" s="56" t="s">
        <v>70</v>
      </c>
    </row>
    <row r="808" spans="1:6" ht="13">
      <c r="A808" s="16">
        <v>75</v>
      </c>
      <c r="B808" s="16"/>
      <c r="C808" s="16">
        <v>154.28571428571428</v>
      </c>
      <c r="D808" s="57">
        <f>koronahun!AD744</f>
        <v>40.285714285714285</v>
      </c>
      <c r="E808" s="56" t="s">
        <v>70</v>
      </c>
      <c r="F808" s="56" t="s">
        <v>70</v>
      </c>
    </row>
    <row r="809" spans="1:6" ht="13">
      <c r="A809" s="16">
        <v>76</v>
      </c>
      <c r="B809" s="16"/>
      <c r="C809" s="16">
        <v>156.57142857142858</v>
      </c>
      <c r="D809" s="57">
        <f>koronahun!AD745</f>
        <v>41.714285714285715</v>
      </c>
      <c r="E809" s="56" t="s">
        <v>70</v>
      </c>
      <c r="F809" s="56" t="s">
        <v>70</v>
      </c>
    </row>
    <row r="810" spans="1:6" ht="13">
      <c r="A810" s="16">
        <v>77</v>
      </c>
      <c r="B810" s="16"/>
      <c r="C810" s="16">
        <v>161.57142857142858</v>
      </c>
      <c r="D810" s="57">
        <f>koronahun!AD746</f>
        <v>44</v>
      </c>
      <c r="E810" s="56" t="s">
        <v>70</v>
      </c>
      <c r="F810" s="56" t="s">
        <v>70</v>
      </c>
    </row>
    <row r="811" spans="1:6" ht="13">
      <c r="A811" s="16">
        <v>78</v>
      </c>
      <c r="B811" s="16"/>
      <c r="C811" s="16">
        <v>173.42857142857142</v>
      </c>
      <c r="D811">
        <f>koronahun!AD747</f>
        <v>0</v>
      </c>
      <c r="E811" s="56" t="s">
        <v>70</v>
      </c>
      <c r="F811" s="56" t="s">
        <v>70</v>
      </c>
    </row>
    <row r="812" spans="1:6" ht="13">
      <c r="A812" s="16">
        <v>79</v>
      </c>
      <c r="B812" s="16"/>
      <c r="C812" s="16">
        <v>182.57142857142858</v>
      </c>
      <c r="D812">
        <f>koronahun!AD748</f>
        <v>0</v>
      </c>
      <c r="E812" s="56" t="s">
        <v>70</v>
      </c>
      <c r="F812" s="56" t="s">
        <v>70</v>
      </c>
    </row>
    <row r="813" spans="1:6" ht="13">
      <c r="A813" s="16">
        <v>80</v>
      </c>
      <c r="B813" s="16"/>
      <c r="C813" s="16">
        <v>187.14285714285714</v>
      </c>
      <c r="D813" s="57">
        <f>koronahun!AD749</f>
        <v>63.142857142857146</v>
      </c>
      <c r="E813" s="56" t="s">
        <v>70</v>
      </c>
      <c r="F813" s="56" t="s">
        <v>70</v>
      </c>
    </row>
    <row r="814" spans="1:6" ht="13">
      <c r="A814" s="16">
        <v>81</v>
      </c>
      <c r="B814" s="16">
        <v>0.8571428571428571</v>
      </c>
      <c r="C814" s="16">
        <v>195.42857142857142</v>
      </c>
      <c r="D814" s="57">
        <f>koronahun!AD750</f>
        <v>70</v>
      </c>
      <c r="E814" s="56" t="s">
        <v>70</v>
      </c>
      <c r="F814" s="56" t="s">
        <v>70</v>
      </c>
    </row>
    <row r="815" spans="1:6" ht="13">
      <c r="A815" s="16">
        <v>82</v>
      </c>
      <c r="B815" s="16">
        <v>1</v>
      </c>
      <c r="C815" s="16">
        <v>211</v>
      </c>
      <c r="D815" s="57">
        <f>koronahun!AD751</f>
        <v>50.571428571428569</v>
      </c>
      <c r="E815" s="56" t="s">
        <v>70</v>
      </c>
      <c r="F815" s="56" t="s">
        <v>70</v>
      </c>
    </row>
    <row r="816" spans="1:6" ht="13">
      <c r="A816" s="16">
        <v>83</v>
      </c>
      <c r="B816" s="16">
        <v>1.1428571428571428</v>
      </c>
      <c r="C816" s="16">
        <v>218.71428571428572</v>
      </c>
      <c r="D816" s="57">
        <f>koronahun!AD752</f>
        <v>46.428571428571431</v>
      </c>
      <c r="E816" s="56" t="s">
        <v>70</v>
      </c>
      <c r="F816" s="56" t="s">
        <v>70</v>
      </c>
    </row>
    <row r="817" spans="1:6" ht="13">
      <c r="A817" s="16">
        <v>84</v>
      </c>
      <c r="B817" s="16">
        <v>1.2857142857142858</v>
      </c>
      <c r="C817" s="16">
        <v>228</v>
      </c>
      <c r="D817" s="57">
        <f>koronahun!AD753</f>
        <v>42.428571428571431</v>
      </c>
      <c r="E817" s="56" t="s">
        <v>70</v>
      </c>
      <c r="F817" s="56" t="s">
        <v>70</v>
      </c>
    </row>
    <row r="818" spans="1:6" ht="13">
      <c r="A818" s="16">
        <v>85</v>
      </c>
      <c r="B818" s="16">
        <v>1.2857142857142858</v>
      </c>
      <c r="C818" s="16">
        <v>236.85714285714286</v>
      </c>
      <c r="D818">
        <f>koronahun!AD754</f>
        <v>0</v>
      </c>
      <c r="E818" s="56" t="s">
        <v>70</v>
      </c>
      <c r="F818" s="56" t="s">
        <v>70</v>
      </c>
    </row>
    <row r="819" spans="1:6" ht="13">
      <c r="A819" s="16">
        <v>86</v>
      </c>
      <c r="B819" s="16">
        <v>0.8571428571428571</v>
      </c>
      <c r="C819" s="16">
        <v>240.57142857142858</v>
      </c>
      <c r="D819">
        <f>koronahun!AD755</f>
        <v>0</v>
      </c>
      <c r="E819" s="56" t="s">
        <v>70</v>
      </c>
      <c r="F819" s="56" t="s">
        <v>70</v>
      </c>
    </row>
    <row r="820" spans="1:6" ht="13">
      <c r="A820" s="16">
        <v>87</v>
      </c>
      <c r="B820" s="16">
        <v>1</v>
      </c>
      <c r="C820" s="16">
        <v>244.28571428571428</v>
      </c>
      <c r="D820" s="57">
        <f>koronahun!AD756</f>
        <v>35.285714285714285</v>
      </c>
      <c r="E820" s="56" t="s">
        <v>70</v>
      </c>
      <c r="F820" s="56" t="s">
        <v>70</v>
      </c>
    </row>
    <row r="821" spans="1:6" ht="13">
      <c r="A821" s="16">
        <v>88</v>
      </c>
      <c r="B821" s="16">
        <v>1</v>
      </c>
      <c r="C821" s="16">
        <v>244.28571428571428</v>
      </c>
      <c r="D821" s="57">
        <f>koronahun!AD757</f>
        <v>35.285714285714285</v>
      </c>
      <c r="E821" s="56" t="s">
        <v>70</v>
      </c>
      <c r="F821" s="56" t="s">
        <v>70</v>
      </c>
    </row>
    <row r="822" spans="1:6" ht="13">
      <c r="A822" s="16">
        <v>89</v>
      </c>
      <c r="B822" s="16">
        <v>1</v>
      </c>
      <c r="C822" s="16">
        <v>247.42857142857142</v>
      </c>
      <c r="D822" s="57">
        <f>koronahun!AD758</f>
        <v>35</v>
      </c>
      <c r="E822" s="56" t="s">
        <v>70</v>
      </c>
      <c r="F822" s="56" t="s">
        <v>70</v>
      </c>
    </row>
    <row r="823" spans="1:6" ht="13">
      <c r="A823" s="16">
        <v>90</v>
      </c>
      <c r="B823" s="16">
        <v>1.1428571428571428</v>
      </c>
      <c r="C823" s="16">
        <v>255</v>
      </c>
      <c r="D823" s="57">
        <f>koronahun!AD759</f>
        <v>35.714285714285715</v>
      </c>
      <c r="E823" s="56" t="s">
        <v>70</v>
      </c>
      <c r="F823" s="56" t="s">
        <v>70</v>
      </c>
    </row>
    <row r="824" spans="1:6" ht="13">
      <c r="A824" s="16">
        <v>91</v>
      </c>
      <c r="B824" s="16">
        <v>1.5714285714285714</v>
      </c>
      <c r="C824" s="16">
        <v>253</v>
      </c>
      <c r="D824" s="57">
        <f>koronahun!AD760</f>
        <v>36</v>
      </c>
      <c r="E824" s="56" t="s">
        <v>70</v>
      </c>
      <c r="F824" s="56" t="s">
        <v>70</v>
      </c>
    </row>
    <row r="825" spans="1:6" ht="13">
      <c r="A825" s="16">
        <v>92</v>
      </c>
      <c r="B825" s="16">
        <v>1.7142857142857142</v>
      </c>
      <c r="C825" s="16">
        <v>251.85714285714286</v>
      </c>
      <c r="D825">
        <f>koronahun!AD761</f>
        <v>0</v>
      </c>
      <c r="E825" s="56" t="s">
        <v>70</v>
      </c>
      <c r="F825" s="56" t="s">
        <v>70</v>
      </c>
    </row>
    <row r="826" spans="1:6" ht="13">
      <c r="A826" s="16">
        <v>93</v>
      </c>
      <c r="B826" s="16">
        <v>2.4285714285714284</v>
      </c>
      <c r="C826" s="16">
        <v>250.28571428571428</v>
      </c>
      <c r="D826">
        <f>koronahun!AD762</f>
        <v>0</v>
      </c>
      <c r="E826" s="56" t="s">
        <v>70</v>
      </c>
      <c r="F826" s="56" t="s">
        <v>70</v>
      </c>
    </row>
    <row r="827" spans="1:6" ht="13">
      <c r="A827" s="16">
        <v>94</v>
      </c>
      <c r="B827" s="16">
        <v>3.1428571428571428</v>
      </c>
      <c r="C827" s="16">
        <v>249</v>
      </c>
      <c r="D827">
        <f>koronahun!AD763</f>
        <v>0</v>
      </c>
      <c r="E827" s="56" t="s">
        <v>70</v>
      </c>
      <c r="F827" s="56" t="s">
        <v>70</v>
      </c>
    </row>
    <row r="828" spans="1:6" ht="13">
      <c r="A828" s="16">
        <v>95</v>
      </c>
      <c r="B828" s="16">
        <v>3.1428571428571428</v>
      </c>
      <c r="C828" s="16">
        <v>252.42857142857142</v>
      </c>
      <c r="D828" s="57">
        <f>koronahun!AD764</f>
        <v>31.571428571428573</v>
      </c>
      <c r="E828" s="56" t="s">
        <v>70</v>
      </c>
      <c r="F828" s="56" t="s">
        <v>70</v>
      </c>
    </row>
    <row r="829" spans="1:6" ht="13">
      <c r="A829" s="16">
        <v>96</v>
      </c>
      <c r="B829" s="16">
        <v>3.4285714285714284</v>
      </c>
      <c r="C829" s="16">
        <v>237.57142857142858</v>
      </c>
      <c r="D829" s="57">
        <f>koronahun!AD765</f>
        <v>31</v>
      </c>
      <c r="E829" s="56" t="s">
        <v>70</v>
      </c>
      <c r="F829" s="56" t="s">
        <v>70</v>
      </c>
    </row>
    <row r="830" spans="1:6" ht="13">
      <c r="A830" s="16">
        <v>97</v>
      </c>
      <c r="B830" s="16">
        <v>4.4285714285714288</v>
      </c>
      <c r="C830" s="16">
        <v>238.85714285714286</v>
      </c>
      <c r="D830" s="57">
        <f>koronahun!AD766</f>
        <v>30.571428571428573</v>
      </c>
      <c r="E830" s="56" t="s">
        <v>70</v>
      </c>
      <c r="F830" s="56" t="s">
        <v>70</v>
      </c>
    </row>
    <row r="831" spans="1:6" ht="13">
      <c r="A831" s="16">
        <v>98</v>
      </c>
      <c r="B831" s="16">
        <v>5.4285714285714288</v>
      </c>
      <c r="C831" s="16">
        <v>240.85714285714286</v>
      </c>
      <c r="D831" s="57">
        <f>koronahun!AD767</f>
        <v>30.142857142857142</v>
      </c>
      <c r="E831" s="56" t="s">
        <v>70</v>
      </c>
      <c r="F831" s="56" t="s">
        <v>70</v>
      </c>
    </row>
    <row r="832" spans="1:6" ht="13">
      <c r="A832" s="16">
        <v>99</v>
      </c>
      <c r="B832" s="16">
        <v>6.4285714285714288</v>
      </c>
      <c r="C832" s="16">
        <v>243.42857142857142</v>
      </c>
      <c r="D832">
        <f>koronahun!AD768</f>
        <v>0</v>
      </c>
      <c r="E832" s="56" t="s">
        <v>70</v>
      </c>
      <c r="F832" s="56" t="s">
        <v>70</v>
      </c>
    </row>
    <row r="833" spans="1:6" ht="13">
      <c r="A833" s="16">
        <v>100</v>
      </c>
      <c r="B833" s="16">
        <v>7.2857142857142856</v>
      </c>
      <c r="C833" s="16">
        <v>243.85714285714286</v>
      </c>
      <c r="D833">
        <f>koronahun!AD769</f>
        <v>0</v>
      </c>
      <c r="E833" s="56" t="s">
        <v>70</v>
      </c>
      <c r="F833" s="56" t="s">
        <v>70</v>
      </c>
    </row>
    <row r="834" spans="1:6" ht="13">
      <c r="A834" s="16">
        <v>101</v>
      </c>
      <c r="B834" s="16">
        <v>7.5714285714285712</v>
      </c>
      <c r="C834" s="16">
        <v>243.14285714285714</v>
      </c>
      <c r="D834" s="57">
        <f>koronahun!AD770</f>
        <v>38.714285714285715</v>
      </c>
      <c r="E834" s="56" t="s">
        <v>70</v>
      </c>
      <c r="F834" s="56" t="s">
        <v>70</v>
      </c>
    </row>
    <row r="835" spans="1:6" ht="13">
      <c r="A835" s="16">
        <v>102</v>
      </c>
      <c r="B835" s="16">
        <v>9.2857142857142865</v>
      </c>
      <c r="C835" s="16">
        <v>254.28571428571428</v>
      </c>
      <c r="D835" s="57">
        <f>koronahun!AD771</f>
        <v>28.714285714285715</v>
      </c>
      <c r="E835" s="56" t="s">
        <v>70</v>
      </c>
      <c r="F835" s="56" t="s">
        <v>70</v>
      </c>
    </row>
    <row r="836" spans="1:6" ht="13">
      <c r="A836" s="16">
        <v>103</v>
      </c>
      <c r="B836" s="16">
        <v>10.142857142857142</v>
      </c>
      <c r="C836" s="16">
        <v>268.85714285714283</v>
      </c>
      <c r="D836" s="57">
        <f>koronahun!AD772</f>
        <v>27.285714285714285</v>
      </c>
      <c r="E836" s="56" t="s">
        <v>70</v>
      </c>
      <c r="F836" s="56" t="s">
        <v>70</v>
      </c>
    </row>
    <row r="837" spans="1:6" ht="13">
      <c r="A837" s="16">
        <v>104</v>
      </c>
      <c r="B837" s="16">
        <v>10.714285714285714</v>
      </c>
      <c r="C837" s="16">
        <v>265.14285714285717</v>
      </c>
      <c r="D837" s="57">
        <f>koronahun!AD773</f>
        <v>25.857142857142858</v>
      </c>
      <c r="E837" s="56" t="s">
        <v>70</v>
      </c>
      <c r="F837" s="56" t="s">
        <v>70</v>
      </c>
    </row>
    <row r="838" spans="1:6" ht="13">
      <c r="A838" s="16">
        <v>105</v>
      </c>
      <c r="B838" s="16">
        <v>10.857142857142858</v>
      </c>
      <c r="C838" s="16">
        <v>262.85714285714283</v>
      </c>
      <c r="D838">
        <f>koronahun!AD774</f>
        <v>0</v>
      </c>
      <c r="E838" s="56" t="s">
        <v>70</v>
      </c>
      <c r="F838" s="56" t="s">
        <v>70</v>
      </c>
    </row>
    <row r="839" spans="1:6" ht="13">
      <c r="A839" s="16">
        <v>106</v>
      </c>
      <c r="B839" s="16">
        <v>10.857142857142858</v>
      </c>
      <c r="C839" s="16">
        <v>256.57142857142856</v>
      </c>
      <c r="D839">
        <f>koronahun!AD775</f>
        <v>0</v>
      </c>
      <c r="E839" s="56" t="s">
        <v>70</v>
      </c>
      <c r="F839" s="56" t="s">
        <v>70</v>
      </c>
    </row>
    <row r="840" spans="1:6" ht="13">
      <c r="A840" s="16">
        <v>107</v>
      </c>
      <c r="B840" s="16">
        <v>11.285714285714286</v>
      </c>
      <c r="C840" s="16">
        <v>252.57142857142858</v>
      </c>
      <c r="D840">
        <f>koronahun!AD776</f>
        <v>0</v>
      </c>
      <c r="E840" s="56" t="s">
        <v>70</v>
      </c>
      <c r="F840" s="56" t="s">
        <v>70</v>
      </c>
    </row>
    <row r="841" spans="1:6" ht="13">
      <c r="A841" s="16">
        <v>108</v>
      </c>
      <c r="B841" s="16">
        <v>12.428571428571429</v>
      </c>
      <c r="C841" s="16">
        <v>252.42857142857142</v>
      </c>
      <c r="D841">
        <f>koronahun!AD777</f>
        <v>0</v>
      </c>
      <c r="E841" s="56" t="s">
        <v>70</v>
      </c>
      <c r="F841" s="56" t="s">
        <v>70</v>
      </c>
    </row>
    <row r="842" spans="1:6" ht="13">
      <c r="A842" s="16">
        <v>109</v>
      </c>
      <c r="B842" s="16">
        <v>12.857142857142858</v>
      </c>
      <c r="C842" s="16">
        <v>239</v>
      </c>
      <c r="D842" s="57">
        <f>koronahun!AD778</f>
        <v>22.714285714285715</v>
      </c>
      <c r="E842" s="56" t="s">
        <v>70</v>
      </c>
      <c r="F842" s="56" t="s">
        <v>70</v>
      </c>
    </row>
    <row r="843" spans="1:6" ht="13">
      <c r="A843" s="16">
        <v>110</v>
      </c>
      <c r="B843" s="16">
        <v>12.857142857142858</v>
      </c>
      <c r="C843" s="16">
        <v>228.57142857142858</v>
      </c>
      <c r="D843" s="57">
        <f>koronahun!AD779</f>
        <v>23.142857142857142</v>
      </c>
      <c r="E843" s="56" t="s">
        <v>70</v>
      </c>
      <c r="F843" s="56" t="s">
        <v>70</v>
      </c>
    </row>
    <row r="844" spans="1:6" ht="13">
      <c r="A844" s="16">
        <v>111</v>
      </c>
      <c r="B844" s="16">
        <v>13</v>
      </c>
      <c r="C844" s="16">
        <v>217.42857142857142</v>
      </c>
      <c r="D844" s="57">
        <f>koronahun!AD780</f>
        <v>22.714285714285715</v>
      </c>
      <c r="E844" s="56" t="s">
        <v>70</v>
      </c>
      <c r="F844" s="56" t="s">
        <v>70</v>
      </c>
    </row>
    <row r="845" spans="1:6" ht="13">
      <c r="A845" s="16">
        <v>112</v>
      </c>
      <c r="B845" s="16">
        <v>13</v>
      </c>
      <c r="C845" s="16">
        <v>211.42857142857142</v>
      </c>
      <c r="D845" s="57">
        <f>koronahun!AD781</f>
        <v>26.142857142857142</v>
      </c>
      <c r="E845" s="56" t="s">
        <v>70</v>
      </c>
      <c r="F845" s="56" t="s">
        <v>70</v>
      </c>
    </row>
    <row r="846" spans="1:6" ht="13">
      <c r="A846" s="16">
        <v>113</v>
      </c>
      <c r="B846" s="16">
        <v>13.857142857142858</v>
      </c>
      <c r="C846" s="16">
        <v>206.57142857142858</v>
      </c>
      <c r="D846">
        <f>koronahun!AD782</f>
        <v>0</v>
      </c>
      <c r="E846" s="56" t="s">
        <v>70</v>
      </c>
      <c r="F846" s="56" t="s">
        <v>70</v>
      </c>
    </row>
    <row r="847" spans="1:6" ht="13">
      <c r="A847" s="16">
        <v>114</v>
      </c>
      <c r="B847" s="16">
        <v>13.428571428571429</v>
      </c>
      <c r="C847" s="16">
        <v>205.85714285714286</v>
      </c>
      <c r="D847">
        <f>koronahun!AD783</f>
        <v>0</v>
      </c>
      <c r="E847" s="56" t="s">
        <v>70</v>
      </c>
      <c r="F847" s="56" t="s">
        <v>70</v>
      </c>
    </row>
    <row r="848" spans="1:6" ht="13">
      <c r="A848" s="16">
        <v>115</v>
      </c>
      <c r="B848" s="16">
        <v>12.857142857142858</v>
      </c>
      <c r="C848" s="16">
        <v>205.85714285714286</v>
      </c>
      <c r="D848" s="57">
        <f>koronahun!AD784</f>
        <v>33.714285714285715</v>
      </c>
      <c r="E848" s="56" t="s">
        <v>70</v>
      </c>
      <c r="F848" s="56" t="s">
        <v>70</v>
      </c>
    </row>
    <row r="849" spans="1:6" ht="13">
      <c r="A849" s="16">
        <v>116</v>
      </c>
      <c r="B849" s="16">
        <v>11.857142857142858</v>
      </c>
      <c r="C849" s="16">
        <v>202.85714285714286</v>
      </c>
      <c r="D849" s="57">
        <f>koronahun!AD785</f>
        <v>23.142857142857142</v>
      </c>
      <c r="E849" s="56" t="s">
        <v>70</v>
      </c>
      <c r="F849" s="56" t="s">
        <v>70</v>
      </c>
    </row>
    <row r="850" spans="1:6" ht="13">
      <c r="A850" s="16">
        <v>117</v>
      </c>
      <c r="B850" s="16">
        <v>11.571428571428571</v>
      </c>
      <c r="C850" s="16">
        <v>200.57142857142858</v>
      </c>
      <c r="D850" s="57">
        <f>koronahun!AD786</f>
        <v>23.142857142857142</v>
      </c>
      <c r="E850" s="56" t="s">
        <v>70</v>
      </c>
      <c r="F850" s="56" t="s">
        <v>70</v>
      </c>
    </row>
    <row r="851" spans="1:6" ht="13">
      <c r="A851" s="16">
        <v>118</v>
      </c>
      <c r="B851" s="16">
        <v>11.142857142857142</v>
      </c>
      <c r="C851" s="16">
        <v>197.85714285714286</v>
      </c>
      <c r="D851" s="57">
        <f>koronahun!AD787</f>
        <v>23.571428571428573</v>
      </c>
      <c r="E851" s="56" t="s">
        <v>70</v>
      </c>
      <c r="F851" s="56" t="s">
        <v>70</v>
      </c>
    </row>
    <row r="852" spans="1:6" ht="13">
      <c r="A852" s="16">
        <v>119</v>
      </c>
      <c r="B852" s="16">
        <v>10.714285714285714</v>
      </c>
      <c r="C852" s="16">
        <v>193.85714285714286</v>
      </c>
      <c r="D852" s="57">
        <f>koronahun!AD788</f>
        <v>21.857142857142858</v>
      </c>
      <c r="E852" s="56" t="s">
        <v>70</v>
      </c>
      <c r="F852" s="56" t="s">
        <v>70</v>
      </c>
    </row>
    <row r="853" spans="1:6" ht="13">
      <c r="A853" s="16">
        <v>120</v>
      </c>
      <c r="B853" s="16">
        <v>10.428571428571429</v>
      </c>
      <c r="C853" s="16">
        <v>190.28571428571428</v>
      </c>
      <c r="D853">
        <f>koronahun!AD789</f>
        <v>0</v>
      </c>
      <c r="E853" s="56" t="s">
        <v>70</v>
      </c>
      <c r="F853" s="56" t="s">
        <v>70</v>
      </c>
    </row>
    <row r="854" spans="1:6" ht="13">
      <c r="A854" s="16">
        <v>121</v>
      </c>
      <c r="B854" s="16">
        <v>10.428571428571429</v>
      </c>
      <c r="C854" s="16">
        <v>183</v>
      </c>
      <c r="D854">
        <f>koronahun!AD790</f>
        <v>0</v>
      </c>
      <c r="E854" s="56" t="s">
        <v>70</v>
      </c>
      <c r="F854" s="56" t="s">
        <v>70</v>
      </c>
    </row>
    <row r="855" spans="1:6" ht="13">
      <c r="A855" s="16">
        <v>122</v>
      </c>
      <c r="B855" s="16">
        <v>10.428571428571429</v>
      </c>
      <c r="C855" s="16">
        <v>168.14285714285714</v>
      </c>
      <c r="D855" s="57">
        <f>koronahun!AD791</f>
        <v>23.571428571428573</v>
      </c>
      <c r="E855" s="56" t="s">
        <v>70</v>
      </c>
      <c r="F855" s="56" t="s">
        <v>70</v>
      </c>
    </row>
    <row r="856" spans="1:6" ht="13">
      <c r="A856" s="16">
        <v>123</v>
      </c>
      <c r="B856" s="16">
        <v>9.7142857142857135</v>
      </c>
      <c r="C856" s="16">
        <v>158.14285714285714</v>
      </c>
      <c r="D856">
        <f>koronahun!AD792</f>
        <v>0</v>
      </c>
      <c r="E856" s="56" t="s">
        <v>70</v>
      </c>
      <c r="F856" s="56" t="s">
        <v>70</v>
      </c>
    </row>
    <row r="857" spans="1:6" ht="13">
      <c r="A857" s="16">
        <v>124</v>
      </c>
      <c r="B857" s="16">
        <v>10.142857142857142</v>
      </c>
      <c r="C857" s="16">
        <v>151.57142857142858</v>
      </c>
      <c r="D857">
        <f>koronahun!AD793</f>
        <v>0</v>
      </c>
      <c r="E857" s="56" t="s">
        <v>70</v>
      </c>
      <c r="F857" s="56" t="s">
        <v>70</v>
      </c>
    </row>
    <row r="858" spans="1:6" ht="13">
      <c r="A858" s="16">
        <v>125</v>
      </c>
      <c r="B858" s="16">
        <v>10.285714285714286</v>
      </c>
      <c r="C858" s="16">
        <v>143</v>
      </c>
      <c r="D858">
        <f>koronahun!AD794</f>
        <v>0</v>
      </c>
      <c r="E858" s="56" t="s">
        <v>70</v>
      </c>
      <c r="F858" s="56" t="s">
        <v>70</v>
      </c>
    </row>
    <row r="859" spans="1:6" ht="13">
      <c r="A859" s="16">
        <v>126</v>
      </c>
      <c r="B859" s="16">
        <v>10.428571428571429</v>
      </c>
      <c r="C859" s="16">
        <v>134.14285714285714</v>
      </c>
      <c r="D859">
        <f>koronahun!AD795</f>
        <v>0</v>
      </c>
      <c r="E859" s="56" t="s">
        <v>70</v>
      </c>
      <c r="F859" s="56" t="s">
        <v>70</v>
      </c>
    </row>
    <row r="860" spans="1:6" ht="13">
      <c r="A860" s="16">
        <v>127</v>
      </c>
      <c r="B860" s="16">
        <v>10.142857142857142</v>
      </c>
      <c r="C860" s="16">
        <v>123.28571428571429</v>
      </c>
      <c r="D860">
        <f>koronahun!AD796</f>
        <v>0</v>
      </c>
      <c r="E860" s="56" t="s">
        <v>70</v>
      </c>
      <c r="F860" s="56" t="s">
        <v>70</v>
      </c>
    </row>
    <row r="861" spans="1:6" ht="13">
      <c r="A861" s="16">
        <v>128</v>
      </c>
      <c r="B861" s="16">
        <v>9.8571428571428577</v>
      </c>
      <c r="C861" s="16">
        <v>114.71428571428571</v>
      </c>
      <c r="D861">
        <f>koronahun!AD797</f>
        <v>0</v>
      </c>
      <c r="E861" s="56" t="s">
        <v>70</v>
      </c>
      <c r="F861" s="56" t="s">
        <v>70</v>
      </c>
    </row>
    <row r="862" spans="1:6" ht="13">
      <c r="A862" s="16">
        <v>129</v>
      </c>
      <c r="B862" s="16">
        <v>10</v>
      </c>
      <c r="C862" s="16">
        <v>114.28571428571429</v>
      </c>
      <c r="D862">
        <f>koronahun!AD798</f>
        <v>0</v>
      </c>
      <c r="E862" s="56" t="s">
        <v>70</v>
      </c>
      <c r="F862" s="56" t="s">
        <v>70</v>
      </c>
    </row>
    <row r="863" spans="1:6" ht="13">
      <c r="A863" s="16">
        <v>130</v>
      </c>
      <c r="B863" s="16">
        <v>10.428571428571429</v>
      </c>
      <c r="C863" s="16">
        <v>112.14285714285714</v>
      </c>
      <c r="D863">
        <f>koronahun!AD799</f>
        <v>0</v>
      </c>
      <c r="E863" s="56" t="s">
        <v>70</v>
      </c>
      <c r="F863" s="56" t="s">
        <v>70</v>
      </c>
    </row>
    <row r="864" spans="1:6" ht="13">
      <c r="A864" s="16">
        <v>131</v>
      </c>
      <c r="B864" s="16">
        <v>10</v>
      </c>
      <c r="C864" s="16">
        <v>106.71428571428571</v>
      </c>
      <c r="D864" s="57">
        <f>koronahun!AD800</f>
        <v>11</v>
      </c>
      <c r="E864" s="56" t="s">
        <v>70</v>
      </c>
      <c r="F864" s="56" t="s">
        <v>70</v>
      </c>
    </row>
    <row r="865" spans="1:6" ht="13">
      <c r="A865" s="16">
        <v>132</v>
      </c>
      <c r="B865" s="16">
        <v>8.8571428571428577</v>
      </c>
      <c r="C865" s="16">
        <v>102.14285714285714</v>
      </c>
      <c r="D865">
        <f>koronahun!AD801</f>
        <v>0</v>
      </c>
      <c r="E865" s="56" t="s">
        <v>70</v>
      </c>
      <c r="F865" s="56" t="s">
        <v>70</v>
      </c>
    </row>
    <row r="866" spans="1:6" ht="13">
      <c r="A866" s="16">
        <v>133</v>
      </c>
      <c r="B866" s="16">
        <v>8.1428571428571423</v>
      </c>
      <c r="C866" s="16">
        <v>96.142857142857139</v>
      </c>
      <c r="D866">
        <f>koronahun!AD802</f>
        <v>0</v>
      </c>
      <c r="E866" s="56" t="s">
        <v>70</v>
      </c>
      <c r="F866" s="56" t="s">
        <v>70</v>
      </c>
    </row>
    <row r="867" spans="1:6" ht="13">
      <c r="A867" s="16">
        <v>134</v>
      </c>
      <c r="B867" s="16">
        <v>7.5714285714285712</v>
      </c>
      <c r="C867" s="16">
        <v>91.142857142857139</v>
      </c>
      <c r="D867">
        <f>koronahun!AD803</f>
        <v>0</v>
      </c>
      <c r="E867" s="56" t="s">
        <v>70</v>
      </c>
      <c r="F867" s="56" t="s">
        <v>70</v>
      </c>
    </row>
    <row r="868" spans="1:6" ht="13">
      <c r="A868" s="16">
        <v>135</v>
      </c>
      <c r="B868" s="16">
        <v>7.1428571428571432</v>
      </c>
      <c r="C868" s="16">
        <v>87.142857142857139</v>
      </c>
      <c r="D868">
        <f>koronahun!AD804</f>
        <v>0</v>
      </c>
      <c r="E868" s="56" t="s">
        <v>70</v>
      </c>
      <c r="F868" s="56" t="s">
        <v>70</v>
      </c>
    </row>
    <row r="869" spans="1:6" ht="13">
      <c r="A869" s="16">
        <v>136</v>
      </c>
      <c r="B869" s="16">
        <v>6.1428571428571432</v>
      </c>
      <c r="C869" s="16">
        <v>81.857142857142861</v>
      </c>
      <c r="D869">
        <f>koronahun!AD805</f>
        <v>0</v>
      </c>
      <c r="E869" s="56" t="s">
        <v>70</v>
      </c>
      <c r="F869" s="56" t="s">
        <v>70</v>
      </c>
    </row>
    <row r="870" spans="1:6" ht="13">
      <c r="A870" s="16">
        <v>137</v>
      </c>
      <c r="B870" s="16">
        <v>5.4285714285714288</v>
      </c>
      <c r="C870" s="16">
        <v>74.285714285714292</v>
      </c>
      <c r="D870">
        <f>koronahun!AD806</f>
        <v>0</v>
      </c>
      <c r="E870" s="56" t="s">
        <v>70</v>
      </c>
      <c r="F870" s="56" t="s">
        <v>70</v>
      </c>
    </row>
    <row r="871" spans="1:6" ht="13">
      <c r="A871" s="16">
        <v>138</v>
      </c>
      <c r="B871" s="16">
        <v>5.8571428571428568</v>
      </c>
      <c r="C871" s="16">
        <v>69.285714285714292</v>
      </c>
      <c r="D871" s="57">
        <f>koronahun!AD807</f>
        <v>14.714285714285714</v>
      </c>
      <c r="E871" s="56" t="s">
        <v>70</v>
      </c>
      <c r="F871" s="56" t="s">
        <v>70</v>
      </c>
    </row>
    <row r="872" spans="1:6" ht="13">
      <c r="A872" s="16">
        <v>139</v>
      </c>
      <c r="B872" s="16">
        <v>6</v>
      </c>
      <c r="C872" s="16">
        <v>63</v>
      </c>
      <c r="D872">
        <f>koronahun!AD808</f>
        <v>0</v>
      </c>
      <c r="E872" s="56" t="s">
        <v>70</v>
      </c>
      <c r="F872" s="56" t="s">
        <v>70</v>
      </c>
    </row>
    <row r="873" spans="1:6" ht="13">
      <c r="A873" s="16">
        <v>140</v>
      </c>
      <c r="B873" s="16">
        <v>5.7142857142857144</v>
      </c>
      <c r="C873" s="16">
        <v>58.571428571428569</v>
      </c>
      <c r="D873">
        <f>koronahun!AD809</f>
        <v>0</v>
      </c>
      <c r="E873" s="56" t="s">
        <v>70</v>
      </c>
      <c r="F873" s="56" t="s">
        <v>70</v>
      </c>
    </row>
    <row r="874" spans="1:6" ht="13">
      <c r="A874" s="16">
        <v>141</v>
      </c>
      <c r="B874" s="16">
        <v>5.2857142857142856</v>
      </c>
      <c r="C874" s="16">
        <v>55.142857142857146</v>
      </c>
      <c r="D874">
        <f>koronahun!AD810</f>
        <v>0</v>
      </c>
      <c r="E874" s="56" t="s">
        <v>70</v>
      </c>
      <c r="F874" s="56" t="s">
        <v>70</v>
      </c>
    </row>
    <row r="875" spans="1:6" ht="13">
      <c r="A875" s="16">
        <v>142</v>
      </c>
      <c r="B875" s="16">
        <v>4.8571428571428568</v>
      </c>
      <c r="C875" s="16">
        <v>51.571428571428569</v>
      </c>
      <c r="D875">
        <f>koronahun!AD811</f>
        <v>0</v>
      </c>
      <c r="E875" s="56" t="s">
        <v>70</v>
      </c>
      <c r="F875" s="56" t="s">
        <v>70</v>
      </c>
    </row>
    <row r="876" spans="1:6" ht="13">
      <c r="A876" s="16">
        <v>143</v>
      </c>
      <c r="B876" s="16">
        <v>4.8571428571428568</v>
      </c>
      <c r="C876" s="16">
        <v>49.142857142857146</v>
      </c>
      <c r="D876">
        <f>koronahun!AD812</f>
        <v>0</v>
      </c>
      <c r="E876" s="56" t="s">
        <v>70</v>
      </c>
      <c r="F876" s="56" t="s">
        <v>70</v>
      </c>
    </row>
    <row r="877" spans="1:6" ht="13">
      <c r="A877" s="16">
        <v>144</v>
      </c>
      <c r="B877" s="16">
        <v>5</v>
      </c>
      <c r="C877" s="16">
        <v>49.571428571428569</v>
      </c>
      <c r="D877">
        <f>koronahun!AD813</f>
        <v>0</v>
      </c>
      <c r="E877" s="56" t="s">
        <v>70</v>
      </c>
      <c r="F877" s="56" t="s">
        <v>70</v>
      </c>
    </row>
    <row r="878" spans="1:6" ht="13">
      <c r="A878" s="16">
        <v>145</v>
      </c>
      <c r="B878" s="16">
        <v>4.1428571428571432</v>
      </c>
      <c r="C878" s="16">
        <v>43.428571428571431</v>
      </c>
      <c r="D878" s="57">
        <f>koronahun!AD814</f>
        <v>8.7142857142857135</v>
      </c>
      <c r="E878" s="56" t="s">
        <v>70</v>
      </c>
      <c r="F878" s="56" t="s">
        <v>70</v>
      </c>
    </row>
    <row r="879" spans="1:6" ht="13">
      <c r="A879" s="16">
        <v>146</v>
      </c>
      <c r="B879" s="16">
        <v>4.5714285714285712</v>
      </c>
      <c r="C879" s="16">
        <v>41.857142857142854</v>
      </c>
      <c r="D879">
        <f>koronahun!AD815</f>
        <v>0</v>
      </c>
      <c r="E879" s="56" t="s">
        <v>70</v>
      </c>
      <c r="F879" s="56" t="s">
        <v>70</v>
      </c>
    </row>
    <row r="880" spans="1:6" ht="13">
      <c r="A880" s="16">
        <v>147</v>
      </c>
      <c r="B880" s="16">
        <v>5</v>
      </c>
      <c r="C880" s="16">
        <v>39.142857142857146</v>
      </c>
      <c r="D880">
        <f>koronahun!AD816</f>
        <v>0</v>
      </c>
      <c r="E880" s="56" t="s">
        <v>70</v>
      </c>
      <c r="F880" s="56" t="s">
        <v>70</v>
      </c>
    </row>
    <row r="881" spans="1:6" ht="13">
      <c r="A881" s="16">
        <v>148</v>
      </c>
      <c r="B881" s="16">
        <v>5.1428571428571432</v>
      </c>
      <c r="C881" s="16">
        <v>36.428571428571431</v>
      </c>
      <c r="D881">
        <f>koronahun!AD817</f>
        <v>0</v>
      </c>
      <c r="E881" s="56" t="s">
        <v>70</v>
      </c>
      <c r="F881" s="56" t="s">
        <v>70</v>
      </c>
    </row>
    <row r="882" spans="1:6" ht="13">
      <c r="A882" s="16">
        <v>149</v>
      </c>
      <c r="B882" s="16">
        <v>5.8571428571428568</v>
      </c>
      <c r="C882" s="16">
        <v>33.428571428571431</v>
      </c>
      <c r="D882">
        <f>koronahun!AD818</f>
        <v>0</v>
      </c>
      <c r="E882" s="56" t="s">
        <v>70</v>
      </c>
      <c r="F882" s="56" t="s">
        <v>70</v>
      </c>
    </row>
    <row r="883" spans="1:6" ht="13">
      <c r="A883" s="16">
        <v>150</v>
      </c>
      <c r="B883" s="16">
        <v>6</v>
      </c>
      <c r="C883" s="16">
        <v>29.857142857142858</v>
      </c>
      <c r="D883">
        <f>koronahun!AD819</f>
        <v>0</v>
      </c>
      <c r="E883" s="56" t="s">
        <v>70</v>
      </c>
      <c r="F883" s="56" t="s">
        <v>70</v>
      </c>
    </row>
    <row r="884" spans="1:6" ht="13">
      <c r="A884" s="16">
        <v>151</v>
      </c>
      <c r="B884" s="16">
        <v>5.7142857142857144</v>
      </c>
      <c r="C884" s="16">
        <v>24.714285714285715</v>
      </c>
      <c r="D884">
        <f>koronahun!AD820</f>
        <v>0</v>
      </c>
      <c r="E884" s="56" t="s">
        <v>70</v>
      </c>
      <c r="F884" s="56" t="s">
        <v>70</v>
      </c>
    </row>
    <row r="885" spans="1:6" ht="13">
      <c r="A885" s="16">
        <v>152</v>
      </c>
      <c r="B885" s="16">
        <v>5.1428571428571432</v>
      </c>
      <c r="C885" s="16">
        <v>25.714285714285715</v>
      </c>
      <c r="D885" s="57">
        <f>koronahun!AD821</f>
        <v>5.7142857142857144</v>
      </c>
      <c r="E885" s="56" t="s">
        <v>70</v>
      </c>
      <c r="F885" s="56" t="s">
        <v>70</v>
      </c>
    </row>
    <row r="886" spans="1:6" ht="13">
      <c r="A886" s="16">
        <v>153</v>
      </c>
      <c r="B886" s="16">
        <v>4.7142857142857144</v>
      </c>
      <c r="C886" s="16">
        <v>21.714285714285715</v>
      </c>
      <c r="D886">
        <f>koronahun!AD822</f>
        <v>0</v>
      </c>
      <c r="E886" s="56" t="s">
        <v>70</v>
      </c>
      <c r="F886" s="56" t="s">
        <v>70</v>
      </c>
    </row>
    <row r="887" spans="1:6" ht="13">
      <c r="A887" s="16">
        <v>154</v>
      </c>
      <c r="B887" s="16">
        <v>4.1428571428571432</v>
      </c>
      <c r="C887" s="16">
        <v>19.714285714285715</v>
      </c>
      <c r="D887">
        <f>koronahun!AD823</f>
        <v>0</v>
      </c>
      <c r="E887" s="56" t="s">
        <v>70</v>
      </c>
      <c r="F887" s="56" t="s">
        <v>70</v>
      </c>
    </row>
    <row r="888" spans="1:6" ht="13">
      <c r="A888" s="16">
        <v>155</v>
      </c>
      <c r="B888" s="16">
        <v>4.2857142857142856</v>
      </c>
      <c r="C888" s="16">
        <v>19.428571428571427</v>
      </c>
      <c r="D888">
        <f>koronahun!AD824</f>
        <v>0</v>
      </c>
      <c r="E888" s="56" t="s">
        <v>70</v>
      </c>
      <c r="F888" s="56" t="s">
        <v>70</v>
      </c>
    </row>
    <row r="889" spans="1:6" ht="13">
      <c r="A889" s="16">
        <v>156</v>
      </c>
      <c r="B889" s="16">
        <v>3.5714285714285716</v>
      </c>
      <c r="C889" s="16">
        <v>19</v>
      </c>
      <c r="D889">
        <f>koronahun!AD825</f>
        <v>0</v>
      </c>
      <c r="E889" s="56" t="s">
        <v>70</v>
      </c>
      <c r="F889" s="56" t="s">
        <v>70</v>
      </c>
    </row>
    <row r="890" spans="1:6" ht="13">
      <c r="A890" s="16">
        <v>157</v>
      </c>
      <c r="B890" s="16">
        <v>3</v>
      </c>
      <c r="C890" s="16">
        <v>18</v>
      </c>
      <c r="D890">
        <f>koronahun!AD826</f>
        <v>0</v>
      </c>
      <c r="E890" s="56" t="s">
        <v>70</v>
      </c>
      <c r="F890" s="56" t="s">
        <v>70</v>
      </c>
    </row>
    <row r="891" spans="1:6" ht="13">
      <c r="A891" s="16">
        <v>158</v>
      </c>
      <c r="B891" s="16">
        <v>2.8571428571428572</v>
      </c>
      <c r="C891" s="16">
        <v>19</v>
      </c>
      <c r="D891">
        <f>koronahun!AD827</f>
        <v>0</v>
      </c>
      <c r="E891" s="56" t="s">
        <v>70</v>
      </c>
      <c r="F891" s="56" t="s">
        <v>70</v>
      </c>
    </row>
    <row r="892" spans="1:6" ht="13">
      <c r="A892" s="16">
        <v>159</v>
      </c>
      <c r="B892" s="16">
        <v>2.8571428571428572</v>
      </c>
      <c r="C892" s="16">
        <v>17.428571428571427</v>
      </c>
      <c r="D892" s="57">
        <f>koronahun!AD828</f>
        <v>3.4285714285714284</v>
      </c>
      <c r="E892" s="56" t="s">
        <v>70</v>
      </c>
      <c r="F892" s="56" t="s">
        <v>70</v>
      </c>
    </row>
    <row r="893" spans="1:6" ht="13">
      <c r="A893" s="16">
        <v>160</v>
      </c>
      <c r="B893" s="16">
        <v>2.4285714285714284</v>
      </c>
      <c r="C893" s="16">
        <v>16.428571428571427</v>
      </c>
      <c r="D893">
        <f>koronahun!AD829</f>
        <v>0</v>
      </c>
      <c r="E893" s="56" t="s">
        <v>70</v>
      </c>
      <c r="F893" s="56" t="s">
        <v>70</v>
      </c>
    </row>
    <row r="894" spans="1:6" ht="13">
      <c r="A894" s="16">
        <v>161</v>
      </c>
      <c r="B894" s="16">
        <v>2.2857142857142856</v>
      </c>
      <c r="C894" s="16">
        <v>14.857142857142858</v>
      </c>
      <c r="D894">
        <f>koronahun!AD830</f>
        <v>0</v>
      </c>
      <c r="E894" s="56" t="s">
        <v>70</v>
      </c>
      <c r="F894" s="56" t="s">
        <v>70</v>
      </c>
    </row>
    <row r="895" spans="1:6" ht="13">
      <c r="A895" s="16">
        <v>162</v>
      </c>
      <c r="B895" s="16">
        <v>1.8571428571428572</v>
      </c>
      <c r="C895" s="16">
        <v>12.285714285714286</v>
      </c>
      <c r="D895">
        <f>koronahun!AD831</f>
        <v>0</v>
      </c>
      <c r="E895" s="56" t="s">
        <v>70</v>
      </c>
      <c r="F895" s="56" t="s">
        <v>70</v>
      </c>
    </row>
    <row r="896" spans="1:6" ht="13">
      <c r="A896" s="16">
        <v>163</v>
      </c>
      <c r="B896" s="16">
        <v>1.7142857142857142</v>
      </c>
      <c r="C896" s="16"/>
      <c r="D896">
        <f>koronahun!AD832</f>
        <v>0</v>
      </c>
      <c r="E896" s="56" t="s">
        <v>70</v>
      </c>
      <c r="F896" s="56" t="s">
        <v>70</v>
      </c>
    </row>
    <row r="897" spans="1:6" ht="13">
      <c r="A897" s="16">
        <v>164</v>
      </c>
      <c r="B897" s="16">
        <v>1.8571428571428572</v>
      </c>
      <c r="C897" s="16"/>
      <c r="D897">
        <f>koronahun!AD833</f>
        <v>0</v>
      </c>
      <c r="E897" s="56" t="s">
        <v>70</v>
      </c>
      <c r="F897" s="56" t="s">
        <v>70</v>
      </c>
    </row>
    <row r="898" spans="1:6" ht="13">
      <c r="A898" s="16">
        <v>165</v>
      </c>
      <c r="B898" s="16">
        <v>2.1428571428571428</v>
      </c>
      <c r="C898">
        <v>8.4285714285714288</v>
      </c>
      <c r="D898">
        <f>koronahun!AD834</f>
        <v>0</v>
      </c>
      <c r="E898" s="56" t="s">
        <v>70</v>
      </c>
      <c r="F898" s="56" t="s">
        <v>70</v>
      </c>
    </row>
    <row r="899" spans="1:6" ht="13">
      <c r="A899" s="16">
        <v>166</v>
      </c>
      <c r="B899" s="16">
        <v>2.1428571428571428</v>
      </c>
      <c r="C899">
        <v>7.4285714285714288</v>
      </c>
      <c r="D899" s="57">
        <f>koronahun!AD835</f>
        <v>3.2857142857142856</v>
      </c>
      <c r="E899" s="56" t="s">
        <v>70</v>
      </c>
      <c r="F899" s="56" t="s">
        <v>70</v>
      </c>
    </row>
    <row r="900" spans="1:6" ht="13">
      <c r="A900" s="16">
        <v>167</v>
      </c>
      <c r="B900" s="16">
        <v>2.1428571428571428</v>
      </c>
      <c r="C900">
        <v>7.8571428571428568</v>
      </c>
      <c r="D900">
        <f>koronahun!AD836</f>
        <v>0</v>
      </c>
      <c r="E900" s="56" t="s">
        <v>70</v>
      </c>
      <c r="F900" s="56" t="s">
        <v>70</v>
      </c>
    </row>
    <row r="901" spans="1:6" ht="13">
      <c r="A901" s="16">
        <v>168</v>
      </c>
      <c r="B901" s="16">
        <v>2.2857142857142856</v>
      </c>
      <c r="C901">
        <v>7.4285714285714288</v>
      </c>
      <c r="D901">
        <f>koronahun!AD837</f>
        <v>0</v>
      </c>
      <c r="E901" s="56" t="s">
        <v>70</v>
      </c>
      <c r="F901" s="56" t="s">
        <v>70</v>
      </c>
    </row>
    <row r="902" spans="1:6" ht="13">
      <c r="A902" s="16">
        <v>169</v>
      </c>
      <c r="B902" s="16">
        <v>2.1428571428571428</v>
      </c>
      <c r="C902">
        <v>6.5714285714285712</v>
      </c>
      <c r="D902">
        <f>koronahun!AD838</f>
        <v>0</v>
      </c>
      <c r="E902" s="56" t="s">
        <v>70</v>
      </c>
      <c r="F902" s="56" t="s">
        <v>70</v>
      </c>
    </row>
    <row r="903" spans="1:6" ht="13">
      <c r="A903" s="16">
        <v>170</v>
      </c>
      <c r="B903" s="16">
        <v>1.8571428571428572</v>
      </c>
      <c r="D903">
        <f>koronahun!AD839</f>
        <v>0</v>
      </c>
      <c r="E903" s="56" t="s">
        <v>70</v>
      </c>
      <c r="F903" s="56" t="s">
        <v>70</v>
      </c>
    </row>
    <row r="904" spans="1:6" ht="13">
      <c r="A904" s="16">
        <v>171</v>
      </c>
      <c r="B904" s="16">
        <v>1.5714285714285714</v>
      </c>
      <c r="D904">
        <f>koronahun!AD840</f>
        <v>0</v>
      </c>
      <c r="E904" s="56" t="s">
        <v>70</v>
      </c>
      <c r="F904" s="56" t="s">
        <v>70</v>
      </c>
    </row>
    <row r="905" spans="1:6" ht="13">
      <c r="A905" s="16">
        <v>172</v>
      </c>
      <c r="B905" s="16">
        <v>1.1428571428571428</v>
      </c>
      <c r="C905">
        <v>4.8571428571428568</v>
      </c>
      <c r="D905">
        <f>koronahun!AD841</f>
        <v>0</v>
      </c>
      <c r="E905" s="56" t="s">
        <v>70</v>
      </c>
      <c r="F905" s="56" t="s">
        <v>70</v>
      </c>
    </row>
    <row r="906" spans="1:6" ht="13">
      <c r="A906" s="16">
        <v>173</v>
      </c>
      <c r="B906" s="16">
        <v>1.2857142857142858</v>
      </c>
      <c r="C906">
        <v>4</v>
      </c>
      <c r="D906" s="57">
        <f>koronahun!AD842</f>
        <v>4.5714285714285712</v>
      </c>
      <c r="E906" s="56" t="s">
        <v>70</v>
      </c>
      <c r="F906" s="56" t="s">
        <v>70</v>
      </c>
    </row>
    <row r="907" spans="1:6" ht="13">
      <c r="A907" s="16">
        <v>174</v>
      </c>
      <c r="B907" s="16">
        <v>1.1428571428571428</v>
      </c>
      <c r="C907">
        <v>3.8571428571428572</v>
      </c>
      <c r="D907">
        <f>koronahun!AD843</f>
        <v>0</v>
      </c>
      <c r="E907" s="56" t="s">
        <v>70</v>
      </c>
      <c r="F907" s="56" t="s">
        <v>70</v>
      </c>
    </row>
    <row r="908" spans="1:6" ht="13">
      <c r="A908" s="16">
        <v>175</v>
      </c>
      <c r="B908" s="16">
        <v>1.2857142857142858</v>
      </c>
      <c r="C908">
        <v>3.4285714285714284</v>
      </c>
      <c r="D908">
        <f>koronahun!AD844</f>
        <v>0</v>
      </c>
      <c r="E908" s="56" t="s">
        <v>70</v>
      </c>
      <c r="F908" s="56" t="s">
        <v>70</v>
      </c>
    </row>
    <row r="909" spans="1:6" ht="13">
      <c r="A909" s="16">
        <v>176</v>
      </c>
      <c r="B909" s="16">
        <v>1.2857142857142858</v>
      </c>
      <c r="C909">
        <v>4.2857142857142856</v>
      </c>
      <c r="D909">
        <f>koronahun!AD845</f>
        <v>0</v>
      </c>
      <c r="E909" s="56" t="s">
        <v>70</v>
      </c>
      <c r="F909" s="56" t="s">
        <v>70</v>
      </c>
    </row>
    <row r="910" spans="1:6" ht="13">
      <c r="A910" s="16">
        <v>177</v>
      </c>
      <c r="B910" s="16">
        <v>1.4285714285714286</v>
      </c>
      <c r="D910">
        <f>koronahun!AD846</f>
        <v>0</v>
      </c>
      <c r="E910" s="56" t="s">
        <v>70</v>
      </c>
      <c r="F910" s="56" t="s">
        <v>70</v>
      </c>
    </row>
    <row r="911" spans="1:6" ht="13">
      <c r="A911" s="16">
        <v>178</v>
      </c>
      <c r="B911" s="16">
        <v>1.1428571428571428</v>
      </c>
      <c r="D911">
        <f>koronahun!AD847</f>
        <v>0</v>
      </c>
      <c r="E911" s="56" t="s">
        <v>70</v>
      </c>
      <c r="F911" s="56" t="s">
        <v>70</v>
      </c>
    </row>
    <row r="912" spans="1:6" ht="13">
      <c r="A912" s="16">
        <v>179</v>
      </c>
      <c r="B912" s="16">
        <v>1.5714285714285714</v>
      </c>
      <c r="C912">
        <v>4.2857142857142856</v>
      </c>
      <c r="D912">
        <f>koronahun!AD848</f>
        <v>0</v>
      </c>
      <c r="E912" s="56" t="s">
        <v>70</v>
      </c>
      <c r="F912" s="56" t="s">
        <v>70</v>
      </c>
    </row>
    <row r="913" spans="1:6" ht="13">
      <c r="A913" s="16">
        <v>180</v>
      </c>
      <c r="B913" s="16">
        <v>1.8571428571428572</v>
      </c>
      <c r="C913">
        <v>4</v>
      </c>
      <c r="D913" s="57">
        <f>koronahun!AD849</f>
        <v>3</v>
      </c>
      <c r="E913" s="56" t="s">
        <v>70</v>
      </c>
      <c r="F913" s="56" t="s">
        <v>70</v>
      </c>
    </row>
    <row r="914" spans="1:6" ht="13">
      <c r="A914" s="16">
        <v>181</v>
      </c>
      <c r="B914" s="16">
        <v>1.7142857142857142</v>
      </c>
      <c r="C914">
        <v>3</v>
      </c>
      <c r="D914">
        <f>koronahun!AD850</f>
        <v>0</v>
      </c>
      <c r="E914" s="56" t="s">
        <v>70</v>
      </c>
      <c r="F914" s="56" t="s">
        <v>70</v>
      </c>
    </row>
    <row r="915" spans="1:6" ht="13">
      <c r="A915" s="16">
        <v>182</v>
      </c>
      <c r="B915" s="16">
        <v>1.4285714285714286</v>
      </c>
      <c r="C915">
        <v>2.8571428571428572</v>
      </c>
      <c r="D915">
        <f>koronahun!AD851</f>
        <v>0</v>
      </c>
      <c r="E915" s="56" t="s">
        <v>70</v>
      </c>
      <c r="F915" s="56" t="s">
        <v>70</v>
      </c>
    </row>
    <row r="916" spans="1:6" ht="13">
      <c r="A916" s="16">
        <v>183</v>
      </c>
      <c r="B916" s="16">
        <v>1.4285714285714286</v>
      </c>
      <c r="C916">
        <v>1.7142857142857142</v>
      </c>
      <c r="D916">
        <f>koronahun!AD852</f>
        <v>0</v>
      </c>
      <c r="E916" s="56" t="s">
        <v>70</v>
      </c>
      <c r="F916" s="56" t="s">
        <v>70</v>
      </c>
    </row>
    <row r="917" spans="1:6" ht="13">
      <c r="A917" s="16">
        <v>184</v>
      </c>
      <c r="B917" s="16">
        <v>1.4285714285714286</v>
      </c>
      <c r="D917">
        <f>koronahun!AD853</f>
        <v>0</v>
      </c>
      <c r="E917" s="56" t="s">
        <v>70</v>
      </c>
      <c r="F917" s="56" t="s">
        <v>70</v>
      </c>
    </row>
    <row r="918" spans="1:6" ht="13">
      <c r="A918" s="16">
        <v>185</v>
      </c>
      <c r="B918" s="16">
        <v>1.5714285714285714</v>
      </c>
      <c r="D918">
        <f>koronahun!AD854</f>
        <v>0</v>
      </c>
      <c r="E918" s="56" t="s">
        <v>70</v>
      </c>
      <c r="F918" s="56" t="s">
        <v>70</v>
      </c>
    </row>
    <row r="919" spans="1:6" ht="13">
      <c r="A919" s="16">
        <v>186</v>
      </c>
      <c r="B919" s="16">
        <v>1.1428571428571428</v>
      </c>
      <c r="C919">
        <v>1</v>
      </c>
      <c r="D919">
        <f>koronahun!AD855</f>
        <v>0</v>
      </c>
      <c r="E919" s="56" t="s">
        <v>70</v>
      </c>
      <c r="F919" s="56" t="s">
        <v>70</v>
      </c>
    </row>
    <row r="920" spans="1:6" ht="13">
      <c r="A920" s="16">
        <v>187</v>
      </c>
      <c r="B920" s="16">
        <v>0.5714285714285714</v>
      </c>
      <c r="C920">
        <v>1</v>
      </c>
      <c r="D920" s="57">
        <f>koronahun!AD856</f>
        <v>2</v>
      </c>
      <c r="E920" s="56" t="s">
        <v>70</v>
      </c>
      <c r="F920" s="56" t="s">
        <v>70</v>
      </c>
    </row>
    <row r="921" spans="1:6" ht="13">
      <c r="A921" s="16">
        <v>188</v>
      </c>
      <c r="B921" s="16">
        <v>0.5714285714285714</v>
      </c>
      <c r="C921">
        <v>1</v>
      </c>
      <c r="D921">
        <f>koronahun!AD857</f>
        <v>0</v>
      </c>
      <c r="E921" s="56" t="s">
        <v>70</v>
      </c>
      <c r="F921" s="56" t="s">
        <v>70</v>
      </c>
    </row>
    <row r="922" spans="1:6" ht="13">
      <c r="A922" s="16">
        <v>189</v>
      </c>
      <c r="B922" s="16">
        <v>0.42857142857142855</v>
      </c>
      <c r="C922">
        <v>1.7142857142857142</v>
      </c>
      <c r="D922">
        <f>koronahun!AD858</f>
        <v>0</v>
      </c>
      <c r="E922" s="56" t="s">
        <v>70</v>
      </c>
      <c r="F922" s="56" t="s">
        <v>70</v>
      </c>
    </row>
    <row r="923" spans="1:6" ht="13">
      <c r="A923" s="16">
        <v>190</v>
      </c>
      <c r="B923" s="16">
        <v>0.5714285714285714</v>
      </c>
      <c r="C923">
        <v>1.7142857142857142</v>
      </c>
      <c r="D923">
        <f>koronahun!AD859</f>
        <v>0</v>
      </c>
      <c r="E923" s="56" t="s">
        <v>70</v>
      </c>
      <c r="F923" s="56" t="s">
        <v>70</v>
      </c>
    </row>
    <row r="924" spans="1:6" ht="13">
      <c r="A924" s="16">
        <v>191</v>
      </c>
      <c r="B924" s="16">
        <v>0.7142857142857143</v>
      </c>
      <c r="D924">
        <f>koronahun!AD860</f>
        <v>0</v>
      </c>
      <c r="E924" s="56" t="s">
        <v>70</v>
      </c>
      <c r="F924" s="56" t="s">
        <v>70</v>
      </c>
    </row>
    <row r="925" spans="1:6" ht="13">
      <c r="A925" s="16">
        <v>192</v>
      </c>
      <c r="B925" s="16">
        <v>0.8571428571428571</v>
      </c>
      <c r="D925">
        <f>koronahun!AD861</f>
        <v>0</v>
      </c>
      <c r="E925" s="56" t="s">
        <v>70</v>
      </c>
      <c r="F925" s="56" t="s">
        <v>70</v>
      </c>
    </row>
    <row r="926" spans="1:6" ht="13">
      <c r="A926" s="16">
        <v>193</v>
      </c>
      <c r="B926" s="16">
        <v>0.8571428571428571</v>
      </c>
      <c r="C926">
        <v>1.5714285714285714</v>
      </c>
      <c r="D926">
        <f>koronahun!AD862</f>
        <v>0</v>
      </c>
      <c r="E926" s="56" t="s">
        <v>70</v>
      </c>
      <c r="F926" s="56" t="s">
        <v>70</v>
      </c>
    </row>
    <row r="927" spans="1:6" ht="13">
      <c r="A927" s="16">
        <v>194</v>
      </c>
      <c r="B927" s="16">
        <v>0.8571428571428571</v>
      </c>
      <c r="C927">
        <v>1.7142857142857142</v>
      </c>
      <c r="D927" s="57">
        <f>koronahun!AD863</f>
        <v>5</v>
      </c>
      <c r="E927" s="56" t="s">
        <v>70</v>
      </c>
      <c r="F927" s="56" t="s">
        <v>70</v>
      </c>
    </row>
    <row r="928" spans="1:6" ht="13">
      <c r="A928" s="16">
        <v>195</v>
      </c>
      <c r="B928" s="16">
        <v>0.8571428571428571</v>
      </c>
      <c r="C928">
        <v>2</v>
      </c>
      <c r="D928">
        <f>koronahun!AD864</f>
        <v>0</v>
      </c>
      <c r="E928" s="56" t="s">
        <v>70</v>
      </c>
      <c r="F928" s="56" t="s">
        <v>70</v>
      </c>
    </row>
    <row r="929" spans="1:6" ht="13">
      <c r="A929" s="16">
        <v>196</v>
      </c>
      <c r="B929" s="16">
        <v>0.8571428571428571</v>
      </c>
      <c r="C929">
        <v>1.2857142857142858</v>
      </c>
      <c r="D929">
        <f>koronahun!AD865</f>
        <v>0</v>
      </c>
      <c r="E929" s="56" t="s">
        <v>70</v>
      </c>
      <c r="F929" s="56" t="s">
        <v>70</v>
      </c>
    </row>
    <row r="930" spans="1:6" ht="13">
      <c r="A930" s="16">
        <v>197</v>
      </c>
      <c r="B930" s="16">
        <v>0.5714285714285714</v>
      </c>
      <c r="C930">
        <v>1.5714285714285714</v>
      </c>
      <c r="D930">
        <f>koronahun!AD866</f>
        <v>0</v>
      </c>
      <c r="E930" s="56" t="s">
        <v>70</v>
      </c>
      <c r="F930" s="56" t="s">
        <v>70</v>
      </c>
    </row>
    <row r="931" spans="1:6" ht="13">
      <c r="A931" s="16">
        <v>198</v>
      </c>
      <c r="B931" s="16">
        <v>0.2857142857142857</v>
      </c>
      <c r="D931">
        <f>koronahun!AD867</f>
        <v>0</v>
      </c>
      <c r="E931" s="56" t="s">
        <v>70</v>
      </c>
      <c r="F931" s="56" t="s">
        <v>70</v>
      </c>
    </row>
    <row r="932" spans="1:6" ht="13">
      <c r="A932" s="16">
        <v>199</v>
      </c>
      <c r="B932" s="16">
        <v>0.14285714285714285</v>
      </c>
      <c r="D932">
        <f>koronahun!AD868</f>
        <v>0</v>
      </c>
      <c r="E932" s="56" t="s">
        <v>70</v>
      </c>
      <c r="F932" s="56" t="s">
        <v>70</v>
      </c>
    </row>
    <row r="933" spans="1:6" ht="13">
      <c r="A933" s="16">
        <v>200</v>
      </c>
      <c r="B933" s="16">
        <v>0.14285714285714285</v>
      </c>
      <c r="C933">
        <v>1.4285714285714286</v>
      </c>
      <c r="D933">
        <f>koronahun!AD869</f>
        <v>0</v>
      </c>
      <c r="E933" s="56" t="s">
        <v>70</v>
      </c>
      <c r="F933" s="56" t="s">
        <v>70</v>
      </c>
    </row>
    <row r="934" spans="1:6" ht="13">
      <c r="A934" s="16">
        <v>201</v>
      </c>
      <c r="B934" s="16">
        <v>0.14285714285714285</v>
      </c>
      <c r="C934">
        <v>1.2857142857142858</v>
      </c>
      <c r="D934" s="57">
        <f>koronahun!AD870</f>
        <v>5.7142857142857144</v>
      </c>
      <c r="E934" s="56" t="s">
        <v>70</v>
      </c>
      <c r="F934" s="56" t="s">
        <v>70</v>
      </c>
    </row>
    <row r="935" spans="1:6" ht="13">
      <c r="A935" s="16">
        <v>202</v>
      </c>
      <c r="B935" s="16">
        <v>0.14285714285714285</v>
      </c>
      <c r="C935">
        <v>0.8571428571428571</v>
      </c>
      <c r="D935">
        <f>koronahun!AD871</f>
        <v>0</v>
      </c>
      <c r="E935" s="56" t="s">
        <v>70</v>
      </c>
      <c r="F935" s="56" t="s">
        <v>70</v>
      </c>
    </row>
    <row r="936" spans="1:6" ht="13">
      <c r="A936" s="16">
        <v>203</v>
      </c>
      <c r="B936" s="16">
        <v>0.14285714285714285</v>
      </c>
      <c r="C936">
        <v>1</v>
      </c>
      <c r="D936">
        <f>koronahun!AD872</f>
        <v>0</v>
      </c>
      <c r="E936" s="56" t="s">
        <v>70</v>
      </c>
      <c r="F936" s="56" t="s">
        <v>70</v>
      </c>
    </row>
    <row r="937" spans="1:6" ht="13">
      <c r="A937" s="16">
        <v>204</v>
      </c>
      <c r="B937" s="16">
        <v>0.14285714285714285</v>
      </c>
      <c r="C937">
        <v>0.7142857142857143</v>
      </c>
      <c r="D937">
        <f>koronahun!AD873</f>
        <v>0</v>
      </c>
      <c r="E937" s="56" t="s">
        <v>70</v>
      </c>
      <c r="F937" s="56" t="s">
        <v>70</v>
      </c>
    </row>
    <row r="938" spans="1:6" ht="13">
      <c r="A938" s="16">
        <v>205</v>
      </c>
      <c r="B938" s="16">
        <v>0.14285714285714285</v>
      </c>
      <c r="D938">
        <f>koronahun!AD874</f>
        <v>0</v>
      </c>
      <c r="E938" s="56" t="s">
        <v>70</v>
      </c>
      <c r="F938" s="56" t="s">
        <v>70</v>
      </c>
    </row>
    <row r="939" spans="1:6" ht="13">
      <c r="A939" s="16">
        <v>206</v>
      </c>
      <c r="B939" s="16">
        <v>0</v>
      </c>
      <c r="D939">
        <f>koronahun!AD875</f>
        <v>0</v>
      </c>
      <c r="E939" s="56" t="s">
        <v>70</v>
      </c>
      <c r="F939" s="56" t="s">
        <v>70</v>
      </c>
    </row>
    <row r="940" spans="1:6" ht="13">
      <c r="A940" s="16">
        <v>207</v>
      </c>
      <c r="B940" s="16">
        <v>0</v>
      </c>
      <c r="C940">
        <v>0.42857142857142855</v>
      </c>
      <c r="D940">
        <f>koronahun!AD876</f>
        <v>0</v>
      </c>
      <c r="E940" s="56" t="s">
        <v>70</v>
      </c>
      <c r="F940" s="56" t="s">
        <v>70</v>
      </c>
    </row>
    <row r="941" spans="1:6" ht="13">
      <c r="A941" s="16">
        <v>208</v>
      </c>
      <c r="B941" s="16">
        <v>0</v>
      </c>
      <c r="C941">
        <v>0.2857142857142857</v>
      </c>
      <c r="D941" s="57">
        <f>koronahun!AD877</f>
        <v>7.7142857142857144</v>
      </c>
      <c r="E941" s="56" t="s">
        <v>70</v>
      </c>
      <c r="F941" s="56" t="s">
        <v>70</v>
      </c>
    </row>
    <row r="942" spans="1:6" ht="13">
      <c r="A942" s="16">
        <v>209</v>
      </c>
      <c r="B942" s="16">
        <v>0</v>
      </c>
      <c r="C942">
        <v>0.8571428571428571</v>
      </c>
      <c r="D942">
        <f>koronahun!AD878</f>
        <v>0</v>
      </c>
      <c r="E942" s="56" t="s">
        <v>70</v>
      </c>
      <c r="F942" s="56" t="s">
        <v>70</v>
      </c>
    </row>
    <row r="943" spans="1:6" ht="13">
      <c r="A943" s="16">
        <v>210</v>
      </c>
      <c r="B943" s="16">
        <v>0</v>
      </c>
      <c r="C943">
        <v>0.7142857142857143</v>
      </c>
      <c r="D943">
        <f>koronahun!AD879</f>
        <v>0</v>
      </c>
      <c r="E943" s="56" t="s">
        <v>70</v>
      </c>
      <c r="F943" s="56" t="s">
        <v>70</v>
      </c>
    </row>
    <row r="944" spans="1:6" ht="13">
      <c r="A944" s="16">
        <v>211</v>
      </c>
      <c r="B944" s="16">
        <v>0</v>
      </c>
      <c r="C944">
        <v>0.8571428571428571</v>
      </c>
      <c r="D944">
        <f>koronahun!AD880</f>
        <v>0</v>
      </c>
      <c r="E944" s="56" t="s">
        <v>70</v>
      </c>
      <c r="F944" s="56" t="s">
        <v>70</v>
      </c>
    </row>
    <row r="945" spans="1:6" ht="13">
      <c r="A945" s="16">
        <v>212</v>
      </c>
      <c r="B945" s="16">
        <v>0</v>
      </c>
      <c r="D945">
        <f>koronahun!AD881</f>
        <v>0</v>
      </c>
      <c r="E945" s="56" t="s">
        <v>70</v>
      </c>
      <c r="F945" s="56" t="s">
        <v>70</v>
      </c>
    </row>
    <row r="946" spans="1:6" ht="13">
      <c r="A946" s="16">
        <v>213</v>
      </c>
      <c r="B946" s="16">
        <v>0.14285714285714285</v>
      </c>
      <c r="D946">
        <f>koronahun!AD882</f>
        <v>0</v>
      </c>
      <c r="E946" s="56" t="s">
        <v>70</v>
      </c>
      <c r="F946" s="56" t="s">
        <v>70</v>
      </c>
    </row>
    <row r="947" spans="1:6" ht="13">
      <c r="A947" s="16">
        <v>214</v>
      </c>
      <c r="B947" s="16">
        <v>0.14285714285714285</v>
      </c>
      <c r="C947">
        <v>1</v>
      </c>
      <c r="D947">
        <f>koronahun!AD883</f>
        <v>0</v>
      </c>
      <c r="E947" s="56" t="s">
        <v>70</v>
      </c>
      <c r="F947" s="56" t="s">
        <v>70</v>
      </c>
    </row>
    <row r="948" spans="1:6" ht="13">
      <c r="A948" s="16">
        <v>215</v>
      </c>
      <c r="B948" s="16">
        <v>0.14285714285714285</v>
      </c>
      <c r="C948">
        <v>1.1428571428571428</v>
      </c>
      <c r="D948" s="57">
        <f>koronahun!AD884</f>
        <v>13.714285714285714</v>
      </c>
      <c r="E948" s="56" t="s">
        <v>70</v>
      </c>
      <c r="F948" s="56" t="s">
        <v>70</v>
      </c>
    </row>
    <row r="949" spans="1:6" ht="13">
      <c r="A949" s="16">
        <v>216</v>
      </c>
      <c r="B949" s="16">
        <v>0.2857142857142857</v>
      </c>
      <c r="C949">
        <v>1</v>
      </c>
      <c r="D949">
        <f>koronahun!AD885</f>
        <v>0</v>
      </c>
      <c r="E949" s="56" t="s">
        <v>70</v>
      </c>
      <c r="F949" s="56" t="s">
        <v>70</v>
      </c>
    </row>
    <row r="950" spans="1:6" ht="13">
      <c r="A950" s="16">
        <v>217</v>
      </c>
      <c r="B950" s="16">
        <v>0.42857142857142855</v>
      </c>
      <c r="C950">
        <v>1</v>
      </c>
      <c r="D950">
        <f>koronahun!AD886</f>
        <v>0</v>
      </c>
      <c r="E950" s="56" t="s">
        <v>70</v>
      </c>
      <c r="F950" s="56" t="s">
        <v>70</v>
      </c>
    </row>
    <row r="951" spans="1:6" ht="13">
      <c r="A951" s="16">
        <v>218</v>
      </c>
      <c r="B951" s="16">
        <v>0.5714285714285714</v>
      </c>
      <c r="C951">
        <v>1</v>
      </c>
      <c r="D951">
        <f>koronahun!AD887</f>
        <v>0</v>
      </c>
      <c r="E951" s="56" t="s">
        <v>70</v>
      </c>
      <c r="F951" s="56" t="s">
        <v>70</v>
      </c>
    </row>
    <row r="952" spans="1:6" ht="13">
      <c r="A952" s="16">
        <v>219</v>
      </c>
      <c r="B952" s="16">
        <v>0.8571428571428571</v>
      </c>
      <c r="D952">
        <f>koronahun!AD888</f>
        <v>0</v>
      </c>
      <c r="E952" s="56" t="s">
        <v>70</v>
      </c>
      <c r="F952" s="56" t="s">
        <v>70</v>
      </c>
    </row>
    <row r="953" spans="1:6" ht="13">
      <c r="A953" s="16">
        <v>220</v>
      </c>
      <c r="B953" s="16">
        <v>0.7142857142857143</v>
      </c>
      <c r="D953">
        <f>koronahun!AD889</f>
        <v>0</v>
      </c>
      <c r="E953" s="56" t="s">
        <v>70</v>
      </c>
      <c r="F953" s="56" t="s">
        <v>70</v>
      </c>
    </row>
    <row r="954" spans="1:6" ht="13">
      <c r="A954" s="16">
        <v>221</v>
      </c>
      <c r="B954" s="16">
        <v>0.7142857142857143</v>
      </c>
      <c r="C954">
        <v>1.4285714285714286</v>
      </c>
      <c r="D954">
        <f>koronahun!AD890</f>
        <v>0</v>
      </c>
      <c r="E954" s="56" t="s">
        <v>70</v>
      </c>
      <c r="F954" s="56" t="s">
        <v>70</v>
      </c>
    </row>
    <row r="955" spans="1:6" ht="13">
      <c r="A955" s="16">
        <v>222</v>
      </c>
      <c r="B955" s="16">
        <v>1.1428571428571428</v>
      </c>
      <c r="C955">
        <v>1.1428571428571428</v>
      </c>
      <c r="D955" s="57">
        <f>koronahun!AD891</f>
        <v>11.428571428571429</v>
      </c>
      <c r="E955" s="56" t="s">
        <v>70</v>
      </c>
      <c r="F955" s="56" t="s">
        <v>70</v>
      </c>
    </row>
    <row r="956" spans="1:6" ht="13">
      <c r="A956" s="16">
        <v>223</v>
      </c>
      <c r="B956" s="16">
        <v>1</v>
      </c>
      <c r="C956">
        <v>0.7142857142857143</v>
      </c>
      <c r="D956">
        <f>koronahun!AD892</f>
        <v>0</v>
      </c>
      <c r="E956" s="56" t="s">
        <v>70</v>
      </c>
      <c r="F956" s="56" t="s">
        <v>70</v>
      </c>
    </row>
    <row r="957" spans="1:6" ht="13">
      <c r="A957" s="16">
        <v>224</v>
      </c>
      <c r="B957" s="16">
        <v>0.8571428571428571</v>
      </c>
      <c r="C957">
        <v>0.7142857142857143</v>
      </c>
      <c r="D957">
        <f>koronahun!AD893</f>
        <v>0</v>
      </c>
      <c r="E957" s="56" t="s">
        <v>70</v>
      </c>
      <c r="F957" s="56" t="s">
        <v>70</v>
      </c>
    </row>
    <row r="958" spans="1:6" ht="13">
      <c r="A958" s="16">
        <v>225</v>
      </c>
      <c r="B958" s="16">
        <v>1</v>
      </c>
      <c r="C958">
        <v>0.7142857142857143</v>
      </c>
      <c r="D958">
        <f>koronahun!AD894</f>
        <v>0</v>
      </c>
      <c r="E958" s="56" t="s">
        <v>70</v>
      </c>
      <c r="F958" s="56" t="s">
        <v>70</v>
      </c>
    </row>
    <row r="959" spans="1:6" ht="13">
      <c r="A959" s="16">
        <v>226</v>
      </c>
      <c r="B959" s="16">
        <v>0.7142857142857143</v>
      </c>
      <c r="D959">
        <f>koronahun!AD895</f>
        <v>0</v>
      </c>
      <c r="E959" s="56" t="s">
        <v>70</v>
      </c>
      <c r="F959" s="56" t="s">
        <v>70</v>
      </c>
    </row>
    <row r="960" spans="1:6" ht="13">
      <c r="A960" s="16">
        <v>227</v>
      </c>
      <c r="B960" s="16">
        <v>0.7142857142857143</v>
      </c>
      <c r="D960">
        <f>koronahun!AD896</f>
        <v>0</v>
      </c>
      <c r="E960" s="56" t="s">
        <v>70</v>
      </c>
      <c r="F960" s="56" t="s">
        <v>70</v>
      </c>
    </row>
    <row r="961" spans="1:6" ht="13">
      <c r="A961" s="16">
        <v>228</v>
      </c>
      <c r="B961" s="16">
        <v>0.8571428571428571</v>
      </c>
      <c r="C961">
        <v>0.5714285714285714</v>
      </c>
      <c r="D961">
        <f>koronahun!AD897</f>
        <v>0</v>
      </c>
      <c r="E961" s="56" t="s">
        <v>70</v>
      </c>
      <c r="F961" s="56" t="s">
        <v>70</v>
      </c>
    </row>
    <row r="962" spans="1:6" ht="13">
      <c r="A962" s="16">
        <v>229</v>
      </c>
      <c r="B962" s="16">
        <v>0.42857142857142855</v>
      </c>
      <c r="C962">
        <v>0.7142857142857143</v>
      </c>
      <c r="D962" s="57">
        <f>koronahun!AD898</f>
        <v>16.714285714285715</v>
      </c>
      <c r="E962" s="56" t="s">
        <v>70</v>
      </c>
      <c r="F962" s="56" t="s">
        <v>70</v>
      </c>
    </row>
    <row r="963" spans="1:6" ht="13">
      <c r="A963" s="16">
        <v>230</v>
      </c>
      <c r="B963" s="16">
        <v>0.5714285714285714</v>
      </c>
      <c r="C963">
        <v>1.1428571428571428</v>
      </c>
      <c r="D963">
        <f>koronahun!AD899</f>
        <v>0</v>
      </c>
      <c r="E963" s="56" t="s">
        <v>70</v>
      </c>
      <c r="F963" s="56" t="s">
        <v>70</v>
      </c>
    </row>
    <row r="964" spans="1:6" ht="13">
      <c r="A964" s="16">
        <v>231</v>
      </c>
      <c r="B964" s="16">
        <v>0.5714285714285714</v>
      </c>
      <c r="C964">
        <v>1.2857142857142858</v>
      </c>
      <c r="D964">
        <f>koronahun!AD900</f>
        <v>0</v>
      </c>
      <c r="E964" s="56" t="s">
        <v>70</v>
      </c>
      <c r="F964" s="56" t="s">
        <v>70</v>
      </c>
    </row>
    <row r="965" spans="1:6" ht="13">
      <c r="A965" s="16">
        <v>232</v>
      </c>
      <c r="B965" s="16">
        <v>0.2857142857142857</v>
      </c>
      <c r="D965">
        <f>koronahun!AD901</f>
        <v>0</v>
      </c>
      <c r="E965" s="56" t="s">
        <v>70</v>
      </c>
      <c r="F965" s="56" t="s">
        <v>70</v>
      </c>
    </row>
    <row r="966" spans="1:6" ht="13">
      <c r="A966" s="16">
        <v>233</v>
      </c>
      <c r="B966" s="16">
        <v>0.5714285714285714</v>
      </c>
      <c r="D966">
        <f>koronahun!AD902</f>
        <v>0</v>
      </c>
      <c r="E966" s="56" t="s">
        <v>70</v>
      </c>
      <c r="F966" s="56" t="s">
        <v>70</v>
      </c>
    </row>
    <row r="967" spans="1:6" ht="13">
      <c r="A967" s="16">
        <v>234</v>
      </c>
      <c r="B967" s="16">
        <v>0.5714285714285714</v>
      </c>
      <c r="D967">
        <f>koronahun!AD903</f>
        <v>0</v>
      </c>
      <c r="E967" s="56" t="s">
        <v>70</v>
      </c>
      <c r="F967" s="56" t="s">
        <v>70</v>
      </c>
    </row>
    <row r="968" spans="1:6" ht="13">
      <c r="A968" s="16">
        <v>235</v>
      </c>
      <c r="B968" s="16">
        <v>0.7142857142857143</v>
      </c>
      <c r="C968">
        <v>1.5714285714285714</v>
      </c>
      <c r="D968">
        <f>koronahun!AD904</f>
        <v>0</v>
      </c>
      <c r="E968" s="56" t="s">
        <v>70</v>
      </c>
      <c r="F968" s="56" t="s">
        <v>70</v>
      </c>
    </row>
    <row r="969" spans="1:6" ht="13">
      <c r="A969" s="16">
        <v>236</v>
      </c>
      <c r="B969" s="16">
        <v>0.7142857142857143</v>
      </c>
      <c r="C969">
        <v>1.7142857142857142</v>
      </c>
      <c r="D969" s="57">
        <f>koronahun!AD905</f>
        <v>15.428571428571429</v>
      </c>
      <c r="E969" s="56" t="s">
        <v>70</v>
      </c>
      <c r="F969" s="56" t="s">
        <v>70</v>
      </c>
    </row>
    <row r="970" spans="1:6" ht="13">
      <c r="A970" s="16">
        <v>237</v>
      </c>
      <c r="B970" s="16">
        <v>0.7142857142857143</v>
      </c>
      <c r="C970">
        <v>1.4285714285714286</v>
      </c>
      <c r="D970">
        <f>koronahun!AD906</f>
        <v>0</v>
      </c>
      <c r="E970" s="56" t="s">
        <v>70</v>
      </c>
      <c r="F970" s="56" t="s">
        <v>70</v>
      </c>
    </row>
    <row r="971" spans="1:6" ht="13">
      <c r="A971" s="16">
        <v>238</v>
      </c>
      <c r="B971" s="16">
        <v>0.7142857142857143</v>
      </c>
      <c r="C971">
        <v>1.4285714285714286</v>
      </c>
      <c r="D971">
        <f>koronahun!AD907</f>
        <v>0</v>
      </c>
      <c r="E971" s="56" t="s">
        <v>70</v>
      </c>
      <c r="F971" s="56" t="s">
        <v>70</v>
      </c>
    </row>
    <row r="972" spans="1:6" ht="13">
      <c r="A972" s="16">
        <v>239</v>
      </c>
      <c r="B972" s="16">
        <v>0.7142857142857143</v>
      </c>
      <c r="C972">
        <v>1.5714285714285714</v>
      </c>
      <c r="D972">
        <f>koronahun!AD908</f>
        <v>0</v>
      </c>
      <c r="E972" s="56" t="s">
        <v>70</v>
      </c>
      <c r="F972" s="56" t="s">
        <v>70</v>
      </c>
    </row>
    <row r="973" spans="1:6" ht="13">
      <c r="A973" s="16">
        <v>240</v>
      </c>
      <c r="B973" s="16">
        <v>0.42857142857142855</v>
      </c>
      <c r="D973">
        <f>koronahun!AD909</f>
        <v>0</v>
      </c>
      <c r="E973" s="56" t="s">
        <v>70</v>
      </c>
      <c r="F973" s="56" t="s">
        <v>70</v>
      </c>
    </row>
    <row r="974" spans="1:6" ht="13">
      <c r="A974" s="16">
        <v>241</v>
      </c>
      <c r="B974" s="16">
        <v>0.42857142857142855</v>
      </c>
      <c r="D974">
        <f>koronahun!AD910</f>
        <v>0</v>
      </c>
      <c r="E974" s="56" t="s">
        <v>70</v>
      </c>
      <c r="F974" s="56" t="s">
        <v>70</v>
      </c>
    </row>
    <row r="975" spans="1:6" ht="13">
      <c r="A975" s="16">
        <v>242</v>
      </c>
      <c r="B975" s="16">
        <v>0.14285714285714285</v>
      </c>
      <c r="C975">
        <v>0.7142857142857143</v>
      </c>
      <c r="D975">
        <f>koronahun!AD911</f>
        <v>0</v>
      </c>
      <c r="E975" s="56" t="s">
        <v>70</v>
      </c>
      <c r="F975" s="56" t="s">
        <v>70</v>
      </c>
    </row>
    <row r="976" spans="1:6" ht="13">
      <c r="A976" s="16">
        <v>243</v>
      </c>
      <c r="B976" s="16">
        <v>0.2857142857142857</v>
      </c>
      <c r="C976">
        <v>0.5714285714285714</v>
      </c>
      <c r="D976" s="57">
        <f>koronahun!AD912</f>
        <v>14.285714285714286</v>
      </c>
      <c r="E976" s="56" t="s">
        <v>70</v>
      </c>
      <c r="F976" s="56" t="s">
        <v>70</v>
      </c>
    </row>
    <row r="977" spans="1:6" ht="13">
      <c r="A977" s="16">
        <v>244</v>
      </c>
      <c r="B977" s="16">
        <v>0.2857142857142857</v>
      </c>
      <c r="C977">
        <v>0.5714285714285714</v>
      </c>
      <c r="D977">
        <f>koronahun!AD913</f>
        <v>0</v>
      </c>
      <c r="E977" s="56" t="s">
        <v>70</v>
      </c>
      <c r="F977" s="56" t="s">
        <v>70</v>
      </c>
    </row>
    <row r="978" spans="1:6" ht="13">
      <c r="A978" s="16">
        <v>245</v>
      </c>
      <c r="B978" s="16">
        <v>0.7142857142857143</v>
      </c>
      <c r="C978">
        <v>0.5714285714285714</v>
      </c>
      <c r="D978">
        <f>koronahun!AD914</f>
        <v>0</v>
      </c>
      <c r="E978" s="56" t="s">
        <v>70</v>
      </c>
      <c r="F978" s="56" t="s">
        <v>70</v>
      </c>
    </row>
    <row r="979" spans="1:6" ht="13">
      <c r="A979" s="16">
        <v>246</v>
      </c>
      <c r="B979" s="16">
        <v>0.8571428571428571</v>
      </c>
      <c r="C979">
        <v>0.5714285714285714</v>
      </c>
      <c r="D979">
        <f>koronahun!AD915</f>
        <v>0</v>
      </c>
      <c r="E979" s="56" t="s">
        <v>70</v>
      </c>
      <c r="F979" s="56" t="s">
        <v>70</v>
      </c>
    </row>
    <row r="980" spans="1:6" ht="13">
      <c r="A980" s="16">
        <v>247</v>
      </c>
      <c r="B980" s="16">
        <v>1</v>
      </c>
      <c r="D980">
        <f>koronahun!AD916</f>
        <v>0</v>
      </c>
      <c r="E980" s="56" t="s">
        <v>70</v>
      </c>
      <c r="F980" s="56" t="s">
        <v>70</v>
      </c>
    </row>
    <row r="981" spans="1:6" ht="13">
      <c r="A981" s="16">
        <v>248</v>
      </c>
      <c r="B981" s="16">
        <v>1.4285714285714286</v>
      </c>
      <c r="D981">
        <f>koronahun!AD917</f>
        <v>0</v>
      </c>
      <c r="E981" s="56" t="s">
        <v>70</v>
      </c>
      <c r="F981" s="56" t="s">
        <v>70</v>
      </c>
    </row>
    <row r="982" spans="1:6" ht="13">
      <c r="A982" s="16">
        <v>249</v>
      </c>
      <c r="B982" s="16">
        <v>1.4285714285714286</v>
      </c>
      <c r="C982">
        <v>1.8571428571428572</v>
      </c>
      <c r="D982">
        <f>koronahun!AD918</f>
        <v>0</v>
      </c>
      <c r="E982" s="56" t="s">
        <v>70</v>
      </c>
      <c r="F982" s="56" t="s">
        <v>70</v>
      </c>
    </row>
    <row r="983" spans="1:6" ht="13">
      <c r="A983" s="16">
        <v>250</v>
      </c>
      <c r="B983" s="16">
        <v>1.4285714285714286</v>
      </c>
      <c r="C983">
        <v>2.2857142857142856</v>
      </c>
      <c r="D983" s="57">
        <f>koronahun!AD919</f>
        <v>10.857142857142858</v>
      </c>
      <c r="E983" s="56" t="s">
        <v>70</v>
      </c>
      <c r="F983" s="56" t="s">
        <v>70</v>
      </c>
    </row>
    <row r="984" spans="1:6" ht="13">
      <c r="A984" s="16">
        <v>251</v>
      </c>
      <c r="B984" s="16">
        <v>1.4285714285714286</v>
      </c>
      <c r="C984">
        <v>2.5714285714285716</v>
      </c>
      <c r="D984">
        <f>koronahun!AD920</f>
        <v>0</v>
      </c>
      <c r="E984" s="56" t="s">
        <v>70</v>
      </c>
      <c r="F984" s="56" t="s">
        <v>70</v>
      </c>
    </row>
    <row r="985" spans="1:6" ht="13">
      <c r="A985" s="16">
        <v>252</v>
      </c>
      <c r="B985" s="16">
        <v>1.2857142857142858</v>
      </c>
      <c r="C985">
        <v>2.8571428571428572</v>
      </c>
      <c r="D985">
        <f>koronahun!AD921</f>
        <v>0</v>
      </c>
      <c r="E985" s="56" t="s">
        <v>70</v>
      </c>
      <c r="F985" s="56" t="s">
        <v>70</v>
      </c>
    </row>
    <row r="986" spans="1:6" ht="13">
      <c r="A986" s="16">
        <v>253</v>
      </c>
      <c r="B986" s="16">
        <v>1.4285714285714286</v>
      </c>
      <c r="C986">
        <v>3.5714285714285716</v>
      </c>
      <c r="D986">
        <f>koronahun!AD922</f>
        <v>0</v>
      </c>
      <c r="E986" s="56" t="s">
        <v>70</v>
      </c>
      <c r="F986" s="56" t="s">
        <v>70</v>
      </c>
    </row>
    <row r="987" spans="1:6" ht="13">
      <c r="A987" s="16">
        <v>254</v>
      </c>
      <c r="B987" s="16">
        <v>1.4285714285714286</v>
      </c>
      <c r="D987">
        <f>koronahun!AD923</f>
        <v>0</v>
      </c>
      <c r="E987" s="56" t="s">
        <v>70</v>
      </c>
      <c r="F987" s="56" t="s">
        <v>70</v>
      </c>
    </row>
    <row r="988" spans="1:6" ht="13">
      <c r="A988" s="16">
        <v>255</v>
      </c>
      <c r="B988" s="16">
        <v>1.2857142857142858</v>
      </c>
      <c r="D988">
        <f>koronahun!AD924</f>
        <v>0</v>
      </c>
      <c r="E988" s="56" t="s">
        <v>70</v>
      </c>
      <c r="F988" s="56" t="s">
        <v>70</v>
      </c>
    </row>
    <row r="989" spans="1:6" ht="13">
      <c r="A989" s="16">
        <v>256</v>
      </c>
      <c r="B989" s="16">
        <v>1.8571428571428572</v>
      </c>
      <c r="C989">
        <v>4</v>
      </c>
      <c r="D989">
        <f>koronahun!AD925</f>
        <v>0</v>
      </c>
      <c r="E989" s="56" t="s">
        <v>70</v>
      </c>
      <c r="F989" s="56" t="s">
        <v>70</v>
      </c>
    </row>
    <row r="990" spans="1:6" ht="13">
      <c r="A990" s="16">
        <v>257</v>
      </c>
      <c r="B990" s="16">
        <v>2.4285714285714284</v>
      </c>
      <c r="C990">
        <v>4</v>
      </c>
      <c r="D990" s="57">
        <f>koronahun!AD926</f>
        <v>6</v>
      </c>
      <c r="E990" s="56" t="s">
        <v>70</v>
      </c>
      <c r="F990" s="56" t="s">
        <v>70</v>
      </c>
    </row>
    <row r="991" spans="1:6" ht="13">
      <c r="A991" s="16">
        <v>258</v>
      </c>
      <c r="B991" s="16">
        <v>2.8571428571428572</v>
      </c>
      <c r="C991">
        <v>5.2857142857142856</v>
      </c>
      <c r="D991">
        <f>koronahun!AD927</f>
        <v>0</v>
      </c>
      <c r="E991" s="56" t="s">
        <v>70</v>
      </c>
      <c r="F991" s="56" t="s">
        <v>70</v>
      </c>
    </row>
    <row r="992" spans="1:6" ht="13">
      <c r="A992" s="16">
        <v>259</v>
      </c>
      <c r="B992" s="16">
        <v>3.7142857142857144</v>
      </c>
      <c r="C992">
        <v>5.4285714285714288</v>
      </c>
      <c r="D992">
        <f>koronahun!AD928</f>
        <v>0</v>
      </c>
      <c r="E992" s="56" t="s">
        <v>70</v>
      </c>
      <c r="F992" s="56" t="s">
        <v>70</v>
      </c>
    </row>
    <row r="993" spans="1:6" ht="13">
      <c r="A993" s="16">
        <v>260</v>
      </c>
      <c r="B993" s="16">
        <v>4.7142857142857144</v>
      </c>
      <c r="C993">
        <v>5.2857142857142856</v>
      </c>
      <c r="D993">
        <f>koronahun!AD929</f>
        <v>0</v>
      </c>
      <c r="E993" s="56" t="s">
        <v>70</v>
      </c>
      <c r="F993" s="56" t="s">
        <v>70</v>
      </c>
    </row>
    <row r="994" spans="1:6" ht="13">
      <c r="A994" s="16">
        <v>261</v>
      </c>
      <c r="B994" s="16">
        <v>5.4285714285714288</v>
      </c>
      <c r="D994">
        <f>koronahun!AD930</f>
        <v>0</v>
      </c>
      <c r="E994" s="56" t="s">
        <v>70</v>
      </c>
      <c r="F994" s="56" t="s">
        <v>70</v>
      </c>
    </row>
    <row r="995" spans="1:6" ht="13">
      <c r="A995" s="16">
        <v>262</v>
      </c>
      <c r="B995" s="16">
        <v>6</v>
      </c>
      <c r="D995">
        <f>koronahun!AD931</f>
        <v>0</v>
      </c>
      <c r="E995" s="56" t="s">
        <v>70</v>
      </c>
      <c r="F995" s="56" t="s">
        <v>70</v>
      </c>
    </row>
    <row r="996" spans="1:6" ht="13">
      <c r="A996" s="16">
        <v>263</v>
      </c>
      <c r="B996" s="16">
        <v>6.5714285714285712</v>
      </c>
      <c r="C996">
        <v>5.4285714285714288</v>
      </c>
      <c r="D996">
        <f>koronahun!AD932</f>
        <v>0</v>
      </c>
      <c r="E996" s="56" t="s">
        <v>70</v>
      </c>
      <c r="F996" s="56" t="s">
        <v>70</v>
      </c>
    </row>
    <row r="997" spans="1:6" ht="13">
      <c r="A997" s="16">
        <v>264</v>
      </c>
      <c r="B997" s="16">
        <v>6.2857142857142856</v>
      </c>
      <c r="C997">
        <v>5.5714285714285712</v>
      </c>
      <c r="D997" s="57">
        <f>koronahun!AD933</f>
        <v>6.8571428571428568</v>
      </c>
      <c r="E997" s="56" t="s">
        <v>70</v>
      </c>
      <c r="F997" s="56" t="s">
        <v>70</v>
      </c>
    </row>
    <row r="998" spans="1:6" ht="13">
      <c r="A998" s="16">
        <v>265</v>
      </c>
      <c r="B998" s="16">
        <v>6.8571428571428568</v>
      </c>
      <c r="C998">
        <v>4.1428571428571432</v>
      </c>
      <c r="D998">
        <f>koronahun!AD934</f>
        <v>0</v>
      </c>
      <c r="E998" s="56" t="s">
        <v>70</v>
      </c>
      <c r="F998" s="56" t="s">
        <v>70</v>
      </c>
    </row>
    <row r="999" spans="1:6" ht="13">
      <c r="A999" s="16">
        <v>266</v>
      </c>
      <c r="B999" s="16">
        <v>6.8571428571428568</v>
      </c>
      <c r="C999">
        <v>3.8571428571428572</v>
      </c>
      <c r="D999">
        <f>koronahun!AD935</f>
        <v>0</v>
      </c>
      <c r="E999" s="56" t="s">
        <v>70</v>
      </c>
      <c r="F999" s="56" t="s">
        <v>70</v>
      </c>
    </row>
    <row r="1000" spans="1:6" ht="13">
      <c r="A1000" s="16">
        <v>267</v>
      </c>
      <c r="B1000" s="16">
        <v>6.5714285714285712</v>
      </c>
      <c r="C1000">
        <v>4</v>
      </c>
      <c r="D1000">
        <f>koronahun!AD936</f>
        <v>0</v>
      </c>
      <c r="E1000" s="56" t="s">
        <v>70</v>
      </c>
      <c r="F1000" s="56" t="s">
        <v>70</v>
      </c>
    </row>
    <row r="1001" spans="1:6" ht="13">
      <c r="A1001" s="16">
        <v>268</v>
      </c>
      <c r="B1001" s="16">
        <v>7</v>
      </c>
      <c r="D1001">
        <f>koronahun!AD937</f>
        <v>0</v>
      </c>
      <c r="E1001" s="56" t="s">
        <v>70</v>
      </c>
      <c r="F1001" s="56" t="s">
        <v>70</v>
      </c>
    </row>
    <row r="1002" spans="1:6" ht="13">
      <c r="A1002" s="16">
        <v>269</v>
      </c>
      <c r="B1002" s="16">
        <v>7.8571428571428568</v>
      </c>
      <c r="D1002">
        <f>koronahun!AD938</f>
        <v>0</v>
      </c>
      <c r="E1002" s="56" t="s">
        <v>70</v>
      </c>
      <c r="F1002" s="56" t="s">
        <v>70</v>
      </c>
    </row>
    <row r="1003" spans="1:6" ht="13">
      <c r="A1003" s="16">
        <v>270</v>
      </c>
      <c r="B1003" s="16">
        <v>7.5714285714285712</v>
      </c>
      <c r="C1003">
        <v>5</v>
      </c>
      <c r="D1003">
        <f>koronahun!AD939</f>
        <v>0</v>
      </c>
      <c r="E1003" s="56" t="s">
        <v>70</v>
      </c>
      <c r="F1003" s="56" t="s">
        <v>70</v>
      </c>
    </row>
    <row r="1004" spans="1:6" ht="13">
      <c r="A1004" s="16">
        <v>271</v>
      </c>
      <c r="B1004" s="16">
        <v>9</v>
      </c>
      <c r="C1004">
        <v>5.4285714285714288</v>
      </c>
      <c r="D1004" s="57">
        <f>koronahun!AD940</f>
        <v>6.5714285714285712</v>
      </c>
      <c r="E1004" s="56" t="s">
        <v>70</v>
      </c>
      <c r="F1004" s="56" t="s">
        <v>70</v>
      </c>
    </row>
    <row r="1005" spans="1:6" ht="13">
      <c r="A1005" s="16">
        <v>272</v>
      </c>
      <c r="B1005" s="16">
        <v>9</v>
      </c>
      <c r="C1005">
        <v>6</v>
      </c>
      <c r="D1005">
        <f>koronahun!AD941</f>
        <v>0</v>
      </c>
      <c r="E1005" s="56" t="s">
        <v>70</v>
      </c>
      <c r="F1005" s="56" t="s">
        <v>70</v>
      </c>
    </row>
    <row r="1006" spans="1:6" ht="13">
      <c r="A1006" s="16">
        <v>273</v>
      </c>
      <c r="B1006" s="16">
        <v>9</v>
      </c>
      <c r="C1006">
        <v>6.4285714285714288</v>
      </c>
      <c r="D1006">
        <f>koronahun!AD942</f>
        <v>0</v>
      </c>
      <c r="E1006" s="56" t="s">
        <v>70</v>
      </c>
      <c r="F1006" s="56" t="s">
        <v>70</v>
      </c>
    </row>
    <row r="1007" spans="1:6" ht="13">
      <c r="A1007" s="16">
        <v>274</v>
      </c>
      <c r="B1007" s="16">
        <v>10.285714285714286</v>
      </c>
      <c r="C1007">
        <v>6.8571428571428568</v>
      </c>
      <c r="D1007">
        <f>koronahun!AD943</f>
        <v>0</v>
      </c>
      <c r="E1007" s="56" t="s">
        <v>70</v>
      </c>
      <c r="F1007" s="56" t="s">
        <v>70</v>
      </c>
    </row>
    <row r="1008" spans="1:6" ht="13">
      <c r="A1008" s="16">
        <v>275</v>
      </c>
      <c r="B1008" s="16">
        <v>11.428571428571429</v>
      </c>
      <c r="D1008">
        <f>koronahun!AD944</f>
        <v>0</v>
      </c>
      <c r="E1008" s="56" t="s">
        <v>70</v>
      </c>
      <c r="F1008" s="56" t="s">
        <v>70</v>
      </c>
    </row>
    <row r="1009" spans="1:6" ht="13">
      <c r="A1009" s="16">
        <v>276</v>
      </c>
      <c r="B1009" s="16">
        <v>11.714285714285714</v>
      </c>
      <c r="D1009">
        <f>koronahun!AD945</f>
        <v>0</v>
      </c>
      <c r="E1009" s="56" t="s">
        <v>70</v>
      </c>
      <c r="F1009" s="56" t="s">
        <v>70</v>
      </c>
    </row>
    <row r="1010" spans="1:6" ht="13">
      <c r="A1010" s="16">
        <v>277</v>
      </c>
      <c r="B1010" s="16">
        <v>12.285714285714286</v>
      </c>
      <c r="C1010">
        <v>8.4285714285714288</v>
      </c>
      <c r="D1010">
        <f>koronahun!AD946</f>
        <v>0</v>
      </c>
      <c r="E1010" s="56" t="s">
        <v>70</v>
      </c>
      <c r="F1010" s="56" t="s">
        <v>70</v>
      </c>
    </row>
    <row r="1011" spans="1:6" ht="13">
      <c r="A1011" s="16">
        <v>278</v>
      </c>
      <c r="B1011" s="16">
        <v>12</v>
      </c>
      <c r="C1011">
        <v>9.5714285714285712</v>
      </c>
      <c r="D1011" s="57">
        <f>koronahun!AD947</f>
        <v>10.428571428571429</v>
      </c>
      <c r="E1011" s="56" t="s">
        <v>70</v>
      </c>
      <c r="F1011" s="56" t="s">
        <v>70</v>
      </c>
    </row>
    <row r="1012" spans="1:6" ht="13">
      <c r="A1012" s="16">
        <v>279</v>
      </c>
      <c r="B1012" s="16">
        <v>13.714285714285714</v>
      </c>
      <c r="C1012">
        <v>9.7142857142857135</v>
      </c>
      <c r="D1012">
        <f>koronahun!AD948</f>
        <v>0</v>
      </c>
      <c r="E1012" s="56" t="s">
        <v>70</v>
      </c>
      <c r="F1012" s="56" t="s">
        <v>70</v>
      </c>
    </row>
    <row r="1013" spans="1:6" ht="13">
      <c r="A1013" s="16">
        <v>280</v>
      </c>
      <c r="B1013" s="16">
        <v>16</v>
      </c>
      <c r="C1013">
        <v>9.8571428571428577</v>
      </c>
      <c r="D1013">
        <f>koronahun!AD949</f>
        <v>0</v>
      </c>
      <c r="E1013" s="56" t="s">
        <v>70</v>
      </c>
      <c r="F1013" s="56" t="s">
        <v>70</v>
      </c>
    </row>
    <row r="1014" spans="1:6" ht="13">
      <c r="A1014" s="16">
        <v>281</v>
      </c>
      <c r="B1014" s="16">
        <v>16.714285714285715</v>
      </c>
      <c r="C1014">
        <v>10.857142857142858</v>
      </c>
      <c r="D1014">
        <f>koronahun!AD950</f>
        <v>0</v>
      </c>
      <c r="E1014" s="56" t="s">
        <v>70</v>
      </c>
      <c r="F1014" s="56" t="s">
        <v>70</v>
      </c>
    </row>
    <row r="1015" spans="1:6" ht="13">
      <c r="A1015" s="16">
        <v>282</v>
      </c>
      <c r="B1015" s="16">
        <v>16.428571428571427</v>
      </c>
      <c r="D1015">
        <f>koronahun!AD951</f>
        <v>0</v>
      </c>
      <c r="E1015" s="56" t="s">
        <v>70</v>
      </c>
      <c r="F1015" s="56" t="s">
        <v>70</v>
      </c>
    </row>
    <row r="1016" spans="1:6" ht="13">
      <c r="A1016" s="16">
        <v>283</v>
      </c>
      <c r="B1016" s="16">
        <v>17.285714285714285</v>
      </c>
      <c r="D1016">
        <f>koronahun!AD952</f>
        <v>0</v>
      </c>
      <c r="E1016" s="56" t="s">
        <v>70</v>
      </c>
      <c r="F1016" s="56" t="s">
        <v>70</v>
      </c>
    </row>
    <row r="1017" spans="1:6" ht="13">
      <c r="A1017" s="16">
        <v>284</v>
      </c>
      <c r="B1017" s="16">
        <v>18.857142857142858</v>
      </c>
      <c r="C1017">
        <v>10.428571428571429</v>
      </c>
      <c r="D1017">
        <f>koronahun!AD953</f>
        <v>0</v>
      </c>
      <c r="E1017" s="56" t="s">
        <v>70</v>
      </c>
      <c r="F1017" s="56" t="s">
        <v>70</v>
      </c>
    </row>
    <row r="1018" spans="1:6" ht="13">
      <c r="A1018" s="16">
        <v>285</v>
      </c>
      <c r="B1018" s="16">
        <v>19.285714285714285</v>
      </c>
      <c r="C1018">
        <v>10.571428571428571</v>
      </c>
      <c r="D1018" s="57">
        <f>koronahun!AD954</f>
        <v>14.857142857142858</v>
      </c>
      <c r="E1018" s="56" t="s">
        <v>70</v>
      </c>
      <c r="F1018" s="56" t="s">
        <v>70</v>
      </c>
    </row>
    <row r="1019" spans="1:6" ht="13">
      <c r="A1019" s="16">
        <v>286</v>
      </c>
      <c r="B1019" s="16">
        <v>20.428571428571427</v>
      </c>
      <c r="C1019">
        <v>11</v>
      </c>
      <c r="D1019">
        <f>koronahun!AD955</f>
        <v>0</v>
      </c>
      <c r="E1019" s="56" t="s">
        <v>70</v>
      </c>
      <c r="F1019" s="56" t="s">
        <v>70</v>
      </c>
    </row>
    <row r="1020" spans="1:6" ht="13">
      <c r="A1020" s="16">
        <v>287</v>
      </c>
      <c r="B1020" s="16">
        <v>20.857142857142858</v>
      </c>
      <c r="C1020">
        <v>11.714285714285714</v>
      </c>
      <c r="D1020">
        <f>koronahun!AD956</f>
        <v>0</v>
      </c>
      <c r="E1020" s="56" t="s">
        <v>70</v>
      </c>
      <c r="F1020" s="56" t="s">
        <v>70</v>
      </c>
    </row>
    <row r="1021" spans="1:6" ht="13">
      <c r="A1021" s="16">
        <v>288</v>
      </c>
      <c r="B1021" s="16">
        <v>22</v>
      </c>
      <c r="C1021">
        <v>10.857142857142858</v>
      </c>
      <c r="D1021">
        <f>koronahun!AD957</f>
        <v>0</v>
      </c>
      <c r="E1021" s="56" t="s">
        <v>70</v>
      </c>
      <c r="F1021" s="56" t="s">
        <v>70</v>
      </c>
    </row>
    <row r="1022" spans="1:6" ht="13">
      <c r="A1022" s="16">
        <v>289</v>
      </c>
      <c r="B1022" s="16">
        <v>24.571428571428573</v>
      </c>
      <c r="D1022">
        <f>koronahun!AD958</f>
        <v>0</v>
      </c>
      <c r="E1022" s="56" t="s">
        <v>70</v>
      </c>
      <c r="F1022" s="56" t="s">
        <v>70</v>
      </c>
    </row>
    <row r="1023" spans="1:6" ht="13">
      <c r="A1023" s="16">
        <v>290</v>
      </c>
      <c r="B1023" s="16">
        <v>25.142857142857142</v>
      </c>
      <c r="D1023">
        <f>koronahun!AD959</f>
        <v>0</v>
      </c>
      <c r="E1023" s="56" t="s">
        <v>70</v>
      </c>
      <c r="F1023" s="56" t="s">
        <v>70</v>
      </c>
    </row>
    <row r="1024" spans="1:6" ht="13">
      <c r="A1024" s="16">
        <v>291</v>
      </c>
      <c r="B1024" s="16">
        <v>26.857142857142858</v>
      </c>
      <c r="C1024">
        <v>14.142857142857142</v>
      </c>
      <c r="D1024">
        <f>koronahun!AD960</f>
        <v>0</v>
      </c>
      <c r="E1024" s="56" t="s">
        <v>70</v>
      </c>
      <c r="F1024" s="56" t="s">
        <v>70</v>
      </c>
    </row>
    <row r="1025" spans="1:6" ht="13">
      <c r="A1025" s="16">
        <v>292</v>
      </c>
      <c r="B1025" s="16">
        <v>29.285714285714285</v>
      </c>
      <c r="C1025">
        <v>14</v>
      </c>
      <c r="D1025" s="57">
        <f>koronahun!AD961</f>
        <v>16.857142857142858</v>
      </c>
      <c r="E1025" s="56" t="s">
        <v>70</v>
      </c>
      <c r="F1025" s="56" t="s">
        <v>70</v>
      </c>
    </row>
    <row r="1026" spans="1:6" ht="13">
      <c r="A1026" s="16">
        <v>293</v>
      </c>
      <c r="B1026" s="16">
        <v>30.714285714285715</v>
      </c>
      <c r="C1026">
        <v>16.857142857142858</v>
      </c>
      <c r="D1026">
        <f>koronahun!AD962</f>
        <v>0</v>
      </c>
      <c r="E1026" s="56" t="s">
        <v>70</v>
      </c>
      <c r="F1026" s="56" t="s">
        <v>70</v>
      </c>
    </row>
    <row r="1027" spans="1:6" ht="13">
      <c r="A1027" s="16">
        <v>294</v>
      </c>
      <c r="B1027" s="16">
        <v>33.714285714285715</v>
      </c>
      <c r="C1027">
        <v>18.142857142857142</v>
      </c>
      <c r="D1027">
        <f>koronahun!AD963</f>
        <v>0</v>
      </c>
      <c r="E1027" s="56" t="s">
        <v>70</v>
      </c>
      <c r="F1027" s="56" t="s">
        <v>70</v>
      </c>
    </row>
    <row r="1028" spans="1:6" ht="13">
      <c r="A1028" s="16">
        <v>295</v>
      </c>
      <c r="B1028" s="16">
        <v>36.142857142857146</v>
      </c>
      <c r="C1028">
        <v>20.142857142857142</v>
      </c>
      <c r="D1028">
        <f>koronahun!AD964</f>
        <v>0</v>
      </c>
      <c r="E1028" s="56" t="s">
        <v>70</v>
      </c>
      <c r="F1028" s="56" t="s">
        <v>70</v>
      </c>
    </row>
    <row r="1029" spans="1:6" ht="13">
      <c r="A1029" s="16">
        <v>296</v>
      </c>
      <c r="B1029" s="16">
        <v>38.142857142857146</v>
      </c>
      <c r="D1029">
        <f>koronahun!AD965</f>
        <v>0</v>
      </c>
      <c r="E1029" s="56" t="s">
        <v>70</v>
      </c>
      <c r="F1029" s="56" t="s">
        <v>70</v>
      </c>
    </row>
    <row r="1030" spans="1:6" ht="13">
      <c r="A1030" s="16">
        <v>297</v>
      </c>
      <c r="B1030" s="16">
        <v>40.142857142857146</v>
      </c>
      <c r="D1030">
        <f>koronahun!AD966</f>
        <v>0</v>
      </c>
      <c r="E1030" s="56" t="s">
        <v>70</v>
      </c>
      <c r="F1030" s="56" t="s">
        <v>70</v>
      </c>
    </row>
    <row r="1031" spans="1:6" ht="13">
      <c r="A1031" s="16">
        <v>298</v>
      </c>
      <c r="B1031" s="16">
        <v>40.428571428571431</v>
      </c>
      <c r="C1031">
        <v>23.571428571428573</v>
      </c>
      <c r="D1031">
        <f>koronahun!AD967</f>
        <v>0</v>
      </c>
      <c r="E1031" s="56" t="s">
        <v>70</v>
      </c>
      <c r="F1031" s="56" t="s">
        <v>70</v>
      </c>
    </row>
    <row r="1032" spans="1:6" ht="13">
      <c r="A1032" s="16">
        <v>299</v>
      </c>
      <c r="B1032" s="16">
        <v>42.714285714285715</v>
      </c>
      <c r="C1032">
        <v>27.571428571428573</v>
      </c>
      <c r="D1032" s="57">
        <f>koronahun!AD968</f>
        <v>20</v>
      </c>
      <c r="E1032" s="56" t="s">
        <v>70</v>
      </c>
      <c r="F1032" s="56" t="s">
        <v>70</v>
      </c>
    </row>
    <row r="1033" spans="1:6" ht="13">
      <c r="A1033" s="16">
        <v>300</v>
      </c>
      <c r="B1033" s="16">
        <v>46.285714285714285</v>
      </c>
      <c r="C1033">
        <v>28.428571428571427</v>
      </c>
      <c r="D1033">
        <f>koronahun!AD969</f>
        <v>0</v>
      </c>
      <c r="E1033" s="56" t="s">
        <v>70</v>
      </c>
      <c r="F1033" s="56" t="s">
        <v>70</v>
      </c>
    </row>
    <row r="1034" spans="1:6" ht="13">
      <c r="A1034" s="16">
        <v>301</v>
      </c>
      <c r="B1034" s="16">
        <v>45.571428571428569</v>
      </c>
      <c r="C1034">
        <v>32</v>
      </c>
      <c r="D1034">
        <f>koronahun!AD970</f>
        <v>0</v>
      </c>
      <c r="E1034" s="56" t="s">
        <v>70</v>
      </c>
      <c r="F1034" s="56" t="s">
        <v>70</v>
      </c>
    </row>
    <row r="1035" spans="1:6" ht="13">
      <c r="A1035" s="16">
        <v>302</v>
      </c>
      <c r="B1035" s="16">
        <v>47</v>
      </c>
      <c r="C1035">
        <v>33.857142857142854</v>
      </c>
      <c r="D1035">
        <f>koronahun!AD971</f>
        <v>0</v>
      </c>
      <c r="E1035" s="56" t="s">
        <v>70</v>
      </c>
      <c r="F1035" s="56" t="s">
        <v>70</v>
      </c>
    </row>
    <row r="1036" spans="1:6" ht="13">
      <c r="A1036" s="16">
        <v>303</v>
      </c>
      <c r="B1036" s="16">
        <v>49.571428571428569</v>
      </c>
      <c r="D1036">
        <f>koronahun!AD972</f>
        <v>0</v>
      </c>
      <c r="E1036" s="56" t="s">
        <v>70</v>
      </c>
      <c r="F1036" s="56" t="s">
        <v>70</v>
      </c>
    </row>
    <row r="1037" spans="1:6" ht="13">
      <c r="A1037" s="16">
        <v>304</v>
      </c>
      <c r="B1037" s="16">
        <v>51.428571428571431</v>
      </c>
      <c r="D1037">
        <f>koronahun!AD973</f>
        <v>0</v>
      </c>
      <c r="E1037" s="56" t="s">
        <v>70</v>
      </c>
      <c r="F1037" s="56" t="s">
        <v>70</v>
      </c>
    </row>
    <row r="1038" spans="1:6" ht="13">
      <c r="A1038" s="16">
        <v>305</v>
      </c>
      <c r="B1038" s="16">
        <v>56.285714285714285</v>
      </c>
      <c r="C1038">
        <v>44.857142857142854</v>
      </c>
      <c r="D1038">
        <f>koronahun!AD974</f>
        <v>0</v>
      </c>
      <c r="E1038" s="56" t="s">
        <v>70</v>
      </c>
      <c r="F1038" s="56" t="s">
        <v>70</v>
      </c>
    </row>
    <row r="1039" spans="1:6" ht="13">
      <c r="A1039" s="16">
        <v>306</v>
      </c>
      <c r="B1039" s="16">
        <v>59.571428571428569</v>
      </c>
      <c r="C1039">
        <v>44.142857142857146</v>
      </c>
      <c r="D1039" s="57">
        <f>koronahun!AD975</f>
        <v>0</v>
      </c>
      <c r="E1039" s="56" t="s">
        <v>70</v>
      </c>
      <c r="F1039" s="56" t="s">
        <v>70</v>
      </c>
    </row>
    <row r="1040" spans="1:6" ht="13">
      <c r="A1040" s="16">
        <v>307</v>
      </c>
      <c r="B1040" s="16">
        <v>62.571428571428569</v>
      </c>
      <c r="C1040">
        <v>49.571428571428569</v>
      </c>
      <c r="D1040">
        <f>koronahun!AD976</f>
        <v>0</v>
      </c>
      <c r="E1040" s="56" t="s">
        <v>70</v>
      </c>
      <c r="F1040" s="56" t="s">
        <v>70</v>
      </c>
    </row>
    <row r="1041" spans="1:6" ht="13">
      <c r="A1041" s="16">
        <v>308</v>
      </c>
      <c r="B1041" s="16">
        <v>69.285714285714292</v>
      </c>
      <c r="C1041">
        <v>58.428571428571431</v>
      </c>
      <c r="D1041">
        <f>koronahun!AD977</f>
        <v>0</v>
      </c>
      <c r="E1041" s="56" t="s">
        <v>70</v>
      </c>
      <c r="F1041" s="56" t="s">
        <v>70</v>
      </c>
    </row>
    <row r="1042" spans="1:6" ht="13">
      <c r="A1042" s="16">
        <v>309</v>
      </c>
      <c r="B1042" s="16">
        <v>73.285714285714292</v>
      </c>
      <c r="C1042">
        <v>65</v>
      </c>
      <c r="D1042">
        <f>koronahun!AD978</f>
        <v>0</v>
      </c>
      <c r="E1042" s="56" t="s">
        <v>70</v>
      </c>
      <c r="F1042" s="56" t="s">
        <v>70</v>
      </c>
    </row>
    <row r="1043" spans="1:6" ht="13">
      <c r="A1043" s="16">
        <v>310</v>
      </c>
      <c r="B1043" s="16">
        <v>78.714285714285708</v>
      </c>
      <c r="D1043">
        <f>koronahun!AD979</f>
        <v>0</v>
      </c>
      <c r="E1043" s="56" t="s">
        <v>70</v>
      </c>
      <c r="F1043" s="56" t="s">
        <v>70</v>
      </c>
    </row>
    <row r="1044" spans="1:6" ht="13">
      <c r="A1044" s="16">
        <v>311</v>
      </c>
      <c r="B1044" s="16">
        <v>86.714285714285708</v>
      </c>
      <c r="D1044">
        <f>koronahun!AD980</f>
        <v>0</v>
      </c>
      <c r="E1044" s="56" t="s">
        <v>70</v>
      </c>
      <c r="F1044" s="56" t="s">
        <v>70</v>
      </c>
    </row>
    <row r="1045" spans="1:6" ht="13">
      <c r="A1045" s="16">
        <v>312</v>
      </c>
      <c r="B1045" s="16">
        <v>88.428571428571431</v>
      </c>
      <c r="C1045">
        <v>73.857142857142861</v>
      </c>
      <c r="D1045">
        <f>koronahun!AD981</f>
        <v>0</v>
      </c>
      <c r="E1045" s="56" t="s">
        <v>70</v>
      </c>
      <c r="F1045" s="56" t="s">
        <v>70</v>
      </c>
    </row>
    <row r="1046" spans="1:6" ht="13">
      <c r="A1046" s="16">
        <v>313</v>
      </c>
      <c r="B1046" s="16">
        <v>86.285714285714292</v>
      </c>
      <c r="C1046">
        <v>85.857142857142861</v>
      </c>
      <c r="D1046" s="57">
        <f>koronahun!AD982</f>
        <v>12.357142857142858</v>
      </c>
      <c r="E1046" s="56" t="s">
        <v>70</v>
      </c>
      <c r="F1046" s="56" t="s">
        <v>70</v>
      </c>
    </row>
    <row r="1047" spans="1:6" ht="13">
      <c r="A1047" s="16">
        <v>314</v>
      </c>
      <c r="B1047" s="16">
        <v>89</v>
      </c>
      <c r="C1047">
        <v>89.285714285714292</v>
      </c>
      <c r="D1047">
        <f>koronahun!AD983</f>
        <v>0</v>
      </c>
      <c r="E1047" s="56" t="s">
        <v>70</v>
      </c>
      <c r="F1047" s="56" t="s">
        <v>70</v>
      </c>
    </row>
    <row r="1048" spans="1:6" ht="13">
      <c r="A1048" s="16">
        <v>315</v>
      </c>
      <c r="B1048" s="16">
        <v>90.571428571428569</v>
      </c>
      <c r="C1048">
        <v>92.857142857142861</v>
      </c>
      <c r="D1048">
        <f>koronahun!AD984</f>
        <v>0</v>
      </c>
      <c r="E1048" s="56" t="s">
        <v>70</v>
      </c>
      <c r="F1048" s="56" t="s">
        <v>70</v>
      </c>
    </row>
    <row r="1049" spans="1:6" ht="13">
      <c r="A1049" s="16">
        <v>316</v>
      </c>
      <c r="B1049" s="16">
        <v>91</v>
      </c>
      <c r="C1049">
        <v>97.571428571428569</v>
      </c>
      <c r="D1049">
        <f>koronahun!AD985</f>
        <v>0</v>
      </c>
      <c r="E1049" s="56" t="s">
        <v>70</v>
      </c>
      <c r="F1049" s="56" t="s">
        <v>70</v>
      </c>
    </row>
    <row r="1050" spans="1:6" ht="13">
      <c r="A1050" s="16">
        <v>317</v>
      </c>
      <c r="B1050" s="16">
        <v>90.428571428571431</v>
      </c>
      <c r="D1050">
        <f>koronahun!AD986</f>
        <v>0</v>
      </c>
      <c r="E1050" s="56" t="s">
        <v>70</v>
      </c>
      <c r="F1050" s="56" t="s">
        <v>70</v>
      </c>
    </row>
    <row r="1051" spans="1:6" ht="13">
      <c r="A1051" s="16">
        <v>318</v>
      </c>
      <c r="B1051" s="16">
        <v>90.428571428571431</v>
      </c>
      <c r="D1051">
        <f>koronahun!AD987</f>
        <v>0</v>
      </c>
      <c r="E1051" s="56" t="s">
        <v>70</v>
      </c>
      <c r="F1051" s="56" t="s">
        <v>70</v>
      </c>
    </row>
    <row r="1052" spans="1:6" ht="13">
      <c r="A1052" s="16">
        <v>319</v>
      </c>
      <c r="B1052" s="16">
        <v>94.142857142857139</v>
      </c>
      <c r="C1052">
        <v>110.42857142857143</v>
      </c>
      <c r="D1052">
        <f>koronahun!AD988</f>
        <v>0</v>
      </c>
      <c r="E1052" s="56" t="s">
        <v>70</v>
      </c>
      <c r="F1052" s="56" t="s">
        <v>70</v>
      </c>
    </row>
    <row r="1053" spans="1:6" ht="13">
      <c r="A1053" s="16">
        <v>320</v>
      </c>
      <c r="B1053" s="16">
        <v>99.571428571428569</v>
      </c>
      <c r="C1053">
        <v>116.42857142857143</v>
      </c>
      <c r="D1053" s="57">
        <f>koronahun!AD989</f>
        <v>10.428571428571429</v>
      </c>
      <c r="E1053" s="56" t="s">
        <v>70</v>
      </c>
      <c r="F1053" s="56" t="s">
        <v>70</v>
      </c>
    </row>
    <row r="1054" spans="1:6" ht="13">
      <c r="A1054" s="16">
        <v>321</v>
      </c>
      <c r="B1054" s="16">
        <v>97.857142857142861</v>
      </c>
      <c r="C1054">
        <v>127.85714285714286</v>
      </c>
      <c r="D1054">
        <f>koronahun!AD990</f>
        <v>0</v>
      </c>
      <c r="E1054" s="56" t="s">
        <v>70</v>
      </c>
      <c r="F1054" s="56" t="s">
        <v>70</v>
      </c>
    </row>
    <row r="1055" spans="1:6" ht="13">
      <c r="A1055" s="16">
        <v>322</v>
      </c>
      <c r="B1055" s="16">
        <v>97.571428571428569</v>
      </c>
      <c r="C1055">
        <v>127.71428571428571</v>
      </c>
      <c r="D1055">
        <f>koronahun!AD991</f>
        <v>0</v>
      </c>
      <c r="E1055" s="56" t="s">
        <v>70</v>
      </c>
      <c r="F1055" s="56" t="s">
        <v>70</v>
      </c>
    </row>
    <row r="1056" spans="1:6" ht="13">
      <c r="A1056" s="16">
        <v>323</v>
      </c>
      <c r="B1056" s="16">
        <v>98.285714285714292</v>
      </c>
      <c r="C1056">
        <v>130.42857142857142</v>
      </c>
      <c r="D1056">
        <f>koronahun!AD992</f>
        <v>0</v>
      </c>
      <c r="E1056" s="56" t="s">
        <v>70</v>
      </c>
      <c r="F1056" s="56" t="s">
        <v>70</v>
      </c>
    </row>
    <row r="1057" spans="1:6" ht="13">
      <c r="A1057" s="16">
        <v>324</v>
      </c>
      <c r="B1057" s="16">
        <v>97.857142857142861</v>
      </c>
      <c r="D1057">
        <f>koronahun!AD993</f>
        <v>0</v>
      </c>
      <c r="E1057" s="56" t="s">
        <v>70</v>
      </c>
      <c r="F1057" s="56" t="s">
        <v>70</v>
      </c>
    </row>
    <row r="1058" spans="1:6" ht="13">
      <c r="A1058" s="16">
        <v>325</v>
      </c>
      <c r="B1058" s="16">
        <v>99.857142857142861</v>
      </c>
      <c r="D1058">
        <f>koronahun!AD994</f>
        <v>0</v>
      </c>
      <c r="E1058" s="56" t="s">
        <v>70</v>
      </c>
      <c r="F1058" s="56" t="s">
        <v>70</v>
      </c>
    </row>
    <row r="1059" spans="1:6" ht="13">
      <c r="A1059" s="16">
        <v>326</v>
      </c>
      <c r="B1059" s="16">
        <v>100.42857142857143</v>
      </c>
      <c r="C1059">
        <v>143</v>
      </c>
      <c r="D1059">
        <f>koronahun!AD995</f>
        <v>0</v>
      </c>
      <c r="E1059" s="56" t="s">
        <v>70</v>
      </c>
      <c r="F1059" s="56" t="s">
        <v>70</v>
      </c>
    </row>
    <row r="1060" spans="1:6" ht="13">
      <c r="A1060" s="16">
        <v>327</v>
      </c>
      <c r="B1060" s="16">
        <v>100.14285714285714</v>
      </c>
      <c r="C1060">
        <v>143.85714285714286</v>
      </c>
      <c r="D1060" s="57">
        <f>koronahun!AD996</f>
        <v>8.7142857142857135</v>
      </c>
      <c r="E1060" s="56" t="s">
        <v>70</v>
      </c>
      <c r="F1060" s="56" t="s">
        <v>70</v>
      </c>
    </row>
    <row r="1061" spans="1:6" ht="13">
      <c r="A1061" s="16">
        <v>328</v>
      </c>
      <c r="B1061" s="16">
        <v>103.85714285714286</v>
      </c>
      <c r="C1061">
        <v>143.57142857142858</v>
      </c>
      <c r="D1061">
        <f>koronahun!AD997</f>
        <v>0</v>
      </c>
      <c r="E1061" s="56" t="s">
        <v>70</v>
      </c>
      <c r="F1061" s="56" t="s">
        <v>70</v>
      </c>
    </row>
    <row r="1062" spans="1:6" ht="13">
      <c r="A1062" s="16">
        <v>329</v>
      </c>
      <c r="B1062" s="16">
        <v>104.85714285714286</v>
      </c>
      <c r="C1062">
        <v>151.28571428571428</v>
      </c>
      <c r="D1062">
        <f>koronahun!AD998</f>
        <v>0</v>
      </c>
      <c r="E1062" s="56" t="s">
        <v>70</v>
      </c>
      <c r="F1062" s="56" t="s">
        <v>70</v>
      </c>
    </row>
    <row r="1063" spans="1:6" ht="13">
      <c r="A1063" s="16">
        <v>330</v>
      </c>
      <c r="B1063" s="16">
        <v>108.14285714285714</v>
      </c>
      <c r="C1063">
        <v>155.14285714285714</v>
      </c>
      <c r="D1063">
        <f>koronahun!AD999</f>
        <v>0</v>
      </c>
      <c r="E1063" s="56" t="s">
        <v>70</v>
      </c>
      <c r="F1063" s="56" t="s">
        <v>70</v>
      </c>
    </row>
    <row r="1064" spans="1:6" ht="13">
      <c r="A1064" s="16">
        <v>331</v>
      </c>
      <c r="B1064" s="16">
        <v>113.71428571428571</v>
      </c>
      <c r="D1064">
        <f>koronahun!AD1000</f>
        <v>0</v>
      </c>
      <c r="E1064" s="56" t="s">
        <v>70</v>
      </c>
      <c r="F1064" s="56" t="s">
        <v>70</v>
      </c>
    </row>
    <row r="1065" spans="1:6" ht="13">
      <c r="A1065" s="16">
        <v>332</v>
      </c>
      <c r="B1065" s="16">
        <v>118.14285714285714</v>
      </c>
      <c r="D1065">
        <f>koronahun!AD2001</f>
        <v>0</v>
      </c>
      <c r="E1065" s="56" t="s">
        <v>70</v>
      </c>
      <c r="F1065" s="56" t="s">
        <v>70</v>
      </c>
    </row>
    <row r="1066" spans="1:6" ht="13">
      <c r="A1066" s="16">
        <v>333</v>
      </c>
      <c r="B1066" s="16">
        <v>124.57142857142857</v>
      </c>
      <c r="C1066">
        <v>164.85714285714286</v>
      </c>
      <c r="D1066">
        <f>koronahun!AD2002</f>
        <v>0</v>
      </c>
      <c r="E1066" s="56" t="s">
        <v>70</v>
      </c>
      <c r="F1066" s="56" t="s">
        <v>70</v>
      </c>
    </row>
    <row r="1067" spans="1:6" ht="13">
      <c r="A1067" s="16">
        <v>334</v>
      </c>
      <c r="B1067" s="16">
        <v>133.14285714285714</v>
      </c>
      <c r="C1067">
        <v>168.28571428571428</v>
      </c>
      <c r="D1067">
        <f>koronahun!AD2003</f>
        <v>0</v>
      </c>
      <c r="E1067" s="56" t="s">
        <v>70</v>
      </c>
      <c r="F1067" s="56" t="s">
        <v>70</v>
      </c>
    </row>
    <row r="1068" spans="1:6" ht="13">
      <c r="A1068" s="16">
        <v>335</v>
      </c>
      <c r="B1068" s="16">
        <v>138.42857142857142</v>
      </c>
      <c r="C1068">
        <v>170.57142857142858</v>
      </c>
      <c r="D1068">
        <f>koronahun!AD2004</f>
        <v>0</v>
      </c>
      <c r="E1068" s="56" t="s">
        <v>70</v>
      </c>
      <c r="F1068" s="56" t="s">
        <v>70</v>
      </c>
    </row>
    <row r="1069" spans="1:6" ht="13">
      <c r="A1069" s="16">
        <v>336</v>
      </c>
      <c r="B1069" s="16">
        <v>146.85714285714286</v>
      </c>
      <c r="C1069">
        <v>175.28571428571428</v>
      </c>
      <c r="D1069">
        <f>koronahun!AD2005</f>
        <v>0</v>
      </c>
      <c r="E1069" s="56" t="s">
        <v>70</v>
      </c>
      <c r="F1069" s="56" t="s">
        <v>70</v>
      </c>
    </row>
    <row r="1070" spans="1:6" ht="13">
      <c r="A1070" s="16">
        <v>337</v>
      </c>
      <c r="B1070" s="16">
        <v>156.42857142857142</v>
      </c>
      <c r="C1070">
        <v>179.42857142857142</v>
      </c>
      <c r="D1070">
        <f>koronahun!AD2006</f>
        <v>0</v>
      </c>
      <c r="E1070" s="56" t="s">
        <v>70</v>
      </c>
      <c r="F1070" s="56" t="s">
        <v>70</v>
      </c>
    </row>
    <row r="1071" spans="1:6" ht="13">
      <c r="A1071" s="16">
        <v>338</v>
      </c>
      <c r="B1071" s="16">
        <v>164.14285714285714</v>
      </c>
      <c r="D1071">
        <f>koronahun!AD2007</f>
        <v>0</v>
      </c>
      <c r="E1071" s="56" t="s">
        <v>70</v>
      </c>
      <c r="F1071" s="56" t="s">
        <v>70</v>
      </c>
    </row>
    <row r="1072" spans="1:6" ht="13">
      <c r="A1072" s="16">
        <v>339</v>
      </c>
      <c r="B1072" s="16">
        <v>170</v>
      </c>
      <c r="D1072">
        <f>koronahun!AD2008</f>
        <v>0</v>
      </c>
      <c r="E1072" s="56" t="s">
        <v>70</v>
      </c>
      <c r="F1072" s="56" t="s">
        <v>70</v>
      </c>
    </row>
    <row r="1073" spans="1:6" ht="13">
      <c r="A1073" s="16">
        <v>340</v>
      </c>
      <c r="B1073" s="16">
        <v>170.85714285714286</v>
      </c>
      <c r="C1073">
        <v>183.57142857142858</v>
      </c>
      <c r="D1073">
        <f>koronahun!AD2009</f>
        <v>0</v>
      </c>
      <c r="E1073" s="56" t="s">
        <v>70</v>
      </c>
      <c r="F1073" s="56" t="s">
        <v>70</v>
      </c>
    </row>
    <row r="1074" spans="1:6" ht="13">
      <c r="A1074" s="16">
        <v>341</v>
      </c>
      <c r="B1074" s="16">
        <v>165.85714285714286</v>
      </c>
      <c r="C1074">
        <v>187.71428571428572</v>
      </c>
      <c r="D1074">
        <f>koronahun!AD2010</f>
        <v>0</v>
      </c>
      <c r="E1074" s="56" t="s">
        <v>70</v>
      </c>
      <c r="F1074" s="56" t="s">
        <v>70</v>
      </c>
    </row>
    <row r="1075" spans="1:6" ht="13">
      <c r="A1075" s="16">
        <v>342</v>
      </c>
      <c r="B1075" s="16">
        <v>163.28571428571428</v>
      </c>
      <c r="C1075">
        <v>190.71428571428572</v>
      </c>
      <c r="D1075">
        <f>koronahun!AD2011</f>
        <v>0</v>
      </c>
      <c r="E1075" s="56" t="s">
        <v>70</v>
      </c>
      <c r="F1075" s="56" t="s">
        <v>70</v>
      </c>
    </row>
    <row r="1076" spans="1:6" ht="13">
      <c r="A1076" s="16">
        <v>343</v>
      </c>
      <c r="B1076" s="16">
        <v>162.57142857142858</v>
      </c>
      <c r="C1076">
        <v>190.28571428571428</v>
      </c>
      <c r="D1076">
        <f>koronahun!AD2012</f>
        <v>0</v>
      </c>
      <c r="E1076" s="56" t="s">
        <v>70</v>
      </c>
      <c r="F1076" s="56" t="s">
        <v>70</v>
      </c>
    </row>
    <row r="1077" spans="1:6" ht="13">
      <c r="A1077" s="16">
        <v>344</v>
      </c>
      <c r="B1077" s="16">
        <v>161</v>
      </c>
      <c r="C1077">
        <v>186.71428571428572</v>
      </c>
      <c r="D1077">
        <f>koronahun!AD2013</f>
        <v>0</v>
      </c>
      <c r="E1077" s="56" t="s">
        <v>70</v>
      </c>
      <c r="F1077" s="56" t="s">
        <v>70</v>
      </c>
    </row>
    <row r="1078" spans="1:6" ht="13">
      <c r="A1078" s="16">
        <v>345</v>
      </c>
      <c r="B1078" s="16">
        <v>158.42857142857142</v>
      </c>
      <c r="D1078">
        <f>koronahun!AD2014</f>
        <v>0</v>
      </c>
      <c r="E1078" s="56" t="s">
        <v>70</v>
      </c>
      <c r="F1078" s="56" t="s">
        <v>70</v>
      </c>
    </row>
    <row r="1079" spans="1:6" ht="13">
      <c r="A1079" s="16">
        <v>346</v>
      </c>
      <c r="B1079" s="16">
        <v>154</v>
      </c>
      <c r="D1079">
        <f>koronahun!AD2015</f>
        <v>0</v>
      </c>
      <c r="E1079" s="56" t="s">
        <v>70</v>
      </c>
      <c r="F1079" s="56" t="s">
        <v>70</v>
      </c>
    </row>
    <row r="1080" spans="1:6" ht="13">
      <c r="A1080" s="16">
        <v>347</v>
      </c>
      <c r="B1080" s="16">
        <v>156.71428571428572</v>
      </c>
      <c r="C1080">
        <v>181.85714285714286</v>
      </c>
      <c r="D1080">
        <f>koronahun!AD2016</f>
        <v>0</v>
      </c>
      <c r="E1080" s="56" t="s">
        <v>70</v>
      </c>
      <c r="F1080" s="56" t="s">
        <v>70</v>
      </c>
    </row>
    <row r="1081" spans="1:6" ht="13">
      <c r="A1081" s="16">
        <v>348</v>
      </c>
      <c r="B1081" s="16">
        <v>163.71428571428572</v>
      </c>
      <c r="C1081">
        <v>177.71428571428572</v>
      </c>
      <c r="D1081">
        <f>koronahun!AD2017</f>
        <v>0</v>
      </c>
      <c r="E1081" s="56" t="s">
        <v>70</v>
      </c>
      <c r="F1081" s="56" t="s">
        <v>70</v>
      </c>
    </row>
    <row r="1082" spans="1:6" ht="13">
      <c r="A1082" s="16">
        <v>349</v>
      </c>
      <c r="B1082" s="16">
        <v>159.57142857142858</v>
      </c>
      <c r="C1082">
        <v>169.14285714285714</v>
      </c>
      <c r="D1082">
        <f>koronahun!AD2018</f>
        <v>0</v>
      </c>
      <c r="E1082" s="56" t="s">
        <v>70</v>
      </c>
      <c r="F1082" s="56" t="s">
        <v>70</v>
      </c>
    </row>
    <row r="1083" spans="1:6" ht="13">
      <c r="A1083" s="16">
        <v>350</v>
      </c>
      <c r="B1083" s="16">
        <v>157.28571428571428</v>
      </c>
      <c r="C1083">
        <v>159</v>
      </c>
      <c r="D1083">
        <f>koronahun!AD2019</f>
        <v>0</v>
      </c>
      <c r="E1083" s="56" t="s">
        <v>70</v>
      </c>
      <c r="F1083" s="56" t="s">
        <v>70</v>
      </c>
    </row>
    <row r="1084" spans="1:6" ht="13">
      <c r="A1084" s="16">
        <v>351</v>
      </c>
      <c r="B1084" s="16">
        <v>155.28571428571428</v>
      </c>
      <c r="C1084">
        <v>157.28571428571428</v>
      </c>
      <c r="D1084">
        <f>koronahun!AD2020</f>
        <v>0</v>
      </c>
      <c r="E1084" s="56" t="s">
        <v>70</v>
      </c>
      <c r="F1084" s="56" t="s">
        <v>70</v>
      </c>
    </row>
    <row r="1085" spans="1:6" ht="13">
      <c r="A1085" s="16">
        <v>352</v>
      </c>
      <c r="B1085" s="16">
        <v>157.57142857142858</v>
      </c>
      <c r="D1085">
        <f>koronahun!AD2021</f>
        <v>0</v>
      </c>
      <c r="E1085" s="56" t="s">
        <v>70</v>
      </c>
      <c r="F1085" s="56" t="s">
        <v>70</v>
      </c>
    </row>
    <row r="1086" spans="1:6" ht="13">
      <c r="A1086" s="16">
        <v>353</v>
      </c>
      <c r="B1086" s="16">
        <v>161.42857142857142</v>
      </c>
      <c r="D1086">
        <f>koronahun!AD2022</f>
        <v>0</v>
      </c>
      <c r="E1086" s="56" t="s">
        <v>70</v>
      </c>
      <c r="F1086" s="56" t="s">
        <v>70</v>
      </c>
    </row>
    <row r="1087" spans="1:6" ht="13">
      <c r="A1087" s="16">
        <v>354</v>
      </c>
      <c r="B1087" s="16">
        <v>162</v>
      </c>
      <c r="C1087">
        <v>144.57142857142858</v>
      </c>
      <c r="D1087">
        <f>koronahun!AD2023</f>
        <v>0</v>
      </c>
      <c r="E1087" s="56" t="s">
        <v>70</v>
      </c>
      <c r="F1087" s="56" t="s">
        <v>70</v>
      </c>
    </row>
    <row r="1088" spans="1:6" ht="13">
      <c r="A1088" s="16">
        <v>355</v>
      </c>
      <c r="B1088" s="16">
        <v>164.57142857142858</v>
      </c>
      <c r="C1088">
        <v>135.57142857142858</v>
      </c>
      <c r="D1088">
        <f>koronahun!AD2024</f>
        <v>0</v>
      </c>
      <c r="E1088" s="56" t="s">
        <v>70</v>
      </c>
      <c r="F1088" s="56" t="s">
        <v>70</v>
      </c>
    </row>
    <row r="1089" spans="1:6" ht="13">
      <c r="A1089" s="16">
        <v>356</v>
      </c>
      <c r="B1089" s="16">
        <v>175</v>
      </c>
      <c r="C1089">
        <v>133.57142857142858</v>
      </c>
      <c r="D1089">
        <f>koronahun!AD2025</f>
        <v>0</v>
      </c>
      <c r="E1089" s="56" t="s">
        <v>70</v>
      </c>
      <c r="F1089" s="56" t="s">
        <v>70</v>
      </c>
    </row>
    <row r="1090" spans="1:6" ht="13">
      <c r="A1090" s="16">
        <v>357</v>
      </c>
      <c r="B1090" s="16">
        <v>176.42857142857142</v>
      </c>
      <c r="C1090">
        <v>133</v>
      </c>
      <c r="D1090">
        <f>koronahun!AD2026</f>
        <v>0</v>
      </c>
      <c r="E1090" s="56" t="s">
        <v>70</v>
      </c>
      <c r="F1090" s="56" t="s">
        <v>70</v>
      </c>
    </row>
    <row r="1091" spans="1:6" ht="13">
      <c r="A1091" s="16">
        <v>358</v>
      </c>
      <c r="B1091" s="16">
        <v>170.14285714285714</v>
      </c>
      <c r="D1091">
        <f>koronahun!AD2027</f>
        <v>0</v>
      </c>
      <c r="E1091" s="56" t="s">
        <v>70</v>
      </c>
      <c r="F1091" s="56" t="s">
        <v>70</v>
      </c>
    </row>
    <row r="1092" spans="1:6" ht="13">
      <c r="A1092" s="16">
        <v>359</v>
      </c>
      <c r="B1092" s="16">
        <v>158.28571428571428</v>
      </c>
      <c r="D1092">
        <f>koronahun!AD2028</f>
        <v>0</v>
      </c>
      <c r="E1092" s="56" t="s">
        <v>70</v>
      </c>
      <c r="F1092" s="56" t="s">
        <v>70</v>
      </c>
    </row>
    <row r="1093" spans="1:6" ht="13">
      <c r="A1093" s="16">
        <v>360</v>
      </c>
      <c r="B1093" s="16">
        <v>148.14285714285714</v>
      </c>
      <c r="D1093">
        <f>koronahun!AD2029</f>
        <v>0</v>
      </c>
      <c r="E1093" s="56" t="s">
        <v>70</v>
      </c>
      <c r="F1093" s="56" t="s">
        <v>70</v>
      </c>
    </row>
    <row r="1094" spans="1:6" ht="13">
      <c r="A1094" s="16">
        <v>361</v>
      </c>
      <c r="B1094" s="16">
        <v>135.42857142857142</v>
      </c>
      <c r="C1094">
        <v>121</v>
      </c>
      <c r="D1094">
        <f>koronahun!AD2030</f>
        <v>0</v>
      </c>
      <c r="E1094" s="56" t="s">
        <v>70</v>
      </c>
      <c r="F1094" s="56" t="s">
        <v>70</v>
      </c>
    </row>
    <row r="1095" spans="1:6" ht="13">
      <c r="A1095" s="16">
        <v>362</v>
      </c>
      <c r="B1095" s="16">
        <v>125.57142857142857</v>
      </c>
      <c r="C1095">
        <v>123.71428571428571</v>
      </c>
      <c r="D1095">
        <f>koronahun!AD2031</f>
        <v>0</v>
      </c>
      <c r="E1095" s="56" t="s">
        <v>70</v>
      </c>
      <c r="F1095" s="56" t="s">
        <v>70</v>
      </c>
    </row>
    <row r="1096" spans="1:6" ht="13">
      <c r="A1096" s="16">
        <v>363</v>
      </c>
      <c r="B1096" s="16">
        <v>118.57142857142857</v>
      </c>
      <c r="C1096">
        <v>120.28571428571429</v>
      </c>
      <c r="D1096">
        <f>koronahun!AD2032</f>
        <v>0</v>
      </c>
      <c r="E1096" s="56" t="s">
        <v>70</v>
      </c>
      <c r="F1096" s="56" t="s">
        <v>70</v>
      </c>
    </row>
    <row r="1097" spans="1:6" ht="13">
      <c r="A1097" s="16">
        <v>364</v>
      </c>
      <c r="B1097" s="16">
        <v>116.14285714285714</v>
      </c>
      <c r="C1097">
        <v>113.85714285714286</v>
      </c>
      <c r="D1097">
        <f>koronahun!AD2033</f>
        <v>0</v>
      </c>
      <c r="E1097" s="56" t="s">
        <v>70</v>
      </c>
      <c r="F1097" s="56" t="s">
        <v>70</v>
      </c>
    </row>
    <row r="1098" spans="1:6" ht="13">
      <c r="A1098" s="16">
        <v>365</v>
      </c>
      <c r="B1098" s="16">
        <v>115.42857142857143</v>
      </c>
      <c r="C1098">
        <v>125.57142857142857</v>
      </c>
      <c r="D1098">
        <f>koronahun!AD2034</f>
        <v>0</v>
      </c>
      <c r="E1098" s="56" t="s">
        <v>70</v>
      </c>
      <c r="F1098" s="56" t="s">
        <v>70</v>
      </c>
    </row>
    <row r="1099" spans="1:6" ht="13">
      <c r="A1099" s="16">
        <v>366</v>
      </c>
      <c r="D1099">
        <f>koronahun!AD2035</f>
        <v>0</v>
      </c>
      <c r="E1099" s="56" t="s">
        <v>70</v>
      </c>
      <c r="F1099" s="56" t="s">
        <v>70</v>
      </c>
    </row>
    <row r="1100" spans="1:6" ht="13">
      <c r="A1100" s="16">
        <v>1</v>
      </c>
      <c r="C1100" s="16">
        <v>4724.8571428571431</v>
      </c>
      <c r="D1100">
        <f>koronahun!AM670</f>
        <v>0</v>
      </c>
      <c r="E1100" s="56" t="s">
        <v>71</v>
      </c>
      <c r="F1100" s="56" t="s">
        <v>71</v>
      </c>
    </row>
    <row r="1101" spans="1:6" ht="13">
      <c r="A1101" s="16">
        <v>2</v>
      </c>
      <c r="C1101" s="16">
        <v>5274.4285714285716</v>
      </c>
      <c r="D1101">
        <f>koronahun!AM671</f>
        <v>0</v>
      </c>
      <c r="E1101" s="56" t="s">
        <v>71</v>
      </c>
      <c r="F1101" s="56" t="s">
        <v>71</v>
      </c>
    </row>
    <row r="1102" spans="1:6" ht="13">
      <c r="A1102" s="16">
        <v>3</v>
      </c>
      <c r="C1102" s="16">
        <v>5423</v>
      </c>
      <c r="D1102" s="58">
        <f>koronahun!AM672</f>
        <v>4840</v>
      </c>
      <c r="E1102" s="56" t="s">
        <v>71</v>
      </c>
      <c r="F1102" s="56" t="s">
        <v>71</v>
      </c>
    </row>
    <row r="1103" spans="1:6" ht="13">
      <c r="A1103" s="16">
        <v>4</v>
      </c>
      <c r="C1103" s="16">
        <v>5675.1428571428569</v>
      </c>
      <c r="D1103" s="58">
        <f>koronahun!AM673</f>
        <v>4846.8571428571431</v>
      </c>
      <c r="E1103" s="56" t="s">
        <v>71</v>
      </c>
      <c r="F1103" s="56" t="s">
        <v>71</v>
      </c>
    </row>
    <row r="1104" spans="1:6" ht="13">
      <c r="A1104" s="16">
        <v>5</v>
      </c>
      <c r="C1104" s="16">
        <v>5458.7142857142853</v>
      </c>
      <c r="D1104" s="58">
        <f>koronahun!AM674</f>
        <v>4470.7142857142853</v>
      </c>
      <c r="E1104" s="56" t="s">
        <v>71</v>
      </c>
      <c r="F1104" s="56" t="s">
        <v>71</v>
      </c>
    </row>
    <row r="1105" spans="1:6" ht="13">
      <c r="A1105" s="16">
        <v>6</v>
      </c>
      <c r="C1105" s="16">
        <v>5043.8571428571431</v>
      </c>
      <c r="D1105" s="58">
        <f>koronahun!AM675</f>
        <v>3830.5714285714284</v>
      </c>
      <c r="E1105" s="56" t="s">
        <v>71</v>
      </c>
      <c r="F1105" s="56" t="s">
        <v>71</v>
      </c>
    </row>
    <row r="1106" spans="1:6" ht="13">
      <c r="A1106" s="16">
        <v>7</v>
      </c>
      <c r="C1106" s="16">
        <v>4699</v>
      </c>
      <c r="D1106" s="58">
        <f>koronahun!AM676</f>
        <v>3710.2857142857142</v>
      </c>
      <c r="E1106" s="56" t="s">
        <v>71</v>
      </c>
      <c r="F1106" s="56" t="s">
        <v>71</v>
      </c>
    </row>
    <row r="1107" spans="1:6" ht="13">
      <c r="A1107" s="16">
        <v>8</v>
      </c>
      <c r="C1107" s="16">
        <v>4198</v>
      </c>
      <c r="D1107">
        <f>koronahun!AM677</f>
        <v>0</v>
      </c>
      <c r="E1107" s="56" t="s">
        <v>71</v>
      </c>
      <c r="F1107" s="56" t="s">
        <v>71</v>
      </c>
    </row>
    <row r="1108" spans="1:6" ht="13">
      <c r="A1108" s="16">
        <v>9</v>
      </c>
      <c r="C1108" s="16">
        <v>4252.7142857142853</v>
      </c>
      <c r="D1108">
        <f>koronahun!AM678</f>
        <v>0</v>
      </c>
      <c r="E1108" s="56" t="s">
        <v>71</v>
      </c>
      <c r="F1108" s="56" t="s">
        <v>71</v>
      </c>
    </row>
    <row r="1109" spans="1:6" ht="13">
      <c r="A1109" s="16">
        <v>10</v>
      </c>
      <c r="C1109" s="16">
        <v>4222.1428571428569</v>
      </c>
      <c r="D1109" s="58">
        <f>koronahun!AM679</f>
        <v>3421</v>
      </c>
      <c r="E1109" s="56" t="s">
        <v>71</v>
      </c>
      <c r="F1109" s="56" t="s">
        <v>71</v>
      </c>
    </row>
    <row r="1110" spans="1:6" ht="13">
      <c r="A1110" s="16">
        <v>11</v>
      </c>
      <c r="C1110" s="16">
        <v>4271.7142857142853</v>
      </c>
      <c r="D1110" s="58">
        <f>koronahun!AM680</f>
        <v>3267.5714285714284</v>
      </c>
      <c r="E1110" s="56" t="s">
        <v>71</v>
      </c>
      <c r="F1110" s="56" t="s">
        <v>71</v>
      </c>
    </row>
    <row r="1111" spans="1:6" ht="13">
      <c r="A1111" s="16">
        <v>12</v>
      </c>
      <c r="C1111" s="16">
        <v>4753.7142857142853</v>
      </c>
      <c r="D1111" s="58">
        <f>koronahun!AM681</f>
        <v>2989.4285714285716</v>
      </c>
      <c r="E1111" s="56" t="s">
        <v>71</v>
      </c>
      <c r="F1111" s="56" t="s">
        <v>71</v>
      </c>
    </row>
    <row r="1112" spans="1:6" ht="13">
      <c r="A1112" s="16">
        <v>13</v>
      </c>
      <c r="C1112" s="16">
        <v>5130.2857142857147</v>
      </c>
      <c r="D1112" s="58">
        <f>koronahun!AM682</f>
        <v>3165.7142857142858</v>
      </c>
      <c r="E1112" s="56" t="s">
        <v>71</v>
      </c>
      <c r="F1112" s="56" t="s">
        <v>71</v>
      </c>
    </row>
    <row r="1113" spans="1:6" ht="13">
      <c r="A1113" s="16">
        <v>14</v>
      </c>
      <c r="C1113" s="16">
        <v>5329.8571428571431</v>
      </c>
      <c r="D1113" s="58">
        <f>koronahun!AM683</f>
        <v>2980.1428571428573</v>
      </c>
      <c r="E1113" s="56" t="s">
        <v>71</v>
      </c>
      <c r="F1113" s="56" t="s">
        <v>71</v>
      </c>
    </row>
    <row r="1114" spans="1:6" ht="13">
      <c r="A1114" s="16">
        <v>15</v>
      </c>
      <c r="C1114" s="16">
        <v>5510.2857142857147</v>
      </c>
      <c r="D1114">
        <f>koronahun!AM684</f>
        <v>0</v>
      </c>
      <c r="E1114" s="56" t="s">
        <v>71</v>
      </c>
      <c r="F1114" s="56" t="s">
        <v>71</v>
      </c>
    </row>
    <row r="1115" spans="1:6" ht="13">
      <c r="A1115" s="16">
        <v>16</v>
      </c>
      <c r="C1115" s="16">
        <v>4879</v>
      </c>
      <c r="D1115">
        <f>koronahun!AM685</f>
        <v>0</v>
      </c>
      <c r="E1115" s="56" t="s">
        <v>71</v>
      </c>
      <c r="F1115" s="56" t="s">
        <v>71</v>
      </c>
    </row>
    <row r="1116" spans="1:6" ht="13">
      <c r="A1116" s="16">
        <v>17</v>
      </c>
      <c r="C1116" s="16">
        <v>4382.7142857142853</v>
      </c>
      <c r="D1116" s="58">
        <f>koronahun!AM686</f>
        <v>3429.2857142857142</v>
      </c>
      <c r="E1116" s="56" t="s">
        <v>71</v>
      </c>
      <c r="F1116" s="56" t="s">
        <v>71</v>
      </c>
    </row>
    <row r="1117" spans="1:6" ht="13">
      <c r="A1117" s="16">
        <v>18</v>
      </c>
      <c r="C1117" s="16">
        <v>3781.2857142857142</v>
      </c>
      <c r="D1117" s="58">
        <f>koronahun!AM687</f>
        <v>4148.1428571428569</v>
      </c>
      <c r="E1117" s="56" t="s">
        <v>71</v>
      </c>
      <c r="F1117" s="56" t="s">
        <v>71</v>
      </c>
    </row>
    <row r="1118" spans="1:6" ht="13">
      <c r="A1118" s="16">
        <v>19</v>
      </c>
      <c r="C1118" s="16">
        <v>3151.8571428571427</v>
      </c>
      <c r="D1118" s="58">
        <f>koronahun!AM688</f>
        <v>4552.2857142857147</v>
      </c>
      <c r="E1118" s="56" t="s">
        <v>71</v>
      </c>
      <c r="F1118" s="56" t="s">
        <v>71</v>
      </c>
    </row>
    <row r="1119" spans="1:6" ht="13">
      <c r="A1119" s="16">
        <v>20</v>
      </c>
      <c r="C1119" s="16">
        <v>2539.8571428571427</v>
      </c>
      <c r="D1119" s="58">
        <f>koronahun!AM689</f>
        <v>4402</v>
      </c>
      <c r="E1119" s="56" t="s">
        <v>71</v>
      </c>
      <c r="F1119" s="56" t="s">
        <v>71</v>
      </c>
    </row>
    <row r="1120" spans="1:6" ht="13">
      <c r="A1120" s="16">
        <v>21</v>
      </c>
      <c r="C1120" s="16">
        <v>2138.8571428571427</v>
      </c>
      <c r="D1120" s="58">
        <f>koronahun!AM690</f>
        <v>4957.2857142857147</v>
      </c>
      <c r="E1120" s="56" t="s">
        <v>71</v>
      </c>
      <c r="F1120" s="56" t="s">
        <v>71</v>
      </c>
    </row>
    <row r="1121" spans="1:6" ht="13">
      <c r="A1121" s="16">
        <v>22</v>
      </c>
      <c r="C1121" s="16">
        <v>1763</v>
      </c>
      <c r="D1121">
        <f>koronahun!AM691</f>
        <v>0</v>
      </c>
      <c r="E1121" s="56" t="s">
        <v>71</v>
      </c>
      <c r="F1121" s="56" t="s">
        <v>71</v>
      </c>
    </row>
    <row r="1122" spans="1:6" ht="13">
      <c r="A1122" s="16">
        <v>23</v>
      </c>
      <c r="C1122" s="16">
        <v>1793.5714285714287</v>
      </c>
      <c r="D1122">
        <f>koronahun!AM692</f>
        <v>0</v>
      </c>
      <c r="E1122" s="56" t="s">
        <v>71</v>
      </c>
      <c r="F1122" s="56" t="s">
        <v>71</v>
      </c>
    </row>
    <row r="1123" spans="1:6" ht="13">
      <c r="A1123" s="16">
        <v>24</v>
      </c>
      <c r="C1123" s="16">
        <v>1836.7142857142858</v>
      </c>
      <c r="D1123" s="58">
        <f>koronahun!AM693</f>
        <v>5622</v>
      </c>
      <c r="E1123" s="56" t="s">
        <v>71</v>
      </c>
      <c r="F1123" s="56" t="s">
        <v>71</v>
      </c>
    </row>
    <row r="1124" spans="1:6" ht="13">
      <c r="A1124" s="16">
        <v>25</v>
      </c>
      <c r="C1124" s="16">
        <v>1807.2857142857142</v>
      </c>
      <c r="D1124" s="58">
        <f>koronahun!AM694</f>
        <v>5657</v>
      </c>
      <c r="E1124" s="56" t="s">
        <v>71</v>
      </c>
      <c r="F1124" s="56" t="s">
        <v>71</v>
      </c>
    </row>
    <row r="1125" spans="1:6" ht="13">
      <c r="A1125" s="16">
        <v>26</v>
      </c>
      <c r="C1125" s="16">
        <v>1823.7142857142858</v>
      </c>
      <c r="D1125" s="58">
        <f>koronahun!AM695</f>
        <v>6156.8571428571431</v>
      </c>
      <c r="E1125" s="56" t="s">
        <v>71</v>
      </c>
      <c r="F1125" s="56" t="s">
        <v>71</v>
      </c>
    </row>
    <row r="1126" spans="1:6" ht="13">
      <c r="A1126" s="16">
        <v>27</v>
      </c>
      <c r="C1126" s="16">
        <v>1909.1428571428571</v>
      </c>
      <c r="D1126" s="58">
        <f>koronahun!AM696</f>
        <v>6740</v>
      </c>
      <c r="E1126" s="56" t="s">
        <v>71</v>
      </c>
      <c r="F1126" s="56" t="s">
        <v>71</v>
      </c>
    </row>
    <row r="1127" spans="1:6" ht="13">
      <c r="A1127" s="16">
        <v>28</v>
      </c>
      <c r="C1127" s="16">
        <v>1961</v>
      </c>
      <c r="D1127" s="58">
        <f>koronahun!AM697</f>
        <v>6874</v>
      </c>
      <c r="E1127" s="56" t="s">
        <v>71</v>
      </c>
      <c r="F1127" s="56" t="s">
        <v>71</v>
      </c>
    </row>
    <row r="1128" spans="1:6" ht="13">
      <c r="A1128" s="16">
        <v>29</v>
      </c>
      <c r="C1128" s="16">
        <v>2488.7142857142858</v>
      </c>
      <c r="D1128">
        <f>koronahun!AM698</f>
        <v>0</v>
      </c>
      <c r="E1128" s="56" t="s">
        <v>71</v>
      </c>
      <c r="F1128" s="56" t="s">
        <v>71</v>
      </c>
    </row>
    <row r="1129" spans="1:6" ht="13">
      <c r="A1129" s="16">
        <v>30</v>
      </c>
      <c r="C1129" s="16">
        <v>2810.7142857142858</v>
      </c>
      <c r="D1129">
        <f>koronahun!AM699</f>
        <v>0</v>
      </c>
      <c r="E1129" s="56" t="s">
        <v>71</v>
      </c>
      <c r="F1129" s="56" t="s">
        <v>71</v>
      </c>
    </row>
    <row r="1130" spans="1:6" ht="13">
      <c r="A1130" s="16">
        <v>31</v>
      </c>
      <c r="C1130" s="16">
        <v>3070.8571428571427</v>
      </c>
      <c r="D1130" s="58">
        <f>koronahun!AM700</f>
        <v>10181.428571428571</v>
      </c>
      <c r="E1130" s="56" t="s">
        <v>71</v>
      </c>
      <c r="F1130" s="56" t="s">
        <v>71</v>
      </c>
    </row>
    <row r="1131" spans="1:6" ht="13">
      <c r="A1131" s="16">
        <v>32</v>
      </c>
      <c r="C1131" s="16">
        <v>3024</v>
      </c>
      <c r="D1131" s="58">
        <f>koronahun!AM701</f>
        <v>10720.714285714286</v>
      </c>
      <c r="E1131" s="56" t="s">
        <v>71</v>
      </c>
      <c r="F1131" s="56" t="s">
        <v>71</v>
      </c>
    </row>
    <row r="1132" spans="1:6" ht="13">
      <c r="A1132" s="16">
        <v>33</v>
      </c>
      <c r="C1132" s="16">
        <v>3446</v>
      </c>
      <c r="D1132" s="58">
        <f>koronahun!AM702</f>
        <v>12229.571428571429</v>
      </c>
      <c r="E1132" s="56" t="s">
        <v>71</v>
      </c>
      <c r="F1132" s="56" t="s">
        <v>71</v>
      </c>
    </row>
    <row r="1133" spans="1:6" ht="13">
      <c r="A1133" s="16">
        <v>34</v>
      </c>
      <c r="C1133" s="16">
        <v>3669.7142857142858</v>
      </c>
      <c r="D1133" s="58">
        <f>koronahun!AM703</f>
        <v>13911</v>
      </c>
      <c r="E1133" s="56" t="s">
        <v>71</v>
      </c>
      <c r="F1133" s="56" t="s">
        <v>71</v>
      </c>
    </row>
    <row r="1134" spans="1:6" ht="13">
      <c r="A1134" s="16">
        <v>35</v>
      </c>
      <c r="C1134" s="16">
        <v>3615</v>
      </c>
      <c r="D1134" s="58">
        <f>koronahun!AM704</f>
        <v>15195.714285714286</v>
      </c>
      <c r="E1134" s="56" t="s">
        <v>71</v>
      </c>
      <c r="F1134" s="56" t="s">
        <v>71</v>
      </c>
    </row>
    <row r="1135" spans="1:6" ht="13">
      <c r="A1135" s="16">
        <v>36</v>
      </c>
      <c r="C1135" s="16">
        <v>2997.2857142857142</v>
      </c>
      <c r="D1135">
        <f>koronahun!AM705</f>
        <v>0</v>
      </c>
      <c r="E1135" s="56" t="s">
        <v>71</v>
      </c>
      <c r="F1135" s="56" t="s">
        <v>71</v>
      </c>
    </row>
    <row r="1136" spans="1:6" ht="13">
      <c r="A1136" s="16">
        <v>37</v>
      </c>
      <c r="C1136" s="16">
        <v>2627.7142857142858</v>
      </c>
      <c r="D1136">
        <f>koronahun!AM706</f>
        <v>0</v>
      </c>
      <c r="E1136" s="56" t="s">
        <v>71</v>
      </c>
      <c r="F1136" s="56" t="s">
        <v>71</v>
      </c>
    </row>
    <row r="1137" spans="1:6" ht="13">
      <c r="A1137" s="16">
        <v>38</v>
      </c>
      <c r="C1137" s="16">
        <v>2399.2857142857142</v>
      </c>
      <c r="D1137" s="58">
        <f>koronahun!AM707</f>
        <v>13814</v>
      </c>
      <c r="E1137" s="56" t="s">
        <v>71</v>
      </c>
      <c r="F1137" s="56" t="s">
        <v>71</v>
      </c>
    </row>
    <row r="1138" spans="1:6" ht="13">
      <c r="A1138" s="16">
        <v>39</v>
      </c>
      <c r="C1138" s="16">
        <v>2511.2857142857142</v>
      </c>
      <c r="D1138" s="58">
        <f>koronahun!AM708</f>
        <v>13238.714285714286</v>
      </c>
      <c r="E1138" s="56" t="s">
        <v>71</v>
      </c>
      <c r="F1138" s="56" t="s">
        <v>71</v>
      </c>
    </row>
    <row r="1139" spans="1:6" ht="13">
      <c r="A1139" s="16">
        <v>40</v>
      </c>
      <c r="C1139" s="16">
        <v>2068.4285714285716</v>
      </c>
      <c r="D1139" s="58">
        <f>koronahun!AM709</f>
        <v>12816.714285714286</v>
      </c>
      <c r="E1139" s="56" t="s">
        <v>71</v>
      </c>
      <c r="F1139" s="56" t="s">
        <v>71</v>
      </c>
    </row>
    <row r="1140" spans="1:6" ht="13">
      <c r="A1140" s="16">
        <v>41</v>
      </c>
      <c r="C1140" s="16">
        <v>1819.7142857142858</v>
      </c>
      <c r="D1140" s="58">
        <f>koronahun!AM710</f>
        <v>11382</v>
      </c>
      <c r="E1140" s="56" t="s">
        <v>71</v>
      </c>
      <c r="F1140" s="56" t="s">
        <v>71</v>
      </c>
    </row>
    <row r="1141" spans="1:6" ht="13">
      <c r="A1141" s="16">
        <v>42</v>
      </c>
      <c r="C1141" s="16">
        <v>1832.2857142857142</v>
      </c>
      <c r="D1141" s="58">
        <f>koronahun!AM711</f>
        <v>10889</v>
      </c>
      <c r="E1141" s="56" t="s">
        <v>71</v>
      </c>
      <c r="F1141" s="56" t="s">
        <v>71</v>
      </c>
    </row>
    <row r="1142" spans="1:6" ht="13">
      <c r="A1142" s="16">
        <v>43</v>
      </c>
      <c r="C1142" s="16">
        <v>1965.1428571428571</v>
      </c>
      <c r="D1142">
        <f>koronahun!AM712</f>
        <v>0</v>
      </c>
      <c r="E1142" s="56" t="s">
        <v>71</v>
      </c>
      <c r="F1142" s="56" t="s">
        <v>71</v>
      </c>
    </row>
    <row r="1143" spans="1:6" ht="13">
      <c r="A1143" s="16">
        <v>44</v>
      </c>
      <c r="C1143" s="16">
        <v>2227.5714285714284</v>
      </c>
      <c r="D1143">
        <f>koronahun!AM713</f>
        <v>0</v>
      </c>
      <c r="E1143" s="56" t="s">
        <v>71</v>
      </c>
      <c r="F1143" s="56" t="s">
        <v>71</v>
      </c>
    </row>
    <row r="1144" spans="1:6" ht="13">
      <c r="A1144" s="16">
        <v>45</v>
      </c>
      <c r="C1144" s="16">
        <v>2344.2857142857142</v>
      </c>
      <c r="D1144" s="58">
        <f>koronahun!AM714</f>
        <v>10504.857142857143</v>
      </c>
      <c r="E1144" s="56" t="s">
        <v>71</v>
      </c>
      <c r="F1144" s="56" t="s">
        <v>71</v>
      </c>
    </row>
    <row r="1145" spans="1:6" ht="13">
      <c r="A1145" s="16">
        <v>46</v>
      </c>
      <c r="C1145" s="16">
        <v>2309.8571428571427</v>
      </c>
      <c r="D1145" s="58">
        <f>koronahun!AM715</f>
        <v>12039.142857142857</v>
      </c>
      <c r="E1145" s="56" t="s">
        <v>71</v>
      </c>
      <c r="F1145" s="56" t="s">
        <v>71</v>
      </c>
    </row>
    <row r="1146" spans="1:6" ht="13">
      <c r="A1146" s="16">
        <v>47</v>
      </c>
      <c r="C1146" s="16">
        <v>2213</v>
      </c>
      <c r="D1146" s="58">
        <f>koronahun!AM716</f>
        <v>11191.857142857143</v>
      </c>
      <c r="E1146" s="56" t="s">
        <v>71</v>
      </c>
      <c r="F1146" s="56" t="s">
        <v>71</v>
      </c>
    </row>
    <row r="1147" spans="1:6" ht="13">
      <c r="A1147" s="16">
        <v>48</v>
      </c>
      <c r="C1147" s="16">
        <v>2138.1428571428573</v>
      </c>
      <c r="D1147" s="58">
        <f>koronahun!AM717</f>
        <v>11812.857142857143</v>
      </c>
      <c r="E1147" s="56" t="s">
        <v>71</v>
      </c>
      <c r="F1147" s="56" t="s">
        <v>71</v>
      </c>
    </row>
    <row r="1148" spans="1:6" ht="13">
      <c r="A1148" s="16">
        <v>49</v>
      </c>
      <c r="C1148" s="16">
        <v>2032.7142857142858</v>
      </c>
      <c r="D1148" s="58">
        <f>koronahun!AM718</f>
        <v>11447.714285714286</v>
      </c>
      <c r="E1148" s="56" t="s">
        <v>71</v>
      </c>
      <c r="F1148" s="56" t="s">
        <v>71</v>
      </c>
    </row>
    <row r="1149" spans="1:6" ht="13">
      <c r="A1149" s="16">
        <v>50</v>
      </c>
      <c r="C1149" s="16">
        <v>1881.2857142857142</v>
      </c>
      <c r="D1149">
        <f>koronahun!AM719</f>
        <v>0</v>
      </c>
      <c r="E1149" s="56" t="s">
        <v>71</v>
      </c>
      <c r="F1149" s="56" t="s">
        <v>71</v>
      </c>
    </row>
    <row r="1150" spans="1:6" ht="13">
      <c r="A1150" s="16">
        <v>51</v>
      </c>
      <c r="C1150" s="16">
        <v>1591.1428571428571</v>
      </c>
      <c r="D1150">
        <f>koronahun!AM720</f>
        <v>0</v>
      </c>
      <c r="E1150" s="56" t="s">
        <v>71</v>
      </c>
      <c r="F1150" s="56" t="s">
        <v>71</v>
      </c>
    </row>
    <row r="1151" spans="1:6" ht="13">
      <c r="A1151" s="16">
        <v>52</v>
      </c>
      <c r="C1151" s="16">
        <v>1492.5714285714287</v>
      </c>
      <c r="D1151" s="58">
        <f>koronahun!AM721</f>
        <v>10885</v>
      </c>
      <c r="E1151" s="56" t="s">
        <v>71</v>
      </c>
      <c r="F1151" s="56" t="s">
        <v>71</v>
      </c>
    </row>
    <row r="1152" spans="1:6" ht="13">
      <c r="A1152" s="16">
        <v>53</v>
      </c>
      <c r="C1152" s="16">
        <v>1520.2857142857142</v>
      </c>
      <c r="D1152" s="58">
        <f>koronahun!AM722</f>
        <v>9573.1428571428569</v>
      </c>
      <c r="E1152" s="56" t="s">
        <v>71</v>
      </c>
      <c r="F1152" s="56" t="s">
        <v>71</v>
      </c>
    </row>
    <row r="1153" spans="1:6" ht="13">
      <c r="A1153" s="16">
        <v>54</v>
      </c>
      <c r="C1153" s="16">
        <v>1725</v>
      </c>
      <c r="D1153" s="58">
        <f>koronahun!AM723</f>
        <v>9770.2857142857138</v>
      </c>
      <c r="E1153" s="56" t="s">
        <v>71</v>
      </c>
      <c r="F1153" s="56" t="s">
        <v>71</v>
      </c>
    </row>
    <row r="1154" spans="1:6" ht="13">
      <c r="A1154" s="16">
        <v>55</v>
      </c>
      <c r="C1154" s="16">
        <v>1923</v>
      </c>
      <c r="D1154" s="58">
        <f>koronahun!AM724</f>
        <v>9139.1428571428569</v>
      </c>
      <c r="E1154" s="56" t="s">
        <v>71</v>
      </c>
      <c r="F1154" s="56" t="s">
        <v>71</v>
      </c>
    </row>
    <row r="1155" spans="1:6" ht="13">
      <c r="A1155" s="16">
        <v>56</v>
      </c>
      <c r="C1155" s="16">
        <v>2059.7142857142858</v>
      </c>
      <c r="D1155" s="58">
        <f>koronahun!AM725</f>
        <v>8922</v>
      </c>
      <c r="E1155" s="56" t="s">
        <v>71</v>
      </c>
      <c r="F1155" s="56" t="s">
        <v>71</v>
      </c>
    </row>
    <row r="1156" spans="1:6" ht="13">
      <c r="A1156" s="16">
        <v>57</v>
      </c>
      <c r="C1156" s="16">
        <v>2172.8571428571427</v>
      </c>
      <c r="D1156">
        <f>koronahun!AM726</f>
        <v>0</v>
      </c>
      <c r="E1156" s="56" t="s">
        <v>71</v>
      </c>
      <c r="F1156" s="56" t="s">
        <v>71</v>
      </c>
    </row>
    <row r="1157" spans="1:6" ht="13">
      <c r="A1157" s="16">
        <v>58</v>
      </c>
      <c r="C1157" s="16">
        <v>2144.4285714285716</v>
      </c>
      <c r="D1157">
        <f>koronahun!AM727</f>
        <v>0</v>
      </c>
      <c r="E1157" s="56" t="s">
        <v>71</v>
      </c>
      <c r="F1157" s="56" t="s">
        <v>71</v>
      </c>
    </row>
    <row r="1158" spans="1:6" ht="13">
      <c r="A1158" s="16">
        <v>59</v>
      </c>
      <c r="C1158" s="16">
        <v>2072.4285714285716</v>
      </c>
      <c r="D1158" s="58">
        <f>koronahun!AM728</f>
        <v>8859.5714285714294</v>
      </c>
      <c r="E1158" s="56" t="s">
        <v>71</v>
      </c>
      <c r="F1158" s="56" t="s">
        <v>71</v>
      </c>
    </row>
    <row r="1159" spans="1:6" ht="13">
      <c r="A1159" s="16">
        <v>60</v>
      </c>
      <c r="C1159" s="16">
        <v>2043.7142857142858</v>
      </c>
      <c r="D1159" s="58">
        <f>koronahun!AM729</f>
        <v>8507.4285714285706</v>
      </c>
      <c r="E1159" s="56" t="s">
        <v>71</v>
      </c>
      <c r="F1159" s="56" t="s">
        <v>71</v>
      </c>
    </row>
    <row r="1160" spans="1:6" ht="13">
      <c r="A1160" s="16">
        <v>61</v>
      </c>
      <c r="C1160" s="16">
        <v>1907.7142857142858</v>
      </c>
      <c r="D1160" s="58">
        <f>koronahun!AM730</f>
        <v>8458.8571428571431</v>
      </c>
      <c r="E1160" s="56" t="s">
        <v>71</v>
      </c>
      <c r="F1160" s="56" t="s">
        <v>71</v>
      </c>
    </row>
    <row r="1161" spans="1:6" ht="13">
      <c r="A1161" s="16">
        <v>62</v>
      </c>
      <c r="C1161" s="16">
        <v>1823.5714285714287</v>
      </c>
      <c r="D1161" s="58">
        <f>koronahun!AM731</f>
        <v>7585.8571428571431</v>
      </c>
      <c r="E1161" s="56" t="s">
        <v>71</v>
      </c>
      <c r="F1161" s="56" t="s">
        <v>71</v>
      </c>
    </row>
    <row r="1162" spans="1:6" ht="13">
      <c r="A1162" s="16">
        <v>63</v>
      </c>
      <c r="C1162" s="16">
        <v>1765</v>
      </c>
      <c r="D1162" s="58">
        <f>koronahun!AM732</f>
        <v>7437.8571428571431</v>
      </c>
      <c r="E1162" s="56" t="s">
        <v>71</v>
      </c>
      <c r="F1162" s="56" t="s">
        <v>71</v>
      </c>
    </row>
    <row r="1163" spans="1:6" ht="13">
      <c r="A1163" s="16">
        <v>64</v>
      </c>
      <c r="C1163" s="16">
        <v>1951.1428571428571</v>
      </c>
      <c r="D1163">
        <f>koronahun!AM733</f>
        <v>0</v>
      </c>
      <c r="E1163" s="56" t="s">
        <v>71</v>
      </c>
      <c r="F1163" s="56" t="s">
        <v>71</v>
      </c>
    </row>
    <row r="1164" spans="1:6" ht="13">
      <c r="A1164" s="16">
        <v>65</v>
      </c>
      <c r="C1164" s="16">
        <v>1907.7142857142858</v>
      </c>
      <c r="D1164">
        <f>koronahun!AM734</f>
        <v>0</v>
      </c>
      <c r="E1164" s="56" t="s">
        <v>71</v>
      </c>
      <c r="F1164" s="56" t="s">
        <v>71</v>
      </c>
    </row>
    <row r="1165" spans="1:6" ht="13">
      <c r="A1165" s="16">
        <v>66</v>
      </c>
      <c r="C1165" s="16">
        <v>2054.8571428571427</v>
      </c>
      <c r="D1165" s="58">
        <f>koronahun!AM735</f>
        <v>6211.7142857142853</v>
      </c>
      <c r="E1165" s="56" t="s">
        <v>71</v>
      </c>
      <c r="F1165" s="56" t="s">
        <v>71</v>
      </c>
    </row>
    <row r="1166" spans="1:6" ht="13">
      <c r="A1166" s="16">
        <v>67</v>
      </c>
      <c r="C1166" s="16">
        <v>1969.7142857142858</v>
      </c>
      <c r="D1166" s="58">
        <f>koronahun!AM736</f>
        <v>5967.5714285714284</v>
      </c>
      <c r="E1166" s="56" t="s">
        <v>71</v>
      </c>
      <c r="F1166" s="56" t="s">
        <v>71</v>
      </c>
    </row>
    <row r="1167" spans="1:6" ht="13">
      <c r="A1167" s="16">
        <v>68</v>
      </c>
      <c r="C1167" s="16">
        <v>2106.2857142857142</v>
      </c>
      <c r="D1167" s="58">
        <f>koronahun!AM737</f>
        <v>5024.5714285714284</v>
      </c>
      <c r="E1167" s="56" t="s">
        <v>71</v>
      </c>
      <c r="F1167" s="56" t="s">
        <v>71</v>
      </c>
    </row>
    <row r="1168" spans="1:6" ht="13">
      <c r="A1168" s="16">
        <v>69</v>
      </c>
      <c r="C1168" s="16">
        <v>2089.8571428571427</v>
      </c>
      <c r="D1168" s="58">
        <f>koronahun!AM738</f>
        <v>5103.1428571428569</v>
      </c>
      <c r="E1168" s="56" t="s">
        <v>71</v>
      </c>
      <c r="F1168" s="56" t="s">
        <v>71</v>
      </c>
    </row>
    <row r="1169" spans="1:6" ht="13">
      <c r="A1169" s="16">
        <v>70</v>
      </c>
      <c r="B1169" s="16"/>
      <c r="C1169" s="16">
        <v>2304.4285714285716</v>
      </c>
      <c r="D1169" s="58">
        <f>koronahun!AM739</f>
        <v>4581.2857142857147</v>
      </c>
      <c r="E1169" s="56" t="s">
        <v>71</v>
      </c>
      <c r="F1169" s="56" t="s">
        <v>71</v>
      </c>
    </row>
    <row r="1170" spans="1:6" ht="13">
      <c r="A1170" s="16">
        <v>71</v>
      </c>
      <c r="B1170" s="16"/>
      <c r="C1170" s="16">
        <v>2192.4285714285716</v>
      </c>
      <c r="D1170">
        <f>koronahun!AM740</f>
        <v>0</v>
      </c>
      <c r="E1170" s="56" t="s">
        <v>71</v>
      </c>
      <c r="F1170" s="56" t="s">
        <v>71</v>
      </c>
    </row>
    <row r="1171" spans="1:6" ht="13">
      <c r="A1171" s="16">
        <v>72</v>
      </c>
      <c r="B1171" s="16"/>
      <c r="C1171" s="16">
        <v>2355</v>
      </c>
      <c r="D1171">
        <f>koronahun!AM741</f>
        <v>0</v>
      </c>
      <c r="E1171" s="56" t="s">
        <v>71</v>
      </c>
      <c r="F1171" s="56" t="s">
        <v>71</v>
      </c>
    </row>
    <row r="1172" spans="1:6" ht="13">
      <c r="A1172" s="16">
        <v>73</v>
      </c>
      <c r="B1172" s="16"/>
      <c r="C1172" s="16">
        <v>2339.8571428571427</v>
      </c>
      <c r="D1172">
        <f>koronahun!AM742</f>
        <v>0</v>
      </c>
      <c r="E1172" s="56" t="s">
        <v>71</v>
      </c>
      <c r="F1172" s="56" t="s">
        <v>71</v>
      </c>
    </row>
    <row r="1173" spans="1:6" ht="13">
      <c r="A1173" s="16">
        <v>74</v>
      </c>
      <c r="B1173" s="16"/>
      <c r="C1173" s="16">
        <v>2581.8571428571427</v>
      </c>
      <c r="D1173">
        <f>koronahun!AM743</f>
        <v>0</v>
      </c>
      <c r="E1173" s="56" t="s">
        <v>71</v>
      </c>
      <c r="F1173" s="56" t="s">
        <v>71</v>
      </c>
    </row>
    <row r="1174" spans="1:6" ht="13">
      <c r="A1174" s="16">
        <v>75</v>
      </c>
      <c r="B1174" s="16"/>
      <c r="C1174" s="16">
        <v>2533.2857142857142</v>
      </c>
      <c r="D1174" s="58">
        <f>koronahun!AM744</f>
        <v>3235.8571428571427</v>
      </c>
      <c r="E1174" s="56" t="s">
        <v>71</v>
      </c>
      <c r="F1174" s="56" t="s">
        <v>71</v>
      </c>
    </row>
    <row r="1175" spans="1:6" ht="13">
      <c r="A1175" s="16">
        <v>76</v>
      </c>
      <c r="B1175" s="16"/>
      <c r="C1175" s="16">
        <v>2602.4285714285716</v>
      </c>
      <c r="D1175" s="58">
        <f>koronahun!AM745</f>
        <v>3010.5714285714284</v>
      </c>
      <c r="E1175" s="56" t="s">
        <v>71</v>
      </c>
      <c r="F1175" s="56" t="s">
        <v>71</v>
      </c>
    </row>
    <row r="1176" spans="1:6" ht="13">
      <c r="A1176" s="16">
        <v>77</v>
      </c>
      <c r="B1176" s="16"/>
      <c r="C1176" s="16">
        <v>2375.4285714285716</v>
      </c>
      <c r="D1176" s="58">
        <f>koronahun!AM746</f>
        <v>3150.8571428571427</v>
      </c>
      <c r="E1176" s="56" t="s">
        <v>71</v>
      </c>
      <c r="F1176" s="56" t="s">
        <v>71</v>
      </c>
    </row>
    <row r="1177" spans="1:6" ht="13">
      <c r="A1177" s="16">
        <v>78</v>
      </c>
      <c r="B1177" s="16">
        <v>0.2857142857142857</v>
      </c>
      <c r="C1177" s="16">
        <v>2557.7142857142858</v>
      </c>
      <c r="D1177">
        <f>koronahun!AM747</f>
        <v>0</v>
      </c>
      <c r="E1177" s="56" t="s">
        <v>71</v>
      </c>
      <c r="F1177" s="56" t="s">
        <v>71</v>
      </c>
    </row>
    <row r="1178" spans="1:6" ht="13">
      <c r="A1178" s="16">
        <v>79</v>
      </c>
      <c r="B1178" s="16">
        <v>0.8571428571428571</v>
      </c>
      <c r="C1178" s="16">
        <v>2463.4285714285716</v>
      </c>
      <c r="D1178">
        <f>koronahun!AM748</f>
        <v>0</v>
      </c>
      <c r="E1178" s="56" t="s">
        <v>71</v>
      </c>
      <c r="F1178" s="56" t="s">
        <v>71</v>
      </c>
    </row>
    <row r="1179" spans="1:6" ht="13">
      <c r="A1179" s="16">
        <v>80</v>
      </c>
      <c r="B1179" s="16">
        <v>0.8571428571428571</v>
      </c>
      <c r="C1179" s="16">
        <v>2586.7142857142858</v>
      </c>
      <c r="D1179" s="58">
        <f>koronahun!AM749</f>
        <v>4375</v>
      </c>
      <c r="E1179" s="56" t="s">
        <v>71</v>
      </c>
      <c r="F1179" s="56" t="s">
        <v>71</v>
      </c>
    </row>
    <row r="1180" spans="1:6" ht="13">
      <c r="A1180" s="16">
        <v>81</v>
      </c>
      <c r="B1180" s="16">
        <v>2.1428571428571428</v>
      </c>
      <c r="C1180" s="16">
        <v>2692.7142857142858</v>
      </c>
      <c r="D1180" s="58">
        <f>koronahun!AM750</f>
        <v>4624.4285714285716</v>
      </c>
      <c r="E1180" s="56" t="s">
        <v>71</v>
      </c>
      <c r="F1180" s="56" t="s">
        <v>71</v>
      </c>
    </row>
    <row r="1181" spans="1:6" ht="13">
      <c r="A1181" s="16">
        <v>82</v>
      </c>
      <c r="B1181" s="16">
        <v>2.7142857142857144</v>
      </c>
      <c r="C1181" s="16">
        <v>3071</v>
      </c>
      <c r="D1181" s="58">
        <f>koronahun!AM751</f>
        <v>3201.7142857142858</v>
      </c>
      <c r="E1181" s="56" t="s">
        <v>71</v>
      </c>
      <c r="F1181" s="56" t="s">
        <v>71</v>
      </c>
    </row>
    <row r="1182" spans="1:6" ht="13">
      <c r="A1182" s="16">
        <v>83</v>
      </c>
      <c r="B1182" s="16">
        <v>2.7142857142857144</v>
      </c>
      <c r="C1182" s="16">
        <v>3249.4285714285716</v>
      </c>
      <c r="D1182" s="58">
        <f>koronahun!AM752</f>
        <v>3192.7142857142858</v>
      </c>
      <c r="E1182" s="56" t="s">
        <v>71</v>
      </c>
      <c r="F1182" s="56" t="s">
        <v>71</v>
      </c>
    </row>
    <row r="1183" spans="1:6" ht="13">
      <c r="A1183" s="16">
        <v>84</v>
      </c>
      <c r="B1183" s="16">
        <v>2.7142857142857144</v>
      </c>
      <c r="C1183" s="16">
        <v>3810.7142857142858</v>
      </c>
      <c r="D1183" s="58">
        <f>koronahun!AM753</f>
        <v>2956.2857142857142</v>
      </c>
      <c r="E1183" s="56" t="s">
        <v>71</v>
      </c>
      <c r="F1183" s="56" t="s">
        <v>71</v>
      </c>
    </row>
    <row r="1184" spans="1:6" ht="13">
      <c r="A1184" s="16">
        <v>85</v>
      </c>
      <c r="B1184" s="16">
        <v>3.7142857142857144</v>
      </c>
      <c r="C1184" s="16">
        <v>3929.4285714285716</v>
      </c>
      <c r="D1184">
        <f>koronahun!AM754</f>
        <v>0</v>
      </c>
      <c r="E1184" s="56" t="s">
        <v>71</v>
      </c>
      <c r="F1184" s="56" t="s">
        <v>71</v>
      </c>
    </row>
    <row r="1185" spans="1:6" ht="13">
      <c r="A1185" s="16">
        <v>86</v>
      </c>
      <c r="B1185" s="16">
        <v>3.8571428571428572</v>
      </c>
      <c r="C1185" s="16">
        <v>3889.2857142857142</v>
      </c>
      <c r="D1185">
        <f>koronahun!AM755</f>
        <v>0</v>
      </c>
      <c r="E1185" s="56" t="s">
        <v>71</v>
      </c>
      <c r="F1185" s="56" t="s">
        <v>71</v>
      </c>
    </row>
    <row r="1186" spans="1:6" ht="13">
      <c r="A1186" s="16">
        <v>87</v>
      </c>
      <c r="B1186" s="16">
        <v>3.8571428571428572</v>
      </c>
      <c r="C1186" s="16">
        <v>3684.5714285714284</v>
      </c>
      <c r="D1186" s="58">
        <f>koronahun!AM756</f>
        <v>2557.7142857142858</v>
      </c>
      <c r="E1186" s="56" t="s">
        <v>71</v>
      </c>
      <c r="F1186" s="56" t="s">
        <v>71</v>
      </c>
    </row>
    <row r="1187" spans="1:6" ht="13">
      <c r="A1187" s="16">
        <v>88</v>
      </c>
      <c r="B1187" s="16">
        <v>2.5714285714285716</v>
      </c>
      <c r="C1187" s="16">
        <v>3756.4285714285716</v>
      </c>
      <c r="D1187" s="58">
        <f>koronahun!AM757</f>
        <v>2530.5714285714284</v>
      </c>
      <c r="E1187" s="56" t="s">
        <v>71</v>
      </c>
      <c r="F1187" s="56" t="s">
        <v>71</v>
      </c>
    </row>
    <row r="1188" spans="1:6" ht="13">
      <c r="A1188" s="16">
        <v>89</v>
      </c>
      <c r="B1188" s="16">
        <v>1.8571428571428572</v>
      </c>
      <c r="C1188" s="16">
        <v>3541.1428571428573</v>
      </c>
      <c r="D1188" s="58">
        <f>koronahun!AM758</f>
        <v>2516.1428571428573</v>
      </c>
      <c r="E1188" s="56" t="s">
        <v>71</v>
      </c>
      <c r="F1188" s="56" t="s">
        <v>71</v>
      </c>
    </row>
    <row r="1189" spans="1:6" ht="13">
      <c r="A1189" s="16">
        <v>90</v>
      </c>
      <c r="B1189" s="16">
        <v>2.2857142857142856</v>
      </c>
      <c r="C1189" s="16">
        <v>3589.7142857142858</v>
      </c>
      <c r="D1189" s="58">
        <f>koronahun!AM759</f>
        <v>2466.5714285714284</v>
      </c>
      <c r="E1189" s="56" t="s">
        <v>71</v>
      </c>
      <c r="F1189" s="56" t="s">
        <v>71</v>
      </c>
    </row>
    <row r="1190" spans="1:6" ht="13">
      <c r="A1190" s="16">
        <v>91</v>
      </c>
      <c r="B1190" s="16">
        <v>2.7142857142857144</v>
      </c>
      <c r="C1190" s="16">
        <v>3285</v>
      </c>
      <c r="D1190" s="58">
        <f>koronahun!AM760</f>
        <v>2282.4285714285716</v>
      </c>
      <c r="E1190" s="56" t="s">
        <v>71</v>
      </c>
      <c r="F1190" s="56" t="s">
        <v>71</v>
      </c>
    </row>
    <row r="1191" spans="1:6" ht="13">
      <c r="A1191" s="16">
        <v>92</v>
      </c>
      <c r="B1191" s="16">
        <v>2</v>
      </c>
      <c r="C1191" s="16">
        <v>3008</v>
      </c>
      <c r="D1191">
        <f>koronahun!AM761</f>
        <v>0</v>
      </c>
      <c r="E1191" s="56" t="s">
        <v>71</v>
      </c>
      <c r="F1191" s="56" t="s">
        <v>71</v>
      </c>
    </row>
    <row r="1192" spans="1:6" ht="13">
      <c r="A1192" s="16">
        <v>93</v>
      </c>
      <c r="B1192" s="16">
        <v>1.2857142857142858</v>
      </c>
      <c r="C1192" s="16">
        <v>3086</v>
      </c>
      <c r="D1192">
        <f>koronahun!AM762</f>
        <v>0</v>
      </c>
      <c r="E1192" s="56" t="s">
        <v>71</v>
      </c>
      <c r="F1192" s="56" t="s">
        <v>71</v>
      </c>
    </row>
    <row r="1193" spans="1:6" ht="13">
      <c r="A1193" s="16">
        <v>94</v>
      </c>
      <c r="B1193" s="16">
        <v>3.4285714285714284</v>
      </c>
      <c r="C1193" s="16">
        <v>3026</v>
      </c>
      <c r="D1193">
        <f>koronahun!AM763</f>
        <v>0</v>
      </c>
      <c r="E1193" s="56" t="s">
        <v>71</v>
      </c>
      <c r="F1193" s="56" t="s">
        <v>71</v>
      </c>
    </row>
    <row r="1194" spans="1:6" ht="13">
      <c r="A1194" s="16">
        <v>95</v>
      </c>
      <c r="B1194" s="16">
        <v>4.5714285714285712</v>
      </c>
      <c r="C1194" s="16">
        <v>2589</v>
      </c>
      <c r="D1194" s="58">
        <f>koronahun!AM764</f>
        <v>2362.8571428571427</v>
      </c>
      <c r="E1194" s="56" t="s">
        <v>71</v>
      </c>
      <c r="F1194" s="56" t="s">
        <v>71</v>
      </c>
    </row>
    <row r="1195" spans="1:6" ht="13">
      <c r="A1195" s="16">
        <v>96</v>
      </c>
      <c r="B1195" s="16">
        <v>4.7142857142857144</v>
      </c>
      <c r="C1195" s="16">
        <v>2229.1428571428573</v>
      </c>
      <c r="D1195" s="58">
        <f>koronahun!AM765</f>
        <v>2366.4285714285716</v>
      </c>
      <c r="E1195" s="56" t="s">
        <v>71</v>
      </c>
      <c r="F1195" s="56" t="s">
        <v>71</v>
      </c>
    </row>
    <row r="1196" spans="1:6" ht="13">
      <c r="A1196" s="16">
        <v>97</v>
      </c>
      <c r="B1196" s="16">
        <v>4.8571428571428568</v>
      </c>
      <c r="C1196" s="16">
        <v>1745.2857142857142</v>
      </c>
      <c r="D1196" s="58">
        <f>koronahun!AM766</f>
        <v>2327.7142857142858</v>
      </c>
      <c r="E1196" s="56" t="s">
        <v>71</v>
      </c>
      <c r="F1196" s="56" t="s">
        <v>71</v>
      </c>
    </row>
    <row r="1197" spans="1:6" ht="13">
      <c r="A1197" s="16">
        <v>98</v>
      </c>
      <c r="B1197" s="16">
        <v>7.7142857142857144</v>
      </c>
      <c r="C1197" s="16">
        <v>1314.2857142857142</v>
      </c>
      <c r="D1197" s="58">
        <f>koronahun!AM767</f>
        <v>2279.1428571428573</v>
      </c>
      <c r="E1197" s="56" t="s">
        <v>71</v>
      </c>
      <c r="F1197" s="56" t="s">
        <v>71</v>
      </c>
    </row>
    <row r="1198" spans="1:6" ht="13">
      <c r="A1198" s="16">
        <v>99</v>
      </c>
      <c r="B1198" s="16">
        <v>7.7142857142857144</v>
      </c>
      <c r="C1198" s="16">
        <v>986.42857142857144</v>
      </c>
      <c r="D1198">
        <f>koronahun!AM768</f>
        <v>0</v>
      </c>
      <c r="E1198" s="56" t="s">
        <v>71</v>
      </c>
      <c r="F1198" s="56" t="s">
        <v>71</v>
      </c>
    </row>
    <row r="1199" spans="1:6" ht="13">
      <c r="A1199" s="16">
        <v>100</v>
      </c>
      <c r="B1199" s="16">
        <v>9.8571428571428577</v>
      </c>
      <c r="C1199" s="16">
        <v>1109.2857142857142</v>
      </c>
      <c r="D1199">
        <f>koronahun!AM769</f>
        <v>0</v>
      </c>
      <c r="E1199" s="56" t="s">
        <v>71</v>
      </c>
      <c r="F1199" s="56" t="s">
        <v>71</v>
      </c>
    </row>
    <row r="1200" spans="1:6" ht="13">
      <c r="A1200" s="16">
        <v>101</v>
      </c>
      <c r="B1200" s="16">
        <v>8.1428571428571423</v>
      </c>
      <c r="C1200" s="16">
        <v>1346</v>
      </c>
      <c r="D1200" s="58">
        <f>koronahun!AM770</f>
        <v>3206.5714285714284</v>
      </c>
      <c r="E1200" s="56" t="s">
        <v>71</v>
      </c>
      <c r="F1200" s="56" t="s">
        <v>71</v>
      </c>
    </row>
    <row r="1201" spans="1:6" ht="13">
      <c r="A1201" s="16">
        <v>102</v>
      </c>
      <c r="B1201" s="16">
        <v>7.4285714285714288</v>
      </c>
      <c r="C1201" s="16">
        <v>1570</v>
      </c>
      <c r="D1201" s="58">
        <f>koronahun!AM771</f>
        <v>2665.8571428571427</v>
      </c>
      <c r="E1201" s="56" t="s">
        <v>71</v>
      </c>
      <c r="F1201" s="56" t="s">
        <v>71</v>
      </c>
    </row>
    <row r="1202" spans="1:6" ht="13">
      <c r="A1202" s="16">
        <v>103</v>
      </c>
      <c r="B1202" s="16">
        <v>7.5714285714285712</v>
      </c>
      <c r="C1202" s="16">
        <v>1793.7142857142858</v>
      </c>
      <c r="D1202" s="58">
        <f>koronahun!AM772</f>
        <v>3079.1428571428573</v>
      </c>
      <c r="E1202" s="56" t="s">
        <v>71</v>
      </c>
      <c r="F1202" s="56" t="s">
        <v>71</v>
      </c>
    </row>
    <row r="1203" spans="1:6" ht="13">
      <c r="A1203" s="16">
        <v>104</v>
      </c>
      <c r="B1203" s="16">
        <v>7.2857142857142856</v>
      </c>
      <c r="C1203" s="16">
        <v>2313.1428571428573</v>
      </c>
      <c r="D1203" s="58">
        <f>koronahun!AM773</f>
        <v>3669.5714285714284</v>
      </c>
      <c r="E1203" s="56" t="s">
        <v>71</v>
      </c>
      <c r="F1203" s="56" t="s">
        <v>71</v>
      </c>
    </row>
    <row r="1204" spans="1:6" ht="13">
      <c r="A1204" s="16">
        <v>105</v>
      </c>
      <c r="B1204" s="16">
        <v>14</v>
      </c>
      <c r="C1204" s="16">
        <v>2961.8571428571427</v>
      </c>
      <c r="D1204">
        <f>koronahun!AM774</f>
        <v>0</v>
      </c>
      <c r="E1204" s="56" t="s">
        <v>71</v>
      </c>
      <c r="F1204" s="56" t="s">
        <v>71</v>
      </c>
    </row>
    <row r="1205" spans="1:6" ht="13">
      <c r="A1205" s="16">
        <v>106</v>
      </c>
      <c r="B1205" s="16">
        <v>14.714285714285714</v>
      </c>
      <c r="C1205" s="16">
        <v>3663.5714285714284</v>
      </c>
      <c r="D1205">
        <f>koronahun!AM775</f>
        <v>0</v>
      </c>
      <c r="E1205" s="56" t="s">
        <v>71</v>
      </c>
      <c r="F1205" s="56" t="s">
        <v>71</v>
      </c>
    </row>
    <row r="1206" spans="1:6" ht="13">
      <c r="A1206" s="16">
        <v>107</v>
      </c>
      <c r="B1206" s="16">
        <v>13.571428571428571</v>
      </c>
      <c r="C1206" s="16">
        <v>3917.8571428571427</v>
      </c>
      <c r="D1206">
        <f>koronahun!AM776</f>
        <v>0</v>
      </c>
      <c r="E1206" s="56" t="s">
        <v>71</v>
      </c>
      <c r="F1206" s="56" t="s">
        <v>71</v>
      </c>
    </row>
    <row r="1207" spans="1:6" ht="13">
      <c r="A1207" s="16">
        <v>108</v>
      </c>
      <c r="B1207" s="16">
        <v>16.571428571428573</v>
      </c>
      <c r="C1207" s="16">
        <v>4090.7142857142858</v>
      </c>
      <c r="D1207">
        <f>koronahun!AM777</f>
        <v>0</v>
      </c>
      <c r="E1207" s="56" t="s">
        <v>71</v>
      </c>
      <c r="F1207" s="56" t="s">
        <v>71</v>
      </c>
    </row>
    <row r="1208" spans="1:6" ht="13">
      <c r="A1208" s="16">
        <v>109</v>
      </c>
      <c r="B1208" s="16">
        <v>18.857142857142858</v>
      </c>
      <c r="C1208" s="16">
        <v>4162.5714285714284</v>
      </c>
      <c r="D1208" s="58">
        <f>koronahun!AM778</f>
        <v>3549.7142857142858</v>
      </c>
      <c r="E1208" s="56" t="s">
        <v>71</v>
      </c>
      <c r="F1208" s="56" t="s">
        <v>71</v>
      </c>
    </row>
    <row r="1209" spans="1:6" ht="13">
      <c r="A1209" s="16">
        <v>110</v>
      </c>
      <c r="B1209" s="16">
        <v>21</v>
      </c>
      <c r="C1209" s="16">
        <v>4293.8571428571431</v>
      </c>
      <c r="D1209" s="58">
        <f>koronahun!AM779</f>
        <v>3122.8571428571427</v>
      </c>
      <c r="E1209" s="56" t="s">
        <v>71</v>
      </c>
      <c r="F1209" s="56" t="s">
        <v>71</v>
      </c>
    </row>
    <row r="1210" spans="1:6" ht="13">
      <c r="A1210" s="16">
        <v>111</v>
      </c>
      <c r="B1210" s="16">
        <v>23.571428571428573</v>
      </c>
      <c r="C1210" s="16">
        <v>4200.8571428571431</v>
      </c>
      <c r="D1210" s="58">
        <f>koronahun!AM780</f>
        <v>3051.2857142857142</v>
      </c>
      <c r="E1210" s="56" t="s">
        <v>71</v>
      </c>
      <c r="F1210" s="56" t="s">
        <v>71</v>
      </c>
    </row>
    <row r="1211" spans="1:6" ht="13">
      <c r="A1211" s="16">
        <v>112</v>
      </c>
      <c r="B1211" s="16">
        <v>14.714285714285714</v>
      </c>
      <c r="C1211" s="16">
        <v>4156.2857142857147</v>
      </c>
      <c r="D1211" s="58">
        <f>koronahun!AM781</f>
        <v>3987.1428571428573</v>
      </c>
      <c r="E1211" s="56" t="s">
        <v>71</v>
      </c>
      <c r="F1211" s="56" t="s">
        <v>71</v>
      </c>
    </row>
    <row r="1212" spans="1:6" ht="13">
      <c r="A1212" s="16">
        <v>113</v>
      </c>
      <c r="B1212" s="16">
        <v>27.285714285714285</v>
      </c>
      <c r="C1212" s="16">
        <v>4032.4285714285716</v>
      </c>
      <c r="D1212">
        <f>koronahun!AM782</f>
        <v>0</v>
      </c>
      <c r="E1212" s="56" t="s">
        <v>71</v>
      </c>
      <c r="F1212" s="56" t="s">
        <v>71</v>
      </c>
    </row>
    <row r="1213" spans="1:6" ht="13">
      <c r="A1213" s="16">
        <v>114</v>
      </c>
      <c r="B1213" s="16">
        <v>27.714285714285715</v>
      </c>
      <c r="C1213" s="16">
        <v>3933.1428571428573</v>
      </c>
      <c r="D1213">
        <f>koronahun!AM783</f>
        <v>0</v>
      </c>
      <c r="E1213" s="56" t="s">
        <v>71</v>
      </c>
      <c r="F1213" s="56" t="s">
        <v>71</v>
      </c>
    </row>
    <row r="1214" spans="1:6" ht="13">
      <c r="A1214" s="16">
        <v>115</v>
      </c>
      <c r="B1214" s="16">
        <v>32.428571428571431</v>
      </c>
      <c r="C1214" s="16">
        <v>3882.5714285714284</v>
      </c>
      <c r="D1214" s="58">
        <f>koronahun!AM784</f>
        <v>5640.5714285714284</v>
      </c>
      <c r="E1214" s="56" t="s">
        <v>71</v>
      </c>
      <c r="F1214" s="56" t="s">
        <v>71</v>
      </c>
    </row>
    <row r="1215" spans="1:6" ht="13">
      <c r="A1215" s="16">
        <v>116</v>
      </c>
      <c r="B1215" s="16">
        <v>33.571428571428569</v>
      </c>
      <c r="C1215" s="16">
        <v>4031.8571428571427</v>
      </c>
      <c r="D1215" s="58">
        <f>koronahun!AM785</f>
        <v>4548.4285714285716</v>
      </c>
      <c r="E1215" s="56" t="s">
        <v>71</v>
      </c>
      <c r="F1215" s="56" t="s">
        <v>71</v>
      </c>
    </row>
    <row r="1216" spans="1:6" ht="13">
      <c r="A1216" s="16">
        <v>117</v>
      </c>
      <c r="B1216" s="16">
        <v>33</v>
      </c>
      <c r="C1216" s="16">
        <v>4348.4285714285716</v>
      </c>
      <c r="D1216" s="58">
        <f>koronahun!AM786</f>
        <v>4747.5714285714284</v>
      </c>
      <c r="E1216" s="56" t="s">
        <v>71</v>
      </c>
      <c r="F1216" s="56" t="s">
        <v>71</v>
      </c>
    </row>
    <row r="1217" spans="1:6" ht="13">
      <c r="A1217" s="16">
        <v>118</v>
      </c>
      <c r="B1217" s="16">
        <v>32.714285714285715</v>
      </c>
      <c r="C1217" s="16">
        <v>4619.1428571428569</v>
      </c>
      <c r="D1217" s="58">
        <f>koronahun!AM787</f>
        <v>4535.2857142857147</v>
      </c>
      <c r="E1217" s="56" t="s">
        <v>71</v>
      </c>
      <c r="F1217" s="56" t="s">
        <v>71</v>
      </c>
    </row>
    <row r="1218" spans="1:6" ht="13">
      <c r="A1218" s="16">
        <v>119</v>
      </c>
      <c r="B1218" s="16">
        <v>34.428571428571431</v>
      </c>
      <c r="C1218" s="16">
        <v>4872.1428571428569</v>
      </c>
      <c r="D1218" s="58">
        <f>koronahun!AM788</f>
        <v>3954</v>
      </c>
      <c r="E1218" s="56" t="s">
        <v>71</v>
      </c>
      <c r="F1218" s="56" t="s">
        <v>71</v>
      </c>
    </row>
    <row r="1219" spans="1:6" ht="13">
      <c r="A1219" s="16">
        <v>120</v>
      </c>
      <c r="B1219" s="16">
        <v>27.285714285714285</v>
      </c>
      <c r="C1219" s="16">
        <v>5176</v>
      </c>
      <c r="D1219">
        <f>koronahun!AM789</f>
        <v>0</v>
      </c>
      <c r="E1219" s="56" t="s">
        <v>71</v>
      </c>
      <c r="F1219" s="56" t="s">
        <v>71</v>
      </c>
    </row>
    <row r="1220" spans="1:6" ht="13">
      <c r="A1220" s="16">
        <v>121</v>
      </c>
      <c r="B1220" s="16">
        <v>29.714285714285715</v>
      </c>
      <c r="C1220" s="16">
        <v>5529</v>
      </c>
      <c r="D1220">
        <f>koronahun!AM790</f>
        <v>0</v>
      </c>
      <c r="E1220" s="56" t="s">
        <v>71</v>
      </c>
      <c r="F1220" s="56" t="s">
        <v>71</v>
      </c>
    </row>
    <row r="1221" spans="1:6" ht="13">
      <c r="A1221" s="16">
        <v>122</v>
      </c>
      <c r="B1221" s="16">
        <v>23.857142857142858</v>
      </c>
      <c r="C1221" s="16">
        <v>5900.4285714285716</v>
      </c>
      <c r="D1221" s="58">
        <f>koronahun!AM791</f>
        <v>2838.5714285714284</v>
      </c>
      <c r="E1221" s="56" t="s">
        <v>71</v>
      </c>
      <c r="F1221" s="56" t="s">
        <v>71</v>
      </c>
    </row>
    <row r="1222" spans="1:6" ht="13">
      <c r="A1222" s="16">
        <v>123</v>
      </c>
      <c r="B1222" s="16">
        <v>20.571428571428573</v>
      </c>
      <c r="C1222" s="16">
        <v>5966.5714285714284</v>
      </c>
      <c r="D1222">
        <f>koronahun!AM792</f>
        <v>0</v>
      </c>
      <c r="E1222" s="56" t="s">
        <v>71</v>
      </c>
      <c r="F1222" s="56" t="s">
        <v>71</v>
      </c>
    </row>
    <row r="1223" spans="1:6" ht="13">
      <c r="A1223" s="16">
        <v>124</v>
      </c>
      <c r="B1223" s="16">
        <v>18.857142857142858</v>
      </c>
      <c r="C1223" s="16">
        <v>5910</v>
      </c>
      <c r="D1223">
        <f>koronahun!AM793</f>
        <v>0</v>
      </c>
      <c r="E1223" s="56" t="s">
        <v>71</v>
      </c>
      <c r="F1223" s="56" t="s">
        <v>71</v>
      </c>
    </row>
    <row r="1224" spans="1:6" ht="13">
      <c r="A1224" s="16">
        <v>125</v>
      </c>
      <c r="B1224" s="16">
        <v>27.571428571428573</v>
      </c>
      <c r="C1224" s="16">
        <v>5983</v>
      </c>
      <c r="D1224">
        <f>koronahun!AM794</f>
        <v>0</v>
      </c>
      <c r="E1224" s="56" t="s">
        <v>71</v>
      </c>
      <c r="F1224" s="56" t="s">
        <v>71</v>
      </c>
    </row>
    <row r="1225" spans="1:6" ht="13">
      <c r="A1225" s="16">
        <v>126</v>
      </c>
      <c r="B1225" s="16">
        <v>31.857142857142858</v>
      </c>
      <c r="C1225" s="16">
        <v>6078.4285714285716</v>
      </c>
      <c r="D1225">
        <f>koronahun!AM795</f>
        <v>0</v>
      </c>
      <c r="E1225" s="56" t="s">
        <v>71</v>
      </c>
      <c r="F1225" s="56" t="s">
        <v>71</v>
      </c>
    </row>
    <row r="1226" spans="1:6" ht="13">
      <c r="A1226" s="16">
        <v>127</v>
      </c>
      <c r="B1226" s="16">
        <v>31.428571428571427</v>
      </c>
      <c r="C1226" s="16">
        <v>6208.1428571428569</v>
      </c>
      <c r="D1226">
        <f>koronahun!AM796</f>
        <v>0</v>
      </c>
      <c r="E1226" s="56" t="s">
        <v>71</v>
      </c>
      <c r="F1226" s="56" t="s">
        <v>71</v>
      </c>
    </row>
    <row r="1227" spans="1:6" ht="13">
      <c r="A1227" s="16">
        <v>128</v>
      </c>
      <c r="B1227" s="16">
        <v>36.571428571428569</v>
      </c>
      <c r="C1227" s="16">
        <v>6299</v>
      </c>
      <c r="D1227">
        <f>koronahun!AM797</f>
        <v>0</v>
      </c>
      <c r="E1227" s="56" t="s">
        <v>71</v>
      </c>
      <c r="F1227" s="56" t="s">
        <v>71</v>
      </c>
    </row>
    <row r="1228" spans="1:6" ht="13">
      <c r="A1228" s="16">
        <v>129</v>
      </c>
      <c r="B1228" s="16">
        <v>39.857142857142854</v>
      </c>
      <c r="C1228" s="16">
        <v>6402.7142857142853</v>
      </c>
      <c r="D1228">
        <f>koronahun!AM798</f>
        <v>0</v>
      </c>
      <c r="E1228" s="56" t="s">
        <v>71</v>
      </c>
      <c r="F1228" s="56" t="s">
        <v>71</v>
      </c>
    </row>
    <row r="1229" spans="1:6" ht="13">
      <c r="A1229" s="16">
        <v>130</v>
      </c>
      <c r="B1229" s="16">
        <v>43.428571428571431</v>
      </c>
      <c r="C1229" s="16">
        <v>6772.7142857142853</v>
      </c>
      <c r="D1229">
        <f>koronahun!AM799</f>
        <v>0</v>
      </c>
      <c r="E1229" s="56" t="s">
        <v>71</v>
      </c>
      <c r="F1229" s="56" t="s">
        <v>71</v>
      </c>
    </row>
    <row r="1230" spans="1:6" ht="13">
      <c r="A1230" s="16">
        <v>131</v>
      </c>
      <c r="B1230" s="16">
        <v>46.857142857142854</v>
      </c>
      <c r="C1230" s="16">
        <v>7258.8571428571431</v>
      </c>
      <c r="D1230" s="58">
        <f>koronahun!AM800</f>
        <v>1910.5714285714287</v>
      </c>
      <c r="E1230" s="56" t="s">
        <v>71</v>
      </c>
      <c r="F1230" s="56" t="s">
        <v>71</v>
      </c>
    </row>
    <row r="1231" spans="1:6" ht="13">
      <c r="A1231" s="16">
        <v>132</v>
      </c>
      <c r="B1231" s="16">
        <v>42.571428571428569</v>
      </c>
      <c r="C1231" s="16">
        <v>7639.2857142857147</v>
      </c>
      <c r="D1231">
        <f>koronahun!AM801</f>
        <v>0</v>
      </c>
      <c r="E1231" s="56" t="s">
        <v>71</v>
      </c>
      <c r="F1231" s="56" t="s">
        <v>71</v>
      </c>
    </row>
    <row r="1232" spans="1:6" ht="13">
      <c r="A1232" s="16">
        <v>133</v>
      </c>
      <c r="B1232" s="16">
        <v>49</v>
      </c>
      <c r="C1232" s="16">
        <v>7745</v>
      </c>
      <c r="D1232">
        <f>koronahun!AM802</f>
        <v>0</v>
      </c>
      <c r="E1232" s="56" t="s">
        <v>71</v>
      </c>
      <c r="F1232" s="56" t="s">
        <v>71</v>
      </c>
    </row>
    <row r="1233" spans="1:6" ht="13">
      <c r="A1233" s="16">
        <v>134</v>
      </c>
      <c r="B1233" s="16">
        <v>52.571428571428569</v>
      </c>
      <c r="C1233" s="16">
        <v>7865</v>
      </c>
      <c r="D1233">
        <f>koronahun!AM803</f>
        <v>0</v>
      </c>
      <c r="E1233" s="56" t="s">
        <v>71</v>
      </c>
      <c r="F1233" s="56" t="s">
        <v>71</v>
      </c>
    </row>
    <row r="1234" spans="1:6" ht="13">
      <c r="A1234" s="16">
        <v>135</v>
      </c>
      <c r="B1234" s="16">
        <v>60.285714285714285</v>
      </c>
      <c r="C1234" s="16">
        <v>8212.7142857142862</v>
      </c>
      <c r="D1234">
        <f>koronahun!AM804</f>
        <v>0</v>
      </c>
      <c r="E1234" s="56" t="s">
        <v>71</v>
      </c>
      <c r="F1234" s="56" t="s">
        <v>71</v>
      </c>
    </row>
    <row r="1235" spans="1:6" ht="13">
      <c r="A1235" s="16">
        <v>136</v>
      </c>
      <c r="B1235" s="16">
        <v>66.714285714285708</v>
      </c>
      <c r="C1235" s="16">
        <v>8108.4285714285716</v>
      </c>
      <c r="D1235">
        <f>koronahun!AM805</f>
        <v>0</v>
      </c>
      <c r="E1235" s="56" t="s">
        <v>71</v>
      </c>
      <c r="F1235" s="56" t="s">
        <v>71</v>
      </c>
    </row>
    <row r="1236" spans="1:6" ht="13">
      <c r="A1236" s="16">
        <v>137</v>
      </c>
      <c r="B1236" s="16">
        <v>66.142857142857139</v>
      </c>
      <c r="C1236" s="16">
        <v>7909.4285714285716</v>
      </c>
      <c r="D1236">
        <f>koronahun!AM806</f>
        <v>0</v>
      </c>
      <c r="E1236" s="56" t="s">
        <v>71</v>
      </c>
      <c r="F1236" s="56" t="s">
        <v>71</v>
      </c>
    </row>
    <row r="1237" spans="1:6" ht="13">
      <c r="A1237" s="16">
        <v>138</v>
      </c>
      <c r="B1237" s="16">
        <v>63.142857142857146</v>
      </c>
      <c r="C1237" s="16">
        <v>8166</v>
      </c>
      <c r="D1237" s="58">
        <f>koronahun!AM807</f>
        <v>1338.2857142857142</v>
      </c>
      <c r="E1237" s="56" t="s">
        <v>71</v>
      </c>
      <c r="F1237" s="56" t="s">
        <v>71</v>
      </c>
    </row>
    <row r="1238" spans="1:6" ht="13">
      <c r="A1238" s="16">
        <v>139</v>
      </c>
      <c r="B1238" s="16">
        <v>57.857142857142854</v>
      </c>
      <c r="C1238" s="16">
        <v>8010.4285714285716</v>
      </c>
      <c r="D1238">
        <f>koronahun!AM808</f>
        <v>0</v>
      </c>
      <c r="E1238" s="56" t="s">
        <v>71</v>
      </c>
      <c r="F1238" s="56" t="s">
        <v>71</v>
      </c>
    </row>
    <row r="1239" spans="1:6" ht="13">
      <c r="A1239" s="16">
        <v>140</v>
      </c>
      <c r="B1239" s="16">
        <v>50.285714285714285</v>
      </c>
      <c r="C1239" s="16">
        <v>7928.2857142857147</v>
      </c>
      <c r="D1239">
        <f>koronahun!AM809</f>
        <v>0</v>
      </c>
      <c r="E1239" s="56" t="s">
        <v>71</v>
      </c>
      <c r="F1239" s="56" t="s">
        <v>71</v>
      </c>
    </row>
    <row r="1240" spans="1:6" ht="13">
      <c r="A1240" s="16">
        <v>141</v>
      </c>
      <c r="B1240" s="16">
        <v>48.571428571428569</v>
      </c>
      <c r="C1240" s="16">
        <v>7524.7142857142853</v>
      </c>
      <c r="D1240">
        <f>koronahun!AM810</f>
        <v>0</v>
      </c>
      <c r="E1240" s="56" t="s">
        <v>71</v>
      </c>
      <c r="F1240" s="56" t="s">
        <v>71</v>
      </c>
    </row>
    <row r="1241" spans="1:6" ht="13">
      <c r="A1241" s="16">
        <v>142</v>
      </c>
      <c r="B1241" s="16">
        <v>42.857142857142854</v>
      </c>
      <c r="C1241" s="16">
        <v>6706.2857142857147</v>
      </c>
      <c r="D1241">
        <f>koronahun!AM811</f>
        <v>0</v>
      </c>
      <c r="E1241" s="56" t="s">
        <v>71</v>
      </c>
      <c r="F1241" s="56" t="s">
        <v>71</v>
      </c>
    </row>
    <row r="1242" spans="1:6" ht="13">
      <c r="A1242" s="16">
        <v>143</v>
      </c>
      <c r="B1242" s="16">
        <v>40.571428571428569</v>
      </c>
      <c r="C1242" s="16">
        <v>6247.4285714285716</v>
      </c>
      <c r="D1242">
        <f>koronahun!AM812</f>
        <v>0</v>
      </c>
      <c r="E1242" s="56" t="s">
        <v>71</v>
      </c>
      <c r="F1242" s="56" t="s">
        <v>71</v>
      </c>
    </row>
    <row r="1243" spans="1:6" ht="13">
      <c r="A1243" s="16">
        <v>144</v>
      </c>
      <c r="B1243" s="16">
        <v>42</v>
      </c>
      <c r="C1243" s="16">
        <v>5604.1428571428569</v>
      </c>
      <c r="D1243">
        <f>koronahun!AM813</f>
        <v>0</v>
      </c>
      <c r="E1243" s="56" t="s">
        <v>71</v>
      </c>
      <c r="F1243" s="56" t="s">
        <v>71</v>
      </c>
    </row>
    <row r="1244" spans="1:6" ht="13">
      <c r="A1244" s="16">
        <v>145</v>
      </c>
      <c r="B1244" s="16">
        <v>44.428571428571431</v>
      </c>
      <c r="C1244" s="16">
        <v>4346.8571428571431</v>
      </c>
      <c r="D1244" s="58">
        <f>koronahun!AM814</f>
        <v>1561.1428571428571</v>
      </c>
      <c r="E1244" s="56" t="s">
        <v>71</v>
      </c>
      <c r="F1244" s="56" t="s">
        <v>71</v>
      </c>
    </row>
    <row r="1245" spans="1:6" ht="13">
      <c r="A1245" s="16">
        <v>146</v>
      </c>
      <c r="B1245" s="16">
        <v>60.571428571428569</v>
      </c>
      <c r="C1245" s="16">
        <v>3795.5714285714284</v>
      </c>
      <c r="D1245">
        <f>koronahun!AM815</f>
        <v>0</v>
      </c>
      <c r="E1245" s="56" t="s">
        <v>71</v>
      </c>
      <c r="F1245" s="56" t="s">
        <v>71</v>
      </c>
    </row>
    <row r="1246" spans="1:6" ht="13">
      <c r="A1246" s="16">
        <v>147</v>
      </c>
      <c r="B1246" s="16">
        <v>57.428571428571431</v>
      </c>
      <c r="C1246" s="16">
        <v>3763.1428571428573</v>
      </c>
      <c r="D1246">
        <f>koronahun!AM816</f>
        <v>0</v>
      </c>
      <c r="E1246" s="56" t="s">
        <v>71</v>
      </c>
      <c r="F1246" s="56" t="s">
        <v>71</v>
      </c>
    </row>
    <row r="1247" spans="1:6" ht="13">
      <c r="A1247" s="16">
        <v>148</v>
      </c>
      <c r="B1247" s="16">
        <v>69.571428571428569</v>
      </c>
      <c r="C1247" s="16">
        <v>3943.1428571428573</v>
      </c>
      <c r="D1247">
        <f>koronahun!AM817</f>
        <v>0</v>
      </c>
      <c r="E1247" s="56" t="s">
        <v>71</v>
      </c>
      <c r="F1247" s="56" t="s">
        <v>71</v>
      </c>
    </row>
    <row r="1248" spans="1:6" ht="13">
      <c r="A1248" s="16">
        <v>149</v>
      </c>
      <c r="B1248" s="16">
        <v>62.428571428571431</v>
      </c>
      <c r="C1248" s="16">
        <v>3813.7142857142858</v>
      </c>
      <c r="D1248">
        <f>koronahun!AM818</f>
        <v>0</v>
      </c>
      <c r="E1248" s="56" t="s">
        <v>71</v>
      </c>
      <c r="F1248" s="56" t="s">
        <v>71</v>
      </c>
    </row>
    <row r="1249" spans="1:6" ht="13">
      <c r="A1249" s="16">
        <v>150</v>
      </c>
      <c r="B1249" s="16">
        <v>69.571428571428569</v>
      </c>
      <c r="C1249" s="16">
        <v>3887</v>
      </c>
      <c r="D1249">
        <f>koronahun!AM819</f>
        <v>0</v>
      </c>
      <c r="E1249" s="56" t="s">
        <v>71</v>
      </c>
      <c r="F1249" s="56" t="s">
        <v>71</v>
      </c>
    </row>
    <row r="1250" spans="1:6" ht="13">
      <c r="A1250" s="16">
        <v>151</v>
      </c>
      <c r="B1250" s="16">
        <v>65.285714285714292</v>
      </c>
      <c r="C1250" s="16">
        <v>4290.1428571428569</v>
      </c>
      <c r="D1250">
        <f>koronahun!AM820</f>
        <v>0</v>
      </c>
      <c r="E1250" s="56" t="s">
        <v>71</v>
      </c>
      <c r="F1250" s="56" t="s">
        <v>71</v>
      </c>
    </row>
    <row r="1251" spans="1:6" ht="13">
      <c r="A1251" s="16">
        <v>152</v>
      </c>
      <c r="B1251" s="16">
        <v>63.571428571428569</v>
      </c>
      <c r="C1251" s="16">
        <v>4565.7142857142853</v>
      </c>
      <c r="D1251" s="58">
        <f>koronahun!AM821</f>
        <v>859.28571428571433</v>
      </c>
      <c r="E1251" s="56" t="s">
        <v>71</v>
      </c>
      <c r="F1251" s="56" t="s">
        <v>71</v>
      </c>
    </row>
    <row r="1252" spans="1:6" ht="13">
      <c r="A1252" s="16">
        <v>153</v>
      </c>
      <c r="B1252" s="16">
        <v>46.285714285714285</v>
      </c>
      <c r="C1252" s="16">
        <v>4328</v>
      </c>
      <c r="D1252">
        <f>koronahun!AM822</f>
        <v>0</v>
      </c>
      <c r="E1252" s="56" t="s">
        <v>71</v>
      </c>
      <c r="F1252" s="56" t="s">
        <v>71</v>
      </c>
    </row>
    <row r="1253" spans="1:6" ht="13">
      <c r="A1253" s="16">
        <v>154</v>
      </c>
      <c r="B1253" s="16">
        <v>47.714285714285715</v>
      </c>
      <c r="C1253" s="16">
        <v>3699.5714285714284</v>
      </c>
      <c r="D1253">
        <f>koronahun!AM823</f>
        <v>0</v>
      </c>
      <c r="E1253" s="56" t="s">
        <v>71</v>
      </c>
      <c r="F1253" s="56" t="s">
        <v>71</v>
      </c>
    </row>
    <row r="1254" spans="1:6" ht="13">
      <c r="A1254" s="16">
        <v>155</v>
      </c>
      <c r="B1254" s="16">
        <v>29.857142857142858</v>
      </c>
      <c r="C1254" s="16">
        <v>3134.1428571428573</v>
      </c>
      <c r="D1254">
        <f>koronahun!AM824</f>
        <v>0</v>
      </c>
      <c r="E1254" s="56" t="s">
        <v>71</v>
      </c>
      <c r="F1254" s="56" t="s">
        <v>71</v>
      </c>
    </row>
    <row r="1255" spans="1:6" ht="13">
      <c r="A1255" s="16">
        <v>156</v>
      </c>
      <c r="B1255" s="16">
        <v>31.571428571428573</v>
      </c>
      <c r="C1255" s="16">
        <v>3154.4285714285716</v>
      </c>
      <c r="D1255">
        <f>koronahun!AM825</f>
        <v>0</v>
      </c>
      <c r="E1255" s="56" t="s">
        <v>71</v>
      </c>
      <c r="F1255" s="56" t="s">
        <v>71</v>
      </c>
    </row>
    <row r="1256" spans="1:6" ht="13">
      <c r="A1256" s="16">
        <v>157</v>
      </c>
      <c r="B1256" s="16">
        <v>19.571428571428573</v>
      </c>
      <c r="C1256" s="16">
        <v>2876.2857142857142</v>
      </c>
      <c r="D1256">
        <f>koronahun!AM826</f>
        <v>0</v>
      </c>
      <c r="E1256" s="56" t="s">
        <v>71</v>
      </c>
      <c r="F1256" s="56" t="s">
        <v>71</v>
      </c>
    </row>
    <row r="1257" spans="1:6" ht="13">
      <c r="A1257" s="16">
        <v>158</v>
      </c>
      <c r="B1257" s="16">
        <v>18.857142857142858</v>
      </c>
      <c r="C1257" s="16">
        <v>2431.1428571428573</v>
      </c>
      <c r="D1257">
        <f>koronahun!AM827</f>
        <v>0</v>
      </c>
      <c r="E1257" s="56" t="s">
        <v>71</v>
      </c>
      <c r="F1257" s="56" t="s">
        <v>71</v>
      </c>
    </row>
    <row r="1258" spans="1:6" ht="13">
      <c r="A1258" s="16">
        <v>159</v>
      </c>
      <c r="B1258" s="16">
        <v>18.285714285714285</v>
      </c>
      <c r="C1258" s="16">
        <v>2175</v>
      </c>
      <c r="D1258" s="58">
        <f>koronahun!AM828</f>
        <v>764</v>
      </c>
      <c r="E1258" s="56" t="s">
        <v>71</v>
      </c>
      <c r="F1258" s="56" t="s">
        <v>71</v>
      </c>
    </row>
    <row r="1259" spans="1:6" ht="13">
      <c r="A1259" s="16">
        <v>160</v>
      </c>
      <c r="B1259" s="16">
        <v>23.428571428571427</v>
      </c>
      <c r="C1259" s="16">
        <v>2146</v>
      </c>
      <c r="D1259">
        <f>koronahun!AM829</f>
        <v>0</v>
      </c>
      <c r="E1259" s="56" t="s">
        <v>71</v>
      </c>
      <c r="F1259" s="56" t="s">
        <v>71</v>
      </c>
    </row>
    <row r="1260" spans="1:6" ht="13">
      <c r="A1260" s="16">
        <v>161</v>
      </c>
      <c r="B1260" s="16">
        <v>23.571428571428573</v>
      </c>
      <c r="C1260" s="16">
        <v>2014</v>
      </c>
      <c r="D1260">
        <f>koronahun!AM830</f>
        <v>0</v>
      </c>
      <c r="E1260" s="56" t="s">
        <v>71</v>
      </c>
      <c r="F1260" s="56" t="s">
        <v>71</v>
      </c>
    </row>
    <row r="1261" spans="1:6" ht="13">
      <c r="A1261" s="16">
        <v>162</v>
      </c>
      <c r="B1261" s="16">
        <v>26.571428571428573</v>
      </c>
      <c r="C1261" s="16">
        <v>1929.8571428571429</v>
      </c>
      <c r="D1261">
        <f>koronahun!AM831</f>
        <v>0</v>
      </c>
      <c r="E1261" s="56" t="s">
        <v>71</v>
      </c>
      <c r="F1261" s="56" t="s">
        <v>71</v>
      </c>
    </row>
    <row r="1262" spans="1:6" ht="13">
      <c r="A1262" s="16">
        <v>163</v>
      </c>
      <c r="B1262" s="16">
        <v>28.857142857142858</v>
      </c>
      <c r="C1262" s="16"/>
      <c r="D1262">
        <f>koronahun!AM832</f>
        <v>0</v>
      </c>
      <c r="E1262" s="56" t="s">
        <v>71</v>
      </c>
      <c r="F1262" s="56" t="s">
        <v>71</v>
      </c>
    </row>
    <row r="1263" spans="1:6" ht="13">
      <c r="A1263" s="16">
        <v>164</v>
      </c>
      <c r="B1263" s="16">
        <v>28.142857142857142</v>
      </c>
      <c r="C1263" s="16"/>
      <c r="D1263">
        <f>koronahun!AM833</f>
        <v>0</v>
      </c>
      <c r="E1263" s="56" t="s">
        <v>71</v>
      </c>
      <c r="F1263" s="56" t="s">
        <v>71</v>
      </c>
    </row>
    <row r="1264" spans="1:6" ht="13">
      <c r="A1264" s="16">
        <v>165</v>
      </c>
      <c r="B1264" s="16">
        <v>29</v>
      </c>
      <c r="C1264" s="16">
        <v>1904.8571428571429</v>
      </c>
      <c r="D1264">
        <f>koronahun!AM834</f>
        <v>0</v>
      </c>
      <c r="E1264" s="56" t="s">
        <v>71</v>
      </c>
      <c r="F1264" s="56" t="s">
        <v>71</v>
      </c>
    </row>
    <row r="1265" spans="1:6" ht="13">
      <c r="A1265" s="16">
        <v>166</v>
      </c>
      <c r="B1265" s="16">
        <v>28.714285714285715</v>
      </c>
      <c r="C1265" s="16">
        <v>1864.1428571428571</v>
      </c>
      <c r="D1265" s="58">
        <f>koronahun!AM835</f>
        <v>1320</v>
      </c>
      <c r="E1265" s="56" t="s">
        <v>71</v>
      </c>
      <c r="F1265" s="56" t="s">
        <v>71</v>
      </c>
    </row>
    <row r="1266" spans="1:6" ht="13">
      <c r="A1266" s="16">
        <v>167</v>
      </c>
      <c r="B1266" s="16">
        <v>27.428571428571427</v>
      </c>
      <c r="C1266" s="16">
        <v>1785.8571428571429</v>
      </c>
      <c r="D1266">
        <f>koronahun!AM836</f>
        <v>0</v>
      </c>
      <c r="E1266" s="56" t="s">
        <v>71</v>
      </c>
      <c r="F1266" s="56" t="s">
        <v>71</v>
      </c>
    </row>
    <row r="1267" spans="1:6" ht="13">
      <c r="A1267" s="16">
        <v>168</v>
      </c>
      <c r="B1267" s="16">
        <v>27.428571428571427</v>
      </c>
      <c r="C1267" s="16">
        <v>1658.7142857142858</v>
      </c>
      <c r="D1267">
        <f>koronahun!AM837</f>
        <v>0</v>
      </c>
      <c r="E1267" s="56" t="s">
        <v>71</v>
      </c>
      <c r="F1267" s="56" t="s">
        <v>71</v>
      </c>
    </row>
    <row r="1268" spans="1:6" ht="13">
      <c r="A1268" s="16">
        <v>169</v>
      </c>
      <c r="B1268" s="16">
        <v>24.714285714285715</v>
      </c>
      <c r="C1268" s="16">
        <v>1430.4285714285713</v>
      </c>
      <c r="D1268">
        <f>koronahun!AM838</f>
        <v>0</v>
      </c>
      <c r="E1268" s="56" t="s">
        <v>71</v>
      </c>
      <c r="F1268" s="56" t="s">
        <v>71</v>
      </c>
    </row>
    <row r="1269" spans="1:6" ht="13">
      <c r="A1269" s="16">
        <v>170</v>
      </c>
      <c r="B1269" s="16">
        <v>19.142857142857142</v>
      </c>
      <c r="C1269" s="16"/>
      <c r="D1269">
        <f>koronahun!AM839</f>
        <v>0</v>
      </c>
      <c r="E1269" s="56" t="s">
        <v>71</v>
      </c>
      <c r="F1269" s="56" t="s">
        <v>71</v>
      </c>
    </row>
    <row r="1270" spans="1:6" ht="13">
      <c r="A1270" s="16">
        <v>171</v>
      </c>
      <c r="B1270" s="16">
        <v>15.571428571428571</v>
      </c>
      <c r="D1270">
        <f>koronahun!AM840</f>
        <v>0</v>
      </c>
      <c r="E1270" s="56" t="s">
        <v>71</v>
      </c>
      <c r="F1270" s="56" t="s">
        <v>71</v>
      </c>
    </row>
    <row r="1271" spans="1:6" ht="13">
      <c r="A1271" s="16">
        <v>172</v>
      </c>
      <c r="B1271" s="16">
        <v>15.285714285714286</v>
      </c>
      <c r="C1271" s="16">
        <v>712.28571428571433</v>
      </c>
      <c r="D1271">
        <f>koronahun!AM841</f>
        <v>0</v>
      </c>
      <c r="E1271" s="56" t="s">
        <v>71</v>
      </c>
      <c r="F1271" s="56" t="s">
        <v>71</v>
      </c>
    </row>
    <row r="1272" spans="1:6" ht="13">
      <c r="A1272" s="16">
        <v>173</v>
      </c>
      <c r="B1272" s="16">
        <v>15</v>
      </c>
      <c r="C1272" s="16">
        <v>615.85714285714289</v>
      </c>
      <c r="D1272" s="58">
        <f>koronahun!AM842</f>
        <v>987.14285714285711</v>
      </c>
      <c r="E1272" s="56" t="s">
        <v>71</v>
      </c>
      <c r="F1272" s="56" t="s">
        <v>71</v>
      </c>
    </row>
    <row r="1273" spans="1:6" ht="13">
      <c r="A1273" s="16">
        <v>174</v>
      </c>
      <c r="B1273" s="16">
        <v>12</v>
      </c>
      <c r="C1273" s="16">
        <v>498</v>
      </c>
      <c r="D1273">
        <f>koronahun!AM843</f>
        <v>0</v>
      </c>
      <c r="E1273" s="56" t="s">
        <v>71</v>
      </c>
      <c r="F1273" s="56" t="s">
        <v>71</v>
      </c>
    </row>
    <row r="1274" spans="1:6" ht="13">
      <c r="A1274" s="16">
        <v>175</v>
      </c>
      <c r="B1274" s="16">
        <v>10.142857142857142</v>
      </c>
      <c r="C1274" s="16">
        <v>421</v>
      </c>
      <c r="D1274">
        <f>koronahun!AM844</f>
        <v>0</v>
      </c>
      <c r="E1274" s="56" t="s">
        <v>71</v>
      </c>
      <c r="F1274" s="56" t="s">
        <v>71</v>
      </c>
    </row>
    <row r="1275" spans="1:6" ht="13">
      <c r="A1275" s="16">
        <v>176</v>
      </c>
      <c r="B1275" s="16">
        <v>10.857142857142858</v>
      </c>
      <c r="C1275" s="16">
        <v>372.28571428571428</v>
      </c>
      <c r="D1275">
        <f>koronahun!AM845</f>
        <v>0</v>
      </c>
      <c r="E1275" s="56" t="s">
        <v>71</v>
      </c>
      <c r="F1275" s="56" t="s">
        <v>71</v>
      </c>
    </row>
    <row r="1276" spans="1:6" ht="13">
      <c r="A1276" s="16">
        <v>177</v>
      </c>
      <c r="B1276" s="16">
        <v>11.714285714285714</v>
      </c>
      <c r="D1276">
        <f>koronahun!AM846</f>
        <v>0</v>
      </c>
      <c r="E1276" s="56" t="s">
        <v>71</v>
      </c>
      <c r="F1276" s="56" t="s">
        <v>71</v>
      </c>
    </row>
    <row r="1277" spans="1:6" ht="13">
      <c r="A1277" s="16">
        <v>178</v>
      </c>
      <c r="B1277" s="16">
        <v>13.714285714285714</v>
      </c>
      <c r="D1277">
        <f>koronahun!AM847</f>
        <v>0</v>
      </c>
      <c r="E1277" s="56" t="s">
        <v>71</v>
      </c>
      <c r="F1277" s="56" t="s">
        <v>71</v>
      </c>
    </row>
    <row r="1278" spans="1:6" ht="13">
      <c r="A1278" s="16">
        <v>179</v>
      </c>
      <c r="B1278" s="16">
        <v>13.714285714285714</v>
      </c>
      <c r="C1278" s="16">
        <v>402.42857142857144</v>
      </c>
      <c r="D1278">
        <f>koronahun!AM848</f>
        <v>0</v>
      </c>
      <c r="E1278" s="56" t="s">
        <v>71</v>
      </c>
      <c r="F1278" s="56" t="s">
        <v>71</v>
      </c>
    </row>
    <row r="1279" spans="1:6" ht="13">
      <c r="A1279" s="16">
        <v>180</v>
      </c>
      <c r="B1279" s="16">
        <v>13.571428571428571</v>
      </c>
      <c r="C1279" s="16">
        <v>372.14285714285717</v>
      </c>
      <c r="D1279" s="58">
        <f>koronahun!AM849</f>
        <v>383.71428571428572</v>
      </c>
      <c r="E1279" s="56" t="s">
        <v>71</v>
      </c>
      <c r="F1279" s="56" t="s">
        <v>71</v>
      </c>
    </row>
    <row r="1280" spans="1:6" ht="13">
      <c r="A1280" s="16">
        <v>181</v>
      </c>
      <c r="B1280" s="16">
        <v>13.142857142857142</v>
      </c>
      <c r="C1280" s="16">
        <v>342.14285714285717</v>
      </c>
      <c r="D1280">
        <f>koronahun!AM850</f>
        <v>0</v>
      </c>
      <c r="E1280" s="56" t="s">
        <v>71</v>
      </c>
      <c r="F1280" s="56" t="s">
        <v>71</v>
      </c>
    </row>
    <row r="1281" spans="1:6" ht="13">
      <c r="A1281" s="16">
        <v>182</v>
      </c>
      <c r="B1281" s="16">
        <v>13.714285714285714</v>
      </c>
      <c r="C1281" s="16">
        <v>335.71428571428572</v>
      </c>
      <c r="D1281">
        <f>koronahun!AM851</f>
        <v>0</v>
      </c>
      <c r="E1281" s="56" t="s">
        <v>71</v>
      </c>
      <c r="F1281" s="56" t="s">
        <v>71</v>
      </c>
    </row>
    <row r="1282" spans="1:6" ht="13">
      <c r="A1282" s="16">
        <v>183</v>
      </c>
      <c r="B1282" s="16">
        <v>11.571428571428571</v>
      </c>
      <c r="C1282" s="16">
        <v>332.57142857142856</v>
      </c>
      <c r="D1282">
        <f>koronahun!AM852</f>
        <v>0</v>
      </c>
      <c r="E1282" s="56" t="s">
        <v>71</v>
      </c>
      <c r="F1282" s="56" t="s">
        <v>71</v>
      </c>
    </row>
    <row r="1283" spans="1:6" ht="13">
      <c r="A1283" s="16">
        <v>184</v>
      </c>
      <c r="B1283" s="16">
        <v>12.714285714285714</v>
      </c>
      <c r="D1283">
        <f>koronahun!AM853</f>
        <v>0</v>
      </c>
      <c r="E1283" s="56" t="s">
        <v>71</v>
      </c>
      <c r="F1283" s="56" t="s">
        <v>71</v>
      </c>
    </row>
    <row r="1284" spans="1:6" ht="13">
      <c r="A1284" s="16">
        <v>185</v>
      </c>
      <c r="B1284" s="16">
        <v>14.714285714285714</v>
      </c>
      <c r="D1284">
        <f>koronahun!AM854</f>
        <v>0</v>
      </c>
      <c r="E1284" s="56" t="s">
        <v>71</v>
      </c>
      <c r="F1284" s="56" t="s">
        <v>71</v>
      </c>
    </row>
    <row r="1285" spans="1:6" ht="13">
      <c r="A1285" s="16">
        <v>186</v>
      </c>
      <c r="B1285" s="16">
        <v>18</v>
      </c>
      <c r="C1285" s="16">
        <v>257.71428571428572</v>
      </c>
      <c r="D1285">
        <f>koronahun!AM855</f>
        <v>0</v>
      </c>
      <c r="E1285" s="56" t="s">
        <v>71</v>
      </c>
      <c r="F1285" s="56" t="s">
        <v>71</v>
      </c>
    </row>
    <row r="1286" spans="1:6" ht="13">
      <c r="A1286" s="16">
        <v>187</v>
      </c>
      <c r="B1286" s="16">
        <v>25</v>
      </c>
      <c r="C1286" s="16">
        <v>255</v>
      </c>
      <c r="D1286" s="58">
        <f>koronahun!AM856</f>
        <v>428.85714285714283</v>
      </c>
      <c r="E1286" s="56" t="s">
        <v>71</v>
      </c>
      <c r="F1286" s="56" t="s">
        <v>71</v>
      </c>
    </row>
    <row r="1287" spans="1:6" ht="13">
      <c r="A1287" s="16">
        <v>188</v>
      </c>
      <c r="B1287" s="16">
        <v>26</v>
      </c>
      <c r="C1287" s="16">
        <v>250.42857142857142</v>
      </c>
      <c r="D1287">
        <f>koronahun!AM857</f>
        <v>0</v>
      </c>
      <c r="E1287" s="56" t="s">
        <v>71</v>
      </c>
      <c r="F1287" s="56" t="s">
        <v>71</v>
      </c>
    </row>
    <row r="1288" spans="1:6" ht="13">
      <c r="A1288" s="16">
        <v>189</v>
      </c>
      <c r="B1288" s="16">
        <v>24.428571428571427</v>
      </c>
      <c r="C1288" s="16">
        <v>226.57142857142858</v>
      </c>
      <c r="D1288">
        <f>koronahun!AM858</f>
        <v>0</v>
      </c>
      <c r="E1288" s="56" t="s">
        <v>71</v>
      </c>
      <c r="F1288" s="56" t="s">
        <v>71</v>
      </c>
    </row>
    <row r="1289" spans="1:6" ht="13">
      <c r="A1289" s="16">
        <v>190</v>
      </c>
      <c r="B1289" s="16">
        <v>23.714285714285715</v>
      </c>
      <c r="C1289" s="16">
        <v>217.42857142857142</v>
      </c>
      <c r="D1289">
        <f>koronahun!AM859</f>
        <v>0</v>
      </c>
      <c r="E1289" s="56" t="s">
        <v>71</v>
      </c>
      <c r="F1289" s="56" t="s">
        <v>71</v>
      </c>
    </row>
    <row r="1290" spans="1:6" ht="13">
      <c r="A1290" s="16">
        <v>191</v>
      </c>
      <c r="B1290" s="16">
        <v>27</v>
      </c>
      <c r="D1290">
        <f>koronahun!AM860</f>
        <v>0</v>
      </c>
      <c r="E1290" s="56" t="s">
        <v>71</v>
      </c>
      <c r="F1290" s="56" t="s">
        <v>71</v>
      </c>
    </row>
    <row r="1291" spans="1:6" ht="13">
      <c r="A1291" s="16">
        <v>192</v>
      </c>
      <c r="B1291" s="16">
        <v>27.142857142857142</v>
      </c>
      <c r="D1291">
        <f>koronahun!AM861</f>
        <v>0</v>
      </c>
      <c r="E1291" s="56" t="s">
        <v>71</v>
      </c>
      <c r="F1291" s="56" t="s">
        <v>71</v>
      </c>
    </row>
    <row r="1292" spans="1:6" ht="13">
      <c r="A1292" s="16">
        <v>193</v>
      </c>
      <c r="B1292" s="16">
        <v>32.142857142857146</v>
      </c>
      <c r="C1292" s="16">
        <v>187.71428571428572</v>
      </c>
      <c r="D1292">
        <f>koronahun!AM862</f>
        <v>0</v>
      </c>
      <c r="E1292" s="56" t="s">
        <v>71</v>
      </c>
      <c r="F1292" s="56" t="s">
        <v>71</v>
      </c>
    </row>
    <row r="1293" spans="1:6" ht="13">
      <c r="A1293" s="16">
        <v>194</v>
      </c>
      <c r="B1293" s="16">
        <v>30.428571428571427</v>
      </c>
      <c r="C1293" s="16">
        <v>190.85714285714286</v>
      </c>
      <c r="D1293" s="58">
        <f>koronahun!AM863</f>
        <v>469.85714285714283</v>
      </c>
      <c r="E1293" s="56" t="s">
        <v>71</v>
      </c>
      <c r="F1293" s="56" t="s">
        <v>71</v>
      </c>
    </row>
    <row r="1294" spans="1:6" ht="13">
      <c r="A1294" s="16">
        <v>195</v>
      </c>
      <c r="B1294" s="16">
        <v>33.142857142857146</v>
      </c>
      <c r="C1294" s="16">
        <v>194.42857142857142</v>
      </c>
      <c r="D1294">
        <f>koronahun!AM864</f>
        <v>0</v>
      </c>
      <c r="E1294" s="56" t="s">
        <v>71</v>
      </c>
      <c r="F1294" s="56" t="s">
        <v>71</v>
      </c>
    </row>
    <row r="1295" spans="1:6" ht="13">
      <c r="A1295" s="16">
        <v>196</v>
      </c>
      <c r="B1295" s="16">
        <v>34.571428571428569</v>
      </c>
      <c r="C1295" s="16">
        <v>211.42857142857142</v>
      </c>
      <c r="D1295">
        <f>koronahun!AM865</f>
        <v>0</v>
      </c>
      <c r="E1295" s="56" t="s">
        <v>71</v>
      </c>
      <c r="F1295" s="56" t="s">
        <v>71</v>
      </c>
    </row>
    <row r="1296" spans="1:6" ht="13">
      <c r="A1296" s="16">
        <v>197</v>
      </c>
      <c r="B1296" s="16">
        <v>38.428571428571431</v>
      </c>
      <c r="C1296" s="16">
        <v>221.28571428571428</v>
      </c>
      <c r="D1296">
        <f>koronahun!AM866</f>
        <v>0</v>
      </c>
      <c r="E1296" s="56" t="s">
        <v>71</v>
      </c>
      <c r="F1296" s="56" t="s">
        <v>71</v>
      </c>
    </row>
    <row r="1297" spans="1:6" ht="13">
      <c r="A1297" s="16">
        <v>198</v>
      </c>
      <c r="B1297" s="16">
        <v>39.857142857142854</v>
      </c>
      <c r="D1297">
        <f>koronahun!AM867</f>
        <v>0</v>
      </c>
      <c r="E1297" s="56" t="s">
        <v>71</v>
      </c>
      <c r="F1297" s="56" t="s">
        <v>71</v>
      </c>
    </row>
    <row r="1298" spans="1:6" ht="13">
      <c r="A1298" s="16">
        <v>199</v>
      </c>
      <c r="B1298" s="16">
        <v>35.428571428571431</v>
      </c>
      <c r="D1298">
        <f>koronahun!AM868</f>
        <v>0</v>
      </c>
      <c r="E1298" s="56" t="s">
        <v>71</v>
      </c>
      <c r="F1298" s="56" t="s">
        <v>71</v>
      </c>
    </row>
    <row r="1299" spans="1:6" ht="13">
      <c r="A1299" s="16">
        <v>200</v>
      </c>
      <c r="B1299" s="16">
        <v>26.714285714285715</v>
      </c>
      <c r="C1299" s="16">
        <v>248</v>
      </c>
      <c r="D1299">
        <f>koronahun!AM869</f>
        <v>0</v>
      </c>
      <c r="E1299" s="56" t="s">
        <v>71</v>
      </c>
      <c r="F1299" s="56" t="s">
        <v>71</v>
      </c>
    </row>
    <row r="1300" spans="1:6" ht="13">
      <c r="A1300" s="16">
        <v>201</v>
      </c>
      <c r="B1300" s="16">
        <v>22.714285714285715</v>
      </c>
      <c r="C1300" s="16">
        <v>255.14285714285714</v>
      </c>
      <c r="D1300" s="58">
        <f>koronahun!AM870</f>
        <v>694.85714285714289</v>
      </c>
      <c r="E1300" s="56" t="s">
        <v>71</v>
      </c>
      <c r="F1300" s="56" t="s">
        <v>71</v>
      </c>
    </row>
    <row r="1301" spans="1:6" ht="13">
      <c r="A1301" s="16">
        <v>202</v>
      </c>
      <c r="B1301" s="16">
        <v>21.571428571428573</v>
      </c>
      <c r="C1301" s="16">
        <v>307.85714285714283</v>
      </c>
      <c r="D1301">
        <f>koronahun!AM871</f>
        <v>0</v>
      </c>
      <c r="E1301" s="56" t="s">
        <v>71</v>
      </c>
      <c r="F1301" s="56" t="s">
        <v>71</v>
      </c>
    </row>
    <row r="1302" spans="1:6" ht="13">
      <c r="A1302" s="16">
        <v>203</v>
      </c>
      <c r="B1302" s="16">
        <v>22.285714285714285</v>
      </c>
      <c r="C1302" s="16">
        <v>349.14285714285717</v>
      </c>
      <c r="D1302">
        <f>koronahun!AM872</f>
        <v>0</v>
      </c>
      <c r="E1302" s="56" t="s">
        <v>71</v>
      </c>
      <c r="F1302" s="56" t="s">
        <v>71</v>
      </c>
    </row>
    <row r="1303" spans="1:6" ht="13">
      <c r="A1303" s="16">
        <v>204</v>
      </c>
      <c r="B1303" s="16">
        <v>20.571428571428573</v>
      </c>
      <c r="C1303" s="16">
        <v>377.85714285714283</v>
      </c>
      <c r="D1303">
        <f>koronahun!AM873</f>
        <v>0</v>
      </c>
      <c r="E1303" s="56" t="s">
        <v>71</v>
      </c>
      <c r="F1303" s="56" t="s">
        <v>71</v>
      </c>
    </row>
    <row r="1304" spans="1:6" ht="13">
      <c r="A1304" s="16">
        <v>205</v>
      </c>
      <c r="B1304" s="16">
        <v>13.142857142857142</v>
      </c>
      <c r="D1304">
        <f>koronahun!AM874</f>
        <v>0</v>
      </c>
      <c r="E1304" s="56" t="s">
        <v>71</v>
      </c>
      <c r="F1304" s="56" t="s">
        <v>71</v>
      </c>
    </row>
    <row r="1305" spans="1:6" ht="13">
      <c r="A1305" s="16">
        <v>206</v>
      </c>
      <c r="B1305" s="16">
        <v>14.571428571428571</v>
      </c>
      <c r="D1305">
        <f>koronahun!AM875</f>
        <v>0</v>
      </c>
      <c r="E1305" s="56" t="s">
        <v>71</v>
      </c>
      <c r="F1305" s="56" t="s">
        <v>71</v>
      </c>
    </row>
    <row r="1306" spans="1:6" ht="13">
      <c r="A1306" s="16">
        <v>207</v>
      </c>
      <c r="B1306" s="16">
        <v>15.142857142857142</v>
      </c>
      <c r="C1306" s="16">
        <v>371.85714285714283</v>
      </c>
      <c r="D1306">
        <f>koronahun!AM876</f>
        <v>0</v>
      </c>
      <c r="E1306" s="56" t="s">
        <v>71</v>
      </c>
      <c r="F1306" s="56" t="s">
        <v>71</v>
      </c>
    </row>
    <row r="1307" spans="1:6" ht="13">
      <c r="A1307" s="16">
        <v>208</v>
      </c>
      <c r="B1307" s="16">
        <v>13.857142857142858</v>
      </c>
      <c r="C1307" s="16">
        <v>395.71428571428572</v>
      </c>
      <c r="D1307" s="58">
        <f>koronahun!AM877</f>
        <v>1013.7142857142857</v>
      </c>
      <c r="E1307" s="56" t="s">
        <v>71</v>
      </c>
      <c r="F1307" s="56" t="s">
        <v>71</v>
      </c>
    </row>
    <row r="1308" spans="1:6" ht="13">
      <c r="A1308" s="16">
        <v>209</v>
      </c>
      <c r="B1308" s="16">
        <v>10.571428571428571</v>
      </c>
      <c r="C1308" s="16">
        <v>418.57142857142856</v>
      </c>
      <c r="D1308">
        <f>koronahun!AM878</f>
        <v>0</v>
      </c>
      <c r="E1308" s="56" t="s">
        <v>71</v>
      </c>
      <c r="F1308" s="56" t="s">
        <v>71</v>
      </c>
    </row>
    <row r="1309" spans="1:6" ht="13">
      <c r="A1309" s="16">
        <v>210</v>
      </c>
      <c r="B1309" s="16">
        <v>8</v>
      </c>
      <c r="C1309" s="16">
        <v>399.71428571428572</v>
      </c>
      <c r="D1309">
        <f>koronahun!AM879</f>
        <v>0</v>
      </c>
      <c r="E1309" s="56" t="s">
        <v>71</v>
      </c>
      <c r="F1309" s="56" t="s">
        <v>71</v>
      </c>
    </row>
    <row r="1310" spans="1:6" ht="13">
      <c r="A1310" s="16">
        <v>211</v>
      </c>
      <c r="B1310" s="16">
        <v>6.5714285714285712</v>
      </c>
      <c r="C1310" s="16">
        <v>411.42857142857144</v>
      </c>
      <c r="D1310">
        <f>koronahun!AM880</f>
        <v>0</v>
      </c>
      <c r="E1310" s="56" t="s">
        <v>71</v>
      </c>
      <c r="F1310" s="56" t="s">
        <v>71</v>
      </c>
    </row>
    <row r="1311" spans="1:6" ht="13">
      <c r="A1311" s="16">
        <v>212</v>
      </c>
      <c r="B1311" s="16">
        <v>5.8571428571428568</v>
      </c>
      <c r="D1311">
        <f>koronahun!AM881</f>
        <v>0</v>
      </c>
      <c r="E1311" s="56" t="s">
        <v>71</v>
      </c>
      <c r="F1311" s="56" t="s">
        <v>71</v>
      </c>
    </row>
    <row r="1312" spans="1:6" ht="13">
      <c r="A1312" s="16">
        <v>213</v>
      </c>
      <c r="B1312" s="16">
        <v>5.7142857142857144</v>
      </c>
      <c r="D1312">
        <f>koronahun!AM882</f>
        <v>0</v>
      </c>
      <c r="E1312" s="56" t="s">
        <v>71</v>
      </c>
      <c r="F1312" s="56" t="s">
        <v>71</v>
      </c>
    </row>
    <row r="1313" spans="1:6" ht="13">
      <c r="A1313" s="16">
        <v>214</v>
      </c>
      <c r="B1313" s="16">
        <v>8.5714285714285712</v>
      </c>
      <c r="C1313" s="16">
        <v>476.71428571428572</v>
      </c>
      <c r="D1313">
        <f>koronahun!AM883</f>
        <v>0</v>
      </c>
      <c r="E1313" s="56" t="s">
        <v>71</v>
      </c>
      <c r="F1313" s="56" t="s">
        <v>71</v>
      </c>
    </row>
    <row r="1314" spans="1:6" ht="13">
      <c r="A1314" s="16">
        <v>215</v>
      </c>
      <c r="B1314" s="16">
        <v>12</v>
      </c>
      <c r="C1314" s="16">
        <v>463.14285714285717</v>
      </c>
      <c r="D1314" s="58">
        <f>koronahun!AM884</f>
        <v>1170.4285714285713</v>
      </c>
      <c r="E1314" s="56" t="s">
        <v>71</v>
      </c>
      <c r="F1314" s="56" t="s">
        <v>71</v>
      </c>
    </row>
    <row r="1315" spans="1:6" ht="13">
      <c r="A1315" s="16">
        <v>216</v>
      </c>
      <c r="B1315" s="16">
        <v>12</v>
      </c>
      <c r="C1315" s="16">
        <v>398.85714285714283</v>
      </c>
      <c r="D1315">
        <f>koronahun!AM885</f>
        <v>0</v>
      </c>
      <c r="E1315" s="56" t="s">
        <v>71</v>
      </c>
      <c r="F1315" s="56" t="s">
        <v>71</v>
      </c>
    </row>
    <row r="1316" spans="1:6" ht="13">
      <c r="A1316" s="16">
        <v>217</v>
      </c>
      <c r="B1316" s="16">
        <v>13.142857142857142</v>
      </c>
      <c r="C1316" s="16">
        <v>491.85714285714283</v>
      </c>
      <c r="D1316">
        <f>koronahun!AM886</f>
        <v>0</v>
      </c>
      <c r="E1316" s="56" t="s">
        <v>71</v>
      </c>
      <c r="F1316" s="56" t="s">
        <v>71</v>
      </c>
    </row>
    <row r="1317" spans="1:6" ht="13">
      <c r="A1317" s="16">
        <v>218</v>
      </c>
      <c r="B1317" s="16">
        <v>16.714285714285715</v>
      </c>
      <c r="C1317" s="16">
        <v>650.28571428571433</v>
      </c>
      <c r="D1317">
        <f>koronahun!AM887</f>
        <v>0</v>
      </c>
      <c r="E1317" s="56" t="s">
        <v>71</v>
      </c>
      <c r="F1317" s="56" t="s">
        <v>71</v>
      </c>
    </row>
    <row r="1318" spans="1:6" ht="13">
      <c r="A1318" s="16">
        <v>219</v>
      </c>
      <c r="B1318" s="16">
        <v>15.857142857142858</v>
      </c>
      <c r="D1318">
        <f>koronahun!AM888</f>
        <v>0</v>
      </c>
      <c r="E1318" s="56" t="s">
        <v>71</v>
      </c>
      <c r="F1318" s="56" t="s">
        <v>71</v>
      </c>
    </row>
    <row r="1319" spans="1:6" ht="13">
      <c r="A1319" s="16">
        <v>220</v>
      </c>
      <c r="B1319" s="16">
        <v>18.142857142857142</v>
      </c>
      <c r="D1319">
        <f>koronahun!AM889</f>
        <v>0</v>
      </c>
      <c r="E1319" s="56" t="s">
        <v>71</v>
      </c>
      <c r="F1319" s="56" t="s">
        <v>71</v>
      </c>
    </row>
    <row r="1320" spans="1:6" ht="13">
      <c r="A1320" s="16">
        <v>221</v>
      </c>
      <c r="B1320" s="16">
        <v>15.714285714285714</v>
      </c>
      <c r="C1320" s="16">
        <v>1151.7142857142858</v>
      </c>
      <c r="D1320">
        <f>koronahun!AM890</f>
        <v>0</v>
      </c>
      <c r="E1320" s="56" t="s">
        <v>71</v>
      </c>
      <c r="F1320" s="56" t="s">
        <v>71</v>
      </c>
    </row>
    <row r="1321" spans="1:6" ht="13">
      <c r="A1321" s="16">
        <v>222</v>
      </c>
      <c r="B1321" s="16">
        <v>16</v>
      </c>
      <c r="C1321" s="16">
        <v>1367.4285714285713</v>
      </c>
      <c r="D1321" s="58">
        <f>koronahun!AM891</f>
        <v>1504.7142857142858</v>
      </c>
      <c r="E1321" s="56" t="s">
        <v>71</v>
      </c>
      <c r="F1321" s="56" t="s">
        <v>71</v>
      </c>
    </row>
    <row r="1322" spans="1:6" ht="13">
      <c r="A1322" s="16">
        <v>223</v>
      </c>
      <c r="B1322" s="16">
        <v>16</v>
      </c>
      <c r="C1322" s="16">
        <v>1641.7142857142858</v>
      </c>
      <c r="D1322">
        <f>koronahun!AM892</f>
        <v>0</v>
      </c>
      <c r="E1322" s="56" t="s">
        <v>71</v>
      </c>
      <c r="F1322" s="56" t="s">
        <v>71</v>
      </c>
    </row>
    <row r="1323" spans="1:6" ht="13">
      <c r="A1323" s="16">
        <v>224</v>
      </c>
      <c r="B1323" s="16">
        <v>14</v>
      </c>
      <c r="C1323" s="16">
        <v>1835.1428571428571</v>
      </c>
      <c r="D1323">
        <f>koronahun!AM893</f>
        <v>0</v>
      </c>
      <c r="E1323" s="56" t="s">
        <v>71</v>
      </c>
      <c r="F1323" s="56" t="s">
        <v>71</v>
      </c>
    </row>
    <row r="1324" spans="1:6" ht="13">
      <c r="A1324" s="16">
        <v>225</v>
      </c>
      <c r="B1324" s="16">
        <v>14</v>
      </c>
      <c r="C1324" s="16">
        <v>1891.8571428571429</v>
      </c>
      <c r="D1324">
        <f>koronahun!AM894</f>
        <v>0</v>
      </c>
      <c r="E1324" s="56" t="s">
        <v>71</v>
      </c>
      <c r="F1324" s="56" t="s">
        <v>71</v>
      </c>
    </row>
    <row r="1325" spans="1:6" ht="13">
      <c r="A1325" s="16">
        <v>226</v>
      </c>
      <c r="B1325" s="16">
        <v>18</v>
      </c>
      <c r="D1325">
        <f>koronahun!AM895</f>
        <v>0</v>
      </c>
      <c r="E1325" s="56" t="s">
        <v>71</v>
      </c>
      <c r="F1325" s="56" t="s">
        <v>71</v>
      </c>
    </row>
    <row r="1326" spans="1:6" ht="13">
      <c r="A1326" s="16">
        <v>227</v>
      </c>
      <c r="B1326" s="16">
        <v>16.428571428571427</v>
      </c>
      <c r="D1326">
        <f>koronahun!AM896</f>
        <v>0</v>
      </c>
      <c r="E1326" s="56" t="s">
        <v>71</v>
      </c>
      <c r="F1326" s="56" t="s">
        <v>71</v>
      </c>
    </row>
    <row r="1327" spans="1:6" ht="13">
      <c r="A1327" s="16">
        <v>228</v>
      </c>
      <c r="B1327" s="16">
        <v>17.714285714285715</v>
      </c>
      <c r="C1327" s="16">
        <v>1580.1428571428571</v>
      </c>
      <c r="D1327">
        <f>koronahun!AM897</f>
        <v>0</v>
      </c>
      <c r="E1327" s="56" t="s">
        <v>71</v>
      </c>
      <c r="F1327" s="56" t="s">
        <v>71</v>
      </c>
    </row>
    <row r="1328" spans="1:6" ht="13">
      <c r="A1328" s="16">
        <v>229</v>
      </c>
      <c r="B1328" s="16">
        <v>15</v>
      </c>
      <c r="C1328" s="16">
        <v>1355.1428571428571</v>
      </c>
      <c r="D1328" s="58">
        <f>koronahun!AM898</f>
        <v>2159.2857142857142</v>
      </c>
      <c r="E1328" s="56" t="s">
        <v>71</v>
      </c>
      <c r="F1328" s="56" t="s">
        <v>71</v>
      </c>
    </row>
    <row r="1329" spans="1:6" ht="13">
      <c r="A1329" s="16">
        <v>230</v>
      </c>
      <c r="B1329" s="16">
        <v>14.857142857142858</v>
      </c>
      <c r="C1329" s="16">
        <v>1089.4285714285713</v>
      </c>
      <c r="D1329">
        <f>koronahun!AM899</f>
        <v>0</v>
      </c>
      <c r="E1329" s="56" t="s">
        <v>71</v>
      </c>
      <c r="F1329" s="56" t="s">
        <v>71</v>
      </c>
    </row>
    <row r="1330" spans="1:6" ht="13">
      <c r="A1330" s="16">
        <v>231</v>
      </c>
      <c r="B1330" s="16">
        <v>19.428571428571427</v>
      </c>
      <c r="C1330" s="16">
        <v>853.71428571428567</v>
      </c>
      <c r="D1330">
        <f>koronahun!AM900</f>
        <v>0</v>
      </c>
      <c r="E1330" s="56" t="s">
        <v>71</v>
      </c>
      <c r="F1330" s="56" t="s">
        <v>71</v>
      </c>
    </row>
    <row r="1331" spans="1:6" ht="13">
      <c r="A1331" s="16">
        <v>232</v>
      </c>
      <c r="B1331" s="16">
        <v>16.714285714285715</v>
      </c>
      <c r="D1331">
        <f>koronahun!AM901</f>
        <v>0</v>
      </c>
      <c r="E1331" s="56" t="s">
        <v>71</v>
      </c>
      <c r="F1331" s="56" t="s">
        <v>71</v>
      </c>
    </row>
    <row r="1332" spans="1:6" ht="13">
      <c r="A1332" s="16">
        <v>233</v>
      </c>
      <c r="B1332" s="16">
        <v>13</v>
      </c>
      <c r="D1332">
        <f>koronahun!AM902</f>
        <v>0</v>
      </c>
      <c r="E1332" s="56" t="s">
        <v>71</v>
      </c>
      <c r="F1332" s="56" t="s">
        <v>71</v>
      </c>
    </row>
    <row r="1333" spans="1:6" ht="13">
      <c r="A1333" s="16">
        <v>234</v>
      </c>
      <c r="B1333" s="16">
        <v>12.285714285714286</v>
      </c>
      <c r="D1333">
        <f>koronahun!AM903</f>
        <v>0</v>
      </c>
      <c r="E1333" s="56" t="s">
        <v>71</v>
      </c>
      <c r="F1333" s="56" t="s">
        <v>71</v>
      </c>
    </row>
    <row r="1334" spans="1:6" ht="13">
      <c r="A1334" s="16">
        <v>235</v>
      </c>
      <c r="B1334" s="16">
        <v>10.285714285714286</v>
      </c>
      <c r="C1334" s="16">
        <v>460.28571428571428</v>
      </c>
      <c r="D1334">
        <f>koronahun!AM904</f>
        <v>0</v>
      </c>
      <c r="E1334" s="56" t="s">
        <v>71</v>
      </c>
      <c r="F1334" s="56" t="s">
        <v>71</v>
      </c>
    </row>
    <row r="1335" spans="1:6" ht="13">
      <c r="A1335" s="16">
        <v>236</v>
      </c>
      <c r="B1335" s="16">
        <v>9.2857142857142865</v>
      </c>
      <c r="C1335" s="16">
        <v>531.71428571428567</v>
      </c>
      <c r="D1335" s="58">
        <f>koronahun!AM905</f>
        <v>3126.8571428571427</v>
      </c>
      <c r="E1335" s="56" t="s">
        <v>71</v>
      </c>
      <c r="F1335" s="56" t="s">
        <v>71</v>
      </c>
    </row>
    <row r="1336" spans="1:6" ht="13">
      <c r="A1336" s="16">
        <v>237</v>
      </c>
      <c r="B1336" s="16">
        <v>12.142857142857142</v>
      </c>
      <c r="C1336" s="16">
        <v>668.28571428571433</v>
      </c>
      <c r="D1336">
        <f>koronahun!AM906</f>
        <v>0</v>
      </c>
      <c r="E1336" s="56" t="s">
        <v>71</v>
      </c>
      <c r="F1336" s="56" t="s">
        <v>71</v>
      </c>
    </row>
    <row r="1337" spans="1:6" ht="13">
      <c r="A1337" s="16">
        <v>238</v>
      </c>
      <c r="B1337" s="16">
        <v>9.8571428571428577</v>
      </c>
      <c r="C1337" s="16">
        <v>689</v>
      </c>
      <c r="D1337">
        <f>koronahun!AM907</f>
        <v>0</v>
      </c>
      <c r="E1337" s="56" t="s">
        <v>71</v>
      </c>
      <c r="F1337" s="56" t="s">
        <v>71</v>
      </c>
    </row>
    <row r="1338" spans="1:6" ht="13">
      <c r="A1338" s="16">
        <v>239</v>
      </c>
      <c r="B1338" s="16">
        <v>11.285714285714286</v>
      </c>
      <c r="C1338" s="16">
        <v>787</v>
      </c>
      <c r="D1338">
        <f>koronahun!AM908</f>
        <v>0</v>
      </c>
      <c r="E1338" s="56" t="s">
        <v>71</v>
      </c>
      <c r="F1338" s="56" t="s">
        <v>71</v>
      </c>
    </row>
    <row r="1339" spans="1:6" ht="13">
      <c r="A1339" s="16">
        <v>240</v>
      </c>
      <c r="B1339" s="16">
        <v>11.142857142857142</v>
      </c>
      <c r="D1339">
        <f>koronahun!AM909</f>
        <v>0</v>
      </c>
      <c r="E1339" s="56" t="s">
        <v>71</v>
      </c>
      <c r="F1339" s="56" t="s">
        <v>71</v>
      </c>
    </row>
    <row r="1340" spans="1:6" ht="13">
      <c r="A1340" s="16">
        <v>241</v>
      </c>
      <c r="B1340" s="16">
        <v>9.5714285714285712</v>
      </c>
      <c r="D1340">
        <f>koronahun!AM910</f>
        <v>0</v>
      </c>
      <c r="E1340" s="56" t="s">
        <v>71</v>
      </c>
      <c r="F1340" s="56" t="s">
        <v>71</v>
      </c>
    </row>
    <row r="1341" spans="1:6" ht="13">
      <c r="A1341" s="16">
        <v>242</v>
      </c>
      <c r="B1341" s="16">
        <v>9.1428571428571423</v>
      </c>
      <c r="C1341" s="16">
        <v>814.85714285714289</v>
      </c>
      <c r="D1341">
        <f>koronahun!AM911</f>
        <v>0</v>
      </c>
      <c r="E1341" s="56" t="s">
        <v>71</v>
      </c>
      <c r="F1341" s="56" t="s">
        <v>71</v>
      </c>
    </row>
    <row r="1342" spans="1:6" ht="13">
      <c r="A1342" s="16">
        <v>243</v>
      </c>
      <c r="B1342" s="16">
        <v>9.4285714285714288</v>
      </c>
      <c r="C1342" s="16">
        <v>743.42857142857144</v>
      </c>
      <c r="D1342" s="58">
        <f>koronahun!AM912</f>
        <v>2398.2857142857142</v>
      </c>
      <c r="E1342" s="56" t="s">
        <v>71</v>
      </c>
      <c r="F1342" s="56" t="s">
        <v>71</v>
      </c>
    </row>
    <row r="1343" spans="1:6" ht="13">
      <c r="A1343" s="16">
        <v>244</v>
      </c>
      <c r="B1343" s="16">
        <v>15</v>
      </c>
      <c r="C1343" s="16">
        <v>582.42857142857144</v>
      </c>
      <c r="D1343">
        <f>koronahun!AM913</f>
        <v>0</v>
      </c>
      <c r="E1343" s="56" t="s">
        <v>71</v>
      </c>
      <c r="F1343" s="56" t="s">
        <v>71</v>
      </c>
    </row>
    <row r="1344" spans="1:6" ht="13">
      <c r="A1344" s="16">
        <v>245</v>
      </c>
      <c r="B1344" s="16">
        <v>24.142857142857142</v>
      </c>
      <c r="C1344" s="16">
        <v>472.71428571428572</v>
      </c>
      <c r="D1344">
        <f>koronahun!AM914</f>
        <v>0</v>
      </c>
      <c r="E1344" s="56" t="s">
        <v>71</v>
      </c>
      <c r="F1344" s="56" t="s">
        <v>71</v>
      </c>
    </row>
    <row r="1345" spans="1:6" ht="13">
      <c r="A1345" s="16">
        <v>246</v>
      </c>
      <c r="B1345" s="16">
        <v>24.714285714285715</v>
      </c>
      <c r="C1345" s="16">
        <v>386</v>
      </c>
      <c r="D1345">
        <f>koronahun!AM915</f>
        <v>0</v>
      </c>
      <c r="E1345" s="56" t="s">
        <v>71</v>
      </c>
      <c r="F1345" s="56" t="s">
        <v>71</v>
      </c>
    </row>
    <row r="1346" spans="1:6" ht="13">
      <c r="A1346" s="16">
        <v>247</v>
      </c>
      <c r="B1346" s="16">
        <v>26.428571428571427</v>
      </c>
      <c r="D1346">
        <f>koronahun!AM916</f>
        <v>0</v>
      </c>
      <c r="E1346" s="56" t="s">
        <v>71</v>
      </c>
      <c r="F1346" s="56" t="s">
        <v>71</v>
      </c>
    </row>
    <row r="1347" spans="1:6" ht="13">
      <c r="A1347" s="16">
        <v>248</v>
      </c>
      <c r="B1347" s="16">
        <v>27.571428571428573</v>
      </c>
      <c r="D1347">
        <f>koronahun!AM917</f>
        <v>0</v>
      </c>
      <c r="E1347" s="56" t="s">
        <v>71</v>
      </c>
      <c r="F1347" s="56" t="s">
        <v>71</v>
      </c>
    </row>
    <row r="1348" spans="1:6" ht="13">
      <c r="A1348" s="16">
        <v>249</v>
      </c>
      <c r="B1348" s="16">
        <v>28.428571428571427</v>
      </c>
      <c r="C1348" s="16">
        <v>143.14285714285714</v>
      </c>
      <c r="D1348">
        <f>koronahun!AM918</f>
        <v>0</v>
      </c>
      <c r="E1348" s="56" t="s">
        <v>71</v>
      </c>
      <c r="F1348" s="56" t="s">
        <v>71</v>
      </c>
    </row>
    <row r="1349" spans="1:6" ht="13">
      <c r="A1349" s="16">
        <v>250</v>
      </c>
      <c r="B1349" s="16">
        <v>28.571428571428573</v>
      </c>
      <c r="C1349" s="16">
        <v>116.14285714285714</v>
      </c>
      <c r="D1349" s="58">
        <f>koronahun!AM919</f>
        <v>2015.7142857142858</v>
      </c>
      <c r="E1349" s="56" t="s">
        <v>71</v>
      </c>
      <c r="F1349" s="56" t="s">
        <v>71</v>
      </c>
    </row>
    <row r="1350" spans="1:6" ht="13">
      <c r="A1350" s="16">
        <v>251</v>
      </c>
      <c r="B1350" s="16">
        <v>21.571428571428573</v>
      </c>
      <c r="C1350" s="16">
        <v>107.85714285714286</v>
      </c>
      <c r="D1350">
        <f>koronahun!AM920</f>
        <v>0</v>
      </c>
      <c r="E1350" s="56" t="s">
        <v>71</v>
      </c>
      <c r="F1350" s="56" t="s">
        <v>71</v>
      </c>
    </row>
    <row r="1351" spans="1:6" ht="13">
      <c r="A1351" s="16">
        <v>252</v>
      </c>
      <c r="B1351" s="16">
        <v>11.571428571428571</v>
      </c>
      <c r="C1351" s="16">
        <v>88.857142857142861</v>
      </c>
      <c r="D1351">
        <f>koronahun!AM921</f>
        <v>0</v>
      </c>
      <c r="E1351" s="56" t="s">
        <v>71</v>
      </c>
      <c r="F1351" s="56" t="s">
        <v>71</v>
      </c>
    </row>
    <row r="1352" spans="1:6" ht="13">
      <c r="A1352" s="16">
        <v>253</v>
      </c>
      <c r="B1352" s="16">
        <v>8.5714285714285712</v>
      </c>
      <c r="C1352" s="16">
        <v>93.142857142857139</v>
      </c>
      <c r="D1352">
        <f>koronahun!AM922</f>
        <v>0</v>
      </c>
      <c r="E1352" s="56" t="s">
        <v>71</v>
      </c>
      <c r="F1352" s="56" t="s">
        <v>71</v>
      </c>
    </row>
    <row r="1353" spans="1:6" ht="13">
      <c r="A1353" s="16">
        <v>254</v>
      </c>
      <c r="B1353" s="16">
        <v>10</v>
      </c>
      <c r="D1353">
        <f>koronahun!AM923</f>
        <v>0</v>
      </c>
      <c r="E1353" s="56" t="s">
        <v>71</v>
      </c>
      <c r="F1353" s="56" t="s">
        <v>71</v>
      </c>
    </row>
    <row r="1354" spans="1:6" ht="13">
      <c r="A1354" s="16">
        <v>255</v>
      </c>
      <c r="B1354" s="16">
        <v>15.142857142857142</v>
      </c>
      <c r="D1354">
        <f>koronahun!AM924</f>
        <v>0</v>
      </c>
      <c r="E1354" s="56" t="s">
        <v>71</v>
      </c>
      <c r="F1354" s="56" t="s">
        <v>71</v>
      </c>
    </row>
    <row r="1355" spans="1:6" ht="13">
      <c r="A1355" s="16">
        <v>256</v>
      </c>
      <c r="B1355" s="16">
        <v>15.857142857142858</v>
      </c>
      <c r="C1355" s="16">
        <v>109.85714285714286</v>
      </c>
      <c r="D1355">
        <f>koronahun!AM925</f>
        <v>0</v>
      </c>
      <c r="E1355" s="56" t="s">
        <v>71</v>
      </c>
      <c r="F1355" s="56" t="s">
        <v>71</v>
      </c>
    </row>
    <row r="1356" spans="1:6" ht="13">
      <c r="A1356" s="16">
        <v>257</v>
      </c>
      <c r="B1356" s="16">
        <v>22.285714285714285</v>
      </c>
      <c r="C1356" s="16">
        <v>122.28571428571429</v>
      </c>
      <c r="D1356" s="58">
        <f>koronahun!AM926</f>
        <v>1707.2857142857142</v>
      </c>
      <c r="E1356" s="56" t="s">
        <v>71</v>
      </c>
      <c r="F1356" s="56" t="s">
        <v>71</v>
      </c>
    </row>
    <row r="1357" spans="1:6" ht="13">
      <c r="A1357" s="16">
        <v>258</v>
      </c>
      <c r="B1357" s="16">
        <v>22.571428571428573</v>
      </c>
      <c r="C1357" s="16">
        <v>121.28571428571429</v>
      </c>
      <c r="D1357">
        <f>koronahun!AM927</f>
        <v>0</v>
      </c>
      <c r="E1357" s="56" t="s">
        <v>71</v>
      </c>
      <c r="F1357" s="56" t="s">
        <v>71</v>
      </c>
    </row>
    <row r="1358" spans="1:6" ht="13">
      <c r="A1358" s="16">
        <v>259</v>
      </c>
      <c r="B1358" s="16">
        <v>24.142857142857142</v>
      </c>
      <c r="C1358" s="16">
        <v>128.85714285714286</v>
      </c>
      <c r="D1358">
        <f>koronahun!AM928</f>
        <v>0</v>
      </c>
      <c r="E1358" s="56" t="s">
        <v>71</v>
      </c>
      <c r="F1358" s="56" t="s">
        <v>71</v>
      </c>
    </row>
    <row r="1359" spans="1:6" ht="13">
      <c r="A1359" s="16">
        <v>260</v>
      </c>
      <c r="B1359" s="16">
        <v>33.857142857142854</v>
      </c>
      <c r="C1359" s="16">
        <v>162.42857142857142</v>
      </c>
      <c r="D1359">
        <f>koronahun!AM929</f>
        <v>0</v>
      </c>
      <c r="E1359" s="56" t="s">
        <v>71</v>
      </c>
      <c r="F1359" s="56" t="s">
        <v>71</v>
      </c>
    </row>
    <row r="1360" spans="1:6" ht="13">
      <c r="A1360" s="16">
        <v>261</v>
      </c>
      <c r="B1360" s="16">
        <v>32.285714285714285</v>
      </c>
      <c r="D1360">
        <f>koronahun!AM930</f>
        <v>0</v>
      </c>
      <c r="E1360" s="56" t="s">
        <v>71</v>
      </c>
      <c r="F1360" s="56" t="s">
        <v>71</v>
      </c>
    </row>
    <row r="1361" spans="1:6" ht="13">
      <c r="A1361" s="16">
        <v>262</v>
      </c>
      <c r="B1361" s="16">
        <v>46.285714285714285</v>
      </c>
      <c r="D1361">
        <f>koronahun!AM931</f>
        <v>0</v>
      </c>
      <c r="E1361" s="56" t="s">
        <v>71</v>
      </c>
      <c r="F1361" s="56" t="s">
        <v>71</v>
      </c>
    </row>
    <row r="1362" spans="1:6" ht="13">
      <c r="A1362" s="16">
        <v>263</v>
      </c>
      <c r="B1362" s="16">
        <v>46</v>
      </c>
      <c r="C1362" s="16">
        <v>208.57142857142858</v>
      </c>
      <c r="D1362">
        <f>koronahun!AM932</f>
        <v>0</v>
      </c>
      <c r="E1362" s="56" t="s">
        <v>71</v>
      </c>
      <c r="F1362" s="56" t="s">
        <v>71</v>
      </c>
    </row>
    <row r="1363" spans="1:6" ht="13">
      <c r="A1363" s="16">
        <v>264</v>
      </c>
      <c r="B1363" s="16">
        <v>40.571428571428569</v>
      </c>
      <c r="C1363" s="16">
        <v>232.28571428571428</v>
      </c>
      <c r="D1363" s="58">
        <f>koronahun!AM933</f>
        <v>1852.8571428571429</v>
      </c>
      <c r="E1363" s="56" t="s">
        <v>71</v>
      </c>
      <c r="F1363" s="56" t="s">
        <v>71</v>
      </c>
    </row>
    <row r="1364" spans="1:6" ht="13">
      <c r="A1364" s="16">
        <v>265</v>
      </c>
      <c r="B1364" s="16">
        <v>61.285714285714285</v>
      </c>
      <c r="C1364" s="16">
        <v>269.71428571428572</v>
      </c>
      <c r="D1364">
        <f>koronahun!AM934</f>
        <v>0</v>
      </c>
      <c r="E1364" s="56" t="s">
        <v>71</v>
      </c>
      <c r="F1364" s="56" t="s">
        <v>71</v>
      </c>
    </row>
    <row r="1365" spans="1:6" ht="13">
      <c r="A1365" s="16">
        <v>266</v>
      </c>
      <c r="B1365" s="16">
        <v>70.142857142857139</v>
      </c>
      <c r="C1365" s="16">
        <v>287</v>
      </c>
      <c r="D1365">
        <f>koronahun!AM935</f>
        <v>0</v>
      </c>
      <c r="E1365" s="56" t="s">
        <v>71</v>
      </c>
      <c r="F1365" s="56" t="s">
        <v>71</v>
      </c>
    </row>
    <row r="1366" spans="1:6" ht="13">
      <c r="A1366" s="16">
        <v>267</v>
      </c>
      <c r="B1366" s="16">
        <v>84.428571428571431</v>
      </c>
      <c r="C1366" s="16">
        <v>288.14285714285717</v>
      </c>
      <c r="D1366">
        <f>koronahun!AM936</f>
        <v>0</v>
      </c>
      <c r="E1366" s="56" t="s">
        <v>71</v>
      </c>
      <c r="F1366" s="56" t="s">
        <v>71</v>
      </c>
    </row>
    <row r="1367" spans="1:6" ht="13">
      <c r="A1367" s="16">
        <v>268</v>
      </c>
      <c r="B1367" s="16">
        <v>100.71428571428571</v>
      </c>
      <c r="D1367">
        <f>koronahun!AM937</f>
        <v>0</v>
      </c>
      <c r="E1367" s="56" t="s">
        <v>71</v>
      </c>
      <c r="F1367" s="56" t="s">
        <v>71</v>
      </c>
    </row>
    <row r="1368" spans="1:6" ht="13">
      <c r="A1368" s="16">
        <v>269</v>
      </c>
      <c r="B1368" s="16">
        <v>102.42857142857143</v>
      </c>
      <c r="D1368">
        <f>koronahun!AM938</f>
        <v>0</v>
      </c>
      <c r="E1368" s="56" t="s">
        <v>71</v>
      </c>
      <c r="F1368" s="56" t="s">
        <v>71</v>
      </c>
    </row>
    <row r="1369" spans="1:6" ht="13">
      <c r="A1369" s="16">
        <v>270</v>
      </c>
      <c r="B1369" s="16">
        <v>107.14285714285714</v>
      </c>
      <c r="C1369" s="16">
        <v>386</v>
      </c>
      <c r="D1369">
        <f>koronahun!AM939</f>
        <v>0</v>
      </c>
      <c r="E1369" s="56" t="s">
        <v>71</v>
      </c>
      <c r="F1369" s="56" t="s">
        <v>71</v>
      </c>
    </row>
    <row r="1370" spans="1:6" ht="13">
      <c r="A1370" s="16">
        <v>271</v>
      </c>
      <c r="B1370" s="16">
        <v>107.28571428571429</v>
      </c>
      <c r="C1370" s="16">
        <v>439.28571428571428</v>
      </c>
      <c r="D1370" s="58">
        <f>koronahun!AM940</f>
        <v>1778</v>
      </c>
      <c r="E1370" s="56" t="s">
        <v>71</v>
      </c>
      <c r="F1370" s="56" t="s">
        <v>71</v>
      </c>
    </row>
    <row r="1371" spans="1:6" ht="13">
      <c r="A1371" s="16">
        <v>272</v>
      </c>
      <c r="B1371" s="16">
        <v>87.714285714285708</v>
      </c>
      <c r="C1371" s="16">
        <v>485.85714285714283</v>
      </c>
      <c r="D1371">
        <f>koronahun!AM941</f>
        <v>0</v>
      </c>
      <c r="E1371" s="56" t="s">
        <v>71</v>
      </c>
      <c r="F1371" s="56" t="s">
        <v>71</v>
      </c>
    </row>
    <row r="1372" spans="1:6" ht="13">
      <c r="A1372" s="16">
        <v>273</v>
      </c>
      <c r="B1372" s="16">
        <v>178</v>
      </c>
      <c r="C1372" s="16">
        <v>521.14285714285711</v>
      </c>
      <c r="D1372">
        <f>koronahun!AM942</f>
        <v>0</v>
      </c>
      <c r="E1372" s="56" t="s">
        <v>71</v>
      </c>
      <c r="F1372" s="56" t="s">
        <v>71</v>
      </c>
    </row>
    <row r="1373" spans="1:6" ht="13">
      <c r="A1373" s="16">
        <v>274</v>
      </c>
      <c r="B1373" s="16">
        <v>185.71428571428572</v>
      </c>
      <c r="C1373" s="16">
        <v>550.28571428571433</v>
      </c>
      <c r="D1373">
        <f>koronahun!AM943</f>
        <v>0</v>
      </c>
      <c r="E1373" s="56" t="s">
        <v>71</v>
      </c>
      <c r="F1373" s="56" t="s">
        <v>71</v>
      </c>
    </row>
    <row r="1374" spans="1:6" ht="13">
      <c r="A1374" s="16">
        <v>275</v>
      </c>
      <c r="B1374" s="16">
        <v>200.57142857142858</v>
      </c>
      <c r="D1374">
        <f>koronahun!AM944</f>
        <v>0</v>
      </c>
      <c r="E1374" s="56" t="s">
        <v>71</v>
      </c>
      <c r="F1374" s="56" t="s">
        <v>71</v>
      </c>
    </row>
    <row r="1375" spans="1:6" ht="13">
      <c r="A1375" s="16">
        <v>276</v>
      </c>
      <c r="B1375" s="16">
        <v>246.42857142857142</v>
      </c>
      <c r="D1375">
        <f>koronahun!AM945</f>
        <v>0</v>
      </c>
      <c r="E1375" s="56" t="s">
        <v>71</v>
      </c>
      <c r="F1375" s="56" t="s">
        <v>71</v>
      </c>
    </row>
    <row r="1376" spans="1:6" ht="13">
      <c r="A1376" s="16">
        <v>277</v>
      </c>
      <c r="B1376" s="16">
        <v>332.71428571428572</v>
      </c>
      <c r="C1376" s="16">
        <v>510</v>
      </c>
      <c r="D1376">
        <f>koronahun!AM946</f>
        <v>0</v>
      </c>
      <c r="E1376" s="56" t="s">
        <v>71</v>
      </c>
      <c r="F1376" s="56" t="s">
        <v>71</v>
      </c>
    </row>
    <row r="1377" spans="1:6" ht="13">
      <c r="A1377" s="16">
        <v>278</v>
      </c>
      <c r="B1377" s="16">
        <v>430.42857142857144</v>
      </c>
      <c r="C1377" s="16">
        <v>438.28571428571428</v>
      </c>
      <c r="D1377" s="58">
        <f>koronahun!AM947</f>
        <v>1588.1428571428571</v>
      </c>
      <c r="E1377" s="56" t="s">
        <v>71</v>
      </c>
      <c r="F1377" s="56" t="s">
        <v>71</v>
      </c>
    </row>
    <row r="1378" spans="1:6" ht="13">
      <c r="A1378" s="16">
        <v>279</v>
      </c>
      <c r="B1378" s="16">
        <v>507.14285714285717</v>
      </c>
      <c r="C1378" s="16">
        <v>384.42857142857144</v>
      </c>
      <c r="D1378">
        <f>koronahun!AM948</f>
        <v>0</v>
      </c>
      <c r="E1378" s="56" t="s">
        <v>71</v>
      </c>
      <c r="F1378" s="56" t="s">
        <v>71</v>
      </c>
    </row>
    <row r="1379" spans="1:6" ht="13">
      <c r="A1379" s="16">
        <v>280</v>
      </c>
      <c r="B1379" s="16">
        <v>465.57142857142856</v>
      </c>
      <c r="C1379" s="16">
        <v>366.42857142857144</v>
      </c>
      <c r="D1379">
        <f>koronahun!AM949</f>
        <v>0</v>
      </c>
      <c r="E1379" s="56" t="s">
        <v>71</v>
      </c>
      <c r="F1379" s="56" t="s">
        <v>71</v>
      </c>
    </row>
    <row r="1380" spans="1:6" ht="13">
      <c r="A1380" s="16">
        <v>281</v>
      </c>
      <c r="B1380" s="16">
        <v>438.42857142857144</v>
      </c>
      <c r="C1380" s="16">
        <v>338.28571428571428</v>
      </c>
      <c r="D1380">
        <f>koronahun!AM950</f>
        <v>0</v>
      </c>
      <c r="E1380" s="56" t="s">
        <v>71</v>
      </c>
      <c r="F1380" s="56" t="s">
        <v>71</v>
      </c>
    </row>
    <row r="1381" spans="1:6" ht="13">
      <c r="A1381" s="16">
        <v>282</v>
      </c>
      <c r="B1381" s="16">
        <v>407.57142857142856</v>
      </c>
      <c r="D1381">
        <f>koronahun!AM951</f>
        <v>0</v>
      </c>
      <c r="E1381" s="56" t="s">
        <v>71</v>
      </c>
      <c r="F1381" s="56" t="s">
        <v>71</v>
      </c>
    </row>
    <row r="1382" spans="1:6" ht="13">
      <c r="A1382" s="16">
        <v>283</v>
      </c>
      <c r="B1382" s="16">
        <v>408.42857142857144</v>
      </c>
      <c r="D1382">
        <f>koronahun!AM952</f>
        <v>0</v>
      </c>
      <c r="E1382" s="56" t="s">
        <v>71</v>
      </c>
      <c r="F1382" s="56" t="s">
        <v>71</v>
      </c>
    </row>
    <row r="1383" spans="1:6" ht="13">
      <c r="A1383" s="16">
        <v>284</v>
      </c>
      <c r="B1383" s="16">
        <v>482.57142857142856</v>
      </c>
      <c r="C1383" s="16">
        <v>324.71428571428572</v>
      </c>
      <c r="D1383">
        <f>koronahun!AM953</f>
        <v>0</v>
      </c>
      <c r="E1383" s="56" t="s">
        <v>71</v>
      </c>
      <c r="F1383" s="56" t="s">
        <v>71</v>
      </c>
    </row>
    <row r="1384" spans="1:6" ht="13">
      <c r="A1384" s="16">
        <v>285</v>
      </c>
      <c r="B1384" s="16">
        <v>410.28571428571428</v>
      </c>
      <c r="C1384" s="16">
        <v>348.42857142857144</v>
      </c>
      <c r="D1384" s="58">
        <f>koronahun!AM954</f>
        <v>1629.7142857142858</v>
      </c>
      <c r="E1384" s="56" t="s">
        <v>71</v>
      </c>
      <c r="F1384" s="56" t="s">
        <v>71</v>
      </c>
    </row>
    <row r="1385" spans="1:6" ht="13">
      <c r="A1385" s="16">
        <v>286</v>
      </c>
      <c r="B1385" s="16">
        <v>432.85714285714283</v>
      </c>
      <c r="C1385" s="16">
        <v>353.57142857142856</v>
      </c>
      <c r="D1385">
        <f>koronahun!AM955</f>
        <v>0</v>
      </c>
      <c r="E1385" s="56" t="s">
        <v>71</v>
      </c>
      <c r="F1385" s="56" t="s">
        <v>71</v>
      </c>
    </row>
    <row r="1386" spans="1:6" ht="13">
      <c r="A1386" s="16">
        <v>287</v>
      </c>
      <c r="B1386" s="16">
        <v>430.71428571428572</v>
      </c>
      <c r="C1386" s="16">
        <v>353.14285714285717</v>
      </c>
      <c r="D1386">
        <f>koronahun!AM956</f>
        <v>0</v>
      </c>
      <c r="E1386" s="56" t="s">
        <v>71</v>
      </c>
      <c r="F1386" s="56" t="s">
        <v>71</v>
      </c>
    </row>
    <row r="1387" spans="1:6" ht="13">
      <c r="A1387" s="16">
        <v>288</v>
      </c>
      <c r="B1387" s="16">
        <v>491.57142857142856</v>
      </c>
      <c r="C1387" s="16">
        <v>376</v>
      </c>
      <c r="D1387">
        <f>koronahun!AM957</f>
        <v>0</v>
      </c>
      <c r="E1387" s="56" t="s">
        <v>71</v>
      </c>
      <c r="F1387" s="56" t="s">
        <v>71</v>
      </c>
    </row>
    <row r="1388" spans="1:6" ht="13">
      <c r="A1388" s="16">
        <v>289</v>
      </c>
      <c r="B1388" s="16">
        <v>561.71428571428567</v>
      </c>
      <c r="D1388">
        <f>koronahun!AM958</f>
        <v>0</v>
      </c>
      <c r="E1388" s="56" t="s">
        <v>71</v>
      </c>
      <c r="F1388" s="56" t="s">
        <v>71</v>
      </c>
    </row>
    <row r="1389" spans="1:6" ht="13">
      <c r="A1389" s="16">
        <v>290</v>
      </c>
      <c r="B1389" s="16">
        <v>556.71428571428567</v>
      </c>
      <c r="D1389">
        <f>koronahun!AM959</f>
        <v>0</v>
      </c>
      <c r="E1389" s="56" t="s">
        <v>71</v>
      </c>
      <c r="F1389" s="56" t="s">
        <v>71</v>
      </c>
    </row>
    <row r="1390" spans="1:6" ht="13">
      <c r="A1390" s="16">
        <v>291</v>
      </c>
      <c r="B1390" s="16">
        <v>462.85714285714283</v>
      </c>
      <c r="C1390" s="16">
        <v>426.85714285714283</v>
      </c>
      <c r="D1390">
        <f>koronahun!AM960</f>
        <v>0</v>
      </c>
      <c r="E1390" s="56" t="s">
        <v>71</v>
      </c>
      <c r="F1390" s="56" t="s">
        <v>71</v>
      </c>
    </row>
    <row r="1391" spans="1:6" ht="13">
      <c r="A1391" s="16">
        <v>292</v>
      </c>
      <c r="B1391" s="16">
        <v>467.85714285714283</v>
      </c>
      <c r="C1391" s="16">
        <v>417.14285714285717</v>
      </c>
      <c r="D1391" s="58">
        <f>koronahun!AM961</f>
        <v>1849.8571428571429</v>
      </c>
      <c r="E1391" s="56" t="s">
        <v>71</v>
      </c>
      <c r="F1391" s="56" t="s">
        <v>71</v>
      </c>
    </row>
    <row r="1392" spans="1:6" ht="13">
      <c r="A1392" s="16">
        <v>293</v>
      </c>
      <c r="B1392" s="16">
        <v>412</v>
      </c>
      <c r="C1392" s="16">
        <v>436</v>
      </c>
      <c r="D1392">
        <f>koronahun!AM962</f>
        <v>0</v>
      </c>
      <c r="E1392" s="56" t="s">
        <v>71</v>
      </c>
      <c r="F1392" s="56" t="s">
        <v>71</v>
      </c>
    </row>
    <row r="1393" spans="1:6" ht="13">
      <c r="A1393" s="16">
        <v>294</v>
      </c>
      <c r="B1393" s="16">
        <v>391.57142857142856</v>
      </c>
      <c r="C1393" s="16">
        <v>451.57142857142856</v>
      </c>
      <c r="D1393">
        <f>koronahun!AM963</f>
        <v>0</v>
      </c>
      <c r="E1393" s="56" t="s">
        <v>71</v>
      </c>
      <c r="F1393" s="56" t="s">
        <v>71</v>
      </c>
    </row>
    <row r="1394" spans="1:6" ht="13">
      <c r="A1394" s="16">
        <v>295</v>
      </c>
      <c r="B1394" s="16">
        <v>375.14285714285717</v>
      </c>
      <c r="C1394" s="16">
        <v>456.57142857142856</v>
      </c>
      <c r="D1394">
        <f>koronahun!AM964</f>
        <v>0</v>
      </c>
      <c r="E1394" s="56" t="s">
        <v>71</v>
      </c>
      <c r="F1394" s="56" t="s">
        <v>71</v>
      </c>
    </row>
    <row r="1395" spans="1:6" ht="13">
      <c r="A1395" s="16">
        <v>296</v>
      </c>
      <c r="B1395" s="16">
        <v>360.14285714285717</v>
      </c>
      <c r="D1395">
        <f>koronahun!AM965</f>
        <v>0</v>
      </c>
      <c r="E1395" s="56" t="s">
        <v>71</v>
      </c>
      <c r="F1395" s="56" t="s">
        <v>71</v>
      </c>
    </row>
    <row r="1396" spans="1:6" ht="13">
      <c r="A1396" s="16">
        <v>297</v>
      </c>
      <c r="B1396" s="16">
        <v>346.71428571428572</v>
      </c>
      <c r="D1396">
        <f>koronahun!AM966</f>
        <v>0</v>
      </c>
      <c r="E1396" s="56" t="s">
        <v>71</v>
      </c>
      <c r="F1396" s="56" t="s">
        <v>71</v>
      </c>
    </row>
    <row r="1397" spans="1:6" ht="13">
      <c r="A1397" s="16">
        <v>298</v>
      </c>
      <c r="B1397" s="16">
        <v>307.71428571428572</v>
      </c>
      <c r="C1397" s="16">
        <v>509.14285714285717</v>
      </c>
      <c r="D1397">
        <f>koronahun!AM967</f>
        <v>0</v>
      </c>
      <c r="E1397" s="56" t="s">
        <v>71</v>
      </c>
      <c r="F1397" s="56" t="s">
        <v>71</v>
      </c>
    </row>
    <row r="1398" spans="1:6" ht="13">
      <c r="A1398" s="16">
        <v>299</v>
      </c>
      <c r="B1398" s="16">
        <v>311.28571428571428</v>
      </c>
      <c r="C1398" s="16">
        <v>512.28571428571433</v>
      </c>
      <c r="D1398" s="58">
        <f>koronahun!AM968</f>
        <v>1764.2857142857142</v>
      </c>
      <c r="E1398" s="56" t="s">
        <v>71</v>
      </c>
      <c r="F1398" s="56" t="s">
        <v>71</v>
      </c>
    </row>
    <row r="1399" spans="1:6" ht="13">
      <c r="A1399" s="16">
        <v>300</v>
      </c>
      <c r="B1399" s="16">
        <v>287</v>
      </c>
      <c r="C1399" s="16">
        <v>525.42857142857144</v>
      </c>
      <c r="D1399">
        <f>koronahun!AM969</f>
        <v>0</v>
      </c>
      <c r="E1399" s="56" t="s">
        <v>71</v>
      </c>
      <c r="F1399" s="56" t="s">
        <v>71</v>
      </c>
    </row>
    <row r="1400" spans="1:6" ht="13">
      <c r="A1400" s="16">
        <v>301</v>
      </c>
      <c r="B1400" s="16">
        <v>313.28571428571428</v>
      </c>
      <c r="C1400" s="16">
        <v>550.57142857142856</v>
      </c>
      <c r="D1400">
        <f>koronahun!AM970</f>
        <v>0</v>
      </c>
      <c r="E1400" s="56" t="s">
        <v>71</v>
      </c>
      <c r="F1400" s="56" t="s">
        <v>71</v>
      </c>
    </row>
    <row r="1401" spans="1:6" ht="13">
      <c r="A1401" s="16">
        <v>302</v>
      </c>
      <c r="B1401" s="16">
        <v>316.42857142857144</v>
      </c>
      <c r="C1401" s="16">
        <v>581.14285714285711</v>
      </c>
      <c r="D1401">
        <f>koronahun!AM971</f>
        <v>0</v>
      </c>
      <c r="E1401" s="56" t="s">
        <v>71</v>
      </c>
      <c r="F1401" s="56" t="s">
        <v>71</v>
      </c>
    </row>
    <row r="1402" spans="1:6" ht="13">
      <c r="A1402" s="16">
        <v>303</v>
      </c>
      <c r="B1402" s="16">
        <v>328.28571428571428</v>
      </c>
      <c r="D1402">
        <f>koronahun!AM972</f>
        <v>0</v>
      </c>
      <c r="E1402" s="56" t="s">
        <v>71</v>
      </c>
      <c r="F1402" s="56" t="s">
        <v>71</v>
      </c>
    </row>
    <row r="1403" spans="1:6" ht="13">
      <c r="A1403" s="16">
        <v>304</v>
      </c>
      <c r="B1403" s="16">
        <v>432.14285714285717</v>
      </c>
      <c r="D1403">
        <f>koronahun!AM973</f>
        <v>0</v>
      </c>
      <c r="E1403" s="56" t="s">
        <v>71</v>
      </c>
      <c r="F1403" s="56" t="s">
        <v>71</v>
      </c>
    </row>
    <row r="1404" spans="1:6" ht="13">
      <c r="A1404" s="16">
        <v>305</v>
      </c>
      <c r="B1404" s="16">
        <v>548</v>
      </c>
      <c r="C1404" s="16">
        <v>663.57142857142856</v>
      </c>
      <c r="D1404">
        <f>koronahun!AM974</f>
        <v>0</v>
      </c>
      <c r="E1404" s="56" t="s">
        <v>71</v>
      </c>
      <c r="F1404" s="56" t="s">
        <v>71</v>
      </c>
    </row>
    <row r="1405" spans="1:6" ht="13">
      <c r="A1405" s="16">
        <v>306</v>
      </c>
      <c r="B1405" s="16">
        <v>569.28571428571433</v>
      </c>
      <c r="C1405" s="16">
        <v>709.71428571428567</v>
      </c>
      <c r="D1405">
        <f>koronahun!AM975</f>
        <v>0</v>
      </c>
      <c r="E1405" s="56" t="s">
        <v>71</v>
      </c>
      <c r="F1405" s="56" t="s">
        <v>71</v>
      </c>
    </row>
    <row r="1406" spans="1:6" ht="13">
      <c r="A1406" s="16">
        <v>307</v>
      </c>
      <c r="B1406" s="16">
        <v>601.42857142857144</v>
      </c>
      <c r="C1406" s="16">
        <v>750.71428571428567</v>
      </c>
      <c r="D1406">
        <f>koronahun!AM976</f>
        <v>0</v>
      </c>
      <c r="E1406" s="56" t="s">
        <v>71</v>
      </c>
      <c r="F1406" s="56" t="s">
        <v>71</v>
      </c>
    </row>
    <row r="1407" spans="1:6" ht="13">
      <c r="A1407" s="16">
        <v>308</v>
      </c>
      <c r="B1407" s="16">
        <v>590.57142857142856</v>
      </c>
      <c r="C1407" s="16">
        <v>858.42857142857144</v>
      </c>
      <c r="D1407">
        <f>koronahun!AM977</f>
        <v>0</v>
      </c>
      <c r="E1407" s="56" t="s">
        <v>71</v>
      </c>
      <c r="F1407" s="56" t="s">
        <v>71</v>
      </c>
    </row>
    <row r="1408" spans="1:6" ht="13">
      <c r="A1408" s="16">
        <v>309</v>
      </c>
      <c r="B1408" s="16">
        <v>764.85714285714289</v>
      </c>
      <c r="C1408" s="16">
        <v>972.85714285714289</v>
      </c>
      <c r="D1408">
        <f>koronahun!AM978</f>
        <v>0</v>
      </c>
      <c r="E1408" s="56" t="s">
        <v>71</v>
      </c>
      <c r="F1408" s="56" t="s">
        <v>71</v>
      </c>
    </row>
    <row r="1409" spans="1:6" ht="13">
      <c r="A1409" s="16">
        <v>310</v>
      </c>
      <c r="B1409" s="16">
        <v>751.42857142857144</v>
      </c>
      <c r="D1409">
        <f>koronahun!AM979</f>
        <v>0</v>
      </c>
      <c r="E1409" s="56" t="s">
        <v>71</v>
      </c>
      <c r="F1409" s="56" t="s">
        <v>71</v>
      </c>
    </row>
    <row r="1410" spans="1:6" ht="13">
      <c r="A1410" s="16">
        <v>311</v>
      </c>
      <c r="B1410" s="16">
        <v>830.71428571428567</v>
      </c>
      <c r="D1410">
        <f>koronahun!AM980</f>
        <v>0</v>
      </c>
      <c r="E1410" s="56" t="s">
        <v>71</v>
      </c>
      <c r="F1410" s="56" t="s">
        <v>71</v>
      </c>
    </row>
    <row r="1411" spans="1:6" ht="13">
      <c r="A1411" s="16">
        <v>312</v>
      </c>
      <c r="B1411" s="16">
        <v>713.14285714285711</v>
      </c>
      <c r="C1411" s="16">
        <v>1401</v>
      </c>
      <c r="D1411">
        <f>koronahun!AM981</f>
        <v>0</v>
      </c>
      <c r="E1411" s="56" t="s">
        <v>71</v>
      </c>
      <c r="F1411" s="56" t="s">
        <v>71</v>
      </c>
    </row>
    <row r="1412" spans="1:6" ht="13">
      <c r="A1412" s="16">
        <v>313</v>
      </c>
      <c r="B1412" s="16">
        <v>812.14285714285711</v>
      </c>
      <c r="C1412" s="16">
        <v>1495.7142857142858</v>
      </c>
      <c r="D1412" s="58">
        <f>koronahun!AM982</f>
        <v>1466.1428571428571</v>
      </c>
      <c r="E1412" s="56" t="s">
        <v>71</v>
      </c>
      <c r="F1412" s="56" t="s">
        <v>71</v>
      </c>
    </row>
    <row r="1413" spans="1:6" ht="13">
      <c r="A1413" s="16">
        <v>314</v>
      </c>
      <c r="B1413" s="16">
        <v>961.28571428571433</v>
      </c>
      <c r="C1413" s="16">
        <v>1669.4285714285713</v>
      </c>
      <c r="D1413">
        <f>koronahun!AM983</f>
        <v>0</v>
      </c>
      <c r="E1413" s="56" t="s">
        <v>71</v>
      </c>
      <c r="F1413" s="56" t="s">
        <v>71</v>
      </c>
    </row>
    <row r="1414" spans="1:6" ht="13">
      <c r="A1414" s="16">
        <v>315</v>
      </c>
      <c r="B1414" s="16">
        <v>1082.2857142857142</v>
      </c>
      <c r="C1414" s="16">
        <v>1813.4285714285713</v>
      </c>
      <c r="D1414">
        <f>koronahun!AM984</f>
        <v>0</v>
      </c>
      <c r="E1414" s="56" t="s">
        <v>71</v>
      </c>
      <c r="F1414" s="56" t="s">
        <v>71</v>
      </c>
    </row>
    <row r="1415" spans="1:6" ht="13">
      <c r="A1415" s="16">
        <v>316</v>
      </c>
      <c r="B1415" s="16">
        <v>925.57142857142856</v>
      </c>
      <c r="C1415" s="16">
        <v>1945.1428571428571</v>
      </c>
      <c r="D1415">
        <f>koronahun!AM985</f>
        <v>0</v>
      </c>
      <c r="E1415" s="56" t="s">
        <v>71</v>
      </c>
      <c r="F1415" s="56" t="s">
        <v>71</v>
      </c>
    </row>
    <row r="1416" spans="1:6" ht="13">
      <c r="A1416" s="16">
        <v>317</v>
      </c>
      <c r="B1416" s="16">
        <v>941.28571428571433</v>
      </c>
      <c r="D1416">
        <f>koronahun!AM986</f>
        <v>0</v>
      </c>
      <c r="E1416" s="56" t="s">
        <v>71</v>
      </c>
      <c r="F1416" s="56" t="s">
        <v>71</v>
      </c>
    </row>
    <row r="1417" spans="1:6" ht="13">
      <c r="A1417" s="16">
        <v>318</v>
      </c>
      <c r="B1417" s="16">
        <v>897</v>
      </c>
      <c r="D1417">
        <f>koronahun!AM987</f>
        <v>0</v>
      </c>
      <c r="E1417" s="56" t="s">
        <v>71</v>
      </c>
      <c r="F1417" s="56" t="s">
        <v>71</v>
      </c>
    </row>
    <row r="1418" spans="1:6" ht="13">
      <c r="A1418" s="16">
        <v>319</v>
      </c>
      <c r="B1418" s="16">
        <v>932.71428571428567</v>
      </c>
      <c r="C1418" s="16">
        <v>2251.5714285714284</v>
      </c>
      <c r="D1418">
        <f>koronahun!AM988</f>
        <v>0</v>
      </c>
      <c r="E1418" s="56" t="s">
        <v>71</v>
      </c>
      <c r="F1418" s="56" t="s">
        <v>71</v>
      </c>
    </row>
    <row r="1419" spans="1:6" ht="13">
      <c r="A1419" s="16">
        <v>320</v>
      </c>
      <c r="B1419" s="16">
        <v>1121.2857142857142</v>
      </c>
      <c r="C1419" s="16">
        <v>2281.5714285714284</v>
      </c>
      <c r="D1419" s="58">
        <f>koronahun!AM989</f>
        <v>1250.4285714285713</v>
      </c>
      <c r="E1419" s="56" t="s">
        <v>71</v>
      </c>
      <c r="F1419" s="56" t="s">
        <v>71</v>
      </c>
    </row>
    <row r="1420" spans="1:6" ht="13">
      <c r="A1420" s="16">
        <v>321</v>
      </c>
      <c r="B1420" s="16">
        <v>942.85714285714289</v>
      </c>
      <c r="C1420" s="16">
        <v>2165.5714285714284</v>
      </c>
      <c r="D1420">
        <f>koronahun!AM990</f>
        <v>0</v>
      </c>
      <c r="E1420" s="56" t="s">
        <v>71</v>
      </c>
      <c r="F1420" s="56" t="s">
        <v>71</v>
      </c>
    </row>
    <row r="1421" spans="1:6" ht="13">
      <c r="A1421" s="16">
        <v>322</v>
      </c>
      <c r="B1421" s="16">
        <v>862.57142857142856</v>
      </c>
      <c r="C1421" s="16">
        <v>2510.1428571428573</v>
      </c>
      <c r="D1421">
        <f>koronahun!AM991</f>
        <v>0</v>
      </c>
      <c r="E1421" s="56" t="s">
        <v>71</v>
      </c>
      <c r="F1421" s="56" t="s">
        <v>71</v>
      </c>
    </row>
    <row r="1422" spans="1:6" ht="13">
      <c r="A1422" s="16">
        <v>323</v>
      </c>
      <c r="B1422" s="16">
        <v>1006.1428571428571</v>
      </c>
      <c r="C1422" s="16">
        <v>2749.7142857142858</v>
      </c>
      <c r="D1422">
        <f>koronahun!AM992</f>
        <v>0</v>
      </c>
      <c r="E1422" s="56" t="s">
        <v>71</v>
      </c>
      <c r="F1422" s="56" t="s">
        <v>71</v>
      </c>
    </row>
    <row r="1423" spans="1:6" ht="13">
      <c r="A1423" s="16">
        <v>324</v>
      </c>
      <c r="B1423" s="16">
        <v>1181.7142857142858</v>
      </c>
      <c r="D1423">
        <f>koronahun!AM993</f>
        <v>0</v>
      </c>
      <c r="E1423" s="56" t="s">
        <v>71</v>
      </c>
      <c r="F1423" s="56" t="s">
        <v>71</v>
      </c>
    </row>
    <row r="1424" spans="1:6" ht="13">
      <c r="A1424" s="16">
        <v>325</v>
      </c>
      <c r="B1424" s="16">
        <v>1384.8571428571429</v>
      </c>
      <c r="D1424">
        <f>koronahun!AM994</f>
        <v>0</v>
      </c>
      <c r="E1424" s="56" t="s">
        <v>71</v>
      </c>
      <c r="F1424" s="56" t="s">
        <v>71</v>
      </c>
    </row>
    <row r="1425" spans="1:6" ht="13">
      <c r="A1425" s="16">
        <v>326</v>
      </c>
      <c r="B1425" s="16">
        <v>1616.5714285714287</v>
      </c>
      <c r="C1425" s="16">
        <v>3173.8571428571427</v>
      </c>
      <c r="D1425">
        <f>koronahun!AM995</f>
        <v>0</v>
      </c>
      <c r="E1425" s="56" t="s">
        <v>71</v>
      </c>
      <c r="F1425" s="56" t="s">
        <v>71</v>
      </c>
    </row>
    <row r="1426" spans="1:6" ht="13">
      <c r="A1426" s="16">
        <v>327</v>
      </c>
      <c r="B1426" s="16">
        <v>1332.7142857142858</v>
      </c>
      <c r="C1426" s="16">
        <v>3439.5714285714284</v>
      </c>
      <c r="D1426" s="58">
        <f>koronahun!AM996</f>
        <v>994.57142857142856</v>
      </c>
      <c r="E1426" s="56" t="s">
        <v>71</v>
      </c>
      <c r="F1426" s="56" t="s">
        <v>71</v>
      </c>
    </row>
    <row r="1427" spans="1:6" ht="13">
      <c r="A1427" s="16">
        <v>328</v>
      </c>
      <c r="B1427" s="16">
        <v>1405</v>
      </c>
      <c r="C1427" s="16">
        <v>3970.7142857142858</v>
      </c>
      <c r="D1427">
        <f>koronahun!AM997</f>
        <v>0</v>
      </c>
      <c r="E1427" s="56" t="s">
        <v>71</v>
      </c>
      <c r="F1427" s="56" t="s">
        <v>71</v>
      </c>
    </row>
    <row r="1428" spans="1:6" ht="13">
      <c r="A1428" s="16">
        <v>329</v>
      </c>
      <c r="B1428" s="16">
        <v>1710.2857142857142</v>
      </c>
      <c r="C1428" s="16">
        <v>3433.5714285714284</v>
      </c>
      <c r="D1428">
        <f>koronahun!AM998</f>
        <v>0</v>
      </c>
      <c r="E1428" s="56" t="s">
        <v>71</v>
      </c>
      <c r="F1428" s="56" t="s">
        <v>71</v>
      </c>
    </row>
    <row r="1429" spans="1:6" ht="13">
      <c r="A1429" s="16">
        <v>330</v>
      </c>
      <c r="B1429" s="16">
        <v>1895.8571428571429</v>
      </c>
      <c r="C1429" s="16">
        <v>3564.2857142857142</v>
      </c>
      <c r="D1429">
        <f>koronahun!AM999</f>
        <v>0</v>
      </c>
      <c r="E1429" s="56" t="s">
        <v>71</v>
      </c>
      <c r="F1429" s="56" t="s">
        <v>71</v>
      </c>
    </row>
    <row r="1430" spans="1:6" ht="13">
      <c r="A1430" s="16">
        <v>331</v>
      </c>
      <c r="B1430" s="16">
        <v>2007.4285714285713</v>
      </c>
      <c r="D1430">
        <f>koronahun!AM1000</f>
        <v>0</v>
      </c>
      <c r="E1430" s="56" t="s">
        <v>71</v>
      </c>
      <c r="F1430" s="56" t="s">
        <v>71</v>
      </c>
    </row>
    <row r="1431" spans="1:6" ht="13">
      <c r="A1431" s="16">
        <v>332</v>
      </c>
      <c r="B1431" s="16">
        <v>1885.8571428571429</v>
      </c>
      <c r="D1431">
        <f>koronahun!AM2001</f>
        <v>0</v>
      </c>
      <c r="E1431" s="56" t="s">
        <v>71</v>
      </c>
      <c r="F1431" s="56" t="s">
        <v>71</v>
      </c>
    </row>
    <row r="1432" spans="1:6" ht="13">
      <c r="A1432" s="16">
        <v>333</v>
      </c>
      <c r="B1432" s="16">
        <v>1817.4285714285713</v>
      </c>
      <c r="C1432" s="16">
        <v>4179.8571428571431</v>
      </c>
      <c r="D1432">
        <f>koronahun!AM2002</f>
        <v>0</v>
      </c>
      <c r="E1432" s="56" t="s">
        <v>71</v>
      </c>
      <c r="F1432" s="56" t="s">
        <v>71</v>
      </c>
    </row>
    <row r="1433" spans="1:6" ht="13">
      <c r="A1433" s="16">
        <v>334</v>
      </c>
      <c r="B1433" s="16">
        <v>2931.5714285714284</v>
      </c>
      <c r="C1433" s="16">
        <v>4477.8571428571431</v>
      </c>
      <c r="D1433">
        <f>koronahun!AM2003</f>
        <v>0</v>
      </c>
      <c r="E1433" s="56" t="s">
        <v>71</v>
      </c>
      <c r="F1433" s="56" t="s">
        <v>71</v>
      </c>
    </row>
    <row r="1434" spans="1:6" ht="13">
      <c r="A1434" s="16">
        <v>335</v>
      </c>
      <c r="B1434" s="16">
        <v>2968.8571428571427</v>
      </c>
      <c r="C1434" s="16">
        <v>5051.5714285714284</v>
      </c>
      <c r="D1434">
        <f>koronahun!AM2004</f>
        <v>0</v>
      </c>
      <c r="E1434" s="56" t="s">
        <v>71</v>
      </c>
      <c r="F1434" s="56" t="s">
        <v>71</v>
      </c>
    </row>
    <row r="1435" spans="1:6" ht="13">
      <c r="A1435" s="16">
        <v>336</v>
      </c>
      <c r="B1435" s="16">
        <v>2724.2857142857142</v>
      </c>
      <c r="C1435" s="16">
        <v>6364.1428571428569</v>
      </c>
      <c r="D1435">
        <f>koronahun!AM2005</f>
        <v>0</v>
      </c>
      <c r="E1435" s="56" t="s">
        <v>71</v>
      </c>
      <c r="F1435" s="56" t="s">
        <v>71</v>
      </c>
    </row>
    <row r="1436" spans="1:6" ht="13">
      <c r="A1436" s="16">
        <v>337</v>
      </c>
      <c r="B1436" s="16">
        <v>2488.1428571428573</v>
      </c>
      <c r="C1436" s="16">
        <v>6887.2857142857147</v>
      </c>
      <c r="D1436">
        <f>koronahun!AM2006</f>
        <v>0</v>
      </c>
      <c r="E1436" s="56" t="s">
        <v>71</v>
      </c>
      <c r="F1436" s="56" t="s">
        <v>71</v>
      </c>
    </row>
    <row r="1437" spans="1:6" ht="13">
      <c r="A1437" s="16">
        <v>338</v>
      </c>
      <c r="B1437" s="16">
        <v>2342.7142857142858</v>
      </c>
      <c r="D1437">
        <f>koronahun!AM2007</f>
        <v>0</v>
      </c>
      <c r="E1437" s="56" t="s">
        <v>71</v>
      </c>
      <c r="F1437" s="56" t="s">
        <v>71</v>
      </c>
    </row>
    <row r="1438" spans="1:6" ht="13">
      <c r="A1438" s="16">
        <v>339</v>
      </c>
      <c r="B1438" s="16">
        <v>2339.2857142857142</v>
      </c>
      <c r="D1438">
        <f>koronahun!AM2008</f>
        <v>0</v>
      </c>
      <c r="E1438" s="56" t="s">
        <v>71</v>
      </c>
      <c r="F1438" s="56" t="s">
        <v>71</v>
      </c>
    </row>
    <row r="1439" spans="1:6" ht="13">
      <c r="A1439" s="16">
        <v>340</v>
      </c>
      <c r="B1439" s="16">
        <v>2292.1428571428573</v>
      </c>
      <c r="C1439" s="16">
        <v>7850.4285714285716</v>
      </c>
      <c r="D1439">
        <f>koronahun!AM2009</f>
        <v>0</v>
      </c>
      <c r="E1439" s="56" t="s">
        <v>71</v>
      </c>
      <c r="F1439" s="56" t="s">
        <v>71</v>
      </c>
    </row>
    <row r="1440" spans="1:6" ht="13">
      <c r="A1440" s="16">
        <v>341</v>
      </c>
      <c r="B1440" s="16">
        <v>1489</v>
      </c>
      <c r="C1440" s="16">
        <v>8025.2857142857147</v>
      </c>
      <c r="D1440">
        <f>koronahun!AM2010</f>
        <v>0</v>
      </c>
      <c r="E1440" s="56" t="s">
        <v>71</v>
      </c>
      <c r="F1440" s="56" t="s">
        <v>71</v>
      </c>
    </row>
    <row r="1441" spans="1:6" ht="13">
      <c r="A1441" s="16">
        <v>342</v>
      </c>
      <c r="B1441" s="16">
        <v>1497</v>
      </c>
      <c r="C1441" s="16">
        <v>8099.1428571428569</v>
      </c>
      <c r="D1441">
        <f>koronahun!AM2011</f>
        <v>0</v>
      </c>
      <c r="E1441" s="56" t="s">
        <v>71</v>
      </c>
      <c r="F1441" s="56" t="s">
        <v>71</v>
      </c>
    </row>
    <row r="1442" spans="1:6" ht="13">
      <c r="A1442" s="16">
        <v>343</v>
      </c>
      <c r="B1442" s="16">
        <v>1483.1428571428571</v>
      </c>
      <c r="C1442" s="16">
        <v>7606.8571428571431</v>
      </c>
      <c r="D1442">
        <f>koronahun!AM2012</f>
        <v>0</v>
      </c>
      <c r="E1442" s="56" t="s">
        <v>71</v>
      </c>
      <c r="F1442" s="56" t="s">
        <v>71</v>
      </c>
    </row>
    <row r="1443" spans="1:6" ht="13">
      <c r="A1443" s="16">
        <v>344</v>
      </c>
      <c r="B1443" s="16">
        <v>1475.5714285714287</v>
      </c>
      <c r="C1443" s="16">
        <v>8307.4285714285706</v>
      </c>
      <c r="D1443">
        <f>koronahun!AM2013</f>
        <v>0</v>
      </c>
      <c r="E1443" s="56" t="s">
        <v>71</v>
      </c>
      <c r="F1443" s="56" t="s">
        <v>71</v>
      </c>
    </row>
    <row r="1444" spans="1:6" ht="13">
      <c r="A1444" s="16">
        <v>345</v>
      </c>
      <c r="B1444" s="16">
        <v>1453.5714285714287</v>
      </c>
      <c r="D1444">
        <f>koronahun!AM2014</f>
        <v>0</v>
      </c>
      <c r="E1444" s="56" t="s">
        <v>71</v>
      </c>
      <c r="F1444" s="56" t="s">
        <v>71</v>
      </c>
    </row>
    <row r="1445" spans="1:6" ht="13">
      <c r="A1445" s="16">
        <v>346</v>
      </c>
      <c r="B1445" s="16">
        <v>1339</v>
      </c>
      <c r="D1445">
        <f>koronahun!AM2015</f>
        <v>0</v>
      </c>
      <c r="E1445" s="56" t="s">
        <v>71</v>
      </c>
      <c r="F1445" s="56" t="s">
        <v>71</v>
      </c>
    </row>
    <row r="1446" spans="1:6" ht="13">
      <c r="A1446" s="16">
        <v>347</v>
      </c>
      <c r="B1446" s="16">
        <v>1295.7142857142858</v>
      </c>
      <c r="C1446" s="16">
        <v>8490.7142857142862</v>
      </c>
      <c r="D1446">
        <f>koronahun!AM2016</f>
        <v>0</v>
      </c>
      <c r="E1446" s="56" t="s">
        <v>71</v>
      </c>
      <c r="F1446" s="56" t="s">
        <v>71</v>
      </c>
    </row>
    <row r="1447" spans="1:6" ht="13">
      <c r="A1447" s="16">
        <v>348</v>
      </c>
      <c r="B1447" s="16">
        <v>1180.4285714285713</v>
      </c>
      <c r="C1447" s="16">
        <v>8240.1428571428569</v>
      </c>
      <c r="D1447">
        <f>koronahun!AM2017</f>
        <v>0</v>
      </c>
      <c r="E1447" s="56" t="s">
        <v>71</v>
      </c>
      <c r="F1447" s="56" t="s">
        <v>71</v>
      </c>
    </row>
    <row r="1448" spans="1:6" ht="13">
      <c r="A1448" s="16">
        <v>349</v>
      </c>
      <c r="B1448" s="16">
        <v>1119.1428571428571</v>
      </c>
      <c r="C1448" s="16">
        <v>8171.5714285714284</v>
      </c>
      <c r="D1448">
        <f>koronahun!AM2018</f>
        <v>0</v>
      </c>
      <c r="E1448" s="56" t="s">
        <v>71</v>
      </c>
      <c r="F1448" s="56" t="s">
        <v>71</v>
      </c>
    </row>
    <row r="1449" spans="1:6" ht="13">
      <c r="A1449" s="16">
        <v>350</v>
      </c>
      <c r="B1449" s="16">
        <v>1095.7142857142858</v>
      </c>
      <c r="C1449" s="16">
        <v>8691.5714285714294</v>
      </c>
      <c r="D1449">
        <f>koronahun!AM2019</f>
        <v>0</v>
      </c>
      <c r="E1449" s="56" t="s">
        <v>71</v>
      </c>
      <c r="F1449" s="56" t="s">
        <v>71</v>
      </c>
    </row>
    <row r="1450" spans="1:6" ht="13">
      <c r="A1450" s="16">
        <v>351</v>
      </c>
      <c r="B1450" s="16">
        <v>1370.2857142857142</v>
      </c>
      <c r="C1450" s="16">
        <v>8193.8571428571431</v>
      </c>
      <c r="D1450">
        <f>koronahun!AM2020</f>
        <v>0</v>
      </c>
      <c r="E1450" s="56" t="s">
        <v>71</v>
      </c>
      <c r="F1450" s="56" t="s">
        <v>71</v>
      </c>
    </row>
    <row r="1451" spans="1:6" ht="13">
      <c r="A1451" s="16">
        <v>352</v>
      </c>
      <c r="B1451" s="16">
        <v>1587.7142857142858</v>
      </c>
      <c r="D1451">
        <f>koronahun!AM2021</f>
        <v>0</v>
      </c>
      <c r="E1451" s="56" t="s">
        <v>71</v>
      </c>
      <c r="F1451" s="56" t="s">
        <v>71</v>
      </c>
    </row>
    <row r="1452" spans="1:6" ht="13">
      <c r="A1452" s="16">
        <v>353</v>
      </c>
      <c r="B1452" s="16">
        <v>1936.2857142857142</v>
      </c>
      <c r="D1452">
        <f>koronahun!AM2022</f>
        <v>0</v>
      </c>
      <c r="E1452" s="56" t="s">
        <v>71</v>
      </c>
      <c r="F1452" s="56" t="s">
        <v>71</v>
      </c>
    </row>
    <row r="1453" spans="1:6" ht="13">
      <c r="A1453" s="16">
        <v>354</v>
      </c>
      <c r="B1453" s="16">
        <v>2384.4285714285716</v>
      </c>
      <c r="C1453" s="16">
        <v>8142</v>
      </c>
      <c r="D1453">
        <f>koronahun!AM2023</f>
        <v>0</v>
      </c>
      <c r="E1453" s="56" t="s">
        <v>71</v>
      </c>
      <c r="F1453" s="56" t="s">
        <v>71</v>
      </c>
    </row>
    <row r="1454" spans="1:6" ht="13">
      <c r="A1454" s="16">
        <v>355</v>
      </c>
      <c r="B1454" s="16">
        <v>2916.5714285714284</v>
      </c>
      <c r="C1454" s="16">
        <v>8253</v>
      </c>
      <c r="D1454">
        <f>koronahun!AM2024</f>
        <v>0</v>
      </c>
      <c r="E1454" s="56" t="s">
        <v>71</v>
      </c>
      <c r="F1454" s="56" t="s">
        <v>71</v>
      </c>
    </row>
    <row r="1455" spans="1:6" ht="13">
      <c r="A1455" s="16">
        <v>356</v>
      </c>
      <c r="B1455" s="16">
        <v>3651.5714285714284</v>
      </c>
      <c r="C1455" s="16">
        <v>7824.8571428571431</v>
      </c>
      <c r="D1455">
        <f>koronahun!AM2025</f>
        <v>0</v>
      </c>
      <c r="E1455" s="56" t="s">
        <v>71</v>
      </c>
      <c r="F1455" s="56" t="s">
        <v>71</v>
      </c>
    </row>
    <row r="1456" spans="1:6" ht="13">
      <c r="A1456" s="16">
        <v>357</v>
      </c>
      <c r="B1456" s="16">
        <v>4384.4285714285716</v>
      </c>
      <c r="C1456" s="16">
        <v>7954.7142857142853</v>
      </c>
      <c r="D1456">
        <f>koronahun!AM2026</f>
        <v>0</v>
      </c>
      <c r="E1456" s="56" t="s">
        <v>71</v>
      </c>
      <c r="F1456" s="56" t="s">
        <v>71</v>
      </c>
    </row>
    <row r="1457" spans="1:6" ht="13">
      <c r="A1457" s="16">
        <v>358</v>
      </c>
      <c r="B1457" s="16">
        <v>4796.4285714285716</v>
      </c>
      <c r="D1457">
        <f>koronahun!AM2027</f>
        <v>0</v>
      </c>
      <c r="E1457" s="56" t="s">
        <v>71</v>
      </c>
      <c r="F1457" s="56" t="s">
        <v>71</v>
      </c>
    </row>
    <row r="1458" spans="1:6" ht="13">
      <c r="A1458" s="16">
        <v>359</v>
      </c>
      <c r="B1458" s="16">
        <v>4882.1428571428569</v>
      </c>
      <c r="D1458">
        <f>koronahun!AM2028</f>
        <v>0</v>
      </c>
      <c r="E1458" s="56" t="s">
        <v>71</v>
      </c>
      <c r="F1458" s="56" t="s">
        <v>71</v>
      </c>
    </row>
    <row r="1459" spans="1:6" ht="13">
      <c r="A1459" s="16">
        <v>360</v>
      </c>
      <c r="B1459" s="16">
        <v>4737</v>
      </c>
      <c r="D1459">
        <f>koronahun!AM2029</f>
        <v>0</v>
      </c>
      <c r="E1459" s="56" t="s">
        <v>71</v>
      </c>
      <c r="F1459" s="56" t="s">
        <v>71</v>
      </c>
    </row>
    <row r="1460" spans="1:6" ht="13">
      <c r="A1460" s="16">
        <v>361</v>
      </c>
      <c r="B1460" s="16">
        <v>4711</v>
      </c>
      <c r="D1460">
        <f>koronahun!AM2030</f>
        <v>0</v>
      </c>
      <c r="E1460" s="56" t="s">
        <v>71</v>
      </c>
      <c r="F1460" s="56" t="s">
        <v>71</v>
      </c>
    </row>
    <row r="1461" spans="1:6" ht="13">
      <c r="A1461" s="16">
        <v>362</v>
      </c>
      <c r="B1461" s="16">
        <v>4483.1428571428569</v>
      </c>
      <c r="C1461" s="16">
        <v>5247</v>
      </c>
      <c r="D1461">
        <f>koronahun!AM2031</f>
        <v>0</v>
      </c>
      <c r="E1461" s="56" t="s">
        <v>71</v>
      </c>
      <c r="F1461" s="56" t="s">
        <v>71</v>
      </c>
    </row>
    <row r="1462" spans="1:6" ht="13">
      <c r="A1462" s="16">
        <v>363</v>
      </c>
      <c r="B1462" s="16">
        <v>4241.2857142857147</v>
      </c>
      <c r="C1462" s="16">
        <v>5324</v>
      </c>
      <c r="D1462">
        <f>koronahun!AM2032</f>
        <v>0</v>
      </c>
      <c r="E1462" s="56" t="s">
        <v>71</v>
      </c>
      <c r="F1462" s="56" t="s">
        <v>71</v>
      </c>
    </row>
    <row r="1463" spans="1:6" ht="13">
      <c r="A1463" s="16">
        <v>364</v>
      </c>
      <c r="B1463" s="16">
        <v>4229</v>
      </c>
      <c r="C1463" s="16">
        <v>4965.5714285714284</v>
      </c>
      <c r="D1463">
        <f>koronahun!AM2033</f>
        <v>0</v>
      </c>
      <c r="E1463" s="56" t="s">
        <v>71</v>
      </c>
      <c r="F1463" s="56" t="s">
        <v>71</v>
      </c>
    </row>
    <row r="1464" spans="1:6" ht="13">
      <c r="A1464" s="16">
        <v>365</v>
      </c>
      <c r="B1464" s="16">
        <v>4224.7142857142853</v>
      </c>
      <c r="C1464" s="16">
        <v>5700.5714285714284</v>
      </c>
      <c r="D1464">
        <f>koronahun!AM2034</f>
        <v>0</v>
      </c>
      <c r="E1464" s="56" t="s">
        <v>71</v>
      </c>
      <c r="F1464" s="56" t="s">
        <v>71</v>
      </c>
    </row>
    <row r="1465" spans="1:6" ht="13">
      <c r="A1465" s="16">
        <v>366</v>
      </c>
      <c r="D1465">
        <f>koronahun!AM2035</f>
        <v>0</v>
      </c>
      <c r="E1465" s="56" t="s">
        <v>71</v>
      </c>
      <c r="F1465" s="56" t="s">
        <v>71</v>
      </c>
    </row>
    <row r="1466" spans="1:6" ht="13">
      <c r="A1466" s="16">
        <v>1</v>
      </c>
      <c r="C1466">
        <v>14.943567562838592</v>
      </c>
      <c r="D1466">
        <f>koronahun!AF670</f>
        <v>0</v>
      </c>
      <c r="E1466" s="16" t="s">
        <v>72</v>
      </c>
      <c r="F1466" s="16" t="s">
        <v>72</v>
      </c>
    </row>
    <row r="1467" spans="1:6" ht="13">
      <c r="A1467" s="16">
        <v>2</v>
      </c>
      <c r="C1467">
        <v>15.023963260454115</v>
      </c>
      <c r="D1467">
        <f>koronahun!AF671</f>
        <v>0</v>
      </c>
      <c r="E1467" s="16" t="s">
        <v>72</v>
      </c>
      <c r="F1467" s="16" t="s">
        <v>72</v>
      </c>
    </row>
    <row r="1468" spans="1:6" ht="13">
      <c r="A1468" s="16">
        <v>3</v>
      </c>
      <c r="C1468">
        <v>15.127765266304607</v>
      </c>
      <c r="D1468" s="13">
        <f>koronahun!AF672</f>
        <v>0.21150430756713301</v>
      </c>
      <c r="E1468" s="16" t="s">
        <v>72</v>
      </c>
      <c r="F1468" s="16" t="s">
        <v>72</v>
      </c>
    </row>
    <row r="1469" spans="1:6" ht="13">
      <c r="A1469" s="16">
        <v>4</v>
      </c>
      <c r="C1469">
        <v>14.656823933906402</v>
      </c>
      <c r="D1469" s="13">
        <f>koronahun!AF673</f>
        <v>0.21328862632874057</v>
      </c>
      <c r="E1469" s="16" t="s">
        <v>72</v>
      </c>
      <c r="F1469" s="16" t="s">
        <v>72</v>
      </c>
    </row>
    <row r="1470" spans="1:6" ht="13">
      <c r="A1470" s="16">
        <v>5</v>
      </c>
      <c r="C1470">
        <v>14.481055632854284</v>
      </c>
      <c r="D1470" s="13">
        <f>koronahun!AF674</f>
        <v>0.23397507743322726</v>
      </c>
      <c r="E1470" s="16" t="s">
        <v>72</v>
      </c>
      <c r="F1470" s="16" t="s">
        <v>72</v>
      </c>
    </row>
    <row r="1471" spans="1:6" ht="13">
      <c r="A1471" s="16">
        <v>6</v>
      </c>
      <c r="C1471">
        <v>14.228389464641475</v>
      </c>
      <c r="D1471" s="13">
        <f>koronahun!AF675</f>
        <v>0.24370702705914024</v>
      </c>
      <c r="E1471" s="16" t="s">
        <v>72</v>
      </c>
      <c r="F1471" s="16" t="s">
        <v>72</v>
      </c>
    </row>
    <row r="1472" spans="1:6" ht="13">
      <c r="A1472" s="16">
        <v>7</v>
      </c>
      <c r="C1472">
        <v>13.592129591413407</v>
      </c>
      <c r="D1472" s="13">
        <f>koronahun!AF676</f>
        <v>0.24843634243441479</v>
      </c>
      <c r="E1472" s="16" t="s">
        <v>72</v>
      </c>
      <c r="F1472" s="16" t="s">
        <v>72</v>
      </c>
    </row>
    <row r="1473" spans="1:6" ht="13">
      <c r="A1473" s="16">
        <v>8</v>
      </c>
      <c r="C1473">
        <v>13.142596461575145</v>
      </c>
      <c r="D1473">
        <f>koronahun!AF677</f>
        <v>0</v>
      </c>
      <c r="E1473" s="16" t="s">
        <v>72</v>
      </c>
      <c r="F1473" s="16" t="s">
        <v>72</v>
      </c>
    </row>
    <row r="1474" spans="1:6" ht="13">
      <c r="A1474" s="16">
        <v>9</v>
      </c>
      <c r="C1474">
        <v>13.037499198414599</v>
      </c>
      <c r="D1474">
        <f>koronahun!AF678</f>
        <v>0</v>
      </c>
      <c r="E1474" s="16" t="s">
        <v>72</v>
      </c>
      <c r="F1474" s="16" t="s">
        <v>72</v>
      </c>
    </row>
    <row r="1475" spans="1:6" ht="13">
      <c r="A1475" s="16">
        <v>10</v>
      </c>
      <c r="C1475">
        <v>11.223367668249688</v>
      </c>
      <c r="D1475" s="13">
        <f>koronahun!AF679</f>
        <v>0.25397994761060988</v>
      </c>
      <c r="E1475" s="16" t="s">
        <v>72</v>
      </c>
      <c r="F1475" s="16" t="s">
        <v>72</v>
      </c>
    </row>
    <row r="1476" spans="1:6" ht="13">
      <c r="A1476" s="16">
        <v>11</v>
      </c>
      <c r="C1476">
        <v>11.435201643436601</v>
      </c>
      <c r="D1476" s="13">
        <f>koronahun!AF680</f>
        <v>0.26530618355549895</v>
      </c>
      <c r="E1476" s="16" t="s">
        <v>72</v>
      </c>
      <c r="F1476" s="16" t="s">
        <v>72</v>
      </c>
    </row>
    <row r="1477" spans="1:6" ht="13">
      <c r="A1477" s="16">
        <v>12</v>
      </c>
      <c r="C1477">
        <v>10.738423382309646</v>
      </c>
      <c r="D1477" s="13">
        <f>koronahun!AF681</f>
        <v>0.29213041364208425</v>
      </c>
      <c r="E1477" s="16" t="s">
        <v>72</v>
      </c>
      <c r="F1477" s="16" t="s">
        <v>72</v>
      </c>
    </row>
    <row r="1478" spans="1:6" ht="13">
      <c r="A1478" s="16">
        <v>13</v>
      </c>
      <c r="C1478">
        <v>10.497657551132763</v>
      </c>
      <c r="D1478" s="13">
        <f>koronahun!AF682</f>
        <v>0.30271282384069859</v>
      </c>
      <c r="E1478" s="16" t="s">
        <v>72</v>
      </c>
      <c r="F1478" s="16" t="s">
        <v>72</v>
      </c>
    </row>
    <row r="1479" spans="1:6" ht="13">
      <c r="A1479" s="16">
        <v>14</v>
      </c>
      <c r="C1479">
        <v>10.094629248407857</v>
      </c>
      <c r="D1479" s="13">
        <f>koronahun!AF683</f>
        <v>0.31646246599866046</v>
      </c>
      <c r="E1479" s="16" t="s">
        <v>72</v>
      </c>
      <c r="F1479" s="16" t="s">
        <v>72</v>
      </c>
    </row>
    <row r="1480" spans="1:6" ht="13">
      <c r="A1480" s="16">
        <v>15</v>
      </c>
      <c r="C1480">
        <v>9.4977572381118556</v>
      </c>
      <c r="D1480">
        <f>koronahun!AF684</f>
        <v>0</v>
      </c>
      <c r="E1480" s="16" t="s">
        <v>72</v>
      </c>
      <c r="F1480" s="16" t="s">
        <v>72</v>
      </c>
    </row>
    <row r="1481" spans="1:6" ht="13">
      <c r="A1481" s="16">
        <v>16</v>
      </c>
      <c r="C1481">
        <v>8.8399897785036217</v>
      </c>
      <c r="D1481">
        <f>koronahun!AF685</f>
        <v>0</v>
      </c>
      <c r="E1481" s="16" t="s">
        <v>72</v>
      </c>
      <c r="F1481" s="16" t="s">
        <v>72</v>
      </c>
    </row>
    <row r="1482" spans="1:6" ht="13">
      <c r="A1482" s="16">
        <v>17</v>
      </c>
      <c r="C1482">
        <v>8.5475872236721404</v>
      </c>
      <c r="D1482" s="13">
        <f>koronahun!AF686</f>
        <v>0.32828131706249603</v>
      </c>
      <c r="E1482" s="16" t="s">
        <v>72</v>
      </c>
      <c r="F1482" s="16" t="s">
        <v>72</v>
      </c>
    </row>
    <row r="1483" spans="1:6" ht="13">
      <c r="A1483" s="16">
        <v>18</v>
      </c>
      <c r="C1483">
        <v>8.1967627482397809</v>
      </c>
      <c r="D1483" s="13">
        <f>koronahun!AF687</f>
        <v>0.3407320645881608</v>
      </c>
      <c r="E1483" s="16" t="s">
        <v>72</v>
      </c>
      <c r="F1483" s="16" t="s">
        <v>72</v>
      </c>
    </row>
    <row r="1484" spans="1:6" ht="13">
      <c r="A1484" s="16">
        <v>19</v>
      </c>
      <c r="C1484">
        <v>8.5832665244015764</v>
      </c>
      <c r="D1484" s="13">
        <f>koronahun!AF688</f>
        <v>0.36993363828800507</v>
      </c>
      <c r="E1484" s="16" t="s">
        <v>72</v>
      </c>
      <c r="F1484" s="16" t="s">
        <v>72</v>
      </c>
    </row>
    <row r="1485" spans="1:6" ht="13">
      <c r="A1485" s="16">
        <v>20</v>
      </c>
      <c r="C1485">
        <v>8.4086007570495607</v>
      </c>
      <c r="D1485" s="13">
        <f>koronahun!AF689</f>
        <v>0.38817052201287289</v>
      </c>
      <c r="E1485" s="16" t="s">
        <v>72</v>
      </c>
      <c r="F1485" s="16" t="s">
        <v>72</v>
      </c>
    </row>
    <row r="1486" spans="1:6" ht="13">
      <c r="A1486" s="16">
        <v>21</v>
      </c>
      <c r="C1486">
        <v>8.3003569061052662</v>
      </c>
      <c r="D1486" s="13">
        <f>koronahun!AF690</f>
        <v>0.39412497430473048</v>
      </c>
      <c r="E1486" s="16" t="s">
        <v>72</v>
      </c>
      <c r="F1486" s="16" t="s">
        <v>72</v>
      </c>
    </row>
    <row r="1487" spans="1:6" ht="13">
      <c r="A1487" s="16">
        <v>22</v>
      </c>
      <c r="C1487">
        <v>8.2053902287065785</v>
      </c>
      <c r="D1487">
        <f>koronahun!AF691</f>
        <v>0</v>
      </c>
      <c r="E1487" s="16" t="s">
        <v>72</v>
      </c>
      <c r="F1487" s="16" t="s">
        <v>72</v>
      </c>
    </row>
    <row r="1488" spans="1:6" ht="13">
      <c r="A1488" s="16">
        <v>23</v>
      </c>
      <c r="C1488">
        <v>8.1990352919422271</v>
      </c>
      <c r="D1488">
        <f>koronahun!AF692</f>
        <v>0</v>
      </c>
      <c r="E1488" s="16" t="s">
        <v>72</v>
      </c>
      <c r="F1488" s="16" t="s">
        <v>72</v>
      </c>
    </row>
    <row r="1489" spans="1:6" ht="13">
      <c r="A1489" s="16">
        <v>24</v>
      </c>
      <c r="C1489">
        <v>8.2649965403865391</v>
      </c>
      <c r="D1489" s="13">
        <f>koronahun!AF693</f>
        <v>0.40261199209188875</v>
      </c>
      <c r="E1489" s="16" t="s">
        <v>72</v>
      </c>
      <c r="F1489" s="16" t="s">
        <v>72</v>
      </c>
    </row>
    <row r="1490" spans="1:6" ht="13">
      <c r="A1490" s="16">
        <v>25</v>
      </c>
      <c r="C1490">
        <v>8.2007995621528149</v>
      </c>
      <c r="D1490" s="13">
        <f>koronahun!AF694</f>
        <v>0.42471517498746447</v>
      </c>
      <c r="E1490" s="16" t="s">
        <v>72</v>
      </c>
      <c r="F1490" s="16" t="s">
        <v>72</v>
      </c>
    </row>
    <row r="1491" spans="1:6" ht="13">
      <c r="A1491" s="16">
        <v>26</v>
      </c>
      <c r="C1491">
        <v>7.7906694940185774</v>
      </c>
      <c r="D1491" s="13">
        <f>koronahun!AF695</f>
        <v>0.46231668841858403</v>
      </c>
      <c r="E1491" s="16" t="s">
        <v>72</v>
      </c>
      <c r="F1491" s="16" t="s">
        <v>72</v>
      </c>
    </row>
    <row r="1492" spans="1:6" ht="13">
      <c r="A1492" s="16">
        <v>27</v>
      </c>
      <c r="C1492">
        <v>7.7605884619915217</v>
      </c>
      <c r="D1492" s="13">
        <f>koronahun!AF696</f>
        <v>0.46438021891116338</v>
      </c>
      <c r="E1492" s="16" t="s">
        <v>72</v>
      </c>
      <c r="F1492" s="16" t="s">
        <v>72</v>
      </c>
    </row>
    <row r="1493" spans="1:6" ht="13">
      <c r="A1493" s="16">
        <v>28</v>
      </c>
      <c r="C1493">
        <v>8.1794021024809727</v>
      </c>
      <c r="D1493" s="13">
        <f>koronahun!AF697</f>
        <v>0.47291279207110887</v>
      </c>
      <c r="E1493" s="16" t="s">
        <v>72</v>
      </c>
      <c r="F1493" s="16" t="s">
        <v>72</v>
      </c>
    </row>
    <row r="1494" spans="1:6" ht="13">
      <c r="A1494" s="16">
        <v>29</v>
      </c>
      <c r="C1494">
        <v>8.2410500699228333</v>
      </c>
      <c r="D1494">
        <f>koronahun!AF698</f>
        <v>0</v>
      </c>
      <c r="E1494" s="16" t="s">
        <v>72</v>
      </c>
      <c r="F1494" s="16" t="s">
        <v>72</v>
      </c>
    </row>
    <row r="1495" spans="1:6" ht="13">
      <c r="A1495" s="16">
        <v>30</v>
      </c>
      <c r="C1495">
        <v>8.0434113594853578</v>
      </c>
      <c r="D1495">
        <f>koronahun!AF699</f>
        <v>0</v>
      </c>
      <c r="E1495" s="16" t="s">
        <v>72</v>
      </c>
      <c r="F1495" s="16" t="s">
        <v>72</v>
      </c>
    </row>
    <row r="1496" spans="1:6" ht="13">
      <c r="A1496" s="16">
        <v>31</v>
      </c>
      <c r="C1496">
        <v>7.8781839682586883</v>
      </c>
      <c r="D1496" s="13">
        <f>koronahun!AF700</f>
        <v>0.47971331858378008</v>
      </c>
      <c r="E1496" s="16" t="s">
        <v>72</v>
      </c>
      <c r="F1496" s="16" t="s">
        <v>72</v>
      </c>
    </row>
    <row r="1497" spans="1:6" ht="13">
      <c r="A1497" s="16">
        <v>32</v>
      </c>
      <c r="C1497">
        <v>8.1584232119105842</v>
      </c>
      <c r="D1497" s="13">
        <f>koronahun!AF701</f>
        <v>0.47549804656391503</v>
      </c>
      <c r="E1497" s="16" t="s">
        <v>72</v>
      </c>
      <c r="F1497" s="16" t="s">
        <v>72</v>
      </c>
    </row>
    <row r="1498" spans="1:6" ht="13">
      <c r="A1498" s="16">
        <v>33</v>
      </c>
      <c r="C1498">
        <v>8.0323204732395066</v>
      </c>
      <c r="D1498" s="13">
        <f>koronahun!AF702</f>
        <v>0.47094500922814148</v>
      </c>
      <c r="E1498" s="16" t="s">
        <v>72</v>
      </c>
      <c r="F1498" s="16" t="s">
        <v>72</v>
      </c>
    </row>
    <row r="1499" spans="1:6" ht="13">
      <c r="A1499" s="16">
        <v>34</v>
      </c>
      <c r="C1499">
        <v>8.1612742340406079</v>
      </c>
      <c r="D1499" s="13">
        <f>koronahun!AF703</f>
        <v>0.47029770460867193</v>
      </c>
      <c r="E1499" s="16" t="s">
        <v>72</v>
      </c>
      <c r="F1499" s="16" t="s">
        <v>72</v>
      </c>
    </row>
    <row r="1500" spans="1:6" ht="13">
      <c r="A1500" s="16">
        <v>35</v>
      </c>
      <c r="C1500">
        <v>7.7481180559820979</v>
      </c>
      <c r="D1500" s="13">
        <f>koronahun!AF704</f>
        <v>0.46918740925476748</v>
      </c>
      <c r="E1500" s="16" t="s">
        <v>72</v>
      </c>
      <c r="F1500" s="16" t="s">
        <v>72</v>
      </c>
    </row>
    <row r="1501" spans="1:6" ht="13">
      <c r="A1501" s="16">
        <v>36</v>
      </c>
      <c r="C1501">
        <v>7.8541036136433569</v>
      </c>
      <c r="D1501">
        <f>koronahun!AF705</f>
        <v>0</v>
      </c>
      <c r="E1501" s="16" t="s">
        <v>72</v>
      </c>
      <c r="F1501" s="16" t="s">
        <v>72</v>
      </c>
    </row>
    <row r="1502" spans="1:6" ht="13">
      <c r="A1502" s="16">
        <v>37</v>
      </c>
      <c r="C1502">
        <v>8.2052575005753159</v>
      </c>
      <c r="D1502">
        <f>koronahun!AF706</f>
        <v>0</v>
      </c>
      <c r="E1502" s="16" t="s">
        <v>72</v>
      </c>
      <c r="F1502" s="16" t="s">
        <v>72</v>
      </c>
    </row>
    <row r="1503" spans="1:6" ht="13">
      <c r="A1503" s="16">
        <v>38</v>
      </c>
      <c r="C1503">
        <v>8.3070433814363671</v>
      </c>
      <c r="D1503" s="13">
        <f>koronahun!AF707</f>
        <v>0.46210371296896097</v>
      </c>
      <c r="E1503" s="16" t="s">
        <v>72</v>
      </c>
      <c r="F1503" s="16" t="s">
        <v>72</v>
      </c>
    </row>
    <row r="1504" spans="1:6" ht="13">
      <c r="A1504" s="16">
        <v>39</v>
      </c>
      <c r="C1504">
        <v>8.5336368341596511</v>
      </c>
      <c r="D1504" s="13">
        <f>koronahun!AF708</f>
        <v>0.46946258640281313</v>
      </c>
      <c r="E1504" s="16" t="s">
        <v>72</v>
      </c>
      <c r="F1504" s="16" t="s">
        <v>72</v>
      </c>
    </row>
    <row r="1505" spans="1:6" ht="13">
      <c r="A1505" s="16">
        <v>40</v>
      </c>
      <c r="C1505">
        <v>9.8789385952018289</v>
      </c>
      <c r="D1505" s="13">
        <f>koronahun!AF709</f>
        <v>0.4504982867896582</v>
      </c>
      <c r="E1505" s="16" t="s">
        <v>72</v>
      </c>
      <c r="F1505" s="16" t="s">
        <v>72</v>
      </c>
    </row>
    <row r="1506" spans="1:6" ht="13">
      <c r="A1506" s="16">
        <v>41</v>
      </c>
      <c r="C1506">
        <v>9.9950722094795061</v>
      </c>
      <c r="D1506" s="13">
        <f>koronahun!AF710</f>
        <v>0.44095168652255745</v>
      </c>
      <c r="E1506" s="16" t="s">
        <v>72</v>
      </c>
      <c r="F1506" s="16" t="s">
        <v>72</v>
      </c>
    </row>
    <row r="1507" spans="1:6" ht="13">
      <c r="A1507" s="16">
        <v>42</v>
      </c>
      <c r="C1507">
        <v>10.023909741138855</v>
      </c>
      <c r="D1507" s="13">
        <f>koronahun!AF711</f>
        <v>0.43002474037902544</v>
      </c>
      <c r="E1507" s="16" t="s">
        <v>72</v>
      </c>
      <c r="F1507" s="16" t="s">
        <v>72</v>
      </c>
    </row>
    <row r="1508" spans="1:6" ht="13">
      <c r="A1508" s="16">
        <v>43</v>
      </c>
      <c r="C1508">
        <v>10.186399737369959</v>
      </c>
      <c r="D1508">
        <f>koronahun!AF712</f>
        <v>0</v>
      </c>
      <c r="E1508" s="16" t="s">
        <v>72</v>
      </c>
      <c r="F1508" s="16" t="s">
        <v>72</v>
      </c>
    </row>
    <row r="1509" spans="1:6" ht="13">
      <c r="A1509" s="16">
        <v>44</v>
      </c>
      <c r="C1509">
        <v>10.407852449522723</v>
      </c>
      <c r="D1509">
        <f>koronahun!AF713</f>
        <v>0</v>
      </c>
      <c r="E1509" s="16" t="s">
        <v>72</v>
      </c>
      <c r="F1509" s="16" t="s">
        <v>72</v>
      </c>
    </row>
    <row r="1510" spans="1:6" ht="13">
      <c r="A1510" s="16">
        <v>45</v>
      </c>
      <c r="C1510">
        <v>10.628664996512196</v>
      </c>
      <c r="D1510" s="13">
        <f>koronahun!AF714</f>
        <v>0.42076021350966075</v>
      </c>
      <c r="E1510" s="16" t="s">
        <v>72</v>
      </c>
      <c r="F1510" s="16" t="s">
        <v>72</v>
      </c>
    </row>
    <row r="1511" spans="1:6" ht="13">
      <c r="A1511" s="16">
        <v>46</v>
      </c>
      <c r="C1511">
        <v>10.618550376321664</v>
      </c>
      <c r="D1511" s="13">
        <f>koronahun!AF715</f>
        <v>0.42460670817038598</v>
      </c>
      <c r="E1511" s="16" t="s">
        <v>72</v>
      </c>
      <c r="F1511" s="16" t="s">
        <v>72</v>
      </c>
    </row>
    <row r="1512" spans="1:6" ht="13">
      <c r="A1512" s="16">
        <v>47</v>
      </c>
      <c r="C1512">
        <v>10.101916648043812</v>
      </c>
      <c r="D1512" s="13">
        <f>koronahun!AF716</f>
        <v>0.39423200037692319</v>
      </c>
      <c r="E1512" s="16" t="s">
        <v>72</v>
      </c>
      <c r="F1512" s="16" t="s">
        <v>72</v>
      </c>
    </row>
    <row r="1513" spans="1:6" ht="13">
      <c r="A1513" s="16">
        <v>48</v>
      </c>
      <c r="C1513">
        <v>10.159261168547202</v>
      </c>
      <c r="D1513" s="13">
        <f>koronahun!AF717</f>
        <v>0.38046099908104913</v>
      </c>
      <c r="E1513" s="16" t="s">
        <v>72</v>
      </c>
      <c r="F1513" s="16" t="s">
        <v>72</v>
      </c>
    </row>
    <row r="1514" spans="1:6" ht="13">
      <c r="A1514" s="16">
        <v>49</v>
      </c>
      <c r="C1514">
        <v>10.785961241443353</v>
      </c>
      <c r="D1514" s="13">
        <f>koronahun!AF718</f>
        <v>0.37455879280792181</v>
      </c>
      <c r="E1514" s="16" t="s">
        <v>72</v>
      </c>
      <c r="F1514" s="16" t="s">
        <v>72</v>
      </c>
    </row>
    <row r="1515" spans="1:6" ht="13">
      <c r="A1515" s="16">
        <v>50</v>
      </c>
      <c r="C1515">
        <v>11.368991154083893</v>
      </c>
      <c r="D1515">
        <f>koronahun!AF719</f>
        <v>0</v>
      </c>
      <c r="E1515" s="16" t="s">
        <v>72</v>
      </c>
      <c r="F1515" s="16" t="s">
        <v>72</v>
      </c>
    </row>
    <row r="1516" spans="1:6" ht="13">
      <c r="A1516" s="16">
        <v>51</v>
      </c>
      <c r="C1516">
        <v>11.74808735841528</v>
      </c>
      <c r="D1516">
        <f>koronahun!AF720</f>
        <v>0</v>
      </c>
      <c r="E1516" s="16" t="s">
        <v>72</v>
      </c>
      <c r="F1516" s="16" t="s">
        <v>72</v>
      </c>
    </row>
    <row r="1517" spans="1:6" ht="13">
      <c r="A1517" s="16">
        <v>52</v>
      </c>
      <c r="C1517">
        <v>12.294156746017491</v>
      </c>
      <c r="D1517" s="13">
        <f>koronahun!AF721</f>
        <v>0.36430897478530611</v>
      </c>
      <c r="E1517" s="16" t="s">
        <v>72</v>
      </c>
      <c r="F1517" s="16" t="s">
        <v>72</v>
      </c>
    </row>
    <row r="1518" spans="1:6" ht="13">
      <c r="A1518" s="16">
        <v>53</v>
      </c>
      <c r="C1518">
        <v>12.952385828381443</v>
      </c>
      <c r="D1518" s="13">
        <f>koronahun!AF722</f>
        <v>0.35205084947634607</v>
      </c>
      <c r="E1518" s="16" t="s">
        <v>72</v>
      </c>
      <c r="F1518" s="16" t="s">
        <v>72</v>
      </c>
    </row>
    <row r="1519" spans="1:6" ht="13">
      <c r="A1519" s="16">
        <v>54</v>
      </c>
      <c r="C1519">
        <v>13.558090942191717</v>
      </c>
      <c r="D1519" s="13">
        <f>koronahun!AF723</f>
        <v>0.32569464415880223</v>
      </c>
      <c r="E1519" s="16" t="s">
        <v>72</v>
      </c>
      <c r="F1519" s="16" t="s">
        <v>72</v>
      </c>
    </row>
    <row r="1520" spans="1:6" ht="13">
      <c r="A1520" s="16">
        <v>55</v>
      </c>
      <c r="C1520">
        <v>14.157637476017735</v>
      </c>
      <c r="D1520" s="13">
        <f>koronahun!AF724</f>
        <v>0.31513773678426826</v>
      </c>
      <c r="E1520" s="16" t="s">
        <v>72</v>
      </c>
      <c r="F1520" s="16" t="s">
        <v>72</v>
      </c>
    </row>
    <row r="1521" spans="1:6" ht="13">
      <c r="A1521" s="16">
        <v>56</v>
      </c>
      <c r="C1521">
        <v>14.659043011455147</v>
      </c>
      <c r="D1521" s="13">
        <f>koronahun!AF725</f>
        <v>0.29952300370322138</v>
      </c>
      <c r="E1521" s="16" t="s">
        <v>72</v>
      </c>
      <c r="F1521" s="16" t="s">
        <v>72</v>
      </c>
    </row>
    <row r="1522" spans="1:6" ht="13">
      <c r="A1522" s="16">
        <v>57</v>
      </c>
      <c r="C1522">
        <v>15.167287390382342</v>
      </c>
      <c r="D1522">
        <f>koronahun!AF726</f>
        <v>0</v>
      </c>
      <c r="E1522" s="16" t="s">
        <v>72</v>
      </c>
      <c r="F1522" s="16" t="s">
        <v>72</v>
      </c>
    </row>
    <row r="1523" spans="1:6" ht="13">
      <c r="A1523" s="16">
        <v>58</v>
      </c>
      <c r="C1523">
        <v>15.840776754518762</v>
      </c>
      <c r="D1523">
        <f>koronahun!AF727</f>
        <v>0</v>
      </c>
      <c r="E1523" s="16" t="s">
        <v>72</v>
      </c>
      <c r="F1523" s="16" t="s">
        <v>72</v>
      </c>
    </row>
    <row r="1524" spans="1:6" ht="13">
      <c r="A1524" s="16">
        <v>59</v>
      </c>
      <c r="C1524">
        <v>16.355754575752854</v>
      </c>
      <c r="D1524" s="13">
        <f>koronahun!AF728</f>
        <v>0.29197482572784267</v>
      </c>
      <c r="E1524" s="16" t="s">
        <v>72</v>
      </c>
      <c r="F1524" s="16" t="s">
        <v>72</v>
      </c>
    </row>
    <row r="1525" spans="1:6" ht="13">
      <c r="A1525" s="16">
        <v>60</v>
      </c>
      <c r="C1525">
        <v>17.057629637348278</v>
      </c>
      <c r="D1525" s="13">
        <f>koronahun!AF729</f>
        <v>0.27375080964155007</v>
      </c>
      <c r="E1525" s="16" t="s">
        <v>72</v>
      </c>
      <c r="F1525" s="16" t="s">
        <v>72</v>
      </c>
    </row>
    <row r="1526" spans="1:6" ht="13">
      <c r="A1526" s="16">
        <v>61</v>
      </c>
      <c r="C1526">
        <v>17.644322981622665</v>
      </c>
      <c r="D1526" s="13">
        <f>koronahun!AF730</f>
        <v>0.26760460907658368</v>
      </c>
      <c r="E1526" s="16" t="s">
        <v>72</v>
      </c>
      <c r="F1526" s="16" t="s">
        <v>72</v>
      </c>
    </row>
    <row r="1527" spans="1:6" ht="13">
      <c r="A1527" s="16">
        <v>62</v>
      </c>
      <c r="C1527">
        <v>18.23992115046779</v>
      </c>
      <c r="D1527" s="13">
        <f>koronahun!AF731</f>
        <v>0.26509350779102309</v>
      </c>
      <c r="E1527" s="16" t="s">
        <v>72</v>
      </c>
      <c r="F1527" s="16" t="s">
        <v>72</v>
      </c>
    </row>
    <row r="1528" spans="1:6" ht="13">
      <c r="A1528" s="16">
        <v>63</v>
      </c>
      <c r="C1528">
        <v>18.69664643979727</v>
      </c>
      <c r="D1528" s="13">
        <f>koronahun!AF732</f>
        <v>0.25942272529110244</v>
      </c>
      <c r="E1528" s="16" t="s">
        <v>72</v>
      </c>
      <c r="F1528" s="16" t="s">
        <v>72</v>
      </c>
    </row>
    <row r="1529" spans="1:6" ht="13">
      <c r="A1529" s="16">
        <v>64</v>
      </c>
      <c r="C1529">
        <v>19.147767308455759</v>
      </c>
      <c r="D1529">
        <f>koronahun!AF733</f>
        <v>0</v>
      </c>
      <c r="E1529" s="16" t="s">
        <v>72</v>
      </c>
      <c r="F1529" s="16" t="s">
        <v>72</v>
      </c>
    </row>
    <row r="1530" spans="1:6" ht="13">
      <c r="A1530" s="16">
        <v>65</v>
      </c>
      <c r="C1530">
        <v>19.517523830436691</v>
      </c>
      <c r="D1530">
        <f>koronahun!AF734</f>
        <v>0</v>
      </c>
      <c r="E1530" s="16" t="s">
        <v>72</v>
      </c>
      <c r="F1530" s="16" t="s">
        <v>72</v>
      </c>
    </row>
    <row r="1531" spans="1:6" ht="13">
      <c r="A1531" s="16">
        <v>66</v>
      </c>
      <c r="C1531">
        <v>19.830018127914347</v>
      </c>
      <c r="D1531" s="13">
        <f>koronahun!AF735</f>
        <v>0.25453533229390701</v>
      </c>
      <c r="E1531" s="16" t="s">
        <v>72</v>
      </c>
      <c r="F1531" s="16" t="s">
        <v>72</v>
      </c>
    </row>
    <row r="1532" spans="1:6" ht="13">
      <c r="A1532" s="16">
        <v>67</v>
      </c>
      <c r="C1532">
        <v>18.387300051345328</v>
      </c>
      <c r="D1532" s="13">
        <f>koronahun!AF736</f>
        <v>0.24409725194188187</v>
      </c>
      <c r="E1532" s="16" t="s">
        <v>72</v>
      </c>
      <c r="F1532" s="16" t="s">
        <v>72</v>
      </c>
    </row>
    <row r="1533" spans="1:6" ht="13">
      <c r="A1533" s="16">
        <v>68</v>
      </c>
      <c r="C1533">
        <v>20.68019188584751</v>
      </c>
      <c r="D1533" s="13">
        <f>koronahun!AF737</f>
        <v>0.23071873659694386</v>
      </c>
      <c r="E1533" s="16" t="s">
        <v>72</v>
      </c>
      <c r="F1533" s="16" t="s">
        <v>72</v>
      </c>
    </row>
    <row r="1534" spans="1:6" ht="13">
      <c r="A1534" s="16">
        <v>69</v>
      </c>
      <c r="C1534">
        <v>20.967617730942514</v>
      </c>
      <c r="D1534" s="13">
        <f>koronahun!AF738</f>
        <v>0.22171749470504967</v>
      </c>
      <c r="E1534" s="16" t="s">
        <v>72</v>
      </c>
      <c r="F1534" s="16" t="s">
        <v>72</v>
      </c>
    </row>
    <row r="1535" spans="1:6" ht="13">
      <c r="A1535" s="16">
        <v>70</v>
      </c>
      <c r="C1535">
        <v>21.603552611874004</v>
      </c>
      <c r="D1535" s="13">
        <f>koronahun!AF739</f>
        <v>0.21629534214238996</v>
      </c>
      <c r="E1535" s="16" t="s">
        <v>72</v>
      </c>
      <c r="F1535" s="16" t="s">
        <v>72</v>
      </c>
    </row>
    <row r="1536" spans="1:6" ht="13">
      <c r="A1536" s="16">
        <v>71</v>
      </c>
      <c r="C1536">
        <v>22.192683375014823</v>
      </c>
      <c r="D1536">
        <f>koronahun!AF740</f>
        <v>0</v>
      </c>
      <c r="E1536" s="16" t="s">
        <v>72</v>
      </c>
      <c r="F1536" s="16" t="s">
        <v>72</v>
      </c>
    </row>
    <row r="1537" spans="1:6" ht="13">
      <c r="A1537" s="16">
        <v>72</v>
      </c>
      <c r="B1537">
        <v>2.0757142857142861</v>
      </c>
      <c r="C1537">
        <v>22.505698610395385</v>
      </c>
      <c r="D1537">
        <f>koronahun!AF741</f>
        <v>0</v>
      </c>
      <c r="E1537" s="16" t="s">
        <v>72</v>
      </c>
      <c r="F1537" s="16" t="s">
        <v>72</v>
      </c>
    </row>
    <row r="1538" spans="1:6" ht="13">
      <c r="A1538" s="16">
        <v>73</v>
      </c>
      <c r="B1538">
        <v>2.7971428571428567</v>
      </c>
      <c r="C1538">
        <v>22.875248409005696</v>
      </c>
      <c r="D1538">
        <f>koronahun!AF742</f>
        <v>0</v>
      </c>
      <c r="E1538" s="16" t="s">
        <v>72</v>
      </c>
      <c r="F1538" s="16" t="s">
        <v>72</v>
      </c>
    </row>
    <row r="1539" spans="1:6" ht="13">
      <c r="A1539" s="16">
        <v>74</v>
      </c>
      <c r="B1539">
        <v>2.2614285714285716</v>
      </c>
      <c r="C1539">
        <v>25.270294417329826</v>
      </c>
      <c r="D1539">
        <f>koronahun!AF743</f>
        <v>0</v>
      </c>
      <c r="E1539" s="16" t="s">
        <v>72</v>
      </c>
      <c r="F1539" s="16" t="s">
        <v>72</v>
      </c>
    </row>
    <row r="1540" spans="1:6" ht="13">
      <c r="A1540" s="16">
        <v>75</v>
      </c>
      <c r="B1540">
        <v>2.6885714285714286</v>
      </c>
      <c r="C1540">
        <v>23.779260470480505</v>
      </c>
      <c r="D1540" s="13">
        <f>koronahun!AF744</f>
        <v>8.5535971587875806E-2</v>
      </c>
      <c r="E1540" s="16" t="s">
        <v>72</v>
      </c>
      <c r="F1540" s="16" t="s">
        <v>72</v>
      </c>
    </row>
    <row r="1541" spans="1:6" ht="13">
      <c r="A1541" s="16">
        <v>76</v>
      </c>
      <c r="B1541">
        <v>3.7771428571428576</v>
      </c>
      <c r="C1541">
        <v>24.770402195946222</v>
      </c>
      <c r="D1541" s="13">
        <f>koronahun!AF745</f>
        <v>0.13341266962877443</v>
      </c>
      <c r="E1541" s="16" t="s">
        <v>72</v>
      </c>
      <c r="F1541" s="16" t="s">
        <v>72</v>
      </c>
    </row>
    <row r="1542" spans="1:6" ht="13">
      <c r="A1542" s="16">
        <v>77</v>
      </c>
      <c r="B1542">
        <v>4.1228571428571437</v>
      </c>
      <c r="C1542">
        <v>24.727411967117582</v>
      </c>
      <c r="D1542" s="13">
        <f>koronahun!AF746</f>
        <v>0.17346743139110882</v>
      </c>
      <c r="E1542" s="16" t="s">
        <v>72</v>
      </c>
      <c r="F1542" s="16" t="s">
        <v>72</v>
      </c>
    </row>
    <row r="1543" spans="1:6" ht="13">
      <c r="A1543" s="16">
        <v>78</v>
      </c>
      <c r="B1543">
        <v>4.1814285714285706</v>
      </c>
      <c r="C1543">
        <v>25.110481862897867</v>
      </c>
      <c r="D1543">
        <f>koronahun!AF747</f>
        <v>0</v>
      </c>
      <c r="E1543" s="16" t="s">
        <v>72</v>
      </c>
      <c r="F1543" s="16" t="s">
        <v>72</v>
      </c>
    </row>
    <row r="1544" spans="1:6" ht="13">
      <c r="A1544" s="16">
        <v>79</v>
      </c>
      <c r="B1544">
        <v>4.097142857142857</v>
      </c>
      <c r="C1544">
        <v>25.815298005725413</v>
      </c>
      <c r="D1544">
        <f>koronahun!AF748</f>
        <v>0</v>
      </c>
      <c r="E1544" s="16" t="s">
        <v>72</v>
      </c>
      <c r="F1544" s="16" t="s">
        <v>72</v>
      </c>
    </row>
    <row r="1545" spans="1:6" ht="13">
      <c r="A1545" s="16">
        <v>80</v>
      </c>
      <c r="B1545">
        <v>3.637142857142857</v>
      </c>
      <c r="C1545">
        <v>26.526606228761473</v>
      </c>
      <c r="D1545" s="13">
        <f>koronahun!AF749</f>
        <v>0.20066161903519517</v>
      </c>
      <c r="E1545" s="16" t="s">
        <v>72</v>
      </c>
      <c r="F1545" s="16" t="s">
        <v>72</v>
      </c>
    </row>
    <row r="1546" spans="1:6" ht="13">
      <c r="A1546" s="16">
        <v>81</v>
      </c>
      <c r="B1546">
        <v>3.922857142857143</v>
      </c>
      <c r="C1546">
        <v>26.613585295794152</v>
      </c>
      <c r="D1546" s="13">
        <f>koronahun!AF750</f>
        <v>0.27905700445732418</v>
      </c>
      <c r="E1546" s="16" t="s">
        <v>72</v>
      </c>
      <c r="F1546" s="16" t="s">
        <v>72</v>
      </c>
    </row>
    <row r="1547" spans="1:6" ht="13">
      <c r="A1547" s="16">
        <v>82</v>
      </c>
      <c r="B1547">
        <v>3.975714285714286</v>
      </c>
      <c r="C1547">
        <v>26.792651891669323</v>
      </c>
      <c r="D1547" s="13">
        <f>koronahun!AF751</f>
        <v>0.31575330313242184</v>
      </c>
      <c r="E1547" s="16" t="s">
        <v>72</v>
      </c>
      <c r="F1547" s="16" t="s">
        <v>72</v>
      </c>
    </row>
    <row r="1548" spans="1:6" ht="13">
      <c r="A1548" s="16">
        <v>83</v>
      </c>
      <c r="B1548">
        <v>3.11</v>
      </c>
      <c r="C1548">
        <v>26.428695545205116</v>
      </c>
      <c r="D1548" s="13">
        <f>koronahun!AF752</f>
        <v>0.29622584609520702</v>
      </c>
      <c r="E1548" s="16" t="s">
        <v>72</v>
      </c>
      <c r="F1548" s="16" t="s">
        <v>72</v>
      </c>
    </row>
    <row r="1549" spans="1:6" ht="13">
      <c r="A1549" s="16">
        <v>84</v>
      </c>
      <c r="B1549">
        <v>3.3728571428571428</v>
      </c>
      <c r="C1549">
        <v>26.810466386288606</v>
      </c>
      <c r="D1549" s="13">
        <f>koronahun!AF753</f>
        <v>0.26551211700919847</v>
      </c>
      <c r="E1549" s="16" t="s">
        <v>72</v>
      </c>
      <c r="F1549" s="16" t="s">
        <v>72</v>
      </c>
    </row>
    <row r="1550" spans="1:6" ht="13">
      <c r="A1550" s="16">
        <v>85</v>
      </c>
      <c r="B1550">
        <v>3.3814285714285712</v>
      </c>
      <c r="C1550">
        <v>26.922915758572035</v>
      </c>
      <c r="D1550">
        <f>koronahun!AF754</f>
        <v>0</v>
      </c>
      <c r="E1550" s="16" t="s">
        <v>72</v>
      </c>
      <c r="F1550" s="16" t="s">
        <v>72</v>
      </c>
    </row>
    <row r="1551" spans="1:6" ht="13">
      <c r="A1551" s="16">
        <v>86</v>
      </c>
      <c r="B1551">
        <v>3.5699999999999994</v>
      </c>
      <c r="C1551">
        <v>26.407178595237895</v>
      </c>
      <c r="D1551">
        <f>koronahun!AF755</f>
        <v>0</v>
      </c>
      <c r="E1551" s="16" t="s">
        <v>72</v>
      </c>
      <c r="F1551" s="16" t="s">
        <v>72</v>
      </c>
    </row>
    <row r="1552" spans="1:6" ht="13">
      <c r="A1552" s="16">
        <v>87</v>
      </c>
      <c r="B1552">
        <v>3.62</v>
      </c>
      <c r="C1552">
        <v>27.131123575989353</v>
      </c>
      <c r="D1552" s="13">
        <f>koronahun!AF756</f>
        <v>0.26957279143201418</v>
      </c>
      <c r="E1552" s="16" t="s">
        <v>72</v>
      </c>
      <c r="F1552" s="16" t="s">
        <v>72</v>
      </c>
    </row>
    <row r="1553" spans="1:6" ht="13">
      <c r="A1553" s="16">
        <v>88</v>
      </c>
      <c r="B1553">
        <v>3.7085714285714286</v>
      </c>
      <c r="C1553">
        <v>25.47949901636369</v>
      </c>
      <c r="D1553" s="13">
        <f>koronahun!AF757</f>
        <v>0.23589180249476499</v>
      </c>
      <c r="E1553" s="16" t="s">
        <v>72</v>
      </c>
      <c r="F1553" s="16" t="s">
        <v>72</v>
      </c>
    </row>
    <row r="1554" spans="1:6" ht="13">
      <c r="A1554" s="16">
        <v>89</v>
      </c>
      <c r="B1554">
        <v>3.7114285714285717</v>
      </c>
      <c r="C1554">
        <v>24.985836716565824</v>
      </c>
      <c r="D1554" s="13">
        <f>koronahun!AF758</f>
        <v>0.2411392665082685</v>
      </c>
      <c r="E1554" s="16" t="s">
        <v>72</v>
      </c>
      <c r="F1554" s="16" t="s">
        <v>72</v>
      </c>
    </row>
    <row r="1555" spans="1:6" ht="13">
      <c r="A1555" s="16">
        <v>90</v>
      </c>
      <c r="B1555">
        <v>3.9957142857142856</v>
      </c>
      <c r="C1555">
        <v>24.654790288802626</v>
      </c>
      <c r="D1555" s="13">
        <f>koronahun!AF759</f>
        <v>0.22215206855089203</v>
      </c>
      <c r="E1555" s="16" t="s">
        <v>72</v>
      </c>
      <c r="F1555" s="16" t="s">
        <v>72</v>
      </c>
    </row>
    <row r="1556" spans="1:6" ht="13">
      <c r="A1556" s="16">
        <v>91</v>
      </c>
      <c r="B1556">
        <v>3.6485714285714286</v>
      </c>
      <c r="C1556">
        <v>24.048360386272204</v>
      </c>
      <c r="D1556" s="13">
        <f>koronahun!AF760</f>
        <v>0.22393623311891825</v>
      </c>
      <c r="E1556" s="16" t="s">
        <v>72</v>
      </c>
      <c r="F1556" s="16" t="s">
        <v>72</v>
      </c>
    </row>
    <row r="1557" spans="1:6" ht="13">
      <c r="A1557" s="16">
        <v>92</v>
      </c>
      <c r="B1557">
        <v>3.9457142857142848</v>
      </c>
      <c r="C1557">
        <v>23.288896454844092</v>
      </c>
      <c r="D1557">
        <f>koronahun!AF761</f>
        <v>0</v>
      </c>
      <c r="E1557" s="16" t="s">
        <v>72</v>
      </c>
      <c r="F1557" s="16" t="s">
        <v>72</v>
      </c>
    </row>
    <row r="1558" spans="1:6" ht="13">
      <c r="A1558" s="16">
        <v>93</v>
      </c>
      <c r="B1558">
        <v>3.9042857142857144</v>
      </c>
      <c r="C1558">
        <v>23.247052560216005</v>
      </c>
      <c r="D1558">
        <f>koronahun!AF762</f>
        <v>0</v>
      </c>
      <c r="E1558" s="16" t="s">
        <v>72</v>
      </c>
      <c r="F1558" s="16" t="s">
        <v>72</v>
      </c>
    </row>
    <row r="1559" spans="1:6" ht="13">
      <c r="A1559" s="16">
        <v>94</v>
      </c>
      <c r="B1559">
        <v>3.7814285714285711</v>
      </c>
      <c r="C1559">
        <v>22.281140934354511</v>
      </c>
      <c r="D1559">
        <f>koronahun!AF763</f>
        <v>0</v>
      </c>
      <c r="E1559" s="16" t="s">
        <v>72</v>
      </c>
      <c r="F1559" s="16" t="s">
        <v>72</v>
      </c>
    </row>
    <row r="1560" spans="1:6" ht="13">
      <c r="A1560" s="16">
        <v>95</v>
      </c>
      <c r="B1560">
        <v>3.7085714285714286</v>
      </c>
      <c r="C1560">
        <v>22.765544065816044</v>
      </c>
      <c r="D1560" s="13">
        <f>koronahun!AF764</f>
        <v>0.18575700880068527</v>
      </c>
      <c r="E1560" s="16" t="s">
        <v>72</v>
      </c>
      <c r="F1560" s="16" t="s">
        <v>72</v>
      </c>
    </row>
    <row r="1561" spans="1:6" ht="13">
      <c r="A1561" s="16">
        <v>96</v>
      </c>
      <c r="B1561">
        <v>3.3785714285714281</v>
      </c>
      <c r="C1561">
        <v>21.609798823877238</v>
      </c>
      <c r="D1561" s="13">
        <f>koronahun!AF765</f>
        <v>0.17873466978487557</v>
      </c>
      <c r="E1561" s="16" t="s">
        <v>72</v>
      </c>
      <c r="F1561" s="16" t="s">
        <v>72</v>
      </c>
    </row>
    <row r="1562" spans="1:6" ht="13">
      <c r="A1562" s="16">
        <v>97</v>
      </c>
      <c r="B1562">
        <v>3.3299999999999996</v>
      </c>
      <c r="C1562">
        <v>20.950862653601039</v>
      </c>
      <c r="D1562" s="13">
        <f>koronahun!AF766</f>
        <v>0.18172584149885068</v>
      </c>
      <c r="E1562" s="16" t="s">
        <v>72</v>
      </c>
      <c r="F1562" s="16" t="s">
        <v>72</v>
      </c>
    </row>
    <row r="1563" spans="1:6" ht="13">
      <c r="A1563" s="16">
        <v>98</v>
      </c>
      <c r="B1563">
        <v>3.4428571428571426</v>
      </c>
      <c r="C1563">
        <v>19.960760670520521</v>
      </c>
      <c r="D1563" s="13">
        <f>koronahun!AF767</f>
        <v>0.18256751028111354</v>
      </c>
      <c r="E1563" s="16" t="s">
        <v>72</v>
      </c>
      <c r="F1563" s="16" t="s">
        <v>72</v>
      </c>
    </row>
    <row r="1564" spans="1:6" ht="13">
      <c r="A1564" s="16">
        <v>99</v>
      </c>
      <c r="B1564">
        <v>3.3085714285714287</v>
      </c>
      <c r="C1564">
        <v>19.657192235206118</v>
      </c>
      <c r="D1564">
        <f>koronahun!AF768</f>
        <v>0</v>
      </c>
      <c r="E1564" s="16" t="s">
        <v>72</v>
      </c>
      <c r="F1564" s="16" t="s">
        <v>72</v>
      </c>
    </row>
    <row r="1565" spans="1:6" ht="13">
      <c r="A1565" s="16">
        <v>100</v>
      </c>
      <c r="B1565">
        <v>4.3257142857142847</v>
      </c>
      <c r="C1565">
        <v>19.428030855238745</v>
      </c>
      <c r="D1565">
        <f>koronahun!AF769</f>
        <v>0</v>
      </c>
      <c r="E1565" s="16" t="s">
        <v>72</v>
      </c>
      <c r="F1565" s="16" t="s">
        <v>72</v>
      </c>
    </row>
    <row r="1566" spans="1:6" ht="13">
      <c r="A1566" s="16">
        <v>101</v>
      </c>
      <c r="B1566">
        <v>4.7028571428571428</v>
      </c>
      <c r="C1566">
        <v>18.405865894347155</v>
      </c>
      <c r="D1566" s="13">
        <f>koronahun!AF770</f>
        <v>0.21453373878782322</v>
      </c>
      <c r="E1566" s="16" t="s">
        <v>72</v>
      </c>
      <c r="F1566" s="16" t="s">
        <v>72</v>
      </c>
    </row>
    <row r="1567" spans="1:6" ht="13">
      <c r="A1567" s="16">
        <v>102</v>
      </c>
      <c r="B1567">
        <v>5.1828571428571433</v>
      </c>
      <c r="C1567">
        <v>18.230374573312986</v>
      </c>
      <c r="D1567" s="13">
        <f>koronahun!AF771</f>
        <v>0.2540369376369811</v>
      </c>
      <c r="E1567" s="16" t="s">
        <v>72</v>
      </c>
      <c r="F1567" s="16" t="s">
        <v>72</v>
      </c>
    </row>
    <row r="1568" spans="1:6" ht="13">
      <c r="A1568" s="16">
        <v>103</v>
      </c>
      <c r="B1568">
        <v>5.5628571428571423</v>
      </c>
      <c r="C1568">
        <v>18.438693442166816</v>
      </c>
      <c r="D1568" s="13">
        <f>koronahun!AF772</f>
        <v>0.26061531779649205</v>
      </c>
      <c r="E1568" s="16" t="s">
        <v>72</v>
      </c>
      <c r="F1568" s="16" t="s">
        <v>72</v>
      </c>
    </row>
    <row r="1569" spans="1:6" ht="13">
      <c r="A1569" s="16">
        <v>104</v>
      </c>
      <c r="B1569">
        <v>5.6171428571428574</v>
      </c>
      <c r="C1569">
        <v>17.636022740730219</v>
      </c>
      <c r="D1569" s="13">
        <f>koronahun!AF773</f>
        <v>0.26077619044282407</v>
      </c>
      <c r="E1569" s="16" t="s">
        <v>72</v>
      </c>
      <c r="F1569" s="16" t="s">
        <v>72</v>
      </c>
    </row>
    <row r="1570" spans="1:6" ht="13">
      <c r="A1570" s="16">
        <v>105</v>
      </c>
      <c r="B1570">
        <v>5.6971428571428557</v>
      </c>
      <c r="C1570">
        <v>18.800611028295894</v>
      </c>
      <c r="D1570">
        <f>koronahun!AF774</f>
        <v>0</v>
      </c>
      <c r="E1570" s="16" t="s">
        <v>72</v>
      </c>
      <c r="F1570" s="16" t="s">
        <v>72</v>
      </c>
    </row>
    <row r="1571" spans="1:6" ht="13">
      <c r="A1571" s="16">
        <v>106</v>
      </c>
      <c r="B1571">
        <v>6.01</v>
      </c>
      <c r="C1571">
        <v>18.196583825562115</v>
      </c>
      <c r="D1571">
        <f>koronahun!AF775</f>
        <v>0</v>
      </c>
      <c r="E1571" s="16" t="s">
        <v>72</v>
      </c>
      <c r="F1571" s="16" t="s">
        <v>72</v>
      </c>
    </row>
    <row r="1572" spans="1:6" ht="13">
      <c r="A1572" s="16">
        <v>107</v>
      </c>
      <c r="B1572">
        <v>5.1071428571428568</v>
      </c>
      <c r="C1572">
        <v>17.199413514876607</v>
      </c>
      <c r="D1572">
        <f>koronahun!AF776</f>
        <v>0</v>
      </c>
      <c r="E1572" s="16" t="s">
        <v>72</v>
      </c>
      <c r="F1572" s="16" t="s">
        <v>72</v>
      </c>
    </row>
    <row r="1573" spans="1:6" ht="13">
      <c r="A1573" s="16">
        <v>108</v>
      </c>
      <c r="B1573">
        <v>4.694285714285714</v>
      </c>
      <c r="C1573">
        <v>16.629668884494727</v>
      </c>
      <c r="D1573">
        <f>koronahun!AF777</f>
        <v>0</v>
      </c>
      <c r="E1573" s="16" t="s">
        <v>72</v>
      </c>
      <c r="F1573" s="16" t="s">
        <v>72</v>
      </c>
    </row>
    <row r="1574" spans="1:6" ht="13">
      <c r="A1574" s="16">
        <v>109</v>
      </c>
      <c r="B1574">
        <v>4.2614285714285707</v>
      </c>
      <c r="C1574">
        <v>15.851797787132362</v>
      </c>
      <c r="D1574" s="13">
        <f>koronahun!AF778</f>
        <v>0.14332936255918238</v>
      </c>
      <c r="E1574" s="16" t="s">
        <v>72</v>
      </c>
      <c r="F1574" s="16" t="s">
        <v>72</v>
      </c>
    </row>
    <row r="1575" spans="1:6" ht="13">
      <c r="A1575" s="16">
        <v>110</v>
      </c>
      <c r="B1575">
        <v>4.2985714285714289</v>
      </c>
      <c r="C1575">
        <v>15.045864086014319</v>
      </c>
      <c r="D1575" s="13">
        <f>koronahun!AF779</f>
        <v>0.15530812076988143</v>
      </c>
      <c r="E1575" s="16" t="s">
        <v>72</v>
      </c>
      <c r="F1575" s="16" t="s">
        <v>72</v>
      </c>
    </row>
    <row r="1576" spans="1:6" ht="13">
      <c r="A1576" s="16">
        <v>111</v>
      </c>
      <c r="B1576">
        <v>4.3471428571428561</v>
      </c>
      <c r="C1576">
        <v>15.194347195239647</v>
      </c>
      <c r="D1576" s="13">
        <f>koronahun!AF780</f>
        <v>0.20179556903064136</v>
      </c>
      <c r="E1576" s="16" t="s">
        <v>72</v>
      </c>
      <c r="F1576" s="16" t="s">
        <v>72</v>
      </c>
    </row>
    <row r="1577" spans="1:6" ht="13">
      <c r="A1577" s="16">
        <v>112</v>
      </c>
      <c r="B1577">
        <v>4.0871428571428563</v>
      </c>
      <c r="C1577">
        <v>13.6905304286526</v>
      </c>
      <c r="D1577" s="13">
        <f>koronahun!AF781</f>
        <v>0.24447697019828105</v>
      </c>
      <c r="E1577" s="16" t="s">
        <v>72</v>
      </c>
      <c r="F1577" s="16" t="s">
        <v>72</v>
      </c>
    </row>
    <row r="1578" spans="1:6" ht="13">
      <c r="A1578" s="16">
        <v>113</v>
      </c>
      <c r="B1578">
        <v>3.8071428571428574</v>
      </c>
      <c r="C1578">
        <v>13.136991217369157</v>
      </c>
      <c r="D1578">
        <f>koronahun!AF782</f>
        <v>0</v>
      </c>
      <c r="E1578" s="16" t="s">
        <v>72</v>
      </c>
      <c r="F1578" s="16" t="s">
        <v>72</v>
      </c>
    </row>
    <row r="1579" spans="1:6" ht="13">
      <c r="A1579" s="16">
        <v>114</v>
      </c>
      <c r="B1579">
        <v>3.7900000000000005</v>
      </c>
      <c r="C1579">
        <v>12.666907907573851</v>
      </c>
      <c r="D1579">
        <f>koronahun!AF783</f>
        <v>0</v>
      </c>
      <c r="E1579" s="16" t="s">
        <v>72</v>
      </c>
      <c r="F1579" s="16" t="s">
        <v>72</v>
      </c>
    </row>
    <row r="1580" spans="1:6" ht="13">
      <c r="A1580" s="16">
        <v>115</v>
      </c>
      <c r="B1580">
        <v>3.6871428571428568</v>
      </c>
      <c r="C1580">
        <v>12.228874191801573</v>
      </c>
      <c r="D1580" s="13">
        <f>koronahun!AF784</f>
        <v>0.27762917120531033</v>
      </c>
      <c r="E1580" s="16" t="s">
        <v>72</v>
      </c>
      <c r="F1580" s="16" t="s">
        <v>72</v>
      </c>
    </row>
    <row r="1581" spans="1:6" ht="13">
      <c r="A1581" s="16">
        <v>116</v>
      </c>
      <c r="B1581">
        <v>3.5114285714285716</v>
      </c>
      <c r="C1581">
        <v>11.917869520803444</v>
      </c>
      <c r="D1581" s="13">
        <f>koronahun!AF785</f>
        <v>0.35162539067323406</v>
      </c>
      <c r="E1581" s="16" t="s">
        <v>72</v>
      </c>
      <c r="F1581" s="16" t="s">
        <v>72</v>
      </c>
    </row>
    <row r="1582" spans="1:6" ht="13">
      <c r="A1582" s="16">
        <v>117</v>
      </c>
      <c r="B1582">
        <v>3.5014285714285713</v>
      </c>
      <c r="C1582">
        <v>11.675169904543356</v>
      </c>
      <c r="D1582" s="13">
        <f>koronahun!AF786</f>
        <v>0.34276015869093379</v>
      </c>
      <c r="E1582" s="16" t="s">
        <v>72</v>
      </c>
      <c r="F1582" s="16" t="s">
        <v>72</v>
      </c>
    </row>
    <row r="1583" spans="1:6" ht="13">
      <c r="A1583" s="16">
        <v>118</v>
      </c>
      <c r="B1583">
        <v>3.2957142857142858</v>
      </c>
      <c r="C1583">
        <v>11.352543975168231</v>
      </c>
      <c r="D1583" s="13">
        <f>koronahun!AF787</f>
        <v>0.29934968423045288</v>
      </c>
      <c r="E1583" s="16" t="s">
        <v>72</v>
      </c>
      <c r="F1583" s="16" t="s">
        <v>72</v>
      </c>
    </row>
    <row r="1584" spans="1:6" ht="13">
      <c r="A1584" s="16">
        <v>119</v>
      </c>
      <c r="B1584">
        <v>3.2742857142857149</v>
      </c>
      <c r="C1584">
        <v>11.050653242662726</v>
      </c>
      <c r="D1584" s="13">
        <f>koronahun!AF788</f>
        <v>0.29128992158689071</v>
      </c>
      <c r="E1584" s="16" t="s">
        <v>72</v>
      </c>
      <c r="F1584" s="16" t="s">
        <v>72</v>
      </c>
    </row>
    <row r="1585" spans="1:6" ht="13">
      <c r="A1585" s="16">
        <v>120</v>
      </c>
      <c r="B1585">
        <v>2.9157142857142859</v>
      </c>
      <c r="C1585">
        <v>10.699969679298006</v>
      </c>
      <c r="D1585">
        <f>koronahun!AF789</f>
        <v>0</v>
      </c>
      <c r="E1585" s="16" t="s">
        <v>72</v>
      </c>
      <c r="F1585" s="16" t="s">
        <v>72</v>
      </c>
    </row>
    <row r="1586" spans="1:6" ht="13">
      <c r="A1586" s="16">
        <v>121</v>
      </c>
      <c r="B1586">
        <v>2.7928571428571431</v>
      </c>
      <c r="C1586">
        <v>10.345176049821314</v>
      </c>
      <c r="D1586">
        <f>koronahun!AF790</f>
        <v>0</v>
      </c>
      <c r="E1586" s="16" t="s">
        <v>72</v>
      </c>
      <c r="F1586" s="16" t="s">
        <v>72</v>
      </c>
    </row>
    <row r="1587" spans="1:6" ht="13">
      <c r="A1587" s="16">
        <v>122</v>
      </c>
      <c r="B1587">
        <v>2.8071428571428574</v>
      </c>
      <c r="C1587">
        <v>9.9799560041777884</v>
      </c>
      <c r="D1587" s="13">
        <f>koronahun!AF791</f>
        <v>0.28539796034010123</v>
      </c>
      <c r="E1587" s="16" t="s">
        <v>72</v>
      </c>
      <c r="F1587" s="16" t="s">
        <v>72</v>
      </c>
    </row>
    <row r="1588" spans="1:6" ht="13">
      <c r="A1588" s="16">
        <v>123</v>
      </c>
      <c r="B1588">
        <v>2.8314285714285714</v>
      </c>
      <c r="C1588">
        <v>9.5834936956913275</v>
      </c>
      <c r="D1588">
        <f>koronahun!AF792</f>
        <v>0</v>
      </c>
      <c r="E1588" s="16" t="s">
        <v>72</v>
      </c>
      <c r="F1588" s="16" t="s">
        <v>72</v>
      </c>
    </row>
    <row r="1589" spans="1:6" ht="13">
      <c r="A1589" s="16">
        <v>124</v>
      </c>
      <c r="B1589">
        <v>2.5428571428571423</v>
      </c>
      <c r="C1589">
        <v>9.2453208096566897</v>
      </c>
      <c r="D1589">
        <f>koronahun!AF793</f>
        <v>0</v>
      </c>
      <c r="E1589" s="16" t="s">
        <v>72</v>
      </c>
      <c r="F1589" s="16" t="s">
        <v>72</v>
      </c>
    </row>
    <row r="1590" spans="1:6" ht="13">
      <c r="A1590" s="16">
        <v>125</v>
      </c>
      <c r="B1590">
        <v>2.2014285714285715</v>
      </c>
      <c r="C1590">
        <v>8.9362609934509312</v>
      </c>
      <c r="D1590">
        <f>koronahun!AF794</f>
        <v>0</v>
      </c>
      <c r="E1590" s="16" t="s">
        <v>72</v>
      </c>
      <c r="F1590" s="16" t="s">
        <v>72</v>
      </c>
    </row>
    <row r="1591" spans="1:6" ht="13">
      <c r="A1591" s="16">
        <v>126</v>
      </c>
      <c r="B1591">
        <v>2.0528571428571429</v>
      </c>
      <c r="C1591">
        <v>8.435630458119233</v>
      </c>
      <c r="D1591">
        <f>koronahun!AF795</f>
        <v>0</v>
      </c>
      <c r="E1591" s="16" t="s">
        <v>72</v>
      </c>
      <c r="F1591" s="16" t="s">
        <v>72</v>
      </c>
    </row>
    <row r="1592" spans="1:6" ht="13">
      <c r="A1592" s="16">
        <v>127</v>
      </c>
      <c r="B1592">
        <v>1.9</v>
      </c>
      <c r="C1592">
        <v>8.1935348234723033</v>
      </c>
      <c r="D1592">
        <f>koronahun!AF796</f>
        <v>0</v>
      </c>
      <c r="E1592" s="16" t="s">
        <v>72</v>
      </c>
      <c r="F1592" s="16" t="s">
        <v>72</v>
      </c>
    </row>
    <row r="1593" spans="1:6" ht="13">
      <c r="A1593" s="16">
        <v>128</v>
      </c>
      <c r="B1593">
        <v>1.6085714285714283</v>
      </c>
      <c r="C1593">
        <v>8.0282407552575314</v>
      </c>
      <c r="D1593">
        <f>koronahun!AF797</f>
        <v>0</v>
      </c>
      <c r="E1593" s="16" t="s">
        <v>72</v>
      </c>
      <c r="F1593" s="16" t="s">
        <v>72</v>
      </c>
    </row>
    <row r="1594" spans="1:6" ht="13">
      <c r="A1594" s="16">
        <v>129</v>
      </c>
      <c r="B1594">
        <v>1.3771428571428572</v>
      </c>
      <c r="C1594">
        <v>7.9223807553322994</v>
      </c>
      <c r="D1594">
        <f>koronahun!AF798</f>
        <v>0</v>
      </c>
      <c r="E1594" s="16" t="s">
        <v>72</v>
      </c>
      <c r="F1594" s="16" t="s">
        <v>72</v>
      </c>
    </row>
    <row r="1595" spans="1:6" ht="13">
      <c r="A1595" s="16">
        <v>130</v>
      </c>
      <c r="B1595">
        <v>1.1942857142857142</v>
      </c>
      <c r="C1595">
        <v>7.5728049100746126</v>
      </c>
      <c r="D1595">
        <f>koronahun!AF799</f>
        <v>0</v>
      </c>
      <c r="E1595" s="16" t="s">
        <v>72</v>
      </c>
      <c r="F1595" s="16" t="s">
        <v>72</v>
      </c>
    </row>
    <row r="1596" spans="1:6" ht="13">
      <c r="A1596" s="16">
        <v>131</v>
      </c>
      <c r="B1596">
        <v>1</v>
      </c>
      <c r="C1596">
        <v>7.4206395885809657</v>
      </c>
      <c r="D1596" s="13">
        <f>koronahun!AF800</f>
        <v>2.4658515373203047E-2</v>
      </c>
      <c r="E1596" s="16" t="s">
        <v>72</v>
      </c>
      <c r="F1596" s="16" t="s">
        <v>72</v>
      </c>
    </row>
    <row r="1597" spans="1:6" ht="13">
      <c r="A1597" s="16">
        <v>132</v>
      </c>
      <c r="B1597">
        <v>0.89428571428571446</v>
      </c>
      <c r="C1597">
        <v>7.2875748381858925</v>
      </c>
      <c r="D1597">
        <f>koronahun!AF801</f>
        <v>0</v>
      </c>
      <c r="E1597" s="16" t="s">
        <v>72</v>
      </c>
      <c r="F1597" s="16" t="s">
        <v>72</v>
      </c>
    </row>
    <row r="1598" spans="1:6" ht="13">
      <c r="A1598" s="16">
        <v>133</v>
      </c>
      <c r="B1598">
        <v>0.79285714285714293</v>
      </c>
      <c r="C1598">
        <v>6.8658753994778259</v>
      </c>
      <c r="D1598">
        <f>koronahun!AF802</f>
        <v>0</v>
      </c>
      <c r="E1598" s="16" t="s">
        <v>72</v>
      </c>
      <c r="F1598" s="16" t="s">
        <v>72</v>
      </c>
    </row>
    <row r="1599" spans="1:6" ht="13">
      <c r="A1599" s="16">
        <v>134</v>
      </c>
      <c r="B1599">
        <v>0.80428571428571427</v>
      </c>
      <c r="C1599">
        <v>6.5847181497720593</v>
      </c>
      <c r="D1599">
        <f>koronahun!AF803</f>
        <v>0</v>
      </c>
      <c r="E1599" s="16" t="s">
        <v>72</v>
      </c>
      <c r="F1599" s="16" t="s">
        <v>72</v>
      </c>
    </row>
    <row r="1600" spans="1:6" ht="13">
      <c r="A1600" s="16">
        <v>135</v>
      </c>
      <c r="B1600">
        <v>0.85714285714285721</v>
      </c>
      <c r="C1600">
        <v>6.38744592681733</v>
      </c>
      <c r="D1600">
        <f>koronahun!AF804</f>
        <v>0</v>
      </c>
      <c r="E1600" s="16" t="s">
        <v>72</v>
      </c>
      <c r="F1600" s="16" t="s">
        <v>72</v>
      </c>
    </row>
    <row r="1601" spans="1:6" ht="13">
      <c r="A1601" s="16">
        <v>136</v>
      </c>
      <c r="B1601">
        <v>0.92999999999999994</v>
      </c>
      <c r="C1601">
        <v>6.0745678983887643</v>
      </c>
      <c r="D1601">
        <f>koronahun!AF805</f>
        <v>0</v>
      </c>
      <c r="E1601" s="16" t="s">
        <v>72</v>
      </c>
      <c r="F1601" s="16" t="s">
        <v>72</v>
      </c>
    </row>
    <row r="1602" spans="1:6" ht="13">
      <c r="A1602" s="16">
        <v>137</v>
      </c>
      <c r="B1602">
        <v>0.9257142857142856</v>
      </c>
      <c r="C1602">
        <v>5.7451593542235022</v>
      </c>
      <c r="D1602">
        <f>koronahun!AF806</f>
        <v>0</v>
      </c>
      <c r="E1602" s="16" t="s">
        <v>72</v>
      </c>
      <c r="F1602" s="16" t="s">
        <v>72</v>
      </c>
    </row>
    <row r="1603" spans="1:6" ht="13">
      <c r="A1603" s="16">
        <v>138</v>
      </c>
      <c r="B1603">
        <v>1.0242857142857142</v>
      </c>
      <c r="C1603">
        <v>5.4319844714378407</v>
      </c>
      <c r="D1603" s="13">
        <f>koronahun!AF807</f>
        <v>0</v>
      </c>
      <c r="E1603" s="16" t="s">
        <v>72</v>
      </c>
      <c r="F1603" s="16" t="s">
        <v>72</v>
      </c>
    </row>
    <row r="1604" spans="1:6" ht="13">
      <c r="A1604" s="16">
        <v>139</v>
      </c>
      <c r="B1604">
        <v>1.0671428571428572</v>
      </c>
      <c r="C1604">
        <v>5.2043967139522485</v>
      </c>
      <c r="D1604">
        <f>koronahun!AF808</f>
        <v>0</v>
      </c>
      <c r="E1604" s="16" t="s">
        <v>72</v>
      </c>
      <c r="F1604" s="16" t="s">
        <v>72</v>
      </c>
    </row>
    <row r="1605" spans="1:6" ht="13">
      <c r="A1605" s="16">
        <v>140</v>
      </c>
      <c r="B1605">
        <v>1.1099999999999999</v>
      </c>
      <c r="C1605">
        <v>5.1598268967226764</v>
      </c>
      <c r="D1605">
        <f>koronahun!AF809</f>
        <v>0</v>
      </c>
      <c r="E1605" s="16" t="s">
        <v>72</v>
      </c>
      <c r="F1605" s="16" t="s">
        <v>72</v>
      </c>
    </row>
    <row r="1606" spans="1:6" ht="13">
      <c r="A1606" s="16">
        <v>141</v>
      </c>
      <c r="B1606">
        <v>1.1214285714285714</v>
      </c>
      <c r="C1606">
        <v>5.1432663725155852</v>
      </c>
      <c r="D1606">
        <f>koronahun!AF810</f>
        <v>0</v>
      </c>
      <c r="E1606" s="16" t="s">
        <v>72</v>
      </c>
      <c r="F1606" s="16" t="s">
        <v>72</v>
      </c>
    </row>
    <row r="1607" spans="1:6" ht="13">
      <c r="A1607" s="16">
        <v>142</v>
      </c>
      <c r="B1607">
        <v>1.0528571428571429</v>
      </c>
      <c r="C1607">
        <v>4.5937358489196907</v>
      </c>
      <c r="D1607">
        <f>koronahun!AF811</f>
        <v>0</v>
      </c>
      <c r="E1607" s="16" t="s">
        <v>72</v>
      </c>
      <c r="F1607" s="16" t="s">
        <v>72</v>
      </c>
    </row>
    <row r="1608" spans="1:6" ht="13">
      <c r="A1608" s="16">
        <v>143</v>
      </c>
      <c r="B1608">
        <v>1.0057142857142858</v>
      </c>
      <c r="C1608">
        <v>4.3686253817736604</v>
      </c>
      <c r="D1608">
        <f>koronahun!AF812</f>
        <v>0</v>
      </c>
      <c r="E1608" s="16" t="s">
        <v>72</v>
      </c>
      <c r="F1608" s="16" t="s">
        <v>72</v>
      </c>
    </row>
    <row r="1609" spans="1:6" ht="13">
      <c r="A1609" s="16">
        <v>144</v>
      </c>
      <c r="B1609">
        <v>0.97571428571428565</v>
      </c>
      <c r="C1609">
        <v>4.1676658876811654</v>
      </c>
      <c r="D1609">
        <f>koronahun!AF813</f>
        <v>0</v>
      </c>
      <c r="E1609" s="16" t="s">
        <v>72</v>
      </c>
      <c r="F1609" s="16" t="s">
        <v>72</v>
      </c>
    </row>
    <row r="1610" spans="1:6" ht="13">
      <c r="A1610" s="16">
        <v>145</v>
      </c>
      <c r="B1610">
        <v>0.92714285714285716</v>
      </c>
      <c r="C1610">
        <v>3.7673979779911444</v>
      </c>
      <c r="D1610" s="13">
        <f>koronahun!AF814</f>
        <v>0</v>
      </c>
      <c r="E1610" s="16" t="s">
        <v>72</v>
      </c>
      <c r="F1610" s="16" t="s">
        <v>72</v>
      </c>
    </row>
    <row r="1611" spans="1:6" ht="13">
      <c r="A1611" s="16">
        <v>146</v>
      </c>
      <c r="B1611">
        <v>0.85142857142857142</v>
      </c>
      <c r="C1611">
        <v>3.6382806589440757</v>
      </c>
      <c r="D1611">
        <f>koronahun!AF815</f>
        <v>0</v>
      </c>
      <c r="E1611" s="16" t="s">
        <v>72</v>
      </c>
      <c r="F1611" s="16" t="s">
        <v>72</v>
      </c>
    </row>
    <row r="1612" spans="1:6" ht="13">
      <c r="A1612" s="16">
        <v>147</v>
      </c>
      <c r="B1612">
        <v>0.78857142857142837</v>
      </c>
      <c r="C1612">
        <v>3.3469289429580789</v>
      </c>
      <c r="D1612">
        <f>koronahun!AF816</f>
        <v>0</v>
      </c>
      <c r="E1612" s="16" t="s">
        <v>72</v>
      </c>
      <c r="F1612" s="16" t="s">
        <v>72</v>
      </c>
    </row>
    <row r="1613" spans="1:6" ht="13">
      <c r="A1613" s="16">
        <v>148</v>
      </c>
      <c r="B1613">
        <v>0.74142857142857144</v>
      </c>
      <c r="C1613">
        <v>2.875615252750364</v>
      </c>
      <c r="D1613">
        <f>koronahun!AF817</f>
        <v>0</v>
      </c>
      <c r="E1613" s="16" t="s">
        <v>72</v>
      </c>
      <c r="F1613" s="16" t="s">
        <v>72</v>
      </c>
    </row>
    <row r="1614" spans="1:6" ht="13">
      <c r="A1614" s="16">
        <v>149</v>
      </c>
      <c r="B1614">
        <v>0.73571428571428565</v>
      </c>
      <c r="C1614">
        <v>2.9120290179710793</v>
      </c>
      <c r="D1614">
        <f>koronahun!AF818</f>
        <v>0</v>
      </c>
      <c r="E1614" s="16" t="s">
        <v>72</v>
      </c>
      <c r="F1614" s="16" t="s">
        <v>72</v>
      </c>
    </row>
    <row r="1615" spans="1:6" ht="13">
      <c r="A1615" s="16">
        <v>150</v>
      </c>
      <c r="B1615">
        <v>0.70000000000000007</v>
      </c>
      <c r="C1615">
        <v>2.8170606939841991</v>
      </c>
      <c r="D1615">
        <f>koronahun!AF819</f>
        <v>0</v>
      </c>
      <c r="E1615" s="16" t="s">
        <v>72</v>
      </c>
      <c r="F1615" s="16" t="s">
        <v>72</v>
      </c>
    </row>
    <row r="1616" spans="1:6" ht="13">
      <c r="A1616" s="16">
        <v>151</v>
      </c>
      <c r="B1616">
        <v>0.64428571428571446</v>
      </c>
      <c r="C1616">
        <v>2.7076518062509325</v>
      </c>
      <c r="D1616">
        <f>koronahun!AF820</f>
        <v>0</v>
      </c>
      <c r="E1616" s="16" t="s">
        <v>72</v>
      </c>
      <c r="F1616" s="16" t="s">
        <v>72</v>
      </c>
    </row>
    <row r="1617" spans="1:6" ht="13">
      <c r="A1617" s="16">
        <v>152</v>
      </c>
      <c r="B1617">
        <v>0.6328571428571429</v>
      </c>
      <c r="C1617">
        <v>2.5342107246329943</v>
      </c>
      <c r="D1617" s="13">
        <f>koronahun!AF821</f>
        <v>0</v>
      </c>
      <c r="E1617" s="16" t="s">
        <v>72</v>
      </c>
      <c r="F1617" s="16" t="s">
        <v>72</v>
      </c>
    </row>
    <row r="1618" spans="1:6" ht="13">
      <c r="A1618" s="16">
        <v>153</v>
      </c>
      <c r="B1618">
        <v>0.71</v>
      </c>
      <c r="C1618">
        <v>2.2027914083043409</v>
      </c>
      <c r="D1618">
        <f>koronahun!AF822</f>
        <v>0</v>
      </c>
      <c r="E1618" s="16" t="s">
        <v>72</v>
      </c>
      <c r="F1618" s="16" t="s">
        <v>72</v>
      </c>
    </row>
    <row r="1619" spans="1:6" ht="13">
      <c r="A1619" s="16">
        <v>154</v>
      </c>
      <c r="B1619">
        <v>0.71285714285714286</v>
      </c>
      <c r="C1619">
        <v>3.1211997185281026</v>
      </c>
      <c r="D1619">
        <f>koronahun!AF823</f>
        <v>0</v>
      </c>
      <c r="E1619" s="16" t="s">
        <v>72</v>
      </c>
      <c r="F1619" s="16" t="s">
        <v>72</v>
      </c>
    </row>
    <row r="1620" spans="1:6" ht="13">
      <c r="A1620" s="16">
        <v>155</v>
      </c>
      <c r="B1620">
        <v>0.70714285714285707</v>
      </c>
      <c r="C1620">
        <v>2.9154481447862395</v>
      </c>
      <c r="D1620">
        <f>koronahun!AF824</f>
        <v>0</v>
      </c>
      <c r="E1620" s="16" t="s">
        <v>72</v>
      </c>
      <c r="F1620" s="16" t="s">
        <v>72</v>
      </c>
    </row>
    <row r="1621" spans="1:6" ht="13">
      <c r="A1621" s="16">
        <v>156</v>
      </c>
      <c r="B1621">
        <v>0.68285714285714283</v>
      </c>
      <c r="C1621">
        <v>2.8118548122711218</v>
      </c>
      <c r="D1621">
        <f>koronahun!AF825</f>
        <v>0</v>
      </c>
      <c r="E1621" s="16" t="s">
        <v>72</v>
      </c>
      <c r="F1621" s="16" t="s">
        <v>72</v>
      </c>
    </row>
    <row r="1622" spans="1:6" ht="13">
      <c r="A1622" s="16">
        <v>157</v>
      </c>
      <c r="B1622">
        <v>0.64142857142857146</v>
      </c>
      <c r="C1622">
        <v>2.6368471714672319</v>
      </c>
      <c r="D1622">
        <f>koronahun!AF826</f>
        <v>0</v>
      </c>
      <c r="E1622" s="16" t="s">
        <v>72</v>
      </c>
      <c r="F1622" s="16" t="s">
        <v>72</v>
      </c>
    </row>
    <row r="1623" spans="1:6" ht="13">
      <c r="A1623" s="16">
        <v>158</v>
      </c>
      <c r="B1623">
        <v>0.66571428571428592</v>
      </c>
      <c r="C1623">
        <v>2.5349225811874847</v>
      </c>
      <c r="D1623">
        <f>koronahun!AF827</f>
        <v>0</v>
      </c>
      <c r="E1623" s="16" t="s">
        <v>72</v>
      </c>
      <c r="F1623" s="16" t="s">
        <v>72</v>
      </c>
    </row>
    <row r="1624" spans="1:6" ht="13">
      <c r="A1624" s="16">
        <v>159</v>
      </c>
      <c r="B1624">
        <v>0.70714285714285718</v>
      </c>
      <c r="C1624">
        <v>2.6248059578855485</v>
      </c>
      <c r="D1624" s="13">
        <f>koronahun!AF828</f>
        <v>0</v>
      </c>
      <c r="E1624" s="16" t="s">
        <v>72</v>
      </c>
      <c r="F1624" s="16" t="s">
        <v>72</v>
      </c>
    </row>
    <row r="1625" spans="1:6" ht="13">
      <c r="A1625" s="16">
        <v>160</v>
      </c>
      <c r="B1625">
        <v>0.51142857142857157</v>
      </c>
      <c r="C1625">
        <v>2.6571677682982888</v>
      </c>
      <c r="D1625">
        <f>koronahun!AF829</f>
        <v>0</v>
      </c>
      <c r="E1625" s="16" t="s">
        <v>72</v>
      </c>
      <c r="F1625" s="16" t="s">
        <v>72</v>
      </c>
    </row>
    <row r="1626" spans="1:6" ht="13">
      <c r="A1626" s="16">
        <v>161</v>
      </c>
      <c r="B1626">
        <v>0.46714285714285714</v>
      </c>
      <c r="C1626">
        <v>1.5816228835147099</v>
      </c>
      <c r="D1626">
        <f>koronahun!AF830</f>
        <v>0</v>
      </c>
      <c r="E1626" s="16" t="s">
        <v>72</v>
      </c>
      <c r="F1626" s="16" t="s">
        <v>72</v>
      </c>
    </row>
    <row r="1627" spans="1:6" ht="13">
      <c r="A1627" s="16">
        <v>162</v>
      </c>
      <c r="B1627">
        <v>0.4285714285714286</v>
      </c>
      <c r="C1627">
        <v>1.5786982033000059</v>
      </c>
      <c r="D1627">
        <f>koronahun!AF831</f>
        <v>0</v>
      </c>
      <c r="E1627" s="16" t="s">
        <v>72</v>
      </c>
      <c r="F1627" s="16" t="s">
        <v>72</v>
      </c>
    </row>
    <row r="1628" spans="1:6" ht="13">
      <c r="A1628" s="16">
        <v>163</v>
      </c>
      <c r="B1628">
        <v>0.44</v>
      </c>
      <c r="D1628">
        <f>koronahun!AF832</f>
        <v>0</v>
      </c>
      <c r="E1628" s="16" t="s">
        <v>72</v>
      </c>
      <c r="F1628" s="16" t="s">
        <v>72</v>
      </c>
    </row>
    <row r="1629" spans="1:6" ht="13">
      <c r="A1629" s="16">
        <v>164</v>
      </c>
      <c r="B1629">
        <v>0.41714285714285709</v>
      </c>
      <c r="D1629">
        <f>koronahun!AF833</f>
        <v>0</v>
      </c>
      <c r="E1629" s="16" t="s">
        <v>72</v>
      </c>
      <c r="F1629" s="16" t="s">
        <v>72</v>
      </c>
    </row>
    <row r="1630" spans="1:6" ht="13">
      <c r="A1630" s="16">
        <v>165</v>
      </c>
      <c r="B1630">
        <v>0.36</v>
      </c>
      <c r="C1630">
        <v>1.4542132214617156</v>
      </c>
      <c r="D1630">
        <f>koronahun!AF834</f>
        <v>0</v>
      </c>
      <c r="E1630" s="16" t="s">
        <v>72</v>
      </c>
      <c r="F1630" s="16" t="s">
        <v>72</v>
      </c>
    </row>
    <row r="1631" spans="1:6" ht="13">
      <c r="A1631" s="16">
        <v>166</v>
      </c>
      <c r="B1631">
        <v>0.26428571428571435</v>
      </c>
      <c r="C1631">
        <v>1.2913641948163357</v>
      </c>
      <c r="D1631" s="13">
        <f>koronahun!AF835</f>
        <v>0</v>
      </c>
      <c r="E1631" s="16" t="s">
        <v>72</v>
      </c>
      <c r="F1631" s="16" t="s">
        <v>72</v>
      </c>
    </row>
    <row r="1632" spans="1:6" ht="13">
      <c r="A1632" s="16">
        <v>167</v>
      </c>
      <c r="B1632">
        <v>0.26285714285714284</v>
      </c>
      <c r="C1632">
        <v>1.1906114738316953</v>
      </c>
      <c r="D1632">
        <f>koronahun!AF836</f>
        <v>0</v>
      </c>
      <c r="E1632" s="16" t="s">
        <v>72</v>
      </c>
      <c r="F1632" s="16" t="s">
        <v>72</v>
      </c>
    </row>
    <row r="1633" spans="1:6" ht="13">
      <c r="A1633" s="16">
        <v>168</v>
      </c>
      <c r="B1633">
        <v>0.22142857142857142</v>
      </c>
      <c r="C1633">
        <v>1.0701293544760202</v>
      </c>
      <c r="D1633">
        <f>koronahun!AF837</f>
        <v>0</v>
      </c>
      <c r="E1633" s="16" t="s">
        <v>72</v>
      </c>
      <c r="F1633" s="16" t="s">
        <v>72</v>
      </c>
    </row>
    <row r="1634" spans="1:6" ht="13">
      <c r="A1634" s="16">
        <v>169</v>
      </c>
      <c r="B1634">
        <v>0.18857142857142856</v>
      </c>
      <c r="C1634">
        <v>0.94323752608635147</v>
      </c>
      <c r="D1634">
        <f>koronahun!AF838</f>
        <v>0</v>
      </c>
      <c r="E1634" s="16" t="s">
        <v>72</v>
      </c>
      <c r="F1634" s="16" t="s">
        <v>72</v>
      </c>
    </row>
    <row r="1635" spans="1:6" ht="13">
      <c r="A1635" s="16">
        <v>170</v>
      </c>
      <c r="B1635">
        <v>0.15</v>
      </c>
      <c r="D1635">
        <f>koronahun!AF839</f>
        <v>0</v>
      </c>
      <c r="E1635" s="16" t="s">
        <v>72</v>
      </c>
      <c r="F1635" s="16" t="s">
        <v>72</v>
      </c>
    </row>
    <row r="1636" spans="1:6" ht="13">
      <c r="A1636" s="16">
        <v>171</v>
      </c>
      <c r="B1636">
        <v>0.12428571428571428</v>
      </c>
      <c r="D1636">
        <f>koronahun!AF840</f>
        <v>0</v>
      </c>
      <c r="E1636" s="16" t="s">
        <v>72</v>
      </c>
      <c r="F1636" s="16" t="s">
        <v>72</v>
      </c>
    </row>
    <row r="1637" spans="1:6" ht="13">
      <c r="A1637" s="16">
        <v>172</v>
      </c>
      <c r="B1637">
        <v>0.13999999999999999</v>
      </c>
      <c r="C1637">
        <v>0.92471782510160239</v>
      </c>
      <c r="D1637">
        <f>koronahun!AF841</f>
        <v>0</v>
      </c>
      <c r="E1637" s="16" t="s">
        <v>72</v>
      </c>
      <c r="F1637" s="16" t="s">
        <v>72</v>
      </c>
    </row>
    <row r="1638" spans="1:6" ht="13">
      <c r="A1638" s="16">
        <v>173</v>
      </c>
      <c r="B1638">
        <v>0.14285714285714285</v>
      </c>
      <c r="C1638">
        <v>0.93958805609962071</v>
      </c>
      <c r="D1638" s="13">
        <f>koronahun!AF842</f>
        <v>0</v>
      </c>
      <c r="E1638" s="16" t="s">
        <v>72</v>
      </c>
      <c r="F1638" s="16" t="s">
        <v>72</v>
      </c>
    </row>
    <row r="1639" spans="1:6" ht="13">
      <c r="A1639" s="16">
        <v>174</v>
      </c>
      <c r="B1639">
        <v>0.22857142857142859</v>
      </c>
      <c r="C1639">
        <v>0.94626361819710736</v>
      </c>
      <c r="D1639">
        <f>koronahun!AF843</f>
        <v>0</v>
      </c>
      <c r="E1639" s="16" t="s">
        <v>72</v>
      </c>
      <c r="F1639" s="16" t="s">
        <v>72</v>
      </c>
    </row>
    <row r="1640" spans="1:6" ht="13">
      <c r="A1640" s="16">
        <v>175</v>
      </c>
      <c r="B1640">
        <v>0.26428571428571435</v>
      </c>
      <c r="C1640">
        <v>0.88078146546660063</v>
      </c>
      <c r="D1640">
        <f>koronahun!AF844</f>
        <v>0</v>
      </c>
      <c r="E1640" s="16" t="s">
        <v>72</v>
      </c>
      <c r="F1640" s="16" t="s">
        <v>72</v>
      </c>
    </row>
    <row r="1641" spans="1:6" ht="13">
      <c r="A1641" s="16">
        <v>176</v>
      </c>
      <c r="B1641">
        <v>0.29428571428571426</v>
      </c>
      <c r="C1641">
        <v>0.84185674096956964</v>
      </c>
      <c r="D1641">
        <f>koronahun!AF845</f>
        <v>0</v>
      </c>
      <c r="E1641" s="16" t="s">
        <v>72</v>
      </c>
      <c r="F1641" s="16" t="s">
        <v>72</v>
      </c>
    </row>
    <row r="1642" spans="1:6" ht="13">
      <c r="A1642" s="16">
        <v>177</v>
      </c>
      <c r="B1642">
        <v>0.31714285714285717</v>
      </c>
      <c r="D1642">
        <f>koronahun!AF846</f>
        <v>0</v>
      </c>
      <c r="E1642" s="16" t="s">
        <v>72</v>
      </c>
      <c r="F1642" s="16" t="s">
        <v>72</v>
      </c>
    </row>
    <row r="1643" spans="1:6" ht="13">
      <c r="A1643" s="16">
        <v>178</v>
      </c>
      <c r="B1643">
        <v>0.3471428571428572</v>
      </c>
      <c r="D1643">
        <f>koronahun!AF847</f>
        <v>0</v>
      </c>
      <c r="E1643" s="16" t="s">
        <v>72</v>
      </c>
      <c r="F1643" s="16" t="s">
        <v>72</v>
      </c>
    </row>
    <row r="1644" spans="1:6" ht="13">
      <c r="A1644" s="16">
        <v>179</v>
      </c>
      <c r="B1644">
        <v>0.37285714285714283</v>
      </c>
      <c r="C1644">
        <v>0.79936735688559901</v>
      </c>
      <c r="D1644">
        <f>koronahun!AF848</f>
        <v>0</v>
      </c>
      <c r="E1644" s="16" t="s">
        <v>72</v>
      </c>
      <c r="F1644" s="16" t="s">
        <v>72</v>
      </c>
    </row>
    <row r="1645" spans="1:6" ht="13">
      <c r="A1645" s="16">
        <v>180</v>
      </c>
      <c r="B1645">
        <v>0.32428571428571434</v>
      </c>
      <c r="C1645">
        <v>0.70753834093487344</v>
      </c>
      <c r="D1645" s="13">
        <f>koronahun!AF849</f>
        <v>0</v>
      </c>
      <c r="E1645" s="16" t="s">
        <v>72</v>
      </c>
      <c r="F1645" s="16" t="s">
        <v>72</v>
      </c>
    </row>
    <row r="1646" spans="1:6" ht="13">
      <c r="A1646" s="16">
        <v>181</v>
      </c>
      <c r="B1646">
        <v>0.36285714285714282</v>
      </c>
      <c r="C1646">
        <v>0.64757515013178202</v>
      </c>
      <c r="D1646">
        <f>koronahun!AF850</f>
        <v>0</v>
      </c>
      <c r="E1646" s="16" t="s">
        <v>72</v>
      </c>
      <c r="F1646" s="16" t="s">
        <v>72</v>
      </c>
    </row>
    <row r="1647" spans="1:6" ht="13">
      <c r="A1647" s="16">
        <v>182</v>
      </c>
      <c r="B1647">
        <v>0.33428571428571424</v>
      </c>
      <c r="C1647">
        <v>0.58350140340120982</v>
      </c>
      <c r="D1647">
        <f>koronahun!AF851</f>
        <v>0</v>
      </c>
      <c r="E1647" s="16" t="s">
        <v>72</v>
      </c>
      <c r="F1647" s="16" t="s">
        <v>72</v>
      </c>
    </row>
    <row r="1648" spans="1:6" ht="13">
      <c r="A1648" s="16">
        <v>183</v>
      </c>
      <c r="B1648">
        <v>0.36571428571428566</v>
      </c>
      <c r="C1648">
        <v>0.5654177464174589</v>
      </c>
      <c r="D1648">
        <f>koronahun!AF852</f>
        <v>0</v>
      </c>
      <c r="E1648" s="16" t="s">
        <v>72</v>
      </c>
      <c r="F1648" s="16" t="s">
        <v>72</v>
      </c>
    </row>
    <row r="1649" spans="1:6" ht="13">
      <c r="A1649" s="16">
        <v>184</v>
      </c>
      <c r="B1649">
        <v>0.38</v>
      </c>
      <c r="D1649">
        <f>koronahun!AF853</f>
        <v>0</v>
      </c>
      <c r="E1649" s="16" t="s">
        <v>72</v>
      </c>
      <c r="F1649" s="16" t="s">
        <v>72</v>
      </c>
    </row>
    <row r="1650" spans="1:6" ht="13">
      <c r="A1650" s="16">
        <v>185</v>
      </c>
      <c r="B1650">
        <v>0.34714285714285709</v>
      </c>
      <c r="D1650">
        <f>koronahun!AF854</f>
        <v>0</v>
      </c>
      <c r="E1650" s="16" t="s">
        <v>72</v>
      </c>
      <c r="F1650" s="16" t="s">
        <v>72</v>
      </c>
    </row>
    <row r="1651" spans="1:6" ht="13">
      <c r="A1651" s="16">
        <v>186</v>
      </c>
      <c r="B1651">
        <v>0.3471428571428572</v>
      </c>
      <c r="C1651">
        <v>0.5173510858682534</v>
      </c>
      <c r="D1651">
        <f>koronahun!AF855</f>
        <v>0</v>
      </c>
      <c r="E1651" s="16" t="s">
        <v>72</v>
      </c>
      <c r="F1651" s="16" t="s">
        <v>72</v>
      </c>
    </row>
    <row r="1652" spans="1:6" ht="13">
      <c r="A1652" s="16">
        <v>187</v>
      </c>
      <c r="B1652">
        <v>0.50571428571428578</v>
      </c>
      <c r="C1652">
        <v>0.51261517119335165</v>
      </c>
      <c r="D1652" s="13">
        <f>koronahun!AF856</f>
        <v>0</v>
      </c>
      <c r="E1652" s="16" t="s">
        <v>72</v>
      </c>
      <c r="F1652" s="16" t="s">
        <v>72</v>
      </c>
    </row>
    <row r="1653" spans="1:6" ht="13">
      <c r="A1653" s="16">
        <v>188</v>
      </c>
      <c r="B1653">
        <v>0.62571428571428578</v>
      </c>
      <c r="C1653">
        <v>0.57563369591823021</v>
      </c>
      <c r="D1653">
        <f>koronahun!AF857</f>
        <v>0</v>
      </c>
      <c r="E1653" s="16" t="s">
        <v>72</v>
      </c>
      <c r="F1653" s="16" t="s">
        <v>72</v>
      </c>
    </row>
    <row r="1654" spans="1:6" ht="13">
      <c r="A1654" s="16">
        <v>189</v>
      </c>
      <c r="B1654">
        <v>0.65714285714285714</v>
      </c>
      <c r="C1654">
        <v>0.68871378754011159</v>
      </c>
      <c r="D1654">
        <f>koronahun!AF858</f>
        <v>0</v>
      </c>
      <c r="E1654" s="16" t="s">
        <v>72</v>
      </c>
      <c r="F1654" s="16" t="s">
        <v>72</v>
      </c>
    </row>
    <row r="1655" spans="1:6" ht="13">
      <c r="A1655" s="16">
        <v>190</v>
      </c>
      <c r="B1655">
        <v>0.74857142857142855</v>
      </c>
      <c r="C1655">
        <v>0.65525363436438311</v>
      </c>
      <c r="D1655">
        <f>koronahun!AF859</f>
        <v>0</v>
      </c>
      <c r="E1655" s="16" t="s">
        <v>72</v>
      </c>
      <c r="F1655" s="16" t="s">
        <v>72</v>
      </c>
    </row>
    <row r="1656" spans="1:6" ht="13">
      <c r="A1656" s="16">
        <v>191</v>
      </c>
      <c r="B1656">
        <v>0.72142857142857142</v>
      </c>
      <c r="D1656">
        <f>koronahun!AF860</f>
        <v>0</v>
      </c>
      <c r="E1656" s="16" t="s">
        <v>72</v>
      </c>
      <c r="F1656" s="16" t="s">
        <v>72</v>
      </c>
    </row>
    <row r="1657" spans="1:6" ht="13">
      <c r="A1657" s="16">
        <v>192</v>
      </c>
      <c r="B1657">
        <v>0.77857142857142847</v>
      </c>
      <c r="D1657">
        <f>koronahun!AF861</f>
        <v>0</v>
      </c>
      <c r="E1657" s="16" t="s">
        <v>72</v>
      </c>
      <c r="F1657" s="16" t="s">
        <v>72</v>
      </c>
    </row>
    <row r="1658" spans="1:6" ht="13">
      <c r="A1658" s="16">
        <v>193</v>
      </c>
      <c r="B1658">
        <v>0.77571428571428569</v>
      </c>
      <c r="C1658">
        <v>0.69443450902550774</v>
      </c>
      <c r="D1658">
        <f>koronahun!AF862</f>
        <v>0</v>
      </c>
      <c r="E1658" s="16" t="s">
        <v>72</v>
      </c>
      <c r="F1658" s="16" t="s">
        <v>72</v>
      </c>
    </row>
    <row r="1659" spans="1:6" ht="13">
      <c r="A1659" s="16">
        <v>194</v>
      </c>
      <c r="B1659">
        <v>0.76428571428571435</v>
      </c>
      <c r="C1659">
        <v>0.62596873038698431</v>
      </c>
      <c r="D1659" s="13">
        <f>koronahun!AF863</f>
        <v>0</v>
      </c>
      <c r="E1659" s="16" t="s">
        <v>72</v>
      </c>
      <c r="F1659" s="16" t="s">
        <v>72</v>
      </c>
    </row>
    <row r="1660" spans="1:6" ht="13">
      <c r="A1660" s="16">
        <v>195</v>
      </c>
      <c r="B1660">
        <v>0.70714285714285707</v>
      </c>
      <c r="C1660">
        <v>0.60866404924229367</v>
      </c>
      <c r="D1660">
        <f>koronahun!AF864</f>
        <v>0</v>
      </c>
      <c r="E1660" s="16" t="s">
        <v>72</v>
      </c>
      <c r="F1660" s="16" t="s">
        <v>72</v>
      </c>
    </row>
    <row r="1661" spans="1:6" ht="13">
      <c r="A1661" s="16">
        <v>196</v>
      </c>
      <c r="B1661">
        <v>0.69142857142857139</v>
      </c>
      <c r="C1661">
        <v>0.54929522598220337</v>
      </c>
      <c r="D1661">
        <f>koronahun!AF865</f>
        <v>0</v>
      </c>
      <c r="E1661" s="16" t="s">
        <v>72</v>
      </c>
      <c r="F1661" s="16" t="s">
        <v>72</v>
      </c>
    </row>
    <row r="1662" spans="1:6" ht="13">
      <c r="A1662" s="16">
        <v>197</v>
      </c>
      <c r="B1662">
        <v>0.69285714285714284</v>
      </c>
      <c r="C1662">
        <v>0.62863566259187453</v>
      </c>
      <c r="D1662">
        <f>koronahun!AF866</f>
        <v>0</v>
      </c>
      <c r="E1662" s="16" t="s">
        <v>72</v>
      </c>
      <c r="F1662" s="16" t="s">
        <v>72</v>
      </c>
    </row>
    <row r="1663" spans="1:6" ht="13">
      <c r="A1663" s="16">
        <v>198</v>
      </c>
      <c r="B1663">
        <v>0.77</v>
      </c>
      <c r="D1663">
        <f>koronahun!AF867</f>
        <v>0</v>
      </c>
      <c r="E1663" s="16" t="s">
        <v>72</v>
      </c>
      <c r="F1663" s="16" t="s">
        <v>72</v>
      </c>
    </row>
    <row r="1664" spans="1:6" ht="13">
      <c r="A1664" s="16">
        <v>199</v>
      </c>
      <c r="B1664">
        <v>0.82857142857142874</v>
      </c>
      <c r="D1664">
        <f>koronahun!AF868</f>
        <v>0</v>
      </c>
      <c r="E1664" s="16" t="s">
        <v>72</v>
      </c>
      <c r="F1664" s="16" t="s">
        <v>72</v>
      </c>
    </row>
    <row r="1665" spans="1:6" ht="13">
      <c r="A1665" s="16">
        <v>200</v>
      </c>
      <c r="B1665">
        <v>0.86428571428571432</v>
      </c>
      <c r="C1665">
        <v>0.66461074746477522</v>
      </c>
      <c r="D1665">
        <f>koronahun!AF869</f>
        <v>0</v>
      </c>
      <c r="E1665" s="16" t="s">
        <v>72</v>
      </c>
      <c r="F1665" s="16" t="s">
        <v>72</v>
      </c>
    </row>
    <row r="1666" spans="1:6" ht="13">
      <c r="A1666" s="16">
        <v>201</v>
      </c>
      <c r="B1666">
        <v>0.7400000000000001</v>
      </c>
      <c r="C1666">
        <v>0.6942571906036461</v>
      </c>
      <c r="D1666" s="13">
        <f>koronahun!AF870</f>
        <v>0</v>
      </c>
      <c r="E1666" s="16" t="s">
        <v>72</v>
      </c>
      <c r="F1666" s="16" t="s">
        <v>72</v>
      </c>
    </row>
    <row r="1667" spans="1:6" ht="13">
      <c r="A1667" s="16">
        <v>202</v>
      </c>
      <c r="B1667">
        <v>0.69285714285714284</v>
      </c>
      <c r="C1667">
        <v>0.70979953833715503</v>
      </c>
      <c r="D1667">
        <f>koronahun!AF871</f>
        <v>0</v>
      </c>
      <c r="E1667" s="16" t="s">
        <v>72</v>
      </c>
      <c r="F1667" s="16" t="s">
        <v>72</v>
      </c>
    </row>
    <row r="1668" spans="1:6" ht="13">
      <c r="A1668" s="16">
        <v>203</v>
      </c>
      <c r="B1668">
        <v>0.79285714285714293</v>
      </c>
      <c r="C1668">
        <v>0.7921849894914812</v>
      </c>
      <c r="D1668">
        <f>koronahun!AF872</f>
        <v>0</v>
      </c>
      <c r="E1668" s="16" t="s">
        <v>72</v>
      </c>
      <c r="F1668" s="16" t="s">
        <v>72</v>
      </c>
    </row>
    <row r="1669" spans="1:6" ht="13">
      <c r="A1669" s="16">
        <v>204</v>
      </c>
      <c r="B1669">
        <v>0.69857142857142873</v>
      </c>
      <c r="C1669">
        <v>0.81606401957933961</v>
      </c>
      <c r="D1669">
        <f>koronahun!AF873</f>
        <v>0</v>
      </c>
      <c r="E1669" s="16" t="s">
        <v>72</v>
      </c>
      <c r="F1669" s="16" t="s">
        <v>72</v>
      </c>
    </row>
    <row r="1670" spans="1:6" ht="13">
      <c r="A1670" s="16">
        <v>205</v>
      </c>
      <c r="B1670">
        <v>0.67285714285714293</v>
      </c>
      <c r="D1670">
        <f>koronahun!AF874</f>
        <v>0</v>
      </c>
      <c r="E1670" s="16" t="s">
        <v>72</v>
      </c>
      <c r="F1670" s="16" t="s">
        <v>72</v>
      </c>
    </row>
    <row r="1671" spans="1:6" ht="13">
      <c r="A1671" s="16">
        <v>206</v>
      </c>
      <c r="B1671">
        <v>0.63857142857142857</v>
      </c>
      <c r="D1671">
        <f>koronahun!AF875</f>
        <v>0</v>
      </c>
      <c r="E1671" s="16" t="s">
        <v>72</v>
      </c>
      <c r="F1671" s="16" t="s">
        <v>72</v>
      </c>
    </row>
    <row r="1672" spans="1:6" ht="13">
      <c r="A1672" s="16">
        <v>207</v>
      </c>
      <c r="B1672">
        <v>0.59857142857142864</v>
      </c>
      <c r="C1672">
        <v>0.8379942785225164</v>
      </c>
      <c r="D1672">
        <f>koronahun!AF876</f>
        <v>0</v>
      </c>
      <c r="E1672" s="16" t="s">
        <v>72</v>
      </c>
      <c r="F1672" s="16" t="s">
        <v>72</v>
      </c>
    </row>
    <row r="1673" spans="1:6" ht="13">
      <c r="A1673" s="16">
        <v>208</v>
      </c>
      <c r="B1673">
        <v>0.65142857142857147</v>
      </c>
      <c r="C1673">
        <v>0.84277550598690809</v>
      </c>
      <c r="D1673" s="13">
        <f>koronahun!AF877</f>
        <v>0</v>
      </c>
      <c r="E1673" s="16" t="s">
        <v>72</v>
      </c>
      <c r="F1673" s="16" t="s">
        <v>72</v>
      </c>
    </row>
    <row r="1674" spans="1:6" ht="13">
      <c r="A1674" s="16">
        <v>209</v>
      </c>
      <c r="B1674">
        <v>0.56999999999999995</v>
      </c>
      <c r="C1674">
        <v>0.84904846461761485</v>
      </c>
      <c r="D1674">
        <f>koronahun!AF878</f>
        <v>0</v>
      </c>
      <c r="E1674" s="16" t="s">
        <v>72</v>
      </c>
      <c r="F1674" s="16" t="s">
        <v>72</v>
      </c>
    </row>
    <row r="1675" spans="1:6" ht="13">
      <c r="A1675" s="16">
        <v>210</v>
      </c>
      <c r="B1675">
        <v>0.48428571428571426</v>
      </c>
      <c r="C1675">
        <v>0.8166881151280263</v>
      </c>
      <c r="D1675">
        <f>koronahun!AF879</f>
        <v>0</v>
      </c>
      <c r="E1675" s="16" t="s">
        <v>72</v>
      </c>
      <c r="F1675" s="16" t="s">
        <v>72</v>
      </c>
    </row>
    <row r="1676" spans="1:6" ht="13">
      <c r="A1676" s="16">
        <v>211</v>
      </c>
      <c r="B1676">
        <v>0.5099999999999999</v>
      </c>
      <c r="C1676">
        <v>0.9262830144190467</v>
      </c>
      <c r="D1676">
        <f>koronahun!AF880</f>
        <v>0</v>
      </c>
      <c r="E1676" s="16" t="s">
        <v>72</v>
      </c>
      <c r="F1676" s="16" t="s">
        <v>72</v>
      </c>
    </row>
    <row r="1677" spans="1:6" ht="13">
      <c r="A1677" s="16">
        <v>212</v>
      </c>
      <c r="B1677">
        <v>0.55285714285714282</v>
      </c>
      <c r="D1677">
        <f>koronahun!AF881</f>
        <v>0</v>
      </c>
      <c r="E1677" s="16" t="s">
        <v>72</v>
      </c>
      <c r="F1677" s="16" t="s">
        <v>72</v>
      </c>
    </row>
    <row r="1678" spans="1:6" ht="13">
      <c r="A1678" s="16">
        <v>213</v>
      </c>
      <c r="B1678">
        <v>0.5357142857142857</v>
      </c>
      <c r="D1678">
        <f>koronahun!AF882</f>
        <v>0</v>
      </c>
      <c r="E1678" s="16" t="s">
        <v>72</v>
      </c>
      <c r="F1678" s="16" t="s">
        <v>72</v>
      </c>
    </row>
    <row r="1679" spans="1:6" ht="13">
      <c r="A1679" s="16">
        <v>214</v>
      </c>
      <c r="B1679">
        <v>0.54285714285714282</v>
      </c>
      <c r="C1679">
        <v>0.91471579818227666</v>
      </c>
      <c r="D1679">
        <f>koronahun!AF883</f>
        <v>0</v>
      </c>
      <c r="E1679" s="16" t="s">
        <v>72</v>
      </c>
      <c r="F1679" s="16" t="s">
        <v>72</v>
      </c>
    </row>
    <row r="1680" spans="1:6" ht="13">
      <c r="A1680" s="16">
        <v>215</v>
      </c>
      <c r="B1680">
        <v>0.51714285714285713</v>
      </c>
      <c r="C1680">
        <v>0.92306141475849757</v>
      </c>
      <c r="D1680" s="13">
        <f>koronahun!AF884</f>
        <v>0</v>
      </c>
      <c r="E1680" s="16" t="s">
        <v>72</v>
      </c>
      <c r="F1680" s="16" t="s">
        <v>72</v>
      </c>
    </row>
    <row r="1681" spans="1:6" ht="13">
      <c r="A1681" s="16">
        <v>216</v>
      </c>
      <c r="B1681">
        <v>0.5585714285714285</v>
      </c>
      <c r="C1681">
        <v>0.89143793216687717</v>
      </c>
      <c r="D1681">
        <f>koronahun!AF885</f>
        <v>0</v>
      </c>
      <c r="E1681" s="16" t="s">
        <v>72</v>
      </c>
      <c r="F1681" s="16" t="s">
        <v>72</v>
      </c>
    </row>
    <row r="1682" spans="1:6" ht="13">
      <c r="A1682" s="16">
        <v>217</v>
      </c>
      <c r="B1682">
        <v>0.59857142857142864</v>
      </c>
      <c r="C1682">
        <v>0.91171224354506875</v>
      </c>
      <c r="D1682">
        <f>koronahun!AF886</f>
        <v>0</v>
      </c>
      <c r="E1682" s="16" t="s">
        <v>72</v>
      </c>
      <c r="F1682" s="16" t="s">
        <v>72</v>
      </c>
    </row>
    <row r="1683" spans="1:6" ht="13">
      <c r="A1683" s="16">
        <v>218</v>
      </c>
      <c r="B1683">
        <v>0.7014285714285714</v>
      </c>
      <c r="C1683">
        <v>0.75866465877550759</v>
      </c>
      <c r="D1683">
        <f>koronahun!AF887</f>
        <v>0</v>
      </c>
      <c r="E1683" s="16" t="s">
        <v>72</v>
      </c>
      <c r="F1683" s="16" t="s">
        <v>72</v>
      </c>
    </row>
    <row r="1684" spans="1:6" ht="13">
      <c r="A1684" s="16">
        <v>219</v>
      </c>
      <c r="B1684">
        <v>0.70714285714285707</v>
      </c>
      <c r="D1684">
        <f>koronahun!AF888</f>
        <v>0</v>
      </c>
      <c r="E1684" s="16" t="s">
        <v>72</v>
      </c>
      <c r="F1684" s="16" t="s">
        <v>72</v>
      </c>
    </row>
    <row r="1685" spans="1:6" ht="13">
      <c r="A1685" s="16">
        <v>220</v>
      </c>
      <c r="B1685">
        <v>0.78142857142857147</v>
      </c>
      <c r="D1685">
        <f>koronahun!AF889</f>
        <v>0</v>
      </c>
      <c r="E1685" s="16" t="s">
        <v>72</v>
      </c>
      <c r="F1685" s="16" t="s">
        <v>72</v>
      </c>
    </row>
    <row r="1686" spans="1:6" ht="13">
      <c r="A1686" s="16">
        <v>221</v>
      </c>
      <c r="B1686">
        <v>0.98285714285714276</v>
      </c>
      <c r="C1686">
        <v>0.7630414464437163</v>
      </c>
      <c r="D1686">
        <f>koronahun!AF890</f>
        <v>0</v>
      </c>
      <c r="E1686" s="16" t="s">
        <v>72</v>
      </c>
      <c r="F1686" s="16" t="s">
        <v>72</v>
      </c>
    </row>
    <row r="1687" spans="1:6" ht="13">
      <c r="A1687" s="16">
        <v>222</v>
      </c>
      <c r="B1687">
        <v>1.1814285714285713</v>
      </c>
      <c r="C1687">
        <v>0.80692007123508502</v>
      </c>
      <c r="D1687" s="13">
        <f>koronahun!AF891</f>
        <v>0</v>
      </c>
      <c r="E1687" s="16" t="s">
        <v>72</v>
      </c>
      <c r="F1687" s="16" t="s">
        <v>72</v>
      </c>
    </row>
    <row r="1688" spans="1:6" ht="13">
      <c r="A1688" s="16">
        <v>223</v>
      </c>
      <c r="B1688">
        <v>1.3399999999999999</v>
      </c>
      <c r="C1688">
        <v>0.85671373806859541</v>
      </c>
      <c r="D1688">
        <f>koronahun!AF892</f>
        <v>0</v>
      </c>
      <c r="E1688" s="16" t="s">
        <v>72</v>
      </c>
      <c r="F1688" s="16" t="s">
        <v>72</v>
      </c>
    </row>
    <row r="1689" spans="1:6" ht="13">
      <c r="A1689" s="16">
        <v>224</v>
      </c>
      <c r="B1689">
        <v>1.3685714285714285</v>
      </c>
      <c r="C1689">
        <v>0.86285666314258658</v>
      </c>
      <c r="D1689">
        <f>koronahun!AF893</f>
        <v>0</v>
      </c>
      <c r="E1689" s="16" t="s">
        <v>72</v>
      </c>
      <c r="F1689" s="16" t="s">
        <v>72</v>
      </c>
    </row>
    <row r="1690" spans="1:6" ht="13">
      <c r="A1690" s="16">
        <v>225</v>
      </c>
      <c r="B1690">
        <v>1.3771428571428572</v>
      </c>
      <c r="C1690">
        <v>0.98301984807056442</v>
      </c>
      <c r="D1690">
        <f>koronahun!AF894</f>
        <v>0</v>
      </c>
      <c r="E1690" s="16" t="s">
        <v>72</v>
      </c>
      <c r="F1690" s="16" t="s">
        <v>72</v>
      </c>
    </row>
    <row r="1691" spans="1:6" ht="13">
      <c r="A1691" s="16">
        <v>226</v>
      </c>
      <c r="B1691">
        <v>1.4414285714285715</v>
      </c>
      <c r="D1691">
        <f>koronahun!AF895</f>
        <v>0</v>
      </c>
      <c r="E1691" s="16" t="s">
        <v>72</v>
      </c>
      <c r="F1691" s="16" t="s">
        <v>72</v>
      </c>
    </row>
    <row r="1692" spans="1:6" ht="13">
      <c r="A1692" s="16">
        <v>227</v>
      </c>
      <c r="B1692">
        <v>1.4014285714285712</v>
      </c>
      <c r="D1692">
        <f>koronahun!AF896</f>
        <v>0</v>
      </c>
      <c r="E1692" s="16" t="s">
        <v>72</v>
      </c>
      <c r="F1692" s="16" t="s">
        <v>72</v>
      </c>
    </row>
    <row r="1693" spans="1:6" ht="13">
      <c r="A1693" s="16">
        <v>228</v>
      </c>
      <c r="B1693">
        <v>1.3285714285714285</v>
      </c>
      <c r="C1693">
        <v>1.0001461113910648</v>
      </c>
      <c r="D1693">
        <f>koronahun!AF897</f>
        <v>0</v>
      </c>
      <c r="E1693" s="16" t="s">
        <v>72</v>
      </c>
      <c r="F1693" s="16" t="s">
        <v>72</v>
      </c>
    </row>
    <row r="1694" spans="1:6" ht="13">
      <c r="A1694" s="16">
        <v>229</v>
      </c>
      <c r="B1694">
        <v>1.2485714285714284</v>
      </c>
      <c r="C1694">
        <v>1.0437201191198167</v>
      </c>
      <c r="D1694" s="13">
        <f>koronahun!AF898</f>
        <v>0</v>
      </c>
      <c r="E1694" s="16" t="s">
        <v>72</v>
      </c>
      <c r="F1694" s="16" t="s">
        <v>72</v>
      </c>
    </row>
    <row r="1695" spans="1:6" ht="13">
      <c r="A1695" s="16">
        <v>230</v>
      </c>
      <c r="B1695">
        <v>1.1185714285714285</v>
      </c>
      <c r="C1695">
        <v>1.1108899428819325</v>
      </c>
      <c r="D1695">
        <f>koronahun!AF899</f>
        <v>0</v>
      </c>
      <c r="E1695" s="16" t="s">
        <v>72</v>
      </c>
      <c r="F1695" s="16" t="s">
        <v>72</v>
      </c>
    </row>
    <row r="1696" spans="1:6" ht="13">
      <c r="A1696" s="16">
        <v>231</v>
      </c>
      <c r="B1696">
        <v>1.1328571428571428</v>
      </c>
      <c r="C1696">
        <v>1.1459727994876319</v>
      </c>
      <c r="D1696">
        <f>koronahun!AF900</f>
        <v>0</v>
      </c>
      <c r="E1696" s="16" t="s">
        <v>72</v>
      </c>
      <c r="F1696" s="16" t="s">
        <v>72</v>
      </c>
    </row>
    <row r="1697" spans="1:6" ht="13">
      <c r="A1697" s="16">
        <v>232</v>
      </c>
      <c r="B1697">
        <v>1.142857142857143</v>
      </c>
      <c r="D1697">
        <f>koronahun!AF901</f>
        <v>0</v>
      </c>
      <c r="E1697" s="16" t="s">
        <v>72</v>
      </c>
      <c r="F1697" s="16" t="s">
        <v>72</v>
      </c>
    </row>
    <row r="1698" spans="1:6" ht="13">
      <c r="A1698" s="16">
        <v>233</v>
      </c>
      <c r="B1698">
        <v>1.1828571428571428</v>
      </c>
      <c r="D1698">
        <f>koronahun!AF902</f>
        <v>0</v>
      </c>
      <c r="E1698" s="16" t="s">
        <v>72</v>
      </c>
      <c r="F1698" s="16" t="s">
        <v>72</v>
      </c>
    </row>
    <row r="1699" spans="1:6" ht="13">
      <c r="A1699" s="16">
        <v>234</v>
      </c>
      <c r="B1699">
        <v>1.4057142857142857</v>
      </c>
      <c r="D1699">
        <f>koronahun!AF903</f>
        <v>0</v>
      </c>
      <c r="E1699" s="16" t="s">
        <v>72</v>
      </c>
      <c r="F1699" s="16" t="s">
        <v>72</v>
      </c>
    </row>
    <row r="1700" spans="1:6" ht="13">
      <c r="A1700" s="16">
        <v>235</v>
      </c>
      <c r="B1700">
        <v>1.3599999999999999</v>
      </c>
      <c r="C1700">
        <v>0.99577327159485851</v>
      </c>
      <c r="D1700">
        <f>koronahun!AF904</f>
        <v>0</v>
      </c>
      <c r="E1700" s="16" t="s">
        <v>72</v>
      </c>
      <c r="F1700" s="16" t="s">
        <v>72</v>
      </c>
    </row>
    <row r="1701" spans="1:6" ht="13">
      <c r="A1701" s="16">
        <v>236</v>
      </c>
      <c r="B1701">
        <v>1.5285714285714287</v>
      </c>
      <c r="C1701">
        <v>0.92029855603254362</v>
      </c>
      <c r="D1701" s="13">
        <f>koronahun!AF905</f>
        <v>0</v>
      </c>
      <c r="E1701" s="16" t="s">
        <v>72</v>
      </c>
      <c r="F1701" s="16" t="s">
        <v>72</v>
      </c>
    </row>
    <row r="1702" spans="1:6" ht="13">
      <c r="A1702" s="16">
        <v>237</v>
      </c>
      <c r="B1702">
        <v>1.5714285714285716</v>
      </c>
      <c r="C1702">
        <v>0.94421163978313827</v>
      </c>
      <c r="D1702">
        <f>koronahun!AF906</f>
        <v>0</v>
      </c>
      <c r="E1702" s="16" t="s">
        <v>72</v>
      </c>
      <c r="F1702" s="16" t="s">
        <v>72</v>
      </c>
    </row>
    <row r="1703" spans="1:6" ht="13">
      <c r="A1703" s="16">
        <v>238</v>
      </c>
      <c r="B1703">
        <v>1.6742857142857144</v>
      </c>
      <c r="C1703">
        <v>0.89679457578812771</v>
      </c>
      <c r="D1703">
        <f>koronahun!AF907</f>
        <v>0</v>
      </c>
      <c r="E1703" s="16" t="s">
        <v>72</v>
      </c>
      <c r="F1703" s="16" t="s">
        <v>72</v>
      </c>
    </row>
    <row r="1704" spans="1:6" ht="13">
      <c r="A1704" s="16">
        <v>239</v>
      </c>
      <c r="B1704">
        <v>1.8114285714285714</v>
      </c>
      <c r="C1704">
        <v>1.2704231217997912</v>
      </c>
      <c r="D1704">
        <f>koronahun!AF908</f>
        <v>0</v>
      </c>
      <c r="E1704" s="16" t="s">
        <v>72</v>
      </c>
      <c r="F1704" s="16" t="s">
        <v>72</v>
      </c>
    </row>
    <row r="1705" spans="1:6" ht="13">
      <c r="A1705" s="16">
        <v>240</v>
      </c>
      <c r="B1705">
        <v>1.9128571428571433</v>
      </c>
      <c r="D1705">
        <f>koronahun!AF909</f>
        <v>0</v>
      </c>
      <c r="E1705" s="16" t="s">
        <v>72</v>
      </c>
      <c r="F1705" s="16" t="s">
        <v>72</v>
      </c>
    </row>
    <row r="1706" spans="1:6" ht="13">
      <c r="A1706" s="16">
        <v>241</v>
      </c>
      <c r="B1706">
        <v>2.2714285714285714</v>
      </c>
      <c r="D1706">
        <f>koronahun!AF910</f>
        <v>0</v>
      </c>
      <c r="E1706" s="16" t="s">
        <v>72</v>
      </c>
      <c r="F1706" s="16" t="s">
        <v>72</v>
      </c>
    </row>
    <row r="1707" spans="1:6" ht="13">
      <c r="A1707" s="16">
        <v>242</v>
      </c>
      <c r="B1707">
        <v>2.7814285714285716</v>
      </c>
      <c r="C1707">
        <v>1.3836585550925424</v>
      </c>
      <c r="D1707">
        <f>koronahun!AF911</f>
        <v>0</v>
      </c>
      <c r="E1707" s="16" t="s">
        <v>72</v>
      </c>
      <c r="F1707" s="16" t="s">
        <v>72</v>
      </c>
    </row>
    <row r="1708" spans="1:6" ht="13">
      <c r="A1708" s="16">
        <v>243</v>
      </c>
      <c r="B1708">
        <v>3.0842857142857145</v>
      </c>
      <c r="C1708">
        <v>1.6354206994764344</v>
      </c>
      <c r="D1708" s="13">
        <f>koronahun!AF912</f>
        <v>0</v>
      </c>
      <c r="E1708" s="16" t="s">
        <v>72</v>
      </c>
      <c r="F1708" s="16" t="s">
        <v>72</v>
      </c>
    </row>
    <row r="1709" spans="1:6" ht="13">
      <c r="A1709" s="16">
        <v>244</v>
      </c>
      <c r="B1709">
        <v>3.842857142857143</v>
      </c>
      <c r="C1709">
        <v>1.7488732999606884</v>
      </c>
      <c r="D1709">
        <f>koronahun!AF913</f>
        <v>0</v>
      </c>
      <c r="E1709" s="16" t="s">
        <v>72</v>
      </c>
      <c r="F1709" s="16" t="s">
        <v>72</v>
      </c>
    </row>
    <row r="1710" spans="1:6" ht="13">
      <c r="A1710" s="16">
        <v>245</v>
      </c>
      <c r="B1710">
        <v>4.3042857142857143</v>
      </c>
      <c r="C1710">
        <v>2.0318225155941425</v>
      </c>
      <c r="D1710">
        <f>koronahun!AF914</f>
        <v>0</v>
      </c>
      <c r="E1710" s="16" t="s">
        <v>72</v>
      </c>
      <c r="F1710" s="16" t="s">
        <v>72</v>
      </c>
    </row>
    <row r="1711" spans="1:6" ht="13">
      <c r="A1711" s="16">
        <v>246</v>
      </c>
      <c r="B1711">
        <v>4.5271428571428567</v>
      </c>
      <c r="C1711">
        <v>2.1121546385771488</v>
      </c>
      <c r="D1711">
        <f>koronahun!AF915</f>
        <v>0</v>
      </c>
      <c r="E1711" s="16" t="s">
        <v>72</v>
      </c>
      <c r="F1711" s="16" t="s">
        <v>72</v>
      </c>
    </row>
    <row r="1712" spans="1:6" ht="13">
      <c r="A1712" s="16">
        <v>247</v>
      </c>
      <c r="B1712">
        <v>5.1285714285714272</v>
      </c>
      <c r="D1712">
        <f>koronahun!AF916</f>
        <v>0</v>
      </c>
      <c r="E1712" s="16" t="s">
        <v>72</v>
      </c>
      <c r="F1712" s="16" t="s">
        <v>72</v>
      </c>
    </row>
    <row r="1713" spans="1:6" ht="13">
      <c r="A1713" s="16">
        <v>248</v>
      </c>
      <c r="B1713">
        <v>5.3328571428571436</v>
      </c>
      <c r="D1713">
        <f>koronahun!AF917</f>
        <v>0</v>
      </c>
      <c r="E1713" s="16" t="s">
        <v>72</v>
      </c>
      <c r="F1713" s="16" t="s">
        <v>72</v>
      </c>
    </row>
    <row r="1714" spans="1:6" ht="13">
      <c r="A1714" s="16">
        <v>249</v>
      </c>
      <c r="B1714">
        <v>5.402857142857143</v>
      </c>
      <c r="C1714">
        <v>2.186490340049104</v>
      </c>
      <c r="D1714">
        <f>koronahun!AF918</f>
        <v>0</v>
      </c>
      <c r="E1714" s="16" t="s">
        <v>72</v>
      </c>
      <c r="F1714" s="16" t="s">
        <v>72</v>
      </c>
    </row>
    <row r="1715" spans="1:6" ht="13">
      <c r="A1715" s="16">
        <v>250</v>
      </c>
      <c r="B1715">
        <v>5.467142857142858</v>
      </c>
      <c r="C1715">
        <v>2.177188627513269</v>
      </c>
      <c r="D1715" s="13">
        <f>koronahun!AF919</f>
        <v>0</v>
      </c>
      <c r="E1715" s="16" t="s">
        <v>72</v>
      </c>
      <c r="F1715" s="16" t="s">
        <v>72</v>
      </c>
    </row>
    <row r="1716" spans="1:6" ht="13">
      <c r="A1716" s="16">
        <v>251</v>
      </c>
      <c r="B1716">
        <v>5.3785714285714281</v>
      </c>
      <c r="C1716">
        <v>2.2327911182672584</v>
      </c>
      <c r="D1716">
        <f>koronahun!AF920</f>
        <v>0</v>
      </c>
      <c r="E1716" s="16" t="s">
        <v>72</v>
      </c>
      <c r="F1716" s="16" t="s">
        <v>72</v>
      </c>
    </row>
    <row r="1717" spans="1:6" ht="13">
      <c r="A1717" s="16">
        <v>252</v>
      </c>
      <c r="B1717">
        <v>5.3957142857142859</v>
      </c>
      <c r="C1717">
        <v>2.2764694560648229</v>
      </c>
      <c r="D1717">
        <f>koronahun!AF921</f>
        <v>0</v>
      </c>
      <c r="E1717" s="16" t="s">
        <v>72</v>
      </c>
      <c r="F1717" s="16" t="s">
        <v>72</v>
      </c>
    </row>
    <row r="1718" spans="1:6" ht="13">
      <c r="A1718" s="16">
        <v>253</v>
      </c>
      <c r="B1718">
        <v>5.4971428571428573</v>
      </c>
      <c r="C1718">
        <v>2.2733427601317757</v>
      </c>
      <c r="D1718">
        <f>koronahun!AF922</f>
        <v>0</v>
      </c>
      <c r="E1718" s="16" t="s">
        <v>72</v>
      </c>
      <c r="F1718" s="16" t="s">
        <v>72</v>
      </c>
    </row>
    <row r="1719" spans="1:6" ht="13">
      <c r="A1719" s="16">
        <v>254</v>
      </c>
      <c r="B1719">
        <v>5.4542857142857146</v>
      </c>
      <c r="D1719">
        <f>koronahun!AF923</f>
        <v>0</v>
      </c>
      <c r="E1719" s="16" t="s">
        <v>72</v>
      </c>
      <c r="F1719" s="16" t="s">
        <v>72</v>
      </c>
    </row>
    <row r="1720" spans="1:6" ht="13">
      <c r="A1720" s="16">
        <v>255</v>
      </c>
      <c r="B1720">
        <v>5.66</v>
      </c>
      <c r="D1720">
        <f>koronahun!AF924</f>
        <v>0</v>
      </c>
      <c r="E1720" s="16" t="s">
        <v>72</v>
      </c>
      <c r="F1720" s="16" t="s">
        <v>72</v>
      </c>
    </row>
    <row r="1721" spans="1:6" ht="13">
      <c r="A1721" s="16">
        <v>256</v>
      </c>
      <c r="B1721">
        <v>5.7185714285714289</v>
      </c>
      <c r="C1721">
        <v>2.2877583934123478</v>
      </c>
      <c r="D1721">
        <f>koronahun!AF925</f>
        <v>0</v>
      </c>
      <c r="E1721" s="16" t="s">
        <v>72</v>
      </c>
      <c r="F1721" s="16" t="s">
        <v>72</v>
      </c>
    </row>
    <row r="1722" spans="1:6" ht="13">
      <c r="A1722" s="16">
        <v>257</v>
      </c>
      <c r="B1722">
        <v>6.0642857142857149</v>
      </c>
      <c r="C1722">
        <v>2.4543850238983151</v>
      </c>
      <c r="D1722" s="13">
        <f>koronahun!AF926</f>
        <v>0</v>
      </c>
      <c r="E1722" s="16" t="s">
        <v>72</v>
      </c>
      <c r="F1722" s="16" t="s">
        <v>72</v>
      </c>
    </row>
    <row r="1723" spans="1:6" ht="13">
      <c r="A1723" s="16">
        <v>258</v>
      </c>
      <c r="B1723">
        <v>6.411428571428571</v>
      </c>
      <c r="C1723">
        <v>2.5741269703756302</v>
      </c>
      <c r="D1723">
        <f>koronahun!AF927</f>
        <v>0</v>
      </c>
      <c r="E1723" s="16" t="s">
        <v>72</v>
      </c>
      <c r="F1723" s="16" t="s">
        <v>72</v>
      </c>
    </row>
    <row r="1724" spans="1:6" ht="13">
      <c r="A1724" s="16">
        <v>259</v>
      </c>
      <c r="B1724">
        <v>6.5514285714285707</v>
      </c>
      <c r="C1724">
        <v>2.6360626877254165</v>
      </c>
      <c r="D1724">
        <f>koronahun!AF928</f>
        <v>0</v>
      </c>
      <c r="E1724" s="16" t="s">
        <v>72</v>
      </c>
      <c r="F1724" s="16" t="s">
        <v>72</v>
      </c>
    </row>
    <row r="1725" spans="1:6" ht="13">
      <c r="A1725" s="16">
        <v>260</v>
      </c>
      <c r="B1725">
        <v>6.6971428571428584</v>
      </c>
      <c r="C1725">
        <v>2.8001196004147557</v>
      </c>
      <c r="D1725">
        <f>koronahun!AF929</f>
        <v>0</v>
      </c>
      <c r="E1725" s="16" t="s">
        <v>72</v>
      </c>
      <c r="F1725" s="16" t="s">
        <v>72</v>
      </c>
    </row>
    <row r="1726" spans="1:6" ht="13">
      <c r="A1726" s="16">
        <v>261</v>
      </c>
      <c r="B1726">
        <v>6.98</v>
      </c>
      <c r="D1726">
        <f>koronahun!AF930</f>
        <v>0</v>
      </c>
      <c r="E1726" s="16" t="s">
        <v>72</v>
      </c>
      <c r="F1726" s="16" t="s">
        <v>72</v>
      </c>
    </row>
    <row r="1727" spans="1:6" ht="13">
      <c r="A1727" s="16">
        <v>262</v>
      </c>
      <c r="B1727">
        <v>6.7985714285714289</v>
      </c>
      <c r="D1727">
        <f>koronahun!AF931</f>
        <v>0</v>
      </c>
      <c r="E1727" s="16" t="s">
        <v>72</v>
      </c>
      <c r="F1727" s="16" t="s">
        <v>72</v>
      </c>
    </row>
    <row r="1728" spans="1:6" ht="13">
      <c r="A1728" s="16">
        <v>263</v>
      </c>
      <c r="B1728">
        <v>7.3028571428571425</v>
      </c>
      <c r="C1728">
        <v>2.9043307913881025</v>
      </c>
      <c r="D1728">
        <f>koronahun!AF932</f>
        <v>0</v>
      </c>
      <c r="E1728" s="16" t="s">
        <v>72</v>
      </c>
      <c r="F1728" s="16" t="s">
        <v>72</v>
      </c>
    </row>
    <row r="1729" spans="1:6" ht="13">
      <c r="A1729" s="16">
        <v>264</v>
      </c>
      <c r="B1729">
        <v>7.4857142857142858</v>
      </c>
      <c r="C1729">
        <v>2.9397179938147207</v>
      </c>
      <c r="D1729" s="13">
        <f>koronahun!AF933</f>
        <v>0</v>
      </c>
      <c r="E1729" s="16" t="s">
        <v>72</v>
      </c>
      <c r="F1729" s="16" t="s">
        <v>72</v>
      </c>
    </row>
    <row r="1730" spans="1:6" ht="13">
      <c r="A1730" s="16">
        <v>265</v>
      </c>
      <c r="B1730">
        <v>7.7914285714285727</v>
      </c>
      <c r="C1730">
        <v>3.0738995213739564</v>
      </c>
      <c r="D1730">
        <f>koronahun!AF934</f>
        <v>0</v>
      </c>
      <c r="E1730" s="16" t="s">
        <v>72</v>
      </c>
      <c r="F1730" s="16" t="s">
        <v>72</v>
      </c>
    </row>
    <row r="1731" spans="1:6" ht="13">
      <c r="A1731" s="16">
        <v>266</v>
      </c>
      <c r="B1731">
        <v>7.9557142857142855</v>
      </c>
      <c r="C1731">
        <v>3.2310530348270037</v>
      </c>
      <c r="D1731">
        <f>koronahun!AF935</f>
        <v>0</v>
      </c>
      <c r="E1731" s="16" t="s">
        <v>72</v>
      </c>
      <c r="F1731" s="16" t="s">
        <v>72</v>
      </c>
    </row>
    <row r="1732" spans="1:6" ht="13">
      <c r="A1732" s="16">
        <v>267</v>
      </c>
      <c r="B1732">
        <v>8.0342857142857138</v>
      </c>
      <c r="C1732">
        <v>3.3518739606451438</v>
      </c>
      <c r="D1732">
        <f>koronahun!AF936</f>
        <v>0</v>
      </c>
      <c r="E1732" s="16" t="s">
        <v>72</v>
      </c>
      <c r="F1732" s="16" t="s">
        <v>72</v>
      </c>
    </row>
    <row r="1733" spans="1:6" ht="13">
      <c r="A1733" s="16">
        <v>268</v>
      </c>
      <c r="B1733">
        <v>8.0614285714285714</v>
      </c>
      <c r="D1733">
        <f>koronahun!AF937</f>
        <v>0</v>
      </c>
      <c r="E1733" s="16" t="s">
        <v>72</v>
      </c>
      <c r="F1733" s="16" t="s">
        <v>72</v>
      </c>
    </row>
    <row r="1734" spans="1:6" ht="13">
      <c r="A1734" s="16">
        <v>269</v>
      </c>
      <c r="B1734">
        <v>8.28857142857143</v>
      </c>
      <c r="D1734">
        <f>koronahun!AF938</f>
        <v>0</v>
      </c>
      <c r="E1734" s="16" t="s">
        <v>72</v>
      </c>
      <c r="F1734" s="16" t="s">
        <v>72</v>
      </c>
    </row>
    <row r="1735" spans="1:6" ht="13">
      <c r="A1735" s="16">
        <v>270</v>
      </c>
      <c r="B1735">
        <v>8.33</v>
      </c>
      <c r="C1735">
        <v>3.4395299636753545</v>
      </c>
      <c r="D1735">
        <f>koronahun!AF939</f>
        <v>0</v>
      </c>
      <c r="E1735" s="16" t="s">
        <v>72</v>
      </c>
      <c r="F1735" s="16" t="s">
        <v>72</v>
      </c>
    </row>
    <row r="1736" spans="1:6" ht="13">
      <c r="A1736" s="16">
        <v>271</v>
      </c>
      <c r="B1736">
        <v>8.5014285714285727</v>
      </c>
      <c r="C1736">
        <v>3.5601941370134336</v>
      </c>
      <c r="D1736" s="13">
        <f>koronahun!AF940</f>
        <v>0</v>
      </c>
      <c r="E1736" s="16" t="s">
        <v>72</v>
      </c>
      <c r="F1736" s="16" t="s">
        <v>72</v>
      </c>
    </row>
    <row r="1737" spans="1:6" ht="13">
      <c r="A1737" s="16">
        <v>272</v>
      </c>
      <c r="B1737">
        <v>8.7242857142857133</v>
      </c>
      <c r="C1737">
        <v>3.6883349717032625</v>
      </c>
      <c r="D1737">
        <f>koronahun!AF941</f>
        <v>0</v>
      </c>
      <c r="E1737" s="16" t="s">
        <v>72</v>
      </c>
      <c r="F1737" s="16" t="s">
        <v>72</v>
      </c>
    </row>
    <row r="1738" spans="1:6" ht="13">
      <c r="A1738" s="16">
        <v>273</v>
      </c>
      <c r="B1738">
        <v>8.8599999999999977</v>
      </c>
      <c r="C1738">
        <v>3.6383844711039814</v>
      </c>
      <c r="D1738">
        <f>koronahun!AF942</f>
        <v>0</v>
      </c>
      <c r="E1738" s="16" t="s">
        <v>72</v>
      </c>
      <c r="F1738" s="16" t="s">
        <v>72</v>
      </c>
    </row>
    <row r="1739" spans="1:6" ht="13">
      <c r="A1739" s="16">
        <v>274</v>
      </c>
      <c r="B1739">
        <v>8.9742857142857133</v>
      </c>
      <c r="C1739">
        <v>3.7988056937172727</v>
      </c>
      <c r="D1739">
        <f>koronahun!AF943</f>
        <v>0</v>
      </c>
      <c r="E1739" s="16" t="s">
        <v>72</v>
      </c>
      <c r="F1739" s="16" t="s">
        <v>72</v>
      </c>
    </row>
    <row r="1740" spans="1:6" ht="13">
      <c r="A1740" s="16">
        <v>275</v>
      </c>
      <c r="B1740">
        <v>9.3071428571428587</v>
      </c>
      <c r="D1740">
        <f>koronahun!AF944</f>
        <v>0</v>
      </c>
      <c r="E1740" s="16" t="s">
        <v>72</v>
      </c>
      <c r="F1740" s="16" t="s">
        <v>72</v>
      </c>
    </row>
    <row r="1741" spans="1:6" ht="13">
      <c r="A1741" s="16">
        <v>276</v>
      </c>
      <c r="B1741">
        <v>9.5442857142857154</v>
      </c>
      <c r="D1741">
        <f>koronahun!AF945</f>
        <v>0</v>
      </c>
      <c r="E1741" s="16" t="s">
        <v>72</v>
      </c>
      <c r="F1741" s="16" t="s">
        <v>72</v>
      </c>
    </row>
    <row r="1742" spans="1:6" ht="13">
      <c r="A1742" s="16">
        <v>277</v>
      </c>
      <c r="B1742">
        <v>9.7557142857142853</v>
      </c>
      <c r="C1742">
        <v>4.0554209226387039</v>
      </c>
      <c r="D1742">
        <f>koronahun!AF946</f>
        <v>0</v>
      </c>
      <c r="E1742" s="16" t="s">
        <v>72</v>
      </c>
      <c r="F1742" s="16" t="s">
        <v>72</v>
      </c>
    </row>
    <row r="1743" spans="1:6" ht="13">
      <c r="A1743" s="16">
        <v>278</v>
      </c>
      <c r="B1743">
        <v>10.348571428571431</v>
      </c>
      <c r="C1743">
        <v>4.0744058111757697</v>
      </c>
      <c r="D1743" s="13">
        <f>koronahun!AF947</f>
        <v>0</v>
      </c>
      <c r="E1743" s="16" t="s">
        <v>72</v>
      </c>
      <c r="F1743" s="16" t="s">
        <v>72</v>
      </c>
    </row>
    <row r="1744" spans="1:6" ht="13">
      <c r="A1744" s="16">
        <v>279</v>
      </c>
      <c r="B1744">
        <v>10.671428571428573</v>
      </c>
      <c r="C1744">
        <v>4.2756010273830087</v>
      </c>
      <c r="D1744">
        <f>koronahun!AF948</f>
        <v>0</v>
      </c>
      <c r="E1744" s="16" t="s">
        <v>72</v>
      </c>
      <c r="F1744" s="16" t="s">
        <v>72</v>
      </c>
    </row>
    <row r="1745" spans="1:6" ht="13">
      <c r="A1745" s="16">
        <v>280</v>
      </c>
      <c r="B1745">
        <v>10.725697541200317</v>
      </c>
      <c r="C1745">
        <v>4.6180050359624056</v>
      </c>
      <c r="D1745">
        <f>koronahun!AF949</f>
        <v>0</v>
      </c>
      <c r="E1745" s="16" t="s">
        <v>72</v>
      </c>
      <c r="F1745" s="16" t="s">
        <v>72</v>
      </c>
    </row>
    <row r="1746" spans="1:6" ht="13">
      <c r="A1746" s="16">
        <v>281</v>
      </c>
      <c r="B1746">
        <v>10.875871283005537</v>
      </c>
      <c r="C1746">
        <v>4.7067301262233254</v>
      </c>
      <c r="D1746">
        <f>koronahun!AF950</f>
        <v>0</v>
      </c>
      <c r="E1746" s="16" t="s">
        <v>72</v>
      </c>
      <c r="F1746" s="16" t="s">
        <v>72</v>
      </c>
    </row>
    <row r="1747" spans="1:6" ht="13">
      <c r="A1747" s="16">
        <v>282</v>
      </c>
      <c r="B1747">
        <v>10.856557350498914</v>
      </c>
      <c r="D1747">
        <f>koronahun!AF951</f>
        <v>0</v>
      </c>
      <c r="E1747" s="16" t="s">
        <v>72</v>
      </c>
      <c r="F1747" s="16" t="s">
        <v>72</v>
      </c>
    </row>
    <row r="1748" spans="1:6" ht="13">
      <c r="A1748" s="16">
        <v>283</v>
      </c>
      <c r="B1748">
        <v>11.142921618537386</v>
      </c>
      <c r="D1748">
        <f>koronahun!AF952</f>
        <v>0</v>
      </c>
      <c r="E1748" s="16" t="s">
        <v>72</v>
      </c>
      <c r="F1748" s="16" t="s">
        <v>72</v>
      </c>
    </row>
    <row r="1749" spans="1:6" ht="13">
      <c r="A1749" s="16">
        <v>284</v>
      </c>
      <c r="B1749">
        <v>11.098280126539233</v>
      </c>
      <c r="C1749">
        <v>4.820893123690408</v>
      </c>
      <c r="D1749">
        <f>koronahun!AF953</f>
        <v>0</v>
      </c>
      <c r="E1749" s="16" t="s">
        <v>72</v>
      </c>
      <c r="F1749" s="16" t="s">
        <v>72</v>
      </c>
    </row>
    <row r="1750" spans="1:6" ht="13">
      <c r="A1750" s="16">
        <v>285</v>
      </c>
      <c r="B1750">
        <v>11.050609198897625</v>
      </c>
      <c r="C1750">
        <v>5.2201129696935133</v>
      </c>
      <c r="D1750" s="13">
        <f>koronahun!AF954</f>
        <v>0</v>
      </c>
      <c r="E1750" s="16" t="s">
        <v>72</v>
      </c>
      <c r="F1750" s="16" t="s">
        <v>72</v>
      </c>
    </row>
    <row r="1751" spans="1:6" ht="13">
      <c r="A1751" s="16">
        <v>286</v>
      </c>
      <c r="B1751">
        <v>11.056324086284564</v>
      </c>
      <c r="C1751">
        <v>5.3377054081064159</v>
      </c>
      <c r="D1751">
        <f>koronahun!AF955</f>
        <v>0</v>
      </c>
      <c r="E1751" s="16" t="s">
        <v>72</v>
      </c>
      <c r="F1751" s="16" t="s">
        <v>72</v>
      </c>
    </row>
    <row r="1752" spans="1:6" ht="13">
      <c r="A1752" s="16">
        <v>287</v>
      </c>
      <c r="B1752">
        <v>11.218595364419807</v>
      </c>
      <c r="C1752">
        <v>5.7059674684450465</v>
      </c>
      <c r="D1752">
        <f>koronahun!AF956</f>
        <v>0</v>
      </c>
      <c r="E1752" s="16" t="s">
        <v>72</v>
      </c>
      <c r="F1752" s="16" t="s">
        <v>72</v>
      </c>
    </row>
    <row r="1753" spans="1:6" ht="13">
      <c r="A1753" s="16">
        <v>288</v>
      </c>
      <c r="B1753">
        <v>11.320391726612247</v>
      </c>
      <c r="C1753">
        <v>6.1441468283357876</v>
      </c>
      <c r="D1753">
        <f>koronahun!AF957</f>
        <v>0</v>
      </c>
      <c r="E1753" s="16" t="s">
        <v>72</v>
      </c>
      <c r="F1753" s="16" t="s">
        <v>72</v>
      </c>
    </row>
    <row r="1754" spans="1:6" ht="13">
      <c r="A1754" s="16">
        <v>289</v>
      </c>
      <c r="B1754">
        <v>11.700836763392772</v>
      </c>
      <c r="D1754">
        <f>koronahun!AF958</f>
        <v>0</v>
      </c>
      <c r="E1754" s="16" t="s">
        <v>72</v>
      </c>
      <c r="F1754" s="16" t="s">
        <v>72</v>
      </c>
    </row>
    <row r="1755" spans="1:6" ht="13">
      <c r="A1755" s="16">
        <v>290</v>
      </c>
      <c r="B1755">
        <v>11.998433198901774</v>
      </c>
      <c r="D1755">
        <f>koronahun!AF959</f>
        <v>0</v>
      </c>
      <c r="E1755" s="16" t="s">
        <v>72</v>
      </c>
      <c r="F1755" s="16" t="s">
        <v>72</v>
      </c>
    </row>
    <row r="1756" spans="1:6" ht="13">
      <c r="A1756" s="16">
        <v>291</v>
      </c>
      <c r="B1756">
        <v>12.609420880471085</v>
      </c>
      <c r="C1756">
        <v>6.5716032501280468</v>
      </c>
      <c r="D1756">
        <f>koronahun!AF960</f>
        <v>0</v>
      </c>
      <c r="E1756" s="16" t="s">
        <v>72</v>
      </c>
      <c r="F1756" s="16" t="s">
        <v>72</v>
      </c>
    </row>
    <row r="1757" spans="1:6" ht="13">
      <c r="A1757" s="16">
        <v>292</v>
      </c>
      <c r="B1757">
        <v>12.832016834386801</v>
      </c>
      <c r="C1757">
        <v>7.2137341047484869</v>
      </c>
      <c r="D1757" s="13">
        <f>koronahun!AF961</f>
        <v>0</v>
      </c>
      <c r="E1757" s="16" t="s">
        <v>72</v>
      </c>
      <c r="F1757" s="16" t="s">
        <v>72</v>
      </c>
    </row>
    <row r="1758" spans="1:6" ht="13">
      <c r="A1758" s="16">
        <v>293</v>
      </c>
      <c r="B1758">
        <v>13.007598761366799</v>
      </c>
      <c r="C1758">
        <v>8.2060040467119535</v>
      </c>
      <c r="D1758">
        <f>koronahun!AF962</f>
        <v>0</v>
      </c>
      <c r="E1758" s="16" t="s">
        <v>72</v>
      </c>
      <c r="F1758" s="16" t="s">
        <v>72</v>
      </c>
    </row>
    <row r="1759" spans="1:6" ht="13">
      <c r="A1759" s="16">
        <v>294</v>
      </c>
      <c r="B1759">
        <v>13.877495001365627</v>
      </c>
      <c r="C1759">
        <v>9.2263095748159021</v>
      </c>
      <c r="D1759">
        <f>koronahun!AF963</f>
        <v>0</v>
      </c>
      <c r="E1759" s="16" t="s">
        <v>72</v>
      </c>
      <c r="F1759" s="16" t="s">
        <v>72</v>
      </c>
    </row>
    <row r="1760" spans="1:6" ht="13">
      <c r="A1760" s="16">
        <v>295</v>
      </c>
      <c r="B1760">
        <v>14.388350431958061</v>
      </c>
      <c r="C1760">
        <v>10.373115761687094</v>
      </c>
      <c r="D1760">
        <f>koronahun!AF964</f>
        <v>0</v>
      </c>
      <c r="E1760" s="16" t="s">
        <v>72</v>
      </c>
      <c r="F1760" s="16" t="s">
        <v>72</v>
      </c>
    </row>
    <row r="1761" spans="1:6" ht="13">
      <c r="A1761" s="16">
        <v>296</v>
      </c>
      <c r="B1761">
        <v>14.668642867455217</v>
      </c>
      <c r="D1761">
        <f>koronahun!AF965</f>
        <v>0</v>
      </c>
      <c r="E1761" s="16" t="s">
        <v>72</v>
      </c>
      <c r="F1761" s="16" t="s">
        <v>72</v>
      </c>
    </row>
    <row r="1762" spans="1:6" ht="13">
      <c r="A1762" s="16">
        <v>297</v>
      </c>
      <c r="B1762">
        <v>14.868026197703704</v>
      </c>
      <c r="D1762">
        <f>koronahun!AF966</f>
        <v>0</v>
      </c>
      <c r="E1762" s="16" t="s">
        <v>72</v>
      </c>
      <c r="F1762" s="16" t="s">
        <v>72</v>
      </c>
    </row>
    <row r="1763" spans="1:6" ht="13">
      <c r="A1763" s="16">
        <v>298</v>
      </c>
      <c r="B1763">
        <v>15.137853380502836</v>
      </c>
      <c r="C1763">
        <v>11.416407862296676</v>
      </c>
      <c r="D1763">
        <f>koronahun!AF967</f>
        <v>0</v>
      </c>
      <c r="E1763" s="16" t="s">
        <v>72</v>
      </c>
      <c r="F1763" s="16" t="s">
        <v>72</v>
      </c>
    </row>
    <row r="1764" spans="1:6" ht="13">
      <c r="A1764" s="16">
        <v>299</v>
      </c>
      <c r="B1764">
        <v>16.255337373780602</v>
      </c>
      <c r="C1764">
        <v>12.680752902480744</v>
      </c>
      <c r="D1764" s="13">
        <f>koronahun!AF968</f>
        <v>0</v>
      </c>
      <c r="E1764" s="16" t="s">
        <v>72</v>
      </c>
      <c r="F1764" s="16" t="s">
        <v>72</v>
      </c>
    </row>
    <row r="1765" spans="1:6" ht="13">
      <c r="A1765" s="16">
        <v>300</v>
      </c>
      <c r="B1765">
        <v>16.560334325425625</v>
      </c>
      <c r="C1765">
        <v>13.834855720485608</v>
      </c>
      <c r="D1765">
        <f>koronahun!AF969</f>
        <v>0</v>
      </c>
      <c r="E1765" s="16" t="s">
        <v>72</v>
      </c>
      <c r="F1765" s="16" t="s">
        <v>72</v>
      </c>
    </row>
    <row r="1766" spans="1:6" ht="13">
      <c r="A1766" s="16">
        <v>301</v>
      </c>
      <c r="B1766">
        <v>16.428135554150444</v>
      </c>
      <c r="C1766">
        <v>14.324192471426272</v>
      </c>
      <c r="D1766">
        <f>koronahun!AF970</f>
        <v>0</v>
      </c>
      <c r="E1766" s="16" t="s">
        <v>72</v>
      </c>
      <c r="F1766" s="16" t="s">
        <v>72</v>
      </c>
    </row>
    <row r="1767" spans="1:6" ht="13">
      <c r="A1767" s="16">
        <v>302</v>
      </c>
      <c r="B1767">
        <v>16.708746533220424</v>
      </c>
      <c r="C1767">
        <v>15.257751635194372</v>
      </c>
      <c r="D1767">
        <f>koronahun!AF971</f>
        <v>0</v>
      </c>
      <c r="E1767" s="16" t="s">
        <v>72</v>
      </c>
      <c r="F1767" s="16" t="s">
        <v>72</v>
      </c>
    </row>
    <row r="1768" spans="1:6" ht="13">
      <c r="A1768" s="16">
        <v>303</v>
      </c>
      <c r="B1768">
        <v>17.54488260099874</v>
      </c>
      <c r="D1768">
        <f>koronahun!AF972</f>
        <v>0</v>
      </c>
      <c r="E1768" s="16" t="s">
        <v>72</v>
      </c>
      <c r="F1768" s="16" t="s">
        <v>72</v>
      </c>
    </row>
    <row r="1769" spans="1:6" ht="13">
      <c r="A1769" s="16">
        <v>304</v>
      </c>
      <c r="B1769">
        <v>18.743647053415597</v>
      </c>
      <c r="D1769">
        <f>koronahun!AF973</f>
        <v>0</v>
      </c>
      <c r="E1769" s="16" t="s">
        <v>72</v>
      </c>
      <c r="F1769" s="16" t="s">
        <v>72</v>
      </c>
    </row>
    <row r="1770" spans="1:6" ht="13">
      <c r="A1770" s="16">
        <v>305</v>
      </c>
      <c r="B1770">
        <v>19.345968304701223</v>
      </c>
      <c r="C1770">
        <v>15.510130915343526</v>
      </c>
      <c r="D1770">
        <f>koronahun!AF974</f>
        <v>0</v>
      </c>
      <c r="E1770" s="16" t="s">
        <v>72</v>
      </c>
      <c r="F1770" s="16" t="s">
        <v>72</v>
      </c>
    </row>
    <row r="1771" spans="1:6" ht="13">
      <c r="A1771" s="16">
        <v>306</v>
      </c>
      <c r="B1771">
        <v>19.794528298525169</v>
      </c>
      <c r="C1771">
        <v>15.55828630711164</v>
      </c>
      <c r="D1771">
        <f>koronahun!AF975</f>
        <v>0</v>
      </c>
      <c r="E1771" s="16" t="s">
        <v>72</v>
      </c>
      <c r="F1771" s="16" t="s">
        <v>72</v>
      </c>
    </row>
    <row r="1772" spans="1:6" ht="13">
      <c r="A1772" s="16">
        <v>307</v>
      </c>
      <c r="B1772">
        <v>21.156026207322672</v>
      </c>
      <c r="C1772">
        <v>16.298253502238143</v>
      </c>
      <c r="D1772">
        <f>koronahun!AF976</f>
        <v>0</v>
      </c>
      <c r="E1772" s="16" t="s">
        <v>72</v>
      </c>
      <c r="F1772" s="16" t="s">
        <v>72</v>
      </c>
    </row>
    <row r="1773" spans="1:6" ht="13">
      <c r="A1773" s="16">
        <v>308</v>
      </c>
      <c r="B1773">
        <v>22.47096081409271</v>
      </c>
      <c r="C1773">
        <v>19.217601853946572</v>
      </c>
      <c r="D1773">
        <f>koronahun!AF977</f>
        <v>0</v>
      </c>
      <c r="E1773" s="16" t="s">
        <v>72</v>
      </c>
      <c r="F1773" s="16" t="s">
        <v>72</v>
      </c>
    </row>
    <row r="1774" spans="1:6" ht="13">
      <c r="A1774" s="16">
        <v>309</v>
      </c>
      <c r="B1774">
        <v>23.539108068401088</v>
      </c>
      <c r="C1774">
        <v>19.877576715164142</v>
      </c>
      <c r="D1774">
        <f>koronahun!AF978</f>
        <v>0</v>
      </c>
      <c r="E1774" s="16" t="s">
        <v>72</v>
      </c>
      <c r="F1774" s="16" t="s">
        <v>72</v>
      </c>
    </row>
    <row r="1775" spans="1:6" ht="13">
      <c r="A1775" s="16">
        <v>310</v>
      </c>
      <c r="B1775">
        <v>23.896634959870795</v>
      </c>
      <c r="D1775">
        <f>koronahun!AF979</f>
        <v>0</v>
      </c>
      <c r="E1775" s="16" t="s">
        <v>72</v>
      </c>
      <c r="F1775" s="16" t="s">
        <v>72</v>
      </c>
    </row>
    <row r="1776" spans="1:6" ht="13">
      <c r="A1776" s="16">
        <v>311</v>
      </c>
      <c r="B1776">
        <v>23.929540393925251</v>
      </c>
      <c r="D1776">
        <f>koronahun!AF980</f>
        <v>0</v>
      </c>
      <c r="E1776" s="16" t="s">
        <v>72</v>
      </c>
      <c r="F1776" s="16" t="s">
        <v>72</v>
      </c>
    </row>
    <row r="1777" spans="1:6" ht="13">
      <c r="A1777" s="16">
        <v>312</v>
      </c>
      <c r="B1777">
        <v>24.429973429717084</v>
      </c>
      <c r="C1777">
        <v>20.810596231873742</v>
      </c>
      <c r="D1777">
        <f>koronahun!AF981</f>
        <v>0</v>
      </c>
      <c r="E1777" s="16" t="s">
        <v>72</v>
      </c>
      <c r="F1777" s="16" t="s">
        <v>72</v>
      </c>
    </row>
    <row r="1778" spans="1:6" ht="13">
      <c r="A1778" s="16">
        <v>313</v>
      </c>
      <c r="B1778">
        <v>25.214727846038098</v>
      </c>
      <c r="C1778">
        <v>22.350570194828308</v>
      </c>
      <c r="D1778" s="13">
        <f>koronahun!AF982</f>
        <v>0</v>
      </c>
      <c r="E1778" s="16" t="s">
        <v>72</v>
      </c>
      <c r="F1778" s="16" t="s">
        <v>72</v>
      </c>
    </row>
    <row r="1779" spans="1:6" ht="13">
      <c r="A1779" s="16">
        <v>314</v>
      </c>
      <c r="B1779">
        <v>25.842713424278625</v>
      </c>
      <c r="C1779">
        <v>23.992198617849485</v>
      </c>
      <c r="D1779">
        <f>koronahun!AF983</f>
        <v>0</v>
      </c>
      <c r="E1779" s="16" t="s">
        <v>72</v>
      </c>
      <c r="F1779" s="16" t="s">
        <v>72</v>
      </c>
    </row>
    <row r="1780" spans="1:6" ht="13">
      <c r="A1780" s="16">
        <v>315</v>
      </c>
      <c r="B1780">
        <v>25.114591206725784</v>
      </c>
      <c r="C1780">
        <v>22.623275238446404</v>
      </c>
      <c r="D1780">
        <f>koronahun!AF984</f>
        <v>0</v>
      </c>
      <c r="E1780" s="16" t="s">
        <v>72</v>
      </c>
      <c r="F1780" s="16" t="s">
        <v>72</v>
      </c>
    </row>
    <row r="1781" spans="1:6" ht="13">
      <c r="A1781" s="16">
        <v>316</v>
      </c>
      <c r="B1781">
        <v>24.37668154153479</v>
      </c>
      <c r="C1781">
        <v>22.944947376142537</v>
      </c>
      <c r="D1781">
        <f>koronahun!AF985</f>
        <v>0</v>
      </c>
      <c r="E1781" s="16" t="s">
        <v>72</v>
      </c>
      <c r="F1781" s="16" t="s">
        <v>72</v>
      </c>
    </row>
    <row r="1782" spans="1:6" ht="13">
      <c r="A1782" s="16">
        <v>317</v>
      </c>
      <c r="B1782">
        <v>24.062403244016448</v>
      </c>
      <c r="D1782">
        <f>koronahun!AF986</f>
        <v>0</v>
      </c>
      <c r="E1782" s="16" t="s">
        <v>72</v>
      </c>
      <c r="F1782" s="16" t="s">
        <v>72</v>
      </c>
    </row>
    <row r="1783" spans="1:6" ht="13">
      <c r="A1783" s="16">
        <v>318</v>
      </c>
      <c r="B1783">
        <v>24.268311849499288</v>
      </c>
      <c r="D1783">
        <f>koronahun!AF987</f>
        <v>0</v>
      </c>
      <c r="E1783" s="16" t="s">
        <v>72</v>
      </c>
      <c r="F1783" s="16" t="s">
        <v>72</v>
      </c>
    </row>
    <row r="1784" spans="1:6" ht="13">
      <c r="A1784" s="16">
        <v>319</v>
      </c>
      <c r="B1784">
        <v>22.897789453602201</v>
      </c>
      <c r="C1784">
        <v>23.360903356575516</v>
      </c>
      <c r="D1784">
        <f>koronahun!AF988</f>
        <v>0</v>
      </c>
      <c r="E1784" s="16" t="s">
        <v>72</v>
      </c>
      <c r="F1784" s="16" t="s">
        <v>72</v>
      </c>
    </row>
    <row r="1785" spans="1:6" ht="13">
      <c r="A1785" s="16">
        <v>320</v>
      </c>
      <c r="B1785">
        <v>18.359208881048211</v>
      </c>
      <c r="C1785">
        <v>23.696820194672888</v>
      </c>
      <c r="D1785" s="13">
        <f>koronahun!AF989</f>
        <v>0</v>
      </c>
      <c r="E1785" s="16" t="s">
        <v>72</v>
      </c>
      <c r="F1785" s="16" t="s">
        <v>72</v>
      </c>
    </row>
    <row r="1786" spans="1:6" ht="13">
      <c r="A1786" s="16">
        <v>321</v>
      </c>
      <c r="B1786">
        <v>16.556888004539765</v>
      </c>
      <c r="C1786">
        <v>24.172731205587077</v>
      </c>
      <c r="D1786">
        <f>koronahun!AF990</f>
        <v>0</v>
      </c>
      <c r="E1786" s="16" t="s">
        <v>72</v>
      </c>
      <c r="F1786" s="16" t="s">
        <v>72</v>
      </c>
    </row>
    <row r="1787" spans="1:6" ht="13">
      <c r="A1787" s="16">
        <v>322</v>
      </c>
      <c r="B1787">
        <v>16.719533702400273</v>
      </c>
      <c r="C1787">
        <v>24.509669478790734</v>
      </c>
      <c r="D1787">
        <f>koronahun!AF991</f>
        <v>0</v>
      </c>
      <c r="E1787" s="16" t="s">
        <v>72</v>
      </c>
      <c r="F1787" s="16" t="s">
        <v>72</v>
      </c>
    </row>
    <row r="1788" spans="1:6" ht="13">
      <c r="A1788" s="16">
        <v>323</v>
      </c>
      <c r="B1788">
        <v>17.094080934309883</v>
      </c>
      <c r="C1788">
        <v>24.372646682860825</v>
      </c>
      <c r="D1788">
        <f>koronahun!AF992</f>
        <v>0</v>
      </c>
      <c r="E1788" s="16" t="s">
        <v>72</v>
      </c>
      <c r="F1788" s="16" t="s">
        <v>72</v>
      </c>
    </row>
    <row r="1789" spans="1:6" ht="13">
      <c r="A1789" s="16">
        <v>324</v>
      </c>
      <c r="B1789">
        <v>16.82364018687738</v>
      </c>
      <c r="D1789">
        <f>koronahun!AF993</f>
        <v>0</v>
      </c>
      <c r="E1789" s="16" t="s">
        <v>72</v>
      </c>
      <c r="F1789" s="16" t="s">
        <v>72</v>
      </c>
    </row>
    <row r="1790" spans="1:6" ht="13">
      <c r="A1790" s="16">
        <v>325</v>
      </c>
      <c r="B1790">
        <v>15.746367699712405</v>
      </c>
      <c r="D1790">
        <f>koronahun!AF994</f>
        <v>0</v>
      </c>
      <c r="E1790" s="16" t="s">
        <v>72</v>
      </c>
      <c r="F1790" s="16" t="s">
        <v>72</v>
      </c>
    </row>
    <row r="1791" spans="1:6" ht="13">
      <c r="A1791" s="16">
        <v>326</v>
      </c>
      <c r="B1791">
        <v>16.421270320267901</v>
      </c>
      <c r="C1791">
        <v>24.521678870009215</v>
      </c>
      <c r="D1791">
        <f>koronahun!AF995</f>
        <v>0</v>
      </c>
      <c r="E1791" s="16" t="s">
        <v>72</v>
      </c>
      <c r="F1791" s="16" t="s">
        <v>72</v>
      </c>
    </row>
    <row r="1792" spans="1:6" ht="13">
      <c r="A1792" s="16">
        <v>327</v>
      </c>
      <c r="B1792">
        <v>19.532012363803357</v>
      </c>
      <c r="C1792">
        <v>25.099910271934366</v>
      </c>
      <c r="D1792" s="13">
        <f>koronahun!AF996</f>
        <v>0</v>
      </c>
      <c r="E1792" s="16" t="s">
        <v>72</v>
      </c>
      <c r="F1792" s="16" t="s">
        <v>72</v>
      </c>
    </row>
    <row r="1793" spans="1:6" ht="13">
      <c r="A1793" s="16">
        <v>328</v>
      </c>
      <c r="B1793">
        <v>22.341735347333934</v>
      </c>
      <c r="C1793">
        <v>25.445071699360394</v>
      </c>
      <c r="D1793">
        <f>koronahun!AF997</f>
        <v>0</v>
      </c>
      <c r="E1793" s="16" t="s">
        <v>72</v>
      </c>
      <c r="F1793" s="16" t="s">
        <v>72</v>
      </c>
    </row>
    <row r="1794" spans="1:6" ht="13">
      <c r="A1794" s="16">
        <v>329</v>
      </c>
      <c r="B1794">
        <v>22.210152139263361</v>
      </c>
      <c r="C1794">
        <v>25.254042468740774</v>
      </c>
      <c r="D1794">
        <f>koronahun!AF998</f>
        <v>0</v>
      </c>
      <c r="E1794" s="16" t="s">
        <v>72</v>
      </c>
      <c r="F1794" s="16" t="s">
        <v>72</v>
      </c>
    </row>
    <row r="1795" spans="1:6" ht="13">
      <c r="A1795" s="16">
        <v>330</v>
      </c>
      <c r="B1795">
        <v>22.300564746311341</v>
      </c>
      <c r="C1795">
        <v>25.722227699527554</v>
      </c>
      <c r="D1795">
        <f>koronahun!AF999</f>
        <v>0</v>
      </c>
      <c r="E1795" s="16" t="s">
        <v>72</v>
      </c>
      <c r="F1795" s="16" t="s">
        <v>72</v>
      </c>
    </row>
    <row r="1796" spans="1:6" ht="13">
      <c r="A1796" s="16">
        <v>331</v>
      </c>
      <c r="B1796">
        <v>23.873648959113787</v>
      </c>
      <c r="D1796">
        <f>koronahun!AF1000</f>
        <v>0</v>
      </c>
      <c r="E1796" s="16" t="s">
        <v>72</v>
      </c>
      <c r="F1796" s="16" t="s">
        <v>72</v>
      </c>
    </row>
    <row r="1797" spans="1:6" ht="13">
      <c r="A1797" s="16">
        <v>332</v>
      </c>
      <c r="B1797">
        <v>25.494236004287117</v>
      </c>
      <c r="D1797">
        <f>koronahun!AF2001</f>
        <v>0</v>
      </c>
      <c r="E1797" s="16" t="s">
        <v>72</v>
      </c>
      <c r="F1797" s="16" t="s">
        <v>72</v>
      </c>
    </row>
    <row r="1798" spans="1:6" ht="13">
      <c r="A1798" s="16">
        <v>333</v>
      </c>
      <c r="B1798">
        <v>28.68323427641208</v>
      </c>
      <c r="C1798">
        <v>25.928358323615512</v>
      </c>
      <c r="D1798">
        <f>koronahun!AF2002</f>
        <v>0</v>
      </c>
      <c r="E1798" s="16" t="s">
        <v>72</v>
      </c>
      <c r="F1798" s="16" t="s">
        <v>72</v>
      </c>
    </row>
    <row r="1799" spans="1:6" ht="13">
      <c r="A1799" s="16">
        <v>334</v>
      </c>
      <c r="B1799">
        <v>34.50705197226533</v>
      </c>
      <c r="C1799">
        <v>26.689201973711242</v>
      </c>
      <c r="D1799">
        <f>koronahun!AF2003</f>
        <v>0</v>
      </c>
      <c r="E1799" s="16" t="s">
        <v>72</v>
      </c>
      <c r="F1799" s="16" t="s">
        <v>72</v>
      </c>
    </row>
    <row r="1800" spans="1:6" ht="13">
      <c r="A1800" s="16">
        <v>335</v>
      </c>
      <c r="B1800">
        <v>38.776383404631083</v>
      </c>
      <c r="C1800">
        <v>27.396954486283803</v>
      </c>
      <c r="D1800">
        <f>koronahun!AF2004</f>
        <v>0</v>
      </c>
      <c r="E1800" s="16" t="s">
        <v>72</v>
      </c>
      <c r="F1800" s="16" t="s">
        <v>72</v>
      </c>
    </row>
    <row r="1801" spans="1:6" ht="13">
      <c r="A1801" s="16">
        <v>336</v>
      </c>
      <c r="B1801">
        <v>40.013793598837296</v>
      </c>
      <c r="C1801">
        <v>27.768659748132695</v>
      </c>
      <c r="D1801">
        <f>koronahun!AF2005</f>
        <v>0</v>
      </c>
      <c r="E1801" s="16" t="s">
        <v>72</v>
      </c>
      <c r="F1801" s="16" t="s">
        <v>72</v>
      </c>
    </row>
    <row r="1802" spans="1:6" ht="13">
      <c r="A1802" s="16">
        <v>337</v>
      </c>
      <c r="B1802">
        <v>40.803176419943156</v>
      </c>
      <c r="C1802">
        <v>27.640034132499053</v>
      </c>
      <c r="D1802">
        <f>koronahun!AF2006</f>
        <v>0</v>
      </c>
      <c r="E1802" s="16" t="s">
        <v>72</v>
      </c>
      <c r="F1802" s="16" t="s">
        <v>72</v>
      </c>
    </row>
    <row r="1803" spans="1:6" ht="13">
      <c r="A1803" s="16">
        <v>338</v>
      </c>
      <c r="B1803">
        <v>41.257801566134397</v>
      </c>
      <c r="D1803">
        <f>koronahun!AF2007</f>
        <v>0</v>
      </c>
      <c r="E1803" s="16" t="s">
        <v>72</v>
      </c>
      <c r="F1803" s="16" t="s">
        <v>72</v>
      </c>
    </row>
    <row r="1804" spans="1:6" ht="13">
      <c r="A1804" s="16">
        <v>339</v>
      </c>
      <c r="B1804">
        <v>40.493939873408266</v>
      </c>
      <c r="D1804">
        <f>koronahun!AF2008</f>
        <v>0</v>
      </c>
      <c r="E1804" s="16" t="s">
        <v>72</v>
      </c>
      <c r="F1804" s="16" t="s">
        <v>72</v>
      </c>
    </row>
    <row r="1805" spans="1:6" ht="13">
      <c r="A1805" s="16">
        <v>340</v>
      </c>
      <c r="B1805">
        <v>38.561641680161337</v>
      </c>
      <c r="C1805">
        <v>27.425659520527756</v>
      </c>
      <c r="D1805">
        <f>koronahun!AF2009</f>
        <v>0</v>
      </c>
      <c r="E1805" s="16" t="s">
        <v>72</v>
      </c>
      <c r="F1805" s="16" t="s">
        <v>72</v>
      </c>
    </row>
    <row r="1806" spans="1:6" ht="13">
      <c r="A1806" s="16">
        <v>341</v>
      </c>
      <c r="B1806">
        <v>32.207632458216338</v>
      </c>
      <c r="C1806">
        <v>27.826462610038817</v>
      </c>
      <c r="D1806">
        <f>koronahun!AF2010</f>
        <v>0</v>
      </c>
      <c r="E1806" s="16" t="s">
        <v>72</v>
      </c>
      <c r="F1806" s="16" t="s">
        <v>72</v>
      </c>
    </row>
    <row r="1807" spans="1:6" ht="13">
      <c r="A1807" s="16">
        <v>342</v>
      </c>
      <c r="B1807">
        <v>25.732506991694308</v>
      </c>
      <c r="C1807">
        <v>26.795532456291905</v>
      </c>
      <c r="D1807">
        <f>koronahun!AF2011</f>
        <v>0</v>
      </c>
      <c r="E1807" s="16" t="s">
        <v>72</v>
      </c>
      <c r="F1807" s="16" t="s">
        <v>72</v>
      </c>
    </row>
    <row r="1808" spans="1:6" ht="13">
      <c r="A1808" s="16">
        <v>343</v>
      </c>
      <c r="B1808">
        <v>23.379919412305732</v>
      </c>
      <c r="C1808">
        <v>26.224533164035808</v>
      </c>
      <c r="D1808">
        <f>koronahun!AF2012</f>
        <v>0</v>
      </c>
      <c r="E1808" s="16" t="s">
        <v>72</v>
      </c>
      <c r="F1808" s="16" t="s">
        <v>72</v>
      </c>
    </row>
    <row r="1809" spans="1:6" ht="13">
      <c r="A1809" s="16">
        <v>344</v>
      </c>
      <c r="B1809">
        <v>22.378398813147687</v>
      </c>
      <c r="C1809">
        <v>25.593158395555658</v>
      </c>
      <c r="D1809">
        <f>koronahun!AF2013</f>
        <v>0</v>
      </c>
      <c r="E1809" s="16" t="s">
        <v>72</v>
      </c>
      <c r="F1809" s="16" t="s">
        <v>72</v>
      </c>
    </row>
    <row r="1810" spans="1:6" ht="13">
      <c r="A1810" s="16">
        <v>345</v>
      </c>
      <c r="B1810">
        <v>20.671116222470019</v>
      </c>
      <c r="D1810">
        <f>koronahun!AF2014</f>
        <v>0</v>
      </c>
      <c r="E1810" s="16" t="s">
        <v>72</v>
      </c>
      <c r="F1810" s="16" t="s">
        <v>72</v>
      </c>
    </row>
    <row r="1811" spans="1:6" ht="13">
      <c r="A1811" s="16">
        <v>346</v>
      </c>
      <c r="B1811">
        <v>19.649829983452108</v>
      </c>
      <c r="D1811">
        <f>koronahun!AF2015</f>
        <v>0</v>
      </c>
      <c r="E1811" s="16" t="s">
        <v>72</v>
      </c>
      <c r="F1811" s="16" t="s">
        <v>72</v>
      </c>
    </row>
    <row r="1812" spans="1:6" ht="13">
      <c r="A1812" s="16">
        <v>347</v>
      </c>
      <c r="B1812">
        <v>17.960492468131122</v>
      </c>
      <c r="C1812">
        <v>25.107864924387624</v>
      </c>
      <c r="D1812">
        <f>koronahun!AF2016</f>
        <v>0</v>
      </c>
      <c r="E1812" s="16" t="s">
        <v>72</v>
      </c>
      <c r="F1812" s="16" t="s">
        <v>72</v>
      </c>
    </row>
    <row r="1813" spans="1:6" ht="13">
      <c r="A1813" s="16">
        <v>348</v>
      </c>
      <c r="B1813">
        <v>17.955750138342815</v>
      </c>
      <c r="C1813">
        <v>23.168590705808175</v>
      </c>
      <c r="D1813">
        <f>koronahun!AF2017</f>
        <v>0</v>
      </c>
      <c r="E1813" s="16" t="s">
        <v>72</v>
      </c>
      <c r="F1813" s="16" t="s">
        <v>72</v>
      </c>
    </row>
    <row r="1814" spans="1:6" ht="13">
      <c r="A1814" s="16">
        <v>349</v>
      </c>
      <c r="B1814">
        <v>17.108678225511209</v>
      </c>
      <c r="C1814">
        <v>22.214440158371378</v>
      </c>
      <c r="D1814">
        <f>koronahun!AF2018</f>
        <v>0</v>
      </c>
      <c r="E1814" s="16" t="s">
        <v>72</v>
      </c>
      <c r="F1814" s="16" t="s">
        <v>72</v>
      </c>
    </row>
    <row r="1815" spans="1:6" ht="13">
      <c r="A1815" s="16">
        <v>350</v>
      </c>
      <c r="B1815">
        <v>18.67753824862881</v>
      </c>
      <c r="C1815">
        <v>21.367220890971257</v>
      </c>
      <c r="D1815">
        <f>koronahun!AF2019</f>
        <v>0</v>
      </c>
      <c r="E1815" s="16" t="s">
        <v>72</v>
      </c>
      <c r="F1815" s="16" t="s">
        <v>72</v>
      </c>
    </row>
    <row r="1816" spans="1:6" ht="13">
      <c r="A1816" s="16">
        <v>351</v>
      </c>
      <c r="B1816">
        <v>18.359622227165122</v>
      </c>
      <c r="C1816">
        <v>20.857143669682781</v>
      </c>
      <c r="D1816">
        <f>koronahun!AF2020</f>
        <v>0</v>
      </c>
      <c r="E1816" s="16" t="s">
        <v>72</v>
      </c>
      <c r="F1816" s="16" t="s">
        <v>72</v>
      </c>
    </row>
    <row r="1817" spans="1:6" ht="13">
      <c r="A1817" s="16">
        <v>352</v>
      </c>
      <c r="B1817">
        <v>17.237197757397034</v>
      </c>
      <c r="D1817">
        <f>koronahun!AF2021</f>
        <v>0</v>
      </c>
      <c r="E1817" s="16" t="s">
        <v>72</v>
      </c>
      <c r="F1817" s="16" t="s">
        <v>72</v>
      </c>
    </row>
    <row r="1818" spans="1:6" ht="13">
      <c r="A1818" s="16">
        <v>353</v>
      </c>
      <c r="B1818">
        <v>17.256981991127599</v>
      </c>
      <c r="D1818">
        <f>koronahun!AF2022</f>
        <v>0</v>
      </c>
      <c r="E1818" s="16" t="s">
        <v>72</v>
      </c>
      <c r="F1818" s="16" t="s">
        <v>72</v>
      </c>
    </row>
    <row r="1819" spans="1:6" ht="13">
      <c r="A1819" s="16">
        <v>354</v>
      </c>
      <c r="B1819">
        <v>16.669957958215548</v>
      </c>
      <c r="C1819">
        <v>20.12547289950005</v>
      </c>
      <c r="D1819">
        <f>koronahun!AF2023</f>
        <v>0</v>
      </c>
      <c r="E1819" s="16" t="s">
        <v>72</v>
      </c>
      <c r="F1819" s="16" t="s">
        <v>72</v>
      </c>
    </row>
    <row r="1820" spans="1:6" ht="13">
      <c r="A1820" s="16">
        <v>355</v>
      </c>
      <c r="B1820">
        <v>16.07367952822722</v>
      </c>
      <c r="C1820">
        <v>20.71580932259215</v>
      </c>
      <c r="D1820">
        <f>koronahun!AF2024</f>
        <v>0</v>
      </c>
      <c r="E1820" s="16" t="s">
        <v>72</v>
      </c>
      <c r="F1820" s="16" t="s">
        <v>72</v>
      </c>
    </row>
    <row r="1821" spans="1:6" ht="13">
      <c r="A1821" s="16">
        <v>356</v>
      </c>
      <c r="B1821">
        <v>15.821627962908449</v>
      </c>
      <c r="C1821">
        <v>19.917373304496891</v>
      </c>
      <c r="D1821">
        <f>koronahun!AF2025</f>
        <v>0</v>
      </c>
      <c r="E1821" s="16" t="s">
        <v>72</v>
      </c>
      <c r="F1821" s="16" t="s">
        <v>72</v>
      </c>
    </row>
    <row r="1822" spans="1:6" ht="13">
      <c r="A1822" s="16">
        <v>357</v>
      </c>
      <c r="B1822">
        <v>13.925483775591314</v>
      </c>
      <c r="C1822">
        <v>19.669399370316988</v>
      </c>
      <c r="D1822">
        <f>koronahun!AF2026</f>
        <v>0</v>
      </c>
      <c r="E1822" s="16" t="s">
        <v>72</v>
      </c>
      <c r="F1822" s="16" t="s">
        <v>72</v>
      </c>
    </row>
    <row r="1823" spans="1:6" ht="13">
      <c r="A1823" s="16">
        <v>358</v>
      </c>
      <c r="B1823">
        <v>13.401418368617795</v>
      </c>
      <c r="D1823">
        <f>koronahun!AF2027</f>
        <v>0</v>
      </c>
      <c r="E1823" s="16" t="s">
        <v>72</v>
      </c>
      <c r="F1823" s="16" t="s">
        <v>72</v>
      </c>
    </row>
    <row r="1824" spans="1:6" ht="13">
      <c r="A1824" s="16">
        <v>359</v>
      </c>
      <c r="B1824">
        <v>13.111786928334771</v>
      </c>
      <c r="D1824">
        <f>koronahun!AF2028</f>
        <v>0</v>
      </c>
      <c r="E1824" s="16" t="s">
        <v>72</v>
      </c>
      <c r="F1824" s="16" t="s">
        <v>72</v>
      </c>
    </row>
    <row r="1825" spans="1:6" ht="13">
      <c r="A1825" s="16">
        <v>360</v>
      </c>
      <c r="B1825">
        <v>12.526984384324422</v>
      </c>
      <c r="D1825">
        <f>koronahun!AF2029</f>
        <v>0</v>
      </c>
      <c r="E1825" s="16" t="s">
        <v>72</v>
      </c>
      <c r="F1825" s="16" t="s">
        <v>72</v>
      </c>
    </row>
    <row r="1826" spans="1:6" ht="13">
      <c r="A1826" s="16">
        <v>361</v>
      </c>
      <c r="B1826">
        <v>13.792325992485962</v>
      </c>
      <c r="C1826">
        <v>15.927015310864373</v>
      </c>
      <c r="D1826">
        <f>koronahun!AF2030</f>
        <v>0</v>
      </c>
      <c r="E1826" s="16" t="s">
        <v>72</v>
      </c>
      <c r="F1826" s="16" t="s">
        <v>72</v>
      </c>
    </row>
    <row r="1827" spans="1:6" ht="13">
      <c r="A1827" s="16">
        <v>362</v>
      </c>
      <c r="B1827">
        <v>13.684971831978329</v>
      </c>
      <c r="C1827">
        <v>16.596420825342726</v>
      </c>
      <c r="D1827">
        <f>koronahun!AF2031</f>
        <v>0</v>
      </c>
      <c r="E1827" s="16" t="s">
        <v>72</v>
      </c>
      <c r="F1827" s="16" t="s">
        <v>72</v>
      </c>
    </row>
    <row r="1828" spans="1:6" ht="13">
      <c r="A1828" s="16">
        <v>363</v>
      </c>
      <c r="B1828">
        <v>13.538408576412289</v>
      </c>
      <c r="C1828">
        <v>16.031186704108027</v>
      </c>
      <c r="D1828">
        <f>koronahun!AF2032</f>
        <v>0</v>
      </c>
      <c r="E1828" s="16" t="s">
        <v>72</v>
      </c>
      <c r="F1828" s="16" t="s">
        <v>72</v>
      </c>
    </row>
    <row r="1829" spans="1:6" ht="13">
      <c r="A1829" s="16">
        <v>364</v>
      </c>
      <c r="B1829">
        <v>13.803725917686268</v>
      </c>
      <c r="C1829">
        <v>16.528809083349636</v>
      </c>
      <c r="D1829">
        <f>koronahun!AF2033</f>
        <v>0</v>
      </c>
      <c r="E1829" s="16" t="s">
        <v>72</v>
      </c>
      <c r="F1829" s="16" t="s">
        <v>72</v>
      </c>
    </row>
    <row r="1830" spans="1:6" ht="13">
      <c r="A1830" s="16">
        <v>365</v>
      </c>
      <c r="B1830">
        <v>14.448429945276395</v>
      </c>
      <c r="C1830">
        <v>20.562180429607363</v>
      </c>
      <c r="D1830">
        <f>koronahun!AF2034</f>
        <v>0</v>
      </c>
      <c r="E1830" s="16" t="s">
        <v>72</v>
      </c>
      <c r="F1830" s="16" t="s">
        <v>72</v>
      </c>
    </row>
    <row r="1831" spans="1:6" ht="13">
      <c r="A1831" s="16">
        <v>366</v>
      </c>
      <c r="D1831">
        <f>koronahun!AF2035</f>
        <v>0</v>
      </c>
      <c r="E1831" s="16" t="s">
        <v>72</v>
      </c>
      <c r="F1831" s="16" t="s">
        <v>72</v>
      </c>
    </row>
    <row r="1832" spans="1:6" ht="13">
      <c r="A1832" s="16">
        <v>1</v>
      </c>
      <c r="C1832" s="20">
        <v>5648</v>
      </c>
      <c r="D1832">
        <f>koronahun!T670</f>
        <v>0</v>
      </c>
      <c r="E1832" s="56" t="s">
        <v>19</v>
      </c>
      <c r="F1832" s="56" t="s">
        <v>19</v>
      </c>
    </row>
    <row r="1833" spans="1:6" ht="13">
      <c r="A1833" s="16">
        <v>2</v>
      </c>
      <c r="C1833" s="20">
        <v>5529</v>
      </c>
      <c r="D1833">
        <f>koronahun!T671</f>
        <v>0</v>
      </c>
      <c r="E1833" s="56" t="s">
        <v>19</v>
      </c>
      <c r="F1833" s="56" t="s">
        <v>19</v>
      </c>
    </row>
    <row r="1834" spans="1:6" ht="13">
      <c r="A1834" s="16">
        <v>3</v>
      </c>
      <c r="C1834" s="20">
        <v>5619</v>
      </c>
      <c r="D1834">
        <f>koronahun!T672</f>
        <v>3313</v>
      </c>
      <c r="E1834" s="56" t="s">
        <v>19</v>
      </c>
      <c r="F1834" s="56" t="s">
        <v>19</v>
      </c>
    </row>
    <row r="1835" spans="1:6" ht="13">
      <c r="A1835" s="16">
        <v>4</v>
      </c>
      <c r="C1835" s="20">
        <v>5667</v>
      </c>
      <c r="D1835">
        <f>koronahun!T673</f>
        <v>3335</v>
      </c>
      <c r="E1835" s="56" t="s">
        <v>19</v>
      </c>
      <c r="F1835" s="56" t="s">
        <v>19</v>
      </c>
    </row>
    <row r="1836" spans="1:6" ht="13">
      <c r="A1836" s="16">
        <v>5</v>
      </c>
      <c r="C1836" s="20">
        <v>5760</v>
      </c>
      <c r="D1836">
        <f>koronahun!T674</f>
        <v>3090</v>
      </c>
      <c r="E1836" s="56" t="s">
        <v>19</v>
      </c>
      <c r="F1836" s="56" t="s">
        <v>19</v>
      </c>
    </row>
    <row r="1837" spans="1:6" ht="13">
      <c r="A1837" s="16">
        <v>6</v>
      </c>
      <c r="C1837" s="20">
        <v>5646</v>
      </c>
      <c r="D1837">
        <f>koronahun!T675</f>
        <v>3101</v>
      </c>
      <c r="E1837" s="56" t="s">
        <v>19</v>
      </c>
      <c r="F1837" s="56" t="s">
        <v>19</v>
      </c>
    </row>
    <row r="1838" spans="1:6" ht="13">
      <c r="A1838" s="16">
        <v>7</v>
      </c>
      <c r="C1838" s="20">
        <v>5387</v>
      </c>
      <c r="D1838">
        <f>koronahun!T676</f>
        <v>3070</v>
      </c>
      <c r="E1838" s="56" t="s">
        <v>19</v>
      </c>
      <c r="F1838" s="56" t="s">
        <v>19</v>
      </c>
    </row>
    <row r="1839" spans="1:6" ht="13">
      <c r="A1839" s="16">
        <v>8</v>
      </c>
      <c r="C1839" s="20">
        <v>5297</v>
      </c>
      <c r="D1839">
        <f>koronahun!T677</f>
        <v>0</v>
      </c>
      <c r="E1839" s="56" t="s">
        <v>19</v>
      </c>
      <c r="F1839" s="56" t="s">
        <v>19</v>
      </c>
    </row>
    <row r="1840" spans="1:6" ht="13">
      <c r="A1840" s="16">
        <v>9</v>
      </c>
      <c r="C1840" s="20">
        <v>5126</v>
      </c>
      <c r="D1840">
        <f>koronahun!T678</f>
        <v>0</v>
      </c>
      <c r="E1840" s="56" t="s">
        <v>19</v>
      </c>
      <c r="F1840" s="56" t="s">
        <v>19</v>
      </c>
    </row>
    <row r="1841" spans="1:6" ht="13">
      <c r="A1841" s="16">
        <v>10</v>
      </c>
      <c r="C1841" s="20">
        <v>4980</v>
      </c>
      <c r="D1841">
        <f>koronahun!T679</f>
        <v>2931</v>
      </c>
      <c r="E1841" s="56" t="s">
        <v>19</v>
      </c>
      <c r="F1841" s="56" t="s">
        <v>19</v>
      </c>
    </row>
    <row r="1842" spans="1:6" ht="13">
      <c r="A1842" s="16">
        <v>11</v>
      </c>
      <c r="C1842" s="20">
        <v>5065</v>
      </c>
      <c r="D1842">
        <f>koronahun!T680</f>
        <v>2932</v>
      </c>
      <c r="E1842" s="56" t="s">
        <v>19</v>
      </c>
      <c r="F1842" s="56" t="s">
        <v>19</v>
      </c>
    </row>
    <row r="1843" spans="1:6" ht="13">
      <c r="A1843" s="16">
        <v>12</v>
      </c>
      <c r="C1843" s="20">
        <v>5005</v>
      </c>
      <c r="D1843">
        <f>koronahun!T681</f>
        <v>2758</v>
      </c>
      <c r="E1843" s="56" t="s">
        <v>19</v>
      </c>
      <c r="F1843" s="56" t="s">
        <v>19</v>
      </c>
    </row>
    <row r="1844" spans="1:6" ht="13">
      <c r="A1844" s="16">
        <v>13</v>
      </c>
      <c r="C1844" s="20">
        <v>4870</v>
      </c>
      <c r="D1844">
        <f>koronahun!T682</f>
        <v>2647</v>
      </c>
      <c r="E1844" s="56" t="s">
        <v>19</v>
      </c>
      <c r="F1844" s="56" t="s">
        <v>19</v>
      </c>
    </row>
    <row r="1845" spans="1:6" ht="13">
      <c r="A1845" s="16">
        <v>14</v>
      </c>
      <c r="C1845" s="20">
        <v>4689</v>
      </c>
      <c r="D1845">
        <f>koronahun!T683</f>
        <v>2611</v>
      </c>
      <c r="E1845" s="56" t="s">
        <v>19</v>
      </c>
      <c r="F1845" s="56" t="s">
        <v>19</v>
      </c>
    </row>
    <row r="1846" spans="1:6" ht="13">
      <c r="A1846" s="16">
        <v>15</v>
      </c>
      <c r="C1846" s="20">
        <v>4600</v>
      </c>
      <c r="D1846">
        <f>koronahun!T684</f>
        <v>0</v>
      </c>
      <c r="E1846" s="56" t="s">
        <v>19</v>
      </c>
      <c r="F1846" s="56" t="s">
        <v>19</v>
      </c>
    </row>
    <row r="1847" spans="1:6" ht="13">
      <c r="A1847" s="16">
        <v>16</v>
      </c>
      <c r="C1847" s="20">
        <v>4408</v>
      </c>
      <c r="D1847">
        <f>koronahun!T685</f>
        <v>0</v>
      </c>
      <c r="E1847" s="56" t="s">
        <v>19</v>
      </c>
      <c r="F1847" s="56" t="s">
        <v>19</v>
      </c>
    </row>
    <row r="1848" spans="1:6" ht="13">
      <c r="A1848" s="16">
        <v>17</v>
      </c>
      <c r="C1848" s="20">
        <v>4345</v>
      </c>
      <c r="D1848">
        <f>koronahun!T686</f>
        <v>2630</v>
      </c>
      <c r="E1848" s="56" t="s">
        <v>19</v>
      </c>
      <c r="F1848" s="56" t="s">
        <v>19</v>
      </c>
    </row>
    <row r="1849" spans="1:6" ht="13">
      <c r="A1849" s="16">
        <v>18</v>
      </c>
      <c r="C1849" s="20">
        <v>4445</v>
      </c>
      <c r="D1849">
        <f>koronahun!T687</f>
        <v>2689</v>
      </c>
      <c r="E1849" s="56" t="s">
        <v>19</v>
      </c>
      <c r="F1849" s="56" t="s">
        <v>19</v>
      </c>
    </row>
    <row r="1850" spans="1:6" ht="13">
      <c r="A1850" s="16">
        <v>19</v>
      </c>
      <c r="C1850" s="20">
        <v>4445</v>
      </c>
      <c r="D1850">
        <f>koronahun!T688</f>
        <v>2645</v>
      </c>
      <c r="E1850" s="56" t="s">
        <v>19</v>
      </c>
      <c r="F1850" s="56" t="s">
        <v>19</v>
      </c>
    </row>
    <row r="1851" spans="1:6" ht="13">
      <c r="A1851" s="16">
        <v>20</v>
      </c>
      <c r="C1851" s="20">
        <v>4218</v>
      </c>
      <c r="D1851">
        <f>koronahun!T689</f>
        <v>2673</v>
      </c>
      <c r="E1851" s="56" t="s">
        <v>19</v>
      </c>
      <c r="F1851" s="56" t="s">
        <v>19</v>
      </c>
    </row>
    <row r="1852" spans="1:6" ht="13">
      <c r="A1852" s="16">
        <v>21</v>
      </c>
      <c r="C1852" s="20">
        <v>4049</v>
      </c>
      <c r="D1852">
        <f>koronahun!T690</f>
        <v>2674</v>
      </c>
      <c r="E1852" s="56" t="s">
        <v>19</v>
      </c>
      <c r="F1852" s="56" t="s">
        <v>19</v>
      </c>
    </row>
    <row r="1853" spans="1:6" ht="13">
      <c r="A1853" s="16">
        <v>22</v>
      </c>
      <c r="C1853" s="20">
        <v>3959</v>
      </c>
      <c r="D1853">
        <f>koronahun!T691</f>
        <v>0</v>
      </c>
      <c r="E1853" s="56" t="s">
        <v>19</v>
      </c>
      <c r="F1853" s="56" t="s">
        <v>19</v>
      </c>
    </row>
    <row r="1854" spans="1:6" ht="13">
      <c r="A1854" s="16">
        <v>23</v>
      </c>
      <c r="C1854" s="20">
        <v>3854</v>
      </c>
      <c r="D1854">
        <f>koronahun!T692</f>
        <v>0</v>
      </c>
      <c r="E1854" s="56" t="s">
        <v>19</v>
      </c>
      <c r="F1854" s="56" t="s">
        <v>19</v>
      </c>
    </row>
    <row r="1855" spans="1:6" ht="13">
      <c r="A1855" s="16">
        <v>24</v>
      </c>
      <c r="C1855" s="20">
        <v>3793</v>
      </c>
      <c r="D1855">
        <f>koronahun!T693</f>
        <v>2921</v>
      </c>
      <c r="E1855" s="56" t="s">
        <v>19</v>
      </c>
      <c r="F1855" s="56" t="s">
        <v>19</v>
      </c>
    </row>
    <row r="1856" spans="1:6" ht="13">
      <c r="A1856" s="16">
        <v>25</v>
      </c>
      <c r="C1856" s="20">
        <v>3814</v>
      </c>
      <c r="D1856">
        <f>koronahun!T694</f>
        <v>3115</v>
      </c>
      <c r="E1856" s="56" t="s">
        <v>19</v>
      </c>
      <c r="F1856" s="56" t="s">
        <v>19</v>
      </c>
    </row>
    <row r="1857" spans="1:6" ht="13">
      <c r="A1857" s="16">
        <v>26</v>
      </c>
      <c r="C1857" s="20">
        <v>3815</v>
      </c>
      <c r="D1857">
        <f>koronahun!T695</f>
        <v>3145</v>
      </c>
      <c r="E1857" s="56" t="s">
        <v>19</v>
      </c>
      <c r="F1857" s="56" t="s">
        <v>19</v>
      </c>
    </row>
    <row r="1858" spans="1:6" ht="13">
      <c r="A1858" s="16">
        <v>27</v>
      </c>
      <c r="C1858" s="20">
        <v>3809</v>
      </c>
      <c r="D1858">
        <f>koronahun!T696</f>
        <v>3267</v>
      </c>
      <c r="E1858" s="56" t="s">
        <v>19</v>
      </c>
      <c r="F1858" s="56" t="s">
        <v>19</v>
      </c>
    </row>
    <row r="1859" spans="1:6" ht="13">
      <c r="A1859" s="16">
        <v>28</v>
      </c>
      <c r="C1859" s="20">
        <v>3669</v>
      </c>
      <c r="D1859">
        <f>koronahun!T697</f>
        <v>3463</v>
      </c>
      <c r="E1859" s="56" t="s">
        <v>19</v>
      </c>
      <c r="F1859" s="56" t="s">
        <v>19</v>
      </c>
    </row>
    <row r="1860" spans="1:6" ht="13">
      <c r="A1860" s="16">
        <v>29</v>
      </c>
      <c r="C1860" s="20">
        <v>3649</v>
      </c>
      <c r="D1860">
        <f>koronahun!T698</f>
        <v>0</v>
      </c>
      <c r="E1860" s="56" t="s">
        <v>19</v>
      </c>
      <c r="F1860" s="56" t="s">
        <v>19</v>
      </c>
    </row>
    <row r="1861" spans="1:6" ht="13">
      <c r="A1861" s="16">
        <v>30</v>
      </c>
      <c r="C1861" s="20">
        <v>3582</v>
      </c>
      <c r="D1861">
        <f>koronahun!T699</f>
        <v>0</v>
      </c>
      <c r="E1861" s="56" t="s">
        <v>19</v>
      </c>
      <c r="F1861" s="56" t="s">
        <v>19</v>
      </c>
    </row>
    <row r="1862" spans="1:6" ht="13">
      <c r="A1862" s="16">
        <v>31</v>
      </c>
      <c r="C1862" s="20">
        <v>3562</v>
      </c>
      <c r="D1862">
        <f>koronahun!T700</f>
        <v>3903</v>
      </c>
      <c r="E1862" s="56" t="s">
        <v>19</v>
      </c>
      <c r="F1862" s="56" t="s">
        <v>19</v>
      </c>
    </row>
    <row r="1863" spans="1:6" ht="13">
      <c r="A1863" s="16">
        <v>32</v>
      </c>
      <c r="C1863" s="20">
        <v>3682</v>
      </c>
      <c r="D1863">
        <f>koronahun!T701</f>
        <v>4218</v>
      </c>
      <c r="E1863" s="56" t="s">
        <v>19</v>
      </c>
      <c r="F1863" s="56" t="s">
        <v>19</v>
      </c>
    </row>
    <row r="1864" spans="1:6" ht="13">
      <c r="A1864" s="16">
        <v>33</v>
      </c>
      <c r="C1864" s="20">
        <v>3729</v>
      </c>
      <c r="D1864">
        <f>koronahun!T702</f>
        <v>4341</v>
      </c>
      <c r="E1864" s="56" t="s">
        <v>19</v>
      </c>
      <c r="F1864" s="56" t="s">
        <v>19</v>
      </c>
    </row>
    <row r="1865" spans="1:6" ht="13">
      <c r="A1865" s="16">
        <v>34</v>
      </c>
      <c r="C1865" s="20">
        <v>3697</v>
      </c>
      <c r="D1865">
        <f>koronahun!T703</f>
        <v>4451</v>
      </c>
      <c r="E1865" s="56" t="s">
        <v>19</v>
      </c>
      <c r="F1865" s="56" t="s">
        <v>19</v>
      </c>
    </row>
    <row r="1866" spans="1:6" ht="13">
      <c r="A1866" s="16">
        <v>35</v>
      </c>
      <c r="C1866" s="20">
        <v>3648</v>
      </c>
      <c r="D1866">
        <f>koronahun!T704</f>
        <v>4588</v>
      </c>
      <c r="E1866" s="56" t="s">
        <v>19</v>
      </c>
      <c r="F1866" s="56" t="s">
        <v>19</v>
      </c>
    </row>
    <row r="1867" spans="1:6" ht="13">
      <c r="A1867" s="16">
        <v>36</v>
      </c>
      <c r="C1867" s="20">
        <v>3638</v>
      </c>
      <c r="D1867">
        <f>koronahun!T705</f>
        <v>0</v>
      </c>
      <c r="E1867" s="56" t="s">
        <v>19</v>
      </c>
      <c r="F1867" s="56" t="s">
        <v>19</v>
      </c>
    </row>
    <row r="1868" spans="1:6" ht="13">
      <c r="A1868" s="16">
        <v>37</v>
      </c>
      <c r="C1868" s="20">
        <v>3601</v>
      </c>
      <c r="D1868">
        <f>koronahun!T706</f>
        <v>0</v>
      </c>
      <c r="E1868" s="56" t="s">
        <v>19</v>
      </c>
      <c r="F1868" s="56" t="s">
        <v>19</v>
      </c>
    </row>
    <row r="1869" spans="1:6" ht="13">
      <c r="A1869" s="16">
        <v>38</v>
      </c>
      <c r="C1869" s="20">
        <v>3578</v>
      </c>
      <c r="D1869">
        <f>koronahun!T707</f>
        <v>4919</v>
      </c>
      <c r="E1869" s="56" t="s">
        <v>19</v>
      </c>
      <c r="F1869" s="56" t="s">
        <v>19</v>
      </c>
    </row>
    <row r="1870" spans="1:6" ht="13">
      <c r="A1870" s="16">
        <v>39</v>
      </c>
      <c r="C1870" s="20">
        <v>3717</v>
      </c>
      <c r="D1870">
        <f>koronahun!T708</f>
        <v>5167</v>
      </c>
      <c r="E1870" s="56" t="s">
        <v>19</v>
      </c>
      <c r="F1870" s="56" t="s">
        <v>19</v>
      </c>
    </row>
    <row r="1871" spans="1:6" ht="13">
      <c r="A1871" s="16">
        <v>40</v>
      </c>
      <c r="C1871" s="20">
        <v>3792</v>
      </c>
      <c r="D1871">
        <f>koronahun!T709</f>
        <v>5108</v>
      </c>
      <c r="E1871" s="56" t="s">
        <v>19</v>
      </c>
      <c r="F1871" s="56" t="s">
        <v>19</v>
      </c>
    </row>
    <row r="1872" spans="1:6" ht="13">
      <c r="A1872" s="16">
        <v>41</v>
      </c>
      <c r="C1872" s="20">
        <v>3747</v>
      </c>
      <c r="D1872">
        <f>koronahun!T710</f>
        <v>5198</v>
      </c>
      <c r="E1872" s="56" t="s">
        <v>19</v>
      </c>
      <c r="F1872" s="56" t="s">
        <v>19</v>
      </c>
    </row>
    <row r="1873" spans="1:6" ht="13">
      <c r="A1873" s="16">
        <v>42</v>
      </c>
      <c r="C1873" s="20">
        <v>3799</v>
      </c>
      <c r="D1873">
        <f>koronahun!T711</f>
        <v>5152</v>
      </c>
      <c r="E1873" s="56" t="s">
        <v>19</v>
      </c>
      <c r="F1873" s="56" t="s">
        <v>19</v>
      </c>
    </row>
    <row r="1874" spans="1:6" ht="13">
      <c r="A1874" s="16">
        <v>43</v>
      </c>
      <c r="C1874" s="20">
        <v>3828</v>
      </c>
      <c r="D1874">
        <f>koronahun!T712</f>
        <v>0</v>
      </c>
      <c r="E1874" s="56" t="s">
        <v>19</v>
      </c>
      <c r="F1874" s="56" t="s">
        <v>19</v>
      </c>
    </row>
    <row r="1875" spans="1:6" ht="13">
      <c r="A1875" s="16">
        <v>44</v>
      </c>
      <c r="C1875" s="20">
        <v>3771</v>
      </c>
      <c r="D1875">
        <f>koronahun!T713</f>
        <v>0</v>
      </c>
      <c r="E1875" s="56" t="s">
        <v>19</v>
      </c>
      <c r="F1875" s="56" t="s">
        <v>19</v>
      </c>
    </row>
    <row r="1876" spans="1:6" ht="13">
      <c r="A1876" s="16">
        <v>45</v>
      </c>
      <c r="C1876" s="20">
        <v>3755</v>
      </c>
      <c r="D1876">
        <f>koronahun!T714</f>
        <v>5186</v>
      </c>
      <c r="E1876" s="56" t="s">
        <v>19</v>
      </c>
      <c r="F1876" s="56" t="s">
        <v>19</v>
      </c>
    </row>
    <row r="1877" spans="1:6" ht="13">
      <c r="A1877" s="16">
        <v>46</v>
      </c>
      <c r="C1877" s="20">
        <v>3883</v>
      </c>
      <c r="D1877">
        <f>koronahun!T715</f>
        <v>5291</v>
      </c>
      <c r="E1877" s="56" t="s">
        <v>19</v>
      </c>
      <c r="F1877" s="56" t="s">
        <v>19</v>
      </c>
    </row>
    <row r="1878" spans="1:6" ht="13">
      <c r="A1878" s="16">
        <v>47</v>
      </c>
      <c r="C1878" s="20">
        <v>3979</v>
      </c>
      <c r="D1878">
        <f>koronahun!T716</f>
        <v>5166</v>
      </c>
      <c r="E1878" s="56" t="s">
        <v>19</v>
      </c>
      <c r="F1878" s="56" t="s">
        <v>19</v>
      </c>
    </row>
    <row r="1879" spans="1:6" ht="13">
      <c r="A1879" s="16">
        <v>48</v>
      </c>
      <c r="C1879" s="20">
        <v>4014</v>
      </c>
      <c r="D1879">
        <f>koronahun!T717</f>
        <v>5062</v>
      </c>
      <c r="E1879" s="56" t="s">
        <v>19</v>
      </c>
      <c r="F1879" s="56" t="s">
        <v>19</v>
      </c>
    </row>
    <row r="1880" spans="1:6" ht="13">
      <c r="A1880" s="16">
        <v>49</v>
      </c>
      <c r="C1880" s="20">
        <v>4021</v>
      </c>
      <c r="D1880">
        <f>koronahun!T718</f>
        <v>4919</v>
      </c>
      <c r="E1880" s="56" t="s">
        <v>19</v>
      </c>
      <c r="F1880" s="56" t="s">
        <v>19</v>
      </c>
    </row>
    <row r="1881" spans="1:6" ht="13">
      <c r="A1881" s="16">
        <v>50</v>
      </c>
      <c r="C1881" s="20">
        <v>4024</v>
      </c>
      <c r="D1881">
        <f>koronahun!T719</f>
        <v>0</v>
      </c>
      <c r="E1881" s="56" t="s">
        <v>19</v>
      </c>
      <c r="F1881" s="56" t="s">
        <v>19</v>
      </c>
    </row>
    <row r="1882" spans="1:6" ht="13">
      <c r="A1882" s="16">
        <v>51</v>
      </c>
      <c r="C1882" s="20">
        <v>4147</v>
      </c>
      <c r="D1882">
        <f>koronahun!T720</f>
        <v>0</v>
      </c>
      <c r="E1882" s="56" t="s">
        <v>19</v>
      </c>
      <c r="F1882" s="56" t="s">
        <v>19</v>
      </c>
    </row>
    <row r="1883" spans="1:6" ht="13">
      <c r="A1883" s="16">
        <v>52</v>
      </c>
      <c r="C1883" s="20">
        <v>4233</v>
      </c>
      <c r="D1883">
        <f>koronahun!T721</f>
        <v>4741</v>
      </c>
      <c r="E1883" s="56" t="s">
        <v>19</v>
      </c>
      <c r="F1883" s="56" t="s">
        <v>19</v>
      </c>
    </row>
    <row r="1884" spans="1:6" ht="13">
      <c r="A1884" s="16">
        <v>53</v>
      </c>
      <c r="C1884" s="20">
        <v>4489</v>
      </c>
      <c r="D1884">
        <f>koronahun!T722</f>
        <v>4740</v>
      </c>
      <c r="E1884" s="56" t="s">
        <v>19</v>
      </c>
      <c r="F1884" s="56" t="s">
        <v>19</v>
      </c>
    </row>
    <row r="1885" spans="1:6" ht="13">
      <c r="A1885" s="16">
        <v>54</v>
      </c>
      <c r="C1885" s="20">
        <v>4582</v>
      </c>
      <c r="D1885">
        <f>koronahun!T723</f>
        <v>4463</v>
      </c>
      <c r="E1885" s="56" t="s">
        <v>19</v>
      </c>
      <c r="F1885" s="56" t="s">
        <v>19</v>
      </c>
    </row>
    <row r="1886" spans="1:6" ht="13">
      <c r="A1886" s="16">
        <v>55</v>
      </c>
      <c r="C1886" s="20">
        <v>4353</v>
      </c>
      <c r="D1886">
        <f>koronahun!T724</f>
        <v>4199</v>
      </c>
      <c r="E1886" s="56" t="s">
        <v>19</v>
      </c>
      <c r="F1886" s="56" t="s">
        <v>19</v>
      </c>
    </row>
    <row r="1887" spans="1:6" ht="13">
      <c r="A1887" s="16">
        <v>56</v>
      </c>
      <c r="C1887" s="20">
        <v>4836</v>
      </c>
      <c r="D1887">
        <f>koronahun!T725</f>
        <v>3997</v>
      </c>
      <c r="E1887" s="56" t="s">
        <v>19</v>
      </c>
      <c r="F1887" s="56" t="s">
        <v>19</v>
      </c>
    </row>
    <row r="1888" spans="1:6" ht="13">
      <c r="A1888" s="16">
        <v>57</v>
      </c>
      <c r="C1888" s="20">
        <v>5027</v>
      </c>
      <c r="D1888">
        <f>koronahun!T726</f>
        <v>0</v>
      </c>
      <c r="E1888" s="56" t="s">
        <v>19</v>
      </c>
      <c r="F1888" s="56" t="s">
        <v>19</v>
      </c>
    </row>
    <row r="1889" spans="1:6" ht="13">
      <c r="A1889" s="16">
        <v>58</v>
      </c>
      <c r="C1889" s="20">
        <v>5282</v>
      </c>
      <c r="D1889">
        <f>koronahun!T727</f>
        <v>0</v>
      </c>
      <c r="E1889" s="56" t="s">
        <v>19</v>
      </c>
      <c r="F1889" s="56" t="s">
        <v>19</v>
      </c>
    </row>
    <row r="1890" spans="1:6" ht="13">
      <c r="A1890" s="16">
        <v>59</v>
      </c>
      <c r="C1890" s="20">
        <v>5482</v>
      </c>
      <c r="D1890">
        <f>koronahun!T728</f>
        <v>3615</v>
      </c>
      <c r="E1890" s="56" t="s">
        <v>19</v>
      </c>
      <c r="F1890" s="56" t="s">
        <v>19</v>
      </c>
    </row>
    <row r="1891" spans="1:6" ht="13">
      <c r="A1891" s="16">
        <v>60</v>
      </c>
      <c r="C1891" s="20">
        <v>5679</v>
      </c>
      <c r="D1891">
        <f>koronahun!T729</f>
        <v>3610</v>
      </c>
      <c r="E1891" s="56" t="s">
        <v>19</v>
      </c>
      <c r="F1891" s="56" t="s">
        <v>19</v>
      </c>
    </row>
    <row r="1892" spans="1:6" ht="13">
      <c r="A1892" s="16">
        <v>61</v>
      </c>
      <c r="C1892" s="20">
        <v>6071</v>
      </c>
      <c r="D1892">
        <f>koronahun!T730</f>
        <v>3313</v>
      </c>
      <c r="E1892" s="56" t="s">
        <v>19</v>
      </c>
      <c r="F1892" s="56" t="s">
        <v>19</v>
      </c>
    </row>
    <row r="1893" spans="1:6" ht="13">
      <c r="A1893" s="16">
        <v>62</v>
      </c>
      <c r="C1893" s="20">
        <v>6367</v>
      </c>
      <c r="D1893">
        <f>koronahun!T731</f>
        <v>3120</v>
      </c>
      <c r="E1893" s="56" t="s">
        <v>19</v>
      </c>
      <c r="F1893" s="56" t="s">
        <v>19</v>
      </c>
    </row>
    <row r="1894" spans="1:6" ht="13">
      <c r="A1894" s="16">
        <v>63</v>
      </c>
      <c r="B1894" s="16"/>
      <c r="C1894" s="20">
        <v>6554</v>
      </c>
      <c r="D1894">
        <f>koronahun!T732</f>
        <v>2961</v>
      </c>
      <c r="E1894" s="56" t="s">
        <v>19</v>
      </c>
      <c r="F1894" s="56" t="s">
        <v>19</v>
      </c>
    </row>
    <row r="1895" spans="1:6" ht="13">
      <c r="A1895" s="16">
        <v>64</v>
      </c>
      <c r="B1895" s="16"/>
      <c r="C1895" s="20">
        <v>6867</v>
      </c>
      <c r="D1895">
        <f>koronahun!T733</f>
        <v>0</v>
      </c>
      <c r="E1895" s="56" t="s">
        <v>19</v>
      </c>
      <c r="F1895" s="56" t="s">
        <v>19</v>
      </c>
    </row>
    <row r="1896" spans="1:6" ht="13">
      <c r="A1896" s="16">
        <v>65</v>
      </c>
      <c r="B1896" s="16"/>
      <c r="C1896" s="20">
        <v>7243</v>
      </c>
      <c r="D1896">
        <f>koronahun!T734</f>
        <v>0</v>
      </c>
      <c r="E1896" s="56" t="s">
        <v>19</v>
      </c>
      <c r="F1896" s="56" t="s">
        <v>19</v>
      </c>
    </row>
    <row r="1897" spans="1:6" ht="13">
      <c r="A1897" s="16">
        <v>66</v>
      </c>
      <c r="B1897" s="16"/>
      <c r="C1897" s="20">
        <v>7445</v>
      </c>
      <c r="D1897">
        <f>koronahun!T735</f>
        <v>2745</v>
      </c>
      <c r="E1897" s="56" t="s">
        <v>19</v>
      </c>
      <c r="F1897" s="56" t="s">
        <v>19</v>
      </c>
    </row>
    <row r="1898" spans="1:6" ht="13">
      <c r="A1898" s="16">
        <v>67</v>
      </c>
      <c r="B1898" s="16"/>
      <c r="C1898" s="20">
        <v>7924</v>
      </c>
      <c r="D1898">
        <f>koronahun!T736</f>
        <v>2766</v>
      </c>
      <c r="E1898" s="56" t="s">
        <v>19</v>
      </c>
      <c r="F1898" s="56" t="s">
        <v>19</v>
      </c>
    </row>
    <row r="1899" spans="1:6" ht="13">
      <c r="A1899" s="16">
        <v>68</v>
      </c>
      <c r="B1899" s="16"/>
      <c r="C1899" s="20">
        <v>8270</v>
      </c>
      <c r="D1899">
        <f>koronahun!T737</f>
        <v>2617</v>
      </c>
      <c r="E1899" s="56" t="s">
        <v>19</v>
      </c>
      <c r="F1899" s="56" t="s">
        <v>19</v>
      </c>
    </row>
    <row r="1900" spans="1:6" ht="13">
      <c r="A1900" s="16">
        <v>69</v>
      </c>
      <c r="B1900" s="16"/>
      <c r="C1900" s="20">
        <v>8348</v>
      </c>
      <c r="D1900">
        <f>koronahun!T738</f>
        <v>2499</v>
      </c>
      <c r="E1900" s="56" t="s">
        <v>19</v>
      </c>
      <c r="F1900" s="56" t="s">
        <v>19</v>
      </c>
    </row>
    <row r="1901" spans="1:6" ht="13">
      <c r="A1901" s="16">
        <v>70</v>
      </c>
      <c r="B1901" s="16"/>
      <c r="C1901" s="20">
        <v>8329</v>
      </c>
      <c r="D1901">
        <f>koronahun!T739</f>
        <v>2338</v>
      </c>
      <c r="E1901" s="56" t="s">
        <v>19</v>
      </c>
      <c r="F1901" s="56" t="s">
        <v>19</v>
      </c>
    </row>
    <row r="1902" spans="1:6" ht="13">
      <c r="A1902" s="16">
        <v>71</v>
      </c>
      <c r="B1902" s="16"/>
      <c r="C1902" s="20">
        <v>8718</v>
      </c>
      <c r="D1902">
        <f>koronahun!T740</f>
        <v>0</v>
      </c>
      <c r="E1902" s="56" t="s">
        <v>19</v>
      </c>
      <c r="F1902" s="56" t="s">
        <v>19</v>
      </c>
    </row>
    <row r="1903" spans="1:6" ht="13">
      <c r="A1903" s="16">
        <v>72</v>
      </c>
      <c r="B1903" s="16"/>
      <c r="C1903" s="20">
        <v>8897</v>
      </c>
      <c r="D1903">
        <f>koronahun!T741</f>
        <v>0</v>
      </c>
      <c r="E1903" s="56" t="s">
        <v>19</v>
      </c>
      <c r="F1903" s="56" t="s">
        <v>19</v>
      </c>
    </row>
    <row r="1904" spans="1:6" ht="13">
      <c r="A1904" s="16">
        <v>73</v>
      </c>
      <c r="B1904" s="16"/>
      <c r="C1904" s="20">
        <v>8764</v>
      </c>
      <c r="D1904">
        <f>koronahun!T742</f>
        <v>0</v>
      </c>
      <c r="E1904" s="56" t="s">
        <v>19</v>
      </c>
      <c r="F1904" s="56" t="s">
        <v>19</v>
      </c>
    </row>
    <row r="1905" spans="1:6" ht="13">
      <c r="A1905" s="16">
        <v>74</v>
      </c>
      <c r="B1905" s="16"/>
      <c r="C1905" s="20">
        <v>9300</v>
      </c>
      <c r="D1905">
        <f>koronahun!T743</f>
        <v>0</v>
      </c>
      <c r="E1905" s="56" t="s">
        <v>19</v>
      </c>
      <c r="F1905" s="56" t="s">
        <v>19</v>
      </c>
    </row>
    <row r="1906" spans="1:6" ht="13">
      <c r="A1906" s="16">
        <v>75</v>
      </c>
      <c r="B1906" s="16"/>
      <c r="C1906" s="20">
        <v>9844</v>
      </c>
      <c r="D1906">
        <f>koronahun!T744</f>
        <v>2259</v>
      </c>
      <c r="E1906" s="56" t="s">
        <v>19</v>
      </c>
      <c r="F1906" s="56" t="s">
        <v>19</v>
      </c>
    </row>
    <row r="1907" spans="1:6" ht="13">
      <c r="A1907" s="16">
        <v>76</v>
      </c>
      <c r="B1907" s="16"/>
      <c r="C1907" s="20">
        <v>10284</v>
      </c>
      <c r="D1907">
        <f>koronahun!T745</f>
        <v>2287</v>
      </c>
      <c r="E1907" s="56" t="s">
        <v>19</v>
      </c>
      <c r="F1907" s="56" t="s">
        <v>19</v>
      </c>
    </row>
    <row r="1908" spans="1:6" ht="13">
      <c r="A1908" s="16">
        <v>77</v>
      </c>
      <c r="B1908" s="16"/>
      <c r="C1908" s="20">
        <v>10386</v>
      </c>
      <c r="D1908">
        <f>koronahun!T746</f>
        <v>2205</v>
      </c>
      <c r="E1908" s="56" t="s">
        <v>19</v>
      </c>
      <c r="F1908" s="56" t="s">
        <v>19</v>
      </c>
    </row>
    <row r="1909" spans="1:6" ht="13">
      <c r="A1909" s="16">
        <v>78</v>
      </c>
      <c r="B1909" s="16"/>
      <c r="C1909" s="20">
        <v>10264</v>
      </c>
      <c r="D1909">
        <f>koronahun!T747</f>
        <v>0</v>
      </c>
      <c r="E1909" s="56" t="s">
        <v>19</v>
      </c>
      <c r="F1909" s="56" t="s">
        <v>19</v>
      </c>
    </row>
    <row r="1910" spans="1:6" ht="13">
      <c r="A1910" s="16">
        <v>79</v>
      </c>
      <c r="B1910" s="16"/>
      <c r="C1910" s="20">
        <v>10583</v>
      </c>
      <c r="D1910">
        <f>koronahun!T748</f>
        <v>0</v>
      </c>
      <c r="E1910" s="56" t="s">
        <v>19</v>
      </c>
      <c r="F1910" s="56" t="s">
        <v>19</v>
      </c>
    </row>
    <row r="1911" spans="1:6" ht="13">
      <c r="A1911" s="16">
        <v>80</v>
      </c>
      <c r="B1911" s="16"/>
      <c r="C1911" s="20">
        <v>10652</v>
      </c>
      <c r="D1911">
        <f>koronahun!T749</f>
        <v>2061</v>
      </c>
      <c r="E1911" s="56" t="s">
        <v>19</v>
      </c>
      <c r="F1911" s="56" t="s">
        <v>19</v>
      </c>
    </row>
    <row r="1912" spans="1:6" ht="13">
      <c r="A1912" s="16">
        <v>81</v>
      </c>
      <c r="B1912" s="16"/>
      <c r="C1912" s="20">
        <v>11276</v>
      </c>
      <c r="D1912">
        <f>koronahun!T750</f>
        <v>2062</v>
      </c>
      <c r="E1912" s="56" t="s">
        <v>19</v>
      </c>
      <c r="F1912" s="56" t="s">
        <v>19</v>
      </c>
    </row>
    <row r="1913" spans="1:6" ht="13">
      <c r="A1913" s="16">
        <v>82</v>
      </c>
      <c r="B1913" s="16"/>
      <c r="C1913" s="20">
        <v>11873</v>
      </c>
      <c r="D1913">
        <f>koronahun!T751</f>
        <v>2006</v>
      </c>
      <c r="E1913" s="56" t="s">
        <v>19</v>
      </c>
      <c r="F1913" s="56" t="s">
        <v>19</v>
      </c>
    </row>
    <row r="1914" spans="1:6" ht="13">
      <c r="A1914" s="16">
        <v>83</v>
      </c>
      <c r="B1914" s="16"/>
      <c r="C1914" s="20">
        <v>11805</v>
      </c>
      <c r="D1914">
        <f>koronahun!T752</f>
        <v>1971</v>
      </c>
      <c r="E1914" s="56" t="s">
        <v>19</v>
      </c>
      <c r="F1914" s="56" t="s">
        <v>19</v>
      </c>
    </row>
    <row r="1915" spans="1:6" ht="13">
      <c r="A1915" s="16">
        <v>84</v>
      </c>
      <c r="B1915" s="16"/>
      <c r="C1915" s="20">
        <v>11760</v>
      </c>
      <c r="D1915">
        <f>koronahun!T753</f>
        <v>1953</v>
      </c>
      <c r="E1915" s="56" t="s">
        <v>19</v>
      </c>
      <c r="F1915" s="56" t="s">
        <v>19</v>
      </c>
    </row>
    <row r="1916" spans="1:6" ht="13">
      <c r="A1916" s="16">
        <v>85</v>
      </c>
      <c r="B1916" s="16"/>
      <c r="C1916" s="20">
        <v>11823</v>
      </c>
      <c r="D1916">
        <f>koronahun!T754</f>
        <v>0</v>
      </c>
      <c r="E1916" s="56" t="s">
        <v>19</v>
      </c>
      <c r="F1916" s="56" t="s">
        <v>19</v>
      </c>
    </row>
    <row r="1917" spans="1:6" ht="13">
      <c r="A1917" s="16">
        <v>86</v>
      </c>
      <c r="B1917" s="16"/>
      <c r="C1917" s="20">
        <v>11779</v>
      </c>
      <c r="D1917">
        <f>koronahun!T755</f>
        <v>0</v>
      </c>
      <c r="E1917" s="56" t="s">
        <v>19</v>
      </c>
      <c r="F1917" s="56" t="s">
        <v>19</v>
      </c>
    </row>
    <row r="1918" spans="1:6" ht="13">
      <c r="A1918" s="16">
        <v>87</v>
      </c>
      <c r="B1918" s="16"/>
      <c r="C1918" s="20">
        <v>11805</v>
      </c>
      <c r="D1918">
        <f>koronahun!T756</f>
        <v>1887</v>
      </c>
      <c r="E1918" s="56" t="s">
        <v>19</v>
      </c>
      <c r="F1918" s="56" t="s">
        <v>19</v>
      </c>
    </row>
    <row r="1919" spans="1:6" ht="13">
      <c r="A1919" s="16">
        <v>88</v>
      </c>
      <c r="B1919" s="16"/>
      <c r="C1919" s="20">
        <v>12291</v>
      </c>
      <c r="D1919">
        <f>koronahun!T757</f>
        <v>1896</v>
      </c>
      <c r="E1919" s="56" t="s">
        <v>19</v>
      </c>
      <c r="F1919" s="56" t="s">
        <v>19</v>
      </c>
    </row>
    <row r="1920" spans="1:6" ht="13">
      <c r="A1920" s="16">
        <v>89</v>
      </c>
      <c r="B1920" s="16"/>
      <c r="C1920" s="20">
        <v>12553</v>
      </c>
      <c r="D1920">
        <f>koronahun!T758</f>
        <v>1873</v>
      </c>
      <c r="E1920" s="56" t="s">
        <v>19</v>
      </c>
      <c r="F1920" s="56" t="s">
        <v>19</v>
      </c>
    </row>
    <row r="1921" spans="1:6" ht="13">
      <c r="A1921" s="16">
        <v>90</v>
      </c>
      <c r="B1921" s="16"/>
      <c r="C1921" s="20">
        <v>12346</v>
      </c>
      <c r="D1921">
        <f>koronahun!T759</f>
        <v>1865</v>
      </c>
      <c r="E1921" s="56" t="s">
        <v>19</v>
      </c>
      <c r="F1921" s="56" t="s">
        <v>19</v>
      </c>
    </row>
    <row r="1922" spans="1:6" ht="13">
      <c r="A1922" s="16">
        <v>91</v>
      </c>
      <c r="B1922" s="16"/>
      <c r="C1922" s="20">
        <v>12062</v>
      </c>
      <c r="D1922">
        <f>koronahun!T760</f>
        <v>1858</v>
      </c>
      <c r="E1922" s="56" t="s">
        <v>19</v>
      </c>
      <c r="F1922" s="56" t="s">
        <v>19</v>
      </c>
    </row>
    <row r="1923" spans="1:6" ht="13">
      <c r="A1923" s="16">
        <v>92</v>
      </c>
      <c r="B1923" s="16"/>
      <c r="C1923" s="20">
        <v>11747</v>
      </c>
      <c r="D1923">
        <f>koronahun!T761</f>
        <v>0</v>
      </c>
      <c r="E1923" s="56" t="s">
        <v>19</v>
      </c>
      <c r="F1923" s="56" t="s">
        <v>19</v>
      </c>
    </row>
    <row r="1924" spans="1:6" ht="13">
      <c r="A1924" s="16">
        <v>93</v>
      </c>
      <c r="B1924" s="16"/>
      <c r="C1924" s="20">
        <v>11383</v>
      </c>
      <c r="D1924">
        <f>koronahun!T762</f>
        <v>0</v>
      </c>
      <c r="E1924" s="56" t="s">
        <v>19</v>
      </c>
      <c r="F1924" s="56" t="s">
        <v>19</v>
      </c>
    </row>
    <row r="1925" spans="1:6" ht="13">
      <c r="A1925" s="16">
        <v>94</v>
      </c>
      <c r="B1925" s="16"/>
      <c r="C1925" s="20">
        <v>11571</v>
      </c>
      <c r="D1925">
        <f>koronahun!T763</f>
        <v>0</v>
      </c>
      <c r="E1925" s="56" t="s">
        <v>19</v>
      </c>
      <c r="F1925" s="56" t="s">
        <v>19</v>
      </c>
    </row>
    <row r="1926" spans="1:6" ht="13">
      <c r="A1926" s="16">
        <v>95</v>
      </c>
      <c r="B1926" s="16"/>
      <c r="C1926" s="20">
        <v>11806</v>
      </c>
      <c r="D1926">
        <f>koronahun!T764</f>
        <v>1833</v>
      </c>
      <c r="E1926" s="56" t="s">
        <v>19</v>
      </c>
      <c r="F1926" s="56" t="s">
        <v>19</v>
      </c>
    </row>
    <row r="1927" spans="1:6" ht="13">
      <c r="A1927" s="16">
        <v>96</v>
      </c>
      <c r="B1927" s="16"/>
      <c r="C1927" s="20">
        <v>12007</v>
      </c>
      <c r="D1927">
        <f>koronahun!T765</f>
        <v>1785</v>
      </c>
      <c r="E1927" s="56" t="s">
        <v>19</v>
      </c>
      <c r="F1927" s="56" t="s">
        <v>19</v>
      </c>
    </row>
    <row r="1928" spans="1:6" ht="13">
      <c r="A1928" s="16">
        <v>97</v>
      </c>
      <c r="B1928" s="16"/>
      <c r="C1928" s="20">
        <v>12202</v>
      </c>
      <c r="D1928">
        <f>koronahun!T766</f>
        <v>1724</v>
      </c>
      <c r="E1928" s="56" t="s">
        <v>19</v>
      </c>
      <c r="F1928" s="56" t="s">
        <v>19</v>
      </c>
    </row>
    <row r="1929" spans="1:6" ht="13">
      <c r="A1929" s="16">
        <v>98</v>
      </c>
      <c r="B1929" s="16"/>
      <c r="C1929" s="20">
        <v>11663</v>
      </c>
      <c r="D1929">
        <f>koronahun!T767</f>
        <v>1688</v>
      </c>
      <c r="E1929" s="56" t="s">
        <v>19</v>
      </c>
      <c r="F1929" s="56" t="s">
        <v>19</v>
      </c>
    </row>
    <row r="1930" spans="1:6" ht="13">
      <c r="A1930" s="16">
        <v>99</v>
      </c>
      <c r="C1930" s="20">
        <v>11363</v>
      </c>
      <c r="D1930">
        <f>koronahun!T768</f>
        <v>0</v>
      </c>
      <c r="E1930" s="56" t="s">
        <v>19</v>
      </c>
      <c r="F1930" s="56" t="s">
        <v>19</v>
      </c>
    </row>
    <row r="1931" spans="1:6" ht="13">
      <c r="A1931" s="16">
        <v>100</v>
      </c>
      <c r="C1931" s="20">
        <v>10921</v>
      </c>
      <c r="D1931">
        <f>koronahun!T769</f>
        <v>0</v>
      </c>
      <c r="E1931" s="56" t="s">
        <v>19</v>
      </c>
      <c r="F1931" s="56" t="s">
        <v>19</v>
      </c>
    </row>
    <row r="1932" spans="1:6" ht="13">
      <c r="A1932" s="16">
        <v>101</v>
      </c>
      <c r="C1932" s="20">
        <v>10484</v>
      </c>
      <c r="D1932">
        <f>koronahun!T770</f>
        <v>1755</v>
      </c>
      <c r="E1932" s="56" t="s">
        <v>19</v>
      </c>
      <c r="F1932" s="56" t="s">
        <v>19</v>
      </c>
    </row>
    <row r="1933" spans="1:6" ht="13">
      <c r="A1933" s="16">
        <v>102</v>
      </c>
      <c r="C1933" s="20">
        <v>10740</v>
      </c>
      <c r="D1933">
        <f>koronahun!T771</f>
        <v>1800</v>
      </c>
      <c r="E1933" s="56" t="s">
        <v>19</v>
      </c>
      <c r="F1933" s="56" t="s">
        <v>19</v>
      </c>
    </row>
    <row r="1934" spans="1:6" ht="13">
      <c r="A1934" s="16">
        <v>103</v>
      </c>
      <c r="C1934" s="20">
        <v>10818</v>
      </c>
      <c r="D1934">
        <f>koronahun!T772</f>
        <v>1717</v>
      </c>
      <c r="E1934" s="56" t="s">
        <v>19</v>
      </c>
      <c r="F1934" s="56" t="s">
        <v>19</v>
      </c>
    </row>
    <row r="1935" spans="1:6" ht="13">
      <c r="A1935" s="16">
        <v>104</v>
      </c>
      <c r="C1935" s="20">
        <v>10364</v>
      </c>
      <c r="D1935">
        <f>koronahun!T773</f>
        <v>1648</v>
      </c>
      <c r="E1935" s="56" t="s">
        <v>19</v>
      </c>
      <c r="F1935" s="56" t="s">
        <v>19</v>
      </c>
    </row>
    <row r="1936" spans="1:6" ht="13">
      <c r="A1936" s="16">
        <v>105</v>
      </c>
      <c r="C1936" s="20">
        <v>9848</v>
      </c>
      <c r="D1936">
        <f>koronahun!T774</f>
        <v>0</v>
      </c>
      <c r="E1936" s="56" t="s">
        <v>19</v>
      </c>
      <c r="F1936" s="56" t="s">
        <v>19</v>
      </c>
    </row>
    <row r="1937" spans="1:6" ht="13">
      <c r="A1937" s="16">
        <v>106</v>
      </c>
      <c r="B1937" s="16">
        <v>729</v>
      </c>
      <c r="C1937" s="20">
        <v>9459</v>
      </c>
      <c r="D1937">
        <f>koronahun!T775</f>
        <v>0</v>
      </c>
      <c r="E1937" s="56" t="s">
        <v>19</v>
      </c>
      <c r="F1937" s="56" t="s">
        <v>19</v>
      </c>
    </row>
    <row r="1938" spans="1:6" ht="13">
      <c r="A1938" s="16">
        <v>107</v>
      </c>
      <c r="B1938" s="16">
        <v>847</v>
      </c>
      <c r="C1938" s="20">
        <v>8947</v>
      </c>
      <c r="D1938">
        <f>koronahun!T776</f>
        <v>0</v>
      </c>
      <c r="E1938" s="56" t="s">
        <v>19</v>
      </c>
      <c r="F1938" s="56" t="s">
        <v>19</v>
      </c>
    </row>
    <row r="1939" spans="1:6" ht="13">
      <c r="A1939" s="16">
        <v>108</v>
      </c>
      <c r="B1939" s="16">
        <v>829</v>
      </c>
      <c r="C1939" s="20">
        <v>8445</v>
      </c>
      <c r="D1939">
        <f>koronahun!T777</f>
        <v>0</v>
      </c>
      <c r="E1939" s="56" t="s">
        <v>19</v>
      </c>
      <c r="F1939" s="56" t="s">
        <v>19</v>
      </c>
    </row>
    <row r="1940" spans="1:6" ht="13">
      <c r="A1940" s="16">
        <v>109</v>
      </c>
      <c r="B1940" s="16">
        <v>784</v>
      </c>
      <c r="C1940" s="20">
        <v>8650</v>
      </c>
      <c r="D1940">
        <f>koronahun!T778</f>
        <v>1560</v>
      </c>
      <c r="E1940" s="56" t="s">
        <v>19</v>
      </c>
      <c r="F1940" s="56" t="s">
        <v>19</v>
      </c>
    </row>
    <row r="1941" spans="1:6" ht="13">
      <c r="A1941" s="16">
        <v>110</v>
      </c>
      <c r="B1941" s="16">
        <v>811</v>
      </c>
      <c r="C1941" s="20">
        <v>8602</v>
      </c>
      <c r="D1941">
        <f>koronahun!T779</f>
        <v>1603</v>
      </c>
      <c r="E1941" s="56" t="s">
        <v>19</v>
      </c>
      <c r="F1941" s="56" t="s">
        <v>19</v>
      </c>
    </row>
    <row r="1942" spans="1:6" ht="13">
      <c r="A1942" s="16">
        <v>111</v>
      </c>
      <c r="B1942" s="16">
        <v>842</v>
      </c>
      <c r="C1942" s="20">
        <v>8097</v>
      </c>
      <c r="D1942">
        <f>koronahun!T780</f>
        <v>1500</v>
      </c>
      <c r="E1942" s="56" t="s">
        <v>19</v>
      </c>
      <c r="F1942" s="56" t="s">
        <v>19</v>
      </c>
    </row>
    <row r="1943" spans="1:6" ht="13">
      <c r="A1943" s="16">
        <v>112</v>
      </c>
      <c r="B1943" s="16">
        <v>825</v>
      </c>
      <c r="C1943" s="20">
        <v>7507</v>
      </c>
      <c r="D1943">
        <f>koronahun!T781</f>
        <v>1449</v>
      </c>
      <c r="E1943" s="56" t="s">
        <v>19</v>
      </c>
      <c r="F1943" s="56" t="s">
        <v>19</v>
      </c>
    </row>
    <row r="1944" spans="1:6" ht="13">
      <c r="A1944" s="16">
        <v>113</v>
      </c>
      <c r="B1944" s="16">
        <v>850</v>
      </c>
      <c r="C1944" s="20">
        <v>7177</v>
      </c>
      <c r="D1944">
        <f>koronahun!T782</f>
        <v>0</v>
      </c>
      <c r="E1944" s="56" t="s">
        <v>19</v>
      </c>
      <c r="F1944" s="56" t="s">
        <v>19</v>
      </c>
    </row>
    <row r="1945" spans="1:6" ht="13">
      <c r="A1945" s="16">
        <v>114</v>
      </c>
      <c r="B1945" s="16">
        <v>877</v>
      </c>
      <c r="C1945" s="20">
        <v>6737</v>
      </c>
      <c r="D1945">
        <f>koronahun!T783</f>
        <v>0</v>
      </c>
      <c r="E1945" s="56" t="s">
        <v>19</v>
      </c>
      <c r="F1945" s="56" t="s">
        <v>19</v>
      </c>
    </row>
    <row r="1946" spans="1:6" ht="13">
      <c r="A1946" s="16">
        <v>115</v>
      </c>
      <c r="B1946" s="16">
        <v>899</v>
      </c>
      <c r="C1946" s="20">
        <v>6284</v>
      </c>
      <c r="D1946">
        <f>koronahun!T784</f>
        <v>1460</v>
      </c>
      <c r="E1946" s="56" t="s">
        <v>19</v>
      </c>
      <c r="F1946" s="56" t="s">
        <v>19</v>
      </c>
    </row>
    <row r="1947" spans="1:6" ht="13">
      <c r="A1947" s="16">
        <v>116</v>
      </c>
      <c r="B1947" s="16">
        <v>927</v>
      </c>
      <c r="C1947" s="20">
        <v>6443</v>
      </c>
      <c r="D1947">
        <f>koronahun!T785</f>
        <v>1499</v>
      </c>
      <c r="E1947" s="56" t="s">
        <v>19</v>
      </c>
      <c r="F1947" s="56" t="s">
        <v>19</v>
      </c>
    </row>
    <row r="1948" spans="1:6" ht="13">
      <c r="A1948" s="16">
        <v>117</v>
      </c>
      <c r="B1948" s="16">
        <v>931</v>
      </c>
      <c r="C1948" s="20">
        <v>6360</v>
      </c>
      <c r="D1948">
        <f>koronahun!T786</f>
        <v>1451</v>
      </c>
      <c r="E1948" s="56" t="s">
        <v>19</v>
      </c>
      <c r="F1948" s="56" t="s">
        <v>19</v>
      </c>
    </row>
    <row r="1949" spans="1:6" ht="13">
      <c r="A1949" s="16">
        <v>118</v>
      </c>
      <c r="B1949" s="16">
        <v>946</v>
      </c>
      <c r="C1949" s="20">
        <v>5907</v>
      </c>
      <c r="D1949">
        <f>koronahun!T787</f>
        <v>1437</v>
      </c>
      <c r="E1949" s="56" t="s">
        <v>19</v>
      </c>
      <c r="F1949" s="56" t="s">
        <v>19</v>
      </c>
    </row>
    <row r="1950" spans="1:6" ht="13">
      <c r="A1950" s="16">
        <v>119</v>
      </c>
      <c r="B1950" s="16">
        <v>983</v>
      </c>
      <c r="C1950" s="20">
        <v>5554</v>
      </c>
      <c r="D1950">
        <f>koronahun!T788</f>
        <v>1427</v>
      </c>
      <c r="E1950" s="56" t="s">
        <v>19</v>
      </c>
      <c r="F1950" s="56" t="s">
        <v>19</v>
      </c>
    </row>
    <row r="1951" spans="1:6" ht="13">
      <c r="A1951" s="16">
        <v>120</v>
      </c>
      <c r="B1951" s="16">
        <v>998</v>
      </c>
      <c r="C1951" s="20">
        <v>5937</v>
      </c>
      <c r="D1951">
        <f>koronahun!T789</f>
        <v>0</v>
      </c>
      <c r="E1951" s="56" t="s">
        <v>19</v>
      </c>
      <c r="F1951" s="56" t="s">
        <v>19</v>
      </c>
    </row>
    <row r="1952" spans="1:6" ht="13">
      <c r="A1952" s="16">
        <v>121</v>
      </c>
      <c r="B1952" s="16">
        <v>983</v>
      </c>
      <c r="C1952" s="20">
        <v>5191</v>
      </c>
      <c r="D1952">
        <f>koronahun!T790</f>
        <v>0</v>
      </c>
      <c r="E1952" s="56" t="s">
        <v>19</v>
      </c>
      <c r="F1952" s="56" t="s">
        <v>19</v>
      </c>
    </row>
    <row r="1953" spans="1:6" ht="13">
      <c r="A1953" s="16">
        <v>122</v>
      </c>
      <c r="B1953" s="16">
        <v>1008</v>
      </c>
      <c r="C1953" s="20">
        <v>5031</v>
      </c>
      <c r="D1953">
        <f>koronahun!T791</f>
        <v>1310</v>
      </c>
      <c r="E1953" s="56" t="s">
        <v>19</v>
      </c>
      <c r="F1953" s="56" t="s">
        <v>19</v>
      </c>
    </row>
    <row r="1954" spans="1:6" ht="13">
      <c r="A1954" s="16">
        <v>123</v>
      </c>
      <c r="B1954" s="16">
        <v>1005</v>
      </c>
      <c r="C1954" s="20">
        <v>4872</v>
      </c>
      <c r="D1954">
        <f>koronahun!T792</f>
        <v>0</v>
      </c>
      <c r="E1954" s="56" t="s">
        <v>19</v>
      </c>
      <c r="F1954" s="56" t="s">
        <v>19</v>
      </c>
    </row>
    <row r="1955" spans="1:6" ht="13">
      <c r="A1955" s="16">
        <v>124</v>
      </c>
      <c r="B1955" s="16">
        <v>1027</v>
      </c>
      <c r="C1955" s="20">
        <v>4739</v>
      </c>
      <c r="D1955">
        <f>koronahun!T793</f>
        <v>0</v>
      </c>
      <c r="E1955" s="56" t="s">
        <v>19</v>
      </c>
      <c r="F1955" s="56" t="s">
        <v>19</v>
      </c>
    </row>
    <row r="1956" spans="1:6" ht="13">
      <c r="A1956" s="16">
        <v>125</v>
      </c>
      <c r="B1956" s="16">
        <v>982</v>
      </c>
      <c r="C1956" s="20">
        <v>4374</v>
      </c>
      <c r="D1956">
        <f>koronahun!T794</f>
        <v>0</v>
      </c>
      <c r="E1956" s="56" t="s">
        <v>19</v>
      </c>
      <c r="F1956" s="56" t="s">
        <v>19</v>
      </c>
    </row>
    <row r="1957" spans="1:6" ht="13">
      <c r="A1957" s="16">
        <v>126</v>
      </c>
      <c r="B1957" s="16">
        <v>964</v>
      </c>
      <c r="C1957" s="20">
        <v>4104</v>
      </c>
      <c r="D1957">
        <f>koronahun!T795</f>
        <v>0</v>
      </c>
      <c r="E1957" s="56" t="s">
        <v>19</v>
      </c>
      <c r="F1957" s="56" t="s">
        <v>19</v>
      </c>
    </row>
    <row r="1958" spans="1:6" ht="13">
      <c r="A1958" s="16">
        <v>127</v>
      </c>
      <c r="B1958" s="16">
        <v>968</v>
      </c>
      <c r="C1958" s="20">
        <v>3855</v>
      </c>
      <c r="D1958">
        <f>koronahun!T796</f>
        <v>0</v>
      </c>
      <c r="E1958" s="56" t="s">
        <v>19</v>
      </c>
      <c r="F1958" s="56" t="s">
        <v>19</v>
      </c>
    </row>
    <row r="1959" spans="1:6" ht="13">
      <c r="A1959" s="16">
        <v>128</v>
      </c>
      <c r="B1959" s="16">
        <v>891</v>
      </c>
      <c r="C1959" s="20">
        <v>3633</v>
      </c>
      <c r="D1959">
        <f>koronahun!T797</f>
        <v>0</v>
      </c>
      <c r="E1959" s="56" t="s">
        <v>19</v>
      </c>
      <c r="F1959" s="56" t="s">
        <v>19</v>
      </c>
    </row>
    <row r="1960" spans="1:6" ht="13">
      <c r="A1960" s="16">
        <v>129</v>
      </c>
      <c r="B1960" s="16">
        <v>875</v>
      </c>
      <c r="C1960" s="20">
        <v>3353</v>
      </c>
      <c r="D1960">
        <f>koronahun!T798</f>
        <v>0</v>
      </c>
      <c r="E1960" s="56" t="s">
        <v>19</v>
      </c>
      <c r="F1960" s="56" t="s">
        <v>19</v>
      </c>
    </row>
    <row r="1961" spans="1:6" ht="13">
      <c r="A1961" s="16">
        <v>130</v>
      </c>
      <c r="B1961" s="16">
        <v>812</v>
      </c>
      <c r="C1961" s="20">
        <v>3384</v>
      </c>
      <c r="D1961">
        <f>koronahun!T799</f>
        <v>0</v>
      </c>
      <c r="E1961" s="56" t="s">
        <v>19</v>
      </c>
      <c r="F1961" s="56" t="s">
        <v>19</v>
      </c>
    </row>
    <row r="1962" spans="1:6" ht="13">
      <c r="A1962" s="16">
        <v>131</v>
      </c>
      <c r="B1962" s="16">
        <v>782</v>
      </c>
      <c r="C1962" s="20">
        <v>3282</v>
      </c>
      <c r="D1962">
        <f>koronahun!T800</f>
        <v>1015</v>
      </c>
      <c r="E1962" s="56" t="s">
        <v>19</v>
      </c>
      <c r="F1962" s="56" t="s">
        <v>19</v>
      </c>
    </row>
    <row r="1963" spans="1:6" ht="13">
      <c r="A1963" s="16">
        <v>132</v>
      </c>
      <c r="B1963" s="16">
        <v>746</v>
      </c>
      <c r="C1963" s="20">
        <v>2974</v>
      </c>
      <c r="D1963">
        <f>koronahun!T801</f>
        <v>0</v>
      </c>
      <c r="E1963" s="56" t="s">
        <v>19</v>
      </c>
      <c r="F1963" s="56" t="s">
        <v>19</v>
      </c>
    </row>
    <row r="1964" spans="1:6" ht="13">
      <c r="A1964" s="16">
        <v>133</v>
      </c>
      <c r="B1964" s="16">
        <v>688</v>
      </c>
      <c r="C1964" s="20">
        <v>2782</v>
      </c>
      <c r="D1964">
        <f>koronahun!T802</f>
        <v>0</v>
      </c>
      <c r="E1964" s="56" t="s">
        <v>19</v>
      </c>
      <c r="F1964" s="56" t="s">
        <v>19</v>
      </c>
    </row>
    <row r="1965" spans="1:6" ht="13">
      <c r="A1965" s="16">
        <v>134</v>
      </c>
      <c r="B1965" s="16">
        <v>658</v>
      </c>
      <c r="C1965" s="20">
        <v>2612</v>
      </c>
      <c r="D1965">
        <f>koronahun!T803</f>
        <v>0</v>
      </c>
      <c r="E1965" s="56" t="s">
        <v>19</v>
      </c>
      <c r="F1965" s="56" t="s">
        <v>19</v>
      </c>
    </row>
    <row r="1966" spans="1:6" ht="13">
      <c r="A1966" s="16">
        <v>135</v>
      </c>
      <c r="B1966" s="16">
        <v>614</v>
      </c>
      <c r="C1966" s="20">
        <v>2453</v>
      </c>
      <c r="D1966">
        <f>koronahun!T804</f>
        <v>0</v>
      </c>
      <c r="E1966" s="56" t="s">
        <v>19</v>
      </c>
      <c r="F1966" s="56" t="s">
        <v>19</v>
      </c>
    </row>
    <row r="1967" spans="1:6" ht="13">
      <c r="A1967" s="16">
        <v>136</v>
      </c>
      <c r="B1967" s="16">
        <v>570</v>
      </c>
      <c r="C1967" s="20">
        <v>2270</v>
      </c>
      <c r="D1967">
        <f>koronahun!T805</f>
        <v>0</v>
      </c>
      <c r="E1967" s="56" t="s">
        <v>19</v>
      </c>
      <c r="F1967" s="56" t="s">
        <v>19</v>
      </c>
    </row>
    <row r="1968" spans="1:6" ht="13">
      <c r="A1968" s="16">
        <v>137</v>
      </c>
      <c r="B1968" s="16">
        <v>562</v>
      </c>
      <c r="C1968" s="20">
        <v>2259</v>
      </c>
      <c r="D1968">
        <f>koronahun!T806</f>
        <v>0</v>
      </c>
      <c r="E1968" s="56" t="s">
        <v>19</v>
      </c>
      <c r="F1968" s="56" t="s">
        <v>19</v>
      </c>
    </row>
    <row r="1969" spans="1:6" ht="13">
      <c r="A1969" s="16">
        <v>138</v>
      </c>
      <c r="B1969" s="16">
        <v>568</v>
      </c>
      <c r="C1969" s="20">
        <v>2197</v>
      </c>
      <c r="D1969">
        <f>koronahun!T807</f>
        <v>742</v>
      </c>
      <c r="E1969" s="56" t="s">
        <v>19</v>
      </c>
      <c r="F1969" s="56" t="s">
        <v>19</v>
      </c>
    </row>
    <row r="1970" spans="1:6" ht="13">
      <c r="A1970" s="16">
        <v>139</v>
      </c>
      <c r="C1970" s="20">
        <v>1908</v>
      </c>
      <c r="D1970">
        <f>koronahun!T808</f>
        <v>0</v>
      </c>
      <c r="E1970" s="56" t="s">
        <v>19</v>
      </c>
      <c r="F1970" s="56" t="s">
        <v>19</v>
      </c>
    </row>
    <row r="1971" spans="1:6" ht="13">
      <c r="A1971" s="16">
        <v>140</v>
      </c>
      <c r="B1971" s="16">
        <v>539</v>
      </c>
      <c r="C1971" s="20">
        <v>1836</v>
      </c>
      <c r="D1971">
        <f>koronahun!T809</f>
        <v>0</v>
      </c>
      <c r="E1971" s="56" t="s">
        <v>19</v>
      </c>
      <c r="F1971" s="56" t="s">
        <v>19</v>
      </c>
    </row>
    <row r="1972" spans="1:6" ht="13">
      <c r="A1972" s="16">
        <v>141</v>
      </c>
      <c r="B1972" s="16">
        <v>510</v>
      </c>
      <c r="C1972" s="20">
        <v>1645</v>
      </c>
      <c r="D1972">
        <f>koronahun!T810</f>
        <v>0</v>
      </c>
      <c r="E1972" s="56" t="s">
        <v>19</v>
      </c>
      <c r="F1972" s="56" t="s">
        <v>19</v>
      </c>
    </row>
    <row r="1973" spans="1:6" ht="13">
      <c r="A1973" s="16">
        <v>142</v>
      </c>
      <c r="B1973" s="16">
        <v>483</v>
      </c>
      <c r="C1973" s="20">
        <v>1500</v>
      </c>
      <c r="D1973">
        <f>koronahun!T811</f>
        <v>0</v>
      </c>
      <c r="E1973" s="56" t="s">
        <v>19</v>
      </c>
      <c r="F1973" s="56" t="s">
        <v>19</v>
      </c>
    </row>
    <row r="1974" spans="1:6" ht="13">
      <c r="A1974" s="16">
        <v>143</v>
      </c>
      <c r="B1974" s="16">
        <v>462</v>
      </c>
      <c r="C1974" s="20">
        <v>1399</v>
      </c>
      <c r="D1974">
        <f>koronahun!T812</f>
        <v>0</v>
      </c>
      <c r="E1974" s="56" t="s">
        <v>19</v>
      </c>
      <c r="F1974" s="56" t="s">
        <v>19</v>
      </c>
    </row>
    <row r="1975" spans="1:6" ht="13">
      <c r="A1975" s="16">
        <v>144</v>
      </c>
      <c r="B1975" s="16">
        <v>442</v>
      </c>
      <c r="C1975" s="20">
        <v>1420</v>
      </c>
      <c r="D1975">
        <f>koronahun!T813</f>
        <v>0</v>
      </c>
      <c r="E1975" s="56" t="s">
        <v>19</v>
      </c>
      <c r="F1975" s="56" t="s">
        <v>19</v>
      </c>
    </row>
    <row r="1976" spans="1:6" ht="13">
      <c r="A1976" s="16">
        <v>145</v>
      </c>
      <c r="C1976" s="20">
        <v>1417</v>
      </c>
      <c r="D1976">
        <f>koronahun!T814</f>
        <v>483</v>
      </c>
      <c r="E1976" s="56" t="s">
        <v>19</v>
      </c>
      <c r="F1976" s="56" t="s">
        <v>19</v>
      </c>
    </row>
    <row r="1977" spans="1:6" ht="13">
      <c r="A1977" s="16">
        <v>146</v>
      </c>
      <c r="B1977" s="16">
        <v>436</v>
      </c>
      <c r="C1977" s="20">
        <v>1373</v>
      </c>
      <c r="D1977">
        <f>koronahun!T815</f>
        <v>0</v>
      </c>
      <c r="E1977" s="56" t="s">
        <v>19</v>
      </c>
      <c r="F1977" s="56" t="s">
        <v>19</v>
      </c>
    </row>
    <row r="1978" spans="1:6" ht="13">
      <c r="A1978" s="16">
        <v>147</v>
      </c>
      <c r="B1978" s="16">
        <v>430</v>
      </c>
      <c r="C1978" s="20">
        <v>1215</v>
      </c>
      <c r="D1978">
        <f>koronahun!T816</f>
        <v>0</v>
      </c>
      <c r="E1978" s="56" t="s">
        <v>19</v>
      </c>
      <c r="F1978" s="56" t="s">
        <v>19</v>
      </c>
    </row>
    <row r="1979" spans="1:6" ht="13">
      <c r="A1979" s="16">
        <v>148</v>
      </c>
      <c r="B1979" s="16">
        <v>404</v>
      </c>
      <c r="C1979" s="20">
        <f>999+D1979</f>
        <v>999</v>
      </c>
      <c r="D1979">
        <f>koronahun!T817</f>
        <v>0</v>
      </c>
      <c r="E1979" s="56" t="s">
        <v>19</v>
      </c>
      <c r="F1979" s="56" t="s">
        <v>19</v>
      </c>
    </row>
    <row r="1980" spans="1:6" ht="13">
      <c r="A1980" s="16">
        <v>149</v>
      </c>
      <c r="B1980" s="16">
        <v>384</v>
      </c>
      <c r="C1980" s="20">
        <v>1024</v>
      </c>
      <c r="D1980">
        <f>koronahun!T818</f>
        <v>0</v>
      </c>
      <c r="E1980" s="56" t="s">
        <v>19</v>
      </c>
      <c r="F1980" s="56" t="s">
        <v>19</v>
      </c>
    </row>
    <row r="1981" spans="1:6" ht="13">
      <c r="A1981" s="16">
        <v>150</v>
      </c>
      <c r="B1981" s="16">
        <v>414</v>
      </c>
      <c r="C1981" s="20">
        <v>965</v>
      </c>
      <c r="D1981">
        <f>koronahun!T819</f>
        <v>0</v>
      </c>
      <c r="E1981" s="56" t="s">
        <v>19</v>
      </c>
      <c r="F1981" s="56" t="s">
        <v>19</v>
      </c>
    </row>
    <row r="1982" spans="1:6" ht="13">
      <c r="A1982" s="16">
        <v>151</v>
      </c>
      <c r="B1982" s="16">
        <v>419</v>
      </c>
      <c r="C1982" s="20">
        <v>981</v>
      </c>
      <c r="D1982">
        <f>koronahun!T820</f>
        <v>0</v>
      </c>
      <c r="E1982" s="56" t="s">
        <v>19</v>
      </c>
      <c r="F1982" s="56" t="s">
        <v>19</v>
      </c>
    </row>
    <row r="1983" spans="1:6" ht="13">
      <c r="A1983" s="16">
        <v>152</v>
      </c>
      <c r="B1983" s="16">
        <v>417</v>
      </c>
      <c r="C1983" s="20">
        <v>947</v>
      </c>
      <c r="D1983">
        <f>koronahun!T821</f>
        <v>362</v>
      </c>
      <c r="E1983" s="56" t="s">
        <v>19</v>
      </c>
      <c r="F1983" s="56" t="s">
        <v>19</v>
      </c>
    </row>
    <row r="1984" spans="1:6" ht="13">
      <c r="A1984" s="16">
        <v>153</v>
      </c>
      <c r="B1984" s="16">
        <v>427</v>
      </c>
      <c r="C1984" s="20">
        <v>837</v>
      </c>
      <c r="D1984">
        <f>koronahun!T822</f>
        <v>0</v>
      </c>
      <c r="E1984" s="56" t="s">
        <v>19</v>
      </c>
      <c r="F1984" s="56" t="s">
        <v>19</v>
      </c>
    </row>
    <row r="1985" spans="1:6" ht="13">
      <c r="A1985" s="16">
        <v>154</v>
      </c>
      <c r="B1985" s="16">
        <v>414</v>
      </c>
      <c r="C1985" s="20">
        <v>739</v>
      </c>
      <c r="D1985">
        <f>koronahun!T823</f>
        <v>0</v>
      </c>
      <c r="E1985" s="56" t="s">
        <v>19</v>
      </c>
      <c r="F1985" s="56" t="s">
        <v>19</v>
      </c>
    </row>
    <row r="1986" spans="1:6" ht="13">
      <c r="A1986" s="16">
        <v>155</v>
      </c>
      <c r="B1986" s="16">
        <v>406</v>
      </c>
      <c r="C1986" s="20">
        <v>702</v>
      </c>
      <c r="D1986">
        <f>koronahun!T824</f>
        <v>0</v>
      </c>
      <c r="E1986" s="56" t="s">
        <v>19</v>
      </c>
      <c r="F1986" s="56" t="s">
        <v>19</v>
      </c>
    </row>
    <row r="1987" spans="1:6" ht="13">
      <c r="A1987" s="16">
        <v>156</v>
      </c>
      <c r="B1987" s="16">
        <v>397</v>
      </c>
      <c r="C1987" s="20">
        <v>622</v>
      </c>
      <c r="D1987">
        <f>koronahun!T825</f>
        <v>0</v>
      </c>
      <c r="E1987" s="56" t="s">
        <v>19</v>
      </c>
      <c r="F1987" s="56" t="s">
        <v>19</v>
      </c>
    </row>
    <row r="1988" spans="1:6" ht="13">
      <c r="A1988" s="16">
        <v>157</v>
      </c>
      <c r="B1988" s="16">
        <v>387</v>
      </c>
      <c r="C1988" s="20">
        <v>602</v>
      </c>
      <c r="D1988">
        <f>koronahun!T826</f>
        <v>0</v>
      </c>
      <c r="E1988" s="56" t="s">
        <v>19</v>
      </c>
      <c r="F1988" s="56" t="s">
        <v>19</v>
      </c>
    </row>
    <row r="1989" spans="1:6" ht="13">
      <c r="A1989" s="16">
        <v>158</v>
      </c>
      <c r="B1989" s="16">
        <v>386</v>
      </c>
      <c r="C1989" s="20">
        <v>599</v>
      </c>
      <c r="D1989">
        <f>koronahun!T827</f>
        <v>0</v>
      </c>
      <c r="E1989" s="56" t="s">
        <v>19</v>
      </c>
      <c r="F1989" s="56" t="s">
        <v>19</v>
      </c>
    </row>
    <row r="1990" spans="1:6" ht="13">
      <c r="A1990" s="16">
        <v>159</v>
      </c>
      <c r="B1990" s="16">
        <v>385</v>
      </c>
      <c r="C1990" s="20">
        <v>591</v>
      </c>
      <c r="D1990">
        <f>koronahun!T828</f>
        <v>292</v>
      </c>
      <c r="E1990" s="56" t="s">
        <v>19</v>
      </c>
      <c r="F1990" s="56" t="s">
        <v>19</v>
      </c>
    </row>
    <row r="1991" spans="1:6" ht="13">
      <c r="A1991" s="16">
        <v>160</v>
      </c>
      <c r="B1991" s="16">
        <v>365</v>
      </c>
      <c r="C1991" s="20">
        <v>549</v>
      </c>
      <c r="D1991">
        <f>koronahun!T829</f>
        <v>0</v>
      </c>
      <c r="E1991" s="56" t="s">
        <v>19</v>
      </c>
      <c r="F1991" s="56" t="s">
        <v>19</v>
      </c>
    </row>
    <row r="1992" spans="1:6" ht="13">
      <c r="A1992" s="16">
        <v>161</v>
      </c>
      <c r="B1992" s="16">
        <v>344</v>
      </c>
      <c r="C1992" s="20">
        <v>481</v>
      </c>
      <c r="D1992">
        <f>koronahun!T830</f>
        <v>0</v>
      </c>
      <c r="E1992" s="56" t="s">
        <v>19</v>
      </c>
      <c r="F1992" s="56" t="s">
        <v>19</v>
      </c>
    </row>
    <row r="1993" spans="1:6" ht="13">
      <c r="A1993" s="16">
        <v>162</v>
      </c>
      <c r="B1993" s="16">
        <v>321</v>
      </c>
      <c r="C1993" s="20">
        <v>442</v>
      </c>
      <c r="D1993">
        <f>koronahun!T831</f>
        <v>0</v>
      </c>
      <c r="E1993" s="56" t="s">
        <v>19</v>
      </c>
      <c r="F1993" s="56" t="s">
        <v>19</v>
      </c>
    </row>
    <row r="1994" spans="1:6" ht="13">
      <c r="A1994" s="16">
        <v>163</v>
      </c>
      <c r="B1994" s="16">
        <v>290</v>
      </c>
      <c r="C1994" s="20"/>
      <c r="D1994">
        <f>koronahun!T832</f>
        <v>0</v>
      </c>
      <c r="E1994" s="56" t="s">
        <v>19</v>
      </c>
      <c r="F1994" s="56" t="s">
        <v>19</v>
      </c>
    </row>
    <row r="1995" spans="1:6" ht="13">
      <c r="A1995" s="16">
        <v>164</v>
      </c>
      <c r="B1995" s="16">
        <v>283</v>
      </c>
      <c r="C1995" s="20"/>
      <c r="D1995">
        <f>koronahun!T833</f>
        <v>0</v>
      </c>
      <c r="E1995" s="56" t="s">
        <v>19</v>
      </c>
      <c r="F1995" s="56" t="s">
        <v>19</v>
      </c>
    </row>
    <row r="1996" spans="1:6" ht="13">
      <c r="A1996" s="16">
        <v>165</v>
      </c>
      <c r="B1996" s="16">
        <v>275</v>
      </c>
      <c r="C1996" s="20">
        <v>406</v>
      </c>
      <c r="D1996">
        <f>koronahun!T834</f>
        <v>0</v>
      </c>
      <c r="E1996" s="56" t="s">
        <v>19</v>
      </c>
      <c r="F1996" s="56" t="s">
        <v>19</v>
      </c>
    </row>
    <row r="1997" spans="1:6" ht="13">
      <c r="A1997" s="16">
        <v>166</v>
      </c>
      <c r="B1997" s="16">
        <v>275</v>
      </c>
      <c r="C1997" s="20">
        <v>391</v>
      </c>
      <c r="D1997">
        <f>koronahun!T835</f>
        <v>232</v>
      </c>
      <c r="E1997" s="56" t="s">
        <v>19</v>
      </c>
      <c r="F1997" s="56" t="s">
        <v>19</v>
      </c>
    </row>
    <row r="1998" spans="1:6" ht="13">
      <c r="A1998" s="16">
        <v>167</v>
      </c>
      <c r="B1998" s="16">
        <v>255</v>
      </c>
      <c r="C1998" s="20">
        <v>349</v>
      </c>
      <c r="D1998">
        <f>koronahun!T836</f>
        <v>0</v>
      </c>
      <c r="E1998" s="56" t="s">
        <v>19</v>
      </c>
      <c r="F1998" s="56" t="s">
        <v>19</v>
      </c>
    </row>
    <row r="1999" spans="1:6" ht="13">
      <c r="A1999" s="16">
        <v>168</v>
      </c>
      <c r="B1999" s="16">
        <v>210</v>
      </c>
      <c r="C1999" s="20">
        <v>320</v>
      </c>
      <c r="D1999">
        <f>koronahun!T837</f>
        <v>0</v>
      </c>
      <c r="E1999" s="56" t="s">
        <v>19</v>
      </c>
      <c r="F1999" s="56" t="s">
        <v>19</v>
      </c>
    </row>
    <row r="2000" spans="1:6" ht="13">
      <c r="A2000" s="16">
        <v>169</v>
      </c>
      <c r="B2000" s="16">
        <v>199</v>
      </c>
      <c r="C2000" s="20">
        <v>289</v>
      </c>
      <c r="D2000">
        <f>koronahun!T838</f>
        <v>0</v>
      </c>
      <c r="E2000" s="56" t="s">
        <v>19</v>
      </c>
      <c r="F2000" s="56" t="s">
        <v>19</v>
      </c>
    </row>
    <row r="2001" spans="1:6" ht="13">
      <c r="A2001" s="16">
        <v>170</v>
      </c>
      <c r="B2001" s="16">
        <v>192</v>
      </c>
      <c r="D2001">
        <f>koronahun!T839</f>
        <v>0</v>
      </c>
      <c r="E2001" s="56" t="s">
        <v>19</v>
      </c>
      <c r="F2001" s="56" t="s">
        <v>19</v>
      </c>
    </row>
    <row r="2002" spans="1:6" ht="13">
      <c r="A2002" s="16">
        <v>171</v>
      </c>
      <c r="B2002" s="16">
        <v>186</v>
      </c>
      <c r="C2002" s="20"/>
      <c r="D2002">
        <f>koronahun!T840</f>
        <v>0</v>
      </c>
      <c r="E2002" s="56" t="s">
        <v>19</v>
      </c>
      <c r="F2002" s="56" t="s">
        <v>19</v>
      </c>
    </row>
    <row r="2003" spans="1:6" ht="13">
      <c r="A2003" s="16">
        <v>172</v>
      </c>
      <c r="B2003" s="16">
        <v>185</v>
      </c>
      <c r="C2003" s="20">
        <v>275</v>
      </c>
      <c r="D2003">
        <f>koronahun!T841</f>
        <v>0</v>
      </c>
      <c r="E2003" s="56" t="s">
        <v>19</v>
      </c>
      <c r="F2003" s="56" t="s">
        <v>19</v>
      </c>
    </row>
    <row r="2004" spans="1:6" ht="13">
      <c r="A2004" s="16">
        <v>173</v>
      </c>
      <c r="B2004" s="16">
        <v>184</v>
      </c>
      <c r="C2004" s="20">
        <v>281</v>
      </c>
      <c r="D2004">
        <f>koronahun!T842</f>
        <v>197</v>
      </c>
      <c r="E2004" s="56" t="s">
        <v>19</v>
      </c>
      <c r="F2004" s="56" t="s">
        <v>19</v>
      </c>
    </row>
    <row r="2005" spans="1:6" ht="13">
      <c r="A2005" s="16">
        <v>174</v>
      </c>
      <c r="B2005" s="16">
        <v>183</v>
      </c>
      <c r="C2005" s="20">
        <v>241</v>
      </c>
      <c r="D2005">
        <f>koronahun!T843</f>
        <v>0</v>
      </c>
      <c r="E2005" s="56" t="s">
        <v>19</v>
      </c>
      <c r="F2005" s="56" t="s">
        <v>19</v>
      </c>
    </row>
    <row r="2006" spans="1:6" ht="13">
      <c r="A2006" s="16">
        <v>175</v>
      </c>
      <c r="B2006" s="16">
        <v>183</v>
      </c>
      <c r="C2006" s="20">
        <v>215</v>
      </c>
      <c r="D2006">
        <f>koronahun!T844</f>
        <v>0</v>
      </c>
      <c r="E2006" s="56" t="s">
        <v>19</v>
      </c>
      <c r="F2006" s="56" t="s">
        <v>19</v>
      </c>
    </row>
    <row r="2007" spans="1:6" ht="13">
      <c r="A2007" s="16">
        <v>176</v>
      </c>
      <c r="B2007" s="16">
        <v>182</v>
      </c>
      <c r="C2007" s="20">
        <v>182</v>
      </c>
      <c r="D2007">
        <f>koronahun!T845</f>
        <v>0</v>
      </c>
      <c r="E2007" s="56" t="s">
        <v>19</v>
      </c>
      <c r="F2007" s="56" t="s">
        <v>19</v>
      </c>
    </row>
    <row r="2008" spans="1:6" ht="13">
      <c r="A2008" s="16">
        <v>177</v>
      </c>
      <c r="B2008" s="16">
        <v>179</v>
      </c>
      <c r="C2008" s="20"/>
      <c r="D2008">
        <f>koronahun!T846</f>
        <v>0</v>
      </c>
      <c r="E2008" s="56" t="s">
        <v>19</v>
      </c>
      <c r="F2008" s="56" t="s">
        <v>19</v>
      </c>
    </row>
    <row r="2009" spans="1:6" ht="13">
      <c r="A2009" s="16">
        <v>178</v>
      </c>
      <c r="B2009" s="16">
        <v>174</v>
      </c>
      <c r="C2009" s="20"/>
      <c r="D2009">
        <f>koronahun!T847</f>
        <v>0</v>
      </c>
      <c r="E2009" s="56" t="s">
        <v>19</v>
      </c>
      <c r="F2009" s="56" t="s">
        <v>19</v>
      </c>
    </row>
    <row r="2010" spans="1:6" ht="13">
      <c r="A2010" s="16">
        <v>179</v>
      </c>
      <c r="B2010" s="16">
        <v>172</v>
      </c>
      <c r="C2010" s="20">
        <v>157</v>
      </c>
      <c r="D2010">
        <f>koronahun!T848</f>
        <v>0</v>
      </c>
      <c r="E2010" s="56" t="s">
        <v>19</v>
      </c>
      <c r="F2010" s="56" t="s">
        <v>19</v>
      </c>
    </row>
    <row r="2011" spans="1:6" ht="13">
      <c r="A2011" s="16">
        <v>180</v>
      </c>
      <c r="B2011" s="16">
        <v>170</v>
      </c>
      <c r="C2011" s="20">
        <v>150</v>
      </c>
      <c r="D2011">
        <f>koronahun!T849</f>
        <v>233</v>
      </c>
      <c r="E2011" s="56" t="s">
        <v>19</v>
      </c>
      <c r="F2011" s="56" t="s">
        <v>19</v>
      </c>
    </row>
    <row r="2012" spans="1:6" ht="13">
      <c r="A2012" s="16">
        <v>181</v>
      </c>
      <c r="B2012" s="16">
        <v>169</v>
      </c>
      <c r="C2012" s="20">
        <v>126</v>
      </c>
      <c r="D2012">
        <f>koronahun!T850</f>
        <v>0</v>
      </c>
      <c r="E2012" s="56" t="s">
        <v>19</v>
      </c>
      <c r="F2012" s="56" t="s">
        <v>19</v>
      </c>
    </row>
    <row r="2013" spans="1:6" ht="13">
      <c r="A2013" s="16">
        <v>182</v>
      </c>
      <c r="B2013" s="16">
        <v>169</v>
      </c>
      <c r="C2013" s="20">
        <v>116</v>
      </c>
      <c r="D2013">
        <f>koronahun!T851</f>
        <v>0</v>
      </c>
      <c r="E2013" s="56" t="s">
        <v>19</v>
      </c>
      <c r="F2013" s="56" t="s">
        <v>19</v>
      </c>
    </row>
    <row r="2014" spans="1:6" ht="13">
      <c r="A2014" s="16">
        <v>183</v>
      </c>
      <c r="B2014" s="16">
        <v>157</v>
      </c>
      <c r="C2014" s="20">
        <v>98</v>
      </c>
      <c r="D2014">
        <f>koronahun!T852</f>
        <v>0</v>
      </c>
      <c r="E2014" s="56" t="s">
        <v>19</v>
      </c>
      <c r="F2014" s="56" t="s">
        <v>19</v>
      </c>
    </row>
    <row r="2015" spans="1:6" ht="13">
      <c r="A2015" s="16">
        <v>184</v>
      </c>
      <c r="B2015" s="16">
        <v>150</v>
      </c>
      <c r="C2015" s="20"/>
      <c r="D2015">
        <f>koronahun!T853</f>
        <v>0</v>
      </c>
      <c r="E2015" s="56" t="s">
        <v>19</v>
      </c>
      <c r="F2015" s="56" t="s">
        <v>19</v>
      </c>
    </row>
    <row r="2016" spans="1:6" ht="13">
      <c r="A2016" s="16">
        <v>185</v>
      </c>
      <c r="B2016" s="16">
        <v>140</v>
      </c>
      <c r="C2016" s="20"/>
      <c r="D2016">
        <f>koronahun!T854</f>
        <v>0</v>
      </c>
      <c r="E2016" s="56" t="s">
        <v>19</v>
      </c>
      <c r="F2016" s="56" t="s">
        <v>19</v>
      </c>
    </row>
    <row r="2017" spans="1:6" ht="13">
      <c r="A2017" s="16">
        <v>186</v>
      </c>
      <c r="B2017" s="16">
        <v>144</v>
      </c>
      <c r="C2017" s="20">
        <v>82</v>
      </c>
      <c r="D2017">
        <f>koronahun!T855</f>
        <v>0</v>
      </c>
      <c r="E2017" s="56" t="s">
        <v>19</v>
      </c>
      <c r="F2017" s="56" t="s">
        <v>19</v>
      </c>
    </row>
    <row r="2018" spans="1:6" ht="13">
      <c r="A2018" s="16">
        <v>187</v>
      </c>
      <c r="B2018" s="16">
        <v>140</v>
      </c>
      <c r="C2018" s="20">
        <v>88</v>
      </c>
      <c r="D2018">
        <f>koronahun!T856</f>
        <v>488</v>
      </c>
      <c r="E2018" s="56" t="s">
        <v>19</v>
      </c>
      <c r="F2018" s="56" t="s">
        <v>19</v>
      </c>
    </row>
    <row r="2019" spans="1:6" ht="13">
      <c r="A2019" s="16">
        <v>188</v>
      </c>
      <c r="B2019" s="16">
        <v>142</v>
      </c>
      <c r="C2019" s="20">
        <v>80</v>
      </c>
      <c r="D2019">
        <f>koronahun!T857</f>
        <v>0</v>
      </c>
      <c r="E2019" s="56" t="s">
        <v>19</v>
      </c>
      <c r="F2019" s="56" t="s">
        <v>19</v>
      </c>
    </row>
    <row r="2020" spans="1:6" ht="13">
      <c r="A2020" s="16">
        <v>189</v>
      </c>
      <c r="B2020" s="16">
        <v>132</v>
      </c>
      <c r="C2020" s="20">
        <v>72</v>
      </c>
      <c r="D2020">
        <f>koronahun!T858</f>
        <v>0</v>
      </c>
      <c r="E2020" s="56" t="s">
        <v>19</v>
      </c>
      <c r="F2020" s="56" t="s">
        <v>19</v>
      </c>
    </row>
    <row r="2021" spans="1:6" ht="13">
      <c r="A2021" s="16">
        <v>190</v>
      </c>
      <c r="B2021" s="16">
        <v>131</v>
      </c>
      <c r="C2021" s="20">
        <v>87</v>
      </c>
      <c r="D2021">
        <f>koronahun!T859</f>
        <v>0</v>
      </c>
      <c r="E2021" s="56" t="s">
        <v>19</v>
      </c>
      <c r="F2021" s="56" t="s">
        <v>19</v>
      </c>
    </row>
    <row r="2022" spans="1:6" ht="13">
      <c r="A2022" s="16">
        <v>191</v>
      </c>
      <c r="B2022" s="16">
        <v>133</v>
      </c>
      <c r="C2022" s="20"/>
      <c r="D2022">
        <f>koronahun!T860</f>
        <v>0</v>
      </c>
      <c r="E2022" s="56" t="s">
        <v>19</v>
      </c>
      <c r="F2022" s="56" t="s">
        <v>19</v>
      </c>
    </row>
    <row r="2023" spans="1:6" ht="13">
      <c r="A2023" s="16">
        <v>192</v>
      </c>
      <c r="B2023" s="16">
        <v>129</v>
      </c>
      <c r="C2023" s="20"/>
      <c r="D2023">
        <f>koronahun!T861</f>
        <v>0</v>
      </c>
      <c r="E2023" s="56" t="s">
        <v>19</v>
      </c>
      <c r="F2023" s="56" t="s">
        <v>19</v>
      </c>
    </row>
    <row r="2024" spans="1:6" ht="13">
      <c r="A2024" s="16">
        <v>193</v>
      </c>
      <c r="B2024" s="16">
        <v>128</v>
      </c>
      <c r="C2024" s="20">
        <v>73</v>
      </c>
      <c r="D2024">
        <f>koronahun!T862</f>
        <v>0</v>
      </c>
      <c r="E2024" s="56" t="s">
        <v>19</v>
      </c>
      <c r="F2024" s="56" t="s">
        <v>19</v>
      </c>
    </row>
    <row r="2025" spans="1:6" ht="13">
      <c r="A2025" s="16">
        <v>194</v>
      </c>
      <c r="B2025" s="16">
        <v>127</v>
      </c>
      <c r="C2025" s="20">
        <v>86</v>
      </c>
      <c r="D2025">
        <f>koronahun!T863</f>
        <v>628</v>
      </c>
      <c r="E2025" s="56" t="s">
        <v>19</v>
      </c>
      <c r="F2025" s="56" t="s">
        <v>19</v>
      </c>
    </row>
    <row r="2026" spans="1:6" ht="13">
      <c r="A2026" s="16">
        <v>195</v>
      </c>
      <c r="B2026" s="16">
        <v>131</v>
      </c>
      <c r="C2026" s="20">
        <v>84</v>
      </c>
      <c r="D2026">
        <f>koronahun!T864</f>
        <v>0</v>
      </c>
      <c r="E2026" s="56" t="s">
        <v>19</v>
      </c>
      <c r="F2026" s="56" t="s">
        <v>19</v>
      </c>
    </row>
    <row r="2027" spans="1:6" ht="13">
      <c r="A2027" s="16">
        <v>196</v>
      </c>
      <c r="B2027" s="16">
        <v>125</v>
      </c>
      <c r="C2027" s="20">
        <v>83</v>
      </c>
      <c r="D2027">
        <f>koronahun!T865</f>
        <v>0</v>
      </c>
      <c r="E2027" s="56" t="s">
        <v>19</v>
      </c>
      <c r="F2027" s="56" t="s">
        <v>19</v>
      </c>
    </row>
    <row r="2028" spans="1:6" ht="13">
      <c r="A2028" s="16">
        <v>197</v>
      </c>
      <c r="B2028" s="16">
        <v>109</v>
      </c>
      <c r="C2028" s="20">
        <v>86</v>
      </c>
      <c r="D2028">
        <f>koronahun!T866</f>
        <v>0</v>
      </c>
      <c r="E2028" s="56" t="s">
        <v>19</v>
      </c>
      <c r="F2028" s="56" t="s">
        <v>19</v>
      </c>
    </row>
    <row r="2029" spans="1:6" ht="13">
      <c r="A2029" s="16">
        <v>198</v>
      </c>
      <c r="B2029" s="16">
        <v>83</v>
      </c>
      <c r="C2029" s="20"/>
      <c r="D2029">
        <f>koronahun!T867</f>
        <v>0</v>
      </c>
      <c r="E2029" s="56" t="s">
        <v>19</v>
      </c>
      <c r="F2029" s="56" t="s">
        <v>19</v>
      </c>
    </row>
    <row r="2030" spans="1:6" ht="13">
      <c r="A2030" s="16">
        <v>199</v>
      </c>
      <c r="B2030" s="16">
        <v>83</v>
      </c>
      <c r="C2030" s="20"/>
      <c r="D2030">
        <f>koronahun!T868</f>
        <v>0</v>
      </c>
      <c r="E2030" s="56" t="s">
        <v>19</v>
      </c>
      <c r="F2030" s="56" t="s">
        <v>19</v>
      </c>
    </row>
    <row r="2031" spans="1:6" ht="13">
      <c r="A2031" s="16">
        <v>200</v>
      </c>
      <c r="B2031" s="16">
        <v>82</v>
      </c>
      <c r="C2031" s="20">
        <v>76</v>
      </c>
      <c r="D2031">
        <f>koronahun!T869</f>
        <v>0</v>
      </c>
      <c r="E2031" s="56" t="s">
        <v>19</v>
      </c>
      <c r="F2031" s="56" t="s">
        <v>19</v>
      </c>
    </row>
    <row r="2032" spans="1:6" ht="13">
      <c r="A2032" s="16">
        <v>201</v>
      </c>
      <c r="B2032" s="16">
        <v>83</v>
      </c>
      <c r="C2032" s="20">
        <v>77</v>
      </c>
      <c r="D2032">
        <f>koronahun!T870</f>
        <v>866</v>
      </c>
      <c r="E2032" s="56" t="s">
        <v>19</v>
      </c>
      <c r="F2032" s="56" t="s">
        <v>19</v>
      </c>
    </row>
    <row r="2033" spans="1:6" ht="13">
      <c r="A2033" s="16">
        <v>202</v>
      </c>
      <c r="B2033" s="16">
        <v>78</v>
      </c>
      <c r="C2033" s="20">
        <v>76</v>
      </c>
      <c r="D2033">
        <f>koronahun!T871</f>
        <v>0</v>
      </c>
      <c r="E2033" s="56" t="s">
        <v>19</v>
      </c>
      <c r="F2033" s="56" t="s">
        <v>19</v>
      </c>
    </row>
    <row r="2034" spans="1:6" ht="13">
      <c r="A2034" s="16">
        <v>203</v>
      </c>
      <c r="B2034" s="16">
        <v>78</v>
      </c>
      <c r="C2034" s="20">
        <v>62</v>
      </c>
      <c r="D2034">
        <f>koronahun!T872</f>
        <v>0</v>
      </c>
      <c r="E2034" s="56" t="s">
        <v>19</v>
      </c>
      <c r="F2034" s="56" t="s">
        <v>19</v>
      </c>
    </row>
    <row r="2035" spans="1:6" ht="13">
      <c r="A2035" s="16">
        <v>204</v>
      </c>
      <c r="B2035" s="16">
        <v>76</v>
      </c>
      <c r="C2035" s="20">
        <v>67</v>
      </c>
      <c r="D2035">
        <f>koronahun!T873</f>
        <v>0</v>
      </c>
      <c r="E2035" s="56" t="s">
        <v>19</v>
      </c>
      <c r="F2035" s="56" t="s">
        <v>19</v>
      </c>
    </row>
    <row r="2036" spans="1:6" ht="13">
      <c r="A2036" s="16">
        <v>205</v>
      </c>
      <c r="B2036" s="16">
        <v>70</v>
      </c>
      <c r="C2036" s="20"/>
      <c r="D2036">
        <f>koronahun!T874</f>
        <v>0</v>
      </c>
      <c r="E2036" s="56" t="s">
        <v>19</v>
      </c>
      <c r="F2036" s="56" t="s">
        <v>19</v>
      </c>
    </row>
    <row r="2037" spans="1:6" ht="13">
      <c r="A2037" s="16">
        <v>206</v>
      </c>
      <c r="B2037" s="16">
        <v>68</v>
      </c>
      <c r="C2037" s="20"/>
      <c r="D2037">
        <f>koronahun!T875</f>
        <v>0</v>
      </c>
      <c r="E2037" s="56" t="s">
        <v>19</v>
      </c>
      <c r="F2037" s="56" t="s">
        <v>19</v>
      </c>
    </row>
    <row r="2038" spans="1:6" ht="13">
      <c r="A2038" s="16">
        <v>207</v>
      </c>
      <c r="B2038" s="16">
        <v>69</v>
      </c>
      <c r="C2038" s="20">
        <v>55</v>
      </c>
      <c r="D2038">
        <f>koronahun!T876</f>
        <v>0</v>
      </c>
      <c r="E2038" s="56" t="s">
        <v>19</v>
      </c>
      <c r="F2038" s="56" t="s">
        <v>19</v>
      </c>
    </row>
    <row r="2039" spans="1:6" ht="13">
      <c r="A2039" s="16">
        <v>208</v>
      </c>
      <c r="B2039" s="16">
        <v>71</v>
      </c>
      <c r="C2039" s="20">
        <v>73</v>
      </c>
      <c r="D2039">
        <f>koronahun!T877</f>
        <v>866</v>
      </c>
      <c r="E2039" s="56" t="s">
        <v>19</v>
      </c>
      <c r="F2039" s="56" t="s">
        <v>19</v>
      </c>
    </row>
    <row r="2040" spans="1:6" ht="13">
      <c r="A2040" s="16">
        <v>209</v>
      </c>
      <c r="B2040" s="16">
        <v>76</v>
      </c>
      <c r="C2040" s="20">
        <v>70</v>
      </c>
      <c r="D2040">
        <f>koronahun!T878</f>
        <v>0</v>
      </c>
      <c r="E2040" s="56" t="s">
        <v>19</v>
      </c>
      <c r="F2040" s="56" t="s">
        <v>19</v>
      </c>
    </row>
    <row r="2041" spans="1:6" ht="13">
      <c r="A2041" s="16">
        <v>210</v>
      </c>
      <c r="B2041" s="16">
        <v>76</v>
      </c>
      <c r="C2041" s="20">
        <v>79</v>
      </c>
      <c r="D2041">
        <f>koronahun!T879</f>
        <v>0</v>
      </c>
      <c r="E2041" s="56" t="s">
        <v>19</v>
      </c>
      <c r="F2041" s="56" t="s">
        <v>19</v>
      </c>
    </row>
    <row r="2042" spans="1:6" ht="13">
      <c r="A2042" s="16">
        <v>211</v>
      </c>
      <c r="B2042" s="16">
        <v>76</v>
      </c>
      <c r="C2042" s="20">
        <v>78</v>
      </c>
      <c r="D2042">
        <f>koronahun!T880</f>
        <v>0</v>
      </c>
      <c r="E2042" s="56" t="s">
        <v>19</v>
      </c>
      <c r="F2042" s="56" t="s">
        <v>19</v>
      </c>
    </row>
    <row r="2043" spans="1:6" ht="13">
      <c r="A2043" s="16">
        <v>212</v>
      </c>
      <c r="B2043" s="16">
        <v>73</v>
      </c>
      <c r="C2043" s="20"/>
      <c r="D2043">
        <f>koronahun!T881</f>
        <v>0</v>
      </c>
      <c r="E2043" s="56" t="s">
        <v>19</v>
      </c>
      <c r="F2043" s="56" t="s">
        <v>19</v>
      </c>
    </row>
    <row r="2044" spans="1:6" ht="13">
      <c r="A2044" s="16">
        <v>213</v>
      </c>
      <c r="B2044" s="16">
        <v>73</v>
      </c>
      <c r="C2044" s="20"/>
      <c r="D2044">
        <f>koronahun!T882</f>
        <v>0</v>
      </c>
      <c r="E2044" s="56" t="s">
        <v>19</v>
      </c>
      <c r="F2044" s="56" t="s">
        <v>19</v>
      </c>
    </row>
    <row r="2045" spans="1:6" ht="13">
      <c r="A2045" s="16">
        <v>214</v>
      </c>
      <c r="B2045" s="16">
        <v>71</v>
      </c>
      <c r="C2045" s="20">
        <v>76</v>
      </c>
      <c r="D2045">
        <f>koronahun!T883</f>
        <v>0</v>
      </c>
      <c r="E2045" s="56" t="s">
        <v>19</v>
      </c>
      <c r="F2045" s="56" t="s">
        <v>19</v>
      </c>
    </row>
    <row r="2046" spans="1:6" ht="13">
      <c r="A2046" s="16">
        <v>215</v>
      </c>
      <c r="B2046" s="16">
        <v>74</v>
      </c>
      <c r="C2046" s="20">
        <v>77</v>
      </c>
      <c r="D2046">
        <f>koronahun!T884</f>
        <v>1593</v>
      </c>
      <c r="E2046" s="56" t="s">
        <v>19</v>
      </c>
      <c r="F2046" s="56" t="s">
        <v>19</v>
      </c>
    </row>
    <row r="2047" spans="1:6" ht="13">
      <c r="A2047" s="16">
        <v>216</v>
      </c>
      <c r="B2047" s="16">
        <v>74</v>
      </c>
      <c r="C2047" s="20">
        <v>82</v>
      </c>
      <c r="D2047">
        <f>koronahun!T885</f>
        <v>0</v>
      </c>
      <c r="E2047" s="56" t="s">
        <v>19</v>
      </c>
      <c r="F2047" s="56" t="s">
        <v>19</v>
      </c>
    </row>
    <row r="2048" spans="1:6" ht="13">
      <c r="A2048" s="16">
        <v>217</v>
      </c>
      <c r="B2048" s="16">
        <v>72</v>
      </c>
      <c r="C2048" s="20">
        <v>79</v>
      </c>
      <c r="D2048">
        <f>koronahun!T886</f>
        <v>0</v>
      </c>
      <c r="E2048" s="56" t="s">
        <v>19</v>
      </c>
      <c r="F2048" s="56" t="s">
        <v>19</v>
      </c>
    </row>
    <row r="2049" spans="1:6" ht="13">
      <c r="A2049" s="16">
        <v>218</v>
      </c>
      <c r="B2049" s="16">
        <v>74</v>
      </c>
      <c r="C2049" s="20">
        <v>76</v>
      </c>
      <c r="D2049">
        <f>koronahun!T887</f>
        <v>0</v>
      </c>
      <c r="E2049" s="56" t="s">
        <v>19</v>
      </c>
      <c r="F2049" s="56" t="s">
        <v>19</v>
      </c>
    </row>
    <row r="2050" spans="1:6" ht="13">
      <c r="A2050" s="16">
        <v>219</v>
      </c>
      <c r="B2050" s="16">
        <v>72</v>
      </c>
      <c r="C2050" s="20"/>
      <c r="D2050">
        <f>koronahun!T888</f>
        <v>0</v>
      </c>
      <c r="E2050" s="56" t="s">
        <v>19</v>
      </c>
      <c r="F2050" s="56" t="s">
        <v>19</v>
      </c>
    </row>
    <row r="2051" spans="1:6" ht="13">
      <c r="A2051" s="16">
        <v>220</v>
      </c>
      <c r="B2051" s="16">
        <v>69</v>
      </c>
      <c r="C2051" s="20"/>
      <c r="D2051">
        <f>koronahun!T889</f>
        <v>0</v>
      </c>
      <c r="E2051" s="56" t="s">
        <v>19</v>
      </c>
      <c r="F2051" s="56" t="s">
        <v>19</v>
      </c>
    </row>
    <row r="2052" spans="1:6" ht="13">
      <c r="A2052" s="16">
        <v>221</v>
      </c>
      <c r="B2052" s="16">
        <v>73</v>
      </c>
      <c r="C2052" s="20">
        <v>75</v>
      </c>
      <c r="D2052">
        <f>koronahun!T890</f>
        <v>0</v>
      </c>
      <c r="E2052" s="56" t="s">
        <v>19</v>
      </c>
      <c r="F2052" s="56" t="s">
        <v>19</v>
      </c>
    </row>
    <row r="2053" spans="1:6" ht="13">
      <c r="A2053" s="16">
        <v>222</v>
      </c>
      <c r="B2053" s="16">
        <v>61</v>
      </c>
      <c r="C2053" s="20">
        <v>87</v>
      </c>
      <c r="D2053">
        <f>koronahun!T891</f>
        <v>1501</v>
      </c>
      <c r="E2053" s="56" t="s">
        <v>19</v>
      </c>
      <c r="F2053" s="56" t="s">
        <v>19</v>
      </c>
    </row>
    <row r="2054" spans="1:6" ht="13">
      <c r="A2054" s="16">
        <v>223</v>
      </c>
      <c r="B2054" s="16">
        <v>62</v>
      </c>
      <c r="C2054" s="20">
        <v>79</v>
      </c>
      <c r="D2054">
        <f>koronahun!T892</f>
        <v>0</v>
      </c>
      <c r="E2054" s="56" t="s">
        <v>19</v>
      </c>
      <c r="F2054" s="56" t="s">
        <v>19</v>
      </c>
    </row>
    <row r="2055" spans="1:6" ht="13">
      <c r="A2055" s="16">
        <v>224</v>
      </c>
      <c r="B2055" s="16">
        <v>64</v>
      </c>
      <c r="C2055" s="20">
        <v>80</v>
      </c>
      <c r="D2055">
        <f>koronahun!T893</f>
        <v>0</v>
      </c>
      <c r="E2055" s="56" t="s">
        <v>19</v>
      </c>
      <c r="F2055" s="56" t="s">
        <v>19</v>
      </c>
    </row>
    <row r="2056" spans="1:6" ht="13">
      <c r="A2056" s="16">
        <v>225</v>
      </c>
      <c r="B2056" s="16">
        <v>66</v>
      </c>
      <c r="C2056" s="20">
        <v>83</v>
      </c>
      <c r="D2056">
        <f>koronahun!T894</f>
        <v>0</v>
      </c>
      <c r="E2056" s="56" t="s">
        <v>19</v>
      </c>
      <c r="F2056" s="56" t="s">
        <v>19</v>
      </c>
    </row>
    <row r="2057" spans="1:6" ht="13">
      <c r="A2057" s="16">
        <v>226</v>
      </c>
      <c r="B2057" s="16">
        <v>64</v>
      </c>
      <c r="C2057" s="20"/>
      <c r="D2057">
        <f>koronahun!T895</f>
        <v>0</v>
      </c>
      <c r="E2057" s="56" t="s">
        <v>19</v>
      </c>
      <c r="F2057" s="56" t="s">
        <v>19</v>
      </c>
    </row>
    <row r="2058" spans="1:6" ht="13">
      <c r="A2058" s="16">
        <v>227</v>
      </c>
      <c r="B2058" s="16">
        <v>63</v>
      </c>
      <c r="C2058" s="20"/>
      <c r="D2058">
        <f>koronahun!T896</f>
        <v>0</v>
      </c>
      <c r="E2058" s="56" t="s">
        <v>19</v>
      </c>
      <c r="F2058" s="56" t="s">
        <v>19</v>
      </c>
    </row>
    <row r="2059" spans="1:6" ht="13">
      <c r="A2059" s="16">
        <v>228</v>
      </c>
      <c r="B2059" s="16">
        <v>62</v>
      </c>
      <c r="C2059" s="20">
        <v>92</v>
      </c>
      <c r="D2059">
        <f>koronahun!T897</f>
        <v>0</v>
      </c>
      <c r="E2059" s="56" t="s">
        <v>19</v>
      </c>
      <c r="F2059" s="56" t="s">
        <v>19</v>
      </c>
    </row>
    <row r="2060" spans="1:6" ht="13">
      <c r="A2060" s="16">
        <v>229</v>
      </c>
      <c r="B2060" s="16">
        <v>62</v>
      </c>
      <c r="C2060" s="20">
        <v>85</v>
      </c>
      <c r="D2060">
        <f>koronahun!T898</f>
        <v>570</v>
      </c>
      <c r="E2060" s="56" t="s">
        <v>19</v>
      </c>
      <c r="F2060" s="56" t="s">
        <v>19</v>
      </c>
    </row>
    <row r="2061" spans="1:6" ht="13">
      <c r="A2061" s="16">
        <v>230</v>
      </c>
      <c r="B2061" s="16">
        <v>60</v>
      </c>
      <c r="C2061" s="20">
        <v>75</v>
      </c>
      <c r="D2061">
        <f>koronahun!T899</f>
        <v>0</v>
      </c>
      <c r="E2061" s="56" t="s">
        <v>19</v>
      </c>
      <c r="F2061" s="56" t="s">
        <v>19</v>
      </c>
    </row>
    <row r="2062" spans="1:6" ht="13">
      <c r="A2062" s="16">
        <v>231</v>
      </c>
      <c r="B2062" s="16">
        <v>57</v>
      </c>
      <c r="C2062" s="20">
        <v>76</v>
      </c>
      <c r="D2062">
        <f>koronahun!T900</f>
        <v>0</v>
      </c>
      <c r="E2062" s="56" t="s">
        <v>19</v>
      </c>
      <c r="F2062" s="56" t="s">
        <v>19</v>
      </c>
    </row>
    <row r="2063" spans="1:6" ht="13">
      <c r="A2063" s="16">
        <v>232</v>
      </c>
      <c r="B2063" s="16">
        <v>57</v>
      </c>
      <c r="C2063" s="20"/>
      <c r="D2063">
        <f>koronahun!T901</f>
        <v>0</v>
      </c>
      <c r="E2063" s="56" t="s">
        <v>19</v>
      </c>
      <c r="F2063" s="56" t="s">
        <v>19</v>
      </c>
    </row>
    <row r="2064" spans="1:6" ht="13">
      <c r="A2064" s="16">
        <v>233</v>
      </c>
      <c r="B2064" s="16">
        <v>58</v>
      </c>
      <c r="C2064" s="20"/>
      <c r="D2064">
        <f>koronahun!T902</f>
        <v>0</v>
      </c>
      <c r="E2064" s="56" t="s">
        <v>19</v>
      </c>
      <c r="F2064" s="56" t="s">
        <v>19</v>
      </c>
    </row>
    <row r="2065" spans="1:6" ht="13">
      <c r="A2065" s="16">
        <v>234</v>
      </c>
      <c r="B2065" s="16">
        <v>60</v>
      </c>
      <c r="C2065" s="20"/>
      <c r="D2065">
        <f>koronahun!T903</f>
        <v>0</v>
      </c>
      <c r="E2065" s="56" t="s">
        <v>19</v>
      </c>
      <c r="F2065" s="56" t="s">
        <v>19</v>
      </c>
    </row>
    <row r="2066" spans="1:6" ht="13">
      <c r="A2066" s="16">
        <v>235</v>
      </c>
      <c r="B2066" s="16">
        <v>59</v>
      </c>
      <c r="C2066" s="20">
        <v>73</v>
      </c>
      <c r="D2066">
        <f>koronahun!T904</f>
        <v>0</v>
      </c>
      <c r="E2066" s="56" t="s">
        <v>19</v>
      </c>
      <c r="F2066" s="56" t="s">
        <v>19</v>
      </c>
    </row>
    <row r="2067" spans="1:6" ht="13">
      <c r="A2067" s="16">
        <v>236</v>
      </c>
      <c r="B2067" s="16">
        <v>59</v>
      </c>
      <c r="C2067" s="20">
        <v>81</v>
      </c>
      <c r="D2067">
        <f>koronahun!T905</f>
        <v>1251</v>
      </c>
      <c r="E2067" s="56" t="s">
        <v>19</v>
      </c>
      <c r="F2067" s="56" t="s">
        <v>19</v>
      </c>
    </row>
    <row r="2068" spans="1:6" ht="13">
      <c r="A2068" s="16">
        <v>237</v>
      </c>
      <c r="B2068" s="16">
        <v>57</v>
      </c>
      <c r="C2068" s="20">
        <v>92</v>
      </c>
      <c r="D2068">
        <f>koronahun!T906</f>
        <v>0</v>
      </c>
      <c r="E2068" s="56" t="s">
        <v>19</v>
      </c>
      <c r="F2068" s="56" t="s">
        <v>19</v>
      </c>
    </row>
    <row r="2069" spans="1:6" ht="13">
      <c r="A2069" s="16">
        <v>238</v>
      </c>
      <c r="B2069" s="16">
        <v>64</v>
      </c>
      <c r="C2069" s="20">
        <v>93</v>
      </c>
      <c r="D2069">
        <f>koronahun!T907</f>
        <v>0</v>
      </c>
      <c r="E2069" s="56" t="s">
        <v>19</v>
      </c>
      <c r="F2069" s="56" t="s">
        <v>19</v>
      </c>
    </row>
    <row r="2070" spans="1:6" ht="13">
      <c r="A2070" s="16">
        <v>239</v>
      </c>
      <c r="B2070" s="16">
        <v>69</v>
      </c>
      <c r="C2070" s="20">
        <v>82</v>
      </c>
      <c r="D2070">
        <f>koronahun!T908</f>
        <v>0</v>
      </c>
      <c r="E2070" s="56" t="s">
        <v>19</v>
      </c>
      <c r="F2070" s="56" t="s">
        <v>19</v>
      </c>
    </row>
    <row r="2071" spans="1:6" ht="13">
      <c r="A2071" s="16">
        <v>240</v>
      </c>
      <c r="B2071" s="16">
        <v>78</v>
      </c>
      <c r="C2071" s="20"/>
      <c r="D2071">
        <f>koronahun!T909</f>
        <v>0</v>
      </c>
      <c r="E2071" s="56" t="s">
        <v>19</v>
      </c>
      <c r="F2071" s="56" t="s">
        <v>19</v>
      </c>
    </row>
    <row r="2072" spans="1:6" ht="13">
      <c r="A2072" s="16">
        <v>241</v>
      </c>
      <c r="B2072" s="16">
        <v>90</v>
      </c>
      <c r="C2072" s="20"/>
      <c r="D2072">
        <f>koronahun!T910</f>
        <v>0</v>
      </c>
      <c r="E2072" s="56" t="s">
        <v>19</v>
      </c>
      <c r="F2072" s="56" t="s">
        <v>19</v>
      </c>
    </row>
    <row r="2073" spans="1:6" ht="13">
      <c r="A2073" s="16">
        <v>242</v>
      </c>
      <c r="B2073" s="16">
        <v>90</v>
      </c>
      <c r="C2073" s="20">
        <v>98</v>
      </c>
      <c r="D2073">
        <f>koronahun!T911</f>
        <v>0</v>
      </c>
      <c r="E2073" s="56" t="s">
        <v>19</v>
      </c>
      <c r="F2073" s="56" t="s">
        <v>19</v>
      </c>
    </row>
    <row r="2074" spans="1:6" ht="13">
      <c r="A2074" s="16">
        <v>243</v>
      </c>
      <c r="B2074" s="16">
        <v>103</v>
      </c>
      <c r="C2074" s="20">
        <v>119</v>
      </c>
      <c r="D2074">
        <f>koronahun!T912</f>
        <v>978</v>
      </c>
      <c r="E2074" s="56" t="s">
        <v>19</v>
      </c>
      <c r="F2074" s="56" t="s">
        <v>19</v>
      </c>
    </row>
    <row r="2075" spans="1:6" ht="13">
      <c r="A2075" s="16">
        <v>244</v>
      </c>
      <c r="B2075" s="16">
        <v>96</v>
      </c>
      <c r="C2075" s="20">
        <v>132</v>
      </c>
      <c r="D2075">
        <f>koronahun!T913</f>
        <v>0</v>
      </c>
      <c r="E2075" s="56" t="s">
        <v>19</v>
      </c>
      <c r="F2075" s="56" t="s">
        <v>19</v>
      </c>
    </row>
    <row r="2076" spans="1:6" ht="13">
      <c r="A2076" s="16">
        <v>245</v>
      </c>
      <c r="B2076" s="16">
        <v>98</v>
      </c>
      <c r="C2076" s="20">
        <v>138</v>
      </c>
      <c r="D2076">
        <f>koronahun!T914</f>
        <v>0</v>
      </c>
      <c r="E2076" s="56" t="s">
        <v>19</v>
      </c>
      <c r="F2076" s="56" t="s">
        <v>19</v>
      </c>
    </row>
    <row r="2077" spans="1:6" ht="13">
      <c r="A2077" s="16">
        <v>246</v>
      </c>
      <c r="B2077" s="16">
        <v>100</v>
      </c>
      <c r="C2077" s="20">
        <v>149</v>
      </c>
      <c r="D2077">
        <f>koronahun!T915</f>
        <v>0</v>
      </c>
      <c r="E2077" s="56" t="s">
        <v>19</v>
      </c>
      <c r="F2077" s="56" t="s">
        <v>19</v>
      </c>
    </row>
    <row r="2078" spans="1:6" ht="13">
      <c r="A2078" s="16">
        <v>247</v>
      </c>
      <c r="B2078" s="16">
        <v>120</v>
      </c>
      <c r="C2078" s="20"/>
      <c r="D2078">
        <f>koronahun!T916</f>
        <v>0</v>
      </c>
      <c r="E2078" s="56" t="s">
        <v>19</v>
      </c>
      <c r="F2078" s="56" t="s">
        <v>19</v>
      </c>
    </row>
    <row r="2079" spans="1:6" ht="13">
      <c r="A2079" s="16">
        <v>248</v>
      </c>
      <c r="B2079" s="16">
        <v>139</v>
      </c>
      <c r="C2079" s="20"/>
      <c r="D2079">
        <f>koronahun!T917</f>
        <v>0</v>
      </c>
      <c r="E2079" s="56" t="s">
        <v>19</v>
      </c>
      <c r="F2079" s="56" t="s">
        <v>19</v>
      </c>
    </row>
    <row r="2080" spans="1:6" ht="13">
      <c r="A2080" s="16">
        <v>249</v>
      </c>
      <c r="B2080" s="16">
        <v>151</v>
      </c>
      <c r="C2080" s="20">
        <v>194</v>
      </c>
      <c r="D2080">
        <f>koronahun!T918</f>
        <v>0</v>
      </c>
      <c r="E2080" s="56" t="s">
        <v>19</v>
      </c>
      <c r="F2080" s="56" t="s">
        <v>19</v>
      </c>
    </row>
    <row r="2081" spans="1:6" ht="13">
      <c r="A2081" s="16">
        <v>250</v>
      </c>
      <c r="B2081" s="16">
        <v>164</v>
      </c>
      <c r="C2081" s="20">
        <v>210</v>
      </c>
      <c r="D2081">
        <f>koronahun!T919</f>
        <v>832</v>
      </c>
      <c r="E2081" s="56" t="s">
        <v>19</v>
      </c>
      <c r="F2081" s="56" t="s">
        <v>19</v>
      </c>
    </row>
    <row r="2082" spans="1:6" ht="13">
      <c r="A2082" s="16">
        <v>251</v>
      </c>
      <c r="B2082" s="16">
        <v>192</v>
      </c>
      <c r="C2082" s="20">
        <v>208</v>
      </c>
      <c r="D2082">
        <f>koronahun!T920</f>
        <v>0</v>
      </c>
      <c r="E2082" s="56" t="s">
        <v>19</v>
      </c>
      <c r="F2082" s="56" t="s">
        <v>19</v>
      </c>
    </row>
    <row r="2083" spans="1:6" ht="13">
      <c r="A2083" s="16">
        <v>252</v>
      </c>
      <c r="B2083" s="16">
        <v>221</v>
      </c>
      <c r="C2083" s="20">
        <v>215</v>
      </c>
      <c r="D2083">
        <f>koronahun!T921</f>
        <v>0</v>
      </c>
      <c r="E2083" s="56" t="s">
        <v>19</v>
      </c>
      <c r="F2083" s="56" t="s">
        <v>19</v>
      </c>
    </row>
    <row r="2084" spans="1:6" ht="13">
      <c r="A2084" s="16">
        <v>253</v>
      </c>
      <c r="B2084" s="16">
        <v>234</v>
      </c>
      <c r="C2084" s="20">
        <v>220</v>
      </c>
      <c r="D2084">
        <f>koronahun!T922</f>
        <v>0</v>
      </c>
      <c r="E2084" s="56" t="s">
        <v>19</v>
      </c>
      <c r="F2084" s="56" t="s">
        <v>19</v>
      </c>
    </row>
    <row r="2085" spans="1:6" ht="13">
      <c r="A2085" s="16">
        <v>254</v>
      </c>
      <c r="B2085" s="16">
        <v>259</v>
      </c>
      <c r="C2085" s="20"/>
      <c r="D2085">
        <f>koronahun!T923</f>
        <v>0</v>
      </c>
      <c r="E2085" s="56" t="s">
        <v>19</v>
      </c>
      <c r="F2085" s="56" t="s">
        <v>19</v>
      </c>
    </row>
    <row r="2086" spans="1:6" ht="13">
      <c r="A2086" s="16">
        <v>255</v>
      </c>
      <c r="B2086" s="16">
        <v>282</v>
      </c>
      <c r="C2086" s="20"/>
      <c r="D2086">
        <f>koronahun!T924</f>
        <v>0</v>
      </c>
      <c r="E2086" s="56" t="s">
        <v>19</v>
      </c>
      <c r="F2086" s="56" t="s">
        <v>19</v>
      </c>
    </row>
    <row r="2087" spans="1:6" ht="13">
      <c r="A2087" s="16">
        <v>256</v>
      </c>
      <c r="B2087" s="16">
        <v>282</v>
      </c>
      <c r="C2087" s="20">
        <v>266</v>
      </c>
      <c r="D2087">
        <f>koronahun!T925</f>
        <v>0</v>
      </c>
      <c r="E2087" s="56" t="s">
        <v>19</v>
      </c>
      <c r="F2087" s="56" t="s">
        <v>19</v>
      </c>
    </row>
    <row r="2088" spans="1:6" ht="13">
      <c r="A2088" s="16">
        <v>257</v>
      </c>
      <c r="B2088" s="16">
        <v>287</v>
      </c>
      <c r="C2088" s="20">
        <v>300</v>
      </c>
      <c r="D2088">
        <f>koronahun!T926</f>
        <v>831</v>
      </c>
      <c r="E2088" s="56" t="s">
        <v>19</v>
      </c>
      <c r="F2088" s="56" t="s">
        <v>19</v>
      </c>
    </row>
    <row r="2089" spans="1:6" ht="13">
      <c r="A2089" s="16">
        <v>258</v>
      </c>
      <c r="B2089" s="16">
        <v>306</v>
      </c>
      <c r="C2089" s="20">
        <v>307</v>
      </c>
      <c r="D2089">
        <f>koronahun!T927</f>
        <v>0</v>
      </c>
      <c r="E2089" s="56" t="s">
        <v>19</v>
      </c>
      <c r="F2089" s="56" t="s">
        <v>19</v>
      </c>
    </row>
    <row r="2090" spans="1:6" ht="13">
      <c r="A2090" s="16">
        <v>259</v>
      </c>
      <c r="B2090" s="16">
        <v>324</v>
      </c>
      <c r="C2090" s="20">
        <v>343</v>
      </c>
      <c r="D2090">
        <f>koronahun!T928</f>
        <v>0</v>
      </c>
      <c r="E2090" s="56" t="s">
        <v>19</v>
      </c>
      <c r="F2090" s="56" t="s">
        <v>19</v>
      </c>
    </row>
    <row r="2091" spans="1:6" ht="13">
      <c r="A2091" s="16">
        <v>260</v>
      </c>
      <c r="B2091" s="16">
        <v>328</v>
      </c>
      <c r="C2091" s="20">
        <v>353</v>
      </c>
      <c r="D2091">
        <f>koronahun!T929</f>
        <v>0</v>
      </c>
      <c r="E2091" s="56" t="s">
        <v>19</v>
      </c>
      <c r="F2091" s="56" t="s">
        <v>19</v>
      </c>
    </row>
    <row r="2092" spans="1:6" ht="13">
      <c r="A2092" s="16">
        <v>261</v>
      </c>
      <c r="B2092" s="16">
        <v>374</v>
      </c>
      <c r="C2092" s="20"/>
      <c r="D2092">
        <f>koronahun!T930</f>
        <v>0</v>
      </c>
      <c r="E2092" s="56" t="s">
        <v>19</v>
      </c>
      <c r="F2092" s="56" t="s">
        <v>19</v>
      </c>
    </row>
    <row r="2093" spans="1:6" ht="13">
      <c r="A2093" s="16">
        <v>262</v>
      </c>
      <c r="B2093" s="16">
        <v>386</v>
      </c>
      <c r="C2093" s="20"/>
      <c r="D2093">
        <f>koronahun!T931</f>
        <v>0</v>
      </c>
      <c r="E2093" s="56" t="s">
        <v>19</v>
      </c>
      <c r="F2093" s="56" t="s">
        <v>19</v>
      </c>
    </row>
    <row r="2094" spans="1:6" ht="13">
      <c r="A2094" s="16">
        <v>263</v>
      </c>
      <c r="B2094" s="16">
        <v>404</v>
      </c>
      <c r="C2094" s="20">
        <v>380</v>
      </c>
      <c r="D2094">
        <f>koronahun!T932</f>
        <v>0</v>
      </c>
      <c r="E2094" s="56" t="s">
        <v>19</v>
      </c>
      <c r="F2094" s="56" t="s">
        <v>19</v>
      </c>
    </row>
    <row r="2095" spans="1:6" ht="13">
      <c r="A2095" s="16">
        <v>264</v>
      </c>
      <c r="B2095" s="16">
        <v>463</v>
      </c>
      <c r="C2095" s="20">
        <v>401</v>
      </c>
      <c r="D2095">
        <f>koronahun!T933</f>
        <v>923</v>
      </c>
      <c r="E2095" s="56" t="s">
        <v>19</v>
      </c>
      <c r="F2095" s="56" t="s">
        <v>19</v>
      </c>
    </row>
    <row r="2096" spans="1:6" ht="13">
      <c r="A2096" s="16">
        <v>265</v>
      </c>
      <c r="B2096" s="16">
        <v>534</v>
      </c>
      <c r="C2096" s="20">
        <v>406</v>
      </c>
      <c r="D2096">
        <f>koronahun!T934</f>
        <v>0</v>
      </c>
      <c r="E2096" s="56" t="s">
        <v>19</v>
      </c>
      <c r="F2096" s="56" t="s">
        <v>19</v>
      </c>
    </row>
    <row r="2097" spans="1:6" ht="13">
      <c r="A2097" s="16">
        <v>266</v>
      </c>
      <c r="B2097" s="16">
        <v>558</v>
      </c>
      <c r="C2097" s="20">
        <v>411</v>
      </c>
      <c r="D2097">
        <f>koronahun!T935</f>
        <v>0</v>
      </c>
      <c r="E2097" s="56" t="s">
        <v>19</v>
      </c>
      <c r="F2097" s="56" t="s">
        <v>19</v>
      </c>
    </row>
    <row r="2098" spans="1:6" ht="13">
      <c r="A2098" s="16">
        <v>267</v>
      </c>
      <c r="B2098" s="16">
        <v>549</v>
      </c>
      <c r="C2098" s="20">
        <v>438</v>
      </c>
      <c r="D2098">
        <f>koronahun!T936</f>
        <v>0</v>
      </c>
      <c r="E2098" s="56" t="s">
        <v>19</v>
      </c>
      <c r="F2098" s="56" t="s">
        <v>19</v>
      </c>
    </row>
    <row r="2099" spans="1:6" ht="13">
      <c r="A2099" s="16">
        <v>268</v>
      </c>
      <c r="B2099" s="16">
        <v>577</v>
      </c>
      <c r="C2099" s="20"/>
      <c r="D2099">
        <f>koronahun!T937</f>
        <v>0</v>
      </c>
      <c r="E2099" s="56" t="s">
        <v>19</v>
      </c>
      <c r="F2099" s="56" t="s">
        <v>19</v>
      </c>
    </row>
    <row r="2100" spans="1:6" ht="13">
      <c r="A2100" s="16">
        <v>269</v>
      </c>
      <c r="B2100" s="16">
        <v>589</v>
      </c>
      <c r="C2100" s="20"/>
      <c r="D2100">
        <f>koronahun!T938</f>
        <v>0</v>
      </c>
      <c r="E2100" s="56" t="s">
        <v>19</v>
      </c>
      <c r="F2100" s="56" t="s">
        <v>19</v>
      </c>
    </row>
    <row r="2101" spans="1:6" ht="13">
      <c r="A2101" s="16">
        <v>270</v>
      </c>
      <c r="B2101" s="16">
        <v>620</v>
      </c>
      <c r="C2101" s="20">
        <v>478</v>
      </c>
      <c r="D2101">
        <f>koronahun!T939</f>
        <v>0</v>
      </c>
      <c r="E2101" s="56" t="s">
        <v>19</v>
      </c>
      <c r="F2101" s="56" t="s">
        <v>19</v>
      </c>
    </row>
    <row r="2102" spans="1:6" ht="13">
      <c r="A2102" s="16">
        <v>271</v>
      </c>
      <c r="B2102" s="16">
        <v>693</v>
      </c>
      <c r="C2102" s="20">
        <v>513</v>
      </c>
      <c r="D2102">
        <f>koronahun!T940</f>
        <v>1166</v>
      </c>
      <c r="E2102" s="56" t="s">
        <v>19</v>
      </c>
      <c r="F2102" s="56" t="s">
        <v>19</v>
      </c>
    </row>
    <row r="2103" spans="1:6" ht="13">
      <c r="A2103" s="16">
        <v>272</v>
      </c>
      <c r="B2103" s="16">
        <v>755</v>
      </c>
      <c r="C2103" s="20">
        <v>529</v>
      </c>
      <c r="D2103">
        <f>koronahun!T941</f>
        <v>0</v>
      </c>
      <c r="E2103" s="56" t="s">
        <v>19</v>
      </c>
      <c r="F2103" s="56" t="s">
        <v>19</v>
      </c>
    </row>
    <row r="2104" spans="1:6" ht="13">
      <c r="A2104" s="16">
        <v>273</v>
      </c>
      <c r="B2104" s="16">
        <v>773</v>
      </c>
      <c r="C2104" s="20">
        <v>539</v>
      </c>
      <c r="D2104">
        <f>koronahun!T942</f>
        <v>0</v>
      </c>
      <c r="E2104" s="56" t="s">
        <v>19</v>
      </c>
      <c r="F2104" s="56" t="s">
        <v>19</v>
      </c>
    </row>
    <row r="2105" spans="1:6" ht="13">
      <c r="A2105" s="16">
        <v>274</v>
      </c>
      <c r="B2105" s="16">
        <v>757</v>
      </c>
      <c r="C2105" s="20">
        <v>533</v>
      </c>
      <c r="D2105">
        <f>koronahun!T943</f>
        <v>0</v>
      </c>
      <c r="E2105" s="56" t="s">
        <v>19</v>
      </c>
      <c r="F2105" s="56" t="s">
        <v>19</v>
      </c>
    </row>
    <row r="2106" spans="1:6" ht="13">
      <c r="A2106" s="16">
        <v>275</v>
      </c>
      <c r="B2106" s="16">
        <v>740</v>
      </c>
      <c r="C2106" s="20"/>
      <c r="D2106">
        <f>koronahun!T944</f>
        <v>0</v>
      </c>
      <c r="E2106" s="56" t="s">
        <v>19</v>
      </c>
      <c r="F2106" s="56" t="s">
        <v>19</v>
      </c>
    </row>
    <row r="2107" spans="1:6" ht="13">
      <c r="A2107" s="16">
        <v>276</v>
      </c>
      <c r="B2107" s="16">
        <v>704</v>
      </c>
      <c r="C2107" s="20"/>
      <c r="D2107">
        <f>koronahun!T945</f>
        <v>0</v>
      </c>
      <c r="E2107" s="56" t="s">
        <v>19</v>
      </c>
      <c r="F2107" s="56" t="s">
        <v>19</v>
      </c>
    </row>
    <row r="2108" spans="1:6" ht="13">
      <c r="A2108" s="16">
        <v>277</v>
      </c>
      <c r="B2108" s="16">
        <v>685</v>
      </c>
      <c r="C2108" s="20">
        <v>560</v>
      </c>
      <c r="D2108">
        <f>koronahun!T946</f>
        <v>0</v>
      </c>
      <c r="E2108" s="56" t="s">
        <v>19</v>
      </c>
      <c r="F2108" s="56" t="s">
        <v>19</v>
      </c>
    </row>
    <row r="2109" spans="1:6" ht="13">
      <c r="A2109" s="16">
        <v>278</v>
      </c>
      <c r="B2109" s="16">
        <v>649</v>
      </c>
      <c r="C2109" s="20">
        <v>585</v>
      </c>
      <c r="D2109">
        <f>koronahun!T947</f>
        <v>1752</v>
      </c>
      <c r="E2109" s="56" t="s">
        <v>19</v>
      </c>
      <c r="F2109" s="56" t="s">
        <v>19</v>
      </c>
    </row>
    <row r="2110" spans="1:6" ht="13">
      <c r="A2110" s="16">
        <v>279</v>
      </c>
      <c r="B2110" s="16">
        <v>627</v>
      </c>
      <c r="C2110" s="20">
        <v>574</v>
      </c>
      <c r="D2110">
        <f>koronahun!T948</f>
        <v>0</v>
      </c>
      <c r="E2110" s="56" t="s">
        <v>19</v>
      </c>
      <c r="F2110" s="56" t="s">
        <v>19</v>
      </c>
    </row>
    <row r="2111" spans="1:6" ht="13">
      <c r="A2111" s="16">
        <v>280</v>
      </c>
      <c r="B2111" s="20">
        <v>656</v>
      </c>
      <c r="C2111" s="20">
        <v>627</v>
      </c>
      <c r="D2111">
        <f>koronahun!T949</f>
        <v>0</v>
      </c>
      <c r="E2111" s="56" t="s">
        <v>19</v>
      </c>
      <c r="F2111" s="56" t="s">
        <v>19</v>
      </c>
    </row>
    <row r="2112" spans="1:6" ht="13">
      <c r="A2112" s="16">
        <v>281</v>
      </c>
      <c r="B2112" s="20">
        <v>804</v>
      </c>
      <c r="C2112" s="20">
        <v>650</v>
      </c>
      <c r="D2112">
        <f>koronahun!T950</f>
        <v>0</v>
      </c>
      <c r="E2112" s="56" t="s">
        <v>19</v>
      </c>
      <c r="F2112" s="56" t="s">
        <v>19</v>
      </c>
    </row>
    <row r="2113" spans="1:6" ht="13">
      <c r="A2113" s="16">
        <v>282</v>
      </c>
      <c r="B2113" s="20">
        <v>993</v>
      </c>
      <c r="C2113" s="20"/>
      <c r="D2113">
        <f>koronahun!T951</f>
        <v>0</v>
      </c>
      <c r="E2113" s="56" t="s">
        <v>19</v>
      </c>
      <c r="F2113" s="56" t="s">
        <v>19</v>
      </c>
    </row>
    <row r="2114" spans="1:6" ht="13">
      <c r="A2114" s="16">
        <v>283</v>
      </c>
      <c r="B2114" s="20">
        <v>1174</v>
      </c>
      <c r="C2114" s="20"/>
      <c r="D2114">
        <f>koronahun!T952</f>
        <v>0</v>
      </c>
      <c r="E2114" s="56" t="s">
        <v>19</v>
      </c>
      <c r="F2114" s="56" t="s">
        <v>19</v>
      </c>
    </row>
    <row r="2115" spans="1:6" ht="13">
      <c r="A2115" s="16">
        <v>284</v>
      </c>
      <c r="B2115" s="20">
        <v>1252</v>
      </c>
      <c r="C2115" s="20">
        <v>715</v>
      </c>
      <c r="D2115">
        <f>koronahun!T953</f>
        <v>0</v>
      </c>
      <c r="E2115" s="56" t="s">
        <v>19</v>
      </c>
      <c r="F2115" s="56" t="s">
        <v>19</v>
      </c>
    </row>
    <row r="2116" spans="1:6" ht="13">
      <c r="A2116" s="16">
        <v>285</v>
      </c>
      <c r="B2116" s="20">
        <v>1418</v>
      </c>
      <c r="C2116" s="20">
        <v>733</v>
      </c>
      <c r="D2116">
        <f>koronahun!T954</f>
        <v>1700</v>
      </c>
      <c r="E2116" s="56" t="s">
        <v>19</v>
      </c>
      <c r="F2116" s="56" t="s">
        <v>19</v>
      </c>
    </row>
    <row r="2117" spans="1:6" ht="13">
      <c r="A2117" s="16">
        <v>286</v>
      </c>
      <c r="B2117" s="20">
        <v>1519</v>
      </c>
      <c r="C2117" s="20">
        <v>737</v>
      </c>
      <c r="D2117">
        <f>koronahun!T955</f>
        <v>0</v>
      </c>
      <c r="E2117" s="56" t="s">
        <v>19</v>
      </c>
      <c r="F2117" s="56" t="s">
        <v>19</v>
      </c>
    </row>
    <row r="2118" spans="1:6" ht="13">
      <c r="A2118" s="16">
        <v>287</v>
      </c>
      <c r="B2118" s="20">
        <v>1538</v>
      </c>
      <c r="C2118" s="20">
        <v>742</v>
      </c>
      <c r="D2118">
        <f>koronahun!T956</f>
        <v>0</v>
      </c>
      <c r="E2118" s="56" t="s">
        <v>19</v>
      </c>
      <c r="F2118" s="56" t="s">
        <v>19</v>
      </c>
    </row>
    <row r="2119" spans="1:6" ht="13">
      <c r="A2119" s="16">
        <v>288</v>
      </c>
      <c r="B2119" s="20">
        <v>1555</v>
      </c>
      <c r="C2119" s="20">
        <v>800</v>
      </c>
      <c r="D2119">
        <f>koronahun!T957</f>
        <v>0</v>
      </c>
      <c r="E2119" s="56" t="s">
        <v>19</v>
      </c>
      <c r="F2119" s="56" t="s">
        <v>19</v>
      </c>
    </row>
    <row r="2120" spans="1:6" ht="13">
      <c r="A2120" s="16">
        <v>289</v>
      </c>
      <c r="B2120" s="20">
        <v>1642</v>
      </c>
      <c r="C2120" s="20"/>
      <c r="D2120">
        <f>koronahun!T958</f>
        <v>0</v>
      </c>
      <c r="E2120" s="56" t="s">
        <v>19</v>
      </c>
      <c r="F2120" s="56" t="s">
        <v>19</v>
      </c>
    </row>
    <row r="2121" spans="1:6" ht="13">
      <c r="A2121" s="16">
        <v>290</v>
      </c>
      <c r="B2121" s="20">
        <v>1693</v>
      </c>
      <c r="C2121" s="20"/>
      <c r="D2121">
        <f>koronahun!T959</f>
        <v>0</v>
      </c>
      <c r="E2121" s="56" t="s">
        <v>19</v>
      </c>
      <c r="F2121" s="56" t="s">
        <v>19</v>
      </c>
    </row>
    <row r="2122" spans="1:6" ht="13">
      <c r="A2122" s="16">
        <v>291</v>
      </c>
      <c r="B2122" s="20">
        <v>1712</v>
      </c>
      <c r="C2122" s="20">
        <v>908</v>
      </c>
      <c r="D2122">
        <f>koronahun!T960</f>
        <v>0</v>
      </c>
      <c r="E2122" s="56" t="s">
        <v>19</v>
      </c>
      <c r="F2122" s="56" t="s">
        <v>19</v>
      </c>
    </row>
    <row r="2123" spans="1:6" ht="13">
      <c r="A2123" s="16">
        <v>292</v>
      </c>
      <c r="B2123" s="20">
        <v>1896</v>
      </c>
      <c r="C2123" s="20">
        <v>999</v>
      </c>
      <c r="D2123">
        <f>koronahun!T961</f>
        <v>1597</v>
      </c>
      <c r="E2123" s="56" t="s">
        <v>19</v>
      </c>
      <c r="F2123" s="56" t="s">
        <v>19</v>
      </c>
    </row>
    <row r="2124" spans="1:6" ht="13">
      <c r="A2124" s="16">
        <v>293</v>
      </c>
      <c r="B2124" s="20">
        <v>1960</v>
      </c>
      <c r="C2124" s="20">
        <v>1058</v>
      </c>
      <c r="D2124">
        <f>koronahun!T962</f>
        <v>0</v>
      </c>
      <c r="E2124" s="56" t="s">
        <v>19</v>
      </c>
      <c r="F2124" s="56" t="s">
        <v>19</v>
      </c>
    </row>
    <row r="2125" spans="1:6" ht="13">
      <c r="A2125" s="16">
        <v>294</v>
      </c>
      <c r="B2125" s="20">
        <v>2023</v>
      </c>
      <c r="C2125" s="20">
        <v>1105</v>
      </c>
      <c r="D2125">
        <f>koronahun!T963</f>
        <v>0</v>
      </c>
      <c r="E2125" s="56" t="s">
        <v>19</v>
      </c>
      <c r="F2125" s="56" t="s">
        <v>19</v>
      </c>
    </row>
    <row r="2126" spans="1:6" ht="13">
      <c r="A2126" s="16">
        <v>295</v>
      </c>
      <c r="B2126" s="20">
        <v>2132</v>
      </c>
      <c r="C2126" s="20">
        <v>1233</v>
      </c>
      <c r="D2126">
        <f>koronahun!T964</f>
        <v>0</v>
      </c>
      <c r="E2126" s="56" t="s">
        <v>19</v>
      </c>
      <c r="F2126" s="56" t="s">
        <v>19</v>
      </c>
    </row>
    <row r="2127" spans="1:6" ht="13">
      <c r="A2127" s="16">
        <v>296</v>
      </c>
      <c r="B2127" s="20">
        <v>2209</v>
      </c>
      <c r="C2127" s="20"/>
      <c r="D2127">
        <f>koronahun!T965</f>
        <v>0</v>
      </c>
      <c r="E2127" s="56" t="s">
        <v>19</v>
      </c>
      <c r="F2127" s="56" t="s">
        <v>19</v>
      </c>
    </row>
    <row r="2128" spans="1:6" ht="13">
      <c r="A2128" s="16">
        <v>297</v>
      </c>
      <c r="B2128" s="20">
        <v>2245</v>
      </c>
      <c r="C2128" s="20"/>
      <c r="D2128">
        <f>koronahun!T966</f>
        <v>0</v>
      </c>
      <c r="E2128" s="56" t="s">
        <v>19</v>
      </c>
      <c r="F2128" s="56" t="s">
        <v>19</v>
      </c>
    </row>
    <row r="2129" spans="1:6" ht="13">
      <c r="A2129" s="16">
        <v>298</v>
      </c>
      <c r="B2129" s="20">
        <v>2449</v>
      </c>
      <c r="C2129" s="20">
        <v>1588</v>
      </c>
      <c r="D2129">
        <f>koronahun!T967</f>
        <v>0</v>
      </c>
      <c r="E2129" s="56" t="s">
        <v>19</v>
      </c>
      <c r="F2129" s="56" t="s">
        <v>19</v>
      </c>
    </row>
    <row r="2130" spans="1:6" ht="13">
      <c r="A2130" s="16">
        <v>299</v>
      </c>
      <c r="B2130" s="20">
        <v>2602</v>
      </c>
      <c r="C2130" s="20">
        <v>1685</v>
      </c>
      <c r="D2130">
        <f>koronahun!T968</f>
        <v>1371</v>
      </c>
      <c r="E2130" s="56" t="s">
        <v>19</v>
      </c>
      <c r="F2130" s="56" t="s">
        <v>19</v>
      </c>
    </row>
    <row r="2131" spans="1:6" ht="13">
      <c r="A2131" s="16">
        <v>300</v>
      </c>
      <c r="B2131" s="20">
        <v>2891</v>
      </c>
      <c r="C2131" s="20">
        <v>1798</v>
      </c>
      <c r="D2131">
        <f>koronahun!T969</f>
        <v>0</v>
      </c>
      <c r="E2131" s="56" t="s">
        <v>19</v>
      </c>
      <c r="F2131" s="56" t="s">
        <v>19</v>
      </c>
    </row>
    <row r="2132" spans="1:6" ht="13">
      <c r="A2132" s="16">
        <v>301</v>
      </c>
      <c r="B2132" s="20">
        <v>3166</v>
      </c>
      <c r="C2132" s="20">
        <v>1970</v>
      </c>
      <c r="D2132">
        <f>koronahun!T970</f>
        <v>0</v>
      </c>
      <c r="E2132" s="56" t="s">
        <v>19</v>
      </c>
      <c r="F2132" s="56" t="s">
        <v>19</v>
      </c>
    </row>
    <row r="2133" spans="1:6" ht="13">
      <c r="A2133" s="16">
        <v>302</v>
      </c>
      <c r="B2133" s="20">
        <v>3197</v>
      </c>
      <c r="C2133" s="20">
        <v>2130</v>
      </c>
      <c r="D2133">
        <f>koronahun!T971</f>
        <v>0</v>
      </c>
      <c r="E2133" s="56" t="s">
        <v>19</v>
      </c>
      <c r="F2133" s="56" t="s">
        <v>19</v>
      </c>
    </row>
    <row r="2134" spans="1:6" ht="13">
      <c r="A2134" s="16">
        <v>303</v>
      </c>
      <c r="B2134" s="20">
        <v>3753</v>
      </c>
      <c r="C2134" s="20"/>
      <c r="D2134">
        <f>koronahun!T972</f>
        <v>0</v>
      </c>
      <c r="E2134" s="56" t="s">
        <v>19</v>
      </c>
      <c r="F2134" s="56" t="s">
        <v>19</v>
      </c>
    </row>
    <row r="2135" spans="1:6" ht="13">
      <c r="A2135" s="16">
        <v>304</v>
      </c>
      <c r="B2135" s="20">
        <v>4048</v>
      </c>
      <c r="C2135" s="20"/>
      <c r="D2135">
        <f>koronahun!T973</f>
        <v>0</v>
      </c>
      <c r="E2135" s="56" t="s">
        <v>19</v>
      </c>
      <c r="F2135" s="56" t="s">
        <v>19</v>
      </c>
    </row>
    <row r="2136" spans="1:6" ht="13">
      <c r="A2136" s="16">
        <v>305</v>
      </c>
      <c r="B2136" s="20">
        <v>4205</v>
      </c>
      <c r="C2136" s="20">
        <v>2605</v>
      </c>
      <c r="D2136">
        <f>koronahun!T974</f>
        <v>0</v>
      </c>
      <c r="E2136" s="56" t="s">
        <v>19</v>
      </c>
      <c r="F2136" s="56" t="s">
        <v>19</v>
      </c>
    </row>
    <row r="2137" spans="1:6" ht="13">
      <c r="A2137" s="16">
        <v>306</v>
      </c>
      <c r="B2137" s="20">
        <v>4417</v>
      </c>
      <c r="C2137" s="20">
        <v>2839</v>
      </c>
      <c r="D2137">
        <f>koronahun!T975</f>
        <v>0</v>
      </c>
      <c r="E2137" s="56" t="s">
        <v>19</v>
      </c>
      <c r="F2137" s="56" t="s">
        <v>19</v>
      </c>
    </row>
    <row r="2138" spans="1:6" ht="13">
      <c r="A2138" s="16">
        <v>307</v>
      </c>
      <c r="B2138" s="20">
        <v>4767</v>
      </c>
      <c r="C2138" s="20">
        <v>3172</v>
      </c>
      <c r="D2138">
        <f>koronahun!T976</f>
        <v>0</v>
      </c>
      <c r="E2138" s="56" t="s">
        <v>19</v>
      </c>
      <c r="F2138" s="56" t="s">
        <v>19</v>
      </c>
    </row>
    <row r="2139" spans="1:6" ht="13">
      <c r="A2139" s="16">
        <v>308</v>
      </c>
      <c r="B2139" s="20">
        <v>4871</v>
      </c>
      <c r="C2139" s="20">
        <v>3366</v>
      </c>
      <c r="D2139">
        <f>koronahun!T977</f>
        <v>0</v>
      </c>
      <c r="E2139" s="56" t="s">
        <v>19</v>
      </c>
      <c r="F2139" s="56" t="s">
        <v>19</v>
      </c>
    </row>
    <row r="2140" spans="1:6" ht="13">
      <c r="A2140" s="16">
        <v>309</v>
      </c>
      <c r="B2140" s="20">
        <v>5183</v>
      </c>
      <c r="C2140" s="20">
        <v>3629</v>
      </c>
      <c r="D2140">
        <f>koronahun!T978</f>
        <v>0</v>
      </c>
      <c r="E2140" s="56" t="s">
        <v>19</v>
      </c>
      <c r="F2140" s="56" t="s">
        <v>19</v>
      </c>
    </row>
    <row r="2141" spans="1:6" ht="13">
      <c r="A2141" s="16">
        <v>310</v>
      </c>
      <c r="B2141" s="20">
        <v>5489</v>
      </c>
      <c r="C2141" s="20"/>
      <c r="D2141">
        <f>koronahun!T979</f>
        <v>0</v>
      </c>
      <c r="E2141" s="56" t="s">
        <v>19</v>
      </c>
      <c r="F2141" s="56" t="s">
        <v>19</v>
      </c>
    </row>
    <row r="2142" spans="1:6" ht="13">
      <c r="A2142" s="16">
        <v>311</v>
      </c>
      <c r="B2142" s="20">
        <v>5612</v>
      </c>
      <c r="C2142" s="20"/>
      <c r="D2142">
        <f>koronahun!T980</f>
        <v>0</v>
      </c>
      <c r="E2142" s="56" t="s">
        <v>19</v>
      </c>
      <c r="F2142" s="56" t="s">
        <v>19</v>
      </c>
    </row>
    <row r="2143" spans="1:6" ht="13">
      <c r="A2143" s="16">
        <v>312</v>
      </c>
      <c r="B2143" s="20">
        <v>5803</v>
      </c>
      <c r="C2143" s="20">
        <v>3980</v>
      </c>
      <c r="D2143">
        <f>koronahun!T981</f>
        <v>0</v>
      </c>
      <c r="E2143" s="56" t="s">
        <v>19</v>
      </c>
      <c r="F2143" s="56" t="s">
        <v>19</v>
      </c>
    </row>
    <row r="2144" spans="1:6" ht="13">
      <c r="A2144" s="16">
        <v>313</v>
      </c>
      <c r="B2144" s="20">
        <v>6061</v>
      </c>
      <c r="C2144" s="20">
        <v>4522</v>
      </c>
      <c r="D2144">
        <f>koronahun!T982</f>
        <v>985</v>
      </c>
      <c r="E2144" s="56" t="s">
        <v>19</v>
      </c>
      <c r="F2144" s="56" t="s">
        <v>19</v>
      </c>
    </row>
    <row r="2145" spans="1:6" ht="13">
      <c r="A2145" s="16">
        <v>314</v>
      </c>
      <c r="B2145" s="20">
        <v>6153</v>
      </c>
      <c r="C2145" s="20">
        <v>4830</v>
      </c>
      <c r="D2145">
        <f>koronahun!T983</f>
        <v>0</v>
      </c>
      <c r="E2145" s="56" t="s">
        <v>19</v>
      </c>
      <c r="F2145" s="56" t="s">
        <v>19</v>
      </c>
    </row>
    <row r="2146" spans="1:6" ht="13">
      <c r="A2146" s="16">
        <v>315</v>
      </c>
      <c r="B2146" s="20">
        <v>6352</v>
      </c>
      <c r="C2146" s="20">
        <v>4990</v>
      </c>
      <c r="D2146">
        <f>koronahun!T984</f>
        <v>0</v>
      </c>
      <c r="E2146" s="56" t="s">
        <v>19</v>
      </c>
      <c r="F2146" s="56" t="s">
        <v>19</v>
      </c>
    </row>
    <row r="2147" spans="1:6" ht="13">
      <c r="A2147" s="16">
        <v>316</v>
      </c>
      <c r="B2147" s="20">
        <v>6426</v>
      </c>
      <c r="C2147" s="20">
        <v>5147</v>
      </c>
      <c r="D2147">
        <f>koronahun!T985</f>
        <v>0</v>
      </c>
      <c r="E2147" s="56" t="s">
        <v>19</v>
      </c>
      <c r="F2147" s="56" t="s">
        <v>19</v>
      </c>
    </row>
    <row r="2148" spans="1:6" ht="13">
      <c r="A2148" s="16">
        <v>317</v>
      </c>
      <c r="B2148" s="20">
        <v>6690</v>
      </c>
      <c r="C2148" s="20"/>
      <c r="D2148">
        <f>koronahun!T986</f>
        <v>0</v>
      </c>
      <c r="E2148" s="56" t="s">
        <v>19</v>
      </c>
      <c r="F2148" s="56" t="s">
        <v>19</v>
      </c>
    </row>
    <row r="2149" spans="1:6" ht="13">
      <c r="A2149" s="16">
        <v>318</v>
      </c>
      <c r="B2149" s="20">
        <v>7029</v>
      </c>
      <c r="C2149" s="20"/>
      <c r="D2149">
        <f>koronahun!T987</f>
        <v>0</v>
      </c>
      <c r="E2149" s="56" t="s">
        <v>19</v>
      </c>
      <c r="F2149" s="56" t="s">
        <v>19</v>
      </c>
    </row>
    <row r="2150" spans="1:6" ht="13">
      <c r="A2150" s="16">
        <v>319</v>
      </c>
      <c r="B2150" s="20">
        <v>7013</v>
      </c>
      <c r="C2150" s="20">
        <v>5286</v>
      </c>
      <c r="D2150">
        <f>koronahun!T988</f>
        <v>0</v>
      </c>
      <c r="E2150" s="56" t="s">
        <v>19</v>
      </c>
      <c r="F2150" s="56" t="s">
        <v>19</v>
      </c>
    </row>
    <row r="2151" spans="1:6" ht="13">
      <c r="A2151" s="16">
        <v>320</v>
      </c>
      <c r="B2151" s="20">
        <v>7236</v>
      </c>
      <c r="C2151" s="20">
        <v>5811</v>
      </c>
      <c r="D2151">
        <f>koronahun!T989</f>
        <v>749</v>
      </c>
      <c r="E2151" s="56" t="s">
        <v>19</v>
      </c>
      <c r="F2151" s="56" t="s">
        <v>19</v>
      </c>
    </row>
    <row r="2152" spans="1:6" ht="13">
      <c r="A2152" s="16">
        <v>321</v>
      </c>
      <c r="B2152" s="20">
        <v>7477</v>
      </c>
      <c r="C2152" s="20">
        <v>5852</v>
      </c>
      <c r="D2152">
        <f>koronahun!T990</f>
        <v>0</v>
      </c>
      <c r="E2152" s="56" t="s">
        <v>19</v>
      </c>
      <c r="F2152" s="56" t="s">
        <v>19</v>
      </c>
    </row>
    <row r="2153" spans="1:6" ht="13">
      <c r="A2153" s="16">
        <v>322</v>
      </c>
      <c r="B2153" s="20">
        <v>7499</v>
      </c>
      <c r="C2153" s="20">
        <v>5969</v>
      </c>
      <c r="D2153">
        <f>koronahun!T991</f>
        <v>0</v>
      </c>
      <c r="E2153" s="56" t="s">
        <v>19</v>
      </c>
      <c r="F2153" s="56" t="s">
        <v>19</v>
      </c>
    </row>
    <row r="2154" spans="1:6" ht="13">
      <c r="A2154" s="16">
        <v>323</v>
      </c>
      <c r="B2154" s="20">
        <v>7532</v>
      </c>
      <c r="C2154" s="20">
        <v>6122</v>
      </c>
      <c r="D2154">
        <f>koronahun!T992</f>
        <v>0</v>
      </c>
      <c r="E2154" s="56" t="s">
        <v>19</v>
      </c>
      <c r="F2154" s="56" t="s">
        <v>19</v>
      </c>
    </row>
    <row r="2155" spans="1:6" ht="13">
      <c r="A2155" s="16">
        <v>324</v>
      </c>
      <c r="B2155" s="20">
        <v>7512</v>
      </c>
      <c r="C2155" s="20"/>
      <c r="D2155">
        <f>koronahun!T993</f>
        <v>0</v>
      </c>
      <c r="E2155" s="56" t="s">
        <v>19</v>
      </c>
      <c r="F2155" s="56" t="s">
        <v>19</v>
      </c>
    </row>
    <row r="2156" spans="1:6" ht="13">
      <c r="A2156" s="16">
        <v>325</v>
      </c>
      <c r="B2156" s="20">
        <v>7358</v>
      </c>
      <c r="C2156" s="20"/>
      <c r="D2156">
        <f>koronahun!T994</f>
        <v>0</v>
      </c>
      <c r="E2156" s="56" t="s">
        <v>19</v>
      </c>
      <c r="F2156" s="56" t="s">
        <v>19</v>
      </c>
    </row>
    <row r="2157" spans="1:6" ht="13">
      <c r="A2157" s="16">
        <v>326</v>
      </c>
      <c r="B2157" s="20">
        <v>7278</v>
      </c>
      <c r="C2157" s="20">
        <v>6451</v>
      </c>
      <c r="D2157">
        <f>koronahun!T995</f>
        <v>0</v>
      </c>
      <c r="E2157" s="56" t="s">
        <v>19</v>
      </c>
      <c r="F2157" s="56" t="s">
        <v>19</v>
      </c>
    </row>
    <row r="2158" spans="1:6" ht="13">
      <c r="A2158" s="16">
        <v>327</v>
      </c>
      <c r="B2158" s="20">
        <v>7461</v>
      </c>
      <c r="C2158" s="20">
        <v>6830</v>
      </c>
      <c r="D2158">
        <f>koronahun!T996</f>
        <v>770</v>
      </c>
      <c r="E2158" s="56" t="s">
        <v>19</v>
      </c>
      <c r="F2158" s="56" t="s">
        <v>19</v>
      </c>
    </row>
    <row r="2159" spans="1:6" ht="13">
      <c r="A2159" s="16">
        <v>328</v>
      </c>
      <c r="B2159" s="20">
        <v>7598</v>
      </c>
      <c r="C2159" s="20">
        <v>6840</v>
      </c>
      <c r="D2159">
        <f>koronahun!T997</f>
        <v>0</v>
      </c>
      <c r="E2159" s="56" t="s">
        <v>19</v>
      </c>
      <c r="F2159" s="56" t="s">
        <v>19</v>
      </c>
    </row>
    <row r="2160" spans="1:6" ht="13">
      <c r="A2160" s="16">
        <v>329</v>
      </c>
      <c r="B2160" s="20">
        <v>7718</v>
      </c>
      <c r="C2160" s="20">
        <v>6858</v>
      </c>
      <c r="D2160">
        <f>koronahun!T998</f>
        <v>0</v>
      </c>
      <c r="E2160" s="56" t="s">
        <v>19</v>
      </c>
      <c r="F2160" s="56" t="s">
        <v>19</v>
      </c>
    </row>
    <row r="2161" spans="1:6" ht="13">
      <c r="A2161" s="16">
        <v>330</v>
      </c>
      <c r="B2161" s="20">
        <v>7537</v>
      </c>
      <c r="C2161" s="20">
        <v>6913</v>
      </c>
      <c r="D2161">
        <f>koronahun!T999</f>
        <v>0</v>
      </c>
      <c r="E2161" s="56" t="s">
        <v>19</v>
      </c>
      <c r="F2161" s="56" t="s">
        <v>19</v>
      </c>
    </row>
    <row r="2162" spans="1:6" ht="13">
      <c r="A2162" s="16">
        <v>331</v>
      </c>
      <c r="B2162" s="20">
        <v>7591</v>
      </c>
      <c r="C2162" s="20"/>
      <c r="D2162">
        <f>koronahun!T1000</f>
        <v>0</v>
      </c>
      <c r="E2162" s="56" t="s">
        <v>19</v>
      </c>
      <c r="F2162" s="56" t="s">
        <v>19</v>
      </c>
    </row>
    <row r="2163" spans="1:6" ht="13">
      <c r="A2163" s="16">
        <v>332</v>
      </c>
      <c r="B2163" s="20">
        <v>7536</v>
      </c>
      <c r="C2163" s="20"/>
      <c r="D2163">
        <f>koronahun!T2001</f>
        <v>0</v>
      </c>
      <c r="E2163" s="56" t="s">
        <v>19</v>
      </c>
      <c r="F2163" s="56" t="s">
        <v>19</v>
      </c>
    </row>
    <row r="2164" spans="1:6" ht="13">
      <c r="A2164" s="16">
        <v>333</v>
      </c>
      <c r="B2164" s="20">
        <v>7590</v>
      </c>
      <c r="C2164" s="20">
        <v>7438</v>
      </c>
      <c r="D2164">
        <f>koronahun!T2002</f>
        <v>0</v>
      </c>
      <c r="E2164" s="56" t="s">
        <v>19</v>
      </c>
      <c r="F2164" s="56" t="s">
        <v>19</v>
      </c>
    </row>
    <row r="2165" spans="1:6" ht="13">
      <c r="A2165" s="16">
        <v>334</v>
      </c>
      <c r="B2165" s="20">
        <v>7734</v>
      </c>
      <c r="C2165" s="20">
        <v>7596</v>
      </c>
      <c r="D2165">
        <f>koronahun!T2003</f>
        <v>0</v>
      </c>
      <c r="E2165" s="56" t="s">
        <v>19</v>
      </c>
      <c r="F2165" s="56" t="s">
        <v>19</v>
      </c>
    </row>
    <row r="2166" spans="1:6" ht="13">
      <c r="A2166" s="16">
        <v>335</v>
      </c>
      <c r="B2166" s="20">
        <v>7884</v>
      </c>
      <c r="C2166" s="20">
        <v>7546</v>
      </c>
      <c r="D2166">
        <f>koronahun!T2004</f>
        <v>0</v>
      </c>
      <c r="E2166" s="56" t="s">
        <v>19</v>
      </c>
      <c r="F2166" s="56" t="s">
        <v>19</v>
      </c>
    </row>
    <row r="2167" spans="1:6" ht="13">
      <c r="A2167" s="16">
        <v>336</v>
      </c>
      <c r="B2167" s="20">
        <v>7732</v>
      </c>
      <c r="C2167" s="20">
        <v>7450</v>
      </c>
      <c r="D2167">
        <f>koronahun!T2005</f>
        <v>0</v>
      </c>
      <c r="E2167" s="56" t="s">
        <v>19</v>
      </c>
      <c r="F2167" s="56" t="s">
        <v>19</v>
      </c>
    </row>
    <row r="2168" spans="1:6" ht="13">
      <c r="A2168" s="16">
        <v>337</v>
      </c>
      <c r="B2168" s="20">
        <v>7693</v>
      </c>
      <c r="C2168" s="20">
        <v>7463</v>
      </c>
      <c r="D2168">
        <f>koronahun!T2006</f>
        <v>0</v>
      </c>
      <c r="E2168" s="56" t="s">
        <v>19</v>
      </c>
      <c r="F2168" s="56" t="s">
        <v>19</v>
      </c>
    </row>
    <row r="2169" spans="1:6" ht="13">
      <c r="A2169" s="16">
        <v>338</v>
      </c>
      <c r="B2169" s="20">
        <v>7812</v>
      </c>
      <c r="C2169" s="20"/>
      <c r="D2169">
        <f>koronahun!T2007</f>
        <v>0</v>
      </c>
      <c r="E2169" s="56" t="s">
        <v>19</v>
      </c>
      <c r="F2169" s="56" t="s">
        <v>19</v>
      </c>
    </row>
    <row r="2170" spans="1:6" ht="13">
      <c r="A2170" s="16">
        <v>339</v>
      </c>
      <c r="B2170" s="20">
        <v>7695</v>
      </c>
      <c r="C2170" s="20"/>
      <c r="D2170">
        <f>koronahun!T2008</f>
        <v>0</v>
      </c>
      <c r="E2170" s="56" t="s">
        <v>19</v>
      </c>
      <c r="F2170" s="56" t="s">
        <v>19</v>
      </c>
    </row>
    <row r="2171" spans="1:6" ht="13">
      <c r="A2171" s="16">
        <v>340</v>
      </c>
      <c r="B2171" s="20">
        <v>7709</v>
      </c>
      <c r="C2171" s="20">
        <v>7440</v>
      </c>
      <c r="D2171">
        <f>koronahun!T2009</f>
        <v>0</v>
      </c>
      <c r="E2171" s="56" t="s">
        <v>19</v>
      </c>
      <c r="F2171" s="56" t="s">
        <v>19</v>
      </c>
    </row>
    <row r="2172" spans="1:6" ht="13">
      <c r="A2172" s="16">
        <v>341</v>
      </c>
      <c r="B2172" s="20">
        <v>7932</v>
      </c>
      <c r="C2172" s="20">
        <v>7568</v>
      </c>
      <c r="D2172">
        <f>koronahun!T2010</f>
        <v>0</v>
      </c>
      <c r="E2172" s="56" t="s">
        <v>19</v>
      </c>
      <c r="F2172" s="56" t="s">
        <v>19</v>
      </c>
    </row>
    <row r="2173" spans="1:6" ht="13">
      <c r="A2173" s="16">
        <v>342</v>
      </c>
      <c r="B2173" s="20">
        <v>8045</v>
      </c>
      <c r="C2173" s="20">
        <v>7206</v>
      </c>
      <c r="D2173">
        <f>koronahun!T2011</f>
        <v>0</v>
      </c>
      <c r="E2173" s="56" t="s">
        <v>19</v>
      </c>
      <c r="F2173" s="56" t="s">
        <v>19</v>
      </c>
    </row>
    <row r="2174" spans="1:6" ht="13">
      <c r="A2174" s="16">
        <v>343</v>
      </c>
      <c r="B2174" s="20">
        <v>7945</v>
      </c>
      <c r="C2174" s="20">
        <v>7119</v>
      </c>
      <c r="D2174">
        <f>koronahun!T2012</f>
        <v>0</v>
      </c>
      <c r="E2174" s="56" t="s">
        <v>19</v>
      </c>
      <c r="F2174" s="56" t="s">
        <v>19</v>
      </c>
    </row>
    <row r="2175" spans="1:6" ht="13">
      <c r="A2175" s="16">
        <v>344</v>
      </c>
      <c r="B2175" s="20">
        <v>7869</v>
      </c>
      <c r="C2175" s="20">
        <v>6939</v>
      </c>
      <c r="D2175">
        <f>koronahun!T2013</f>
        <v>0</v>
      </c>
      <c r="E2175" s="56" t="s">
        <v>19</v>
      </c>
      <c r="F2175" s="56" t="s">
        <v>19</v>
      </c>
    </row>
    <row r="2176" spans="1:6" ht="13">
      <c r="A2176" s="16">
        <v>345</v>
      </c>
      <c r="B2176" s="20">
        <v>7871</v>
      </c>
      <c r="C2176" s="20"/>
      <c r="D2176">
        <f>koronahun!T2014</f>
        <v>0</v>
      </c>
      <c r="E2176" s="56" t="s">
        <v>19</v>
      </c>
      <c r="F2176" s="56" t="s">
        <v>19</v>
      </c>
    </row>
    <row r="2177" spans="1:6" ht="13">
      <c r="A2177" s="16">
        <v>346</v>
      </c>
      <c r="B2177" s="20">
        <v>7807</v>
      </c>
      <c r="C2177" s="20"/>
      <c r="D2177">
        <f>koronahun!T2015</f>
        <v>0</v>
      </c>
      <c r="E2177" s="56" t="s">
        <v>19</v>
      </c>
      <c r="F2177" s="56" t="s">
        <v>19</v>
      </c>
    </row>
    <row r="2178" spans="1:6" ht="13">
      <c r="A2178" s="16">
        <v>347</v>
      </c>
      <c r="B2178" s="20">
        <v>7646</v>
      </c>
      <c r="C2178" s="20">
        <v>6531</v>
      </c>
      <c r="D2178">
        <f>koronahun!T2016</f>
        <v>0</v>
      </c>
      <c r="E2178" s="56" t="s">
        <v>19</v>
      </c>
      <c r="F2178" s="56" t="s">
        <v>19</v>
      </c>
    </row>
    <row r="2179" spans="1:6" ht="13">
      <c r="A2179" s="16">
        <v>348</v>
      </c>
      <c r="B2179" s="20">
        <v>7667</v>
      </c>
      <c r="C2179" s="20">
        <v>6507</v>
      </c>
      <c r="D2179">
        <f>koronahun!T2017</f>
        <v>0</v>
      </c>
      <c r="E2179" s="56" t="s">
        <v>19</v>
      </c>
      <c r="F2179" s="56" t="s">
        <v>19</v>
      </c>
    </row>
    <row r="2180" spans="1:6" ht="13">
      <c r="A2180" s="16">
        <v>349</v>
      </c>
      <c r="B2180" s="20">
        <v>7845</v>
      </c>
      <c r="C2180" s="20">
        <v>6337</v>
      </c>
      <c r="D2180">
        <f>koronahun!T2018</f>
        <v>0</v>
      </c>
      <c r="E2180" s="56" t="s">
        <v>19</v>
      </c>
      <c r="F2180" s="56" t="s">
        <v>19</v>
      </c>
    </row>
    <row r="2181" spans="1:6" ht="13">
      <c r="A2181" s="16">
        <v>350</v>
      </c>
      <c r="B2181" s="20">
        <v>7639</v>
      </c>
      <c r="C2181" s="20">
        <v>6109</v>
      </c>
      <c r="D2181">
        <f>koronahun!T2019</f>
        <v>0</v>
      </c>
      <c r="E2181" s="56" t="s">
        <v>19</v>
      </c>
      <c r="F2181" s="56" t="s">
        <v>19</v>
      </c>
    </row>
    <row r="2182" spans="1:6" ht="13">
      <c r="A2182" s="16">
        <v>351</v>
      </c>
      <c r="B2182" s="20">
        <v>7522</v>
      </c>
      <c r="C2182" s="20">
        <v>5856</v>
      </c>
      <c r="D2182">
        <f>koronahun!T2020</f>
        <v>0</v>
      </c>
      <c r="E2182" s="56" t="s">
        <v>19</v>
      </c>
      <c r="F2182" s="56" t="s">
        <v>19</v>
      </c>
    </row>
    <row r="2183" spans="1:6" ht="13">
      <c r="A2183" s="16">
        <v>352</v>
      </c>
      <c r="B2183" s="20">
        <v>7335</v>
      </c>
      <c r="C2183" s="20"/>
      <c r="D2183">
        <f>koronahun!T2021</f>
        <v>0</v>
      </c>
      <c r="E2183" s="56" t="s">
        <v>19</v>
      </c>
      <c r="F2183" s="56" t="s">
        <v>19</v>
      </c>
    </row>
    <row r="2184" spans="1:6" ht="13">
      <c r="A2184" s="16">
        <v>353</v>
      </c>
      <c r="B2184" s="20">
        <v>7295</v>
      </c>
      <c r="C2184" s="20"/>
      <c r="D2184">
        <f>koronahun!T2022</f>
        <v>0</v>
      </c>
      <c r="E2184" s="56" t="s">
        <v>19</v>
      </c>
      <c r="F2184" s="56" t="s">
        <v>19</v>
      </c>
    </row>
    <row r="2185" spans="1:6" ht="13">
      <c r="A2185" s="16">
        <v>354</v>
      </c>
      <c r="B2185" s="20">
        <v>7022</v>
      </c>
      <c r="C2185" s="20">
        <v>5537</v>
      </c>
      <c r="D2185">
        <f>koronahun!T2023</f>
        <v>0</v>
      </c>
      <c r="E2185" s="56" t="s">
        <v>19</v>
      </c>
      <c r="F2185" s="56" t="s">
        <v>19</v>
      </c>
    </row>
    <row r="2186" spans="1:6" ht="13">
      <c r="A2186" s="16">
        <v>355</v>
      </c>
      <c r="B2186" s="20">
        <v>7097</v>
      </c>
      <c r="C2186" s="20">
        <v>5527</v>
      </c>
      <c r="D2186">
        <f>koronahun!T2024</f>
        <v>0</v>
      </c>
      <c r="E2186" s="56" t="s">
        <v>19</v>
      </c>
      <c r="F2186" s="56" t="s">
        <v>19</v>
      </c>
    </row>
    <row r="2187" spans="1:6" ht="13">
      <c r="A2187" s="16">
        <v>356</v>
      </c>
      <c r="B2187" s="20">
        <v>7124</v>
      </c>
      <c r="C2187" s="20">
        <v>5159</v>
      </c>
      <c r="D2187">
        <f>koronahun!T2025</f>
        <v>0</v>
      </c>
      <c r="E2187" s="56" t="s">
        <v>19</v>
      </c>
      <c r="F2187" s="56" t="s">
        <v>19</v>
      </c>
    </row>
    <row r="2188" spans="1:6" ht="13">
      <c r="A2188" s="16">
        <v>357</v>
      </c>
      <c r="B2188" s="20">
        <v>6727</v>
      </c>
      <c r="C2188" s="20">
        <v>4827</v>
      </c>
      <c r="D2188">
        <f>koronahun!T2026</f>
        <v>0</v>
      </c>
      <c r="E2188" s="56" t="s">
        <v>19</v>
      </c>
      <c r="F2188" s="56" t="s">
        <v>19</v>
      </c>
    </row>
    <row r="2189" spans="1:6" ht="13">
      <c r="A2189" s="16">
        <v>358</v>
      </c>
      <c r="B2189" s="20">
        <v>6382</v>
      </c>
      <c r="C2189" s="20"/>
      <c r="D2189">
        <f>koronahun!T2027</f>
        <v>0</v>
      </c>
      <c r="E2189" s="56" t="s">
        <v>19</v>
      </c>
      <c r="F2189" s="56" t="s">
        <v>19</v>
      </c>
    </row>
    <row r="2190" spans="1:6" ht="13">
      <c r="A2190" s="16">
        <v>359</v>
      </c>
      <c r="B2190" s="20">
        <v>6006</v>
      </c>
      <c r="C2190" s="20"/>
      <c r="D2190">
        <f>koronahun!T2028</f>
        <v>0</v>
      </c>
      <c r="E2190" s="56" t="s">
        <v>19</v>
      </c>
      <c r="F2190" s="56" t="s">
        <v>19</v>
      </c>
    </row>
    <row r="2191" spans="1:6" ht="13">
      <c r="A2191" s="16">
        <v>360</v>
      </c>
      <c r="B2191" s="20">
        <v>6003</v>
      </c>
      <c r="C2191" s="20"/>
      <c r="D2191">
        <f>koronahun!T2029</f>
        <v>0</v>
      </c>
      <c r="E2191" s="56" t="s">
        <v>19</v>
      </c>
      <c r="F2191" s="56" t="s">
        <v>19</v>
      </c>
    </row>
    <row r="2192" spans="1:6" ht="13">
      <c r="A2192" s="16">
        <v>361</v>
      </c>
      <c r="B2192" s="20">
        <v>6072</v>
      </c>
      <c r="C2192" s="20">
        <v>4063</v>
      </c>
      <c r="D2192">
        <f>koronahun!T2030</f>
        <v>0</v>
      </c>
      <c r="E2192" s="56" t="s">
        <v>19</v>
      </c>
      <c r="F2192" s="56" t="s">
        <v>19</v>
      </c>
    </row>
    <row r="2193" spans="1:6" ht="13">
      <c r="A2193" s="16">
        <v>362</v>
      </c>
      <c r="B2193" s="20">
        <v>6261</v>
      </c>
      <c r="C2193" s="20">
        <v>4019</v>
      </c>
      <c r="D2193">
        <f>koronahun!T2031</f>
        <v>0</v>
      </c>
      <c r="E2193" s="56" t="s">
        <v>19</v>
      </c>
      <c r="F2193" s="56" t="s">
        <v>19</v>
      </c>
    </row>
    <row r="2194" spans="1:6" ht="13">
      <c r="A2194" s="16">
        <v>363</v>
      </c>
      <c r="B2194" s="20">
        <v>6298</v>
      </c>
      <c r="C2194" s="20">
        <v>3854</v>
      </c>
      <c r="D2194">
        <f>koronahun!T2032</f>
        <v>0</v>
      </c>
      <c r="E2194" s="56" t="s">
        <v>19</v>
      </c>
      <c r="F2194" s="56" t="s">
        <v>19</v>
      </c>
    </row>
    <row r="2195" spans="1:6" ht="13">
      <c r="A2195" s="16">
        <v>364</v>
      </c>
      <c r="B2195" s="20">
        <v>6155</v>
      </c>
      <c r="C2195" s="20">
        <v>3697</v>
      </c>
      <c r="D2195">
        <f>koronahun!T2033</f>
        <v>0</v>
      </c>
      <c r="E2195" s="56" t="s">
        <v>19</v>
      </c>
      <c r="F2195" s="56" t="s">
        <v>19</v>
      </c>
    </row>
    <row r="2196" spans="1:6" ht="13">
      <c r="A2196" s="16">
        <v>365</v>
      </c>
      <c r="B2196" s="20">
        <v>5856</v>
      </c>
      <c r="C2196" s="20">
        <v>3492</v>
      </c>
      <c r="D2196">
        <f>koronahun!T2034</f>
        <v>0</v>
      </c>
      <c r="E2196" s="56" t="s">
        <v>19</v>
      </c>
      <c r="F2196" s="56" t="s">
        <v>19</v>
      </c>
    </row>
    <row r="2197" spans="1:6" ht="13">
      <c r="A2197" s="16">
        <v>366</v>
      </c>
      <c r="D2197">
        <f>koronahun!T2035</f>
        <v>0</v>
      </c>
      <c r="E2197" s="56" t="s">
        <v>19</v>
      </c>
      <c r="F2197" s="56" t="s">
        <v>19</v>
      </c>
    </row>
    <row r="2198" spans="1:6" ht="13">
      <c r="A2198" s="16">
        <v>1</v>
      </c>
      <c r="B2198" s="16" t="s">
        <v>73</v>
      </c>
      <c r="C2198" s="20">
        <v>401</v>
      </c>
      <c r="D2198">
        <f>koronahun!U670</f>
        <v>0</v>
      </c>
      <c r="E2198" s="56" t="s">
        <v>20</v>
      </c>
      <c r="F2198" s="56" t="s">
        <v>20</v>
      </c>
    </row>
    <row r="2199" spans="1:6" ht="13">
      <c r="A2199" s="16">
        <v>2</v>
      </c>
      <c r="C2199" s="20">
        <v>402</v>
      </c>
      <c r="D2199">
        <f>koronahun!U671</f>
        <v>0</v>
      </c>
      <c r="E2199" s="56" t="s">
        <v>20</v>
      </c>
      <c r="F2199" s="56" t="s">
        <v>20</v>
      </c>
    </row>
    <row r="2200" spans="1:6" ht="13">
      <c r="A2200" s="16">
        <v>3</v>
      </c>
      <c r="C2200" s="20">
        <v>403</v>
      </c>
      <c r="D2200">
        <f>koronahun!U672</f>
        <v>318</v>
      </c>
      <c r="E2200" s="56" t="s">
        <v>20</v>
      </c>
      <c r="F2200" s="56" t="s">
        <v>20</v>
      </c>
    </row>
    <row r="2201" spans="1:6" ht="13">
      <c r="A2201" s="16">
        <v>4</v>
      </c>
      <c r="C2201" s="20">
        <v>400</v>
      </c>
      <c r="D2201">
        <f>koronahun!U673</f>
        <v>316</v>
      </c>
      <c r="E2201" s="56" t="s">
        <v>20</v>
      </c>
      <c r="F2201" s="56" t="s">
        <v>20</v>
      </c>
    </row>
    <row r="2202" spans="1:6" ht="13">
      <c r="A2202" s="16">
        <v>5</v>
      </c>
      <c r="C2202" s="20">
        <v>394</v>
      </c>
      <c r="D2202">
        <f>koronahun!U674</f>
        <v>307</v>
      </c>
      <c r="E2202" s="56" t="s">
        <v>20</v>
      </c>
      <c r="F2202" s="56" t="s">
        <v>20</v>
      </c>
    </row>
    <row r="2203" spans="1:6" ht="13">
      <c r="A2203" s="16">
        <v>6</v>
      </c>
      <c r="C2203" s="20">
        <v>396</v>
      </c>
      <c r="D2203">
        <f>koronahun!U675</f>
        <v>307</v>
      </c>
      <c r="E2203" s="56" t="s">
        <v>20</v>
      </c>
      <c r="F2203" s="56" t="s">
        <v>20</v>
      </c>
    </row>
    <row r="2204" spans="1:6" ht="13">
      <c r="A2204" s="16">
        <v>7</v>
      </c>
      <c r="C2204" s="20">
        <v>367</v>
      </c>
      <c r="D2204">
        <f>koronahun!U676</f>
        <v>291</v>
      </c>
      <c r="E2204" s="56" t="s">
        <v>20</v>
      </c>
      <c r="F2204" s="56" t="s">
        <v>20</v>
      </c>
    </row>
    <row r="2205" spans="1:6" ht="13">
      <c r="A2205" s="16">
        <v>8</v>
      </c>
      <c r="C2205" s="20">
        <v>372</v>
      </c>
      <c r="D2205">
        <f>koronahun!U677</f>
        <v>0</v>
      </c>
      <c r="E2205" s="56" t="s">
        <v>20</v>
      </c>
      <c r="F2205" s="56" t="s">
        <v>20</v>
      </c>
    </row>
    <row r="2206" spans="1:6" ht="13">
      <c r="A2206" s="16">
        <v>9</v>
      </c>
      <c r="C2206" s="20">
        <v>365</v>
      </c>
      <c r="D2206">
        <f>koronahun!U678</f>
        <v>0</v>
      </c>
      <c r="E2206" s="56" t="s">
        <v>20</v>
      </c>
      <c r="F2206" s="56" t="s">
        <v>20</v>
      </c>
    </row>
    <row r="2207" spans="1:6" ht="13">
      <c r="A2207" s="16">
        <v>10</v>
      </c>
      <c r="C2207" s="20">
        <v>357</v>
      </c>
      <c r="D2207">
        <f>koronahun!U679</f>
        <v>281</v>
      </c>
      <c r="E2207" s="56" t="s">
        <v>20</v>
      </c>
      <c r="F2207" s="56" t="s">
        <v>20</v>
      </c>
    </row>
    <row r="2208" spans="1:6" ht="13">
      <c r="A2208" s="16">
        <v>11</v>
      </c>
      <c r="C2208" s="20">
        <v>367</v>
      </c>
      <c r="D2208">
        <f>koronahun!U680</f>
        <v>274</v>
      </c>
      <c r="E2208" s="56" t="s">
        <v>20</v>
      </c>
      <c r="F2208" s="56" t="s">
        <v>20</v>
      </c>
    </row>
    <row r="2209" spans="1:6" ht="13">
      <c r="A2209" s="16">
        <v>12</v>
      </c>
      <c r="C2209" s="20">
        <v>356</v>
      </c>
      <c r="D2209">
        <f>koronahun!U681</f>
        <v>257</v>
      </c>
      <c r="E2209" s="56" t="s">
        <v>20</v>
      </c>
      <c r="F2209" s="56" t="s">
        <v>20</v>
      </c>
    </row>
    <row r="2210" spans="1:6" ht="13">
      <c r="A2210" s="16">
        <v>13</v>
      </c>
      <c r="C2210" s="20">
        <v>339</v>
      </c>
      <c r="D2210">
        <f>koronahun!U682</f>
        <v>249</v>
      </c>
      <c r="E2210" s="56" t="s">
        <v>20</v>
      </c>
      <c r="F2210" s="56" t="s">
        <v>20</v>
      </c>
    </row>
    <row r="2211" spans="1:6" ht="13">
      <c r="A2211" s="16">
        <v>14</v>
      </c>
      <c r="C2211" s="20">
        <v>344</v>
      </c>
      <c r="D2211">
        <f>koronahun!U683</f>
        <v>243</v>
      </c>
      <c r="E2211" s="56" t="s">
        <v>20</v>
      </c>
      <c r="F2211" s="56" t="s">
        <v>20</v>
      </c>
    </row>
    <row r="2212" spans="1:6" ht="13">
      <c r="A2212" s="16">
        <v>15</v>
      </c>
      <c r="C2212" s="20">
        <v>337</v>
      </c>
      <c r="D2212">
        <f>koronahun!U684</f>
        <v>0</v>
      </c>
      <c r="E2212" s="56" t="s">
        <v>20</v>
      </c>
      <c r="F2212" s="56" t="s">
        <v>20</v>
      </c>
    </row>
    <row r="2213" spans="1:6" ht="13">
      <c r="A2213" s="16">
        <v>16</v>
      </c>
      <c r="C2213" s="20">
        <v>328</v>
      </c>
      <c r="D2213">
        <f>koronahun!U685</f>
        <v>0</v>
      </c>
      <c r="E2213" s="56" t="s">
        <v>20</v>
      </c>
      <c r="F2213" s="56" t="s">
        <v>20</v>
      </c>
    </row>
    <row r="2214" spans="1:6" ht="13">
      <c r="A2214" s="16">
        <v>17</v>
      </c>
      <c r="C2214" s="20">
        <v>329</v>
      </c>
      <c r="D2214">
        <f>koronahun!U686</f>
        <v>228</v>
      </c>
      <c r="E2214" s="56" t="s">
        <v>20</v>
      </c>
      <c r="F2214" s="56" t="s">
        <v>20</v>
      </c>
    </row>
    <row r="2215" spans="1:6" ht="13">
      <c r="A2215" s="16">
        <v>18</v>
      </c>
      <c r="C2215" s="20">
        <v>330</v>
      </c>
      <c r="D2215">
        <f>koronahun!U687</f>
        <v>217</v>
      </c>
      <c r="E2215" s="56" t="s">
        <v>20</v>
      </c>
      <c r="F2215" s="56" t="s">
        <v>20</v>
      </c>
    </row>
    <row r="2216" spans="1:6" ht="13">
      <c r="A2216" s="16">
        <v>19</v>
      </c>
      <c r="C2216" s="20">
        <v>309</v>
      </c>
      <c r="D2216">
        <f>koronahun!U688</f>
        <v>208</v>
      </c>
      <c r="E2216" s="56" t="s">
        <v>20</v>
      </c>
      <c r="F2216" s="56" t="s">
        <v>20</v>
      </c>
    </row>
    <row r="2217" spans="1:6" ht="13">
      <c r="A2217" s="16">
        <v>20</v>
      </c>
      <c r="C2217" s="20">
        <v>294</v>
      </c>
      <c r="D2217">
        <f>koronahun!U689</f>
        <v>202</v>
      </c>
      <c r="E2217" s="56" t="s">
        <v>20</v>
      </c>
      <c r="F2217" s="56" t="s">
        <v>20</v>
      </c>
    </row>
    <row r="2218" spans="1:6" ht="13">
      <c r="A2218" s="16">
        <v>21</v>
      </c>
      <c r="C2218" s="20">
        <v>286</v>
      </c>
      <c r="D2218">
        <f>koronahun!U690</f>
        <v>201</v>
      </c>
      <c r="E2218" s="56" t="s">
        <v>20</v>
      </c>
      <c r="F2218" s="56" t="s">
        <v>20</v>
      </c>
    </row>
    <row r="2219" spans="1:6" ht="13">
      <c r="A2219" s="16">
        <v>22</v>
      </c>
      <c r="C2219" s="20">
        <v>274</v>
      </c>
      <c r="D2219">
        <f>koronahun!U691</f>
        <v>0</v>
      </c>
      <c r="E2219" s="56" t="s">
        <v>20</v>
      </c>
      <c r="F2219" s="56" t="s">
        <v>20</v>
      </c>
    </row>
    <row r="2220" spans="1:6" ht="13">
      <c r="A2220" s="16">
        <v>23</v>
      </c>
      <c r="C2220" s="20">
        <v>259</v>
      </c>
      <c r="D2220">
        <f>koronahun!U692</f>
        <v>0</v>
      </c>
      <c r="E2220" s="56" t="s">
        <v>20</v>
      </c>
      <c r="F2220" s="56" t="s">
        <v>20</v>
      </c>
    </row>
    <row r="2221" spans="1:6" ht="13">
      <c r="A2221" s="16">
        <v>24</v>
      </c>
      <c r="C2221" s="20">
        <v>254</v>
      </c>
      <c r="D2221">
        <f>koronahun!U693</f>
        <v>176</v>
      </c>
      <c r="E2221" s="56" t="s">
        <v>20</v>
      </c>
      <c r="F2221" s="56" t="s">
        <v>20</v>
      </c>
    </row>
    <row r="2222" spans="1:6" ht="13">
      <c r="A2222" s="16">
        <v>25</v>
      </c>
      <c r="C2222" s="20">
        <v>247</v>
      </c>
      <c r="D2222">
        <f>koronahun!U694</f>
        <v>177</v>
      </c>
      <c r="E2222" s="56" t="s">
        <v>20</v>
      </c>
      <c r="F2222" s="56" t="s">
        <v>20</v>
      </c>
    </row>
    <row r="2223" spans="1:6" ht="13">
      <c r="A2223" s="16">
        <v>26</v>
      </c>
      <c r="C2223" s="20">
        <v>263</v>
      </c>
      <c r="D2223">
        <f>koronahun!U695</f>
        <v>164</v>
      </c>
      <c r="E2223" s="56" t="s">
        <v>20</v>
      </c>
      <c r="F2223" s="56" t="s">
        <v>20</v>
      </c>
    </row>
    <row r="2224" spans="1:6" ht="13">
      <c r="A2224" s="16">
        <v>27</v>
      </c>
      <c r="C2224" s="20">
        <v>255</v>
      </c>
      <c r="D2224">
        <f>koronahun!U696</f>
        <v>157</v>
      </c>
      <c r="E2224" s="56" t="s">
        <v>20</v>
      </c>
      <c r="F2224" s="56" t="s">
        <v>20</v>
      </c>
    </row>
    <row r="2225" spans="1:6" ht="13">
      <c r="A2225" s="16">
        <v>28</v>
      </c>
      <c r="C2225" s="20">
        <v>255</v>
      </c>
      <c r="D2225">
        <f>koronahun!U697</f>
        <v>145</v>
      </c>
      <c r="E2225" s="56" t="s">
        <v>20</v>
      </c>
      <c r="F2225" s="56" t="s">
        <v>20</v>
      </c>
    </row>
    <row r="2226" spans="1:6" ht="13">
      <c r="A2226" s="16">
        <v>29</v>
      </c>
      <c r="C2226" s="20">
        <v>258</v>
      </c>
      <c r="D2226">
        <f>koronahun!U698</f>
        <v>0</v>
      </c>
      <c r="E2226" s="56" t="s">
        <v>20</v>
      </c>
      <c r="F2226" s="56" t="s">
        <v>20</v>
      </c>
    </row>
    <row r="2227" spans="1:6" ht="13">
      <c r="A2227" s="16">
        <v>30</v>
      </c>
      <c r="C2227" s="20">
        <v>264</v>
      </c>
      <c r="D2227">
        <f>koronahun!U699</f>
        <v>0</v>
      </c>
      <c r="E2227" s="56" t="s">
        <v>20</v>
      </c>
      <c r="F2227" s="56" t="s">
        <v>20</v>
      </c>
    </row>
    <row r="2228" spans="1:6" ht="13">
      <c r="A2228" s="16">
        <v>31</v>
      </c>
      <c r="C2228" s="20">
        <v>268</v>
      </c>
      <c r="D2228">
        <f>koronahun!U700</f>
        <v>150</v>
      </c>
      <c r="E2228" s="56" t="s">
        <v>20</v>
      </c>
      <c r="F2228" s="56" t="s">
        <v>20</v>
      </c>
    </row>
    <row r="2229" spans="1:6" ht="13">
      <c r="A2229" s="16">
        <v>32</v>
      </c>
      <c r="C2229" s="20">
        <v>273</v>
      </c>
      <c r="D2229">
        <f>koronahun!U701</f>
        <v>169</v>
      </c>
      <c r="E2229" s="56" t="s">
        <v>20</v>
      </c>
      <c r="F2229" s="56" t="s">
        <v>20</v>
      </c>
    </row>
    <row r="2230" spans="1:6" ht="13">
      <c r="A2230" s="16">
        <v>33</v>
      </c>
      <c r="C2230" s="20">
        <v>272</v>
      </c>
      <c r="D2230">
        <f>koronahun!U702</f>
        <v>163</v>
      </c>
      <c r="E2230" s="56" t="s">
        <v>20</v>
      </c>
      <c r="F2230" s="56" t="s">
        <v>20</v>
      </c>
    </row>
    <row r="2231" spans="1:6" ht="13">
      <c r="A2231" s="16">
        <v>34</v>
      </c>
      <c r="C2231" s="20">
        <v>269</v>
      </c>
      <c r="D2231">
        <f>koronahun!U703</f>
        <v>163</v>
      </c>
      <c r="E2231" s="56" t="s">
        <v>20</v>
      </c>
      <c r="F2231" s="56" t="s">
        <v>20</v>
      </c>
    </row>
    <row r="2232" spans="1:6" ht="13">
      <c r="A2232" s="16">
        <v>35</v>
      </c>
      <c r="C2232" s="20">
        <v>289</v>
      </c>
      <c r="D2232">
        <f>koronahun!U704</f>
        <v>168</v>
      </c>
      <c r="E2232" s="56" t="s">
        <v>20</v>
      </c>
      <c r="F2232" s="56" t="s">
        <v>20</v>
      </c>
    </row>
    <row r="2233" spans="1:6" ht="13">
      <c r="A2233" s="16">
        <v>36</v>
      </c>
      <c r="C2233" s="20">
        <v>302</v>
      </c>
      <c r="D2233">
        <f>koronahun!U705</f>
        <v>0</v>
      </c>
      <c r="E2233" s="56" t="s">
        <v>20</v>
      </c>
      <c r="F2233" s="56" t="s">
        <v>20</v>
      </c>
    </row>
    <row r="2234" spans="1:6" ht="13">
      <c r="A2234" s="16">
        <v>37</v>
      </c>
      <c r="C2234" s="20">
        <v>298</v>
      </c>
      <c r="D2234">
        <f>koronahun!U706</f>
        <v>0</v>
      </c>
      <c r="E2234" s="56" t="s">
        <v>20</v>
      </c>
      <c r="F2234" s="56" t="s">
        <v>20</v>
      </c>
    </row>
    <row r="2235" spans="1:6" ht="13">
      <c r="A2235" s="16">
        <v>38</v>
      </c>
      <c r="C2235" s="20">
        <v>291</v>
      </c>
      <c r="D2235">
        <f>koronahun!U707</f>
        <v>168</v>
      </c>
      <c r="E2235" s="56" t="s">
        <v>20</v>
      </c>
      <c r="F2235" s="56" t="s">
        <v>20</v>
      </c>
    </row>
    <row r="2236" spans="1:6" ht="13">
      <c r="A2236" s="16">
        <v>39</v>
      </c>
      <c r="C2236" s="20">
        <v>295</v>
      </c>
      <c r="D2236">
        <f>koronahun!U708</f>
        <v>176</v>
      </c>
      <c r="E2236" s="56" t="s">
        <v>20</v>
      </c>
      <c r="F2236" s="56" t="s">
        <v>20</v>
      </c>
    </row>
    <row r="2237" spans="1:6" ht="13">
      <c r="A2237" s="16">
        <v>40</v>
      </c>
      <c r="C2237" s="20">
        <v>304</v>
      </c>
      <c r="D2237">
        <f>koronahun!U709</f>
        <v>193</v>
      </c>
      <c r="E2237" s="56" t="s">
        <v>20</v>
      </c>
      <c r="F2237" s="56" t="s">
        <v>20</v>
      </c>
    </row>
    <row r="2238" spans="1:6" ht="13">
      <c r="A2238" s="16">
        <v>41</v>
      </c>
      <c r="C2238" s="20">
        <v>296</v>
      </c>
      <c r="D2238">
        <f>koronahun!U710</f>
        <v>198</v>
      </c>
      <c r="E2238" s="56" t="s">
        <v>20</v>
      </c>
      <c r="F2238" s="56" t="s">
        <v>20</v>
      </c>
    </row>
    <row r="2239" spans="1:6" ht="13">
      <c r="A2239" s="16">
        <v>42</v>
      </c>
      <c r="C2239" s="20">
        <v>299</v>
      </c>
      <c r="D2239">
        <f>koronahun!U711</f>
        <v>209</v>
      </c>
      <c r="E2239" s="56" t="s">
        <v>20</v>
      </c>
      <c r="F2239" s="56" t="s">
        <v>20</v>
      </c>
    </row>
    <row r="2240" spans="1:6" ht="13">
      <c r="A2240" s="16">
        <v>43</v>
      </c>
      <c r="C2240" s="20">
        <v>299</v>
      </c>
      <c r="D2240">
        <f>koronahun!U712</f>
        <v>0</v>
      </c>
      <c r="E2240" s="56" t="s">
        <v>20</v>
      </c>
      <c r="F2240" s="56" t="s">
        <v>20</v>
      </c>
    </row>
    <row r="2241" spans="1:6" ht="13">
      <c r="A2241" s="16">
        <v>44</v>
      </c>
      <c r="C2241" s="20">
        <v>299</v>
      </c>
      <c r="D2241">
        <f>koronahun!U713</f>
        <v>0</v>
      </c>
      <c r="E2241" s="56" t="s">
        <v>20</v>
      </c>
      <c r="F2241" s="56" t="s">
        <v>20</v>
      </c>
    </row>
    <row r="2242" spans="1:6" ht="13">
      <c r="A2242" s="16">
        <v>45</v>
      </c>
      <c r="C2242" s="20">
        <v>312</v>
      </c>
      <c r="D2242">
        <f>koronahun!U714</f>
        <v>199</v>
      </c>
      <c r="E2242" s="56" t="s">
        <v>20</v>
      </c>
      <c r="F2242" s="56" t="s">
        <v>20</v>
      </c>
    </row>
    <row r="2243" spans="1:6" ht="13">
      <c r="A2243" s="16">
        <v>46</v>
      </c>
      <c r="C2243" s="20">
        <v>314</v>
      </c>
      <c r="D2243">
        <f>koronahun!U715</f>
        <v>211</v>
      </c>
      <c r="E2243" s="56" t="s">
        <v>20</v>
      </c>
      <c r="F2243" s="56" t="s">
        <v>20</v>
      </c>
    </row>
    <row r="2244" spans="1:6" ht="13">
      <c r="A2244" s="16">
        <v>47</v>
      </c>
      <c r="C2244" s="20">
        <v>318</v>
      </c>
      <c r="D2244">
        <f>koronahun!U716</f>
        <v>203</v>
      </c>
      <c r="E2244" s="56" t="s">
        <v>20</v>
      </c>
      <c r="F2244" s="56" t="s">
        <v>20</v>
      </c>
    </row>
    <row r="2245" spans="1:6" ht="13">
      <c r="A2245" s="16">
        <v>48</v>
      </c>
      <c r="C2245" s="20">
        <v>321</v>
      </c>
      <c r="D2245">
        <f>koronahun!U717</f>
        <v>206</v>
      </c>
      <c r="E2245" s="56" t="s">
        <v>20</v>
      </c>
      <c r="F2245" s="56" t="s">
        <v>20</v>
      </c>
    </row>
    <row r="2246" spans="1:6" ht="13">
      <c r="A2246" s="16">
        <v>49</v>
      </c>
      <c r="C2246" s="20">
        <v>332</v>
      </c>
      <c r="D2246">
        <f>koronahun!U718</f>
        <v>201</v>
      </c>
      <c r="E2246" s="56" t="s">
        <v>20</v>
      </c>
      <c r="F2246" s="56" t="s">
        <v>20</v>
      </c>
    </row>
    <row r="2247" spans="1:6" ht="13">
      <c r="A2247" s="16">
        <v>50</v>
      </c>
      <c r="C2247" s="20">
        <v>352</v>
      </c>
      <c r="D2247">
        <f>koronahun!U719</f>
        <v>0</v>
      </c>
      <c r="E2247" s="56" t="s">
        <v>20</v>
      </c>
      <c r="F2247" s="56" t="s">
        <v>20</v>
      </c>
    </row>
    <row r="2248" spans="1:6" ht="13">
      <c r="A2248" s="16">
        <v>51</v>
      </c>
      <c r="C2248" s="20">
        <v>351</v>
      </c>
      <c r="D2248">
        <f>koronahun!U720</f>
        <v>0</v>
      </c>
      <c r="E2248" s="56" t="s">
        <v>20</v>
      </c>
      <c r="F2248" s="56" t="s">
        <v>20</v>
      </c>
    </row>
    <row r="2249" spans="1:6" ht="13">
      <c r="A2249" s="16">
        <v>52</v>
      </c>
      <c r="C2249" s="20">
        <v>366</v>
      </c>
      <c r="D2249">
        <f>koronahun!U721</f>
        <v>176</v>
      </c>
      <c r="E2249" s="56" t="s">
        <v>20</v>
      </c>
      <c r="F2249" s="56" t="s">
        <v>20</v>
      </c>
    </row>
    <row r="2250" spans="1:6" ht="13">
      <c r="A2250" s="16">
        <v>53</v>
      </c>
      <c r="C2250" s="20">
        <v>394</v>
      </c>
      <c r="D2250">
        <f>koronahun!U722</f>
        <v>177</v>
      </c>
      <c r="E2250" s="56" t="s">
        <v>20</v>
      </c>
      <c r="F2250" s="56" t="s">
        <v>20</v>
      </c>
    </row>
    <row r="2251" spans="1:6" ht="13">
      <c r="A2251" s="16">
        <v>54</v>
      </c>
      <c r="C2251" s="20">
        <v>396</v>
      </c>
      <c r="D2251">
        <f>koronahun!U723</f>
        <v>170</v>
      </c>
      <c r="E2251" s="56" t="s">
        <v>20</v>
      </c>
      <c r="F2251" s="56" t="s">
        <v>20</v>
      </c>
    </row>
    <row r="2252" spans="1:6" ht="13">
      <c r="A2252" s="16">
        <v>55</v>
      </c>
      <c r="C2252" s="20">
        <v>407</v>
      </c>
      <c r="D2252">
        <f>koronahun!U724</f>
        <v>165</v>
      </c>
      <c r="E2252" s="56" t="s">
        <v>20</v>
      </c>
      <c r="F2252" s="56" t="s">
        <v>20</v>
      </c>
    </row>
    <row r="2253" spans="1:6" ht="13">
      <c r="A2253" s="16">
        <v>56</v>
      </c>
      <c r="C2253" s="20">
        <v>411</v>
      </c>
      <c r="D2253">
        <f>koronahun!U725</f>
        <v>148</v>
      </c>
      <c r="E2253" s="56" t="s">
        <v>20</v>
      </c>
      <c r="F2253" s="56" t="s">
        <v>20</v>
      </c>
    </row>
    <row r="2254" spans="1:6" ht="13">
      <c r="A2254" s="16">
        <v>57</v>
      </c>
      <c r="C2254" s="20">
        <v>451</v>
      </c>
      <c r="D2254">
        <f>koronahun!U726</f>
        <v>0</v>
      </c>
      <c r="E2254" s="56" t="s">
        <v>20</v>
      </c>
      <c r="F2254" s="56" t="s">
        <v>20</v>
      </c>
    </row>
    <row r="2255" spans="1:6" ht="13">
      <c r="A2255" s="16">
        <v>58</v>
      </c>
      <c r="C2255" s="20">
        <v>482</v>
      </c>
      <c r="D2255">
        <f>koronahun!U727</f>
        <v>0</v>
      </c>
      <c r="E2255" s="56" t="s">
        <v>20</v>
      </c>
      <c r="F2255" s="56" t="s">
        <v>20</v>
      </c>
    </row>
    <row r="2256" spans="1:6" ht="13">
      <c r="A2256" s="16">
        <v>59</v>
      </c>
      <c r="C2256" s="20">
        <v>524</v>
      </c>
      <c r="D2256">
        <f>koronahun!U728</f>
        <v>132</v>
      </c>
      <c r="E2256" s="56" t="s">
        <v>20</v>
      </c>
      <c r="F2256" s="56" t="s">
        <v>20</v>
      </c>
    </row>
    <row r="2257" spans="1:6" ht="13">
      <c r="A2257" s="16">
        <v>60</v>
      </c>
      <c r="C2257" s="20">
        <v>537</v>
      </c>
      <c r="D2257">
        <f>koronahun!U729</f>
        <v>136</v>
      </c>
      <c r="E2257" s="56" t="s">
        <v>20</v>
      </c>
      <c r="F2257" s="56" t="s">
        <v>20</v>
      </c>
    </row>
    <row r="2258" spans="1:6" ht="13">
      <c r="A2258" s="16">
        <v>61</v>
      </c>
      <c r="C2258" s="20">
        <v>581</v>
      </c>
      <c r="D2258">
        <f>koronahun!U730</f>
        <v>133</v>
      </c>
      <c r="E2258" s="56" t="s">
        <v>20</v>
      </c>
      <c r="F2258" s="56" t="s">
        <v>20</v>
      </c>
    </row>
    <row r="2259" spans="1:6" ht="13">
      <c r="A2259" s="16">
        <v>62</v>
      </c>
      <c r="C2259" s="20">
        <v>622</v>
      </c>
      <c r="D2259">
        <f>koronahun!U731</f>
        <v>126</v>
      </c>
      <c r="E2259" s="56" t="s">
        <v>20</v>
      </c>
      <c r="F2259" s="56" t="s">
        <v>20</v>
      </c>
    </row>
    <row r="2260" spans="1:6" ht="13">
      <c r="A2260" s="16">
        <v>63</v>
      </c>
      <c r="C2260" s="20">
        <v>639</v>
      </c>
      <c r="D2260">
        <f>koronahun!U732</f>
        <v>127</v>
      </c>
      <c r="E2260" s="56" t="s">
        <v>20</v>
      </c>
      <c r="F2260" s="56" t="s">
        <v>20</v>
      </c>
    </row>
    <row r="2261" spans="1:6" ht="13">
      <c r="A2261" s="16">
        <v>64</v>
      </c>
      <c r="C2261" s="20">
        <v>677</v>
      </c>
      <c r="D2261">
        <f>koronahun!U733</f>
        <v>0</v>
      </c>
      <c r="E2261" s="56" t="s">
        <v>20</v>
      </c>
      <c r="F2261" s="56" t="s">
        <v>20</v>
      </c>
    </row>
    <row r="2262" spans="1:6" ht="13">
      <c r="A2262" s="16">
        <v>65</v>
      </c>
      <c r="C2262" s="20">
        <v>751</v>
      </c>
      <c r="D2262">
        <f>koronahun!U734</f>
        <v>0</v>
      </c>
      <c r="E2262" s="56" t="s">
        <v>20</v>
      </c>
      <c r="F2262" s="56" t="s">
        <v>20</v>
      </c>
    </row>
    <row r="2263" spans="1:6" ht="13">
      <c r="A2263" s="16">
        <v>66</v>
      </c>
      <c r="C2263" s="20">
        <v>778</v>
      </c>
      <c r="D2263">
        <f>koronahun!U735</f>
        <v>117</v>
      </c>
      <c r="E2263" s="56" t="s">
        <v>20</v>
      </c>
      <c r="F2263" s="56" t="s">
        <v>20</v>
      </c>
    </row>
    <row r="2264" spans="1:6" ht="13">
      <c r="A2264" s="16">
        <v>67</v>
      </c>
      <c r="C2264" s="20">
        <v>806</v>
      </c>
      <c r="D2264">
        <f>koronahun!U736</f>
        <v>114</v>
      </c>
      <c r="E2264" s="56" t="s">
        <v>20</v>
      </c>
      <c r="F2264" s="56" t="s">
        <v>20</v>
      </c>
    </row>
    <row r="2265" spans="1:6" ht="13">
      <c r="A2265" s="16">
        <v>68</v>
      </c>
      <c r="C2265" s="20">
        <v>833</v>
      </c>
      <c r="D2265">
        <f>koronahun!U737</f>
        <v>118</v>
      </c>
      <c r="E2265" s="56" t="s">
        <v>20</v>
      </c>
      <c r="F2265" s="56" t="s">
        <v>20</v>
      </c>
    </row>
    <row r="2266" spans="1:6" ht="13">
      <c r="A2266" s="16">
        <v>69</v>
      </c>
      <c r="C2266" s="20">
        <v>844</v>
      </c>
      <c r="D2266">
        <f>koronahun!U738</f>
        <v>117</v>
      </c>
      <c r="E2266" s="56" t="s">
        <v>20</v>
      </c>
      <c r="F2266" s="56" t="s">
        <v>20</v>
      </c>
    </row>
    <row r="2267" spans="1:6" ht="13">
      <c r="A2267" s="16">
        <v>70</v>
      </c>
      <c r="C2267" s="20">
        <v>911</v>
      </c>
      <c r="D2267">
        <f>koronahun!U739</f>
        <v>109</v>
      </c>
      <c r="E2267" s="56" t="s">
        <v>20</v>
      </c>
      <c r="F2267" s="56" t="s">
        <v>20</v>
      </c>
    </row>
    <row r="2268" spans="1:6" ht="13">
      <c r="A2268" s="16">
        <v>71</v>
      </c>
      <c r="C2268" s="20">
        <v>949</v>
      </c>
      <c r="D2268">
        <f>koronahun!U740</f>
        <v>0</v>
      </c>
      <c r="E2268" s="56" t="s">
        <v>20</v>
      </c>
      <c r="F2268" s="56" t="s">
        <v>20</v>
      </c>
    </row>
    <row r="2269" spans="1:6" ht="13">
      <c r="A2269" s="16">
        <v>72</v>
      </c>
      <c r="C2269" s="20">
        <v>989</v>
      </c>
      <c r="D2269">
        <f>koronahun!U741</f>
        <v>0</v>
      </c>
      <c r="E2269" s="56" t="s">
        <v>20</v>
      </c>
      <c r="F2269" s="56" t="s">
        <v>20</v>
      </c>
    </row>
    <row r="2270" spans="1:6" ht="13">
      <c r="A2270" s="16">
        <v>73</v>
      </c>
      <c r="C2270" s="20">
        <v>1005</v>
      </c>
      <c r="D2270">
        <f>koronahun!U742</f>
        <v>0</v>
      </c>
      <c r="E2270" s="56" t="s">
        <v>20</v>
      </c>
      <c r="F2270" s="56" t="s">
        <v>20</v>
      </c>
    </row>
    <row r="2271" spans="1:6" ht="13">
      <c r="A2271" s="16">
        <v>74</v>
      </c>
      <c r="C2271" s="20">
        <v>1008</v>
      </c>
      <c r="D2271">
        <f>koronahun!U743</f>
        <v>0</v>
      </c>
      <c r="E2271" s="56" t="s">
        <v>20</v>
      </c>
      <c r="F2271" s="56" t="s">
        <v>20</v>
      </c>
    </row>
    <row r="2272" spans="1:6" ht="13">
      <c r="A2272" s="16">
        <v>75</v>
      </c>
      <c r="C2272" s="20">
        <v>1067</v>
      </c>
      <c r="D2272">
        <f>koronahun!U744</f>
        <v>101</v>
      </c>
      <c r="E2272" s="56" t="s">
        <v>20</v>
      </c>
      <c r="F2272" s="56" t="s">
        <v>20</v>
      </c>
    </row>
    <row r="2273" spans="1:6" ht="13">
      <c r="A2273" s="16">
        <v>76</v>
      </c>
      <c r="C2273" s="20">
        <v>1167</v>
      </c>
      <c r="D2273">
        <f>koronahun!U745</f>
        <v>90</v>
      </c>
      <c r="E2273" s="56" t="s">
        <v>20</v>
      </c>
      <c r="F2273" s="56" t="s">
        <v>20</v>
      </c>
    </row>
    <row r="2274" spans="1:6" ht="13">
      <c r="A2274" s="16">
        <v>77</v>
      </c>
      <c r="C2274" s="20">
        <v>1170</v>
      </c>
      <c r="D2274">
        <f>koronahun!U746</f>
        <v>90</v>
      </c>
      <c r="E2274" s="56" t="s">
        <v>20</v>
      </c>
      <c r="F2274" s="56" t="s">
        <v>20</v>
      </c>
    </row>
    <row r="2275" spans="1:6" ht="13">
      <c r="A2275" s="16">
        <v>78</v>
      </c>
      <c r="C2275" s="20">
        <v>1174</v>
      </c>
      <c r="D2275">
        <f>koronahun!U747</f>
        <v>0</v>
      </c>
      <c r="E2275" s="56" t="s">
        <v>20</v>
      </c>
      <c r="F2275" s="56" t="s">
        <v>20</v>
      </c>
    </row>
    <row r="2276" spans="1:6" ht="13">
      <c r="A2276" s="16">
        <v>79</v>
      </c>
      <c r="C2276" s="20">
        <v>1237</v>
      </c>
      <c r="D2276">
        <f>koronahun!U748</f>
        <v>0</v>
      </c>
      <c r="E2276" s="56" t="s">
        <v>20</v>
      </c>
      <c r="F2276" s="56" t="s">
        <v>20</v>
      </c>
    </row>
    <row r="2277" spans="1:6" ht="13">
      <c r="A2277" s="16">
        <v>80</v>
      </c>
      <c r="C2277" s="20">
        <v>1273</v>
      </c>
      <c r="D2277">
        <f>koronahun!U749</f>
        <v>74</v>
      </c>
      <c r="E2277" s="56" t="s">
        <v>20</v>
      </c>
      <c r="F2277" s="56" t="s">
        <v>20</v>
      </c>
    </row>
    <row r="2278" spans="1:6" ht="13">
      <c r="A2278" s="16">
        <v>81</v>
      </c>
      <c r="C2278" s="20">
        <v>1340</v>
      </c>
      <c r="D2278">
        <f>koronahun!U750</f>
        <v>78</v>
      </c>
      <c r="E2278" s="56" t="s">
        <v>20</v>
      </c>
      <c r="F2278" s="56" t="s">
        <v>20</v>
      </c>
    </row>
    <row r="2279" spans="1:6" ht="13">
      <c r="A2279" s="16">
        <v>82</v>
      </c>
      <c r="C2279" s="20">
        <v>1389</v>
      </c>
      <c r="D2279">
        <f>koronahun!U751</f>
        <v>77</v>
      </c>
      <c r="E2279" s="56" t="s">
        <v>20</v>
      </c>
      <c r="F2279" s="56" t="s">
        <v>20</v>
      </c>
    </row>
    <row r="2280" spans="1:6" ht="13">
      <c r="A2280" s="16">
        <v>83</v>
      </c>
      <c r="C2280" s="20">
        <v>1423</v>
      </c>
      <c r="D2280">
        <f>koronahun!U752</f>
        <v>71</v>
      </c>
      <c r="E2280" s="56" t="s">
        <v>20</v>
      </c>
      <c r="F2280" s="56" t="s">
        <v>20</v>
      </c>
    </row>
    <row r="2281" spans="1:6" ht="13">
      <c r="A2281" s="16">
        <v>84</v>
      </c>
      <c r="C2281" s="20">
        <v>1467</v>
      </c>
      <c r="D2281">
        <f>koronahun!U753</f>
        <v>70</v>
      </c>
      <c r="E2281" s="56" t="s">
        <v>20</v>
      </c>
      <c r="F2281" s="56" t="s">
        <v>20</v>
      </c>
    </row>
    <row r="2282" spans="1:6" ht="13">
      <c r="A2282" s="16">
        <v>85</v>
      </c>
      <c r="C2282" s="20">
        <v>1480</v>
      </c>
      <c r="D2282">
        <f>koronahun!U754</f>
        <v>0</v>
      </c>
      <c r="E2282" s="56" t="s">
        <v>20</v>
      </c>
      <c r="F2282" s="56" t="s">
        <v>20</v>
      </c>
    </row>
    <row r="2283" spans="1:6" ht="13">
      <c r="A2283" s="16">
        <v>86</v>
      </c>
      <c r="C2283" s="20">
        <v>1512</v>
      </c>
      <c r="D2283">
        <f>koronahun!U755</f>
        <v>0</v>
      </c>
      <c r="E2283" s="56" t="s">
        <v>20</v>
      </c>
      <c r="F2283" s="56" t="s">
        <v>20</v>
      </c>
    </row>
    <row r="2284" spans="1:6" ht="13">
      <c r="A2284" s="16">
        <v>87</v>
      </c>
      <c r="C2284" s="20">
        <v>1527</v>
      </c>
      <c r="D2284">
        <f>koronahun!U756</f>
        <v>60</v>
      </c>
      <c r="E2284" s="56" t="s">
        <v>20</v>
      </c>
      <c r="F2284" s="56" t="s">
        <v>20</v>
      </c>
    </row>
    <row r="2285" spans="1:6" ht="13">
      <c r="A2285" s="16">
        <v>88</v>
      </c>
      <c r="C2285" s="20">
        <v>1497</v>
      </c>
      <c r="D2285">
        <f>koronahun!U757</f>
        <v>55</v>
      </c>
      <c r="E2285" s="56" t="s">
        <v>20</v>
      </c>
      <c r="F2285" s="56" t="s">
        <v>20</v>
      </c>
    </row>
    <row r="2286" spans="1:6" ht="13">
      <c r="A2286" s="16">
        <v>89</v>
      </c>
      <c r="C2286" s="20">
        <v>1529</v>
      </c>
      <c r="D2286">
        <f>koronahun!U758</f>
        <v>55</v>
      </c>
      <c r="E2286" s="56" t="s">
        <v>20</v>
      </c>
      <c r="F2286" s="56" t="s">
        <v>20</v>
      </c>
    </row>
    <row r="2287" spans="1:6" ht="13">
      <c r="A2287" s="16">
        <v>90</v>
      </c>
      <c r="C2287" s="20">
        <v>1492</v>
      </c>
      <c r="D2287">
        <f>koronahun!U759</f>
        <v>52</v>
      </c>
      <c r="E2287" s="56" t="s">
        <v>20</v>
      </c>
      <c r="F2287" s="56" t="s">
        <v>20</v>
      </c>
    </row>
    <row r="2288" spans="1:6" ht="13">
      <c r="A2288" s="16">
        <v>91</v>
      </c>
      <c r="C2288" s="20">
        <v>1512</v>
      </c>
      <c r="D2288">
        <f>koronahun!U760</f>
        <v>56</v>
      </c>
      <c r="E2288" s="56" t="s">
        <v>20</v>
      </c>
      <c r="F2288" s="56" t="s">
        <v>20</v>
      </c>
    </row>
    <row r="2289" spans="1:6" ht="13">
      <c r="A2289" s="16">
        <v>92</v>
      </c>
      <c r="C2289" s="20">
        <v>1467</v>
      </c>
      <c r="D2289">
        <f>koronahun!U761</f>
        <v>0</v>
      </c>
      <c r="E2289" s="56" t="s">
        <v>20</v>
      </c>
      <c r="F2289" s="56" t="s">
        <v>20</v>
      </c>
    </row>
    <row r="2290" spans="1:6" ht="13">
      <c r="A2290" s="16">
        <v>93</v>
      </c>
      <c r="C2290" s="20">
        <v>1437</v>
      </c>
      <c r="D2290">
        <f>koronahun!U762</f>
        <v>0</v>
      </c>
      <c r="E2290" s="56" t="s">
        <v>20</v>
      </c>
      <c r="F2290" s="56" t="s">
        <v>20</v>
      </c>
    </row>
    <row r="2291" spans="1:6" ht="13">
      <c r="A2291" s="16">
        <v>94</v>
      </c>
      <c r="C2291" s="20">
        <v>1440</v>
      </c>
      <c r="D2291">
        <f>koronahun!U763</f>
        <v>0</v>
      </c>
      <c r="E2291" s="56" t="s">
        <v>20</v>
      </c>
      <c r="F2291" s="56" t="s">
        <v>20</v>
      </c>
    </row>
    <row r="2292" spans="1:6" ht="13">
      <c r="A2292" s="16">
        <v>95</v>
      </c>
      <c r="C2292" s="20">
        <v>1451</v>
      </c>
      <c r="D2292">
        <f>koronahun!U764</f>
        <v>49</v>
      </c>
      <c r="E2292" s="56" t="s">
        <v>20</v>
      </c>
      <c r="F2292" s="56" t="s">
        <v>20</v>
      </c>
    </row>
    <row r="2293" spans="1:6" ht="13">
      <c r="A2293" s="16">
        <v>96</v>
      </c>
      <c r="C2293" s="20">
        <v>1440</v>
      </c>
      <c r="D2293">
        <f>koronahun!U765</f>
        <v>49</v>
      </c>
      <c r="E2293" s="56" t="s">
        <v>20</v>
      </c>
      <c r="F2293" s="56" t="s">
        <v>20</v>
      </c>
    </row>
    <row r="2294" spans="1:6" ht="13">
      <c r="A2294" s="16">
        <v>97</v>
      </c>
      <c r="C2294" s="20">
        <v>1407</v>
      </c>
      <c r="D2294">
        <f>koronahun!U766</f>
        <v>51</v>
      </c>
      <c r="E2294" s="56" t="s">
        <v>20</v>
      </c>
      <c r="F2294" s="56" t="s">
        <v>20</v>
      </c>
    </row>
    <row r="2295" spans="1:6" ht="13">
      <c r="A2295" s="16">
        <v>98</v>
      </c>
      <c r="C2295" s="20">
        <v>1337</v>
      </c>
      <c r="D2295">
        <f>koronahun!U767</f>
        <v>50</v>
      </c>
      <c r="E2295" s="56" t="s">
        <v>20</v>
      </c>
      <c r="F2295" s="56" t="s">
        <v>20</v>
      </c>
    </row>
    <row r="2296" spans="1:6" ht="13">
      <c r="A2296" s="16">
        <v>99</v>
      </c>
      <c r="C2296" s="20">
        <v>1364</v>
      </c>
      <c r="D2296">
        <f>koronahun!U768</f>
        <v>0</v>
      </c>
      <c r="E2296" s="56" t="s">
        <v>20</v>
      </c>
      <c r="F2296" s="56" t="s">
        <v>20</v>
      </c>
    </row>
    <row r="2297" spans="1:6" ht="13">
      <c r="A2297" s="16">
        <v>100</v>
      </c>
      <c r="C2297" s="20">
        <v>1344</v>
      </c>
      <c r="D2297">
        <f>koronahun!U769</f>
        <v>0</v>
      </c>
      <c r="E2297" s="56" t="s">
        <v>20</v>
      </c>
      <c r="F2297" s="56" t="s">
        <v>20</v>
      </c>
    </row>
    <row r="2298" spans="1:6" ht="13">
      <c r="A2298" s="16">
        <v>101</v>
      </c>
      <c r="C2298" s="20">
        <v>1290</v>
      </c>
      <c r="D2298">
        <f>koronahun!U770</f>
        <v>48</v>
      </c>
      <c r="E2298" s="56" t="s">
        <v>20</v>
      </c>
      <c r="F2298" s="56" t="s">
        <v>20</v>
      </c>
    </row>
    <row r="2299" spans="1:6" ht="13">
      <c r="A2299" s="16">
        <v>102</v>
      </c>
      <c r="C2299" s="20">
        <v>1249</v>
      </c>
      <c r="D2299">
        <f>koronahun!U771</f>
        <v>51</v>
      </c>
      <c r="E2299" s="56" t="s">
        <v>20</v>
      </c>
      <c r="F2299" s="56" t="s">
        <v>20</v>
      </c>
    </row>
    <row r="2300" spans="1:6" ht="13">
      <c r="A2300" s="16">
        <v>103</v>
      </c>
      <c r="C2300" s="20">
        <v>1209</v>
      </c>
      <c r="D2300">
        <f>koronahun!U772</f>
        <v>47</v>
      </c>
      <c r="E2300" s="56" t="s">
        <v>20</v>
      </c>
      <c r="F2300" s="56" t="s">
        <v>20</v>
      </c>
    </row>
    <row r="2301" spans="1:6" ht="13">
      <c r="A2301" s="16">
        <v>104</v>
      </c>
      <c r="C2301" s="20">
        <v>1204</v>
      </c>
      <c r="D2301">
        <f>koronahun!U773</f>
        <v>50</v>
      </c>
      <c r="E2301" s="56" t="s">
        <v>20</v>
      </c>
      <c r="F2301" s="56" t="s">
        <v>20</v>
      </c>
    </row>
    <row r="2302" spans="1:6" ht="13">
      <c r="A2302" s="16">
        <v>105</v>
      </c>
      <c r="C2302" s="20">
        <v>1156</v>
      </c>
      <c r="D2302">
        <f>koronahun!U774</f>
        <v>0</v>
      </c>
      <c r="E2302" s="56" t="s">
        <v>20</v>
      </c>
      <c r="F2302" s="56" t="s">
        <v>20</v>
      </c>
    </row>
    <row r="2303" spans="1:6" ht="13">
      <c r="A2303" s="16">
        <v>106</v>
      </c>
      <c r="B2303" s="16">
        <v>60</v>
      </c>
      <c r="C2303" s="20">
        <v>1117</v>
      </c>
      <c r="D2303">
        <f>koronahun!U775</f>
        <v>0</v>
      </c>
      <c r="E2303" s="56" t="s">
        <v>20</v>
      </c>
      <c r="F2303" s="56" t="s">
        <v>20</v>
      </c>
    </row>
    <row r="2304" spans="1:6" ht="13">
      <c r="A2304" s="16">
        <v>107</v>
      </c>
      <c r="B2304" s="16">
        <v>63</v>
      </c>
      <c r="C2304" s="20">
        <v>1093</v>
      </c>
      <c r="D2304">
        <f>koronahun!U776</f>
        <v>0</v>
      </c>
      <c r="E2304" s="56" t="s">
        <v>20</v>
      </c>
      <c r="F2304" s="56" t="s">
        <v>20</v>
      </c>
    </row>
    <row r="2305" spans="1:6" ht="13">
      <c r="A2305" s="16">
        <v>108</v>
      </c>
      <c r="B2305" s="16">
        <v>60</v>
      </c>
      <c r="C2305" s="20">
        <v>1051</v>
      </c>
      <c r="D2305">
        <f>koronahun!U777</f>
        <v>0</v>
      </c>
      <c r="E2305" s="56" t="s">
        <v>20</v>
      </c>
      <c r="F2305" s="56" t="s">
        <v>20</v>
      </c>
    </row>
    <row r="2306" spans="1:6" ht="13">
      <c r="A2306" s="16">
        <v>109</v>
      </c>
      <c r="B2306" s="16">
        <v>61</v>
      </c>
      <c r="C2306" s="20">
        <v>1052</v>
      </c>
      <c r="D2306">
        <f>koronahun!U778</f>
        <v>49</v>
      </c>
      <c r="E2306" s="56" t="s">
        <v>20</v>
      </c>
      <c r="F2306" s="56" t="s">
        <v>20</v>
      </c>
    </row>
    <row r="2307" spans="1:6" ht="13">
      <c r="A2307" s="16">
        <v>110</v>
      </c>
      <c r="B2307" s="16">
        <v>60</v>
      </c>
      <c r="C2307" s="20">
        <v>980</v>
      </c>
      <c r="D2307">
        <f>koronahun!U779</f>
        <v>47</v>
      </c>
      <c r="E2307" s="56" t="s">
        <v>20</v>
      </c>
      <c r="F2307" s="56" t="s">
        <v>20</v>
      </c>
    </row>
    <row r="2308" spans="1:6" ht="13">
      <c r="A2308" s="16">
        <v>111</v>
      </c>
      <c r="B2308" s="16">
        <v>82</v>
      </c>
      <c r="C2308" s="20">
        <v>925</v>
      </c>
      <c r="D2308">
        <f>koronahun!U780</f>
        <v>48</v>
      </c>
      <c r="E2308" s="56" t="s">
        <v>20</v>
      </c>
      <c r="F2308" s="56" t="s">
        <v>20</v>
      </c>
    </row>
    <row r="2309" spans="1:6" ht="13">
      <c r="A2309" s="16">
        <v>112</v>
      </c>
      <c r="B2309" s="16">
        <v>63</v>
      </c>
      <c r="C2309" s="20">
        <v>876</v>
      </c>
      <c r="D2309">
        <f>koronahun!U781</f>
        <v>45</v>
      </c>
      <c r="E2309" s="56" t="s">
        <v>20</v>
      </c>
      <c r="F2309" s="56" t="s">
        <v>20</v>
      </c>
    </row>
    <row r="2310" spans="1:6" ht="13">
      <c r="A2310" s="16">
        <v>113</v>
      </c>
      <c r="B2310" s="16">
        <v>61</v>
      </c>
      <c r="C2310" s="20">
        <v>844</v>
      </c>
      <c r="D2310">
        <f>koronahun!U782</f>
        <v>0</v>
      </c>
      <c r="E2310" s="56" t="s">
        <v>20</v>
      </c>
      <c r="F2310" s="56" t="s">
        <v>20</v>
      </c>
    </row>
    <row r="2311" spans="1:6" ht="13">
      <c r="A2311" s="16">
        <v>114</v>
      </c>
      <c r="B2311" s="16">
        <v>61</v>
      </c>
      <c r="C2311" s="20">
        <v>813</v>
      </c>
      <c r="D2311">
        <f>koronahun!U783</f>
        <v>0</v>
      </c>
      <c r="E2311" s="56" t="s">
        <v>20</v>
      </c>
      <c r="F2311" s="56" t="s">
        <v>20</v>
      </c>
    </row>
    <row r="2312" spans="1:6" ht="13">
      <c r="A2312" s="16">
        <v>115</v>
      </c>
      <c r="B2312" s="16">
        <v>54</v>
      </c>
      <c r="C2312" s="20">
        <v>790</v>
      </c>
      <c r="D2312">
        <f>koronahun!U784</f>
        <v>40</v>
      </c>
      <c r="E2312" s="56" t="s">
        <v>20</v>
      </c>
      <c r="F2312" s="56" t="s">
        <v>20</v>
      </c>
    </row>
    <row r="2313" spans="1:6" ht="13">
      <c r="A2313" s="16">
        <v>116</v>
      </c>
      <c r="B2313" s="16">
        <v>56</v>
      </c>
      <c r="C2313" s="20">
        <v>782</v>
      </c>
      <c r="D2313">
        <f>koronahun!U785</f>
        <v>37</v>
      </c>
      <c r="E2313" s="56" t="s">
        <v>20</v>
      </c>
      <c r="F2313" s="56" t="s">
        <v>20</v>
      </c>
    </row>
    <row r="2314" spans="1:6" ht="13">
      <c r="A2314" s="16">
        <v>117</v>
      </c>
      <c r="B2314" s="16">
        <v>52</v>
      </c>
      <c r="C2314" s="20">
        <v>753</v>
      </c>
      <c r="D2314">
        <f>koronahun!U786</f>
        <v>38</v>
      </c>
      <c r="E2314" s="56" t="s">
        <v>20</v>
      </c>
      <c r="F2314" s="56" t="s">
        <v>20</v>
      </c>
    </row>
    <row r="2315" spans="1:6" ht="13">
      <c r="A2315" s="16">
        <v>118</v>
      </c>
      <c r="B2315" s="16">
        <v>49</v>
      </c>
      <c r="C2315" s="20">
        <v>702</v>
      </c>
      <c r="D2315">
        <f>koronahun!U787</f>
        <v>36</v>
      </c>
      <c r="E2315" s="56" t="s">
        <v>20</v>
      </c>
      <c r="F2315" s="56" t="s">
        <v>20</v>
      </c>
    </row>
    <row r="2316" spans="1:6" ht="13">
      <c r="A2316" s="16">
        <v>119</v>
      </c>
      <c r="B2316" s="16">
        <v>50</v>
      </c>
      <c r="C2316" s="20">
        <v>662</v>
      </c>
      <c r="D2316">
        <f>koronahun!U788</f>
        <v>41</v>
      </c>
      <c r="E2316" s="56" t="s">
        <v>20</v>
      </c>
      <c r="F2316" s="56" t="s">
        <v>20</v>
      </c>
    </row>
    <row r="2317" spans="1:6" ht="13">
      <c r="A2317" s="16">
        <v>120</v>
      </c>
      <c r="B2317" s="16">
        <v>54</v>
      </c>
      <c r="C2317" s="20">
        <v>677</v>
      </c>
      <c r="D2317">
        <f>koronahun!U789</f>
        <v>0</v>
      </c>
      <c r="E2317" s="56" t="s">
        <v>20</v>
      </c>
      <c r="F2317" s="56" t="s">
        <v>20</v>
      </c>
    </row>
    <row r="2318" spans="1:6" ht="13">
      <c r="A2318" s="16">
        <v>121</v>
      </c>
      <c r="B2318" s="16">
        <v>49</v>
      </c>
      <c r="C2318" s="20">
        <v>621</v>
      </c>
      <c r="D2318">
        <f>koronahun!U790</f>
        <v>0</v>
      </c>
      <c r="E2318" s="56" t="s">
        <v>20</v>
      </c>
      <c r="F2318" s="56" t="s">
        <v>20</v>
      </c>
    </row>
    <row r="2319" spans="1:6" ht="13">
      <c r="A2319" s="16">
        <v>122</v>
      </c>
      <c r="B2319" s="16">
        <v>52</v>
      </c>
      <c r="C2319" s="20">
        <v>587</v>
      </c>
      <c r="D2319">
        <f>koronahun!U791</f>
        <v>40</v>
      </c>
      <c r="E2319" s="56" t="s">
        <v>20</v>
      </c>
      <c r="F2319" s="56" t="s">
        <v>20</v>
      </c>
    </row>
    <row r="2320" spans="1:6" ht="13">
      <c r="A2320" s="16">
        <v>123</v>
      </c>
      <c r="B2320" s="16">
        <v>51</v>
      </c>
      <c r="C2320" s="20">
        <v>572</v>
      </c>
      <c r="D2320">
        <f>koronahun!U792</f>
        <v>0</v>
      </c>
      <c r="E2320" s="56" t="s">
        <v>20</v>
      </c>
      <c r="F2320" s="56" t="s">
        <v>20</v>
      </c>
    </row>
    <row r="2321" spans="1:6" ht="13">
      <c r="A2321" s="16">
        <v>124</v>
      </c>
      <c r="B2321" s="16">
        <v>55</v>
      </c>
      <c r="C2321" s="20">
        <v>549</v>
      </c>
      <c r="D2321">
        <f>koronahun!U793</f>
        <v>0</v>
      </c>
      <c r="E2321" s="56" t="s">
        <v>20</v>
      </c>
      <c r="F2321" s="56" t="s">
        <v>20</v>
      </c>
    </row>
    <row r="2322" spans="1:6" ht="13">
      <c r="A2322" s="16">
        <v>125</v>
      </c>
      <c r="B2322" s="16">
        <v>55</v>
      </c>
      <c r="C2322" s="20">
        <v>511</v>
      </c>
      <c r="D2322">
        <f>koronahun!U794</f>
        <v>0</v>
      </c>
      <c r="E2322" s="56" t="s">
        <v>20</v>
      </c>
      <c r="F2322" s="56" t="s">
        <v>20</v>
      </c>
    </row>
    <row r="2323" spans="1:6" ht="13">
      <c r="A2323" s="16">
        <v>126</v>
      </c>
      <c r="B2323" s="16">
        <v>50</v>
      </c>
      <c r="C2323" s="20">
        <v>485</v>
      </c>
      <c r="D2323">
        <f>koronahun!U795</f>
        <v>0</v>
      </c>
      <c r="E2323" s="56" t="s">
        <v>20</v>
      </c>
      <c r="F2323" s="56" t="s">
        <v>20</v>
      </c>
    </row>
    <row r="2324" spans="1:6" ht="13">
      <c r="A2324" s="16">
        <v>127</v>
      </c>
      <c r="B2324" s="16">
        <v>50</v>
      </c>
      <c r="C2324" s="20">
        <v>445</v>
      </c>
      <c r="D2324">
        <f>koronahun!U796</f>
        <v>0</v>
      </c>
      <c r="E2324" s="56" t="s">
        <v>20</v>
      </c>
      <c r="F2324" s="56" t="s">
        <v>20</v>
      </c>
    </row>
    <row r="2325" spans="1:6" ht="13">
      <c r="A2325" s="16">
        <v>128</v>
      </c>
      <c r="B2325" s="16"/>
      <c r="C2325" s="20">
        <v>420</v>
      </c>
      <c r="D2325">
        <f>koronahun!U797</f>
        <v>0</v>
      </c>
      <c r="E2325" s="56" t="s">
        <v>20</v>
      </c>
      <c r="F2325" s="56" t="s">
        <v>20</v>
      </c>
    </row>
    <row r="2326" spans="1:6" ht="13">
      <c r="A2326" s="16">
        <v>129</v>
      </c>
      <c r="C2326" s="20">
        <v>403</v>
      </c>
      <c r="D2326">
        <f>koronahun!U798</f>
        <v>0</v>
      </c>
      <c r="E2326" s="56" t="s">
        <v>20</v>
      </c>
      <c r="F2326" s="56" t="s">
        <v>20</v>
      </c>
    </row>
    <row r="2327" spans="1:6" ht="13">
      <c r="A2327" s="16">
        <v>130</v>
      </c>
      <c r="B2327" s="16">
        <v>50</v>
      </c>
      <c r="C2327" s="20">
        <v>394</v>
      </c>
      <c r="D2327">
        <f>koronahun!U799</f>
        <v>0</v>
      </c>
      <c r="E2327" s="56" t="s">
        <v>20</v>
      </c>
      <c r="F2327" s="56" t="s">
        <v>20</v>
      </c>
    </row>
    <row r="2328" spans="1:6" ht="13">
      <c r="A2328" s="16">
        <v>131</v>
      </c>
      <c r="B2328" s="16">
        <v>45</v>
      </c>
      <c r="C2328" s="20">
        <v>379</v>
      </c>
      <c r="D2328">
        <f>koronahun!U800</f>
        <v>29</v>
      </c>
      <c r="E2328" s="56" t="s">
        <v>20</v>
      </c>
      <c r="F2328" s="56" t="s">
        <v>20</v>
      </c>
    </row>
    <row r="2329" spans="1:6" ht="13">
      <c r="A2329" s="16">
        <v>132</v>
      </c>
      <c r="B2329" s="16">
        <v>45</v>
      </c>
      <c r="C2329" s="20">
        <v>361</v>
      </c>
      <c r="D2329">
        <f>koronahun!U801</f>
        <v>0</v>
      </c>
      <c r="E2329" s="56" t="s">
        <v>20</v>
      </c>
      <c r="F2329" s="56" t="s">
        <v>20</v>
      </c>
    </row>
    <row r="2330" spans="1:6" ht="13">
      <c r="A2330" s="16">
        <v>133</v>
      </c>
      <c r="B2330" s="16">
        <v>45</v>
      </c>
      <c r="C2330" s="20">
        <v>354</v>
      </c>
      <c r="D2330">
        <f>koronahun!U802</f>
        <v>0</v>
      </c>
      <c r="E2330" s="56" t="s">
        <v>20</v>
      </c>
      <c r="F2330" s="56" t="s">
        <v>20</v>
      </c>
    </row>
    <row r="2331" spans="1:6" ht="13">
      <c r="A2331" s="16">
        <v>134</v>
      </c>
      <c r="B2331" s="16">
        <v>49</v>
      </c>
      <c r="C2331" s="20">
        <v>338</v>
      </c>
      <c r="D2331">
        <f>koronahun!U803</f>
        <v>0</v>
      </c>
      <c r="E2331" s="56" t="s">
        <v>20</v>
      </c>
      <c r="F2331" s="56" t="s">
        <v>20</v>
      </c>
    </row>
    <row r="2332" spans="1:6" ht="13">
      <c r="A2332" s="16">
        <v>135</v>
      </c>
      <c r="B2332" s="16">
        <v>46</v>
      </c>
      <c r="C2332" s="20">
        <v>308</v>
      </c>
      <c r="D2332">
        <f>koronahun!U804</f>
        <v>0</v>
      </c>
      <c r="E2332" s="56" t="s">
        <v>20</v>
      </c>
      <c r="F2332" s="56" t="s">
        <v>20</v>
      </c>
    </row>
    <row r="2333" spans="1:6" ht="13">
      <c r="A2333" s="16">
        <v>136</v>
      </c>
      <c r="B2333" s="16">
        <v>45</v>
      </c>
      <c r="C2333" s="20">
        <v>261</v>
      </c>
      <c r="D2333">
        <f>koronahun!U805</f>
        <v>0</v>
      </c>
      <c r="E2333" s="56" t="s">
        <v>20</v>
      </c>
      <c r="F2333" s="56" t="s">
        <v>20</v>
      </c>
    </row>
    <row r="2334" spans="1:6" ht="13">
      <c r="A2334" s="16">
        <v>137</v>
      </c>
      <c r="B2334" s="16">
        <v>47</v>
      </c>
      <c r="C2334" s="20">
        <v>258</v>
      </c>
      <c r="D2334">
        <f>koronahun!U806</f>
        <v>0</v>
      </c>
      <c r="E2334" s="56" t="s">
        <v>20</v>
      </c>
      <c r="F2334" s="56" t="s">
        <v>20</v>
      </c>
    </row>
    <row r="2335" spans="1:6" ht="13">
      <c r="A2335" s="16">
        <v>138</v>
      </c>
      <c r="B2335" s="16">
        <v>46</v>
      </c>
      <c r="C2335" s="20">
        <v>251</v>
      </c>
      <c r="D2335">
        <f>koronahun!U807</f>
        <v>21</v>
      </c>
      <c r="E2335" s="56" t="s">
        <v>20</v>
      </c>
      <c r="F2335" s="56" t="s">
        <v>20</v>
      </c>
    </row>
    <row r="2336" spans="1:6" ht="13">
      <c r="A2336" s="16">
        <v>139</v>
      </c>
      <c r="C2336" s="20">
        <v>224</v>
      </c>
      <c r="D2336">
        <f>koronahun!U808</f>
        <v>0</v>
      </c>
      <c r="E2336" s="56" t="s">
        <v>20</v>
      </c>
      <c r="F2336" s="56" t="s">
        <v>20</v>
      </c>
    </row>
    <row r="2337" spans="1:6" ht="13">
      <c r="A2337" s="16">
        <v>140</v>
      </c>
      <c r="B2337" s="16">
        <v>29</v>
      </c>
      <c r="C2337" s="20">
        <v>212</v>
      </c>
      <c r="D2337">
        <f>koronahun!U809</f>
        <v>0</v>
      </c>
      <c r="E2337" s="56" t="s">
        <v>20</v>
      </c>
      <c r="F2337" s="56" t="s">
        <v>20</v>
      </c>
    </row>
    <row r="2338" spans="1:6" ht="13">
      <c r="A2338" s="16">
        <v>141</v>
      </c>
      <c r="B2338" s="16">
        <v>27</v>
      </c>
      <c r="C2338" s="20">
        <v>195</v>
      </c>
      <c r="D2338">
        <f>koronahun!U810</f>
        <v>0</v>
      </c>
      <c r="E2338" s="56" t="s">
        <v>20</v>
      </c>
      <c r="F2338" s="56" t="s">
        <v>20</v>
      </c>
    </row>
    <row r="2339" spans="1:6" ht="13">
      <c r="A2339" s="16">
        <v>142</v>
      </c>
      <c r="B2339" s="16">
        <v>23</v>
      </c>
      <c r="C2339" s="20">
        <v>183</v>
      </c>
      <c r="D2339">
        <f>koronahun!U811</f>
        <v>0</v>
      </c>
      <c r="E2339" s="56" t="s">
        <v>20</v>
      </c>
      <c r="F2339" s="56" t="s">
        <v>20</v>
      </c>
    </row>
    <row r="2340" spans="1:6" ht="13">
      <c r="A2340" s="16">
        <v>143</v>
      </c>
      <c r="B2340" s="16">
        <v>21</v>
      </c>
      <c r="C2340" s="20">
        <v>185</v>
      </c>
      <c r="D2340">
        <f>koronahun!U812</f>
        <v>0</v>
      </c>
      <c r="E2340" s="56" t="s">
        <v>20</v>
      </c>
      <c r="F2340" s="56" t="s">
        <v>20</v>
      </c>
    </row>
    <row r="2341" spans="1:6" ht="13">
      <c r="A2341" s="16">
        <v>144</v>
      </c>
      <c r="B2341" s="16">
        <v>28</v>
      </c>
      <c r="C2341" s="20">
        <v>169</v>
      </c>
      <c r="D2341">
        <f>koronahun!U813</f>
        <v>0</v>
      </c>
      <c r="E2341" s="56" t="s">
        <v>20</v>
      </c>
      <c r="F2341" s="56" t="s">
        <v>20</v>
      </c>
    </row>
    <row r="2342" spans="1:6" ht="13">
      <c r="A2342" s="16">
        <v>145</v>
      </c>
      <c r="C2342" s="20">
        <v>159</v>
      </c>
      <c r="D2342">
        <f>koronahun!U814</f>
        <v>18</v>
      </c>
      <c r="E2342" s="56" t="s">
        <v>20</v>
      </c>
      <c r="F2342" s="56" t="s">
        <v>20</v>
      </c>
    </row>
    <row r="2343" spans="1:6" ht="13">
      <c r="A2343" s="16">
        <v>146</v>
      </c>
      <c r="B2343" s="16">
        <v>27</v>
      </c>
      <c r="C2343" s="20">
        <v>148</v>
      </c>
      <c r="D2343">
        <f>koronahun!U815</f>
        <v>0</v>
      </c>
      <c r="E2343" s="56" t="s">
        <v>20</v>
      </c>
      <c r="F2343" s="56" t="s">
        <v>20</v>
      </c>
    </row>
    <row r="2344" spans="1:6" ht="13">
      <c r="A2344" s="16">
        <v>147</v>
      </c>
      <c r="B2344" s="16">
        <v>25</v>
      </c>
      <c r="C2344" s="20">
        <v>136</v>
      </c>
      <c r="D2344">
        <f>koronahun!U816</f>
        <v>0</v>
      </c>
      <c r="E2344" s="56" t="s">
        <v>20</v>
      </c>
      <c r="F2344" s="56" t="s">
        <v>20</v>
      </c>
    </row>
    <row r="2345" spans="1:6" ht="13">
      <c r="A2345" s="16">
        <v>148</v>
      </c>
      <c r="B2345" s="16">
        <v>24</v>
      </c>
      <c r="C2345" s="20">
        <v>121</v>
      </c>
      <c r="D2345">
        <f>koronahun!U817</f>
        <v>0</v>
      </c>
      <c r="E2345" s="56" t="s">
        <v>20</v>
      </c>
      <c r="F2345" s="56" t="s">
        <v>20</v>
      </c>
    </row>
    <row r="2346" spans="1:6" ht="13">
      <c r="A2346" s="16">
        <v>149</v>
      </c>
      <c r="B2346" s="16">
        <v>24</v>
      </c>
      <c r="C2346" s="20">
        <v>114</v>
      </c>
      <c r="D2346">
        <f>koronahun!U818</f>
        <v>0</v>
      </c>
      <c r="E2346" s="56" t="s">
        <v>20</v>
      </c>
      <c r="F2346" s="56" t="s">
        <v>20</v>
      </c>
    </row>
    <row r="2347" spans="1:6" ht="13">
      <c r="A2347" s="16">
        <v>150</v>
      </c>
      <c r="B2347" s="16">
        <v>22</v>
      </c>
      <c r="C2347" s="20">
        <v>114</v>
      </c>
      <c r="D2347">
        <f>koronahun!U819</f>
        <v>0</v>
      </c>
      <c r="E2347" s="56" t="s">
        <v>20</v>
      </c>
      <c r="F2347" s="56" t="s">
        <v>20</v>
      </c>
    </row>
    <row r="2348" spans="1:6" ht="13">
      <c r="A2348" s="16">
        <v>151</v>
      </c>
      <c r="B2348" s="16">
        <v>25</v>
      </c>
      <c r="C2348" s="20">
        <v>110</v>
      </c>
      <c r="D2348">
        <f>koronahun!U820</f>
        <v>0</v>
      </c>
      <c r="E2348" s="56" t="s">
        <v>20</v>
      </c>
      <c r="F2348" s="56" t="s">
        <v>20</v>
      </c>
    </row>
    <row r="2349" spans="1:6" ht="13">
      <c r="A2349" s="16">
        <v>152</v>
      </c>
      <c r="B2349" s="16">
        <v>25</v>
      </c>
      <c r="C2349" s="20">
        <v>100</v>
      </c>
      <c r="D2349">
        <f>koronahun!U821</f>
        <v>13</v>
      </c>
      <c r="E2349" s="56" t="s">
        <v>20</v>
      </c>
      <c r="F2349" s="56" t="s">
        <v>20</v>
      </c>
    </row>
    <row r="2350" spans="1:6" ht="13">
      <c r="A2350" s="16">
        <v>153</v>
      </c>
      <c r="B2350" s="16">
        <v>24</v>
      </c>
      <c r="C2350" s="20">
        <v>90</v>
      </c>
      <c r="D2350">
        <f>koronahun!U822</f>
        <v>0</v>
      </c>
      <c r="E2350" s="56" t="s">
        <v>20</v>
      </c>
      <c r="F2350" s="56" t="s">
        <v>20</v>
      </c>
    </row>
    <row r="2351" spans="1:6" ht="13">
      <c r="A2351" s="16">
        <v>154</v>
      </c>
      <c r="B2351" s="16">
        <v>24</v>
      </c>
      <c r="C2351" s="20">
        <v>77</v>
      </c>
      <c r="D2351">
        <f>koronahun!U823</f>
        <v>0</v>
      </c>
      <c r="E2351" s="56" t="s">
        <v>20</v>
      </c>
      <c r="F2351" s="56" t="s">
        <v>20</v>
      </c>
    </row>
    <row r="2352" spans="1:6" ht="13">
      <c r="A2352" s="16">
        <v>155</v>
      </c>
      <c r="B2352" s="16">
        <v>24</v>
      </c>
      <c r="C2352" s="20">
        <v>78</v>
      </c>
      <c r="D2352">
        <f>koronahun!U824</f>
        <v>0</v>
      </c>
      <c r="E2352" s="56" t="s">
        <v>20</v>
      </c>
      <c r="F2352" s="56" t="s">
        <v>20</v>
      </c>
    </row>
    <row r="2353" spans="1:6" ht="13">
      <c r="A2353" s="16">
        <v>156</v>
      </c>
      <c r="B2353" s="16">
        <v>21</v>
      </c>
      <c r="C2353" s="20">
        <v>70</v>
      </c>
      <c r="D2353">
        <f>koronahun!U825</f>
        <v>0</v>
      </c>
      <c r="E2353" s="56" t="s">
        <v>20</v>
      </c>
      <c r="F2353" s="56" t="s">
        <v>20</v>
      </c>
    </row>
    <row r="2354" spans="1:6" ht="13">
      <c r="A2354" s="16">
        <v>157</v>
      </c>
      <c r="B2354" s="16">
        <v>21</v>
      </c>
      <c r="C2354" s="20">
        <v>68</v>
      </c>
      <c r="D2354">
        <f>koronahun!U826</f>
        <v>0</v>
      </c>
      <c r="E2354" s="56" t="s">
        <v>20</v>
      </c>
      <c r="F2354" s="56" t="s">
        <v>20</v>
      </c>
    </row>
    <row r="2355" spans="1:6" ht="13">
      <c r="A2355" s="16">
        <v>158</v>
      </c>
      <c r="B2355" s="16">
        <v>21</v>
      </c>
      <c r="C2355" s="20">
        <v>67</v>
      </c>
      <c r="D2355">
        <f>koronahun!U827</f>
        <v>0</v>
      </c>
      <c r="E2355" s="56" t="s">
        <v>20</v>
      </c>
      <c r="F2355" s="56" t="s">
        <v>20</v>
      </c>
    </row>
    <row r="2356" spans="1:6" ht="13">
      <c r="A2356" s="16">
        <v>159</v>
      </c>
      <c r="B2356" s="16">
        <v>21</v>
      </c>
      <c r="C2356" s="20">
        <v>63</v>
      </c>
      <c r="D2356">
        <f>koronahun!U828</f>
        <v>8</v>
      </c>
      <c r="E2356" s="56" t="s">
        <v>20</v>
      </c>
      <c r="F2356" s="56" t="s">
        <v>20</v>
      </c>
    </row>
    <row r="2357" spans="1:6" ht="13">
      <c r="A2357" s="16">
        <v>160</v>
      </c>
      <c r="B2357" s="16">
        <v>20</v>
      </c>
      <c r="C2357" s="20">
        <v>58</v>
      </c>
      <c r="D2357">
        <f>koronahun!U829</f>
        <v>0</v>
      </c>
      <c r="E2357" s="56" t="s">
        <v>20</v>
      </c>
      <c r="F2357" s="56" t="s">
        <v>20</v>
      </c>
    </row>
    <row r="2358" spans="1:6" ht="13">
      <c r="A2358" s="16">
        <v>161</v>
      </c>
      <c r="B2358" s="16">
        <v>20</v>
      </c>
      <c r="C2358" s="20">
        <v>57</v>
      </c>
      <c r="D2358">
        <f>koronahun!U830</f>
        <v>0</v>
      </c>
      <c r="E2358" s="56" t="s">
        <v>20</v>
      </c>
      <c r="F2358" s="56" t="s">
        <v>20</v>
      </c>
    </row>
    <row r="2359" spans="1:6" ht="13">
      <c r="A2359" s="16">
        <v>162</v>
      </c>
      <c r="B2359" s="16">
        <v>19</v>
      </c>
      <c r="C2359" s="20">
        <v>51</v>
      </c>
      <c r="D2359">
        <f>koronahun!U831</f>
        <v>0</v>
      </c>
      <c r="E2359" s="56" t="s">
        <v>20</v>
      </c>
      <c r="F2359" s="56" t="s">
        <v>20</v>
      </c>
    </row>
    <row r="2360" spans="1:6" ht="13">
      <c r="A2360" s="16">
        <v>163</v>
      </c>
      <c r="B2360" s="16">
        <v>20</v>
      </c>
      <c r="C2360" s="20"/>
      <c r="D2360">
        <f>koronahun!U832</f>
        <v>0</v>
      </c>
      <c r="E2360" s="56" t="s">
        <v>20</v>
      </c>
      <c r="F2360" s="56" t="s">
        <v>20</v>
      </c>
    </row>
    <row r="2361" spans="1:6" ht="13">
      <c r="A2361" s="16">
        <v>164</v>
      </c>
      <c r="B2361" s="16">
        <v>20</v>
      </c>
      <c r="C2361" s="20"/>
      <c r="D2361">
        <f>koronahun!U833</f>
        <v>0</v>
      </c>
      <c r="E2361" s="56" t="s">
        <v>20</v>
      </c>
      <c r="F2361" s="56" t="s">
        <v>20</v>
      </c>
    </row>
    <row r="2362" spans="1:6" ht="13">
      <c r="A2362" s="16">
        <v>165</v>
      </c>
      <c r="B2362" s="16">
        <v>20</v>
      </c>
      <c r="C2362" s="20">
        <v>47</v>
      </c>
      <c r="D2362">
        <f>koronahun!U834</f>
        <v>0</v>
      </c>
      <c r="E2362" s="56" t="s">
        <v>20</v>
      </c>
      <c r="F2362" s="56" t="s">
        <v>20</v>
      </c>
    </row>
    <row r="2363" spans="1:6" ht="13">
      <c r="A2363" s="16">
        <v>166</v>
      </c>
      <c r="B2363" s="16">
        <v>19</v>
      </c>
      <c r="C2363" s="20">
        <v>44</v>
      </c>
      <c r="D2363">
        <f>koronahun!U835</f>
        <v>7</v>
      </c>
      <c r="E2363" s="56" t="s">
        <v>20</v>
      </c>
      <c r="F2363" s="56" t="s">
        <v>20</v>
      </c>
    </row>
    <row r="2364" spans="1:6" ht="13">
      <c r="A2364" s="16">
        <v>167</v>
      </c>
      <c r="B2364" s="16">
        <v>17</v>
      </c>
      <c r="C2364" s="20">
        <v>53</v>
      </c>
      <c r="D2364">
        <f>koronahun!U836</f>
        <v>0</v>
      </c>
      <c r="E2364" s="56" t="s">
        <v>20</v>
      </c>
      <c r="F2364" s="56" t="s">
        <v>20</v>
      </c>
    </row>
    <row r="2365" spans="1:6" ht="13">
      <c r="A2365" s="16">
        <v>168</v>
      </c>
      <c r="B2365" s="16">
        <v>16</v>
      </c>
      <c r="C2365" s="20">
        <v>45</v>
      </c>
      <c r="D2365">
        <f>koronahun!U837</f>
        <v>0</v>
      </c>
      <c r="E2365" s="56" t="s">
        <v>20</v>
      </c>
      <c r="F2365" s="56" t="s">
        <v>20</v>
      </c>
    </row>
    <row r="2366" spans="1:6" ht="13">
      <c r="A2366" s="16">
        <v>169</v>
      </c>
      <c r="B2366" s="16">
        <v>15</v>
      </c>
      <c r="C2366" s="20">
        <v>43</v>
      </c>
      <c r="D2366">
        <f>koronahun!U838</f>
        <v>0</v>
      </c>
      <c r="E2366" s="56" t="s">
        <v>20</v>
      </c>
      <c r="F2366" s="56" t="s">
        <v>20</v>
      </c>
    </row>
    <row r="2367" spans="1:6" ht="13">
      <c r="A2367" s="16">
        <v>170</v>
      </c>
      <c r="B2367" s="16">
        <v>15</v>
      </c>
      <c r="D2367">
        <f>koronahun!U839</f>
        <v>0</v>
      </c>
      <c r="E2367" s="56" t="s">
        <v>20</v>
      </c>
      <c r="F2367" s="56" t="s">
        <v>20</v>
      </c>
    </row>
    <row r="2368" spans="1:6" ht="13">
      <c r="A2368" s="16">
        <v>171</v>
      </c>
      <c r="B2368" s="16">
        <v>15</v>
      </c>
      <c r="C2368" s="20"/>
      <c r="D2368">
        <f>koronahun!U840</f>
        <v>0</v>
      </c>
      <c r="E2368" s="56" t="s">
        <v>20</v>
      </c>
      <c r="F2368" s="56" t="s">
        <v>20</v>
      </c>
    </row>
    <row r="2369" spans="1:6" ht="13">
      <c r="A2369" s="16">
        <v>172</v>
      </c>
      <c r="B2369" s="16">
        <v>15</v>
      </c>
      <c r="C2369" s="20">
        <v>37</v>
      </c>
      <c r="D2369">
        <f>koronahun!U841</f>
        <v>0</v>
      </c>
      <c r="E2369" s="56" t="s">
        <v>20</v>
      </c>
      <c r="F2369" s="56" t="s">
        <v>20</v>
      </c>
    </row>
    <row r="2370" spans="1:6" ht="13">
      <c r="A2370" s="16">
        <v>173</v>
      </c>
      <c r="B2370" s="16">
        <v>14</v>
      </c>
      <c r="C2370" s="20">
        <v>32</v>
      </c>
      <c r="D2370">
        <f>koronahun!U842</f>
        <v>6</v>
      </c>
      <c r="E2370" s="56" t="s">
        <v>20</v>
      </c>
      <c r="F2370" s="56" t="s">
        <v>20</v>
      </c>
    </row>
    <row r="2371" spans="1:6" ht="13">
      <c r="A2371" s="16">
        <v>174</v>
      </c>
      <c r="B2371" s="16">
        <v>14</v>
      </c>
      <c r="C2371" s="20">
        <v>32</v>
      </c>
      <c r="D2371">
        <f>koronahun!U843</f>
        <v>0</v>
      </c>
      <c r="E2371" s="56" t="s">
        <v>20</v>
      </c>
      <c r="F2371" s="56" t="s">
        <v>20</v>
      </c>
    </row>
    <row r="2372" spans="1:6" ht="13">
      <c r="A2372" s="16">
        <v>175</v>
      </c>
      <c r="B2372" s="16">
        <v>13</v>
      </c>
      <c r="C2372" s="20">
        <v>30</v>
      </c>
      <c r="D2372">
        <f>koronahun!U844</f>
        <v>0</v>
      </c>
      <c r="E2372" s="56" t="s">
        <v>20</v>
      </c>
      <c r="F2372" s="56" t="s">
        <v>20</v>
      </c>
    </row>
    <row r="2373" spans="1:6" ht="13">
      <c r="A2373" s="16">
        <v>176</v>
      </c>
      <c r="B2373" s="16">
        <v>13</v>
      </c>
      <c r="C2373" s="20">
        <v>22</v>
      </c>
      <c r="D2373">
        <f>koronahun!U845</f>
        <v>0</v>
      </c>
      <c r="E2373" s="56" t="s">
        <v>20</v>
      </c>
      <c r="F2373" s="56" t="s">
        <v>20</v>
      </c>
    </row>
    <row r="2374" spans="1:6" ht="13">
      <c r="A2374" s="16">
        <v>177</v>
      </c>
      <c r="B2374" s="16">
        <v>13</v>
      </c>
      <c r="C2374" s="20"/>
      <c r="D2374">
        <f>koronahun!U846</f>
        <v>0</v>
      </c>
      <c r="E2374" s="56" t="s">
        <v>20</v>
      </c>
      <c r="F2374" s="56" t="s">
        <v>20</v>
      </c>
    </row>
    <row r="2375" spans="1:6" ht="13">
      <c r="A2375" s="16">
        <v>178</v>
      </c>
      <c r="B2375" s="16">
        <v>11</v>
      </c>
      <c r="C2375" s="20"/>
      <c r="D2375">
        <f>koronahun!U847</f>
        <v>0</v>
      </c>
      <c r="E2375" s="56" t="s">
        <v>20</v>
      </c>
      <c r="F2375" s="56" t="s">
        <v>20</v>
      </c>
    </row>
    <row r="2376" spans="1:6" ht="13">
      <c r="A2376" s="16">
        <v>179</v>
      </c>
      <c r="B2376" s="16">
        <v>9</v>
      </c>
      <c r="C2376" s="20">
        <v>24</v>
      </c>
      <c r="D2376">
        <f>koronahun!U848</f>
        <v>0</v>
      </c>
      <c r="E2376" s="56" t="s">
        <v>20</v>
      </c>
      <c r="F2376" s="56" t="s">
        <v>20</v>
      </c>
    </row>
    <row r="2377" spans="1:6" ht="13">
      <c r="A2377" s="16">
        <v>180</v>
      </c>
      <c r="B2377" s="16">
        <v>9</v>
      </c>
      <c r="C2377" s="20">
        <v>22</v>
      </c>
      <c r="D2377">
        <f>koronahun!U849</f>
        <v>5</v>
      </c>
      <c r="E2377" s="56" t="s">
        <v>20</v>
      </c>
      <c r="F2377" s="56" t="s">
        <v>20</v>
      </c>
    </row>
    <row r="2378" spans="1:6" ht="13">
      <c r="A2378" s="16">
        <v>181</v>
      </c>
      <c r="B2378" s="16">
        <v>9</v>
      </c>
      <c r="C2378" s="20">
        <v>23</v>
      </c>
      <c r="D2378">
        <f>koronahun!U850</f>
        <v>0</v>
      </c>
      <c r="E2378" s="56" t="s">
        <v>20</v>
      </c>
      <c r="F2378" s="56" t="s">
        <v>20</v>
      </c>
    </row>
    <row r="2379" spans="1:6" ht="13">
      <c r="A2379" s="16">
        <v>182</v>
      </c>
      <c r="B2379" s="16">
        <v>8</v>
      </c>
      <c r="C2379" s="20">
        <v>20</v>
      </c>
      <c r="D2379">
        <f>koronahun!U851</f>
        <v>0</v>
      </c>
      <c r="E2379" s="56" t="s">
        <v>20</v>
      </c>
      <c r="F2379" s="56" t="s">
        <v>20</v>
      </c>
    </row>
    <row r="2380" spans="1:6" ht="13">
      <c r="A2380" s="16">
        <v>183</v>
      </c>
      <c r="B2380" s="16">
        <v>8</v>
      </c>
      <c r="C2380" s="20">
        <v>22</v>
      </c>
      <c r="D2380">
        <f>koronahun!U852</f>
        <v>0</v>
      </c>
      <c r="E2380" s="56" t="s">
        <v>20</v>
      </c>
      <c r="F2380" s="56" t="s">
        <v>20</v>
      </c>
    </row>
    <row r="2381" spans="1:6" ht="13">
      <c r="A2381" s="16">
        <v>184</v>
      </c>
      <c r="B2381" s="16">
        <v>9</v>
      </c>
      <c r="C2381" s="20"/>
      <c r="D2381">
        <f>koronahun!U853</f>
        <v>0</v>
      </c>
      <c r="E2381" s="56" t="s">
        <v>20</v>
      </c>
      <c r="F2381" s="56" t="s">
        <v>20</v>
      </c>
    </row>
    <row r="2382" spans="1:6" ht="13">
      <c r="A2382" s="16">
        <v>185</v>
      </c>
      <c r="B2382" s="16">
        <v>8</v>
      </c>
      <c r="C2382" s="20"/>
      <c r="D2382">
        <f>koronahun!U854</f>
        <v>0</v>
      </c>
      <c r="E2382" s="56" t="s">
        <v>20</v>
      </c>
      <c r="F2382" s="56" t="s">
        <v>20</v>
      </c>
    </row>
    <row r="2383" spans="1:6" ht="13">
      <c r="A2383" s="16">
        <v>186</v>
      </c>
      <c r="B2383" s="16">
        <v>8</v>
      </c>
      <c r="C2383" s="20">
        <v>18</v>
      </c>
      <c r="D2383">
        <f>koronahun!U855</f>
        <v>0</v>
      </c>
      <c r="E2383" s="56" t="s">
        <v>20</v>
      </c>
      <c r="F2383" s="56" t="s">
        <v>20</v>
      </c>
    </row>
    <row r="2384" spans="1:6" ht="13">
      <c r="A2384" s="16">
        <v>187</v>
      </c>
      <c r="B2384" s="16">
        <v>8</v>
      </c>
      <c r="C2384" s="20">
        <v>21</v>
      </c>
      <c r="D2384">
        <f>koronahun!U856</f>
        <v>10</v>
      </c>
      <c r="E2384" s="56" t="s">
        <v>20</v>
      </c>
      <c r="F2384" s="56" t="s">
        <v>20</v>
      </c>
    </row>
    <row r="2385" spans="1:6" ht="13">
      <c r="A2385" s="16">
        <v>188</v>
      </c>
      <c r="B2385" s="16">
        <v>7</v>
      </c>
      <c r="C2385" s="20">
        <v>17</v>
      </c>
      <c r="D2385">
        <f>koronahun!U857</f>
        <v>0</v>
      </c>
      <c r="E2385" s="56" t="s">
        <v>20</v>
      </c>
      <c r="F2385" s="56" t="s">
        <v>20</v>
      </c>
    </row>
    <row r="2386" spans="1:6" ht="13">
      <c r="A2386" s="16">
        <v>189</v>
      </c>
      <c r="B2386" s="16">
        <v>6</v>
      </c>
      <c r="C2386" s="20">
        <v>13</v>
      </c>
      <c r="D2386">
        <f>koronahun!U858</f>
        <v>0</v>
      </c>
      <c r="E2386" s="56" t="s">
        <v>20</v>
      </c>
      <c r="F2386" s="56" t="s">
        <v>20</v>
      </c>
    </row>
    <row r="2387" spans="1:6" ht="13">
      <c r="A2387" s="16">
        <v>190</v>
      </c>
      <c r="B2387" s="16">
        <v>6</v>
      </c>
      <c r="C2387" s="20">
        <v>13</v>
      </c>
      <c r="D2387">
        <f>koronahun!U859</f>
        <v>0</v>
      </c>
      <c r="E2387" s="56" t="s">
        <v>20</v>
      </c>
      <c r="F2387" s="56" t="s">
        <v>20</v>
      </c>
    </row>
    <row r="2388" spans="1:6" ht="13">
      <c r="A2388" s="16">
        <v>191</v>
      </c>
      <c r="B2388" s="16">
        <v>6</v>
      </c>
      <c r="C2388" s="20"/>
      <c r="D2388">
        <f>koronahun!U860</f>
        <v>0</v>
      </c>
      <c r="E2388" s="56" t="s">
        <v>20</v>
      </c>
      <c r="F2388" s="56" t="s">
        <v>20</v>
      </c>
    </row>
    <row r="2389" spans="1:6" ht="13">
      <c r="A2389" s="16">
        <v>192</v>
      </c>
      <c r="B2389" s="16">
        <v>5</v>
      </c>
      <c r="C2389" s="20"/>
      <c r="D2389">
        <f>koronahun!U861</f>
        <v>0</v>
      </c>
      <c r="E2389" s="56" t="s">
        <v>20</v>
      </c>
      <c r="F2389" s="56" t="s">
        <v>20</v>
      </c>
    </row>
    <row r="2390" spans="1:6" ht="13">
      <c r="A2390" s="16">
        <v>193</v>
      </c>
      <c r="B2390" s="16">
        <v>5</v>
      </c>
      <c r="C2390" s="20">
        <v>12</v>
      </c>
      <c r="D2390">
        <f>koronahun!U862</f>
        <v>0</v>
      </c>
      <c r="E2390" s="56" t="s">
        <v>20</v>
      </c>
      <c r="F2390" s="56" t="s">
        <v>20</v>
      </c>
    </row>
    <row r="2391" spans="1:6" ht="13">
      <c r="A2391" s="16">
        <v>194</v>
      </c>
      <c r="B2391" s="16">
        <v>5</v>
      </c>
      <c r="C2391" s="20">
        <v>12</v>
      </c>
      <c r="D2391">
        <f>koronahun!U863</f>
        <v>16</v>
      </c>
      <c r="E2391" s="56" t="s">
        <v>20</v>
      </c>
      <c r="F2391" s="56" t="s">
        <v>20</v>
      </c>
    </row>
    <row r="2392" spans="1:6" ht="13">
      <c r="A2392" s="16">
        <v>195</v>
      </c>
      <c r="B2392" s="16">
        <v>5</v>
      </c>
      <c r="C2392" s="20">
        <v>11</v>
      </c>
      <c r="D2392">
        <f>koronahun!U864</f>
        <v>0</v>
      </c>
      <c r="E2392" s="56" t="s">
        <v>20</v>
      </c>
      <c r="F2392" s="56" t="s">
        <v>20</v>
      </c>
    </row>
    <row r="2393" spans="1:6" ht="13">
      <c r="A2393" s="16">
        <v>196</v>
      </c>
      <c r="B2393" s="16">
        <v>5</v>
      </c>
      <c r="C2393" s="20">
        <v>9</v>
      </c>
      <c r="D2393">
        <f>koronahun!U865</f>
        <v>0</v>
      </c>
      <c r="E2393" s="56" t="s">
        <v>20</v>
      </c>
      <c r="F2393" s="56" t="s">
        <v>20</v>
      </c>
    </row>
    <row r="2394" spans="1:6" ht="13">
      <c r="A2394" s="16">
        <v>197</v>
      </c>
      <c r="B2394" s="16">
        <v>5</v>
      </c>
      <c r="C2394" s="20">
        <v>10</v>
      </c>
      <c r="D2394">
        <f>koronahun!U866</f>
        <v>0</v>
      </c>
      <c r="E2394" s="56" t="s">
        <v>20</v>
      </c>
      <c r="F2394" s="56" t="s">
        <v>20</v>
      </c>
    </row>
    <row r="2395" spans="1:6" ht="13">
      <c r="A2395" s="16">
        <v>198</v>
      </c>
      <c r="B2395" s="16">
        <v>4</v>
      </c>
      <c r="C2395" s="20"/>
      <c r="D2395">
        <f>koronahun!U867</f>
        <v>0</v>
      </c>
      <c r="E2395" s="56" t="s">
        <v>20</v>
      </c>
      <c r="F2395" s="56" t="s">
        <v>20</v>
      </c>
    </row>
    <row r="2396" spans="1:6" ht="13">
      <c r="A2396" s="16">
        <v>199</v>
      </c>
      <c r="B2396" s="16">
        <v>3</v>
      </c>
      <c r="C2396" s="20"/>
      <c r="D2396">
        <f>koronahun!U868</f>
        <v>0</v>
      </c>
      <c r="E2396" s="56" t="s">
        <v>20</v>
      </c>
      <c r="F2396" s="56" t="s">
        <v>20</v>
      </c>
    </row>
    <row r="2397" spans="1:6" ht="13">
      <c r="A2397" s="16">
        <v>200</v>
      </c>
      <c r="B2397" s="16">
        <v>3</v>
      </c>
      <c r="C2397" s="20">
        <v>11</v>
      </c>
      <c r="D2397">
        <f>koronahun!U869</f>
        <v>0</v>
      </c>
      <c r="E2397" s="56" t="s">
        <v>20</v>
      </c>
      <c r="F2397" s="56" t="s">
        <v>20</v>
      </c>
    </row>
    <row r="2398" spans="1:6" ht="13">
      <c r="A2398" s="16">
        <v>201</v>
      </c>
      <c r="B2398" s="16">
        <v>5</v>
      </c>
      <c r="C2398" s="20">
        <v>11</v>
      </c>
      <c r="D2398">
        <f>koronahun!U870</f>
        <v>17</v>
      </c>
      <c r="E2398" s="56" t="s">
        <v>20</v>
      </c>
      <c r="F2398" s="56" t="s">
        <v>20</v>
      </c>
    </row>
    <row r="2399" spans="1:6" ht="13">
      <c r="A2399" s="16">
        <v>202</v>
      </c>
      <c r="B2399" s="16">
        <v>4</v>
      </c>
      <c r="C2399" s="20">
        <v>10</v>
      </c>
      <c r="D2399">
        <f>koronahun!U871</f>
        <v>0</v>
      </c>
      <c r="E2399" s="56" t="s">
        <v>20</v>
      </c>
      <c r="F2399" s="56" t="s">
        <v>20</v>
      </c>
    </row>
    <row r="2400" spans="1:6" ht="13">
      <c r="A2400" s="16">
        <v>203</v>
      </c>
      <c r="B2400" s="16">
        <v>4</v>
      </c>
      <c r="C2400" s="20">
        <v>10</v>
      </c>
      <c r="D2400">
        <f>koronahun!U872</f>
        <v>0</v>
      </c>
      <c r="E2400" s="56" t="s">
        <v>20</v>
      </c>
      <c r="F2400" s="56" t="s">
        <v>20</v>
      </c>
    </row>
    <row r="2401" spans="1:6" ht="13">
      <c r="A2401" s="16">
        <v>204</v>
      </c>
      <c r="B2401" s="16">
        <v>4</v>
      </c>
      <c r="C2401" s="20">
        <v>9</v>
      </c>
      <c r="D2401">
        <f>koronahun!U873</f>
        <v>0</v>
      </c>
      <c r="E2401" s="56" t="s">
        <v>20</v>
      </c>
      <c r="F2401" s="56" t="s">
        <v>20</v>
      </c>
    </row>
    <row r="2402" spans="1:6" ht="13">
      <c r="A2402" s="16">
        <v>205</v>
      </c>
      <c r="B2402" s="16">
        <v>4</v>
      </c>
      <c r="C2402" s="20"/>
      <c r="D2402">
        <f>koronahun!U874</f>
        <v>0</v>
      </c>
      <c r="E2402" s="56" t="s">
        <v>20</v>
      </c>
      <c r="F2402" s="56" t="s">
        <v>20</v>
      </c>
    </row>
    <row r="2403" spans="1:6" ht="13">
      <c r="A2403" s="16">
        <v>206</v>
      </c>
      <c r="B2403" s="16">
        <v>5</v>
      </c>
      <c r="C2403" s="20"/>
      <c r="D2403">
        <f>koronahun!U875</f>
        <v>0</v>
      </c>
      <c r="E2403" s="56" t="s">
        <v>20</v>
      </c>
      <c r="F2403" s="56" t="s">
        <v>20</v>
      </c>
    </row>
    <row r="2404" spans="1:6" ht="13">
      <c r="A2404" s="16">
        <v>207</v>
      </c>
      <c r="B2404" s="16">
        <v>6</v>
      </c>
      <c r="C2404" s="20">
        <v>9</v>
      </c>
      <c r="D2404">
        <f>koronahun!U876</f>
        <v>0</v>
      </c>
      <c r="E2404" s="56" t="s">
        <v>20</v>
      </c>
      <c r="F2404" s="56" t="s">
        <v>20</v>
      </c>
    </row>
    <row r="2405" spans="1:6" ht="13">
      <c r="A2405" s="16">
        <v>208</v>
      </c>
      <c r="B2405" s="16">
        <v>6</v>
      </c>
      <c r="C2405" s="20">
        <v>11</v>
      </c>
      <c r="D2405">
        <f>koronahun!U877</f>
        <v>17</v>
      </c>
      <c r="E2405" s="56" t="s">
        <v>20</v>
      </c>
      <c r="F2405" s="56" t="s">
        <v>20</v>
      </c>
    </row>
    <row r="2406" spans="1:6" ht="13">
      <c r="A2406" s="16">
        <v>209</v>
      </c>
      <c r="B2406" s="16">
        <v>6</v>
      </c>
      <c r="C2406" s="20">
        <v>11</v>
      </c>
      <c r="D2406">
        <f>koronahun!U878</f>
        <v>0</v>
      </c>
      <c r="E2406" s="56" t="s">
        <v>20</v>
      </c>
      <c r="F2406" s="56" t="s">
        <v>20</v>
      </c>
    </row>
    <row r="2407" spans="1:6" ht="13">
      <c r="A2407" s="16">
        <v>210</v>
      </c>
      <c r="B2407" s="16">
        <v>6</v>
      </c>
      <c r="C2407" s="20">
        <v>13</v>
      </c>
      <c r="D2407">
        <f>koronahun!U879</f>
        <v>0</v>
      </c>
      <c r="E2407" s="56" t="s">
        <v>20</v>
      </c>
      <c r="F2407" s="56" t="s">
        <v>20</v>
      </c>
    </row>
    <row r="2408" spans="1:6" ht="13">
      <c r="A2408" s="16">
        <v>211</v>
      </c>
      <c r="B2408" s="16">
        <v>6</v>
      </c>
      <c r="C2408" s="20">
        <v>11</v>
      </c>
      <c r="D2408">
        <f>koronahun!U880</f>
        <v>0</v>
      </c>
      <c r="E2408" s="56" t="s">
        <v>20</v>
      </c>
      <c r="F2408" s="56" t="s">
        <v>20</v>
      </c>
    </row>
    <row r="2409" spans="1:6" ht="13">
      <c r="A2409" s="16">
        <v>212</v>
      </c>
      <c r="B2409" s="16">
        <v>6</v>
      </c>
      <c r="C2409" s="20"/>
      <c r="D2409">
        <f>koronahun!U881</f>
        <v>0</v>
      </c>
      <c r="E2409" s="56" t="s">
        <v>20</v>
      </c>
      <c r="F2409" s="56" t="s">
        <v>20</v>
      </c>
    </row>
    <row r="2410" spans="1:6" ht="13">
      <c r="A2410" s="16">
        <v>213</v>
      </c>
      <c r="B2410" s="16">
        <v>6</v>
      </c>
      <c r="C2410" s="20"/>
      <c r="D2410">
        <f>koronahun!U882</f>
        <v>0</v>
      </c>
      <c r="E2410" s="56" t="s">
        <v>20</v>
      </c>
      <c r="F2410" s="56" t="s">
        <v>20</v>
      </c>
    </row>
    <row r="2411" spans="1:6" ht="13">
      <c r="A2411" s="16">
        <v>214</v>
      </c>
      <c r="B2411" s="16">
        <v>7</v>
      </c>
      <c r="C2411" s="20">
        <v>11</v>
      </c>
      <c r="D2411">
        <f>koronahun!U883</f>
        <v>0</v>
      </c>
      <c r="E2411" s="56" t="s">
        <v>20</v>
      </c>
      <c r="F2411" s="56" t="s">
        <v>20</v>
      </c>
    </row>
    <row r="2412" spans="1:6" ht="13">
      <c r="A2412" s="16">
        <v>215</v>
      </c>
      <c r="B2412" s="16">
        <v>7</v>
      </c>
      <c r="C2412" s="20">
        <v>10</v>
      </c>
      <c r="D2412">
        <f>koronahun!U884</f>
        <v>19</v>
      </c>
      <c r="E2412" s="56" t="s">
        <v>20</v>
      </c>
      <c r="F2412" s="56" t="s">
        <v>20</v>
      </c>
    </row>
    <row r="2413" spans="1:6" ht="13">
      <c r="A2413" s="16">
        <v>216</v>
      </c>
      <c r="B2413" s="16">
        <v>7</v>
      </c>
      <c r="C2413" s="20">
        <v>8</v>
      </c>
      <c r="D2413">
        <f>koronahun!U885</f>
        <v>0</v>
      </c>
      <c r="E2413" s="56" t="s">
        <v>20</v>
      </c>
      <c r="F2413" s="56" t="s">
        <v>20</v>
      </c>
    </row>
    <row r="2414" spans="1:6" ht="13">
      <c r="A2414" s="16">
        <v>217</v>
      </c>
      <c r="B2414" s="16">
        <v>7</v>
      </c>
      <c r="C2414" s="20">
        <v>11</v>
      </c>
      <c r="D2414">
        <f>koronahun!U886</f>
        <v>0</v>
      </c>
      <c r="E2414" s="56" t="s">
        <v>20</v>
      </c>
      <c r="F2414" s="56" t="s">
        <v>20</v>
      </c>
    </row>
    <row r="2415" spans="1:6" ht="13">
      <c r="A2415" s="16">
        <v>218</v>
      </c>
      <c r="B2415" s="16">
        <v>8</v>
      </c>
      <c r="C2415" s="20">
        <v>12</v>
      </c>
      <c r="D2415">
        <f>koronahun!U887</f>
        <v>0</v>
      </c>
      <c r="E2415" s="56" t="s">
        <v>20</v>
      </c>
      <c r="F2415" s="56" t="s">
        <v>20</v>
      </c>
    </row>
    <row r="2416" spans="1:6" ht="13">
      <c r="A2416" s="16">
        <v>219</v>
      </c>
      <c r="B2416" s="16">
        <v>6</v>
      </c>
      <c r="C2416" s="20"/>
      <c r="D2416">
        <f>koronahun!U888</f>
        <v>0</v>
      </c>
      <c r="E2416" s="56" t="s">
        <v>20</v>
      </c>
      <c r="F2416" s="56" t="s">
        <v>20</v>
      </c>
    </row>
    <row r="2417" spans="1:6" ht="13">
      <c r="A2417" s="16">
        <v>220</v>
      </c>
      <c r="B2417" s="16">
        <v>6</v>
      </c>
      <c r="C2417" s="20"/>
      <c r="D2417">
        <f>koronahun!U889</f>
        <v>0</v>
      </c>
      <c r="E2417" s="56" t="s">
        <v>20</v>
      </c>
      <c r="F2417" s="56" t="s">
        <v>20</v>
      </c>
    </row>
    <row r="2418" spans="1:6" ht="13">
      <c r="A2418" s="16">
        <v>221</v>
      </c>
      <c r="B2418" s="16">
        <v>6</v>
      </c>
      <c r="C2418" s="20">
        <v>11</v>
      </c>
      <c r="D2418">
        <f>koronahun!U890</f>
        <v>0</v>
      </c>
      <c r="E2418" s="56" t="s">
        <v>20</v>
      </c>
      <c r="F2418" s="56" t="s">
        <v>20</v>
      </c>
    </row>
    <row r="2419" spans="1:6" ht="13">
      <c r="A2419" s="16">
        <v>222</v>
      </c>
      <c r="B2419" s="16">
        <v>6</v>
      </c>
      <c r="C2419" s="20">
        <v>15</v>
      </c>
      <c r="D2419">
        <f>koronahun!U891</f>
        <v>22</v>
      </c>
      <c r="E2419" s="56" t="s">
        <v>20</v>
      </c>
      <c r="F2419" s="56" t="s">
        <v>20</v>
      </c>
    </row>
    <row r="2420" spans="1:6" ht="13">
      <c r="A2420" s="16">
        <v>223</v>
      </c>
      <c r="B2420" s="16">
        <v>5</v>
      </c>
      <c r="C2420" s="20">
        <v>15</v>
      </c>
      <c r="D2420">
        <f>koronahun!U892</f>
        <v>0</v>
      </c>
      <c r="E2420" s="56" t="s">
        <v>20</v>
      </c>
      <c r="F2420" s="56" t="s">
        <v>20</v>
      </c>
    </row>
    <row r="2421" spans="1:6" ht="13">
      <c r="A2421" s="16">
        <v>224</v>
      </c>
      <c r="B2421" s="16">
        <v>5</v>
      </c>
      <c r="C2421" s="20">
        <v>15</v>
      </c>
      <c r="D2421">
        <f>koronahun!U893</f>
        <v>0</v>
      </c>
      <c r="E2421" s="56" t="s">
        <v>20</v>
      </c>
      <c r="F2421" s="56" t="s">
        <v>20</v>
      </c>
    </row>
    <row r="2422" spans="1:6" ht="13">
      <c r="A2422" s="16">
        <v>225</v>
      </c>
      <c r="B2422" s="16">
        <v>5</v>
      </c>
      <c r="C2422" s="20">
        <v>14</v>
      </c>
      <c r="D2422">
        <f>koronahun!U894</f>
        <v>0</v>
      </c>
      <c r="E2422" s="56" t="s">
        <v>20</v>
      </c>
      <c r="F2422" s="56" t="s">
        <v>20</v>
      </c>
    </row>
    <row r="2423" spans="1:6" ht="13">
      <c r="A2423" s="16">
        <v>226</v>
      </c>
      <c r="B2423" s="16">
        <v>6</v>
      </c>
      <c r="C2423" s="20"/>
      <c r="D2423">
        <f>koronahun!U895</f>
        <v>0</v>
      </c>
      <c r="E2423" s="56" t="s">
        <v>20</v>
      </c>
      <c r="F2423" s="56" t="s">
        <v>20</v>
      </c>
    </row>
    <row r="2424" spans="1:6" ht="13">
      <c r="A2424" s="16">
        <v>227</v>
      </c>
      <c r="B2424" s="16">
        <v>6</v>
      </c>
      <c r="C2424" s="20"/>
      <c r="D2424">
        <f>koronahun!U896</f>
        <v>0</v>
      </c>
      <c r="E2424" s="56" t="s">
        <v>20</v>
      </c>
      <c r="F2424" s="56" t="s">
        <v>20</v>
      </c>
    </row>
    <row r="2425" spans="1:6" ht="13">
      <c r="A2425" s="16">
        <v>228</v>
      </c>
      <c r="B2425" s="16">
        <v>6</v>
      </c>
      <c r="C2425" s="20">
        <v>11</v>
      </c>
      <c r="D2425">
        <f>koronahun!U897</f>
        <v>0</v>
      </c>
      <c r="E2425" s="56" t="s">
        <v>20</v>
      </c>
      <c r="F2425" s="56" t="s">
        <v>20</v>
      </c>
    </row>
    <row r="2426" spans="1:6" ht="13">
      <c r="A2426" s="16">
        <v>229</v>
      </c>
      <c r="B2426" s="16">
        <v>6</v>
      </c>
      <c r="C2426" s="20">
        <v>11</v>
      </c>
      <c r="D2426">
        <f>koronahun!U898</f>
        <v>9</v>
      </c>
      <c r="E2426" s="56" t="s">
        <v>20</v>
      </c>
      <c r="F2426" s="56" t="s">
        <v>20</v>
      </c>
    </row>
    <row r="2427" spans="1:6" ht="13">
      <c r="A2427" s="16">
        <v>230</v>
      </c>
      <c r="B2427" s="16">
        <v>6</v>
      </c>
      <c r="C2427" s="20">
        <v>11</v>
      </c>
      <c r="D2427">
        <f>koronahun!U899</f>
        <v>0</v>
      </c>
      <c r="E2427" s="56" t="s">
        <v>20</v>
      </c>
      <c r="F2427" s="56" t="s">
        <v>20</v>
      </c>
    </row>
    <row r="2428" spans="1:6" ht="13">
      <c r="A2428" s="16">
        <v>231</v>
      </c>
      <c r="B2428" s="16">
        <v>7</v>
      </c>
      <c r="C2428" s="20">
        <v>11</v>
      </c>
      <c r="D2428">
        <f>koronahun!U900</f>
        <v>0</v>
      </c>
      <c r="E2428" s="56" t="s">
        <v>20</v>
      </c>
      <c r="F2428" s="56" t="s">
        <v>20</v>
      </c>
    </row>
    <row r="2429" spans="1:6" ht="13">
      <c r="A2429" s="16">
        <v>232</v>
      </c>
      <c r="B2429" s="16">
        <v>7</v>
      </c>
      <c r="C2429" s="20"/>
      <c r="D2429">
        <f>koronahun!U901</f>
        <v>0</v>
      </c>
      <c r="E2429" s="56" t="s">
        <v>20</v>
      </c>
      <c r="F2429" s="56" t="s">
        <v>20</v>
      </c>
    </row>
    <row r="2430" spans="1:6" ht="13">
      <c r="A2430" s="16">
        <v>233</v>
      </c>
      <c r="B2430" s="16">
        <v>6</v>
      </c>
      <c r="C2430" s="20"/>
      <c r="D2430">
        <f>koronahun!U902</f>
        <v>0</v>
      </c>
      <c r="E2430" s="56" t="s">
        <v>20</v>
      </c>
      <c r="F2430" s="56" t="s">
        <v>20</v>
      </c>
    </row>
    <row r="2431" spans="1:6" ht="13">
      <c r="A2431" s="16">
        <v>234</v>
      </c>
      <c r="B2431" s="16">
        <v>7</v>
      </c>
      <c r="C2431" s="20"/>
      <c r="D2431">
        <f>koronahun!U903</f>
        <v>0</v>
      </c>
      <c r="E2431" s="56" t="s">
        <v>20</v>
      </c>
      <c r="F2431" s="56" t="s">
        <v>20</v>
      </c>
    </row>
    <row r="2432" spans="1:6" ht="13">
      <c r="A2432" s="16">
        <v>235</v>
      </c>
      <c r="B2432" s="16">
        <v>7</v>
      </c>
      <c r="C2432" s="20">
        <v>10</v>
      </c>
      <c r="D2432">
        <f>koronahun!U904</f>
        <v>0</v>
      </c>
      <c r="E2432" s="56" t="s">
        <v>20</v>
      </c>
      <c r="F2432" s="56" t="s">
        <v>20</v>
      </c>
    </row>
    <row r="2433" spans="1:6" ht="13">
      <c r="A2433" s="16">
        <v>236</v>
      </c>
      <c r="B2433" s="16">
        <v>9</v>
      </c>
      <c r="C2433" s="20">
        <v>11</v>
      </c>
      <c r="D2433">
        <f>koronahun!U905</f>
        <v>27</v>
      </c>
      <c r="E2433" s="56" t="s">
        <v>20</v>
      </c>
      <c r="F2433" s="56" t="s">
        <v>20</v>
      </c>
    </row>
    <row r="2434" spans="1:6" ht="13">
      <c r="A2434" s="16">
        <v>237</v>
      </c>
      <c r="B2434" s="16">
        <v>7</v>
      </c>
      <c r="C2434" s="20">
        <v>13</v>
      </c>
      <c r="D2434">
        <f>koronahun!U906</f>
        <v>0</v>
      </c>
      <c r="E2434" s="56" t="s">
        <v>20</v>
      </c>
      <c r="F2434" s="56" t="s">
        <v>20</v>
      </c>
    </row>
    <row r="2435" spans="1:6" ht="13">
      <c r="A2435" s="16">
        <v>238</v>
      </c>
      <c r="B2435" s="16">
        <v>7</v>
      </c>
      <c r="C2435" s="20">
        <v>9</v>
      </c>
      <c r="D2435">
        <f>koronahun!U907</f>
        <v>0</v>
      </c>
      <c r="E2435" s="56" t="s">
        <v>20</v>
      </c>
      <c r="F2435" s="56" t="s">
        <v>20</v>
      </c>
    </row>
    <row r="2436" spans="1:6" ht="13">
      <c r="A2436" s="16">
        <v>239</v>
      </c>
      <c r="B2436" s="16">
        <v>8</v>
      </c>
      <c r="C2436" s="20">
        <v>8</v>
      </c>
      <c r="D2436">
        <f>koronahun!U908</f>
        <v>0</v>
      </c>
      <c r="E2436" s="56" t="s">
        <v>20</v>
      </c>
      <c r="F2436" s="56" t="s">
        <v>20</v>
      </c>
    </row>
    <row r="2437" spans="1:6" ht="13">
      <c r="A2437" s="16">
        <v>240</v>
      </c>
      <c r="B2437" s="16">
        <v>7</v>
      </c>
      <c r="C2437" s="20"/>
      <c r="D2437">
        <f>koronahun!U909</f>
        <v>0</v>
      </c>
      <c r="E2437" s="56" t="s">
        <v>20</v>
      </c>
      <c r="F2437" s="56" t="s">
        <v>20</v>
      </c>
    </row>
    <row r="2438" spans="1:6" ht="13">
      <c r="A2438" s="16">
        <v>241</v>
      </c>
      <c r="B2438" s="16">
        <v>7</v>
      </c>
      <c r="C2438" s="20"/>
      <c r="D2438">
        <f>koronahun!U910</f>
        <v>0</v>
      </c>
      <c r="E2438" s="56" t="s">
        <v>20</v>
      </c>
      <c r="F2438" s="56" t="s">
        <v>20</v>
      </c>
    </row>
    <row r="2439" spans="1:6" ht="13">
      <c r="A2439" s="16">
        <v>242</v>
      </c>
      <c r="B2439" s="16">
        <v>7</v>
      </c>
      <c r="C2439" s="20">
        <v>7</v>
      </c>
      <c r="D2439">
        <f>koronahun!U911</f>
        <v>0</v>
      </c>
      <c r="E2439" s="56" t="s">
        <v>20</v>
      </c>
      <c r="F2439" s="56" t="s">
        <v>20</v>
      </c>
    </row>
    <row r="2440" spans="1:6" ht="13">
      <c r="A2440" s="16">
        <v>243</v>
      </c>
      <c r="B2440" s="16">
        <v>7</v>
      </c>
      <c r="C2440" s="20">
        <v>13</v>
      </c>
      <c r="D2440">
        <f>koronahun!U912</f>
        <v>23</v>
      </c>
      <c r="E2440" s="56" t="s">
        <v>20</v>
      </c>
      <c r="F2440" s="56" t="s">
        <v>20</v>
      </c>
    </row>
    <row r="2441" spans="1:6" ht="13">
      <c r="A2441" s="16">
        <v>244</v>
      </c>
      <c r="B2441" s="16">
        <v>7</v>
      </c>
      <c r="C2441" s="20">
        <v>13</v>
      </c>
      <c r="D2441">
        <f>koronahun!U913</f>
        <v>0</v>
      </c>
      <c r="E2441" s="56" t="s">
        <v>20</v>
      </c>
      <c r="F2441" s="56" t="s">
        <v>20</v>
      </c>
    </row>
    <row r="2442" spans="1:6" ht="13">
      <c r="A2442" s="16">
        <v>245</v>
      </c>
      <c r="B2442" s="16">
        <v>7</v>
      </c>
      <c r="C2442" s="20">
        <v>16</v>
      </c>
      <c r="D2442">
        <f>koronahun!U914</f>
        <v>0</v>
      </c>
      <c r="E2442" s="56" t="s">
        <v>20</v>
      </c>
      <c r="F2442" s="56" t="s">
        <v>20</v>
      </c>
    </row>
    <row r="2443" spans="1:6" ht="13">
      <c r="A2443" s="16">
        <v>246</v>
      </c>
      <c r="B2443" s="16">
        <v>7</v>
      </c>
      <c r="C2443" s="20">
        <v>19</v>
      </c>
      <c r="D2443">
        <f>koronahun!U915</f>
        <v>0</v>
      </c>
      <c r="E2443" s="56" t="s">
        <v>20</v>
      </c>
      <c r="F2443" s="56" t="s">
        <v>20</v>
      </c>
    </row>
    <row r="2444" spans="1:6" ht="13">
      <c r="A2444" s="16">
        <v>247</v>
      </c>
      <c r="B2444" s="16">
        <v>8</v>
      </c>
      <c r="C2444" s="20"/>
      <c r="D2444">
        <f>koronahun!U916</f>
        <v>0</v>
      </c>
      <c r="E2444" s="56" t="s">
        <v>20</v>
      </c>
      <c r="F2444" s="56" t="s">
        <v>20</v>
      </c>
    </row>
    <row r="2445" spans="1:6" ht="13">
      <c r="A2445" s="16">
        <v>248</v>
      </c>
      <c r="B2445" s="16">
        <v>9</v>
      </c>
      <c r="C2445" s="20"/>
      <c r="D2445">
        <f>koronahun!U917</f>
        <v>0</v>
      </c>
      <c r="E2445" s="56" t="s">
        <v>20</v>
      </c>
      <c r="F2445" s="56" t="s">
        <v>20</v>
      </c>
    </row>
    <row r="2446" spans="1:6" ht="13">
      <c r="A2446" s="16">
        <v>249</v>
      </c>
      <c r="B2446" s="16">
        <v>11</v>
      </c>
      <c r="C2446" s="20">
        <v>23</v>
      </c>
      <c r="D2446">
        <f>koronahun!U918</f>
        <v>0</v>
      </c>
      <c r="E2446" s="56" t="s">
        <v>20</v>
      </c>
      <c r="F2446" s="56" t="s">
        <v>20</v>
      </c>
    </row>
    <row r="2447" spans="1:6" ht="13">
      <c r="A2447" s="16">
        <v>250</v>
      </c>
      <c r="B2447" s="16">
        <v>11</v>
      </c>
      <c r="C2447" s="20">
        <v>24</v>
      </c>
      <c r="D2447">
        <f>koronahun!U919</f>
        <v>17</v>
      </c>
      <c r="E2447" s="56" t="s">
        <v>20</v>
      </c>
      <c r="F2447" s="56" t="s">
        <v>20</v>
      </c>
    </row>
    <row r="2448" spans="1:6" ht="13">
      <c r="A2448" s="16">
        <v>251</v>
      </c>
      <c r="B2448" s="16">
        <v>12</v>
      </c>
      <c r="C2448" s="20">
        <v>26</v>
      </c>
      <c r="D2448">
        <f>koronahun!U920</f>
        <v>0</v>
      </c>
      <c r="E2448" s="56" t="s">
        <v>20</v>
      </c>
      <c r="F2448" s="56" t="s">
        <v>20</v>
      </c>
    </row>
    <row r="2449" spans="1:6" ht="13">
      <c r="A2449" s="16">
        <v>252</v>
      </c>
      <c r="B2449" s="16">
        <v>13</v>
      </c>
      <c r="C2449" s="20">
        <v>26</v>
      </c>
      <c r="D2449">
        <f>koronahun!U921</f>
        <v>0</v>
      </c>
      <c r="E2449" s="56" t="s">
        <v>20</v>
      </c>
      <c r="F2449" s="56" t="s">
        <v>20</v>
      </c>
    </row>
    <row r="2450" spans="1:6" ht="13">
      <c r="A2450" s="16">
        <v>253</v>
      </c>
      <c r="B2450" s="16">
        <v>11</v>
      </c>
      <c r="C2450" s="20">
        <v>30</v>
      </c>
      <c r="D2450">
        <f>koronahun!U922</f>
        <v>0</v>
      </c>
      <c r="E2450" s="56" t="s">
        <v>20</v>
      </c>
      <c r="F2450" s="56" t="s">
        <v>20</v>
      </c>
    </row>
    <row r="2451" spans="1:6" ht="13">
      <c r="A2451" s="16">
        <v>254</v>
      </c>
      <c r="B2451" s="16">
        <v>12</v>
      </c>
      <c r="C2451" s="20"/>
      <c r="D2451">
        <f>koronahun!U923</f>
        <v>0</v>
      </c>
      <c r="E2451" s="56" t="s">
        <v>20</v>
      </c>
      <c r="F2451" s="56" t="s">
        <v>20</v>
      </c>
    </row>
    <row r="2452" spans="1:6" ht="13">
      <c r="A2452" s="16">
        <v>255</v>
      </c>
      <c r="B2452" s="16">
        <v>15</v>
      </c>
      <c r="C2452" s="20"/>
      <c r="D2452">
        <f>koronahun!U924</f>
        <v>0</v>
      </c>
      <c r="E2452" s="56" t="s">
        <v>20</v>
      </c>
      <c r="F2452" s="56" t="s">
        <v>20</v>
      </c>
    </row>
    <row r="2453" spans="1:6" ht="13">
      <c r="A2453" s="16">
        <v>256</v>
      </c>
      <c r="B2453" s="16">
        <v>16</v>
      </c>
      <c r="C2453" s="20">
        <v>34</v>
      </c>
      <c r="D2453">
        <f>koronahun!U925</f>
        <v>0</v>
      </c>
      <c r="E2453" s="56" t="s">
        <v>20</v>
      </c>
      <c r="F2453" s="56" t="s">
        <v>20</v>
      </c>
    </row>
    <row r="2454" spans="1:6" ht="13">
      <c r="A2454" s="16">
        <v>257</v>
      </c>
      <c r="B2454" s="16">
        <v>16</v>
      </c>
      <c r="C2454" s="20">
        <v>43</v>
      </c>
      <c r="D2454">
        <f>koronahun!U926</f>
        <v>10</v>
      </c>
      <c r="E2454" s="56" t="s">
        <v>20</v>
      </c>
      <c r="F2454" s="56" t="s">
        <v>20</v>
      </c>
    </row>
    <row r="2455" spans="1:6" ht="13">
      <c r="A2455" s="16">
        <v>258</v>
      </c>
      <c r="B2455" s="16">
        <v>17</v>
      </c>
      <c r="C2455" s="20">
        <v>40</v>
      </c>
      <c r="D2455">
        <f>koronahun!U927</f>
        <v>0</v>
      </c>
      <c r="E2455" s="56" t="s">
        <v>20</v>
      </c>
      <c r="F2455" s="56" t="s">
        <v>20</v>
      </c>
    </row>
    <row r="2456" spans="1:6" ht="13">
      <c r="A2456" s="16">
        <v>259</v>
      </c>
      <c r="B2456" s="16">
        <v>18</v>
      </c>
      <c r="C2456" s="20">
        <v>40</v>
      </c>
      <c r="D2456">
        <f>koronahun!U928</f>
        <v>0</v>
      </c>
      <c r="E2456" s="56" t="s">
        <v>20</v>
      </c>
      <c r="F2456" s="56" t="s">
        <v>20</v>
      </c>
    </row>
    <row r="2457" spans="1:6" ht="13">
      <c r="A2457" s="16">
        <v>260</v>
      </c>
      <c r="B2457" s="16">
        <v>21</v>
      </c>
      <c r="C2457" s="20">
        <v>41</v>
      </c>
      <c r="D2457">
        <f>koronahun!U929</f>
        <v>0</v>
      </c>
      <c r="E2457" s="56" t="s">
        <v>20</v>
      </c>
      <c r="F2457" s="56" t="s">
        <v>20</v>
      </c>
    </row>
    <row r="2458" spans="1:6" ht="13">
      <c r="A2458" s="16">
        <v>261</v>
      </c>
      <c r="B2458" s="16">
        <v>29</v>
      </c>
      <c r="C2458" s="20"/>
      <c r="D2458">
        <f>koronahun!U930</f>
        <v>0</v>
      </c>
      <c r="E2458" s="56" t="s">
        <v>20</v>
      </c>
      <c r="F2458" s="56" t="s">
        <v>20</v>
      </c>
    </row>
    <row r="2459" spans="1:6" ht="13">
      <c r="A2459" s="16">
        <v>262</v>
      </c>
      <c r="B2459" s="16">
        <v>30</v>
      </c>
      <c r="C2459" s="20"/>
      <c r="D2459">
        <f>koronahun!U931</f>
        <v>0</v>
      </c>
      <c r="E2459" s="56" t="s">
        <v>20</v>
      </c>
      <c r="F2459" s="56" t="s">
        <v>20</v>
      </c>
    </row>
    <row r="2460" spans="1:6" ht="13">
      <c r="A2460" s="16">
        <v>263</v>
      </c>
      <c r="B2460" s="16">
        <v>32</v>
      </c>
      <c r="C2460" s="20">
        <v>45</v>
      </c>
      <c r="D2460">
        <f>koronahun!U932</f>
        <v>0</v>
      </c>
      <c r="E2460" s="56" t="s">
        <v>20</v>
      </c>
      <c r="F2460" s="56" t="s">
        <v>20</v>
      </c>
    </row>
    <row r="2461" spans="1:6" ht="13">
      <c r="A2461" s="16">
        <v>264</v>
      </c>
      <c r="B2461" s="16">
        <v>35</v>
      </c>
      <c r="C2461" s="20">
        <v>45</v>
      </c>
      <c r="D2461">
        <f>koronahun!U933</f>
        <v>14</v>
      </c>
      <c r="E2461" s="56" t="s">
        <v>20</v>
      </c>
      <c r="F2461" s="56" t="s">
        <v>20</v>
      </c>
    </row>
    <row r="2462" spans="1:6" ht="13">
      <c r="A2462" s="16">
        <v>265</v>
      </c>
      <c r="B2462" s="16">
        <v>36</v>
      </c>
      <c r="C2462" s="20">
        <v>46</v>
      </c>
      <c r="D2462">
        <f>koronahun!U934</f>
        <v>0</v>
      </c>
      <c r="E2462" s="56" t="s">
        <v>20</v>
      </c>
      <c r="F2462" s="56" t="s">
        <v>20</v>
      </c>
    </row>
    <row r="2463" spans="1:6" ht="13">
      <c r="A2463" s="16">
        <v>266</v>
      </c>
      <c r="B2463" s="16">
        <v>35</v>
      </c>
      <c r="C2463" s="20">
        <v>48</v>
      </c>
      <c r="D2463">
        <f>koronahun!U935</f>
        <v>0</v>
      </c>
      <c r="E2463" s="56" t="s">
        <v>20</v>
      </c>
      <c r="F2463" s="56" t="s">
        <v>20</v>
      </c>
    </row>
    <row r="2464" spans="1:6" ht="13">
      <c r="A2464" s="16">
        <v>267</v>
      </c>
      <c r="B2464" s="16">
        <v>32</v>
      </c>
      <c r="C2464" s="20">
        <v>54</v>
      </c>
      <c r="D2464">
        <f>koronahun!U936</f>
        <v>0</v>
      </c>
      <c r="E2464" s="56" t="s">
        <v>20</v>
      </c>
      <c r="F2464" s="56" t="s">
        <v>20</v>
      </c>
    </row>
    <row r="2465" spans="1:6" ht="13">
      <c r="A2465" s="16">
        <v>268</v>
      </c>
      <c r="B2465" s="16">
        <v>30</v>
      </c>
      <c r="C2465" s="20"/>
      <c r="D2465">
        <f>koronahun!U937</f>
        <v>0</v>
      </c>
      <c r="E2465" s="56" t="s">
        <v>20</v>
      </c>
      <c r="F2465" s="56" t="s">
        <v>20</v>
      </c>
    </row>
    <row r="2466" spans="1:6" ht="13">
      <c r="A2466" s="16">
        <v>269</v>
      </c>
      <c r="B2466" s="16">
        <v>36</v>
      </c>
      <c r="C2466" s="20"/>
      <c r="D2466">
        <f>koronahun!U938</f>
        <v>0</v>
      </c>
      <c r="E2466" s="56" t="s">
        <v>20</v>
      </c>
      <c r="F2466" s="56" t="s">
        <v>20</v>
      </c>
    </row>
    <row r="2467" spans="1:6" ht="13">
      <c r="A2467" s="16">
        <v>270</v>
      </c>
      <c r="B2467" s="16">
        <v>38</v>
      </c>
      <c r="C2467" s="20">
        <v>71</v>
      </c>
      <c r="D2467">
        <f>koronahun!U939</f>
        <v>0</v>
      </c>
      <c r="E2467" s="56" t="s">
        <v>20</v>
      </c>
      <c r="F2467" s="56" t="s">
        <v>20</v>
      </c>
    </row>
    <row r="2468" spans="1:6" ht="13">
      <c r="A2468" s="16">
        <v>271</v>
      </c>
      <c r="B2468" s="16">
        <v>44</v>
      </c>
      <c r="C2468" s="20">
        <v>74</v>
      </c>
      <c r="D2468">
        <f>koronahun!U940</f>
        <v>18</v>
      </c>
      <c r="E2468" s="56" t="s">
        <v>20</v>
      </c>
      <c r="F2468" s="56" t="s">
        <v>20</v>
      </c>
    </row>
    <row r="2469" spans="1:6" ht="13">
      <c r="A2469" s="16">
        <v>272</v>
      </c>
      <c r="B2469" s="16">
        <v>51</v>
      </c>
      <c r="C2469" s="20">
        <v>81</v>
      </c>
      <c r="D2469">
        <f>koronahun!U941</f>
        <v>0</v>
      </c>
      <c r="E2469" s="56" t="s">
        <v>20</v>
      </c>
      <c r="F2469" s="56" t="s">
        <v>20</v>
      </c>
    </row>
    <row r="2470" spans="1:6" ht="13">
      <c r="A2470" s="16">
        <v>273</v>
      </c>
      <c r="B2470" s="16">
        <v>54</v>
      </c>
      <c r="C2470" s="20">
        <v>87</v>
      </c>
      <c r="D2470">
        <f>koronahun!U942</f>
        <v>0</v>
      </c>
      <c r="E2470" s="56" t="s">
        <v>20</v>
      </c>
      <c r="F2470" s="56" t="s">
        <v>20</v>
      </c>
    </row>
    <row r="2471" spans="1:6" ht="13">
      <c r="A2471" s="16">
        <v>274</v>
      </c>
      <c r="B2471" s="16">
        <v>52</v>
      </c>
      <c r="C2471" s="20">
        <v>84</v>
      </c>
      <c r="D2471">
        <f>koronahun!U943</f>
        <v>0</v>
      </c>
      <c r="E2471" s="56" t="s">
        <v>20</v>
      </c>
      <c r="F2471" s="56" t="s">
        <v>20</v>
      </c>
    </row>
    <row r="2472" spans="1:6" ht="13">
      <c r="A2472" s="16">
        <v>275</v>
      </c>
      <c r="B2472" s="16">
        <v>47</v>
      </c>
      <c r="C2472" s="20"/>
      <c r="D2472">
        <f>koronahun!U944</f>
        <v>0</v>
      </c>
      <c r="E2472" s="56" t="s">
        <v>20</v>
      </c>
      <c r="F2472" s="56" t="s">
        <v>20</v>
      </c>
    </row>
    <row r="2473" spans="1:6" ht="13">
      <c r="A2473" s="16">
        <v>276</v>
      </c>
      <c r="B2473" s="16">
        <v>43</v>
      </c>
      <c r="C2473" s="20"/>
      <c r="D2473">
        <f>koronahun!U945</f>
        <v>0</v>
      </c>
      <c r="E2473" s="56" t="s">
        <v>20</v>
      </c>
      <c r="F2473" s="56" t="s">
        <v>20</v>
      </c>
    </row>
    <row r="2474" spans="1:6" ht="13">
      <c r="A2474" s="16">
        <v>277</v>
      </c>
      <c r="B2474" s="16">
        <v>42</v>
      </c>
      <c r="C2474" s="20">
        <v>87</v>
      </c>
      <c r="D2474">
        <f>koronahun!U946</f>
        <v>0</v>
      </c>
      <c r="E2474" s="56" t="s">
        <v>20</v>
      </c>
      <c r="F2474" s="56" t="s">
        <v>20</v>
      </c>
    </row>
    <row r="2475" spans="1:6" ht="13">
      <c r="A2475" s="16">
        <v>278</v>
      </c>
      <c r="B2475" s="16">
        <v>40</v>
      </c>
      <c r="C2475" s="20">
        <v>86</v>
      </c>
      <c r="D2475">
        <f>koronahun!U947</f>
        <v>32</v>
      </c>
      <c r="E2475" s="56" t="s">
        <v>20</v>
      </c>
      <c r="F2475" s="56" t="s">
        <v>20</v>
      </c>
    </row>
    <row r="2476" spans="1:6" ht="13">
      <c r="A2476" s="16">
        <v>279</v>
      </c>
      <c r="B2476" s="16">
        <v>37</v>
      </c>
      <c r="C2476" s="20">
        <v>79</v>
      </c>
      <c r="D2476">
        <f>koronahun!U948</f>
        <v>0</v>
      </c>
      <c r="E2476" s="56" t="s">
        <v>20</v>
      </c>
      <c r="F2476" s="56" t="s">
        <v>20</v>
      </c>
    </row>
    <row r="2477" spans="1:6" ht="13">
      <c r="A2477" s="16">
        <v>280</v>
      </c>
      <c r="B2477" s="20">
        <v>41</v>
      </c>
      <c r="C2477" s="20">
        <v>92</v>
      </c>
      <c r="D2477">
        <f>koronahun!U949</f>
        <v>0</v>
      </c>
      <c r="E2477" s="56" t="s">
        <v>20</v>
      </c>
      <c r="F2477" s="56" t="s">
        <v>20</v>
      </c>
    </row>
    <row r="2478" spans="1:6" ht="13">
      <c r="A2478" s="16">
        <v>281</v>
      </c>
      <c r="B2478" s="20">
        <v>56</v>
      </c>
      <c r="C2478" s="20">
        <v>100</v>
      </c>
      <c r="D2478">
        <f>koronahun!U950</f>
        <v>0</v>
      </c>
      <c r="E2478" s="56" t="s">
        <v>20</v>
      </c>
      <c r="F2478" s="56" t="s">
        <v>20</v>
      </c>
    </row>
    <row r="2479" spans="1:6" ht="13">
      <c r="A2479" s="16">
        <v>282</v>
      </c>
      <c r="B2479" s="20">
        <v>82</v>
      </c>
      <c r="C2479" s="20"/>
      <c r="D2479">
        <f>koronahun!U951</f>
        <v>0</v>
      </c>
      <c r="E2479" s="56" t="s">
        <v>20</v>
      </c>
      <c r="F2479" s="56" t="s">
        <v>20</v>
      </c>
    </row>
    <row r="2480" spans="1:6" ht="13">
      <c r="A2480" s="16">
        <v>283</v>
      </c>
      <c r="B2480" s="20">
        <v>110</v>
      </c>
      <c r="C2480" s="20"/>
      <c r="D2480">
        <f>koronahun!U952</f>
        <v>0</v>
      </c>
      <c r="E2480" s="56" t="s">
        <v>20</v>
      </c>
      <c r="F2480" s="56" t="s">
        <v>20</v>
      </c>
    </row>
    <row r="2481" spans="1:6" ht="13">
      <c r="A2481" s="16">
        <v>284</v>
      </c>
      <c r="B2481" s="20">
        <v>138</v>
      </c>
      <c r="C2481" s="20">
        <v>109</v>
      </c>
      <c r="D2481">
        <f>koronahun!U953</f>
        <v>0</v>
      </c>
      <c r="E2481" s="56" t="s">
        <v>20</v>
      </c>
      <c r="F2481" s="56" t="s">
        <v>20</v>
      </c>
    </row>
    <row r="2482" spans="1:6" ht="13">
      <c r="A2482" s="16">
        <v>285</v>
      </c>
      <c r="B2482" s="20">
        <v>154</v>
      </c>
      <c r="C2482" s="20">
        <v>110</v>
      </c>
      <c r="D2482">
        <f>koronahun!U954</f>
        <v>32</v>
      </c>
      <c r="E2482" s="56" t="s">
        <v>20</v>
      </c>
      <c r="F2482" s="56" t="s">
        <v>20</v>
      </c>
    </row>
    <row r="2483" spans="1:6" ht="13">
      <c r="A2483" s="16">
        <v>286</v>
      </c>
      <c r="B2483" s="20">
        <v>160</v>
      </c>
      <c r="C2483" s="20">
        <v>116</v>
      </c>
      <c r="D2483">
        <f>koronahun!U955</f>
        <v>0</v>
      </c>
      <c r="E2483" s="56" t="s">
        <v>20</v>
      </c>
      <c r="F2483" s="56" t="s">
        <v>20</v>
      </c>
    </row>
    <row r="2484" spans="1:6" ht="13">
      <c r="A2484" s="16">
        <v>287</v>
      </c>
      <c r="B2484" s="20">
        <v>156</v>
      </c>
      <c r="C2484" s="20">
        <v>113</v>
      </c>
      <c r="D2484">
        <f>koronahun!U956</f>
        <v>0</v>
      </c>
      <c r="E2484" s="56" t="s">
        <v>20</v>
      </c>
      <c r="F2484" s="56" t="s">
        <v>20</v>
      </c>
    </row>
    <row r="2485" spans="1:6" ht="13">
      <c r="A2485" s="16">
        <v>288</v>
      </c>
      <c r="B2485" s="20">
        <v>167</v>
      </c>
      <c r="C2485" s="20">
        <v>124</v>
      </c>
      <c r="D2485">
        <f>koronahun!U957</f>
        <v>0</v>
      </c>
      <c r="E2485" s="56" t="s">
        <v>20</v>
      </c>
      <c r="F2485" s="56" t="s">
        <v>20</v>
      </c>
    </row>
    <row r="2486" spans="1:6" ht="13">
      <c r="A2486" s="16">
        <v>289</v>
      </c>
      <c r="B2486" s="20">
        <v>171</v>
      </c>
      <c r="C2486" s="20"/>
      <c r="D2486">
        <f>koronahun!U958</f>
        <v>0</v>
      </c>
      <c r="E2486" s="56" t="s">
        <v>20</v>
      </c>
      <c r="F2486" s="56" t="s">
        <v>20</v>
      </c>
    </row>
    <row r="2487" spans="1:6" ht="13">
      <c r="A2487" s="16">
        <v>290</v>
      </c>
      <c r="B2487" s="20">
        <v>185</v>
      </c>
      <c r="C2487" s="20"/>
      <c r="D2487">
        <f>koronahun!U959</f>
        <v>0</v>
      </c>
      <c r="E2487" s="56" t="s">
        <v>20</v>
      </c>
      <c r="F2487" s="56" t="s">
        <v>20</v>
      </c>
    </row>
    <row r="2488" spans="1:6" ht="13">
      <c r="A2488" s="16">
        <v>291</v>
      </c>
      <c r="B2488" s="20">
        <v>179</v>
      </c>
      <c r="C2488" s="20">
        <v>126</v>
      </c>
      <c r="D2488">
        <f>koronahun!U960</f>
        <v>0</v>
      </c>
      <c r="E2488" s="56" t="s">
        <v>20</v>
      </c>
      <c r="F2488" s="56" t="s">
        <v>20</v>
      </c>
    </row>
    <row r="2489" spans="1:6" ht="13">
      <c r="A2489" s="16">
        <v>292</v>
      </c>
      <c r="B2489" s="20">
        <v>188</v>
      </c>
      <c r="C2489" s="20">
        <v>144</v>
      </c>
      <c r="D2489">
        <f>koronahun!U961</f>
        <v>18</v>
      </c>
      <c r="E2489" s="56" t="s">
        <v>20</v>
      </c>
      <c r="F2489" s="56" t="s">
        <v>20</v>
      </c>
    </row>
    <row r="2490" spans="1:6" ht="13">
      <c r="A2490" s="16">
        <v>293</v>
      </c>
      <c r="B2490" s="20">
        <v>197</v>
      </c>
      <c r="C2490" s="20">
        <v>145</v>
      </c>
      <c r="D2490">
        <f>koronahun!U962</f>
        <v>0</v>
      </c>
      <c r="E2490" s="56" t="s">
        <v>20</v>
      </c>
      <c r="F2490" s="56" t="s">
        <v>20</v>
      </c>
    </row>
    <row r="2491" spans="1:6" ht="13">
      <c r="A2491" s="16">
        <v>294</v>
      </c>
      <c r="B2491" s="20">
        <v>201</v>
      </c>
      <c r="C2491" s="20">
        <v>155</v>
      </c>
      <c r="D2491">
        <f>koronahun!U963</f>
        <v>0</v>
      </c>
      <c r="E2491" s="56" t="s">
        <v>20</v>
      </c>
      <c r="F2491" s="56" t="s">
        <v>20</v>
      </c>
    </row>
    <row r="2492" spans="1:6" ht="13">
      <c r="A2492" s="16">
        <v>295</v>
      </c>
      <c r="B2492" s="20">
        <v>197</v>
      </c>
      <c r="C2492" s="20">
        <v>169</v>
      </c>
      <c r="D2492">
        <f>koronahun!U964</f>
        <v>0</v>
      </c>
      <c r="E2492" s="56" t="s">
        <v>20</v>
      </c>
      <c r="F2492" s="56" t="s">
        <v>20</v>
      </c>
    </row>
    <row r="2493" spans="1:6" ht="13">
      <c r="A2493" s="16">
        <v>296</v>
      </c>
      <c r="B2493" s="20">
        <v>200</v>
      </c>
      <c r="C2493" s="20"/>
      <c r="D2493">
        <f>koronahun!U965</f>
        <v>0</v>
      </c>
      <c r="E2493" s="56" t="s">
        <v>20</v>
      </c>
      <c r="F2493" s="56" t="s">
        <v>20</v>
      </c>
    </row>
    <row r="2494" spans="1:6" ht="13">
      <c r="A2494" s="16">
        <v>297</v>
      </c>
      <c r="B2494" s="20">
        <v>205</v>
      </c>
      <c r="C2494" s="20"/>
      <c r="D2494">
        <f>koronahun!U966</f>
        <v>0</v>
      </c>
      <c r="E2494" s="56" t="s">
        <v>20</v>
      </c>
      <c r="F2494" s="56" t="s">
        <v>20</v>
      </c>
    </row>
    <row r="2495" spans="1:6" ht="13">
      <c r="A2495" s="16">
        <v>298</v>
      </c>
      <c r="B2495" s="20">
        <v>221</v>
      </c>
      <c r="C2495" s="20">
        <v>191</v>
      </c>
      <c r="D2495">
        <f>koronahun!U967</f>
        <v>0</v>
      </c>
      <c r="E2495" s="56" t="s">
        <v>20</v>
      </c>
      <c r="F2495" s="56" t="s">
        <v>20</v>
      </c>
    </row>
    <row r="2496" spans="1:6" ht="13">
      <c r="A2496" s="16">
        <v>299</v>
      </c>
      <c r="B2496" s="20">
        <v>233</v>
      </c>
      <c r="C2496" s="20">
        <v>197</v>
      </c>
      <c r="D2496">
        <f>koronahun!U968</f>
        <v>25</v>
      </c>
      <c r="E2496" s="56" t="s">
        <v>20</v>
      </c>
      <c r="F2496" s="56" t="s">
        <v>20</v>
      </c>
    </row>
    <row r="2497" spans="1:6" ht="13">
      <c r="A2497" s="16">
        <v>300</v>
      </c>
      <c r="B2497" s="20">
        <v>243</v>
      </c>
      <c r="C2497" s="20">
        <v>197</v>
      </c>
      <c r="D2497">
        <f>koronahun!U969</f>
        <v>0</v>
      </c>
      <c r="E2497" s="56" t="s">
        <v>20</v>
      </c>
      <c r="F2497" s="56" t="s">
        <v>20</v>
      </c>
    </row>
    <row r="2498" spans="1:6" ht="13">
      <c r="A2498" s="16">
        <v>301</v>
      </c>
      <c r="B2498" s="20">
        <v>263</v>
      </c>
      <c r="C2498" s="20">
        <v>204</v>
      </c>
      <c r="D2498">
        <f>koronahun!U970</f>
        <v>0</v>
      </c>
      <c r="E2498" s="56" t="s">
        <v>20</v>
      </c>
      <c r="F2498" s="56" t="s">
        <v>20</v>
      </c>
    </row>
    <row r="2499" spans="1:6" ht="13">
      <c r="A2499" s="16">
        <v>302</v>
      </c>
      <c r="B2499" s="20">
        <v>255</v>
      </c>
      <c r="C2499" s="20">
        <v>230</v>
      </c>
      <c r="D2499">
        <f>koronahun!U971</f>
        <v>0</v>
      </c>
      <c r="E2499" s="56" t="s">
        <v>20</v>
      </c>
      <c r="F2499" s="56" t="s">
        <v>20</v>
      </c>
    </row>
    <row r="2500" spans="1:6" ht="13">
      <c r="A2500" s="16">
        <v>303</v>
      </c>
      <c r="B2500" s="20">
        <v>267</v>
      </c>
      <c r="C2500" s="20"/>
      <c r="D2500">
        <f>koronahun!U972</f>
        <v>0</v>
      </c>
      <c r="E2500" s="56" t="s">
        <v>20</v>
      </c>
      <c r="F2500" s="56" t="s">
        <v>20</v>
      </c>
    </row>
    <row r="2501" spans="1:6" ht="13">
      <c r="A2501" s="16">
        <v>304</v>
      </c>
      <c r="B2501" s="20">
        <v>281</v>
      </c>
      <c r="C2501" s="20"/>
      <c r="D2501">
        <f>koronahun!U973</f>
        <v>0</v>
      </c>
      <c r="E2501" s="56" t="s">
        <v>20</v>
      </c>
      <c r="F2501" s="56" t="s">
        <v>20</v>
      </c>
    </row>
    <row r="2502" spans="1:6" ht="13">
      <c r="A2502" s="16">
        <v>305</v>
      </c>
      <c r="B2502" s="20">
        <v>306</v>
      </c>
      <c r="C2502" s="20">
        <v>299</v>
      </c>
      <c r="D2502">
        <f>koronahun!U974</f>
        <v>0</v>
      </c>
      <c r="E2502" s="56" t="s">
        <v>20</v>
      </c>
      <c r="F2502" s="56" t="s">
        <v>20</v>
      </c>
    </row>
    <row r="2503" spans="1:6" ht="13">
      <c r="A2503" s="16">
        <v>306</v>
      </c>
      <c r="B2503" s="20">
        <v>313</v>
      </c>
      <c r="C2503" s="20">
        <v>312</v>
      </c>
      <c r="D2503">
        <f>koronahun!U975</f>
        <v>0</v>
      </c>
      <c r="E2503" s="56" t="s">
        <v>20</v>
      </c>
      <c r="F2503" s="56" t="s">
        <v>20</v>
      </c>
    </row>
    <row r="2504" spans="1:6" ht="13">
      <c r="A2504" s="16">
        <v>307</v>
      </c>
      <c r="B2504" s="20">
        <v>348</v>
      </c>
      <c r="C2504" s="20">
        <v>350</v>
      </c>
      <c r="D2504">
        <f>koronahun!U976</f>
        <v>0</v>
      </c>
      <c r="E2504" s="56" t="s">
        <v>20</v>
      </c>
      <c r="F2504" s="56" t="s">
        <v>20</v>
      </c>
    </row>
    <row r="2505" spans="1:6" ht="13">
      <c r="A2505" s="16">
        <v>308</v>
      </c>
      <c r="B2505" s="20">
        <v>355</v>
      </c>
      <c r="C2505" s="20">
        <v>349</v>
      </c>
      <c r="D2505">
        <f>koronahun!U977</f>
        <v>0</v>
      </c>
      <c r="E2505" s="56" t="s">
        <v>20</v>
      </c>
      <c r="F2505" s="56" t="s">
        <v>20</v>
      </c>
    </row>
    <row r="2506" spans="1:6" ht="13">
      <c r="A2506" s="16">
        <v>309</v>
      </c>
      <c r="B2506" s="20">
        <v>378</v>
      </c>
      <c r="C2506" s="20">
        <v>366</v>
      </c>
      <c r="D2506">
        <f>koronahun!U978</f>
        <v>0</v>
      </c>
      <c r="E2506" s="56" t="s">
        <v>20</v>
      </c>
      <c r="F2506" s="56" t="s">
        <v>20</v>
      </c>
    </row>
    <row r="2507" spans="1:6" ht="13">
      <c r="A2507" s="16">
        <v>310</v>
      </c>
      <c r="B2507" s="20">
        <v>391</v>
      </c>
      <c r="C2507" s="20"/>
      <c r="D2507">
        <f>koronahun!U979</f>
        <v>0</v>
      </c>
      <c r="E2507" s="56" t="s">
        <v>20</v>
      </c>
      <c r="F2507" s="56" t="s">
        <v>20</v>
      </c>
    </row>
    <row r="2508" spans="1:6" ht="13">
      <c r="A2508" s="16">
        <v>311</v>
      </c>
      <c r="B2508" s="20">
        <v>405</v>
      </c>
      <c r="C2508" s="20"/>
      <c r="D2508">
        <f>koronahun!U980</f>
        <v>0</v>
      </c>
      <c r="E2508" s="56" t="s">
        <v>20</v>
      </c>
      <c r="F2508" s="56" t="s">
        <v>20</v>
      </c>
    </row>
    <row r="2509" spans="1:6" ht="13">
      <c r="A2509" s="16">
        <v>312</v>
      </c>
      <c r="B2509" s="20">
        <v>417</v>
      </c>
      <c r="C2509" s="20">
        <v>434</v>
      </c>
      <c r="D2509">
        <f>koronahun!U981</f>
        <v>0</v>
      </c>
      <c r="E2509" s="56" t="s">
        <v>20</v>
      </c>
      <c r="F2509" s="56" t="s">
        <v>20</v>
      </c>
    </row>
    <row r="2510" spans="1:6" ht="13">
      <c r="A2510" s="16">
        <v>313</v>
      </c>
      <c r="B2510" s="20">
        <v>415</v>
      </c>
      <c r="C2510" s="20">
        <v>452</v>
      </c>
      <c r="D2510">
        <f>koronahun!U982</f>
        <v>18</v>
      </c>
      <c r="E2510" s="56" t="s">
        <v>20</v>
      </c>
      <c r="F2510" s="56" t="s">
        <v>20</v>
      </c>
    </row>
    <row r="2511" spans="1:6" ht="13">
      <c r="A2511" s="16">
        <v>314</v>
      </c>
      <c r="B2511" s="20">
        <v>461</v>
      </c>
      <c r="C2511" s="20">
        <v>463</v>
      </c>
      <c r="D2511">
        <f>koronahun!U983</f>
        <v>0</v>
      </c>
      <c r="E2511" s="56" t="s">
        <v>20</v>
      </c>
      <c r="F2511" s="56" t="s">
        <v>20</v>
      </c>
    </row>
    <row r="2512" spans="1:6" ht="13">
      <c r="A2512" s="16">
        <v>315</v>
      </c>
      <c r="B2512" s="20">
        <v>473</v>
      </c>
      <c r="C2512" s="20">
        <v>488</v>
      </c>
      <c r="D2512">
        <f>koronahun!U984</f>
        <v>0</v>
      </c>
      <c r="E2512" s="56" t="s">
        <v>20</v>
      </c>
      <c r="F2512" s="56" t="s">
        <v>20</v>
      </c>
    </row>
    <row r="2513" spans="1:6" ht="13">
      <c r="A2513" s="16">
        <v>316</v>
      </c>
      <c r="B2513" s="20">
        <v>486</v>
      </c>
      <c r="C2513" s="20">
        <v>509</v>
      </c>
      <c r="D2513">
        <f>koronahun!U985</f>
        <v>0</v>
      </c>
      <c r="E2513" s="56" t="s">
        <v>20</v>
      </c>
      <c r="F2513" s="56" t="s">
        <v>20</v>
      </c>
    </row>
    <row r="2514" spans="1:6" ht="13">
      <c r="A2514" s="16">
        <v>317</v>
      </c>
      <c r="B2514" s="20">
        <v>518</v>
      </c>
      <c r="C2514" s="20"/>
      <c r="D2514">
        <f>koronahun!U986</f>
        <v>0</v>
      </c>
      <c r="E2514" s="56" t="s">
        <v>20</v>
      </c>
      <c r="F2514" s="56" t="s">
        <v>20</v>
      </c>
    </row>
    <row r="2515" spans="1:6" ht="13">
      <c r="A2515" s="16">
        <v>318</v>
      </c>
      <c r="B2515" s="20">
        <v>531</v>
      </c>
      <c r="C2515" s="20"/>
      <c r="D2515">
        <f>koronahun!U987</f>
        <v>0</v>
      </c>
      <c r="E2515" s="56" t="s">
        <v>20</v>
      </c>
      <c r="F2515" s="56" t="s">
        <v>20</v>
      </c>
    </row>
    <row r="2516" spans="1:6" ht="13">
      <c r="A2516" s="16">
        <v>319</v>
      </c>
      <c r="B2516" s="20">
        <v>569</v>
      </c>
      <c r="C2516" s="20">
        <v>519</v>
      </c>
      <c r="D2516">
        <f>koronahun!U988</f>
        <v>0</v>
      </c>
      <c r="E2516" s="56" t="s">
        <v>20</v>
      </c>
      <c r="F2516" s="56" t="s">
        <v>20</v>
      </c>
    </row>
    <row r="2517" spans="1:6" ht="13">
      <c r="A2517" s="16">
        <v>320</v>
      </c>
      <c r="B2517" s="20">
        <v>582</v>
      </c>
      <c r="C2517" s="20">
        <v>545</v>
      </c>
      <c r="D2517">
        <f>koronahun!U989</f>
        <v>10</v>
      </c>
      <c r="E2517" s="56" t="s">
        <v>20</v>
      </c>
      <c r="F2517" s="56" t="s">
        <v>20</v>
      </c>
    </row>
    <row r="2518" spans="1:6" ht="13">
      <c r="A2518" s="16">
        <v>321</v>
      </c>
      <c r="B2518" s="20">
        <v>576</v>
      </c>
      <c r="C2518" s="20">
        <v>565</v>
      </c>
      <c r="D2518">
        <f>koronahun!U990</f>
        <v>0</v>
      </c>
      <c r="E2518" s="56" t="s">
        <v>20</v>
      </c>
      <c r="F2518" s="56" t="s">
        <v>20</v>
      </c>
    </row>
    <row r="2519" spans="1:6" ht="13">
      <c r="A2519" s="16">
        <v>322</v>
      </c>
      <c r="B2519" s="20">
        <v>581</v>
      </c>
      <c r="C2519" s="20">
        <v>606</v>
      </c>
      <c r="D2519">
        <f>koronahun!U991</f>
        <v>0</v>
      </c>
      <c r="E2519" s="56" t="s">
        <v>20</v>
      </c>
      <c r="F2519" s="56" t="s">
        <v>20</v>
      </c>
    </row>
    <row r="2520" spans="1:6" ht="13">
      <c r="A2520" s="16">
        <v>323</v>
      </c>
      <c r="B2520" s="20">
        <v>580</v>
      </c>
      <c r="C2520" s="20">
        <v>613</v>
      </c>
      <c r="D2520">
        <f>koronahun!U992</f>
        <v>0</v>
      </c>
      <c r="E2520" s="56" t="s">
        <v>20</v>
      </c>
      <c r="F2520" s="56" t="s">
        <v>20</v>
      </c>
    </row>
    <row r="2521" spans="1:6" ht="13">
      <c r="A2521" s="16">
        <v>324</v>
      </c>
      <c r="B2521" s="20">
        <v>604</v>
      </c>
      <c r="C2521" s="20"/>
      <c r="D2521">
        <f>koronahun!U993</f>
        <v>0</v>
      </c>
      <c r="E2521" s="56" t="s">
        <v>20</v>
      </c>
      <c r="F2521" s="56" t="s">
        <v>20</v>
      </c>
    </row>
    <row r="2522" spans="1:6" ht="13">
      <c r="A2522" s="16">
        <v>325</v>
      </c>
      <c r="B2522" s="20">
        <v>599</v>
      </c>
      <c r="C2522" s="20"/>
      <c r="D2522">
        <f>koronahun!U994</f>
        <v>0</v>
      </c>
      <c r="E2522" s="56" t="s">
        <v>20</v>
      </c>
      <c r="F2522" s="56" t="s">
        <v>20</v>
      </c>
    </row>
    <row r="2523" spans="1:6" ht="13">
      <c r="A2523" s="16">
        <v>326</v>
      </c>
      <c r="B2523" s="20">
        <v>618</v>
      </c>
      <c r="C2523" s="20">
        <v>649</v>
      </c>
      <c r="D2523">
        <f>koronahun!U995</f>
        <v>0</v>
      </c>
      <c r="E2523" s="56" t="s">
        <v>20</v>
      </c>
      <c r="F2523" s="56" t="s">
        <v>20</v>
      </c>
    </row>
    <row r="2524" spans="1:6" ht="13">
      <c r="A2524" s="16">
        <v>327</v>
      </c>
      <c r="B2524" s="20">
        <v>627</v>
      </c>
      <c r="C2524" s="20">
        <v>663</v>
      </c>
      <c r="D2524">
        <f>koronahun!U996</f>
        <v>11</v>
      </c>
      <c r="E2524" s="56" t="s">
        <v>20</v>
      </c>
      <c r="F2524" s="56" t="s">
        <v>20</v>
      </c>
    </row>
    <row r="2525" spans="1:6" ht="13">
      <c r="A2525" s="16">
        <v>328</v>
      </c>
      <c r="B2525" s="20">
        <v>638</v>
      </c>
      <c r="C2525" s="20">
        <v>664</v>
      </c>
      <c r="D2525">
        <f>koronahun!U997</f>
        <v>0</v>
      </c>
      <c r="E2525" s="56" t="s">
        <v>20</v>
      </c>
      <c r="F2525" s="56" t="s">
        <v>20</v>
      </c>
    </row>
    <row r="2526" spans="1:6" ht="13">
      <c r="A2526" s="16">
        <v>329</v>
      </c>
      <c r="B2526" s="20">
        <v>656</v>
      </c>
      <c r="C2526" s="20">
        <v>680</v>
      </c>
      <c r="D2526">
        <f>koronahun!U998</f>
        <v>0</v>
      </c>
      <c r="E2526" s="56" t="s">
        <v>20</v>
      </c>
      <c r="F2526" s="56" t="s">
        <v>20</v>
      </c>
    </row>
    <row r="2527" spans="1:6" ht="13">
      <c r="A2527" s="16">
        <v>330</v>
      </c>
      <c r="B2527" s="20">
        <v>640</v>
      </c>
      <c r="C2527" s="20">
        <v>695</v>
      </c>
      <c r="D2527">
        <f>koronahun!U999</f>
        <v>0</v>
      </c>
      <c r="E2527" s="56" t="s">
        <v>20</v>
      </c>
      <c r="F2527" s="56" t="s">
        <v>20</v>
      </c>
    </row>
    <row r="2528" spans="1:6" ht="13">
      <c r="A2528" s="16">
        <v>331</v>
      </c>
      <c r="B2528" s="20">
        <v>647</v>
      </c>
      <c r="C2528" s="20"/>
      <c r="D2528">
        <f>koronahun!U1000</f>
        <v>0</v>
      </c>
      <c r="E2528" s="56" t="s">
        <v>20</v>
      </c>
      <c r="F2528" s="56" t="s">
        <v>20</v>
      </c>
    </row>
    <row r="2529" spans="1:6" ht="13">
      <c r="A2529" s="16">
        <v>332</v>
      </c>
      <c r="B2529" s="20">
        <v>644</v>
      </c>
      <c r="C2529" s="20"/>
      <c r="D2529">
        <f>koronahun!U2001</f>
        <v>0</v>
      </c>
      <c r="E2529" s="56" t="s">
        <v>20</v>
      </c>
      <c r="F2529" s="56" t="s">
        <v>20</v>
      </c>
    </row>
    <row r="2530" spans="1:6" ht="13">
      <c r="A2530" s="16">
        <v>333</v>
      </c>
      <c r="B2530" s="20">
        <v>657</v>
      </c>
      <c r="C2530" s="20">
        <v>538</v>
      </c>
      <c r="D2530">
        <f>koronahun!U2002</f>
        <v>0</v>
      </c>
      <c r="E2530" s="56" t="s">
        <v>20</v>
      </c>
      <c r="F2530" s="56" t="s">
        <v>20</v>
      </c>
    </row>
    <row r="2531" spans="1:6" ht="13">
      <c r="A2531" s="16">
        <v>334</v>
      </c>
      <c r="B2531" s="20">
        <v>666</v>
      </c>
      <c r="C2531" s="20">
        <v>513</v>
      </c>
      <c r="D2531">
        <f>koronahun!U2003</f>
        <v>0</v>
      </c>
      <c r="E2531" s="56" t="s">
        <v>20</v>
      </c>
      <c r="F2531" s="56" t="s">
        <v>20</v>
      </c>
    </row>
    <row r="2532" spans="1:6" ht="13">
      <c r="A2532" s="16">
        <v>335</v>
      </c>
      <c r="B2532" s="20">
        <v>662</v>
      </c>
      <c r="C2532" s="20">
        <v>562</v>
      </c>
      <c r="D2532">
        <f>koronahun!U2004</f>
        <v>0</v>
      </c>
      <c r="E2532" s="56" t="s">
        <v>20</v>
      </c>
      <c r="F2532" s="56" t="s">
        <v>20</v>
      </c>
    </row>
    <row r="2533" spans="1:6" ht="13">
      <c r="A2533" s="16">
        <v>336</v>
      </c>
      <c r="B2533" s="20">
        <v>649</v>
      </c>
      <c r="C2533" s="20">
        <v>550</v>
      </c>
      <c r="D2533">
        <f>koronahun!U2005</f>
        <v>0</v>
      </c>
      <c r="E2533" s="56" t="s">
        <v>20</v>
      </c>
      <c r="F2533" s="56" t="s">
        <v>20</v>
      </c>
    </row>
    <row r="2534" spans="1:6" ht="13">
      <c r="A2534" s="16">
        <v>337</v>
      </c>
      <c r="B2534" s="20">
        <v>663</v>
      </c>
      <c r="C2534" s="20">
        <v>566</v>
      </c>
      <c r="D2534">
        <f>koronahun!U2006</f>
        <v>0</v>
      </c>
      <c r="E2534" s="56" t="s">
        <v>20</v>
      </c>
      <c r="F2534" s="56" t="s">
        <v>20</v>
      </c>
    </row>
    <row r="2535" spans="1:6" ht="13">
      <c r="A2535" s="16">
        <v>338</v>
      </c>
      <c r="B2535" s="20">
        <v>639</v>
      </c>
      <c r="C2535" s="20"/>
      <c r="D2535">
        <f>koronahun!U2007</f>
        <v>0</v>
      </c>
      <c r="E2535" s="56" t="s">
        <v>20</v>
      </c>
      <c r="F2535" s="56" t="s">
        <v>20</v>
      </c>
    </row>
    <row r="2536" spans="1:6" ht="13">
      <c r="A2536" s="16">
        <v>339</v>
      </c>
      <c r="B2536" s="20">
        <v>637</v>
      </c>
      <c r="C2536" s="20"/>
      <c r="D2536">
        <f>koronahun!U2008</f>
        <v>0</v>
      </c>
      <c r="E2536" s="56" t="s">
        <v>20</v>
      </c>
      <c r="F2536" s="56" t="s">
        <v>20</v>
      </c>
    </row>
    <row r="2537" spans="1:6" ht="13">
      <c r="A2537" s="16">
        <v>340</v>
      </c>
      <c r="B2537" s="20">
        <v>656</v>
      </c>
      <c r="C2537" s="20">
        <v>586</v>
      </c>
      <c r="D2537">
        <f>koronahun!U2009</f>
        <v>0</v>
      </c>
      <c r="E2537" s="56" t="s">
        <v>20</v>
      </c>
      <c r="F2537" s="56" t="s">
        <v>20</v>
      </c>
    </row>
    <row r="2538" spans="1:6" ht="13">
      <c r="A2538" s="16">
        <v>341</v>
      </c>
      <c r="B2538" s="20">
        <v>674</v>
      </c>
      <c r="C2538" s="20">
        <v>618</v>
      </c>
      <c r="D2538">
        <f>koronahun!U2010</f>
        <v>0</v>
      </c>
      <c r="E2538" s="56" t="s">
        <v>20</v>
      </c>
      <c r="F2538" s="56" t="s">
        <v>20</v>
      </c>
    </row>
    <row r="2539" spans="1:6" ht="13">
      <c r="A2539" s="16">
        <v>342</v>
      </c>
      <c r="B2539" s="20">
        <v>656</v>
      </c>
      <c r="C2539" s="20">
        <v>607</v>
      </c>
      <c r="D2539">
        <f>koronahun!U2011</f>
        <v>0</v>
      </c>
      <c r="E2539" s="56" t="s">
        <v>20</v>
      </c>
      <c r="F2539" s="56" t="s">
        <v>20</v>
      </c>
    </row>
    <row r="2540" spans="1:6" ht="13">
      <c r="A2540" s="16">
        <v>343</v>
      </c>
      <c r="B2540" s="20">
        <v>661</v>
      </c>
      <c r="C2540" s="20">
        <v>579</v>
      </c>
      <c r="D2540">
        <f>koronahun!U2012</f>
        <v>0</v>
      </c>
      <c r="E2540" s="56" t="s">
        <v>20</v>
      </c>
      <c r="F2540" s="56" t="s">
        <v>20</v>
      </c>
    </row>
    <row r="2541" spans="1:6" ht="13">
      <c r="A2541" s="16">
        <v>344</v>
      </c>
      <c r="B2541" s="20">
        <v>645</v>
      </c>
      <c r="C2541" s="20">
        <v>573</v>
      </c>
      <c r="D2541">
        <f>koronahun!U2013</f>
        <v>0</v>
      </c>
      <c r="E2541" s="56" t="s">
        <v>20</v>
      </c>
      <c r="F2541" s="56" t="s">
        <v>20</v>
      </c>
    </row>
    <row r="2542" spans="1:6" ht="13">
      <c r="A2542" s="16">
        <v>345</v>
      </c>
      <c r="B2542" s="20">
        <v>610</v>
      </c>
      <c r="C2542" s="20"/>
      <c r="D2542">
        <f>koronahun!U2014</f>
        <v>0</v>
      </c>
      <c r="E2542" s="56" t="s">
        <v>20</v>
      </c>
      <c r="F2542" s="56" t="s">
        <v>20</v>
      </c>
    </row>
    <row r="2543" spans="1:6" ht="13">
      <c r="A2543" s="16">
        <v>346</v>
      </c>
      <c r="B2543" s="20">
        <v>610</v>
      </c>
      <c r="C2543" s="20"/>
      <c r="D2543">
        <f>koronahun!U2015</f>
        <v>0</v>
      </c>
      <c r="E2543" s="56" t="s">
        <v>20</v>
      </c>
      <c r="F2543" s="56" t="s">
        <v>20</v>
      </c>
    </row>
    <row r="2544" spans="1:6" ht="13">
      <c r="A2544" s="16">
        <v>347</v>
      </c>
      <c r="B2544" s="20">
        <v>606</v>
      </c>
      <c r="C2544" s="20">
        <v>565</v>
      </c>
      <c r="D2544">
        <f>koronahun!U2016</f>
        <v>0</v>
      </c>
      <c r="E2544" s="56" t="s">
        <v>20</v>
      </c>
      <c r="F2544" s="56" t="s">
        <v>20</v>
      </c>
    </row>
    <row r="2545" spans="1:6" ht="13">
      <c r="A2545" s="16">
        <v>348</v>
      </c>
      <c r="B2545" s="20">
        <v>605</v>
      </c>
      <c r="C2545" s="20">
        <v>563</v>
      </c>
      <c r="D2545">
        <f>koronahun!U2017</f>
        <v>0</v>
      </c>
      <c r="E2545" s="56" t="s">
        <v>20</v>
      </c>
      <c r="F2545" s="56" t="s">
        <v>20</v>
      </c>
    </row>
    <row r="2546" spans="1:6" ht="13">
      <c r="A2546" s="16">
        <v>349</v>
      </c>
      <c r="B2546" s="20">
        <v>597</v>
      </c>
      <c r="C2546" s="20">
        <v>540</v>
      </c>
      <c r="D2546">
        <f>koronahun!U2018</f>
        <v>0</v>
      </c>
      <c r="E2546" s="56" t="s">
        <v>20</v>
      </c>
      <c r="F2546" s="56" t="s">
        <v>20</v>
      </c>
    </row>
    <row r="2547" spans="1:6" ht="13">
      <c r="A2547" s="16">
        <v>350</v>
      </c>
      <c r="B2547" s="20">
        <v>574</v>
      </c>
      <c r="C2547" s="20">
        <v>542</v>
      </c>
      <c r="D2547">
        <f>koronahun!U2019</f>
        <v>0</v>
      </c>
      <c r="E2547" s="56" t="s">
        <v>20</v>
      </c>
      <c r="F2547" s="56" t="s">
        <v>20</v>
      </c>
    </row>
    <row r="2548" spans="1:6" ht="13">
      <c r="A2548" s="16">
        <v>351</v>
      </c>
      <c r="B2548" s="20">
        <v>573</v>
      </c>
      <c r="C2548" s="20">
        <v>519</v>
      </c>
      <c r="D2548">
        <f>koronahun!U2020</f>
        <v>0</v>
      </c>
      <c r="E2548" s="56" t="s">
        <v>20</v>
      </c>
      <c r="F2548" s="56" t="s">
        <v>20</v>
      </c>
    </row>
    <row r="2549" spans="1:6" ht="13">
      <c r="A2549" s="16">
        <v>352</v>
      </c>
      <c r="B2549" s="20">
        <v>564</v>
      </c>
      <c r="C2549" s="20"/>
      <c r="D2549">
        <f>koronahun!U2021</f>
        <v>0</v>
      </c>
      <c r="E2549" s="56" t="s">
        <v>20</v>
      </c>
      <c r="F2549" s="56" t="s">
        <v>20</v>
      </c>
    </row>
    <row r="2550" spans="1:6" ht="13">
      <c r="A2550" s="16">
        <v>353</v>
      </c>
      <c r="B2550" s="20">
        <v>538</v>
      </c>
      <c r="C2550" s="20"/>
      <c r="D2550">
        <f>koronahun!U2022</f>
        <v>0</v>
      </c>
      <c r="E2550" s="56" t="s">
        <v>20</v>
      </c>
      <c r="F2550" s="56" t="s">
        <v>20</v>
      </c>
    </row>
    <row r="2551" spans="1:6" ht="13">
      <c r="A2551" s="16">
        <v>354</v>
      </c>
      <c r="B2551" s="20">
        <v>520</v>
      </c>
      <c r="C2551" s="20">
        <v>503</v>
      </c>
      <c r="D2551">
        <f>koronahun!U2023</f>
        <v>0</v>
      </c>
      <c r="E2551" s="56" t="s">
        <v>20</v>
      </c>
      <c r="F2551" s="56" t="s">
        <v>20</v>
      </c>
    </row>
    <row r="2552" spans="1:6" ht="13">
      <c r="A2552" s="16">
        <v>355</v>
      </c>
      <c r="B2552" s="20">
        <v>517</v>
      </c>
      <c r="C2552" s="20">
        <v>501</v>
      </c>
      <c r="D2552">
        <f>koronahun!U2024</f>
        <v>0</v>
      </c>
      <c r="E2552" s="56" t="s">
        <v>20</v>
      </c>
      <c r="F2552" s="56" t="s">
        <v>20</v>
      </c>
    </row>
    <row r="2553" spans="1:6" ht="13">
      <c r="A2553" s="16">
        <v>356</v>
      </c>
      <c r="B2553" s="20">
        <v>522</v>
      </c>
      <c r="C2553" s="20">
        <v>464</v>
      </c>
      <c r="D2553">
        <f>koronahun!U2025</f>
        <v>0</v>
      </c>
      <c r="E2553" s="56" t="s">
        <v>20</v>
      </c>
      <c r="F2553" s="56" t="s">
        <v>20</v>
      </c>
    </row>
    <row r="2554" spans="1:6" ht="13">
      <c r="A2554" s="16">
        <v>357</v>
      </c>
      <c r="B2554" s="20">
        <v>495</v>
      </c>
      <c r="C2554" s="20">
        <v>454</v>
      </c>
      <c r="D2554">
        <f>koronahun!U2026</f>
        <v>0</v>
      </c>
      <c r="E2554" s="56" t="s">
        <v>20</v>
      </c>
      <c r="F2554" s="56" t="s">
        <v>20</v>
      </c>
    </row>
    <row r="2555" spans="1:6" ht="13">
      <c r="A2555" s="16">
        <v>358</v>
      </c>
      <c r="B2555" s="20">
        <v>491</v>
      </c>
      <c r="C2555" s="20"/>
      <c r="D2555">
        <f>koronahun!U2027</f>
        <v>0</v>
      </c>
      <c r="E2555" s="56" t="s">
        <v>20</v>
      </c>
      <c r="F2555" s="56" t="s">
        <v>20</v>
      </c>
    </row>
    <row r="2556" spans="1:6" ht="13">
      <c r="A2556" s="16">
        <v>359</v>
      </c>
      <c r="B2556" s="20">
        <v>489</v>
      </c>
      <c r="C2556" s="20"/>
      <c r="D2556">
        <f>koronahun!U2028</f>
        <v>0</v>
      </c>
      <c r="E2556" s="56" t="s">
        <v>20</v>
      </c>
      <c r="F2556" s="56" t="s">
        <v>20</v>
      </c>
    </row>
    <row r="2557" spans="1:6" ht="13">
      <c r="A2557" s="16">
        <v>360</v>
      </c>
      <c r="B2557" s="20">
        <v>468</v>
      </c>
      <c r="C2557" s="20"/>
      <c r="D2557">
        <f>koronahun!U2029</f>
        <v>0</v>
      </c>
      <c r="E2557" s="56" t="s">
        <v>20</v>
      </c>
      <c r="F2557" s="56" t="s">
        <v>20</v>
      </c>
    </row>
    <row r="2558" spans="1:6" ht="13">
      <c r="A2558" s="16">
        <v>361</v>
      </c>
      <c r="B2558" s="20">
        <v>467</v>
      </c>
      <c r="C2558" s="20">
        <v>409</v>
      </c>
      <c r="D2558">
        <f>koronahun!U2030</f>
        <v>0</v>
      </c>
      <c r="E2558" s="56" t="s">
        <v>20</v>
      </c>
      <c r="F2558" s="56" t="s">
        <v>20</v>
      </c>
    </row>
    <row r="2559" spans="1:6" ht="13">
      <c r="A2559" s="16">
        <v>362</v>
      </c>
      <c r="B2559" s="20">
        <v>448</v>
      </c>
      <c r="C2559" s="20">
        <v>374</v>
      </c>
      <c r="D2559">
        <f>koronahun!U2031</f>
        <v>0</v>
      </c>
      <c r="E2559" s="56" t="s">
        <v>20</v>
      </c>
      <c r="F2559" s="56" t="s">
        <v>20</v>
      </c>
    </row>
    <row r="2560" spans="1:6" ht="13">
      <c r="A2560" s="16">
        <v>363</v>
      </c>
      <c r="B2560" s="20">
        <v>444</v>
      </c>
      <c r="C2560" s="20">
        <v>357</v>
      </c>
      <c r="D2560">
        <f>koronahun!U2032</f>
        <v>0</v>
      </c>
      <c r="E2560" s="56" t="s">
        <v>20</v>
      </c>
      <c r="F2560" s="56" t="s">
        <v>20</v>
      </c>
    </row>
    <row r="2561" spans="1:6" ht="13">
      <c r="A2561" s="16">
        <v>364</v>
      </c>
      <c r="B2561" s="20">
        <v>425</v>
      </c>
      <c r="C2561" s="20">
        <v>342</v>
      </c>
      <c r="D2561">
        <f>koronahun!U2033</f>
        <v>0</v>
      </c>
      <c r="E2561" s="56" t="s">
        <v>20</v>
      </c>
      <c r="F2561" s="56" t="s">
        <v>20</v>
      </c>
    </row>
    <row r="2562" spans="1:6" ht="13">
      <c r="A2562" s="16">
        <v>365</v>
      </c>
      <c r="B2562" s="20">
        <v>402</v>
      </c>
      <c r="C2562" s="20">
        <v>334</v>
      </c>
      <c r="D2562">
        <f>koronahun!U2034</f>
        <v>0</v>
      </c>
      <c r="E2562" s="56" t="s">
        <v>20</v>
      </c>
      <c r="F2562" s="56" t="s">
        <v>20</v>
      </c>
    </row>
    <row r="2563" spans="1:6" ht="13">
      <c r="A2563" s="16">
        <v>366</v>
      </c>
      <c r="D2563">
        <f>koronahun!U2035</f>
        <v>0</v>
      </c>
      <c r="E2563" s="56" t="s">
        <v>20</v>
      </c>
      <c r="F2563" s="56" t="s">
        <v>20</v>
      </c>
    </row>
    <row r="2564" spans="1:6" ht="13">
      <c r="A2564" s="16"/>
      <c r="E2564" s="16"/>
      <c r="F2564" s="16"/>
    </row>
    <row r="2565" spans="1:6" ht="13">
      <c r="A2565" s="16"/>
      <c r="E2565" s="16"/>
      <c r="F2565" s="16"/>
    </row>
    <row r="2566" spans="1:6" ht="13">
      <c r="A2566" s="16"/>
      <c r="E2566" s="16"/>
      <c r="F2566" s="16"/>
    </row>
    <row r="2567" spans="1:6" ht="13">
      <c r="A2567" s="16"/>
      <c r="E2567" s="16"/>
      <c r="F2567" s="16"/>
    </row>
    <row r="2568" spans="1:6" ht="13">
      <c r="A2568" s="16"/>
      <c r="E2568" s="16"/>
      <c r="F2568" s="16"/>
    </row>
    <row r="2569" spans="1:6" ht="13">
      <c r="A2569" s="16"/>
      <c r="E2569" s="16"/>
      <c r="F2569" s="16"/>
    </row>
    <row r="2570" spans="1:6" ht="13">
      <c r="A2570" s="16"/>
      <c r="E2570" s="16"/>
      <c r="F2570" s="16"/>
    </row>
    <row r="2571" spans="1:6" ht="13">
      <c r="A2571" s="16"/>
      <c r="E2571" s="16"/>
      <c r="F2571" s="16"/>
    </row>
    <row r="2572" spans="1:6" ht="13">
      <c r="A2572" s="16"/>
      <c r="E2572" s="16"/>
      <c r="F2572" s="16"/>
    </row>
    <row r="2573" spans="1:6" ht="13">
      <c r="A2573" s="16"/>
      <c r="E2573" s="16"/>
      <c r="F2573" s="16"/>
    </row>
    <row r="2574" spans="1:6" ht="13">
      <c r="A2574" s="16"/>
      <c r="E2574" s="16"/>
      <c r="F2574" s="16"/>
    </row>
    <row r="2575" spans="1:6" ht="13">
      <c r="A2575" s="16"/>
      <c r="E2575" s="16"/>
      <c r="F2575" s="16"/>
    </row>
    <row r="2576" spans="1:6" ht="13">
      <c r="A2576" s="16"/>
      <c r="E2576" s="16"/>
      <c r="F2576" s="16"/>
    </row>
    <row r="2577" spans="1:6" ht="13">
      <c r="A2577" s="16"/>
      <c r="E2577" s="16"/>
      <c r="F2577" s="16"/>
    </row>
    <row r="2578" spans="1:6" ht="13">
      <c r="A2578" s="16"/>
      <c r="E2578" s="16"/>
      <c r="F2578" s="16"/>
    </row>
    <row r="2579" spans="1:6" ht="13">
      <c r="A2579" s="16"/>
      <c r="E2579" s="16"/>
      <c r="F2579" s="16"/>
    </row>
    <row r="2580" spans="1:6" ht="13">
      <c r="A2580" s="16"/>
      <c r="E2580" s="16"/>
      <c r="F2580" s="16"/>
    </row>
    <row r="2581" spans="1:6" ht="13">
      <c r="A2581" s="16"/>
      <c r="E2581" s="16"/>
      <c r="F2581" s="16"/>
    </row>
    <row r="2582" spans="1:6" ht="13">
      <c r="A2582" s="16"/>
      <c r="E2582" s="16"/>
      <c r="F2582" s="16"/>
    </row>
    <row r="2583" spans="1:6" ht="13">
      <c r="A2583" s="16"/>
      <c r="E2583" s="16"/>
      <c r="F2583" s="16"/>
    </row>
    <row r="2584" spans="1:6" ht="13">
      <c r="A2584" s="16"/>
      <c r="E2584" s="16"/>
      <c r="F2584" s="16"/>
    </row>
    <row r="2585" spans="1:6" ht="13">
      <c r="A2585" s="16"/>
      <c r="E2585" s="16"/>
      <c r="F2585" s="16"/>
    </row>
    <row r="2586" spans="1:6" ht="13">
      <c r="A2586" s="16"/>
      <c r="E2586" s="16"/>
      <c r="F2586" s="16"/>
    </row>
    <row r="2587" spans="1:6" ht="13">
      <c r="A2587" s="16"/>
      <c r="E2587" s="16"/>
      <c r="F2587" s="16"/>
    </row>
    <row r="2588" spans="1:6" ht="13">
      <c r="A2588" s="16"/>
      <c r="E2588" s="16"/>
      <c r="F2588" s="16"/>
    </row>
    <row r="2589" spans="1:6" ht="13">
      <c r="A2589" s="16"/>
      <c r="E2589" s="16"/>
      <c r="F2589" s="16"/>
    </row>
    <row r="2590" spans="1:6" ht="13">
      <c r="A2590" s="16"/>
      <c r="E2590" s="16"/>
      <c r="F2590" s="16"/>
    </row>
    <row r="2591" spans="1:6" ht="13">
      <c r="A2591" s="16"/>
      <c r="E2591" s="16"/>
      <c r="F2591" s="16"/>
    </row>
    <row r="2592" spans="1:6" ht="13">
      <c r="A2592" s="16"/>
      <c r="E2592" s="16"/>
      <c r="F2592" s="16"/>
    </row>
    <row r="2593" spans="1:6" ht="13">
      <c r="A2593" s="16"/>
      <c r="E2593" s="16"/>
      <c r="F2593" s="16"/>
    </row>
    <row r="2594" spans="1:6" ht="13">
      <c r="A2594" s="16"/>
      <c r="E2594" s="16"/>
      <c r="F2594" s="16"/>
    </row>
    <row r="2595" spans="1:6" ht="13">
      <c r="A2595" s="16"/>
      <c r="E2595" s="16"/>
      <c r="F2595" s="16"/>
    </row>
    <row r="2596" spans="1:6" ht="13">
      <c r="A2596" s="16"/>
      <c r="E2596" s="16"/>
      <c r="F2596" s="16"/>
    </row>
    <row r="2597" spans="1:6" ht="13">
      <c r="A2597" s="16"/>
      <c r="E2597" s="16"/>
      <c r="F2597" s="16"/>
    </row>
    <row r="2598" spans="1:6" ht="13">
      <c r="A2598" s="16"/>
      <c r="E2598" s="16"/>
      <c r="F2598" s="16"/>
    </row>
    <row r="2599" spans="1:6" ht="13">
      <c r="A2599" s="16"/>
      <c r="E2599" s="16"/>
      <c r="F2599" s="16"/>
    </row>
    <row r="2600" spans="1:6" ht="13">
      <c r="A2600" s="16"/>
      <c r="E2600" s="16"/>
      <c r="F2600" s="16"/>
    </row>
    <row r="2601" spans="1:6" ht="13">
      <c r="A2601" s="16"/>
      <c r="E2601" s="16"/>
      <c r="F2601" s="16"/>
    </row>
    <row r="2602" spans="1:6" ht="13">
      <c r="A2602" s="16"/>
      <c r="E2602" s="16"/>
      <c r="F2602" s="16"/>
    </row>
    <row r="2603" spans="1:6" ht="13">
      <c r="A2603" s="16"/>
      <c r="E2603" s="16"/>
      <c r="F2603" s="16"/>
    </row>
    <row r="2604" spans="1:6" ht="13">
      <c r="A2604" s="16"/>
      <c r="E2604" s="16"/>
      <c r="F2604" s="16"/>
    </row>
    <row r="2605" spans="1:6" ht="13">
      <c r="A2605" s="16"/>
      <c r="E2605" s="16"/>
      <c r="F2605" s="16"/>
    </row>
    <row r="2606" spans="1:6" ht="13">
      <c r="A2606" s="16"/>
      <c r="E2606" s="16"/>
      <c r="F2606" s="16"/>
    </row>
    <row r="2607" spans="1:6" ht="13">
      <c r="A2607" s="16"/>
      <c r="E2607" s="16"/>
      <c r="F2607" s="16"/>
    </row>
    <row r="2608" spans="1:6" ht="13">
      <c r="A2608" s="16"/>
      <c r="E2608" s="16"/>
      <c r="F2608" s="16"/>
    </row>
    <row r="2609" spans="1:6" ht="13">
      <c r="A2609" s="16"/>
      <c r="E2609" s="16"/>
      <c r="F2609" s="16"/>
    </row>
    <row r="2610" spans="1:6" ht="13">
      <c r="A2610" s="16"/>
      <c r="E2610" s="16"/>
      <c r="F2610" s="16"/>
    </row>
    <row r="2611" spans="1:6" ht="13">
      <c r="A2611" s="16"/>
      <c r="E2611" s="16"/>
      <c r="F2611" s="16"/>
    </row>
    <row r="2612" spans="1:6" ht="13">
      <c r="A2612" s="16"/>
      <c r="E2612" s="16"/>
      <c r="F2612" s="16"/>
    </row>
    <row r="2613" spans="1:6" ht="13">
      <c r="A2613" s="16"/>
      <c r="E2613" s="16"/>
      <c r="F2613" s="16"/>
    </row>
    <row r="2614" spans="1:6" ht="13">
      <c r="A2614" s="16"/>
      <c r="E2614" s="16"/>
      <c r="F2614" s="16"/>
    </row>
    <row r="2615" spans="1:6" ht="13">
      <c r="A2615" s="16"/>
      <c r="E2615" s="16"/>
      <c r="F2615" s="16"/>
    </row>
    <row r="2616" spans="1:6" ht="13">
      <c r="A2616" s="16"/>
      <c r="E2616" s="16"/>
      <c r="F2616" s="16"/>
    </row>
    <row r="2617" spans="1:6" ht="13">
      <c r="A2617" s="16"/>
      <c r="E2617" s="16"/>
      <c r="F2617" s="16"/>
    </row>
    <row r="2618" spans="1:6" ht="13">
      <c r="A2618" s="16"/>
      <c r="E2618" s="16"/>
      <c r="F2618" s="16"/>
    </row>
    <row r="2619" spans="1:6" ht="13">
      <c r="A2619" s="16"/>
      <c r="E2619" s="16"/>
      <c r="F2619" s="16"/>
    </row>
    <row r="2620" spans="1:6" ht="13">
      <c r="A2620" s="16"/>
      <c r="E2620" s="16"/>
      <c r="F2620" s="16"/>
    </row>
    <row r="2621" spans="1:6" ht="13">
      <c r="A2621" s="16"/>
      <c r="E2621" s="16"/>
      <c r="F2621" s="16"/>
    </row>
    <row r="2622" spans="1:6" ht="13">
      <c r="A2622" s="16"/>
      <c r="E2622" s="16"/>
      <c r="F2622" s="16"/>
    </row>
    <row r="2623" spans="1:6" ht="13">
      <c r="A2623" s="16"/>
      <c r="E2623" s="16"/>
      <c r="F2623" s="16"/>
    </row>
    <row r="2624" spans="1:6" ht="13">
      <c r="A2624" s="16"/>
      <c r="E2624" s="16"/>
      <c r="F2624" s="16"/>
    </row>
    <row r="2625" spans="1:6" ht="13">
      <c r="A2625" s="16"/>
      <c r="E2625" s="16"/>
      <c r="F2625" s="16"/>
    </row>
    <row r="2626" spans="1:6" ht="13">
      <c r="A2626" s="16"/>
      <c r="E2626" s="16"/>
      <c r="F2626" s="16"/>
    </row>
    <row r="2627" spans="1:6" ht="13">
      <c r="A2627" s="16"/>
      <c r="E2627" s="16"/>
      <c r="F2627" s="16"/>
    </row>
    <row r="2628" spans="1:6" ht="13">
      <c r="A2628" s="16"/>
      <c r="E2628" s="16"/>
      <c r="F2628" s="16"/>
    </row>
    <row r="2629" spans="1:6" ht="13">
      <c r="A2629" s="16"/>
      <c r="E2629" s="16"/>
      <c r="F2629" s="16"/>
    </row>
    <row r="2630" spans="1:6" ht="13">
      <c r="A2630" s="16"/>
      <c r="E2630" s="16"/>
      <c r="F2630" s="16"/>
    </row>
    <row r="2631" spans="1:6" ht="13">
      <c r="A2631" s="16"/>
      <c r="E2631" s="16"/>
      <c r="F2631" s="16"/>
    </row>
    <row r="2632" spans="1:6" ht="13">
      <c r="A2632" s="16"/>
      <c r="E2632" s="16"/>
      <c r="F2632" s="16"/>
    </row>
    <row r="2633" spans="1:6" ht="13">
      <c r="A2633" s="16"/>
      <c r="E2633" s="16"/>
      <c r="F2633" s="16"/>
    </row>
    <row r="2634" spans="1:6" ht="13">
      <c r="A2634" s="16"/>
      <c r="E2634" s="16"/>
      <c r="F2634" s="16"/>
    </row>
    <row r="2635" spans="1:6" ht="13">
      <c r="A2635" s="16"/>
      <c r="E2635" s="16"/>
      <c r="F2635" s="16"/>
    </row>
    <row r="2636" spans="1:6" ht="13">
      <c r="A2636" s="16"/>
      <c r="E2636" s="16"/>
      <c r="F2636" s="16"/>
    </row>
    <row r="2637" spans="1:6" ht="13">
      <c r="A2637" s="16"/>
      <c r="E2637" s="16"/>
      <c r="F2637" s="16"/>
    </row>
    <row r="2638" spans="1:6" ht="13">
      <c r="A2638" s="16"/>
      <c r="E2638" s="16"/>
      <c r="F2638" s="16"/>
    </row>
    <row r="2639" spans="1:6" ht="13">
      <c r="A2639" s="16"/>
      <c r="E2639" s="16"/>
      <c r="F2639" s="16"/>
    </row>
    <row r="2640" spans="1:6" ht="13">
      <c r="A2640" s="16"/>
      <c r="E2640" s="16"/>
      <c r="F2640" s="16"/>
    </row>
    <row r="2641" spans="1:6" ht="13">
      <c r="A2641" s="16"/>
      <c r="E2641" s="16"/>
      <c r="F2641" s="16"/>
    </row>
    <row r="2642" spans="1:6" ht="13">
      <c r="A2642" s="16"/>
      <c r="E2642" s="16"/>
      <c r="F2642" s="16"/>
    </row>
    <row r="2643" spans="1:6" ht="13">
      <c r="A2643" s="16"/>
      <c r="E2643" s="16"/>
      <c r="F2643" s="16"/>
    </row>
    <row r="2644" spans="1:6" ht="13">
      <c r="A2644" s="16"/>
      <c r="E2644" s="16"/>
      <c r="F2644" s="16"/>
    </row>
    <row r="2645" spans="1:6" ht="13">
      <c r="A2645" s="16"/>
      <c r="E2645" s="16"/>
      <c r="F2645" s="16"/>
    </row>
    <row r="2646" spans="1:6" ht="13">
      <c r="A2646" s="16"/>
      <c r="E2646" s="16"/>
      <c r="F2646" s="16"/>
    </row>
    <row r="2647" spans="1:6" ht="13">
      <c r="A2647" s="16"/>
      <c r="E2647" s="16"/>
      <c r="F2647" s="16"/>
    </row>
    <row r="2648" spans="1:6" ht="13">
      <c r="A2648" s="16"/>
      <c r="E2648" s="16"/>
      <c r="F2648" s="16"/>
    </row>
    <row r="2649" spans="1:6" ht="13">
      <c r="A2649" s="16"/>
      <c r="E2649" s="16"/>
      <c r="F2649" s="16"/>
    </row>
    <row r="2650" spans="1:6" ht="13">
      <c r="A2650" s="16"/>
      <c r="E2650" s="16"/>
      <c r="F2650" s="16"/>
    </row>
    <row r="2651" spans="1:6" ht="13">
      <c r="A2651" s="16"/>
      <c r="E2651" s="16"/>
      <c r="F2651" s="16"/>
    </row>
    <row r="2652" spans="1:6" ht="13">
      <c r="A2652" s="16"/>
      <c r="E2652" s="16"/>
      <c r="F2652" s="16"/>
    </row>
    <row r="2653" spans="1:6" ht="13">
      <c r="A2653" s="16"/>
      <c r="E2653" s="16"/>
      <c r="F2653" s="16"/>
    </row>
    <row r="2654" spans="1:6" ht="13">
      <c r="A2654" s="16"/>
      <c r="E2654" s="16"/>
      <c r="F2654" s="16"/>
    </row>
    <row r="2655" spans="1:6" ht="13">
      <c r="A2655" s="16"/>
      <c r="E2655" s="16"/>
      <c r="F2655" s="16"/>
    </row>
    <row r="2656" spans="1:6" ht="13">
      <c r="A2656" s="16"/>
      <c r="E2656" s="16"/>
      <c r="F2656" s="16"/>
    </row>
    <row r="2657" spans="1:6" ht="13">
      <c r="A2657" s="16"/>
      <c r="E2657" s="16"/>
      <c r="F2657" s="16"/>
    </row>
    <row r="2658" spans="1:6" ht="13">
      <c r="A2658" s="16"/>
      <c r="E2658" s="16"/>
      <c r="F2658" s="16"/>
    </row>
    <row r="2659" spans="1:6" ht="13">
      <c r="A2659" s="16"/>
      <c r="E2659" s="16"/>
      <c r="F2659" s="16"/>
    </row>
    <row r="2660" spans="1:6" ht="13">
      <c r="A2660" s="16"/>
      <c r="E2660" s="16"/>
      <c r="F2660" s="16"/>
    </row>
    <row r="2661" spans="1:6" ht="13">
      <c r="A2661" s="16"/>
      <c r="E2661" s="16"/>
      <c r="F2661" s="16"/>
    </row>
    <row r="2662" spans="1:6" ht="13">
      <c r="A2662" s="16"/>
      <c r="E2662" s="16"/>
      <c r="F2662" s="16"/>
    </row>
    <row r="2663" spans="1:6" ht="13">
      <c r="A2663" s="16"/>
      <c r="E2663" s="16"/>
      <c r="F2663" s="16"/>
    </row>
    <row r="2664" spans="1:6" ht="13">
      <c r="A2664" s="16"/>
      <c r="E2664" s="16"/>
      <c r="F2664" s="16"/>
    </row>
    <row r="2665" spans="1:6" ht="13">
      <c r="A2665" s="16"/>
      <c r="E2665" s="16"/>
      <c r="F2665" s="16"/>
    </row>
    <row r="2666" spans="1:6" ht="13">
      <c r="A2666" s="16"/>
      <c r="E2666" s="16"/>
      <c r="F2666" s="16"/>
    </row>
    <row r="2667" spans="1:6" ht="13">
      <c r="A2667" s="16"/>
      <c r="E2667" s="16"/>
      <c r="F2667" s="16"/>
    </row>
    <row r="2668" spans="1:6" ht="13">
      <c r="A2668" s="16"/>
      <c r="E2668" s="16"/>
      <c r="F2668" s="16"/>
    </row>
    <row r="2669" spans="1:6" ht="13">
      <c r="A2669" s="16"/>
      <c r="E2669" s="16"/>
      <c r="F2669" s="16"/>
    </row>
    <row r="2670" spans="1:6" ht="13">
      <c r="A2670" s="16"/>
      <c r="E2670" s="16"/>
      <c r="F2670" s="16"/>
    </row>
    <row r="2671" spans="1:6" ht="13">
      <c r="A2671" s="16"/>
      <c r="E2671" s="16"/>
      <c r="F2671" s="16"/>
    </row>
    <row r="2672" spans="1:6" ht="13">
      <c r="A2672" s="16"/>
      <c r="E2672" s="16"/>
      <c r="F2672" s="16"/>
    </row>
    <row r="2673" spans="1:6" ht="13">
      <c r="A2673" s="16"/>
      <c r="E2673" s="16"/>
      <c r="F2673" s="16"/>
    </row>
    <row r="2674" spans="1:6" ht="13">
      <c r="A2674" s="16"/>
      <c r="E2674" s="16"/>
      <c r="F2674" s="16"/>
    </row>
    <row r="2675" spans="1:6" ht="13">
      <c r="A2675" s="16"/>
      <c r="E2675" s="16"/>
      <c r="F2675" s="16"/>
    </row>
    <row r="2676" spans="1:6" ht="13">
      <c r="A2676" s="16"/>
      <c r="E2676" s="16"/>
      <c r="F2676" s="16"/>
    </row>
    <row r="2677" spans="1:6" ht="13">
      <c r="A2677" s="16"/>
      <c r="E2677" s="16"/>
      <c r="F2677" s="16"/>
    </row>
    <row r="2678" spans="1:6" ht="13">
      <c r="A2678" s="16"/>
      <c r="E2678" s="16"/>
      <c r="F2678" s="16"/>
    </row>
    <row r="2679" spans="1:6" ht="13">
      <c r="A2679" s="16"/>
      <c r="E2679" s="16"/>
      <c r="F2679" s="16"/>
    </row>
    <row r="2680" spans="1:6" ht="13">
      <c r="A2680" s="16"/>
      <c r="E2680" s="16"/>
      <c r="F2680" s="16"/>
    </row>
    <row r="2681" spans="1:6" ht="13">
      <c r="A2681" s="16"/>
      <c r="E2681" s="16"/>
      <c r="F2681" s="16"/>
    </row>
    <row r="2682" spans="1:6" ht="13">
      <c r="A2682" s="16"/>
      <c r="E2682" s="16"/>
      <c r="F2682" s="16"/>
    </row>
    <row r="2683" spans="1:6" ht="13">
      <c r="A2683" s="16"/>
      <c r="E2683" s="16"/>
      <c r="F2683" s="16"/>
    </row>
    <row r="2684" spans="1:6" ht="13">
      <c r="A2684" s="16"/>
      <c r="E2684" s="16"/>
      <c r="F2684" s="16"/>
    </row>
    <row r="2685" spans="1:6" ht="13">
      <c r="A2685" s="16"/>
      <c r="E2685" s="16"/>
      <c r="F2685" s="16"/>
    </row>
    <row r="2686" spans="1:6" ht="13">
      <c r="A2686" s="16"/>
      <c r="E2686" s="16"/>
      <c r="F2686" s="16"/>
    </row>
    <row r="2687" spans="1:6" ht="13">
      <c r="A2687" s="16"/>
      <c r="E2687" s="16"/>
      <c r="F2687" s="16"/>
    </row>
    <row r="2688" spans="1:6" ht="13">
      <c r="A2688" s="16"/>
      <c r="E2688" s="16"/>
      <c r="F2688" s="16"/>
    </row>
    <row r="2689" spans="1:6" ht="13">
      <c r="A2689" s="16"/>
      <c r="E2689" s="16"/>
      <c r="F2689" s="16"/>
    </row>
    <row r="2690" spans="1:6" ht="13">
      <c r="A2690" s="16"/>
      <c r="E2690" s="16"/>
      <c r="F2690" s="16"/>
    </row>
    <row r="2691" spans="1:6" ht="13">
      <c r="A2691" s="16"/>
      <c r="E2691" s="16"/>
      <c r="F2691" s="16"/>
    </row>
    <row r="2692" spans="1:6" ht="13">
      <c r="A2692" s="16"/>
      <c r="E2692" s="16"/>
      <c r="F2692" s="16"/>
    </row>
    <row r="2693" spans="1:6" ht="13">
      <c r="A2693" s="16"/>
      <c r="E2693" s="16"/>
      <c r="F2693" s="16"/>
    </row>
    <row r="2694" spans="1:6" ht="13">
      <c r="A2694" s="16"/>
      <c r="E2694" s="16"/>
      <c r="F2694" s="16"/>
    </row>
    <row r="2695" spans="1:6" ht="13">
      <c r="A2695" s="16"/>
      <c r="E2695" s="16"/>
      <c r="F2695" s="16"/>
    </row>
    <row r="2696" spans="1:6" ht="13">
      <c r="A2696" s="16"/>
      <c r="E2696" s="16"/>
      <c r="F2696" s="16"/>
    </row>
    <row r="2697" spans="1:6" ht="13">
      <c r="A2697" s="16"/>
      <c r="E2697" s="16"/>
      <c r="F2697" s="16"/>
    </row>
    <row r="2698" spans="1:6" ht="13">
      <c r="A2698" s="16"/>
      <c r="E2698" s="16"/>
      <c r="F2698" s="16"/>
    </row>
    <row r="2699" spans="1:6" ht="13">
      <c r="A2699" s="16"/>
      <c r="E2699" s="16"/>
      <c r="F2699" s="16"/>
    </row>
    <row r="2700" spans="1:6" ht="13">
      <c r="A2700" s="16"/>
      <c r="E2700" s="16"/>
      <c r="F2700" s="16"/>
    </row>
    <row r="2701" spans="1:6" ht="13">
      <c r="A2701" s="16"/>
      <c r="E2701" s="16"/>
      <c r="F2701" s="16"/>
    </row>
    <row r="2702" spans="1:6" ht="13">
      <c r="A2702" s="16"/>
      <c r="E2702" s="16"/>
      <c r="F2702" s="16"/>
    </row>
    <row r="2703" spans="1:6" ht="13">
      <c r="A2703" s="16"/>
      <c r="E2703" s="16"/>
      <c r="F2703" s="16"/>
    </row>
    <row r="2704" spans="1:6" ht="13">
      <c r="A2704" s="16"/>
      <c r="E2704" s="16"/>
      <c r="F2704" s="16"/>
    </row>
    <row r="2705" spans="1:6" ht="13">
      <c r="A2705" s="16"/>
      <c r="E2705" s="16"/>
      <c r="F2705" s="16"/>
    </row>
    <row r="2706" spans="1:6" ht="13">
      <c r="A2706" s="16"/>
      <c r="E2706" s="16"/>
      <c r="F2706" s="16"/>
    </row>
    <row r="2707" spans="1:6" ht="13">
      <c r="A2707" s="16"/>
      <c r="E2707" s="16"/>
      <c r="F2707" s="16"/>
    </row>
    <row r="2708" spans="1:6" ht="13">
      <c r="A2708" s="16"/>
      <c r="E2708" s="16"/>
      <c r="F2708" s="16"/>
    </row>
    <row r="2709" spans="1:6" ht="13">
      <c r="A2709" s="16"/>
      <c r="E2709" s="16"/>
      <c r="F2709" s="16"/>
    </row>
    <row r="2710" spans="1:6" ht="13">
      <c r="A2710" s="16"/>
      <c r="E2710" s="16"/>
      <c r="F2710" s="16"/>
    </row>
    <row r="2711" spans="1:6" ht="13">
      <c r="A2711" s="16"/>
      <c r="E2711" s="16"/>
      <c r="F2711" s="16"/>
    </row>
    <row r="2712" spans="1:6" ht="13">
      <c r="A2712" s="16"/>
      <c r="E2712" s="16"/>
      <c r="F2712" s="16"/>
    </row>
    <row r="2713" spans="1:6" ht="13">
      <c r="A2713" s="16"/>
      <c r="E2713" s="16"/>
      <c r="F2713" s="16"/>
    </row>
    <row r="2714" spans="1:6" ht="13">
      <c r="A2714" s="16"/>
      <c r="E2714" s="16"/>
      <c r="F2714" s="16"/>
    </row>
    <row r="2715" spans="1:6" ht="13">
      <c r="A2715" s="16"/>
      <c r="E2715" s="16"/>
      <c r="F2715" s="16"/>
    </row>
    <row r="2716" spans="1:6" ht="13">
      <c r="A2716" s="16"/>
      <c r="E2716" s="16"/>
      <c r="F2716" s="16"/>
    </row>
    <row r="2717" spans="1:6" ht="13">
      <c r="A2717" s="16"/>
      <c r="E2717" s="16"/>
      <c r="F2717" s="16"/>
    </row>
    <row r="2718" spans="1:6" ht="13">
      <c r="A2718" s="16"/>
      <c r="E2718" s="16"/>
      <c r="F2718" s="16"/>
    </row>
    <row r="2719" spans="1:6" ht="13">
      <c r="A2719" s="16"/>
      <c r="E2719" s="16"/>
      <c r="F2719" s="16"/>
    </row>
    <row r="2720" spans="1:6" ht="13">
      <c r="A2720" s="16"/>
      <c r="E2720" s="16"/>
      <c r="F2720" s="16"/>
    </row>
    <row r="2721" spans="1:6" ht="13">
      <c r="A2721" s="16"/>
      <c r="E2721" s="16"/>
      <c r="F2721" s="16"/>
    </row>
    <row r="2722" spans="1:6" ht="13">
      <c r="A2722" s="16"/>
      <c r="E2722" s="16"/>
      <c r="F2722" s="16"/>
    </row>
    <row r="2723" spans="1:6" ht="13">
      <c r="A2723" s="16"/>
      <c r="E2723" s="16"/>
      <c r="F2723" s="16"/>
    </row>
    <row r="2724" spans="1:6" ht="13">
      <c r="A2724" s="16"/>
      <c r="E2724" s="16"/>
      <c r="F2724" s="16"/>
    </row>
    <row r="2725" spans="1:6" ht="13">
      <c r="A2725" s="16"/>
      <c r="E2725" s="16"/>
      <c r="F2725" s="16"/>
    </row>
    <row r="2726" spans="1:6" ht="13">
      <c r="A2726" s="16"/>
      <c r="E2726" s="16"/>
      <c r="F2726" s="16"/>
    </row>
    <row r="2727" spans="1:6" ht="13">
      <c r="A2727" s="16"/>
      <c r="E2727" s="16"/>
      <c r="F2727" s="16"/>
    </row>
    <row r="2728" spans="1:6" ht="13">
      <c r="A2728" s="16"/>
      <c r="E2728" s="16"/>
      <c r="F2728" s="16"/>
    </row>
    <row r="2729" spans="1:6" ht="13">
      <c r="A2729" s="16"/>
      <c r="E2729" s="16"/>
      <c r="F2729" s="16"/>
    </row>
    <row r="2730" spans="1:6" ht="13">
      <c r="A2730" s="16"/>
      <c r="E2730" s="16"/>
      <c r="F2730" s="16"/>
    </row>
    <row r="2731" spans="1:6" ht="13">
      <c r="A2731" s="16"/>
      <c r="E2731" s="16"/>
      <c r="F2731" s="16"/>
    </row>
    <row r="2732" spans="1:6" ht="13">
      <c r="A2732" s="16"/>
      <c r="E2732" s="16"/>
      <c r="F2732" s="16"/>
    </row>
    <row r="2733" spans="1:6" ht="13">
      <c r="A2733" s="16"/>
      <c r="E2733" s="16"/>
      <c r="F2733" s="16"/>
    </row>
    <row r="2734" spans="1:6" ht="13">
      <c r="A2734" s="16"/>
      <c r="E2734" s="16"/>
      <c r="F2734" s="16"/>
    </row>
    <row r="2735" spans="1:6" ht="13">
      <c r="A2735" s="16"/>
      <c r="E2735" s="16"/>
      <c r="F2735" s="16"/>
    </row>
    <row r="2736" spans="1:6" ht="13">
      <c r="A2736" s="16"/>
      <c r="E2736" s="16"/>
      <c r="F2736" s="16"/>
    </row>
    <row r="2737" spans="1:6" ht="13">
      <c r="A2737" s="16"/>
      <c r="E2737" s="16"/>
      <c r="F2737" s="16"/>
    </row>
    <row r="2738" spans="1:6" ht="13">
      <c r="A2738" s="16"/>
      <c r="E2738" s="16"/>
      <c r="F2738" s="16"/>
    </row>
    <row r="2739" spans="1:6" ht="13">
      <c r="A2739" s="16"/>
      <c r="E2739" s="16"/>
      <c r="F2739" s="16"/>
    </row>
    <row r="2740" spans="1:6" ht="13">
      <c r="A2740" s="16"/>
      <c r="E2740" s="16"/>
      <c r="F2740" s="16"/>
    </row>
    <row r="2741" spans="1:6" ht="13">
      <c r="A2741" s="16"/>
      <c r="E2741" s="16"/>
      <c r="F2741" s="16"/>
    </row>
    <row r="2742" spans="1:6" ht="13">
      <c r="A2742" s="16"/>
      <c r="E2742" s="16"/>
      <c r="F2742" s="16"/>
    </row>
    <row r="2743" spans="1:6" ht="13">
      <c r="A2743" s="16"/>
      <c r="E2743" s="16"/>
      <c r="F2743" s="16"/>
    </row>
    <row r="2744" spans="1:6" ht="13">
      <c r="A2744" s="16"/>
      <c r="E2744" s="16"/>
      <c r="F2744" s="16"/>
    </row>
    <row r="2745" spans="1:6" ht="13">
      <c r="A2745" s="16"/>
      <c r="E2745" s="16"/>
      <c r="F2745" s="16"/>
    </row>
    <row r="2746" spans="1:6" ht="13">
      <c r="A2746" s="16"/>
      <c r="E2746" s="16"/>
      <c r="F2746" s="16"/>
    </row>
    <row r="2747" spans="1:6" ht="13">
      <c r="A2747" s="16"/>
      <c r="E2747" s="16"/>
      <c r="F2747" s="16"/>
    </row>
    <row r="2748" spans="1:6" ht="13">
      <c r="A2748" s="16"/>
      <c r="E2748" s="16"/>
      <c r="F2748" s="16"/>
    </row>
    <row r="2749" spans="1:6" ht="13">
      <c r="A2749" s="16"/>
      <c r="E2749" s="16"/>
      <c r="F2749" s="16"/>
    </row>
    <row r="2750" spans="1:6" ht="13">
      <c r="A2750" s="16"/>
      <c r="E2750" s="16"/>
      <c r="F2750" s="16"/>
    </row>
    <row r="2751" spans="1:6" ht="13">
      <c r="A2751" s="16"/>
      <c r="E2751" s="16"/>
      <c r="F2751" s="16"/>
    </row>
    <row r="2752" spans="1:6" ht="13">
      <c r="A2752" s="16"/>
      <c r="E2752" s="16"/>
      <c r="F2752" s="16"/>
    </row>
    <row r="2753" spans="1:6" ht="13">
      <c r="A2753" s="16"/>
      <c r="E2753" s="16"/>
      <c r="F2753" s="16"/>
    </row>
    <row r="2754" spans="1:6" ht="13">
      <c r="A2754" s="16"/>
      <c r="E2754" s="16"/>
      <c r="F2754" s="16"/>
    </row>
    <row r="2755" spans="1:6" ht="13">
      <c r="A2755" s="16"/>
      <c r="E2755" s="16"/>
      <c r="F2755" s="16"/>
    </row>
    <row r="2756" spans="1:6" ht="13">
      <c r="A2756" s="16"/>
      <c r="E2756" s="16"/>
      <c r="F2756" s="16"/>
    </row>
    <row r="2757" spans="1:6" ht="13">
      <c r="A2757" s="16"/>
      <c r="E2757" s="16"/>
      <c r="F2757" s="16"/>
    </row>
    <row r="2758" spans="1:6" ht="13">
      <c r="A2758" s="16"/>
      <c r="E2758" s="16"/>
      <c r="F2758" s="16"/>
    </row>
    <row r="2759" spans="1:6" ht="13">
      <c r="A2759" s="16"/>
      <c r="E2759" s="16"/>
      <c r="F2759" s="16"/>
    </row>
    <row r="2760" spans="1:6" ht="13">
      <c r="A2760" s="16"/>
      <c r="E2760" s="16"/>
      <c r="F2760" s="16"/>
    </row>
    <row r="2761" spans="1:6" ht="13">
      <c r="A2761" s="16"/>
      <c r="E2761" s="16"/>
      <c r="F2761" s="16"/>
    </row>
    <row r="2762" spans="1:6" ht="13">
      <c r="A2762" s="16"/>
      <c r="E2762" s="16"/>
      <c r="F2762" s="16"/>
    </row>
    <row r="2763" spans="1:6" ht="13">
      <c r="A2763" s="16"/>
      <c r="E2763" s="16"/>
      <c r="F2763" s="16"/>
    </row>
    <row r="2764" spans="1:6" ht="13">
      <c r="A2764" s="16"/>
      <c r="E2764" s="16"/>
      <c r="F2764" s="16"/>
    </row>
    <row r="2765" spans="1:6" ht="13">
      <c r="A2765" s="16"/>
      <c r="E2765" s="16"/>
      <c r="F2765" s="16"/>
    </row>
    <row r="2766" spans="1:6" ht="13">
      <c r="A2766" s="16"/>
      <c r="E2766" s="16"/>
      <c r="F2766" s="16"/>
    </row>
    <row r="2767" spans="1:6" ht="13">
      <c r="A2767" s="16"/>
      <c r="E2767" s="16"/>
      <c r="F2767" s="16"/>
    </row>
    <row r="2768" spans="1:6" ht="13">
      <c r="A2768" s="16"/>
      <c r="E2768" s="16"/>
      <c r="F2768" s="16"/>
    </row>
    <row r="2769" spans="1:6" ht="13">
      <c r="A2769" s="16"/>
      <c r="E2769" s="16"/>
      <c r="F2769" s="16"/>
    </row>
    <row r="2770" spans="1:6" ht="13">
      <c r="A2770" s="16"/>
      <c r="E2770" s="16"/>
      <c r="F2770" s="16"/>
    </row>
    <row r="2771" spans="1:6" ht="13">
      <c r="A2771" s="16"/>
      <c r="E2771" s="16"/>
      <c r="F2771" s="16"/>
    </row>
    <row r="2772" spans="1:6" ht="13">
      <c r="A2772" s="16"/>
      <c r="E2772" s="16"/>
      <c r="F2772" s="16"/>
    </row>
    <row r="2773" spans="1:6" ht="13">
      <c r="A2773" s="16"/>
      <c r="E2773" s="16"/>
      <c r="F2773" s="16"/>
    </row>
    <row r="2774" spans="1:6" ht="13">
      <c r="A2774" s="16"/>
      <c r="E2774" s="16"/>
      <c r="F2774" s="16"/>
    </row>
    <row r="2775" spans="1:6" ht="13">
      <c r="A2775" s="16"/>
      <c r="E2775" s="16"/>
      <c r="F2775" s="16"/>
    </row>
    <row r="2776" spans="1:6" ht="13">
      <c r="A2776" s="16"/>
      <c r="E2776" s="16"/>
      <c r="F2776" s="16"/>
    </row>
    <row r="2777" spans="1:6" ht="13">
      <c r="A2777" s="16"/>
      <c r="E2777" s="16"/>
      <c r="F2777" s="16"/>
    </row>
    <row r="2778" spans="1:6" ht="13">
      <c r="A2778" s="16"/>
      <c r="E2778" s="16"/>
      <c r="F2778" s="16"/>
    </row>
    <row r="2779" spans="1:6" ht="13">
      <c r="A2779" s="16"/>
      <c r="E2779" s="16"/>
      <c r="F2779" s="16"/>
    </row>
    <row r="2780" spans="1:6" ht="13">
      <c r="A2780" s="16"/>
      <c r="E2780" s="16"/>
      <c r="F2780" s="16"/>
    </row>
    <row r="2781" spans="1:6" ht="13">
      <c r="A2781" s="16"/>
      <c r="E2781" s="16"/>
      <c r="F2781" s="16"/>
    </row>
    <row r="2782" spans="1:6" ht="13">
      <c r="A2782" s="16"/>
      <c r="E2782" s="16"/>
      <c r="F2782" s="16"/>
    </row>
    <row r="2783" spans="1:6" ht="13">
      <c r="A2783" s="16"/>
      <c r="E2783" s="16"/>
      <c r="F2783" s="16"/>
    </row>
    <row r="2784" spans="1:6" ht="13">
      <c r="A2784" s="16"/>
      <c r="E2784" s="16"/>
      <c r="F2784" s="16"/>
    </row>
    <row r="2785" spans="1:6" ht="13">
      <c r="A2785" s="16"/>
      <c r="E2785" s="16"/>
      <c r="F2785" s="16"/>
    </row>
    <row r="2786" spans="1:6" ht="13">
      <c r="A2786" s="16"/>
      <c r="E2786" s="16"/>
      <c r="F2786" s="16"/>
    </row>
    <row r="2787" spans="1:6" ht="13">
      <c r="A2787" s="16"/>
      <c r="E2787" s="16"/>
      <c r="F2787" s="16"/>
    </row>
    <row r="2788" spans="1:6" ht="13">
      <c r="A2788" s="16"/>
      <c r="E2788" s="16"/>
      <c r="F2788" s="16"/>
    </row>
    <row r="2789" spans="1:6" ht="13">
      <c r="A2789" s="16"/>
      <c r="E2789" s="16"/>
      <c r="F2789" s="16"/>
    </row>
    <row r="2790" spans="1:6" ht="13">
      <c r="A2790" s="16"/>
      <c r="E2790" s="16"/>
      <c r="F2790" s="16"/>
    </row>
    <row r="2791" spans="1:6" ht="13">
      <c r="A2791" s="16"/>
      <c r="E2791" s="16"/>
      <c r="F2791" s="16"/>
    </row>
    <row r="2792" spans="1:6" ht="13">
      <c r="A2792" s="16"/>
      <c r="E2792" s="16"/>
      <c r="F2792" s="16"/>
    </row>
    <row r="2793" spans="1:6" ht="13">
      <c r="A2793" s="16"/>
      <c r="E2793" s="16"/>
      <c r="F2793" s="16"/>
    </row>
    <row r="2794" spans="1:6" ht="13">
      <c r="A2794" s="16"/>
      <c r="E2794" s="16"/>
      <c r="F2794" s="16"/>
    </row>
    <row r="2795" spans="1:6" ht="13">
      <c r="A2795" s="16"/>
      <c r="E2795" s="16"/>
      <c r="F2795" s="16"/>
    </row>
    <row r="2796" spans="1:6" ht="13">
      <c r="A2796" s="16"/>
      <c r="E2796" s="16"/>
      <c r="F2796" s="16"/>
    </row>
    <row r="2797" spans="1:6" ht="13">
      <c r="A2797" s="16"/>
      <c r="E2797" s="16"/>
      <c r="F2797" s="16"/>
    </row>
    <row r="2798" spans="1:6" ht="13">
      <c r="A2798" s="16"/>
      <c r="E2798" s="16"/>
      <c r="F2798" s="16"/>
    </row>
    <row r="2799" spans="1:6" ht="13">
      <c r="A2799" s="16"/>
      <c r="E2799" s="16"/>
      <c r="F2799" s="16"/>
    </row>
    <row r="2800" spans="1:6" ht="13">
      <c r="A2800" s="16"/>
      <c r="E2800" s="16"/>
      <c r="F2800" s="16"/>
    </row>
    <row r="2801" spans="1:6" ht="13">
      <c r="A2801" s="16"/>
      <c r="E2801" s="16"/>
      <c r="F2801" s="16"/>
    </row>
    <row r="2802" spans="1:6" ht="13">
      <c r="A2802" s="16"/>
      <c r="E2802" s="16"/>
      <c r="F2802" s="16"/>
    </row>
    <row r="2803" spans="1:6" ht="13">
      <c r="A2803" s="16"/>
      <c r="E2803" s="16"/>
      <c r="F2803" s="16"/>
    </row>
    <row r="2804" spans="1:6" ht="13">
      <c r="A2804" s="16"/>
      <c r="E2804" s="16"/>
      <c r="F2804" s="16"/>
    </row>
    <row r="2805" spans="1:6" ht="13">
      <c r="A2805" s="16"/>
      <c r="E2805" s="16"/>
      <c r="F2805" s="16"/>
    </row>
    <row r="2806" spans="1:6" ht="13">
      <c r="A2806" s="16"/>
      <c r="E2806" s="16"/>
      <c r="F2806" s="16"/>
    </row>
    <row r="2807" spans="1:6" ht="13">
      <c r="A2807" s="16"/>
      <c r="E2807" s="16"/>
      <c r="F2807" s="16"/>
    </row>
    <row r="2808" spans="1:6" ht="13">
      <c r="A2808" s="16"/>
      <c r="E2808" s="16"/>
      <c r="F2808" s="16"/>
    </row>
    <row r="2809" spans="1:6" ht="13">
      <c r="A2809" s="16"/>
      <c r="E2809" s="16"/>
      <c r="F2809" s="16"/>
    </row>
    <row r="2810" spans="1:6" ht="13">
      <c r="A2810" s="16"/>
      <c r="E2810" s="16"/>
      <c r="F2810" s="16"/>
    </row>
    <row r="2811" spans="1:6" ht="13">
      <c r="A2811" s="16"/>
      <c r="E2811" s="16"/>
      <c r="F2811" s="16"/>
    </row>
    <row r="2812" spans="1:6" ht="13">
      <c r="A2812" s="16"/>
      <c r="E2812" s="16"/>
      <c r="F2812" s="16"/>
    </row>
    <row r="2813" spans="1:6" ht="13">
      <c r="A2813" s="16"/>
      <c r="E2813" s="16"/>
      <c r="F2813" s="16"/>
    </row>
    <row r="2814" spans="1:6" ht="13">
      <c r="A2814" s="16"/>
      <c r="E2814" s="16"/>
      <c r="F2814" s="16"/>
    </row>
    <row r="2815" spans="1:6" ht="13">
      <c r="A2815" s="16"/>
      <c r="E2815" s="16"/>
      <c r="F2815" s="16"/>
    </row>
    <row r="2816" spans="1:6" ht="13">
      <c r="A2816" s="16"/>
      <c r="E2816" s="16"/>
      <c r="F2816" s="16"/>
    </row>
    <row r="2817" spans="1:6" ht="13">
      <c r="A2817" s="16"/>
      <c r="E2817" s="16"/>
      <c r="F2817" s="16"/>
    </row>
    <row r="2818" spans="1:6" ht="13">
      <c r="A2818" s="16"/>
      <c r="E2818" s="16"/>
      <c r="F2818" s="16"/>
    </row>
    <row r="2819" spans="1:6" ht="13">
      <c r="A2819" s="16"/>
      <c r="E2819" s="16"/>
      <c r="F2819" s="16"/>
    </row>
    <row r="2820" spans="1:6" ht="13">
      <c r="A2820" s="16"/>
      <c r="E2820" s="16"/>
      <c r="F2820" s="16"/>
    </row>
    <row r="2821" spans="1:6" ht="13">
      <c r="A2821" s="16"/>
      <c r="E2821" s="16"/>
      <c r="F2821" s="16"/>
    </row>
    <row r="2822" spans="1:6" ht="13">
      <c r="A2822" s="16"/>
      <c r="E2822" s="16"/>
      <c r="F2822" s="16"/>
    </row>
    <row r="2823" spans="1:6" ht="13">
      <c r="A2823" s="16"/>
      <c r="E2823" s="16"/>
      <c r="F2823" s="16"/>
    </row>
    <row r="2824" spans="1:6" ht="13">
      <c r="A2824" s="16"/>
      <c r="E2824" s="16"/>
      <c r="F2824" s="16"/>
    </row>
    <row r="2825" spans="1:6" ht="13">
      <c r="A2825" s="16"/>
      <c r="E2825" s="16"/>
      <c r="F2825" s="16"/>
    </row>
    <row r="2826" spans="1:6" ht="13">
      <c r="A2826" s="16"/>
      <c r="E2826" s="16"/>
      <c r="F2826" s="16"/>
    </row>
    <row r="2827" spans="1:6" ht="13">
      <c r="A2827" s="16"/>
      <c r="E2827" s="16"/>
      <c r="F2827" s="16"/>
    </row>
    <row r="2828" spans="1:6" ht="13">
      <c r="A2828" s="16"/>
      <c r="E2828" s="16"/>
      <c r="F2828" s="16"/>
    </row>
    <row r="2829" spans="1:6" ht="13">
      <c r="A2829" s="16"/>
      <c r="E2829" s="16"/>
      <c r="F2829" s="16"/>
    </row>
    <row r="2830" spans="1:6" ht="13">
      <c r="A2830" s="16"/>
      <c r="E2830" s="16"/>
      <c r="F2830" s="16"/>
    </row>
    <row r="2831" spans="1:6" ht="13">
      <c r="A2831" s="16"/>
      <c r="E2831" s="16"/>
      <c r="F2831" s="16"/>
    </row>
    <row r="2832" spans="1:6" ht="13">
      <c r="A2832" s="16"/>
      <c r="E2832" s="16"/>
      <c r="F2832" s="16"/>
    </row>
    <row r="2833" spans="1:6" ht="13">
      <c r="A2833" s="16"/>
      <c r="E2833" s="16"/>
      <c r="F2833" s="16"/>
    </row>
    <row r="2834" spans="1:6" ht="13">
      <c r="A2834" s="16"/>
      <c r="E2834" s="16"/>
      <c r="F2834" s="16"/>
    </row>
    <row r="2835" spans="1:6" ht="13">
      <c r="A2835" s="16"/>
      <c r="E2835" s="16"/>
      <c r="F2835" s="16"/>
    </row>
    <row r="2836" spans="1:6" ht="13">
      <c r="A2836" s="16"/>
      <c r="E2836" s="16"/>
      <c r="F2836" s="16"/>
    </row>
    <row r="2837" spans="1:6" ht="13">
      <c r="A2837" s="16"/>
      <c r="E2837" s="16"/>
      <c r="F2837" s="16"/>
    </row>
    <row r="2838" spans="1:6" ht="13">
      <c r="A2838" s="16"/>
      <c r="E2838" s="16"/>
      <c r="F2838" s="16"/>
    </row>
    <row r="2839" spans="1:6" ht="13">
      <c r="A2839" s="16"/>
      <c r="E2839" s="16"/>
      <c r="F2839" s="16"/>
    </row>
    <row r="2840" spans="1:6" ht="13">
      <c r="A2840" s="16"/>
      <c r="E2840" s="16"/>
      <c r="F2840" s="16"/>
    </row>
    <row r="2841" spans="1:6" ht="13">
      <c r="A2841" s="16"/>
      <c r="E2841" s="16"/>
      <c r="F2841" s="16"/>
    </row>
    <row r="2842" spans="1:6" ht="13">
      <c r="A2842" s="16"/>
      <c r="E2842" s="16"/>
      <c r="F2842" s="16"/>
    </row>
    <row r="2843" spans="1:6" ht="13">
      <c r="A2843" s="16"/>
      <c r="E2843" s="16"/>
      <c r="F2843" s="16"/>
    </row>
    <row r="2844" spans="1:6" ht="13">
      <c r="A2844" s="16"/>
      <c r="E2844" s="16"/>
      <c r="F2844" s="16"/>
    </row>
    <row r="2845" spans="1:6" ht="13">
      <c r="A2845" s="16"/>
      <c r="E2845" s="16"/>
      <c r="F2845" s="16"/>
    </row>
    <row r="2846" spans="1:6" ht="13">
      <c r="A2846" s="16"/>
      <c r="E2846" s="16"/>
      <c r="F2846" s="16"/>
    </row>
    <row r="2847" spans="1:6" ht="13">
      <c r="A2847" s="16"/>
      <c r="E2847" s="16"/>
      <c r="F2847" s="16"/>
    </row>
    <row r="2848" spans="1:6" ht="13">
      <c r="A2848" s="16"/>
      <c r="E2848" s="16"/>
      <c r="F2848" s="16"/>
    </row>
    <row r="2849" spans="1:6" ht="13">
      <c r="A2849" s="16"/>
      <c r="E2849" s="16"/>
      <c r="F2849" s="16"/>
    </row>
    <row r="2850" spans="1:6" ht="13">
      <c r="A2850" s="16"/>
      <c r="E2850" s="16"/>
      <c r="F2850" s="16"/>
    </row>
    <row r="2851" spans="1:6" ht="13">
      <c r="A2851" s="16"/>
      <c r="E2851" s="16"/>
      <c r="F2851" s="16"/>
    </row>
    <row r="2852" spans="1:6" ht="13">
      <c r="A2852" s="16"/>
      <c r="E2852" s="16"/>
      <c r="F2852" s="16"/>
    </row>
    <row r="2853" spans="1:6" ht="13">
      <c r="A2853" s="16"/>
      <c r="E2853" s="16"/>
      <c r="F2853" s="16"/>
    </row>
    <row r="2854" spans="1:6" ht="13">
      <c r="A2854" s="16"/>
      <c r="E2854" s="16"/>
      <c r="F2854" s="16"/>
    </row>
    <row r="2855" spans="1:6" ht="13">
      <c r="A2855" s="16"/>
      <c r="E2855" s="16"/>
      <c r="F2855" s="16"/>
    </row>
    <row r="2856" spans="1:6" ht="13">
      <c r="A2856" s="16"/>
      <c r="E2856" s="16"/>
      <c r="F2856" s="16"/>
    </row>
    <row r="2857" spans="1:6" ht="13">
      <c r="A2857" s="16"/>
      <c r="E2857" s="16"/>
      <c r="F2857" s="16"/>
    </row>
    <row r="2858" spans="1:6" ht="13">
      <c r="A2858" s="16"/>
      <c r="E2858" s="16"/>
      <c r="F2858" s="16"/>
    </row>
    <row r="2859" spans="1:6" ht="13">
      <c r="A2859" s="16"/>
      <c r="E2859" s="16"/>
      <c r="F2859" s="16"/>
    </row>
    <row r="2860" spans="1:6" ht="13">
      <c r="A2860" s="16"/>
      <c r="E2860" s="16"/>
      <c r="F2860" s="16"/>
    </row>
    <row r="2861" spans="1:6" ht="13">
      <c r="A2861" s="16"/>
      <c r="E2861" s="16"/>
      <c r="F2861" s="16"/>
    </row>
    <row r="2862" spans="1:6" ht="13">
      <c r="A2862" s="16"/>
      <c r="E2862" s="16"/>
      <c r="F2862" s="16"/>
    </row>
    <row r="2863" spans="1:6" ht="13">
      <c r="A2863" s="16"/>
      <c r="E2863" s="16"/>
      <c r="F2863" s="16"/>
    </row>
    <row r="2864" spans="1:6" ht="13">
      <c r="A2864" s="16"/>
      <c r="E2864" s="16"/>
      <c r="F2864" s="16"/>
    </row>
    <row r="2865" spans="1:6" ht="13">
      <c r="A2865" s="16"/>
      <c r="E2865" s="16"/>
      <c r="F2865" s="16"/>
    </row>
    <row r="2866" spans="1:6" ht="13">
      <c r="A2866" s="16"/>
      <c r="E2866" s="16"/>
      <c r="F2866" s="16"/>
    </row>
    <row r="2867" spans="1:6" ht="13">
      <c r="A2867" s="16"/>
      <c r="E2867" s="16"/>
      <c r="F2867" s="16"/>
    </row>
    <row r="2868" spans="1:6" ht="13">
      <c r="A2868" s="16"/>
      <c r="E2868" s="16"/>
      <c r="F2868" s="16"/>
    </row>
    <row r="2869" spans="1:6" ht="13">
      <c r="A2869" s="16"/>
      <c r="E2869" s="16"/>
      <c r="F2869" s="16"/>
    </row>
    <row r="2870" spans="1:6" ht="13">
      <c r="A2870" s="16"/>
      <c r="E2870" s="16"/>
      <c r="F2870" s="16"/>
    </row>
    <row r="2871" spans="1:6" ht="13">
      <c r="A2871" s="16"/>
      <c r="E2871" s="16"/>
      <c r="F2871" s="16"/>
    </row>
    <row r="2872" spans="1:6" ht="13">
      <c r="A2872" s="16"/>
      <c r="E2872" s="16"/>
      <c r="F2872" s="16"/>
    </row>
    <row r="2873" spans="1:6" ht="13">
      <c r="A2873" s="16"/>
      <c r="E2873" s="16"/>
      <c r="F2873" s="16"/>
    </row>
    <row r="2874" spans="1:6" ht="13">
      <c r="A2874" s="16"/>
      <c r="E2874" s="16"/>
      <c r="F2874" s="16"/>
    </row>
    <row r="2875" spans="1:6" ht="13">
      <c r="A2875" s="16"/>
      <c r="E2875" s="16"/>
      <c r="F2875" s="16"/>
    </row>
    <row r="2876" spans="1:6" ht="13">
      <c r="A2876" s="16"/>
      <c r="E2876" s="16"/>
      <c r="F2876" s="16"/>
    </row>
    <row r="2877" spans="1:6" ht="13">
      <c r="A2877" s="16"/>
      <c r="E2877" s="16"/>
      <c r="F2877" s="16"/>
    </row>
    <row r="2878" spans="1:6" ht="13">
      <c r="A2878" s="16"/>
      <c r="E2878" s="16"/>
      <c r="F2878" s="16"/>
    </row>
    <row r="2879" spans="1:6" ht="13">
      <c r="A2879" s="16"/>
      <c r="E2879" s="16"/>
      <c r="F2879" s="16"/>
    </row>
    <row r="2880" spans="1:6" ht="13">
      <c r="A2880" s="16"/>
      <c r="E2880" s="16"/>
      <c r="F2880" s="16"/>
    </row>
    <row r="2881" spans="1:6" ht="13">
      <c r="A2881" s="16"/>
      <c r="E2881" s="16"/>
      <c r="F2881" s="16"/>
    </row>
    <row r="2882" spans="1:6" ht="13">
      <c r="A2882" s="16"/>
      <c r="E2882" s="16"/>
      <c r="F2882" s="16"/>
    </row>
    <row r="2883" spans="1:6" ht="13">
      <c r="A2883" s="16"/>
      <c r="E2883" s="16"/>
      <c r="F2883" s="16"/>
    </row>
    <row r="2884" spans="1:6" ht="13">
      <c r="A2884" s="16"/>
      <c r="E2884" s="16"/>
      <c r="F2884" s="16"/>
    </row>
    <row r="2885" spans="1:6" ht="13">
      <c r="A2885" s="16"/>
      <c r="E2885" s="16"/>
      <c r="F2885" s="16"/>
    </row>
    <row r="2886" spans="1:6" ht="13">
      <c r="A2886" s="16"/>
      <c r="E2886" s="16"/>
      <c r="F2886" s="16"/>
    </row>
    <row r="2887" spans="1:6" ht="13">
      <c r="A2887" s="16"/>
      <c r="E2887" s="16"/>
      <c r="F2887" s="16"/>
    </row>
    <row r="2888" spans="1:6" ht="13">
      <c r="A2888" s="16"/>
      <c r="E2888" s="16"/>
      <c r="F2888" s="16"/>
    </row>
    <row r="2889" spans="1:6" ht="13">
      <c r="A2889" s="16"/>
      <c r="E2889" s="16"/>
      <c r="F2889" s="16"/>
    </row>
    <row r="2890" spans="1:6" ht="13">
      <c r="A2890" s="16"/>
      <c r="E2890" s="16"/>
      <c r="F2890" s="16"/>
    </row>
    <row r="2891" spans="1:6" ht="13">
      <c r="A2891" s="16"/>
      <c r="E2891" s="16"/>
      <c r="F2891" s="16"/>
    </row>
    <row r="2892" spans="1:6" ht="13">
      <c r="A2892" s="16"/>
      <c r="E2892" s="16"/>
      <c r="F2892" s="16"/>
    </row>
    <row r="2893" spans="1:6" ht="13">
      <c r="A2893" s="16"/>
      <c r="E2893" s="16"/>
      <c r="F2893" s="16"/>
    </row>
    <row r="2894" spans="1:6" ht="13">
      <c r="A2894" s="16"/>
      <c r="E2894" s="16"/>
      <c r="F2894" s="16"/>
    </row>
    <row r="2895" spans="1:6" ht="13">
      <c r="A2895" s="16"/>
      <c r="E2895" s="16"/>
      <c r="F2895" s="16"/>
    </row>
    <row r="2896" spans="1:6" ht="13">
      <c r="A2896" s="16"/>
      <c r="E2896" s="16"/>
      <c r="F2896" s="16"/>
    </row>
    <row r="2897" spans="1:6" ht="13">
      <c r="A2897" s="16"/>
      <c r="E2897" s="16"/>
      <c r="F2897" s="16"/>
    </row>
    <row r="2898" spans="1:6" ht="13">
      <c r="A2898" s="16"/>
      <c r="E2898" s="16"/>
      <c r="F2898" s="16"/>
    </row>
    <row r="2899" spans="1:6" ht="13">
      <c r="A2899" s="16"/>
      <c r="E2899" s="16"/>
      <c r="F2899" s="16"/>
    </row>
    <row r="2900" spans="1:6" ht="13">
      <c r="A2900" s="16"/>
      <c r="E2900" s="16"/>
      <c r="F2900" s="16"/>
    </row>
    <row r="2901" spans="1:6" ht="13">
      <c r="A2901" s="16"/>
      <c r="E2901" s="16"/>
      <c r="F2901" s="16"/>
    </row>
    <row r="2902" spans="1:6" ht="13">
      <c r="A2902" s="16"/>
      <c r="E2902" s="16"/>
      <c r="F2902" s="16"/>
    </row>
    <row r="2903" spans="1:6" ht="13">
      <c r="A2903" s="16"/>
      <c r="E2903" s="16"/>
      <c r="F2903" s="16"/>
    </row>
    <row r="2904" spans="1:6" ht="13">
      <c r="A2904" s="16"/>
      <c r="E2904" s="16"/>
      <c r="F2904" s="16"/>
    </row>
    <row r="2905" spans="1:6" ht="13">
      <c r="A2905" s="16"/>
      <c r="E2905" s="16"/>
      <c r="F2905" s="16"/>
    </row>
    <row r="2906" spans="1:6" ht="13">
      <c r="A2906" s="16"/>
      <c r="E2906" s="16"/>
      <c r="F2906" s="16"/>
    </row>
    <row r="2907" spans="1:6" ht="13">
      <c r="A2907" s="16"/>
      <c r="E2907" s="16"/>
      <c r="F2907" s="16"/>
    </row>
    <row r="2908" spans="1:6" ht="13">
      <c r="A2908" s="16"/>
      <c r="E2908" s="16"/>
      <c r="F2908" s="16"/>
    </row>
    <row r="2909" spans="1:6" ht="13">
      <c r="A2909" s="16"/>
      <c r="E2909" s="16"/>
      <c r="F2909" s="16"/>
    </row>
    <row r="2910" spans="1:6" ht="13">
      <c r="A2910" s="16"/>
      <c r="E2910" s="16"/>
      <c r="F2910" s="16"/>
    </row>
    <row r="2911" spans="1:6" ht="13">
      <c r="A2911" s="16"/>
      <c r="E2911" s="16"/>
      <c r="F2911" s="16"/>
    </row>
    <row r="2912" spans="1:6" ht="13">
      <c r="A2912" s="16"/>
      <c r="E2912" s="16"/>
      <c r="F2912" s="16"/>
    </row>
    <row r="2913" spans="1:6" ht="13">
      <c r="A2913" s="16"/>
      <c r="E2913" s="16"/>
      <c r="F2913" s="16"/>
    </row>
    <row r="2914" spans="1:6" ht="13">
      <c r="A2914" s="16"/>
      <c r="E2914" s="16"/>
      <c r="F2914" s="16"/>
    </row>
    <row r="2915" spans="1:6" ht="13">
      <c r="A2915" s="16"/>
      <c r="E2915" s="16"/>
      <c r="F2915" s="16"/>
    </row>
    <row r="2916" spans="1:6" ht="13">
      <c r="A2916" s="16"/>
      <c r="E2916" s="16"/>
      <c r="F2916" s="16"/>
    </row>
    <row r="2917" spans="1:6" ht="13">
      <c r="A2917" s="16"/>
      <c r="E2917" s="16"/>
      <c r="F2917" s="16"/>
    </row>
    <row r="2918" spans="1:6" ht="13">
      <c r="A2918" s="16"/>
      <c r="E2918" s="16"/>
      <c r="F2918" s="16"/>
    </row>
    <row r="2919" spans="1:6" ht="13">
      <c r="A2919" s="16"/>
      <c r="E2919" s="16"/>
      <c r="F2919" s="16"/>
    </row>
    <row r="2920" spans="1:6" ht="13">
      <c r="A2920" s="16"/>
      <c r="E2920" s="16"/>
      <c r="F2920" s="16"/>
    </row>
    <row r="2921" spans="1:6" ht="13">
      <c r="A2921" s="16"/>
      <c r="E2921" s="16"/>
      <c r="F2921" s="16"/>
    </row>
    <row r="2922" spans="1:6" ht="13">
      <c r="A2922" s="16"/>
      <c r="E2922" s="16"/>
      <c r="F2922" s="16"/>
    </row>
    <row r="2923" spans="1:6" ht="13">
      <c r="A2923" s="16"/>
      <c r="E2923" s="16"/>
      <c r="F2923" s="16"/>
    </row>
    <row r="2924" spans="1:6" ht="13">
      <c r="A2924" s="16"/>
      <c r="E2924" s="16"/>
      <c r="F2924" s="16"/>
    </row>
    <row r="2925" spans="1:6" ht="13">
      <c r="A2925" s="16"/>
      <c r="E2925" s="16"/>
      <c r="F2925" s="16"/>
    </row>
    <row r="2926" spans="1:6" ht="13">
      <c r="A2926" s="16"/>
      <c r="E2926" s="16"/>
      <c r="F2926" s="16"/>
    </row>
    <row r="2927" spans="1:6" ht="13">
      <c r="A2927" s="16"/>
      <c r="E2927" s="16"/>
      <c r="F2927" s="16"/>
    </row>
    <row r="2928" spans="1:6" ht="13">
      <c r="A2928" s="16"/>
      <c r="E2928" s="16"/>
      <c r="F2928" s="16"/>
    </row>
    <row r="2929" spans="1:6" ht="13">
      <c r="A2929" s="16"/>
      <c r="E2929" s="16"/>
      <c r="F2929" s="16"/>
    </row>
    <row r="2930" spans="1:6" ht="13">
      <c r="A2930" s="16"/>
      <c r="E2930" s="16"/>
      <c r="F2930" s="16"/>
    </row>
    <row r="2931" spans="1:6" ht="13">
      <c r="A2931" s="16"/>
      <c r="E2931" s="16"/>
      <c r="F2931" s="16"/>
    </row>
    <row r="2932" spans="1:6" ht="13">
      <c r="A2932" s="16"/>
      <c r="E2932" s="16"/>
      <c r="F2932" s="16"/>
    </row>
    <row r="2933" spans="1:6" ht="13">
      <c r="A2933" s="16"/>
      <c r="E2933" s="16"/>
      <c r="F2933" s="16"/>
    </row>
    <row r="2934" spans="1:6" ht="13">
      <c r="A2934" s="16"/>
      <c r="E2934" s="16"/>
      <c r="F2934" s="16"/>
    </row>
    <row r="2935" spans="1:6" ht="13">
      <c r="A2935" s="16"/>
      <c r="E2935" s="16"/>
      <c r="F2935" s="16"/>
    </row>
    <row r="2936" spans="1:6" ht="13">
      <c r="A2936" s="16"/>
      <c r="E2936" s="16"/>
      <c r="F2936" s="16"/>
    </row>
    <row r="2937" spans="1:6" ht="13">
      <c r="A2937" s="16"/>
      <c r="E2937" s="16"/>
      <c r="F2937" s="16"/>
    </row>
    <row r="2938" spans="1:6" ht="13">
      <c r="A2938" s="16"/>
      <c r="E2938" s="16"/>
      <c r="F2938" s="16"/>
    </row>
    <row r="2939" spans="1:6" ht="13">
      <c r="A2939" s="16"/>
      <c r="E2939" s="16"/>
      <c r="F2939" s="16"/>
    </row>
    <row r="2940" spans="1:6" ht="13">
      <c r="A2940" s="16"/>
      <c r="E2940" s="16"/>
      <c r="F2940" s="16"/>
    </row>
    <row r="2941" spans="1:6" ht="13">
      <c r="A2941" s="16"/>
      <c r="E2941" s="16"/>
      <c r="F2941" s="16"/>
    </row>
    <row r="2942" spans="1:6" ht="13">
      <c r="A2942" s="16"/>
      <c r="E2942" s="16"/>
      <c r="F2942" s="16"/>
    </row>
    <row r="2943" spans="1:6" ht="13">
      <c r="A2943" s="16"/>
      <c r="E2943" s="16"/>
      <c r="F2943" s="16"/>
    </row>
    <row r="2944" spans="1:6" ht="13">
      <c r="A2944" s="16"/>
      <c r="E2944" s="16"/>
      <c r="F2944" s="16"/>
    </row>
    <row r="2945" spans="1:6" ht="13">
      <c r="A2945" s="16"/>
      <c r="E2945" s="16"/>
      <c r="F2945" s="16"/>
    </row>
    <row r="2946" spans="1:6" ht="13">
      <c r="A2946" s="16"/>
      <c r="E2946" s="16"/>
      <c r="F2946" s="16"/>
    </row>
    <row r="2947" spans="1:6" ht="13">
      <c r="A2947" s="16"/>
      <c r="E2947" s="16"/>
      <c r="F2947" s="16"/>
    </row>
    <row r="2948" spans="1:6" ht="13">
      <c r="A2948" s="16"/>
      <c r="E2948" s="16"/>
      <c r="F2948" s="16"/>
    </row>
    <row r="2949" spans="1:6" ht="13">
      <c r="A2949" s="16"/>
      <c r="E2949" s="16"/>
      <c r="F2949" s="16"/>
    </row>
    <row r="2950" spans="1:6" ht="13">
      <c r="A2950" s="16"/>
      <c r="E2950" s="16"/>
      <c r="F2950" s="16"/>
    </row>
    <row r="2951" spans="1:6" ht="13">
      <c r="A2951" s="16"/>
      <c r="E2951" s="16"/>
      <c r="F2951" s="16"/>
    </row>
    <row r="2952" spans="1:6" ht="13">
      <c r="A2952" s="16"/>
      <c r="E2952" s="16"/>
      <c r="F2952" s="16"/>
    </row>
    <row r="2953" spans="1:6" ht="13">
      <c r="A2953" s="16"/>
      <c r="E2953" s="16"/>
      <c r="F2953" s="16"/>
    </row>
    <row r="2954" spans="1:6" ht="13">
      <c r="A2954" s="16"/>
      <c r="E2954" s="16"/>
      <c r="F2954" s="16"/>
    </row>
    <row r="2955" spans="1:6" ht="13">
      <c r="A2955" s="16"/>
      <c r="E2955" s="16"/>
      <c r="F2955" s="16"/>
    </row>
    <row r="2956" spans="1:6" ht="13">
      <c r="A2956" s="16"/>
      <c r="E2956" s="16"/>
      <c r="F2956" s="16"/>
    </row>
    <row r="2957" spans="1:6" ht="13">
      <c r="A2957" s="16"/>
      <c r="E2957" s="16"/>
      <c r="F2957" s="16"/>
    </row>
    <row r="2958" spans="1:6" ht="13">
      <c r="A2958" s="16"/>
      <c r="E2958" s="16"/>
      <c r="F2958" s="16"/>
    </row>
    <row r="2959" spans="1:6" ht="13">
      <c r="A2959" s="16"/>
      <c r="E2959" s="16"/>
      <c r="F2959" s="16"/>
    </row>
    <row r="2960" spans="1:6" ht="13">
      <c r="A2960" s="16"/>
      <c r="E2960" s="16"/>
      <c r="F2960" s="16"/>
    </row>
    <row r="2961" spans="1:6" ht="13">
      <c r="A2961" s="16"/>
      <c r="E2961" s="16"/>
      <c r="F2961" s="16"/>
    </row>
    <row r="2962" spans="1:6" ht="13">
      <c r="A2962" s="16"/>
      <c r="E2962" s="16"/>
      <c r="F2962" s="16"/>
    </row>
    <row r="2963" spans="1:6" ht="13">
      <c r="A2963" s="16"/>
      <c r="E2963" s="16"/>
      <c r="F2963" s="16"/>
    </row>
    <row r="2964" spans="1:6" ht="13">
      <c r="A2964" s="16"/>
      <c r="E2964" s="16"/>
      <c r="F2964" s="16"/>
    </row>
    <row r="2965" spans="1:6" ht="13">
      <c r="A2965" s="16"/>
      <c r="E2965" s="16"/>
      <c r="F2965" s="16"/>
    </row>
    <row r="2966" spans="1:6" ht="13">
      <c r="A2966" s="16"/>
      <c r="E2966" s="16"/>
      <c r="F2966" s="16"/>
    </row>
    <row r="2967" spans="1:6" ht="13">
      <c r="A2967" s="16"/>
      <c r="E2967" s="16"/>
      <c r="F2967" s="16"/>
    </row>
    <row r="2968" spans="1:6" ht="13">
      <c r="A2968" s="16"/>
      <c r="E2968" s="16"/>
      <c r="F2968" s="16"/>
    </row>
    <row r="2969" spans="1:6" ht="13">
      <c r="A2969" s="16"/>
      <c r="E2969" s="16"/>
      <c r="F2969" s="16"/>
    </row>
    <row r="2970" spans="1:6" ht="13">
      <c r="A2970" s="16"/>
      <c r="E2970" s="16"/>
      <c r="F2970" s="16"/>
    </row>
    <row r="2971" spans="1:6" ht="13">
      <c r="A2971" s="16"/>
      <c r="E2971" s="16"/>
      <c r="F2971" s="16"/>
    </row>
    <row r="2972" spans="1:6" ht="13">
      <c r="A2972" s="16"/>
      <c r="E2972" s="16"/>
      <c r="F2972" s="16"/>
    </row>
    <row r="2973" spans="1:6" ht="13">
      <c r="A2973" s="16"/>
      <c r="E2973" s="16"/>
      <c r="F2973" s="16"/>
    </row>
    <row r="2974" spans="1:6" ht="13">
      <c r="A2974" s="16"/>
      <c r="E2974" s="16"/>
      <c r="F2974" s="16"/>
    </row>
    <row r="2975" spans="1:6" ht="13">
      <c r="A2975" s="16"/>
      <c r="E2975" s="16"/>
      <c r="F2975" s="16"/>
    </row>
    <row r="2976" spans="1:6" ht="13">
      <c r="A2976" s="16"/>
      <c r="E2976" s="16"/>
      <c r="F2976" s="16"/>
    </row>
    <row r="2977" spans="1:6" ht="13">
      <c r="A2977" s="16"/>
      <c r="E2977" s="16"/>
      <c r="F2977" s="16"/>
    </row>
    <row r="2978" spans="1:6" ht="13">
      <c r="A2978" s="16"/>
      <c r="E2978" s="16"/>
      <c r="F2978" s="16"/>
    </row>
    <row r="2979" spans="1:6" ht="13">
      <c r="A2979" s="16"/>
      <c r="E2979" s="16"/>
      <c r="F2979" s="16"/>
    </row>
    <row r="2980" spans="1:6" ht="13">
      <c r="A2980" s="16"/>
      <c r="E2980" s="16"/>
      <c r="F2980" s="16"/>
    </row>
    <row r="2981" spans="1:6" ht="13">
      <c r="A2981" s="16"/>
      <c r="E2981" s="16"/>
      <c r="F2981" s="16"/>
    </row>
    <row r="2982" spans="1:6" ht="13">
      <c r="A2982" s="16"/>
      <c r="E2982" s="16"/>
      <c r="F2982" s="16"/>
    </row>
    <row r="2983" spans="1:6" ht="13">
      <c r="A2983" s="16"/>
      <c r="E2983" s="16"/>
      <c r="F2983" s="16"/>
    </row>
    <row r="2984" spans="1:6" ht="13">
      <c r="A2984" s="16"/>
      <c r="E2984" s="16"/>
      <c r="F2984" s="16"/>
    </row>
    <row r="2985" spans="1:6" ht="13">
      <c r="A2985" s="16"/>
      <c r="E2985" s="16"/>
      <c r="F2985" s="16"/>
    </row>
    <row r="2986" spans="1:6" ht="13">
      <c r="A2986" s="16"/>
      <c r="E2986" s="16"/>
      <c r="F2986" s="16"/>
    </row>
    <row r="2987" spans="1:6" ht="13">
      <c r="A2987" s="16"/>
      <c r="E2987" s="16"/>
      <c r="F2987" s="16"/>
    </row>
    <row r="2988" spans="1:6" ht="13">
      <c r="A2988" s="16"/>
      <c r="E2988" s="16"/>
      <c r="F2988" s="16"/>
    </row>
    <row r="2989" spans="1:6" ht="13">
      <c r="A2989" s="16"/>
      <c r="E2989" s="16"/>
      <c r="F2989" s="16"/>
    </row>
    <row r="2990" spans="1:6" ht="13">
      <c r="A2990" s="16"/>
      <c r="E2990" s="16"/>
      <c r="F2990" s="16"/>
    </row>
    <row r="2991" spans="1:6" ht="13">
      <c r="A2991" s="16"/>
      <c r="E2991" s="16"/>
      <c r="F2991" s="16"/>
    </row>
    <row r="2992" spans="1:6" ht="13">
      <c r="A2992" s="16"/>
      <c r="E2992" s="16"/>
      <c r="F2992" s="16"/>
    </row>
    <row r="2993" spans="1:6" ht="13">
      <c r="A2993" s="16"/>
      <c r="E2993" s="16"/>
      <c r="F2993" s="16"/>
    </row>
    <row r="2994" spans="1:6" ht="13">
      <c r="A2994" s="16"/>
      <c r="E2994" s="16"/>
      <c r="F2994" s="16"/>
    </row>
    <row r="2995" spans="1:6" ht="13">
      <c r="A2995" s="16"/>
      <c r="E2995" s="16"/>
      <c r="F2995" s="16"/>
    </row>
    <row r="2996" spans="1:6" ht="13">
      <c r="A2996" s="16"/>
      <c r="E2996" s="16"/>
      <c r="F2996" s="16"/>
    </row>
    <row r="2997" spans="1:6" ht="13">
      <c r="A2997" s="16"/>
      <c r="E2997" s="16"/>
      <c r="F2997" s="16"/>
    </row>
    <row r="2998" spans="1:6" ht="13">
      <c r="A2998" s="16"/>
      <c r="E2998" s="16"/>
      <c r="F2998" s="16"/>
    </row>
    <row r="2999" spans="1:6" ht="13">
      <c r="A2999" s="16"/>
      <c r="E2999" s="16"/>
      <c r="F2999" s="16"/>
    </row>
    <row r="3000" spans="1:6" ht="13">
      <c r="A3000" s="16"/>
      <c r="E3000" s="16"/>
      <c r="F3000" s="16"/>
    </row>
    <row r="3001" spans="1:6" ht="13">
      <c r="A3001" s="16"/>
      <c r="E3001" s="16"/>
      <c r="F3001" s="16"/>
    </row>
    <row r="3002" spans="1:6" ht="13">
      <c r="A3002" s="16"/>
      <c r="E3002" s="16"/>
      <c r="F3002" s="16"/>
    </row>
    <row r="3003" spans="1:6" ht="13">
      <c r="A3003" s="16"/>
      <c r="E3003" s="16"/>
      <c r="F3003" s="16"/>
    </row>
    <row r="3004" spans="1:6" ht="13">
      <c r="A3004" s="16"/>
      <c r="E3004" s="16"/>
      <c r="F3004" s="16"/>
    </row>
    <row r="3005" spans="1:6" ht="13">
      <c r="A3005" s="16"/>
      <c r="E3005" s="16"/>
      <c r="F3005" s="16"/>
    </row>
    <row r="3006" spans="1:6" ht="13">
      <c r="A3006" s="16"/>
      <c r="E3006" s="16"/>
      <c r="F3006" s="16"/>
    </row>
    <row r="3007" spans="1:6" ht="13">
      <c r="A3007" s="16"/>
      <c r="E3007" s="16"/>
      <c r="F3007" s="16"/>
    </row>
    <row r="3008" spans="1:6" ht="13">
      <c r="A3008" s="16"/>
      <c r="E3008" s="16"/>
      <c r="F3008" s="16"/>
    </row>
    <row r="3009" spans="1:6" ht="13">
      <c r="A3009" s="16"/>
      <c r="E3009" s="16"/>
      <c r="F3009" s="16"/>
    </row>
    <row r="3010" spans="1:6" ht="13">
      <c r="A3010" s="16"/>
      <c r="E3010" s="16"/>
      <c r="F3010" s="16"/>
    </row>
    <row r="3011" spans="1:6" ht="13">
      <c r="A3011" s="16"/>
      <c r="E3011" s="16"/>
      <c r="F3011" s="16"/>
    </row>
    <row r="3012" spans="1:6" ht="13">
      <c r="A3012" s="16"/>
      <c r="E3012" s="16"/>
      <c r="F3012" s="16"/>
    </row>
    <row r="3013" spans="1:6" ht="13">
      <c r="A3013" s="16"/>
      <c r="E3013" s="16"/>
      <c r="F3013" s="16"/>
    </row>
    <row r="3014" spans="1:6" ht="13">
      <c r="A3014" s="16"/>
      <c r="E3014" s="16"/>
      <c r="F3014" s="16"/>
    </row>
    <row r="3015" spans="1:6" ht="13">
      <c r="A3015" s="16"/>
      <c r="E3015" s="16"/>
      <c r="F3015" s="16"/>
    </row>
    <row r="3016" spans="1:6" ht="13">
      <c r="A3016" s="16"/>
      <c r="E3016" s="16"/>
      <c r="F3016" s="16"/>
    </row>
    <row r="3017" spans="1:6" ht="13">
      <c r="A3017" s="16"/>
      <c r="E3017" s="16"/>
      <c r="F3017" s="16"/>
    </row>
    <row r="3018" spans="1:6" ht="13">
      <c r="A3018" s="16"/>
      <c r="E3018" s="16"/>
      <c r="F3018" s="16"/>
    </row>
    <row r="3019" spans="1:6" ht="13">
      <c r="A3019" s="16"/>
      <c r="E3019" s="16"/>
      <c r="F3019" s="16"/>
    </row>
    <row r="3020" spans="1:6" ht="13">
      <c r="A3020" s="16"/>
      <c r="E3020" s="16"/>
      <c r="F3020" s="16"/>
    </row>
    <row r="3021" spans="1:6" ht="13">
      <c r="A3021" s="16"/>
      <c r="E3021" s="16"/>
      <c r="F3021" s="16"/>
    </row>
    <row r="3022" spans="1:6" ht="13">
      <c r="A3022" s="16"/>
      <c r="E3022" s="16"/>
      <c r="F3022" s="16"/>
    </row>
    <row r="3023" spans="1:6" ht="13">
      <c r="A3023" s="16"/>
      <c r="E3023" s="16"/>
      <c r="F3023" s="16"/>
    </row>
    <row r="3024" spans="1:6" ht="13">
      <c r="A3024" s="16"/>
      <c r="E3024" s="16"/>
      <c r="F3024" s="16"/>
    </row>
    <row r="3025" spans="1:6" ht="13">
      <c r="A3025" s="16"/>
      <c r="E3025" s="16"/>
      <c r="F3025" s="16"/>
    </row>
    <row r="3026" spans="1:6" ht="13">
      <c r="A3026" s="16"/>
      <c r="E3026" s="16"/>
      <c r="F3026" s="16"/>
    </row>
    <row r="3027" spans="1:6" ht="13">
      <c r="A3027" s="16"/>
      <c r="E3027" s="16"/>
      <c r="F3027" s="16"/>
    </row>
    <row r="3028" spans="1:6" ht="13">
      <c r="A3028" s="16"/>
      <c r="E3028" s="16"/>
      <c r="F3028" s="16"/>
    </row>
    <row r="3029" spans="1:6" ht="13">
      <c r="A3029" s="16"/>
      <c r="E3029" s="16"/>
      <c r="F3029" s="16"/>
    </row>
    <row r="3030" spans="1:6" ht="13">
      <c r="A3030" s="16"/>
      <c r="E3030" s="16"/>
      <c r="F3030" s="16"/>
    </row>
    <row r="3031" spans="1:6" ht="13">
      <c r="A3031" s="16"/>
      <c r="E3031" s="16"/>
      <c r="F3031" s="16"/>
    </row>
    <row r="3032" spans="1:6" ht="13">
      <c r="A3032" s="16"/>
      <c r="E3032" s="16"/>
      <c r="F3032" s="16"/>
    </row>
    <row r="3033" spans="1:6" ht="13">
      <c r="A3033" s="16"/>
      <c r="E3033" s="16"/>
      <c r="F3033" s="16"/>
    </row>
    <row r="3034" spans="1:6" ht="13">
      <c r="A3034" s="16"/>
      <c r="E3034" s="16"/>
      <c r="F3034" s="16"/>
    </row>
    <row r="3035" spans="1:6" ht="13">
      <c r="A3035" s="16"/>
      <c r="E3035" s="16"/>
      <c r="F3035" s="16"/>
    </row>
    <row r="3036" spans="1:6" ht="13">
      <c r="A3036" s="16"/>
      <c r="E3036" s="16"/>
      <c r="F3036" s="16"/>
    </row>
    <row r="3037" spans="1:6" ht="13">
      <c r="A3037" s="16"/>
      <c r="E3037" s="16"/>
      <c r="F3037" s="16"/>
    </row>
    <row r="3038" spans="1:6" ht="13">
      <c r="A3038" s="16"/>
      <c r="E3038" s="16"/>
      <c r="F3038" s="16"/>
    </row>
    <row r="3039" spans="1:6" ht="13">
      <c r="A3039" s="16"/>
      <c r="E3039" s="16"/>
      <c r="F3039" s="16"/>
    </row>
    <row r="3040" spans="1:6" ht="13">
      <c r="A3040" s="16"/>
      <c r="E3040" s="16"/>
      <c r="F3040" s="16"/>
    </row>
    <row r="3041" spans="1:6" ht="13">
      <c r="A3041" s="16"/>
      <c r="E3041" s="16"/>
      <c r="F3041" s="16"/>
    </row>
    <row r="3042" spans="1:6" ht="13">
      <c r="A3042" s="16"/>
      <c r="E3042" s="16"/>
      <c r="F3042" s="16"/>
    </row>
    <row r="3043" spans="1:6" ht="13">
      <c r="A3043" s="16"/>
      <c r="E3043" s="16"/>
      <c r="F3043" s="16"/>
    </row>
    <row r="3044" spans="1:6" ht="13">
      <c r="A3044" s="16"/>
      <c r="E3044" s="16"/>
      <c r="F3044" s="16"/>
    </row>
    <row r="3045" spans="1:6" ht="13">
      <c r="A3045" s="16"/>
      <c r="E3045" s="16"/>
      <c r="F3045" s="16"/>
    </row>
    <row r="3046" spans="1:6" ht="13">
      <c r="A3046" s="16"/>
      <c r="E3046" s="16"/>
      <c r="F3046" s="16"/>
    </row>
    <row r="3047" spans="1:6" ht="13">
      <c r="A3047" s="16"/>
      <c r="E3047" s="16"/>
      <c r="F3047" s="16"/>
    </row>
    <row r="3048" spans="1:6" ht="13">
      <c r="A3048" s="16"/>
      <c r="E3048" s="16"/>
      <c r="F3048" s="16"/>
    </row>
    <row r="3049" spans="1:6" ht="13">
      <c r="A3049" s="16"/>
      <c r="E3049" s="16"/>
      <c r="F3049" s="16"/>
    </row>
    <row r="3050" spans="1:6" ht="13">
      <c r="A3050" s="16"/>
      <c r="E3050" s="16"/>
      <c r="F3050" s="16"/>
    </row>
    <row r="3051" spans="1:6" ht="13">
      <c r="A3051" s="16"/>
      <c r="E3051" s="16"/>
      <c r="F3051" s="16"/>
    </row>
    <row r="3052" spans="1:6" ht="13">
      <c r="A3052" s="16"/>
      <c r="E3052" s="16"/>
      <c r="F3052" s="16"/>
    </row>
    <row r="3053" spans="1:6" ht="13">
      <c r="A3053" s="16"/>
      <c r="E3053" s="16"/>
      <c r="F3053" s="16"/>
    </row>
    <row r="3054" spans="1:6" ht="13">
      <c r="A3054" s="16"/>
      <c r="E3054" s="16"/>
      <c r="F3054" s="16"/>
    </row>
    <row r="3055" spans="1:6" ht="13">
      <c r="A3055" s="16"/>
      <c r="E3055" s="16"/>
      <c r="F3055" s="16"/>
    </row>
    <row r="3056" spans="1:6" ht="13">
      <c r="A3056" s="16"/>
      <c r="E3056" s="16"/>
      <c r="F3056" s="16"/>
    </row>
    <row r="3057" spans="1:6" ht="13">
      <c r="A3057" s="16"/>
      <c r="E3057" s="16"/>
      <c r="F3057" s="16"/>
    </row>
    <row r="3058" spans="1:6" ht="13">
      <c r="A3058" s="16"/>
      <c r="E3058" s="16"/>
      <c r="F3058" s="16"/>
    </row>
    <row r="3059" spans="1:6" ht="13">
      <c r="A3059" s="16"/>
      <c r="E3059" s="16"/>
      <c r="F3059" s="16"/>
    </row>
    <row r="3060" spans="1:6" ht="13">
      <c r="A3060" s="16"/>
      <c r="E3060" s="16"/>
      <c r="F3060" s="16"/>
    </row>
    <row r="3061" spans="1:6" ht="13">
      <c r="A3061" s="16"/>
      <c r="E3061" s="16"/>
      <c r="F3061" s="16"/>
    </row>
    <row r="3062" spans="1:6" ht="13">
      <c r="A3062" s="16"/>
      <c r="E3062" s="16"/>
      <c r="F3062" s="16"/>
    </row>
    <row r="3063" spans="1:6" ht="13">
      <c r="A3063" s="16"/>
      <c r="E3063" s="16"/>
      <c r="F3063" s="16"/>
    </row>
    <row r="3064" spans="1:6" ht="13">
      <c r="A3064" s="16"/>
      <c r="E3064" s="16"/>
      <c r="F3064" s="16"/>
    </row>
    <row r="3065" spans="1:6" ht="13">
      <c r="A3065" s="16"/>
      <c r="E3065" s="16"/>
      <c r="F3065" s="16"/>
    </row>
    <row r="3066" spans="1:6" ht="13">
      <c r="A3066" s="16"/>
      <c r="E3066" s="16"/>
      <c r="F3066" s="16"/>
    </row>
    <row r="3067" spans="1:6" ht="13">
      <c r="A3067" s="16"/>
      <c r="E3067" s="16"/>
      <c r="F3067" s="16"/>
    </row>
    <row r="3068" spans="1:6" ht="13">
      <c r="A3068" s="16"/>
      <c r="E3068" s="16"/>
      <c r="F3068" s="16"/>
    </row>
    <row r="3069" spans="1:6" ht="13">
      <c r="A3069" s="16"/>
      <c r="E3069" s="16"/>
      <c r="F3069" s="16"/>
    </row>
    <row r="3070" spans="1:6" ht="13">
      <c r="A3070" s="16"/>
      <c r="E3070" s="16"/>
      <c r="F3070" s="16"/>
    </row>
    <row r="3071" spans="1:6" ht="13">
      <c r="A3071" s="16"/>
      <c r="E3071" s="16"/>
      <c r="F3071" s="16"/>
    </row>
    <row r="3072" spans="1:6" ht="13">
      <c r="A3072" s="16"/>
      <c r="E3072" s="16"/>
      <c r="F3072" s="16"/>
    </row>
    <row r="3073" spans="1:6" ht="13">
      <c r="A3073" s="16"/>
      <c r="E3073" s="16"/>
      <c r="F3073" s="16"/>
    </row>
    <row r="3074" spans="1:6" ht="13">
      <c r="A3074" s="16"/>
      <c r="E3074" s="16"/>
      <c r="F3074" s="16"/>
    </row>
    <row r="3075" spans="1:6" ht="13">
      <c r="A3075" s="16"/>
      <c r="E3075" s="16"/>
      <c r="F3075" s="16"/>
    </row>
    <row r="3076" spans="1:6" ht="13">
      <c r="A3076" s="16"/>
      <c r="E3076" s="16"/>
      <c r="F3076" s="16"/>
    </row>
    <row r="3077" spans="1:6" ht="13">
      <c r="A3077" s="16"/>
      <c r="E3077" s="16"/>
      <c r="F3077" s="16"/>
    </row>
    <row r="3078" spans="1:6" ht="13">
      <c r="A3078" s="16"/>
      <c r="E3078" s="16"/>
      <c r="F3078" s="16"/>
    </row>
    <row r="3079" spans="1:6" ht="13">
      <c r="A3079" s="16"/>
      <c r="E3079" s="16"/>
      <c r="F3079" s="16"/>
    </row>
    <row r="3080" spans="1:6" ht="13">
      <c r="A3080" s="16"/>
      <c r="E3080" s="16"/>
      <c r="F3080" s="16"/>
    </row>
    <row r="3081" spans="1:6" ht="13">
      <c r="A3081" s="16"/>
      <c r="E3081" s="16"/>
      <c r="F3081" s="16"/>
    </row>
    <row r="3082" spans="1:6" ht="13">
      <c r="A3082" s="16"/>
      <c r="E3082" s="16"/>
      <c r="F3082" s="16"/>
    </row>
    <row r="3083" spans="1:6" ht="13">
      <c r="A3083" s="16"/>
      <c r="E3083" s="16"/>
      <c r="F3083" s="16"/>
    </row>
    <row r="3084" spans="1:6" ht="13">
      <c r="A3084" s="16"/>
      <c r="E3084" s="16"/>
      <c r="F3084" s="16"/>
    </row>
    <row r="3085" spans="1:6" ht="13">
      <c r="A3085" s="16"/>
      <c r="E3085" s="16"/>
      <c r="F3085" s="16"/>
    </row>
    <row r="3086" spans="1:6" ht="13">
      <c r="A3086" s="16"/>
      <c r="E3086" s="16"/>
      <c r="F3086" s="16"/>
    </row>
    <row r="3087" spans="1:6" ht="13">
      <c r="A3087" s="16"/>
      <c r="E3087" s="16"/>
      <c r="F3087" s="16"/>
    </row>
    <row r="3088" spans="1:6" ht="13">
      <c r="A3088" s="16"/>
      <c r="E3088" s="16"/>
      <c r="F3088" s="16"/>
    </row>
    <row r="3089" spans="1:6" ht="13">
      <c r="A3089" s="16"/>
      <c r="E3089" s="16"/>
      <c r="F3089" s="16"/>
    </row>
    <row r="3090" spans="1:6" ht="13">
      <c r="A3090" s="16"/>
      <c r="E3090" s="16"/>
      <c r="F3090" s="16"/>
    </row>
    <row r="3091" spans="1:6" ht="13">
      <c r="A3091" s="16"/>
      <c r="E3091" s="16"/>
      <c r="F3091" s="16"/>
    </row>
    <row r="3092" spans="1:6" ht="13">
      <c r="A3092" s="16"/>
      <c r="E3092" s="16"/>
      <c r="F3092" s="16"/>
    </row>
    <row r="3093" spans="1:6" ht="13">
      <c r="A3093" s="16"/>
      <c r="E3093" s="16"/>
      <c r="F3093" s="16"/>
    </row>
    <row r="3094" spans="1:6" ht="13">
      <c r="A3094" s="16"/>
      <c r="E3094" s="16"/>
      <c r="F3094" s="16"/>
    </row>
    <row r="3095" spans="1:6" ht="13">
      <c r="A3095" s="16"/>
      <c r="E3095" s="16"/>
      <c r="F3095" s="16"/>
    </row>
    <row r="3096" spans="1:6" ht="13">
      <c r="A3096" s="16"/>
      <c r="E3096" s="16"/>
      <c r="F3096" s="16"/>
    </row>
    <row r="3097" spans="1:6" ht="13">
      <c r="A3097" s="16"/>
      <c r="E3097" s="16"/>
      <c r="F3097" s="16"/>
    </row>
    <row r="3098" spans="1:6" ht="13">
      <c r="A3098" s="16"/>
      <c r="E3098" s="16"/>
      <c r="F3098" s="16"/>
    </row>
    <row r="3099" spans="1:6" ht="13">
      <c r="A3099" s="16"/>
      <c r="E3099" s="16"/>
      <c r="F3099" s="16"/>
    </row>
    <row r="3100" spans="1:6" ht="13">
      <c r="A3100" s="16"/>
      <c r="E3100" s="16"/>
      <c r="F3100" s="16"/>
    </row>
    <row r="3101" spans="1:6" ht="13">
      <c r="A3101" s="16"/>
      <c r="E3101" s="16"/>
      <c r="F3101" s="16"/>
    </row>
    <row r="3102" spans="1:6" ht="13">
      <c r="A3102" s="16"/>
      <c r="E3102" s="16"/>
      <c r="F3102" s="16"/>
    </row>
    <row r="3103" spans="1:6" ht="13">
      <c r="A3103" s="16"/>
      <c r="E3103" s="16"/>
      <c r="F3103" s="16"/>
    </row>
    <row r="3104" spans="1:6" ht="13">
      <c r="A3104" s="16"/>
      <c r="E3104" s="16"/>
      <c r="F3104" s="16"/>
    </row>
    <row r="3105" spans="1:6" ht="13">
      <c r="A3105" s="16"/>
      <c r="E3105" s="16"/>
      <c r="F3105" s="16"/>
    </row>
    <row r="3106" spans="1:6" ht="13">
      <c r="A3106" s="16"/>
      <c r="E3106" s="16"/>
      <c r="F3106" s="16"/>
    </row>
    <row r="3107" spans="1:6" ht="13">
      <c r="A3107" s="16"/>
      <c r="E3107" s="16"/>
      <c r="F3107" s="16"/>
    </row>
    <row r="3108" spans="1:6" ht="13">
      <c r="A3108" s="16"/>
      <c r="E3108" s="16"/>
      <c r="F3108" s="16"/>
    </row>
    <row r="3109" spans="1:6" ht="13">
      <c r="A3109" s="16"/>
      <c r="E3109" s="16"/>
      <c r="F3109" s="16"/>
    </row>
    <row r="3110" spans="1:6" ht="13">
      <c r="A3110" s="16"/>
      <c r="E3110" s="16"/>
      <c r="F3110" s="16"/>
    </row>
    <row r="3111" spans="1:6" ht="13">
      <c r="A3111" s="16"/>
      <c r="E3111" s="16"/>
      <c r="F3111" s="16"/>
    </row>
    <row r="3112" spans="1:6" ht="13">
      <c r="A3112" s="16"/>
      <c r="E3112" s="16"/>
      <c r="F3112" s="16"/>
    </row>
    <row r="3113" spans="1:6" ht="13">
      <c r="A3113" s="16"/>
      <c r="E3113" s="16"/>
      <c r="F3113" s="16"/>
    </row>
    <row r="3114" spans="1:6" ht="13">
      <c r="A3114" s="16"/>
      <c r="E3114" s="16"/>
      <c r="F3114" s="16"/>
    </row>
    <row r="3115" spans="1:6" ht="13">
      <c r="A3115" s="16"/>
      <c r="E3115" s="16"/>
      <c r="F3115" s="16"/>
    </row>
    <row r="3116" spans="1:6" ht="13">
      <c r="A3116" s="16"/>
      <c r="E3116" s="16"/>
      <c r="F3116" s="16"/>
    </row>
    <row r="3117" spans="1:6" ht="13">
      <c r="A3117" s="16"/>
      <c r="E3117" s="16"/>
      <c r="F3117" s="16"/>
    </row>
    <row r="3118" spans="1:6" ht="13">
      <c r="A3118" s="16"/>
      <c r="E3118" s="16"/>
      <c r="F3118" s="16"/>
    </row>
    <row r="3119" spans="1:6" ht="13">
      <c r="A3119" s="16"/>
      <c r="E3119" s="16"/>
      <c r="F3119" s="16"/>
    </row>
    <row r="3120" spans="1:6" ht="13">
      <c r="A3120" s="16"/>
      <c r="E3120" s="16"/>
      <c r="F3120" s="16"/>
    </row>
    <row r="3121" spans="1:6" ht="13">
      <c r="A3121" s="16"/>
      <c r="E3121" s="16"/>
      <c r="F3121" s="16"/>
    </row>
    <row r="3122" spans="1:6" ht="13">
      <c r="A3122" s="16"/>
      <c r="E3122" s="16"/>
      <c r="F3122" s="16"/>
    </row>
    <row r="3123" spans="1:6" ht="13">
      <c r="A3123" s="16"/>
      <c r="E3123" s="16"/>
      <c r="F3123" s="16"/>
    </row>
    <row r="3124" spans="1:6" ht="13">
      <c r="A3124" s="16"/>
      <c r="E3124" s="16"/>
      <c r="F3124" s="16"/>
    </row>
    <row r="3125" spans="1:6" ht="13">
      <c r="A3125" s="16"/>
      <c r="E3125" s="16"/>
      <c r="F3125" s="16"/>
    </row>
    <row r="3126" spans="1:6" ht="13">
      <c r="A3126" s="16"/>
      <c r="E3126" s="16"/>
      <c r="F3126" s="16"/>
    </row>
    <row r="3127" spans="1:6" ht="13">
      <c r="A3127" s="16"/>
      <c r="E3127" s="16"/>
      <c r="F3127" s="16"/>
    </row>
    <row r="3128" spans="1:6" ht="13">
      <c r="A3128" s="16"/>
      <c r="E3128" s="16"/>
      <c r="F3128" s="16"/>
    </row>
    <row r="3129" spans="1:6" ht="13">
      <c r="A3129" s="16"/>
      <c r="E3129" s="16"/>
      <c r="F3129" s="16"/>
    </row>
    <row r="3130" spans="1:6" ht="13">
      <c r="A3130" s="16"/>
      <c r="E3130" s="16"/>
      <c r="F3130" s="16"/>
    </row>
    <row r="3131" spans="1:6" ht="13">
      <c r="A3131" s="16"/>
      <c r="E3131" s="16"/>
      <c r="F3131" s="16"/>
    </row>
    <row r="3132" spans="1:6" ht="13">
      <c r="A3132" s="16"/>
      <c r="E3132" s="16"/>
      <c r="F3132" s="16"/>
    </row>
    <row r="3133" spans="1:6" ht="13">
      <c r="A3133" s="16"/>
      <c r="E3133" s="16"/>
      <c r="F3133" s="16"/>
    </row>
    <row r="3134" spans="1:6" ht="13">
      <c r="A3134" s="16"/>
      <c r="E3134" s="16"/>
      <c r="F3134" s="16"/>
    </row>
    <row r="3135" spans="1:6" ht="13">
      <c r="A3135" s="16"/>
      <c r="E3135" s="16"/>
      <c r="F3135" s="16"/>
    </row>
    <row r="3136" spans="1:6" ht="13">
      <c r="A3136" s="16"/>
      <c r="E3136" s="16"/>
      <c r="F3136" s="16"/>
    </row>
    <row r="3137" spans="1:6" ht="13">
      <c r="A3137" s="16"/>
      <c r="E3137" s="16"/>
      <c r="F3137" s="16"/>
    </row>
    <row r="3138" spans="1:6" ht="13">
      <c r="A3138" s="16"/>
      <c r="E3138" s="16"/>
      <c r="F3138" s="16"/>
    </row>
    <row r="3139" spans="1:6" ht="13">
      <c r="A3139" s="16"/>
      <c r="E3139" s="16"/>
      <c r="F3139" s="16"/>
    </row>
    <row r="3140" spans="1:6" ht="13">
      <c r="A3140" s="16"/>
      <c r="E3140" s="16"/>
      <c r="F3140" s="16"/>
    </row>
    <row r="3141" spans="1:6" ht="13">
      <c r="A3141" s="16"/>
      <c r="E3141" s="16"/>
      <c r="F3141" s="16"/>
    </row>
    <row r="3142" spans="1:6" ht="13">
      <c r="A3142" s="16"/>
      <c r="E3142" s="16"/>
      <c r="F3142" s="16"/>
    </row>
    <row r="3143" spans="1:6" ht="13">
      <c r="A3143" s="16"/>
      <c r="E3143" s="16"/>
      <c r="F3143" s="16"/>
    </row>
    <row r="3144" spans="1:6" ht="13">
      <c r="A3144" s="16"/>
      <c r="E3144" s="16"/>
      <c r="F3144" s="16"/>
    </row>
    <row r="3145" spans="1:6" ht="13">
      <c r="A3145" s="16"/>
      <c r="E3145" s="16"/>
      <c r="F3145" s="16"/>
    </row>
    <row r="3146" spans="1:6" ht="13">
      <c r="A3146" s="16"/>
      <c r="E3146" s="16"/>
      <c r="F3146" s="16"/>
    </row>
    <row r="3147" spans="1:6" ht="13">
      <c r="A3147" s="16"/>
      <c r="E3147" s="16"/>
      <c r="F3147" s="16"/>
    </row>
    <row r="3148" spans="1:6" ht="13">
      <c r="A3148" s="16"/>
      <c r="E3148" s="16"/>
      <c r="F3148" s="16"/>
    </row>
    <row r="3149" spans="1:6" ht="13">
      <c r="A3149" s="16"/>
      <c r="E3149" s="16"/>
      <c r="F3149" s="16"/>
    </row>
    <row r="3150" spans="1:6" ht="13">
      <c r="A3150" s="16"/>
      <c r="E3150" s="16"/>
      <c r="F3150" s="16"/>
    </row>
    <row r="3151" spans="1:6" ht="13">
      <c r="A3151" s="16"/>
      <c r="E3151" s="16"/>
      <c r="F3151" s="16"/>
    </row>
    <row r="3152" spans="1:6" ht="13">
      <c r="A3152" s="16"/>
      <c r="E3152" s="16"/>
      <c r="F3152" s="16"/>
    </row>
    <row r="3153" spans="1:6" ht="13">
      <c r="A3153" s="16"/>
      <c r="E3153" s="16"/>
      <c r="F3153" s="16"/>
    </row>
    <row r="3154" spans="1:6" ht="13">
      <c r="A3154" s="16"/>
      <c r="E3154" s="16"/>
      <c r="F3154" s="16"/>
    </row>
    <row r="3155" spans="1:6" ht="13">
      <c r="A3155" s="16"/>
      <c r="E3155" s="16"/>
      <c r="F3155" s="16"/>
    </row>
    <row r="3156" spans="1:6" ht="13">
      <c r="A3156" s="16"/>
      <c r="E3156" s="16"/>
      <c r="F3156" s="16"/>
    </row>
    <row r="3157" spans="1:6" ht="13">
      <c r="A3157" s="16"/>
      <c r="E3157" s="16"/>
      <c r="F3157" s="16"/>
    </row>
    <row r="3158" spans="1:6" ht="13">
      <c r="A3158" s="16"/>
      <c r="E3158" s="16"/>
      <c r="F3158" s="16"/>
    </row>
    <row r="3159" spans="1:6" ht="13">
      <c r="A3159" s="16"/>
      <c r="E3159" s="16"/>
      <c r="F3159" s="16"/>
    </row>
    <row r="3160" spans="1:6" ht="13">
      <c r="A3160" s="16"/>
      <c r="E3160" s="16"/>
      <c r="F3160" s="16"/>
    </row>
    <row r="3161" spans="1:6" ht="13">
      <c r="A3161" s="16"/>
      <c r="E3161" s="16"/>
      <c r="F3161" s="16"/>
    </row>
    <row r="3162" spans="1:6" ht="13">
      <c r="A3162" s="16"/>
      <c r="E3162" s="16"/>
      <c r="F3162" s="16"/>
    </row>
    <row r="3163" spans="1:6" ht="13">
      <c r="A3163" s="16"/>
      <c r="E3163" s="16"/>
      <c r="F3163" s="16"/>
    </row>
    <row r="3164" spans="1:6" ht="13">
      <c r="A3164" s="16"/>
      <c r="E3164" s="16"/>
      <c r="F3164" s="16"/>
    </row>
    <row r="3165" spans="1:6" ht="13">
      <c r="A3165" s="16"/>
      <c r="E3165" s="16"/>
      <c r="F3165" s="16"/>
    </row>
    <row r="3166" spans="1:6" ht="13">
      <c r="A3166" s="16"/>
      <c r="E3166" s="16"/>
      <c r="F3166" s="16"/>
    </row>
    <row r="3167" spans="1:6" ht="13">
      <c r="A3167" s="16"/>
      <c r="E3167" s="16"/>
      <c r="F3167" s="16"/>
    </row>
    <row r="3168" spans="1:6" ht="13">
      <c r="A3168" s="16"/>
      <c r="E3168" s="16"/>
      <c r="F3168" s="16"/>
    </row>
    <row r="3169" spans="1:6" ht="13">
      <c r="A3169" s="16"/>
      <c r="E3169" s="16"/>
      <c r="F3169" s="16"/>
    </row>
    <row r="3170" spans="1:6" ht="13">
      <c r="A3170" s="16"/>
      <c r="E3170" s="16"/>
      <c r="F3170" s="16"/>
    </row>
    <row r="3171" spans="1:6" ht="13">
      <c r="A3171" s="16"/>
      <c r="E3171" s="16"/>
      <c r="F3171" s="16"/>
    </row>
    <row r="3172" spans="1:6" ht="13">
      <c r="A3172" s="16"/>
      <c r="E3172" s="16"/>
      <c r="F3172" s="16"/>
    </row>
    <row r="3173" spans="1:6" ht="13">
      <c r="A3173" s="16"/>
      <c r="E3173" s="16"/>
      <c r="F3173" s="16"/>
    </row>
    <row r="3174" spans="1:6" ht="13">
      <c r="A3174" s="16"/>
      <c r="E3174" s="16"/>
      <c r="F3174" s="16"/>
    </row>
    <row r="3175" spans="1:6" ht="13">
      <c r="A3175" s="16"/>
      <c r="E3175" s="16"/>
      <c r="F3175" s="16"/>
    </row>
    <row r="3176" spans="1:6" ht="13">
      <c r="A3176" s="16"/>
      <c r="E3176" s="16"/>
      <c r="F3176" s="16"/>
    </row>
    <row r="3177" spans="1:6" ht="13">
      <c r="A3177" s="16"/>
      <c r="E3177" s="16"/>
      <c r="F3177" s="16"/>
    </row>
    <row r="3178" spans="1:6" ht="13">
      <c r="A3178" s="16"/>
      <c r="E3178" s="16"/>
      <c r="F3178" s="16"/>
    </row>
    <row r="3179" spans="1:6" ht="13">
      <c r="A3179" s="16"/>
      <c r="E3179" s="16"/>
      <c r="F3179" s="16"/>
    </row>
    <row r="3180" spans="1:6" ht="13">
      <c r="A3180" s="16"/>
      <c r="E3180" s="16"/>
      <c r="F3180" s="16"/>
    </row>
    <row r="3181" spans="1:6" ht="13">
      <c r="A3181" s="16"/>
      <c r="E3181" s="16"/>
      <c r="F3181" s="16"/>
    </row>
    <row r="3182" spans="1:6" ht="13">
      <c r="A3182" s="16"/>
      <c r="E3182" s="16"/>
      <c r="F3182" s="16"/>
    </row>
    <row r="3183" spans="1:6" ht="13">
      <c r="A3183" s="16"/>
      <c r="E3183" s="16"/>
      <c r="F3183" s="16"/>
    </row>
    <row r="3184" spans="1:6" ht="13">
      <c r="A3184" s="16"/>
      <c r="E3184" s="16"/>
      <c r="F3184" s="16"/>
    </row>
    <row r="3185" spans="1:6" ht="13">
      <c r="A3185" s="16"/>
      <c r="E3185" s="16"/>
      <c r="F3185" s="16"/>
    </row>
    <row r="3186" spans="1:6" ht="13">
      <c r="A3186" s="16"/>
      <c r="E3186" s="16"/>
      <c r="F3186" s="16"/>
    </row>
    <row r="3187" spans="1:6" ht="13">
      <c r="A3187" s="16"/>
      <c r="E3187" s="16"/>
      <c r="F3187" s="16"/>
    </row>
    <row r="3188" spans="1:6" ht="13">
      <c r="A3188" s="16"/>
      <c r="E3188" s="16"/>
      <c r="F3188" s="16"/>
    </row>
    <row r="3189" spans="1:6" ht="13">
      <c r="A3189" s="16"/>
      <c r="E3189" s="16"/>
      <c r="F3189" s="16"/>
    </row>
    <row r="3190" spans="1:6" ht="13">
      <c r="A3190" s="16"/>
      <c r="E3190" s="16"/>
      <c r="F3190" s="16"/>
    </row>
    <row r="3191" spans="1:6" ht="13">
      <c r="A3191" s="16"/>
      <c r="E3191" s="16"/>
      <c r="F3191" s="16"/>
    </row>
    <row r="3192" spans="1:6" ht="13">
      <c r="A3192" s="16"/>
      <c r="E3192" s="16"/>
      <c r="F3192" s="16"/>
    </row>
    <row r="3193" spans="1:6" ht="13">
      <c r="A3193" s="16"/>
      <c r="E3193" s="16"/>
      <c r="F3193" s="16"/>
    </row>
    <row r="3194" spans="1:6" ht="13">
      <c r="A3194" s="16"/>
      <c r="E3194" s="16"/>
      <c r="F3194" s="16"/>
    </row>
    <row r="3195" spans="1:6" ht="13">
      <c r="A3195" s="16"/>
      <c r="E3195" s="16"/>
      <c r="F3195" s="16"/>
    </row>
    <row r="3196" spans="1:6" ht="13">
      <c r="A3196" s="16"/>
      <c r="E3196" s="16"/>
      <c r="F3196" s="16"/>
    </row>
    <row r="3197" spans="1:6" ht="13">
      <c r="A3197" s="16"/>
      <c r="E3197" s="16"/>
      <c r="F3197" s="16"/>
    </row>
    <row r="3198" spans="1:6" ht="13">
      <c r="A3198" s="16"/>
      <c r="E3198" s="16"/>
      <c r="F3198" s="16"/>
    </row>
    <row r="3199" spans="1:6" ht="13">
      <c r="A3199" s="16"/>
      <c r="E3199" s="16"/>
      <c r="F3199" s="16"/>
    </row>
    <row r="3200" spans="1:6" ht="13">
      <c r="A3200" s="16"/>
      <c r="E3200" s="16"/>
      <c r="F3200" s="16"/>
    </row>
    <row r="3201" spans="1:6" ht="13">
      <c r="A3201" s="16"/>
      <c r="E3201" s="16"/>
      <c r="F3201" s="16"/>
    </row>
    <row r="3202" spans="1:6" ht="13">
      <c r="A3202" s="16"/>
      <c r="E3202" s="16"/>
      <c r="F3202" s="16"/>
    </row>
    <row r="3203" spans="1:6" ht="13">
      <c r="A3203" s="16"/>
      <c r="E3203" s="16"/>
      <c r="F3203" s="16"/>
    </row>
    <row r="3204" spans="1:6" ht="13">
      <c r="A3204" s="16"/>
      <c r="E3204" s="16"/>
      <c r="F3204" s="16"/>
    </row>
    <row r="3205" spans="1:6" ht="13">
      <c r="A3205" s="16"/>
      <c r="E3205" s="16"/>
      <c r="F3205" s="16"/>
    </row>
    <row r="3206" spans="1:6" ht="13">
      <c r="A3206" s="16"/>
      <c r="E3206" s="16"/>
      <c r="F3206" s="16"/>
    </row>
    <row r="3207" spans="1:6" ht="13">
      <c r="A3207" s="16"/>
      <c r="E3207" s="16"/>
      <c r="F3207" s="16"/>
    </row>
    <row r="3208" spans="1:6" ht="13">
      <c r="A3208" s="16"/>
      <c r="E3208" s="16"/>
      <c r="F3208" s="16"/>
    </row>
    <row r="3209" spans="1:6" ht="13">
      <c r="A3209" s="16"/>
      <c r="E3209" s="16"/>
      <c r="F3209" s="16"/>
    </row>
    <row r="3210" spans="1:6" ht="13">
      <c r="A3210" s="16"/>
      <c r="E3210" s="16"/>
      <c r="F3210" s="16"/>
    </row>
    <row r="3211" spans="1:6" ht="13">
      <c r="A3211" s="16"/>
      <c r="E3211" s="16"/>
      <c r="F3211" s="16"/>
    </row>
    <row r="3212" spans="1:6" ht="13">
      <c r="A3212" s="16"/>
      <c r="E3212" s="16"/>
      <c r="F3212" s="16"/>
    </row>
    <row r="3213" spans="1:6" ht="13">
      <c r="A3213" s="16"/>
      <c r="E3213" s="16"/>
      <c r="F3213" s="16"/>
    </row>
    <row r="3214" spans="1:6" ht="13">
      <c r="A3214" s="16"/>
      <c r="E3214" s="16"/>
      <c r="F3214" s="16"/>
    </row>
    <row r="3215" spans="1:6" ht="13">
      <c r="A3215" s="16"/>
      <c r="E3215" s="16"/>
      <c r="F3215" s="16"/>
    </row>
    <row r="3216" spans="1:6" ht="13">
      <c r="A3216" s="16"/>
      <c r="E3216" s="16"/>
      <c r="F3216" s="16"/>
    </row>
    <row r="3217" spans="1:6" ht="13">
      <c r="A3217" s="16"/>
      <c r="E3217" s="16"/>
      <c r="F3217" s="16"/>
    </row>
    <row r="3218" spans="1:6" ht="13">
      <c r="A3218" s="16"/>
      <c r="E3218" s="16"/>
      <c r="F3218" s="16"/>
    </row>
    <row r="3219" spans="1:6" ht="13">
      <c r="A3219" s="16"/>
      <c r="E3219" s="16"/>
      <c r="F3219" s="16"/>
    </row>
    <row r="3220" spans="1:6" ht="13">
      <c r="A3220" s="16"/>
      <c r="E3220" s="16"/>
      <c r="F3220" s="16"/>
    </row>
    <row r="3221" spans="1:6" ht="13">
      <c r="A3221" s="16"/>
      <c r="E3221" s="16"/>
      <c r="F3221" s="16"/>
    </row>
    <row r="3222" spans="1:6" ht="13">
      <c r="A3222" s="16"/>
      <c r="E3222" s="16"/>
      <c r="F3222" s="16"/>
    </row>
    <row r="3223" spans="1:6" ht="13">
      <c r="A3223" s="16"/>
      <c r="E3223" s="16"/>
      <c r="F3223" s="16"/>
    </row>
    <row r="3224" spans="1:6" ht="13">
      <c r="A3224" s="16"/>
      <c r="E3224" s="16"/>
      <c r="F3224" s="16"/>
    </row>
    <row r="3225" spans="1:6" ht="13">
      <c r="A3225" s="16"/>
      <c r="E3225" s="16"/>
      <c r="F3225" s="16"/>
    </row>
    <row r="3226" spans="1:6" ht="13">
      <c r="A3226" s="16"/>
      <c r="E3226" s="16"/>
      <c r="F3226" s="16"/>
    </row>
    <row r="3227" spans="1:6" ht="13">
      <c r="A3227" s="16"/>
      <c r="E3227" s="16"/>
      <c r="F3227" s="16"/>
    </row>
    <row r="3228" spans="1:6" ht="13">
      <c r="A3228" s="16"/>
      <c r="E3228" s="16"/>
      <c r="F3228" s="16"/>
    </row>
    <row r="3229" spans="1:6" ht="13">
      <c r="A3229" s="16"/>
      <c r="E3229" s="16"/>
      <c r="F3229" s="16"/>
    </row>
    <row r="3230" spans="1:6" ht="13">
      <c r="A3230" s="16"/>
      <c r="E3230" s="16"/>
      <c r="F3230" s="16"/>
    </row>
    <row r="3231" spans="1:6" ht="13">
      <c r="A3231" s="16"/>
      <c r="E3231" s="16"/>
      <c r="F3231" s="16"/>
    </row>
    <row r="3232" spans="1:6" ht="13">
      <c r="A3232" s="16"/>
      <c r="E3232" s="16"/>
      <c r="F3232" s="16"/>
    </row>
    <row r="3233" spans="1:6" ht="13">
      <c r="A3233" s="16"/>
      <c r="E3233" s="16"/>
      <c r="F3233" s="16"/>
    </row>
    <row r="3234" spans="1:6" ht="13">
      <c r="A3234" s="16"/>
      <c r="E3234" s="16"/>
      <c r="F3234" s="16"/>
    </row>
    <row r="3235" spans="1:6" ht="13">
      <c r="A3235" s="16"/>
      <c r="E3235" s="16"/>
      <c r="F3235" s="16"/>
    </row>
    <row r="3236" spans="1:6" ht="13">
      <c r="A3236" s="16"/>
      <c r="E3236" s="16"/>
      <c r="F3236" s="16"/>
    </row>
    <row r="3237" spans="1:6" ht="13">
      <c r="A3237" s="16"/>
      <c r="E3237" s="16"/>
      <c r="F3237" s="16"/>
    </row>
    <row r="3238" spans="1:6" ht="13">
      <c r="A3238" s="16"/>
      <c r="E3238" s="16"/>
      <c r="F3238" s="16"/>
    </row>
    <row r="3239" spans="1:6" ht="13">
      <c r="A3239" s="16"/>
      <c r="E3239" s="16"/>
      <c r="F3239" s="16"/>
    </row>
    <row r="3240" spans="1:6" ht="13">
      <c r="A3240" s="16"/>
      <c r="E3240" s="16"/>
      <c r="F3240" s="16"/>
    </row>
    <row r="3241" spans="1:6" ht="13">
      <c r="A3241" s="16"/>
      <c r="E3241" s="16"/>
      <c r="F3241" s="16"/>
    </row>
    <row r="3242" spans="1:6" ht="13">
      <c r="A3242" s="16"/>
      <c r="E3242" s="16"/>
      <c r="F3242" s="16"/>
    </row>
    <row r="3243" spans="1:6" ht="13">
      <c r="A3243" s="16"/>
      <c r="E3243" s="16"/>
      <c r="F3243" s="16"/>
    </row>
    <row r="3244" spans="1:6" ht="13">
      <c r="A3244" s="16"/>
      <c r="E3244" s="16"/>
      <c r="F3244" s="16"/>
    </row>
    <row r="3245" spans="1:6" ht="13">
      <c r="A3245" s="16"/>
      <c r="E3245" s="16"/>
      <c r="F3245" s="16"/>
    </row>
    <row r="3246" spans="1:6" ht="13">
      <c r="A3246" s="16"/>
      <c r="E3246" s="16"/>
      <c r="F3246" s="16"/>
    </row>
    <row r="3247" spans="1:6" ht="13">
      <c r="A3247" s="16"/>
      <c r="E3247" s="16"/>
      <c r="F3247" s="16"/>
    </row>
    <row r="3248" spans="1:6" ht="13">
      <c r="A3248" s="16"/>
      <c r="E3248" s="16"/>
      <c r="F3248" s="16"/>
    </row>
    <row r="3249" spans="1:6" ht="13">
      <c r="A3249" s="16"/>
      <c r="E3249" s="16"/>
      <c r="F3249" s="16"/>
    </row>
    <row r="3250" spans="1:6" ht="13">
      <c r="A3250" s="16"/>
      <c r="E3250" s="16"/>
      <c r="F3250" s="16"/>
    </row>
    <row r="3251" spans="1:6" ht="13">
      <c r="A3251" s="16"/>
      <c r="E3251" s="16"/>
      <c r="F3251" s="16"/>
    </row>
    <row r="3252" spans="1:6" ht="13">
      <c r="A3252" s="16"/>
      <c r="E3252" s="16"/>
      <c r="F3252" s="16"/>
    </row>
    <row r="3253" spans="1:6" ht="13">
      <c r="A3253" s="16"/>
      <c r="E3253" s="16"/>
      <c r="F3253" s="16"/>
    </row>
    <row r="3254" spans="1:6" ht="13">
      <c r="A3254" s="16"/>
      <c r="E3254" s="16"/>
      <c r="F3254" s="16"/>
    </row>
    <row r="3255" spans="1:6" ht="13">
      <c r="A3255" s="16"/>
      <c r="E3255" s="16"/>
      <c r="F3255" s="16"/>
    </row>
    <row r="3256" spans="1:6" ht="13">
      <c r="A3256" s="16"/>
      <c r="E3256" s="16"/>
      <c r="F3256" s="16"/>
    </row>
    <row r="3257" spans="1:6" ht="13">
      <c r="A3257" s="16"/>
      <c r="E3257" s="16"/>
      <c r="F3257" s="16"/>
    </row>
    <row r="3258" spans="1:6" ht="13">
      <c r="A3258" s="16"/>
      <c r="E3258" s="16"/>
      <c r="F3258" s="16"/>
    </row>
    <row r="3259" spans="1:6" ht="13">
      <c r="A3259" s="16"/>
      <c r="E3259" s="16"/>
      <c r="F3259" s="16"/>
    </row>
    <row r="3260" spans="1:6" ht="13">
      <c r="A3260" s="16"/>
      <c r="E3260" s="16"/>
      <c r="F3260" s="16"/>
    </row>
    <row r="3261" spans="1:6" ht="13">
      <c r="A3261" s="16"/>
      <c r="E3261" s="16"/>
      <c r="F3261" s="16"/>
    </row>
    <row r="3262" spans="1:6" ht="13">
      <c r="A3262" s="16"/>
      <c r="E3262" s="16"/>
      <c r="F3262" s="16"/>
    </row>
    <row r="3263" spans="1:6" ht="13">
      <c r="A3263" s="16"/>
      <c r="E3263" s="16"/>
      <c r="F3263" s="16"/>
    </row>
    <row r="3264" spans="1:6" ht="13">
      <c r="A3264" s="16"/>
      <c r="E3264" s="16"/>
      <c r="F3264" s="16"/>
    </row>
    <row r="3265" spans="1:6" ht="13">
      <c r="A3265" s="16"/>
      <c r="E3265" s="16"/>
      <c r="F3265" s="16"/>
    </row>
    <row r="3266" spans="1:6" ht="13">
      <c r="A3266" s="16"/>
      <c r="E3266" s="16"/>
      <c r="F3266" s="16"/>
    </row>
    <row r="3267" spans="1:6" ht="13">
      <c r="A3267" s="16"/>
      <c r="E3267" s="16"/>
      <c r="F3267" s="16"/>
    </row>
    <row r="3268" spans="1:6" ht="13">
      <c r="A3268" s="16"/>
      <c r="E3268" s="16"/>
      <c r="F3268" s="16"/>
    </row>
    <row r="3269" spans="1:6" ht="13">
      <c r="A3269" s="16"/>
      <c r="E3269" s="16"/>
      <c r="F3269" s="16"/>
    </row>
    <row r="3270" spans="1:6" ht="13">
      <c r="A3270" s="16"/>
      <c r="E3270" s="16"/>
      <c r="F3270" s="16"/>
    </row>
    <row r="3271" spans="1:6" ht="13">
      <c r="A3271" s="16"/>
      <c r="E3271" s="16"/>
      <c r="F3271" s="16"/>
    </row>
    <row r="3272" spans="1:6" ht="13">
      <c r="A3272" s="16"/>
      <c r="E3272" s="16"/>
      <c r="F3272" s="16"/>
    </row>
    <row r="3273" spans="1:6" ht="13">
      <c r="A3273" s="16"/>
      <c r="E3273" s="16"/>
      <c r="F3273" s="16"/>
    </row>
    <row r="3274" spans="1:6" ht="13">
      <c r="A3274" s="16"/>
      <c r="E3274" s="16"/>
      <c r="F3274" s="16"/>
    </row>
    <row r="3275" spans="1:6" ht="13">
      <c r="A3275" s="16"/>
      <c r="E3275" s="16"/>
      <c r="F3275" s="16"/>
    </row>
    <row r="3276" spans="1:6" ht="13">
      <c r="A3276" s="16"/>
      <c r="E3276" s="16"/>
      <c r="F3276" s="16"/>
    </row>
    <row r="3277" spans="1:6" ht="13">
      <c r="A3277" s="16"/>
      <c r="E3277" s="16"/>
      <c r="F3277" s="16"/>
    </row>
    <row r="3278" spans="1:6" ht="13">
      <c r="A3278" s="16"/>
      <c r="E3278" s="16"/>
      <c r="F3278" s="16"/>
    </row>
    <row r="3279" spans="1:6" ht="13">
      <c r="A3279" s="16"/>
      <c r="E3279" s="16"/>
      <c r="F3279" s="16"/>
    </row>
    <row r="3280" spans="1:6" ht="13">
      <c r="A3280" s="16"/>
      <c r="E3280" s="16"/>
      <c r="F3280" s="16"/>
    </row>
    <row r="3281" spans="1:6" ht="13">
      <c r="A3281" s="16"/>
      <c r="E3281" s="16"/>
      <c r="F3281" s="16"/>
    </row>
    <row r="3282" spans="1:6" ht="13">
      <c r="A3282" s="16"/>
      <c r="E3282" s="16"/>
      <c r="F3282" s="16"/>
    </row>
    <row r="3283" spans="1:6" ht="13">
      <c r="A3283" s="16"/>
      <c r="E3283" s="16"/>
      <c r="F3283" s="16"/>
    </row>
    <row r="3284" spans="1:6" ht="13">
      <c r="A3284" s="16"/>
      <c r="E3284" s="16"/>
      <c r="F3284" s="16"/>
    </row>
    <row r="3285" spans="1:6" ht="13">
      <c r="A3285" s="16"/>
      <c r="E3285" s="16"/>
      <c r="F3285" s="16"/>
    </row>
    <row r="3286" spans="1:6" ht="13">
      <c r="A3286" s="16"/>
      <c r="E3286" s="16"/>
      <c r="F3286" s="16"/>
    </row>
    <row r="3287" spans="1:6" ht="13">
      <c r="A3287" s="16"/>
      <c r="E3287" s="16"/>
      <c r="F3287" s="16"/>
    </row>
    <row r="3288" spans="1:6" ht="13">
      <c r="A3288" s="16"/>
      <c r="E3288" s="16"/>
      <c r="F3288" s="16"/>
    </row>
    <row r="3289" spans="1:6" ht="13">
      <c r="A3289" s="16"/>
      <c r="E3289" s="16"/>
      <c r="F3289" s="16"/>
    </row>
    <row r="3290" spans="1:6" ht="13">
      <c r="A3290" s="16"/>
      <c r="E3290" s="16"/>
      <c r="F3290" s="16"/>
    </row>
    <row r="3291" spans="1:6" ht="13">
      <c r="A3291" s="16"/>
      <c r="E3291" s="16"/>
      <c r="F3291" s="16"/>
    </row>
    <row r="3292" spans="1:6" ht="13">
      <c r="A3292" s="16"/>
      <c r="E3292" s="16"/>
      <c r="F3292" s="16"/>
    </row>
    <row r="3293" spans="1:6" ht="13">
      <c r="A3293" s="16"/>
      <c r="E3293" s="16"/>
      <c r="F3293" s="16"/>
    </row>
    <row r="3294" spans="1:6" ht="13">
      <c r="A3294" s="16"/>
      <c r="E3294" s="16"/>
      <c r="F3294" s="16"/>
    </row>
    <row r="3295" spans="1:6" ht="13">
      <c r="A3295" s="16"/>
      <c r="E3295" s="16"/>
      <c r="F3295" s="16"/>
    </row>
    <row r="3296" spans="1:6" ht="13">
      <c r="A3296" s="16"/>
      <c r="E3296" s="16"/>
      <c r="F3296" s="16"/>
    </row>
    <row r="3297" spans="1:6" ht="13">
      <c r="A3297" s="16"/>
      <c r="E3297" s="16"/>
      <c r="F3297" s="16"/>
    </row>
    <row r="3298" spans="1:6" ht="13">
      <c r="A3298" s="16"/>
      <c r="E3298" s="16"/>
      <c r="F3298" s="16"/>
    </row>
    <row r="3299" spans="1:6" ht="13">
      <c r="A3299" s="16"/>
      <c r="E3299" s="16"/>
      <c r="F3299" s="16"/>
    </row>
    <row r="3300" spans="1:6" ht="13">
      <c r="A3300" s="16"/>
      <c r="E3300" s="16"/>
      <c r="F3300" s="16"/>
    </row>
    <row r="3301" spans="1:6" ht="13">
      <c r="A3301" s="16"/>
      <c r="E3301" s="16"/>
      <c r="F3301" s="16"/>
    </row>
    <row r="3302" spans="1:6" ht="13">
      <c r="A3302" s="16"/>
      <c r="E3302" s="16"/>
      <c r="F3302" s="16"/>
    </row>
    <row r="3303" spans="1:6" ht="13">
      <c r="A3303" s="16"/>
      <c r="E3303" s="16"/>
      <c r="F3303" s="16"/>
    </row>
    <row r="3304" spans="1:6" ht="13">
      <c r="A3304" s="16"/>
      <c r="E3304" s="16"/>
      <c r="F3304" s="16"/>
    </row>
    <row r="3305" spans="1:6" ht="13">
      <c r="A3305" s="16"/>
      <c r="E3305" s="16"/>
      <c r="F3305" s="16"/>
    </row>
    <row r="3306" spans="1:6" ht="13">
      <c r="A3306" s="16"/>
      <c r="E3306" s="16"/>
      <c r="F3306" s="16"/>
    </row>
    <row r="3307" spans="1:6" ht="13">
      <c r="A3307" s="16"/>
      <c r="E3307" s="16"/>
      <c r="F3307" s="16"/>
    </row>
    <row r="3308" spans="1:6" ht="13">
      <c r="A3308" s="16"/>
      <c r="E3308" s="16"/>
      <c r="F3308" s="16"/>
    </row>
    <row r="3309" spans="1:6" ht="13">
      <c r="A3309" s="16"/>
      <c r="E3309" s="16"/>
      <c r="F3309" s="16"/>
    </row>
    <row r="3310" spans="1:6" ht="13">
      <c r="A3310" s="16"/>
      <c r="E3310" s="16"/>
      <c r="F3310" s="16"/>
    </row>
    <row r="3311" spans="1:6" ht="13">
      <c r="A3311" s="16"/>
      <c r="E3311" s="16"/>
      <c r="F3311" s="16"/>
    </row>
    <row r="3312" spans="1:6" ht="13">
      <c r="A3312" s="16"/>
      <c r="E3312" s="16"/>
      <c r="F3312" s="16"/>
    </row>
    <row r="3313" spans="1:6" ht="13">
      <c r="A3313" s="16"/>
      <c r="E3313" s="16"/>
      <c r="F3313" s="16"/>
    </row>
    <row r="3314" spans="1:6" ht="13">
      <c r="A3314" s="16"/>
      <c r="E3314" s="16"/>
      <c r="F3314" s="16"/>
    </row>
    <row r="3315" spans="1:6" ht="13">
      <c r="A3315" s="16"/>
      <c r="E3315" s="16"/>
      <c r="F3315" s="16"/>
    </row>
    <row r="3316" spans="1:6" ht="13">
      <c r="A3316" s="16"/>
      <c r="E3316" s="16"/>
      <c r="F3316" s="16"/>
    </row>
    <row r="3317" spans="1:6" ht="13">
      <c r="A3317" s="16"/>
      <c r="E3317" s="16"/>
      <c r="F3317" s="16"/>
    </row>
    <row r="3318" spans="1:6" ht="13">
      <c r="A3318" s="16"/>
      <c r="E3318" s="16"/>
      <c r="F3318" s="16"/>
    </row>
    <row r="3319" spans="1:6" ht="13">
      <c r="A3319" s="16"/>
      <c r="E3319" s="16"/>
      <c r="F3319" s="16"/>
    </row>
    <row r="3320" spans="1:6" ht="13">
      <c r="A3320" s="16"/>
      <c r="E3320" s="16"/>
      <c r="F3320" s="16"/>
    </row>
    <row r="3321" spans="1:6" ht="13">
      <c r="A3321" s="16"/>
      <c r="E3321" s="16"/>
      <c r="F3321" s="16"/>
    </row>
    <row r="3322" spans="1:6" ht="13">
      <c r="A3322" s="16"/>
      <c r="E3322" s="16"/>
      <c r="F3322" s="16"/>
    </row>
    <row r="3323" spans="1:6" ht="13">
      <c r="A3323" s="16"/>
      <c r="E3323" s="16"/>
      <c r="F3323" s="16"/>
    </row>
    <row r="3324" spans="1:6" ht="13">
      <c r="A3324" s="16"/>
      <c r="E3324" s="16"/>
      <c r="F3324" s="16"/>
    </row>
    <row r="3325" spans="1:6" ht="13">
      <c r="A3325" s="16"/>
      <c r="E3325" s="16"/>
      <c r="F3325" s="16"/>
    </row>
    <row r="3326" spans="1:6" ht="13">
      <c r="A3326" s="16"/>
      <c r="E3326" s="16"/>
      <c r="F3326" s="16"/>
    </row>
    <row r="3327" spans="1:6" ht="13">
      <c r="A3327" s="16"/>
      <c r="E3327" s="16"/>
      <c r="F3327" s="16"/>
    </row>
    <row r="3328" spans="1:6" ht="13">
      <c r="A3328" s="16"/>
      <c r="E3328" s="16"/>
      <c r="F3328" s="16"/>
    </row>
    <row r="3329" spans="1:6" ht="13">
      <c r="A3329" s="16"/>
      <c r="E3329" s="16"/>
      <c r="F3329" s="16"/>
    </row>
    <row r="3330" spans="1:6" ht="13">
      <c r="A3330" s="16"/>
      <c r="E3330" s="16"/>
      <c r="F3330" s="16"/>
    </row>
    <row r="3331" spans="1:6" ht="13">
      <c r="A3331" s="16"/>
      <c r="E3331" s="16"/>
      <c r="F3331" s="16"/>
    </row>
    <row r="3332" spans="1:6" ht="13">
      <c r="A3332" s="16"/>
      <c r="E3332" s="16"/>
      <c r="F3332" s="16"/>
    </row>
    <row r="3333" spans="1:6" ht="13">
      <c r="A3333" s="16"/>
      <c r="E3333" s="16"/>
      <c r="F3333" s="16"/>
    </row>
    <row r="3334" spans="1:6" ht="13">
      <c r="A3334" s="16"/>
      <c r="E3334" s="16"/>
      <c r="F3334" s="16"/>
    </row>
    <row r="3335" spans="1:6" ht="13">
      <c r="A3335" s="16"/>
      <c r="E3335" s="16"/>
      <c r="F3335" s="16"/>
    </row>
    <row r="3336" spans="1:6" ht="13">
      <c r="A3336" s="16"/>
      <c r="E3336" s="16"/>
      <c r="F3336" s="16"/>
    </row>
    <row r="3337" spans="1:6" ht="13">
      <c r="A3337" s="16"/>
      <c r="E3337" s="16"/>
      <c r="F3337" s="16"/>
    </row>
    <row r="3338" spans="1:6" ht="13">
      <c r="A3338" s="16"/>
      <c r="E3338" s="16"/>
      <c r="F3338" s="16"/>
    </row>
    <row r="3339" spans="1:6" ht="13">
      <c r="A3339" s="16"/>
      <c r="E3339" s="16"/>
      <c r="F3339" s="16"/>
    </row>
    <row r="3340" spans="1:6" ht="13">
      <c r="A3340" s="16"/>
      <c r="E3340" s="16"/>
      <c r="F3340" s="16"/>
    </row>
    <row r="3341" spans="1:6" ht="13">
      <c r="A3341" s="16"/>
      <c r="E3341" s="16"/>
      <c r="F3341" s="16"/>
    </row>
    <row r="3342" spans="1:6" ht="13">
      <c r="A3342" s="16"/>
      <c r="E3342" s="16"/>
      <c r="F3342" s="16"/>
    </row>
    <row r="3343" spans="1:6" ht="13">
      <c r="A3343" s="16"/>
      <c r="E3343" s="16"/>
      <c r="F3343" s="16"/>
    </row>
    <row r="3344" spans="1:6" ht="13">
      <c r="A3344" s="16"/>
      <c r="E3344" s="16"/>
      <c r="F3344" s="16"/>
    </row>
    <row r="3345" spans="1:6" ht="13">
      <c r="A3345" s="16"/>
      <c r="E3345" s="16"/>
      <c r="F3345" s="16"/>
    </row>
    <row r="3346" spans="1:6" ht="13">
      <c r="A3346" s="16"/>
      <c r="E3346" s="16"/>
      <c r="F3346" s="16"/>
    </row>
    <row r="3347" spans="1:6" ht="13">
      <c r="A3347" s="16"/>
      <c r="E3347" s="16"/>
      <c r="F3347" s="16"/>
    </row>
    <row r="3348" spans="1:6" ht="13">
      <c r="A3348" s="16"/>
      <c r="E3348" s="16"/>
      <c r="F3348" s="16"/>
    </row>
    <row r="3349" spans="1:6" ht="13">
      <c r="A3349" s="16"/>
      <c r="E3349" s="16"/>
      <c r="F3349" s="16"/>
    </row>
    <row r="3350" spans="1:6" ht="13">
      <c r="A3350" s="16"/>
      <c r="E3350" s="16"/>
      <c r="F3350" s="16"/>
    </row>
    <row r="3351" spans="1:6" ht="13">
      <c r="A3351" s="16"/>
      <c r="E3351" s="16"/>
      <c r="F3351" s="16"/>
    </row>
    <row r="3352" spans="1:6" ht="13">
      <c r="A3352" s="16"/>
      <c r="E3352" s="16"/>
      <c r="F3352" s="16"/>
    </row>
    <row r="3353" spans="1:6" ht="13">
      <c r="A3353" s="16"/>
      <c r="E3353" s="16"/>
      <c r="F3353" s="16"/>
    </row>
    <row r="3354" spans="1:6" ht="13">
      <c r="A3354" s="16"/>
      <c r="E3354" s="16"/>
      <c r="F3354" s="16"/>
    </row>
    <row r="3355" spans="1:6" ht="13">
      <c r="A3355" s="16"/>
      <c r="E3355" s="16"/>
      <c r="F3355" s="16"/>
    </row>
    <row r="3356" spans="1:6" ht="13">
      <c r="A3356" s="16"/>
      <c r="E3356" s="16"/>
      <c r="F3356" s="16"/>
    </row>
    <row r="3357" spans="1:6" ht="13">
      <c r="A3357" s="16"/>
      <c r="E3357" s="16"/>
      <c r="F3357" s="16"/>
    </row>
    <row r="3358" spans="1:6" ht="13">
      <c r="A3358" s="16"/>
      <c r="E3358" s="16"/>
      <c r="F3358" s="16"/>
    </row>
    <row r="3359" spans="1:6" ht="13">
      <c r="A3359" s="16"/>
      <c r="E3359" s="16"/>
      <c r="F3359" s="16"/>
    </row>
    <row r="3360" spans="1:6" ht="13">
      <c r="A3360" s="16"/>
      <c r="E3360" s="16"/>
      <c r="F3360" s="16"/>
    </row>
    <row r="3361" spans="1:6" ht="13">
      <c r="A3361" s="16"/>
      <c r="E3361" s="16"/>
      <c r="F3361" s="16"/>
    </row>
    <row r="3362" spans="1:6" ht="13">
      <c r="A3362" s="16"/>
      <c r="E3362" s="16"/>
      <c r="F3362" s="16"/>
    </row>
    <row r="3363" spans="1:6" ht="13">
      <c r="A3363" s="16"/>
      <c r="E3363" s="16"/>
      <c r="F3363" s="16"/>
    </row>
    <row r="3364" spans="1:6" ht="13">
      <c r="A3364" s="16"/>
      <c r="E3364" s="16"/>
      <c r="F3364" s="16"/>
    </row>
    <row r="3365" spans="1:6" ht="13">
      <c r="A3365" s="16"/>
      <c r="E3365" s="16"/>
      <c r="F3365" s="16"/>
    </row>
    <row r="3366" spans="1:6" ht="13">
      <c r="A3366" s="16"/>
      <c r="E3366" s="16"/>
      <c r="F3366" s="16"/>
    </row>
    <row r="3367" spans="1:6" ht="13">
      <c r="A3367" s="16"/>
      <c r="E3367" s="16"/>
      <c r="F3367" s="16"/>
    </row>
    <row r="3368" spans="1:6" ht="13">
      <c r="A3368" s="16"/>
      <c r="E3368" s="16"/>
      <c r="F3368" s="16"/>
    </row>
    <row r="3369" spans="1:6" ht="13">
      <c r="A3369" s="16"/>
      <c r="E3369" s="16"/>
      <c r="F3369" s="16"/>
    </row>
    <row r="3370" spans="1:6" ht="13">
      <c r="A3370" s="16"/>
      <c r="E3370" s="16"/>
      <c r="F3370" s="16"/>
    </row>
    <row r="3371" spans="1:6" ht="13">
      <c r="A3371" s="16"/>
      <c r="E3371" s="16"/>
      <c r="F3371" s="16"/>
    </row>
    <row r="3372" spans="1:6" ht="13">
      <c r="A3372" s="16"/>
      <c r="E3372" s="16"/>
      <c r="F3372" s="16"/>
    </row>
    <row r="3373" spans="1:6" ht="13">
      <c r="A3373" s="16"/>
      <c r="E3373" s="16"/>
      <c r="F3373" s="16"/>
    </row>
    <row r="3374" spans="1:6" ht="13">
      <c r="A3374" s="16"/>
      <c r="E3374" s="16"/>
      <c r="F3374" s="16"/>
    </row>
    <row r="3375" spans="1:6" ht="13">
      <c r="A3375" s="16"/>
      <c r="E3375" s="16"/>
      <c r="F3375" s="16"/>
    </row>
    <row r="3376" spans="1:6" ht="13">
      <c r="A3376" s="16"/>
      <c r="E3376" s="16"/>
      <c r="F3376" s="16"/>
    </row>
    <row r="3377" spans="1:6" ht="13">
      <c r="A3377" s="16"/>
      <c r="E3377" s="16"/>
      <c r="F3377" s="16"/>
    </row>
    <row r="3378" spans="1:6" ht="13">
      <c r="A3378" s="16"/>
      <c r="E3378" s="16"/>
      <c r="F3378" s="16"/>
    </row>
    <row r="3379" spans="1:6" ht="13">
      <c r="A3379" s="16"/>
      <c r="E3379" s="16"/>
      <c r="F3379" s="16"/>
    </row>
    <row r="3380" spans="1:6" ht="13">
      <c r="A3380" s="16"/>
      <c r="E3380" s="16"/>
      <c r="F3380" s="16"/>
    </row>
    <row r="3381" spans="1:6" ht="13">
      <c r="A3381" s="16"/>
      <c r="E3381" s="16"/>
      <c r="F3381" s="16"/>
    </row>
    <row r="3382" spans="1:6" ht="13">
      <c r="A3382" s="16"/>
      <c r="E3382" s="16"/>
      <c r="F3382" s="16"/>
    </row>
    <row r="3383" spans="1:6" ht="13">
      <c r="A3383" s="16"/>
      <c r="E3383" s="16"/>
      <c r="F3383" s="16"/>
    </row>
    <row r="3384" spans="1:6" ht="13">
      <c r="A3384" s="16"/>
      <c r="E3384" s="16"/>
      <c r="F3384" s="16"/>
    </row>
    <row r="3385" spans="1:6" ht="13">
      <c r="A3385" s="16"/>
      <c r="E3385" s="16"/>
      <c r="F3385" s="16"/>
    </row>
    <row r="3386" spans="1:6" ht="13">
      <c r="A3386" s="16"/>
      <c r="E3386" s="16"/>
      <c r="F3386" s="16"/>
    </row>
    <row r="3387" spans="1:6" ht="13">
      <c r="A3387" s="16"/>
      <c r="E3387" s="16"/>
      <c r="F3387" s="16"/>
    </row>
    <row r="3388" spans="1:6" ht="13">
      <c r="A3388" s="16"/>
      <c r="E3388" s="16"/>
      <c r="F3388" s="16"/>
    </row>
    <row r="3389" spans="1:6" ht="13">
      <c r="A3389" s="16"/>
      <c r="E3389" s="16"/>
      <c r="F3389" s="16"/>
    </row>
    <row r="3390" spans="1:6" ht="13">
      <c r="A3390" s="16"/>
      <c r="E3390" s="16"/>
      <c r="F3390" s="16"/>
    </row>
    <row r="3391" spans="1:6" ht="13">
      <c r="A3391" s="16"/>
      <c r="E3391" s="16"/>
      <c r="F3391" s="16"/>
    </row>
    <row r="3392" spans="1:6" ht="13">
      <c r="A3392" s="16"/>
      <c r="E3392" s="16"/>
      <c r="F3392" s="16"/>
    </row>
    <row r="3393" spans="1:6" ht="13">
      <c r="A3393" s="16"/>
      <c r="E3393" s="16"/>
      <c r="F3393" s="16"/>
    </row>
    <row r="3394" spans="1:6" ht="13">
      <c r="A3394" s="16"/>
      <c r="E3394" s="16"/>
      <c r="F3394" s="16"/>
    </row>
    <row r="3395" spans="1:6" ht="13">
      <c r="A3395" s="16"/>
      <c r="E3395" s="16"/>
      <c r="F3395" s="16"/>
    </row>
    <row r="3396" spans="1:6" ht="13">
      <c r="A3396" s="16"/>
      <c r="E3396" s="16"/>
      <c r="F3396" s="16"/>
    </row>
    <row r="3397" spans="1:6" ht="13">
      <c r="A3397" s="16"/>
      <c r="E3397" s="16"/>
      <c r="F3397" s="16"/>
    </row>
    <row r="3398" spans="1:6" ht="13">
      <c r="A3398" s="16"/>
      <c r="E3398" s="16"/>
      <c r="F3398" s="16"/>
    </row>
    <row r="3399" spans="1:6" ht="13">
      <c r="A3399" s="16"/>
      <c r="E3399" s="16"/>
      <c r="F3399" s="16"/>
    </row>
    <row r="3400" spans="1:6" ht="13">
      <c r="A3400" s="16"/>
      <c r="E3400" s="16"/>
      <c r="F3400" s="16"/>
    </row>
    <row r="3401" spans="1:6" ht="13">
      <c r="A3401" s="16"/>
      <c r="E3401" s="16"/>
      <c r="F3401" s="16"/>
    </row>
    <row r="3402" spans="1:6" ht="13">
      <c r="A3402" s="16"/>
      <c r="E3402" s="16"/>
      <c r="F3402" s="16"/>
    </row>
    <row r="3403" spans="1:6" ht="13">
      <c r="A3403" s="16"/>
      <c r="E3403" s="16"/>
      <c r="F3403" s="16"/>
    </row>
    <row r="3404" spans="1:6" ht="13">
      <c r="A3404" s="16"/>
      <c r="E3404" s="16"/>
      <c r="F3404" s="16"/>
    </row>
    <row r="3405" spans="1:6" ht="13">
      <c r="A3405" s="16"/>
      <c r="E3405" s="16"/>
      <c r="F3405" s="16"/>
    </row>
    <row r="3406" spans="1:6" ht="13">
      <c r="A3406" s="16"/>
      <c r="E3406" s="16"/>
      <c r="F3406" s="16"/>
    </row>
    <row r="3407" spans="1:6" ht="13">
      <c r="A3407" s="16"/>
      <c r="E3407" s="16"/>
      <c r="F3407" s="16"/>
    </row>
    <row r="3408" spans="1:6" ht="13">
      <c r="A3408" s="16"/>
      <c r="E3408" s="16"/>
      <c r="F3408" s="16"/>
    </row>
    <row r="3409" spans="1:6" ht="13">
      <c r="A3409" s="16"/>
      <c r="E3409" s="16"/>
      <c r="F3409" s="16"/>
    </row>
    <row r="3410" spans="1:6" ht="13">
      <c r="A3410" s="16"/>
      <c r="E3410" s="16"/>
      <c r="F3410" s="16"/>
    </row>
    <row r="3411" spans="1:6" ht="13">
      <c r="A3411" s="16"/>
      <c r="E3411" s="16"/>
      <c r="F3411" s="16"/>
    </row>
    <row r="3412" spans="1:6" ht="13">
      <c r="A3412" s="16"/>
      <c r="E3412" s="16"/>
      <c r="F3412" s="16"/>
    </row>
    <row r="3413" spans="1:6" ht="13">
      <c r="A3413" s="16"/>
      <c r="E3413" s="16"/>
      <c r="F3413" s="16"/>
    </row>
    <row r="3414" spans="1:6" ht="13">
      <c r="A3414" s="16"/>
      <c r="E3414" s="16"/>
      <c r="F3414" s="16"/>
    </row>
    <row r="3415" spans="1:6" ht="13">
      <c r="A3415" s="16"/>
      <c r="E3415" s="16"/>
      <c r="F3415" s="16"/>
    </row>
    <row r="3416" spans="1:6" ht="13">
      <c r="A3416" s="16"/>
      <c r="E3416" s="16"/>
      <c r="F3416" s="16"/>
    </row>
    <row r="3417" spans="1:6" ht="13">
      <c r="A3417" s="16"/>
      <c r="E3417" s="16"/>
      <c r="F3417" s="16"/>
    </row>
    <row r="3418" spans="1:6" ht="13">
      <c r="A3418" s="16"/>
      <c r="E3418" s="16"/>
      <c r="F3418" s="16"/>
    </row>
    <row r="3419" spans="1:6" ht="13">
      <c r="A3419" s="16"/>
      <c r="E3419" s="16"/>
      <c r="F3419" s="16"/>
    </row>
    <row r="3420" spans="1:6" ht="13">
      <c r="A3420" s="16"/>
      <c r="E3420" s="16"/>
      <c r="F3420" s="16"/>
    </row>
    <row r="3421" spans="1:6" ht="13">
      <c r="A3421" s="16"/>
      <c r="E3421" s="16"/>
      <c r="F3421" s="16"/>
    </row>
    <row r="3422" spans="1:6" ht="13">
      <c r="A3422" s="16"/>
      <c r="E3422" s="16"/>
      <c r="F3422" s="16"/>
    </row>
    <row r="3423" spans="1:6" ht="13">
      <c r="A3423" s="16"/>
      <c r="E3423" s="16"/>
      <c r="F3423" s="16"/>
    </row>
    <row r="3424" spans="1:6" ht="13">
      <c r="A3424" s="16"/>
      <c r="E3424" s="16"/>
      <c r="F3424" s="16"/>
    </row>
    <row r="3425" spans="1:6" ht="13">
      <c r="A3425" s="16"/>
      <c r="E3425" s="16"/>
      <c r="F3425" s="16"/>
    </row>
    <row r="3426" spans="1:6" ht="13">
      <c r="A3426" s="16"/>
      <c r="E3426" s="16"/>
      <c r="F3426" s="16"/>
    </row>
    <row r="3427" spans="1:6" ht="13">
      <c r="A3427" s="16"/>
      <c r="E3427" s="16"/>
      <c r="F3427" s="16"/>
    </row>
    <row r="3428" spans="1:6" ht="13">
      <c r="A3428" s="16"/>
      <c r="E3428" s="16"/>
      <c r="F3428" s="16"/>
    </row>
    <row r="3429" spans="1:6" ht="13">
      <c r="A3429" s="16"/>
      <c r="E3429" s="16"/>
      <c r="F3429" s="16"/>
    </row>
    <row r="3430" spans="1:6" ht="13">
      <c r="A3430" s="16"/>
      <c r="E3430" s="16"/>
      <c r="F3430" s="16"/>
    </row>
    <row r="3431" spans="1:6" ht="13">
      <c r="A3431" s="16"/>
      <c r="E3431" s="16"/>
      <c r="F3431" s="16"/>
    </row>
    <row r="3432" spans="1:6" ht="13">
      <c r="A3432" s="16"/>
      <c r="E3432" s="16"/>
      <c r="F3432" s="16"/>
    </row>
    <row r="3433" spans="1:6" ht="13">
      <c r="A3433" s="16"/>
      <c r="E3433" s="16"/>
      <c r="F3433" s="16"/>
    </row>
    <row r="3434" spans="1:6" ht="13">
      <c r="A3434" s="16"/>
      <c r="E3434" s="16"/>
      <c r="F3434" s="16"/>
    </row>
    <row r="3435" spans="1:6" ht="13">
      <c r="A3435" s="16"/>
      <c r="E3435" s="16"/>
      <c r="F3435" s="16"/>
    </row>
    <row r="3436" spans="1:6" ht="13">
      <c r="A3436" s="16"/>
      <c r="E3436" s="16"/>
      <c r="F3436" s="16"/>
    </row>
    <row r="3437" spans="1:6" ht="13">
      <c r="A3437" s="16"/>
      <c r="E3437" s="16"/>
      <c r="F3437" s="16"/>
    </row>
    <row r="3438" spans="1:6" ht="13">
      <c r="A3438" s="16"/>
      <c r="E3438" s="16"/>
      <c r="F3438" s="16"/>
    </row>
    <row r="3439" spans="1:6" ht="13">
      <c r="A3439" s="16"/>
      <c r="E3439" s="16"/>
      <c r="F3439" s="16"/>
    </row>
    <row r="3440" spans="1:6" ht="13">
      <c r="A3440" s="16"/>
      <c r="E3440" s="16"/>
      <c r="F3440" s="16"/>
    </row>
    <row r="3441" spans="1:6" ht="13">
      <c r="A3441" s="16"/>
      <c r="E3441" s="16"/>
      <c r="F3441" s="16"/>
    </row>
    <row r="3442" spans="1:6" ht="13">
      <c r="A3442" s="16"/>
      <c r="E3442" s="16"/>
      <c r="F3442" s="16"/>
    </row>
    <row r="3443" spans="1:6" ht="13">
      <c r="A3443" s="16"/>
      <c r="E3443" s="16"/>
      <c r="F3443" s="16"/>
    </row>
    <row r="3444" spans="1:6" ht="13">
      <c r="A3444" s="16"/>
      <c r="E3444" s="16"/>
      <c r="F3444" s="16"/>
    </row>
    <row r="3445" spans="1:6" ht="13">
      <c r="A3445" s="16"/>
      <c r="E3445" s="16"/>
      <c r="F3445" s="16"/>
    </row>
    <row r="3446" spans="1:6" ht="13">
      <c r="A3446" s="16"/>
      <c r="E3446" s="16"/>
      <c r="F3446" s="16"/>
    </row>
    <row r="3447" spans="1:6" ht="13">
      <c r="A3447" s="16"/>
      <c r="E3447" s="16"/>
      <c r="F3447" s="16"/>
    </row>
    <row r="3448" spans="1:6" ht="13">
      <c r="A3448" s="16"/>
      <c r="E3448" s="16"/>
      <c r="F3448" s="16"/>
    </row>
    <row r="3449" spans="1:6" ht="13">
      <c r="A3449" s="16"/>
      <c r="E3449" s="16"/>
      <c r="F3449" s="16"/>
    </row>
    <row r="3450" spans="1:6" ht="13">
      <c r="A3450" s="16"/>
      <c r="E3450" s="16"/>
      <c r="F3450" s="16"/>
    </row>
    <row r="3451" spans="1:6" ht="13">
      <c r="A3451" s="16"/>
      <c r="E3451" s="16"/>
      <c r="F3451" s="16"/>
    </row>
    <row r="3452" spans="1:6" ht="13">
      <c r="A3452" s="16"/>
      <c r="E3452" s="16"/>
      <c r="F3452" s="16"/>
    </row>
    <row r="3453" spans="1:6" ht="13">
      <c r="A3453" s="16"/>
      <c r="E3453" s="16"/>
      <c r="F3453" s="16"/>
    </row>
    <row r="3454" spans="1:6" ht="13">
      <c r="A3454" s="16"/>
      <c r="E3454" s="16"/>
      <c r="F3454" s="16"/>
    </row>
    <row r="3455" spans="1:6" ht="13">
      <c r="A3455" s="16"/>
      <c r="E3455" s="16"/>
      <c r="F3455" s="16"/>
    </row>
    <row r="3456" spans="1:6" ht="13">
      <c r="A3456" s="16"/>
      <c r="E3456" s="16"/>
      <c r="F3456" s="16"/>
    </row>
    <row r="3457" spans="1:6" ht="13">
      <c r="A3457" s="16"/>
      <c r="E3457" s="16"/>
      <c r="F3457" s="16"/>
    </row>
    <row r="3458" spans="1:6" ht="13">
      <c r="A3458" s="16"/>
      <c r="E3458" s="16"/>
      <c r="F3458" s="16"/>
    </row>
    <row r="3459" spans="1:6" ht="13">
      <c r="A3459" s="16"/>
      <c r="E3459" s="16"/>
      <c r="F3459" s="16"/>
    </row>
    <row r="3460" spans="1:6" ht="13">
      <c r="A3460" s="16"/>
      <c r="E3460" s="16"/>
      <c r="F3460" s="16"/>
    </row>
    <row r="3461" spans="1:6" ht="13">
      <c r="A3461" s="16"/>
      <c r="E3461" s="16"/>
      <c r="F3461" s="16"/>
    </row>
    <row r="3462" spans="1:6" ht="13">
      <c r="A3462" s="16"/>
      <c r="E3462" s="16"/>
      <c r="F3462" s="16"/>
    </row>
    <row r="3463" spans="1:6" ht="13">
      <c r="A3463" s="16"/>
      <c r="E3463" s="16"/>
      <c r="F3463" s="16"/>
    </row>
    <row r="3464" spans="1:6" ht="13">
      <c r="A3464" s="16"/>
      <c r="E3464" s="16"/>
      <c r="F3464" s="16"/>
    </row>
    <row r="3465" spans="1:6" ht="13">
      <c r="A3465" s="16"/>
      <c r="E3465" s="16"/>
      <c r="F3465" s="16"/>
    </row>
    <row r="3466" spans="1:6" ht="13">
      <c r="A3466" s="16"/>
      <c r="E3466" s="16"/>
      <c r="F3466" s="16"/>
    </row>
    <row r="3467" spans="1:6" ht="13">
      <c r="A3467" s="16"/>
      <c r="E3467" s="16"/>
      <c r="F3467" s="16"/>
    </row>
    <row r="3468" spans="1:6" ht="13">
      <c r="A3468" s="16"/>
      <c r="E3468" s="16"/>
      <c r="F3468" s="16"/>
    </row>
    <row r="3469" spans="1:6" ht="13">
      <c r="A3469" s="16"/>
      <c r="E3469" s="16"/>
      <c r="F3469" s="16"/>
    </row>
    <row r="3470" spans="1:6" ht="13">
      <c r="A3470" s="16"/>
      <c r="E3470" s="16"/>
      <c r="F3470" s="16"/>
    </row>
    <row r="3471" spans="1:6" ht="13">
      <c r="A3471" s="16"/>
      <c r="E3471" s="16"/>
      <c r="F3471" s="16"/>
    </row>
    <row r="3472" spans="1:6" ht="13">
      <c r="A3472" s="16"/>
      <c r="E3472" s="16"/>
      <c r="F3472" s="16"/>
    </row>
    <row r="3473" spans="1:6" ht="13">
      <c r="A3473" s="16"/>
      <c r="E3473" s="16"/>
      <c r="F3473" s="16"/>
    </row>
    <row r="3474" spans="1:6" ht="13">
      <c r="A3474" s="16"/>
      <c r="E3474" s="16"/>
      <c r="F3474" s="16"/>
    </row>
    <row r="3475" spans="1:6" ht="13">
      <c r="A3475" s="16"/>
      <c r="E3475" s="16"/>
      <c r="F3475" s="16"/>
    </row>
    <row r="3476" spans="1:6" ht="13">
      <c r="A3476" s="16"/>
      <c r="E3476" s="16"/>
      <c r="F3476" s="16"/>
    </row>
    <row r="3477" spans="1:6" ht="13">
      <c r="A3477" s="16"/>
      <c r="E3477" s="16"/>
      <c r="F3477" s="16"/>
    </row>
    <row r="3478" spans="1:6" ht="13">
      <c r="A3478" s="16"/>
      <c r="E3478" s="16"/>
      <c r="F3478" s="16"/>
    </row>
    <row r="3479" spans="1:6" ht="13">
      <c r="A3479" s="16"/>
      <c r="E3479" s="16"/>
      <c r="F3479" s="16"/>
    </row>
    <row r="3480" spans="1:6" ht="13">
      <c r="A3480" s="16"/>
      <c r="E3480" s="16"/>
      <c r="F3480" s="16"/>
    </row>
    <row r="3481" spans="1:6" ht="13">
      <c r="A3481" s="16"/>
      <c r="E3481" s="16"/>
      <c r="F3481" s="16"/>
    </row>
    <row r="3482" spans="1:6" ht="13">
      <c r="A3482" s="16"/>
      <c r="E3482" s="16"/>
      <c r="F3482" s="16"/>
    </row>
    <row r="3483" spans="1:6" ht="13">
      <c r="A3483" s="16"/>
      <c r="E3483" s="16"/>
      <c r="F3483" s="16"/>
    </row>
    <row r="3484" spans="1:6" ht="13">
      <c r="A3484" s="16"/>
      <c r="E3484" s="16"/>
      <c r="F3484" s="16"/>
    </row>
    <row r="3485" spans="1:6" ht="13">
      <c r="A3485" s="16"/>
      <c r="E3485" s="16"/>
      <c r="F3485" s="16"/>
    </row>
    <row r="3486" spans="1:6" ht="13">
      <c r="A3486" s="16"/>
      <c r="E3486" s="16"/>
      <c r="F3486" s="16"/>
    </row>
    <row r="3487" spans="1:6" ht="13">
      <c r="A3487" s="16"/>
      <c r="E3487" s="16"/>
      <c r="F3487" s="16"/>
    </row>
    <row r="3488" spans="1:6" ht="13">
      <c r="A3488" s="16"/>
      <c r="E3488" s="16"/>
      <c r="F3488" s="16"/>
    </row>
    <row r="3489" spans="1:6" ht="13">
      <c r="A3489" s="16"/>
      <c r="E3489" s="16"/>
      <c r="F3489" s="16"/>
    </row>
    <row r="3490" spans="1:6" ht="13">
      <c r="A3490" s="16"/>
      <c r="E3490" s="16"/>
      <c r="F3490" s="16"/>
    </row>
    <row r="3491" spans="1:6" ht="13">
      <c r="A3491" s="16"/>
      <c r="E3491" s="16"/>
      <c r="F3491" s="16"/>
    </row>
    <row r="3492" spans="1:6" ht="13">
      <c r="A3492" s="16"/>
      <c r="E3492" s="16"/>
      <c r="F3492" s="16"/>
    </row>
    <row r="3493" spans="1:6" ht="13">
      <c r="A3493" s="16"/>
      <c r="E3493" s="16"/>
      <c r="F3493" s="16"/>
    </row>
    <row r="3494" spans="1:6" ht="13">
      <c r="A3494" s="16"/>
      <c r="E3494" s="16"/>
      <c r="F3494" s="16"/>
    </row>
    <row r="3495" spans="1:6" ht="13">
      <c r="A3495" s="16"/>
      <c r="E3495" s="16"/>
      <c r="F3495" s="16"/>
    </row>
    <row r="3496" spans="1:6" ht="13">
      <c r="A3496" s="16"/>
      <c r="E3496" s="16"/>
      <c r="F3496" s="16"/>
    </row>
    <row r="3497" spans="1:6" ht="13">
      <c r="A3497" s="16"/>
      <c r="E3497" s="16"/>
      <c r="F3497" s="16"/>
    </row>
    <row r="3498" spans="1:6" ht="13">
      <c r="A3498" s="16"/>
      <c r="E3498" s="16"/>
      <c r="F3498" s="16"/>
    </row>
    <row r="3499" spans="1:6" ht="13">
      <c r="A3499" s="16"/>
      <c r="E3499" s="16"/>
      <c r="F3499" s="16"/>
    </row>
    <row r="3500" spans="1:6" ht="13">
      <c r="A3500" s="16"/>
      <c r="E3500" s="16"/>
      <c r="F3500" s="16"/>
    </row>
    <row r="3501" spans="1:6" ht="13">
      <c r="A3501" s="16"/>
      <c r="E3501" s="16"/>
      <c r="F3501" s="16"/>
    </row>
    <row r="3502" spans="1:6" ht="13">
      <c r="A3502" s="16"/>
      <c r="E3502" s="16"/>
      <c r="F3502" s="16"/>
    </row>
    <row r="3503" spans="1:6" ht="13">
      <c r="A3503" s="16"/>
      <c r="E3503" s="16"/>
      <c r="F3503" s="16"/>
    </row>
    <row r="3504" spans="1:6" ht="13">
      <c r="A3504" s="16"/>
      <c r="E3504" s="16"/>
      <c r="F3504" s="16"/>
    </row>
    <row r="3505" spans="1:6" ht="13">
      <c r="A3505" s="16"/>
      <c r="E3505" s="16"/>
      <c r="F3505" s="16"/>
    </row>
    <row r="3506" spans="1:6" ht="13">
      <c r="A3506" s="16"/>
      <c r="E3506" s="16"/>
      <c r="F3506" s="16"/>
    </row>
    <row r="3507" spans="1:6" ht="13">
      <c r="A3507" s="16"/>
      <c r="E3507" s="16"/>
      <c r="F3507" s="16"/>
    </row>
    <row r="3508" spans="1:6" ht="13">
      <c r="A3508" s="16"/>
      <c r="E3508" s="16"/>
      <c r="F3508" s="16"/>
    </row>
    <row r="3509" spans="1:6" ht="13">
      <c r="A3509" s="16"/>
      <c r="E3509" s="16"/>
      <c r="F3509" s="16"/>
    </row>
    <row r="3510" spans="1:6" ht="13">
      <c r="A3510" s="16"/>
      <c r="E3510" s="16"/>
      <c r="F3510" s="16"/>
    </row>
    <row r="3511" spans="1:6" ht="13">
      <c r="A3511" s="16"/>
      <c r="E3511" s="16"/>
      <c r="F3511" s="16"/>
    </row>
    <row r="3512" spans="1:6" ht="13">
      <c r="A3512" s="16"/>
      <c r="E3512" s="16"/>
      <c r="F3512" s="16"/>
    </row>
    <row r="3513" spans="1:6" ht="13">
      <c r="A3513" s="16"/>
      <c r="E3513" s="16"/>
      <c r="F3513" s="16"/>
    </row>
    <row r="3514" spans="1:6" ht="13">
      <c r="A3514" s="16"/>
      <c r="E3514" s="16"/>
      <c r="F3514" s="16"/>
    </row>
    <row r="3515" spans="1:6" ht="13">
      <c r="A3515" s="16"/>
      <c r="E3515" s="16"/>
      <c r="F3515" s="16"/>
    </row>
    <row r="3516" spans="1:6" ht="13">
      <c r="A3516" s="16"/>
      <c r="E3516" s="16"/>
      <c r="F3516" s="16"/>
    </row>
    <row r="3517" spans="1:6" ht="13">
      <c r="A3517" s="16"/>
      <c r="E3517" s="16"/>
      <c r="F3517" s="16"/>
    </row>
    <row r="3518" spans="1:6" ht="13">
      <c r="A3518" s="16"/>
      <c r="E3518" s="16"/>
      <c r="F3518" s="16"/>
    </row>
    <row r="3519" spans="1:6" ht="13">
      <c r="A3519" s="16"/>
      <c r="E3519" s="16"/>
      <c r="F3519" s="16"/>
    </row>
    <row r="3520" spans="1:6" ht="13">
      <c r="A3520" s="16"/>
      <c r="E3520" s="16"/>
      <c r="F3520" s="16"/>
    </row>
    <row r="3521" spans="1:6" ht="13">
      <c r="A3521" s="16"/>
      <c r="E3521" s="16"/>
      <c r="F3521" s="16"/>
    </row>
    <row r="3522" spans="1:6" ht="13">
      <c r="A3522" s="16"/>
      <c r="E3522" s="16"/>
      <c r="F3522" s="16"/>
    </row>
    <row r="3523" spans="1:6" ht="13">
      <c r="A3523" s="16"/>
      <c r="E3523" s="16"/>
      <c r="F3523" s="16"/>
    </row>
    <row r="3524" spans="1:6" ht="13">
      <c r="A3524" s="16"/>
      <c r="E3524" s="16"/>
      <c r="F3524" s="16"/>
    </row>
    <row r="3525" spans="1:6" ht="13">
      <c r="A3525" s="16"/>
      <c r="E3525" s="16"/>
      <c r="F3525" s="16"/>
    </row>
    <row r="3526" spans="1:6" ht="13">
      <c r="A3526" s="16"/>
      <c r="E3526" s="16"/>
      <c r="F3526" s="16"/>
    </row>
    <row r="3527" spans="1:6" ht="13">
      <c r="A3527" s="16"/>
      <c r="E3527" s="16"/>
      <c r="F3527" s="16"/>
    </row>
    <row r="3528" spans="1:6" ht="13">
      <c r="A3528" s="16"/>
      <c r="E3528" s="16"/>
      <c r="F3528" s="16"/>
    </row>
    <row r="3529" spans="1:6" ht="13">
      <c r="A3529" s="16"/>
      <c r="E3529" s="16"/>
      <c r="F3529" s="16"/>
    </row>
    <row r="3530" spans="1:6" ht="13">
      <c r="A3530" s="16"/>
      <c r="E3530" s="16"/>
      <c r="F3530" s="16"/>
    </row>
    <row r="3531" spans="1:6" ht="13">
      <c r="A3531" s="16"/>
      <c r="E3531" s="16"/>
      <c r="F3531" s="16"/>
    </row>
    <row r="3532" spans="1:6" ht="13">
      <c r="A3532" s="16"/>
      <c r="E3532" s="16"/>
      <c r="F3532" s="16"/>
    </row>
    <row r="3533" spans="1:6" ht="13">
      <c r="A3533" s="16"/>
      <c r="E3533" s="16"/>
      <c r="F3533" s="16"/>
    </row>
    <row r="3534" spans="1:6" ht="13">
      <c r="A3534" s="16"/>
      <c r="E3534" s="16"/>
      <c r="F3534" s="16"/>
    </row>
    <row r="3535" spans="1:6" ht="13">
      <c r="A3535" s="16"/>
      <c r="E3535" s="16"/>
      <c r="F3535" s="16"/>
    </row>
    <row r="3536" spans="1:6" ht="13">
      <c r="A3536" s="16"/>
      <c r="E3536" s="16"/>
      <c r="F3536" s="16"/>
    </row>
    <row r="3537" spans="1:6" ht="13">
      <c r="A3537" s="16"/>
      <c r="E3537" s="16"/>
      <c r="F3537" s="16"/>
    </row>
    <row r="3538" spans="1:6" ht="13">
      <c r="A3538" s="16"/>
      <c r="E3538" s="16"/>
      <c r="F3538" s="16"/>
    </row>
    <row r="3539" spans="1:6" ht="13">
      <c r="A3539" s="16"/>
      <c r="E3539" s="16"/>
      <c r="F3539" s="16"/>
    </row>
    <row r="3540" spans="1:6" ht="13">
      <c r="A3540" s="16"/>
      <c r="E3540" s="16"/>
      <c r="F3540" s="16"/>
    </row>
    <row r="3541" spans="1:6" ht="13">
      <c r="A3541" s="16"/>
      <c r="E3541" s="16"/>
      <c r="F3541" s="16"/>
    </row>
    <row r="3542" spans="1:6" ht="13">
      <c r="A3542" s="16"/>
      <c r="E3542" s="16"/>
      <c r="F3542" s="16"/>
    </row>
    <row r="3543" spans="1:6" ht="13">
      <c r="A3543" s="16"/>
      <c r="E3543" s="16"/>
      <c r="F3543" s="16"/>
    </row>
    <row r="3544" spans="1:6" ht="13">
      <c r="A3544" s="16"/>
      <c r="E3544" s="16"/>
      <c r="F3544" s="16"/>
    </row>
    <row r="3545" spans="1:6" ht="13">
      <c r="A3545" s="16"/>
      <c r="E3545" s="16"/>
      <c r="F3545" s="16"/>
    </row>
    <row r="3546" spans="1:6" ht="13">
      <c r="A3546" s="16"/>
      <c r="E3546" s="16"/>
      <c r="F3546" s="16"/>
    </row>
    <row r="3547" spans="1:6" ht="13">
      <c r="A3547" s="16"/>
      <c r="E3547" s="16"/>
      <c r="F3547" s="16"/>
    </row>
    <row r="3548" spans="1:6" ht="13">
      <c r="A3548" s="16"/>
      <c r="E3548" s="16"/>
      <c r="F3548" s="16"/>
    </row>
    <row r="3549" spans="1:6" ht="13">
      <c r="A3549" s="16"/>
      <c r="E3549" s="16"/>
      <c r="F3549" s="16"/>
    </row>
    <row r="3550" spans="1:6" ht="13">
      <c r="A3550" s="16"/>
      <c r="E3550" s="16"/>
      <c r="F3550" s="16"/>
    </row>
    <row r="3551" spans="1:6" ht="13">
      <c r="A3551" s="16"/>
      <c r="E3551" s="16"/>
      <c r="F3551" s="16"/>
    </row>
    <row r="3552" spans="1:6" ht="13">
      <c r="A3552" s="16"/>
      <c r="E3552" s="16"/>
      <c r="F3552" s="16"/>
    </row>
    <row r="3553" spans="1:6" ht="13">
      <c r="A3553" s="16"/>
      <c r="E3553" s="16"/>
      <c r="F3553" s="16"/>
    </row>
    <row r="3554" spans="1:6" ht="13">
      <c r="A3554" s="16"/>
      <c r="E3554" s="16"/>
      <c r="F3554" s="16"/>
    </row>
    <row r="3555" spans="1:6" ht="13">
      <c r="A3555" s="16"/>
      <c r="E3555" s="16"/>
      <c r="F3555" s="16"/>
    </row>
    <row r="3556" spans="1:6" ht="13">
      <c r="A3556" s="16"/>
      <c r="E3556" s="16"/>
      <c r="F3556" s="16"/>
    </row>
    <row r="3557" spans="1:6" ht="13">
      <c r="A3557" s="16"/>
      <c r="E3557" s="16"/>
      <c r="F3557" s="16"/>
    </row>
    <row r="3558" spans="1:6" ht="13">
      <c r="A3558" s="16"/>
      <c r="E3558" s="16"/>
      <c r="F3558" s="16"/>
    </row>
    <row r="3559" spans="1:6" ht="13">
      <c r="A3559" s="16"/>
      <c r="E3559" s="16"/>
      <c r="F3559" s="16"/>
    </row>
    <row r="3560" spans="1:6" ht="13">
      <c r="A3560" s="16"/>
      <c r="E3560" s="16"/>
      <c r="F3560" s="16"/>
    </row>
    <row r="3561" spans="1:6" ht="13">
      <c r="A3561" s="16"/>
      <c r="E3561" s="16"/>
      <c r="F3561" s="16"/>
    </row>
    <row r="3562" spans="1:6" ht="13">
      <c r="A3562" s="16"/>
      <c r="E3562" s="16"/>
      <c r="F3562" s="16"/>
    </row>
    <row r="3563" spans="1:6" ht="13">
      <c r="A3563" s="16"/>
      <c r="E3563" s="16"/>
      <c r="F3563" s="16"/>
    </row>
    <row r="3564" spans="1:6" ht="13">
      <c r="A3564" s="16"/>
      <c r="E3564" s="16"/>
      <c r="F3564" s="16"/>
    </row>
    <row r="3565" spans="1:6" ht="13">
      <c r="A3565" s="16"/>
      <c r="E3565" s="16"/>
      <c r="F3565" s="16"/>
    </row>
    <row r="3566" spans="1:6" ht="13">
      <c r="A3566" s="16"/>
      <c r="E3566" s="16"/>
      <c r="F3566" s="16"/>
    </row>
    <row r="3567" spans="1:6" ht="13">
      <c r="A3567" s="16"/>
      <c r="E3567" s="16"/>
      <c r="F3567" s="16"/>
    </row>
    <row r="3568" spans="1:6" ht="13">
      <c r="A3568" s="16"/>
      <c r="E3568" s="16"/>
      <c r="F3568" s="16"/>
    </row>
    <row r="3569" spans="1:6" ht="13">
      <c r="A3569" s="16"/>
      <c r="E3569" s="16"/>
      <c r="F3569" s="16"/>
    </row>
    <row r="3570" spans="1:6" ht="13">
      <c r="A3570" s="16"/>
      <c r="E3570" s="16"/>
      <c r="F3570" s="16"/>
    </row>
    <row r="3571" spans="1:6" ht="13">
      <c r="A3571" s="16"/>
      <c r="E3571" s="16"/>
      <c r="F3571" s="16"/>
    </row>
    <row r="3572" spans="1:6" ht="13">
      <c r="A3572" s="16"/>
      <c r="E3572" s="16"/>
      <c r="F3572" s="16"/>
    </row>
    <row r="3573" spans="1:6" ht="13">
      <c r="A3573" s="16"/>
      <c r="E3573" s="16"/>
      <c r="F3573" s="16"/>
    </row>
    <row r="3574" spans="1:6" ht="13">
      <c r="A3574" s="16"/>
      <c r="E3574" s="16"/>
      <c r="F3574" s="16"/>
    </row>
    <row r="3575" spans="1:6" ht="13">
      <c r="A3575" s="16"/>
      <c r="E3575" s="16"/>
      <c r="F3575" s="16"/>
    </row>
    <row r="3576" spans="1:6" ht="13">
      <c r="A3576" s="16"/>
      <c r="E3576" s="16"/>
      <c r="F3576" s="16"/>
    </row>
    <row r="3577" spans="1:6" ht="13">
      <c r="A3577" s="16"/>
      <c r="E3577" s="16"/>
      <c r="F3577" s="16"/>
    </row>
    <row r="3578" spans="1:6" ht="13">
      <c r="A3578" s="16"/>
      <c r="E3578" s="16"/>
      <c r="F3578" s="16"/>
    </row>
    <row r="3579" spans="1:6" ht="13">
      <c r="A3579" s="16"/>
      <c r="E3579" s="16"/>
      <c r="F3579" s="16"/>
    </row>
    <row r="3580" spans="1:6" ht="13">
      <c r="A3580" s="16"/>
      <c r="E3580" s="16"/>
      <c r="F3580" s="16"/>
    </row>
    <row r="3581" spans="1:6" ht="13">
      <c r="A3581" s="16"/>
      <c r="E3581" s="16"/>
      <c r="F3581" s="16"/>
    </row>
    <row r="3582" spans="1:6" ht="13">
      <c r="A3582" s="16"/>
      <c r="E3582" s="16"/>
      <c r="F3582" s="16"/>
    </row>
    <row r="3583" spans="1:6" ht="13">
      <c r="A3583" s="16"/>
      <c r="E3583" s="16"/>
      <c r="F3583" s="16"/>
    </row>
    <row r="3584" spans="1:6" ht="13">
      <c r="A3584" s="16"/>
      <c r="E3584" s="16"/>
      <c r="F3584" s="16"/>
    </row>
    <row r="3585" spans="1:6" ht="13">
      <c r="A3585" s="16"/>
      <c r="E3585" s="16"/>
      <c r="F3585" s="16"/>
    </row>
    <row r="3586" spans="1:6" ht="13">
      <c r="A3586" s="16"/>
      <c r="E3586" s="16"/>
      <c r="F3586" s="16"/>
    </row>
    <row r="3587" spans="1:6" ht="13">
      <c r="A3587" s="16"/>
      <c r="E3587" s="16"/>
      <c r="F3587" s="16"/>
    </row>
    <row r="3588" spans="1:6" ht="13">
      <c r="A3588" s="16"/>
      <c r="E3588" s="16"/>
      <c r="F3588" s="16"/>
    </row>
    <row r="3589" spans="1:6" ht="13">
      <c r="A3589" s="16"/>
      <c r="E3589" s="16"/>
      <c r="F3589" s="16"/>
    </row>
    <row r="3590" spans="1:6" ht="13">
      <c r="A3590" s="16"/>
      <c r="E3590" s="16"/>
      <c r="F3590" s="16"/>
    </row>
    <row r="3591" spans="1:6" ht="13">
      <c r="A3591" s="16"/>
      <c r="E3591" s="16"/>
      <c r="F3591" s="16"/>
    </row>
    <row r="3592" spans="1:6" ht="13">
      <c r="A3592" s="16"/>
      <c r="E3592" s="16"/>
      <c r="F3592" s="16"/>
    </row>
    <row r="3593" spans="1:6" ht="13">
      <c r="A3593" s="16"/>
      <c r="E3593" s="16"/>
      <c r="F3593" s="16"/>
    </row>
    <row r="3594" spans="1:6" ht="13">
      <c r="A3594" s="16"/>
      <c r="E3594" s="16"/>
      <c r="F3594" s="16"/>
    </row>
    <row r="3595" spans="1:6" ht="13">
      <c r="A3595" s="16"/>
      <c r="E3595" s="16"/>
      <c r="F3595" s="16"/>
    </row>
    <row r="3596" spans="1:6" ht="13">
      <c r="A3596" s="16"/>
      <c r="E3596" s="16"/>
      <c r="F3596" s="16"/>
    </row>
    <row r="3597" spans="1:6" ht="13">
      <c r="A3597" s="16"/>
      <c r="E3597" s="16"/>
      <c r="F3597" s="16"/>
    </row>
    <row r="3598" spans="1:6" ht="13">
      <c r="A3598" s="16"/>
      <c r="E3598" s="16"/>
      <c r="F3598" s="16"/>
    </row>
    <row r="3599" spans="1:6" ht="13">
      <c r="A3599" s="16"/>
      <c r="E3599" s="16"/>
      <c r="F3599" s="16"/>
    </row>
    <row r="3600" spans="1:6" ht="13">
      <c r="A3600" s="16"/>
      <c r="E3600" s="16"/>
      <c r="F3600" s="16"/>
    </row>
    <row r="3601" spans="1:6" ht="13">
      <c r="A3601" s="16"/>
      <c r="E3601" s="16"/>
      <c r="F3601" s="16"/>
    </row>
    <row r="3602" spans="1:6" ht="13">
      <c r="A3602" s="16"/>
      <c r="E3602" s="16"/>
      <c r="F3602" s="16"/>
    </row>
    <row r="3603" spans="1:6" ht="13">
      <c r="A3603" s="16"/>
      <c r="E3603" s="16"/>
      <c r="F3603" s="16"/>
    </row>
    <row r="3604" spans="1:6" ht="13">
      <c r="A3604" s="16"/>
      <c r="E3604" s="16"/>
      <c r="F3604" s="16"/>
    </row>
    <row r="3605" spans="1:6" ht="13">
      <c r="A3605" s="16"/>
      <c r="E3605" s="16"/>
      <c r="F3605" s="16"/>
    </row>
    <row r="3606" spans="1:6" ht="13">
      <c r="A3606" s="16"/>
      <c r="E3606" s="16"/>
      <c r="F3606" s="16"/>
    </row>
    <row r="3607" spans="1:6" ht="13">
      <c r="A3607" s="16"/>
      <c r="E3607" s="16"/>
      <c r="F3607" s="16"/>
    </row>
    <row r="3608" spans="1:6" ht="13">
      <c r="A3608" s="16"/>
      <c r="E3608" s="16"/>
      <c r="F3608" s="16"/>
    </row>
    <row r="3609" spans="1:6" ht="13">
      <c r="A3609" s="16"/>
      <c r="E3609" s="16"/>
      <c r="F3609" s="16"/>
    </row>
    <row r="3610" spans="1:6" ht="13">
      <c r="A3610" s="16"/>
      <c r="E3610" s="16"/>
      <c r="F3610" s="16"/>
    </row>
    <row r="3611" spans="1:6" ht="13">
      <c r="A3611" s="16"/>
      <c r="E3611" s="16"/>
      <c r="F3611" s="16"/>
    </row>
    <row r="3612" spans="1:6" ht="13">
      <c r="A3612" s="16"/>
      <c r="E3612" s="16"/>
      <c r="F3612" s="16"/>
    </row>
    <row r="3613" spans="1:6" ht="13">
      <c r="A3613" s="16"/>
      <c r="E3613" s="16"/>
      <c r="F3613" s="16"/>
    </row>
    <row r="3614" spans="1:6" ht="13">
      <c r="A3614" s="16"/>
      <c r="E3614" s="16"/>
      <c r="F3614" s="16"/>
    </row>
    <row r="3615" spans="1:6" ht="13">
      <c r="A3615" s="16"/>
      <c r="E3615" s="16"/>
      <c r="F3615" s="16"/>
    </row>
    <row r="3616" spans="1:6" ht="13">
      <c r="A3616" s="16"/>
      <c r="E3616" s="16"/>
      <c r="F3616" s="16"/>
    </row>
    <row r="3617" spans="1:6" ht="13">
      <c r="A3617" s="16"/>
      <c r="E3617" s="16"/>
      <c r="F3617" s="16"/>
    </row>
    <row r="3618" spans="1:6" ht="13">
      <c r="A3618" s="16"/>
      <c r="E3618" s="16"/>
      <c r="F3618" s="16"/>
    </row>
    <row r="3619" spans="1:6" ht="13">
      <c r="A3619" s="16"/>
      <c r="E3619" s="16"/>
      <c r="F3619" s="16"/>
    </row>
    <row r="3620" spans="1:6" ht="13">
      <c r="A3620" s="16"/>
      <c r="E3620" s="16"/>
      <c r="F3620" s="16"/>
    </row>
    <row r="3621" spans="1:6" ht="13">
      <c r="A3621" s="16"/>
      <c r="E3621" s="16"/>
      <c r="F3621" s="16"/>
    </row>
    <row r="3622" spans="1:6" ht="13">
      <c r="A3622" s="16"/>
      <c r="E3622" s="16"/>
      <c r="F3622" s="16"/>
    </row>
    <row r="3623" spans="1:6" ht="13">
      <c r="A3623" s="16"/>
      <c r="E3623" s="16"/>
      <c r="F3623" s="16"/>
    </row>
    <row r="3624" spans="1:6" ht="13">
      <c r="A3624" s="16"/>
      <c r="E3624" s="16"/>
      <c r="F3624" s="16"/>
    </row>
    <row r="3625" spans="1:6" ht="13">
      <c r="A3625" s="16"/>
      <c r="E3625" s="16"/>
      <c r="F3625" s="16"/>
    </row>
    <row r="3626" spans="1:6" ht="13">
      <c r="A3626" s="16"/>
      <c r="E3626" s="16"/>
      <c r="F3626" s="16"/>
    </row>
    <row r="3627" spans="1:6" ht="13">
      <c r="A3627" s="16"/>
      <c r="E3627" s="16"/>
      <c r="F3627" s="16"/>
    </row>
    <row r="3628" spans="1:6" ht="13">
      <c r="A3628" s="16"/>
      <c r="E3628" s="16"/>
      <c r="F3628" s="16"/>
    </row>
    <row r="3629" spans="1:6" ht="13">
      <c r="A3629" s="16"/>
      <c r="E3629" s="16"/>
      <c r="F3629" s="16"/>
    </row>
    <row r="3630" spans="1:6" ht="13">
      <c r="A3630" s="16"/>
      <c r="E3630" s="16"/>
      <c r="F3630" s="16"/>
    </row>
    <row r="3631" spans="1:6" ht="13">
      <c r="A3631" s="16"/>
      <c r="E3631" s="16"/>
      <c r="F3631" s="16"/>
    </row>
    <row r="3632" spans="1:6" ht="13">
      <c r="A3632" s="16"/>
      <c r="E3632" s="16"/>
      <c r="F3632" s="16"/>
    </row>
    <row r="3633" spans="1:6" ht="13">
      <c r="A3633" s="16"/>
      <c r="E3633" s="16"/>
      <c r="F3633" s="16"/>
    </row>
    <row r="3634" spans="1:6" ht="13">
      <c r="A3634" s="16"/>
      <c r="E3634" s="16"/>
      <c r="F3634" s="16"/>
    </row>
    <row r="3635" spans="1:6" ht="13">
      <c r="A3635" s="16"/>
      <c r="E3635" s="16"/>
      <c r="F3635" s="16"/>
    </row>
    <row r="3636" spans="1:6" ht="13">
      <c r="A3636" s="16"/>
      <c r="E3636" s="16"/>
      <c r="F3636" s="16"/>
    </row>
    <row r="3637" spans="1:6" ht="13">
      <c r="A3637" s="16"/>
      <c r="E3637" s="16"/>
      <c r="F3637" s="16"/>
    </row>
    <row r="3638" spans="1:6" ht="13">
      <c r="A3638" s="16"/>
      <c r="E3638" s="16"/>
      <c r="F3638" s="16"/>
    </row>
    <row r="3639" spans="1:6" ht="13">
      <c r="A3639" s="16"/>
      <c r="E3639" s="16"/>
      <c r="F3639" s="16"/>
    </row>
    <row r="3640" spans="1:6" ht="13">
      <c r="A3640" s="16"/>
      <c r="E3640" s="16"/>
      <c r="F3640" s="16"/>
    </row>
    <row r="3641" spans="1:6" ht="13">
      <c r="A3641" s="16"/>
      <c r="E3641" s="16"/>
      <c r="F3641" s="16"/>
    </row>
    <row r="3642" spans="1:6" ht="13">
      <c r="A3642" s="16"/>
      <c r="E3642" s="16"/>
      <c r="F3642" s="16"/>
    </row>
    <row r="3643" spans="1:6" ht="13">
      <c r="A3643" s="16"/>
      <c r="E3643" s="16"/>
      <c r="F3643" s="16"/>
    </row>
    <row r="3644" spans="1:6" ht="13">
      <c r="A3644" s="16"/>
      <c r="E3644" s="16"/>
      <c r="F3644" s="16"/>
    </row>
    <row r="3645" spans="1:6" ht="13">
      <c r="A3645" s="16"/>
      <c r="E3645" s="16"/>
      <c r="F3645" s="16"/>
    </row>
    <row r="3646" spans="1:6" ht="13">
      <c r="A3646" s="16"/>
      <c r="E3646" s="16"/>
      <c r="F3646" s="16"/>
    </row>
    <row r="3647" spans="1:6" ht="13">
      <c r="A3647" s="16"/>
      <c r="E3647" s="16"/>
      <c r="F3647" s="16"/>
    </row>
    <row r="3648" spans="1:6" ht="13">
      <c r="A3648" s="16"/>
      <c r="E3648" s="16"/>
      <c r="F3648" s="16"/>
    </row>
    <row r="3649" spans="1:6" ht="13">
      <c r="A3649" s="16"/>
      <c r="E3649" s="16"/>
      <c r="F3649" s="16"/>
    </row>
    <row r="3650" spans="1:6" ht="13">
      <c r="A3650" s="16"/>
      <c r="E3650" s="16"/>
      <c r="F3650" s="16"/>
    </row>
    <row r="3651" spans="1:6" ht="13">
      <c r="A3651" s="16"/>
      <c r="E3651" s="16"/>
      <c r="F3651" s="16"/>
    </row>
    <row r="3652" spans="1:6" ht="13">
      <c r="A3652" s="16"/>
      <c r="E3652" s="16"/>
      <c r="F3652" s="16"/>
    </row>
    <row r="3653" spans="1:6" ht="13">
      <c r="A3653" s="16"/>
      <c r="E3653" s="16"/>
      <c r="F3653" s="16"/>
    </row>
    <row r="3654" spans="1:6" ht="13">
      <c r="A3654" s="16"/>
      <c r="E3654" s="16"/>
      <c r="F3654" s="16"/>
    </row>
    <row r="3655" spans="1:6" ht="13">
      <c r="A3655" s="16"/>
      <c r="E3655" s="16"/>
      <c r="F3655" s="16"/>
    </row>
    <row r="3656" spans="1:6" ht="13">
      <c r="A3656" s="16"/>
      <c r="E3656" s="16"/>
      <c r="F3656" s="16"/>
    </row>
    <row r="3657" spans="1:6" ht="13">
      <c r="A3657" s="16"/>
      <c r="E3657" s="16"/>
      <c r="F3657" s="16"/>
    </row>
    <row r="3658" spans="1:6" ht="13">
      <c r="A3658" s="16"/>
      <c r="E3658" s="16"/>
      <c r="F3658" s="16"/>
    </row>
    <row r="3659" spans="1:6" ht="13">
      <c r="A3659" s="16"/>
      <c r="E3659" s="16"/>
      <c r="F3659" s="16"/>
    </row>
    <row r="3660" spans="1:6" ht="13">
      <c r="A3660" s="16"/>
      <c r="E3660" s="16"/>
      <c r="F3660" s="16"/>
    </row>
    <row r="3661" spans="1:6" ht="13">
      <c r="A3661" s="16"/>
      <c r="E3661" s="16"/>
      <c r="F3661" s="16"/>
    </row>
    <row r="3662" spans="1:6" ht="13">
      <c r="A3662" s="16"/>
      <c r="E3662" s="16"/>
      <c r="F3662" s="16"/>
    </row>
    <row r="3663" spans="1:6" ht="13">
      <c r="A3663" s="16"/>
      <c r="E3663" s="16"/>
      <c r="F3663" s="16"/>
    </row>
    <row r="3664" spans="1:6" ht="13">
      <c r="A3664" s="16"/>
      <c r="E3664" s="16"/>
      <c r="F3664" s="16"/>
    </row>
    <row r="3665" spans="1:6" ht="13">
      <c r="A3665" s="16"/>
      <c r="E3665" s="16"/>
      <c r="F3665" s="16"/>
    </row>
    <row r="3666" spans="1:6" ht="13">
      <c r="A3666" s="16"/>
      <c r="E3666" s="16"/>
      <c r="F3666" s="16"/>
    </row>
    <row r="3667" spans="1:6" ht="13">
      <c r="A3667" s="16"/>
      <c r="E3667" s="16"/>
      <c r="F3667" s="16"/>
    </row>
    <row r="3668" spans="1:6" ht="13">
      <c r="A3668" s="16"/>
      <c r="E3668" s="16"/>
      <c r="F3668" s="16"/>
    </row>
    <row r="3669" spans="1:6" ht="13">
      <c r="A3669" s="16"/>
      <c r="E3669" s="16"/>
      <c r="F3669" s="16"/>
    </row>
    <row r="3670" spans="1:6" ht="13">
      <c r="A3670" s="16"/>
      <c r="E3670" s="16"/>
      <c r="F3670" s="16"/>
    </row>
    <row r="3671" spans="1:6" ht="13">
      <c r="A3671" s="16"/>
      <c r="E3671" s="16"/>
      <c r="F3671" s="16"/>
    </row>
    <row r="3672" spans="1:6" ht="13">
      <c r="A3672" s="16"/>
      <c r="E3672" s="16"/>
      <c r="F3672" s="16"/>
    </row>
    <row r="3673" spans="1:6" ht="13">
      <c r="A3673" s="16"/>
      <c r="E3673" s="16"/>
      <c r="F3673" s="16"/>
    </row>
    <row r="3674" spans="1:6" ht="13">
      <c r="A3674" s="16"/>
      <c r="E3674" s="16"/>
      <c r="F3674" s="16"/>
    </row>
    <row r="3675" spans="1:6" ht="13">
      <c r="A3675" s="16"/>
      <c r="E3675" s="16"/>
      <c r="F3675" s="16"/>
    </row>
    <row r="3676" spans="1:6" ht="13">
      <c r="A3676" s="16"/>
      <c r="E3676" s="16"/>
      <c r="F3676" s="16"/>
    </row>
    <row r="3677" spans="1:6" ht="13">
      <c r="A3677" s="16"/>
      <c r="E3677" s="16"/>
      <c r="F3677" s="16"/>
    </row>
    <row r="3678" spans="1:6" ht="13">
      <c r="A3678" s="16"/>
      <c r="E3678" s="16"/>
      <c r="F3678" s="16"/>
    </row>
    <row r="3679" spans="1:6" ht="13">
      <c r="A3679" s="16"/>
      <c r="E3679" s="16"/>
      <c r="F3679" s="16"/>
    </row>
    <row r="3680" spans="1:6" ht="13">
      <c r="A3680" s="16"/>
      <c r="E3680" s="16"/>
      <c r="F3680" s="16"/>
    </row>
    <row r="3681" spans="1:6" ht="13">
      <c r="A3681" s="16"/>
      <c r="E3681" s="16"/>
      <c r="F3681" s="16"/>
    </row>
    <row r="3682" spans="1:6" ht="13">
      <c r="A3682" s="16"/>
      <c r="E3682" s="16"/>
      <c r="F3682" s="16"/>
    </row>
    <row r="3683" spans="1:6" ht="13">
      <c r="A3683" s="16"/>
      <c r="E3683" s="16"/>
      <c r="F3683" s="16"/>
    </row>
    <row r="3684" spans="1:6" ht="13">
      <c r="A3684" s="16"/>
      <c r="E3684" s="16"/>
      <c r="F3684" s="16"/>
    </row>
    <row r="3685" spans="1:6" ht="13">
      <c r="A3685" s="16"/>
      <c r="E3685" s="16"/>
      <c r="F3685" s="16"/>
    </row>
    <row r="3686" spans="1:6" ht="13">
      <c r="A3686" s="16"/>
      <c r="E3686" s="16"/>
      <c r="F3686" s="16"/>
    </row>
    <row r="3687" spans="1:6" ht="13">
      <c r="A3687" s="16"/>
      <c r="E3687" s="16"/>
      <c r="F3687" s="16"/>
    </row>
    <row r="3688" spans="1:6" ht="13">
      <c r="A3688" s="16"/>
      <c r="E3688" s="16"/>
      <c r="F3688" s="16"/>
    </row>
    <row r="3689" spans="1:6" ht="13">
      <c r="A3689" s="16"/>
      <c r="E3689" s="16"/>
      <c r="F3689" s="16"/>
    </row>
    <row r="3690" spans="1:6" ht="13">
      <c r="A3690" s="16"/>
      <c r="E3690" s="16"/>
      <c r="F3690" s="16"/>
    </row>
    <row r="3691" spans="1:6" ht="13">
      <c r="A3691" s="16"/>
      <c r="E3691" s="16"/>
      <c r="F3691" s="16"/>
    </row>
    <row r="3692" spans="1:6" ht="13">
      <c r="A3692" s="16"/>
      <c r="E3692" s="16"/>
      <c r="F3692" s="16"/>
    </row>
    <row r="3693" spans="1:6" ht="13">
      <c r="A3693" s="16"/>
      <c r="E3693" s="16"/>
      <c r="F3693" s="16"/>
    </row>
    <row r="3694" spans="1:6" ht="13">
      <c r="A3694" s="16"/>
      <c r="E3694" s="16"/>
      <c r="F3694" s="16"/>
    </row>
    <row r="3695" spans="1:6" ht="13">
      <c r="A3695" s="16"/>
      <c r="E3695" s="16"/>
      <c r="F3695" s="16"/>
    </row>
    <row r="3696" spans="1:6" ht="13">
      <c r="A3696" s="16"/>
      <c r="E3696" s="16"/>
      <c r="F3696" s="16"/>
    </row>
    <row r="3697" spans="1:6" ht="13">
      <c r="A3697" s="16"/>
      <c r="E3697" s="16"/>
      <c r="F3697" s="16"/>
    </row>
    <row r="3698" spans="1:6" ht="13">
      <c r="A3698" s="16"/>
      <c r="E3698" s="16"/>
      <c r="F3698" s="16"/>
    </row>
    <row r="3699" spans="1:6" ht="13">
      <c r="A3699" s="16"/>
      <c r="E3699" s="16"/>
      <c r="F3699" s="16"/>
    </row>
    <row r="3700" spans="1:6" ht="13">
      <c r="A3700" s="16"/>
      <c r="E3700" s="16"/>
      <c r="F3700" s="16"/>
    </row>
    <row r="3701" spans="1:6" ht="13">
      <c r="A3701" s="16"/>
      <c r="E3701" s="16"/>
      <c r="F3701" s="16"/>
    </row>
    <row r="3702" spans="1:6" ht="13">
      <c r="A3702" s="16"/>
      <c r="E3702" s="16"/>
      <c r="F3702" s="16"/>
    </row>
    <row r="3703" spans="1:6" ht="13">
      <c r="A3703" s="16"/>
      <c r="E3703" s="16"/>
      <c r="F3703" s="16"/>
    </row>
    <row r="3704" spans="1:6" ht="13">
      <c r="A3704" s="16"/>
      <c r="E3704" s="16"/>
      <c r="F3704" s="16"/>
    </row>
    <row r="3705" spans="1:6" ht="13">
      <c r="A3705" s="16"/>
      <c r="E3705" s="16"/>
      <c r="F3705" s="16"/>
    </row>
    <row r="3706" spans="1:6" ht="13">
      <c r="A3706" s="16"/>
      <c r="E3706" s="16"/>
      <c r="F3706" s="16"/>
    </row>
    <row r="3707" spans="1:6" ht="13">
      <c r="A3707" s="16"/>
      <c r="E3707" s="16"/>
      <c r="F3707" s="16"/>
    </row>
    <row r="3708" spans="1:6" ht="13">
      <c r="A3708" s="16"/>
      <c r="E3708" s="16"/>
      <c r="F3708" s="16"/>
    </row>
    <row r="3709" spans="1:6" ht="13">
      <c r="A3709" s="16"/>
      <c r="E3709" s="16"/>
      <c r="F3709" s="16"/>
    </row>
    <row r="3710" spans="1:6" ht="13">
      <c r="A3710" s="16"/>
      <c r="E3710" s="16"/>
      <c r="F3710" s="16"/>
    </row>
    <row r="3711" spans="1:6" ht="13">
      <c r="A3711" s="16"/>
      <c r="E3711" s="16"/>
      <c r="F3711" s="16"/>
    </row>
    <row r="3712" spans="1:6" ht="13">
      <c r="A3712" s="16"/>
      <c r="E3712" s="16"/>
      <c r="F3712" s="16"/>
    </row>
    <row r="3713" spans="1:6" ht="13">
      <c r="A3713" s="16"/>
      <c r="E3713" s="16"/>
      <c r="F3713" s="16"/>
    </row>
    <row r="3714" spans="1:6" ht="13">
      <c r="A3714" s="16"/>
      <c r="E3714" s="16"/>
      <c r="F3714" s="16"/>
    </row>
    <row r="3715" spans="1:6" ht="13">
      <c r="A3715" s="16"/>
      <c r="E3715" s="16"/>
      <c r="F3715" s="16"/>
    </row>
    <row r="3716" spans="1:6" ht="13">
      <c r="A3716" s="16"/>
      <c r="E3716" s="16"/>
      <c r="F3716" s="16"/>
    </row>
    <row r="3717" spans="1:6" ht="13">
      <c r="A3717" s="16"/>
      <c r="E3717" s="16"/>
      <c r="F3717" s="16"/>
    </row>
    <row r="3718" spans="1:6" ht="13">
      <c r="A3718" s="16"/>
      <c r="E3718" s="16"/>
      <c r="F3718" s="16"/>
    </row>
    <row r="3719" spans="1:6" ht="13">
      <c r="A3719" s="16"/>
      <c r="E3719" s="16"/>
      <c r="F3719" s="16"/>
    </row>
    <row r="3720" spans="1:6" ht="13">
      <c r="A3720" s="16"/>
      <c r="E3720" s="16"/>
      <c r="F3720" s="16"/>
    </row>
    <row r="3721" spans="1:6" ht="13">
      <c r="A3721" s="16"/>
      <c r="E3721" s="16"/>
      <c r="F3721" s="16"/>
    </row>
    <row r="3722" spans="1:6" ht="13">
      <c r="A3722" s="16"/>
      <c r="E3722" s="16"/>
      <c r="F3722" s="16"/>
    </row>
    <row r="3723" spans="1:6" ht="13">
      <c r="A3723" s="16"/>
      <c r="E3723" s="16"/>
      <c r="F3723" s="16"/>
    </row>
    <row r="3724" spans="1:6" ht="13">
      <c r="A3724" s="16"/>
      <c r="E3724" s="16"/>
      <c r="F3724" s="16"/>
    </row>
    <row r="3725" spans="1:6" ht="13">
      <c r="A3725" s="16"/>
      <c r="E3725" s="16"/>
      <c r="F3725" s="16"/>
    </row>
    <row r="3726" spans="1:6" ht="13">
      <c r="A3726" s="16"/>
      <c r="E3726" s="16"/>
      <c r="F3726" s="16"/>
    </row>
    <row r="3727" spans="1:6" ht="13">
      <c r="A3727" s="16"/>
      <c r="E3727" s="16"/>
      <c r="F3727" s="16"/>
    </row>
    <row r="3728" spans="1:6" ht="13">
      <c r="A3728" s="16"/>
      <c r="E3728" s="16"/>
      <c r="F3728" s="16"/>
    </row>
    <row r="3729" spans="1:6" ht="13">
      <c r="A3729" s="16"/>
      <c r="E3729" s="16"/>
      <c r="F3729" s="16"/>
    </row>
    <row r="3730" spans="1:6" ht="13">
      <c r="A3730" s="16"/>
      <c r="E3730" s="16"/>
      <c r="F3730" s="16"/>
    </row>
    <row r="3731" spans="1:6" ht="13">
      <c r="A3731" s="16"/>
      <c r="E3731" s="16"/>
      <c r="F3731" s="16"/>
    </row>
    <row r="3732" spans="1:6" ht="13">
      <c r="A3732" s="16"/>
      <c r="E3732" s="16"/>
      <c r="F3732" s="16"/>
    </row>
    <row r="3733" spans="1:6" ht="13">
      <c r="A3733" s="16"/>
      <c r="E3733" s="16"/>
      <c r="F3733" s="16"/>
    </row>
    <row r="3734" spans="1:6" ht="13">
      <c r="A3734" s="16"/>
      <c r="E3734" s="16"/>
      <c r="F3734" s="16"/>
    </row>
    <row r="3735" spans="1:6" ht="13">
      <c r="A3735" s="16"/>
      <c r="E3735" s="16"/>
      <c r="F3735" s="16"/>
    </row>
    <row r="3736" spans="1:6" ht="13">
      <c r="A3736" s="16"/>
      <c r="E3736" s="16"/>
      <c r="F3736" s="16"/>
    </row>
    <row r="3737" spans="1:6" ht="13">
      <c r="A3737" s="16"/>
      <c r="E3737" s="16"/>
      <c r="F3737" s="16"/>
    </row>
    <row r="3738" spans="1:6" ht="13">
      <c r="A3738" s="16"/>
      <c r="E3738" s="16"/>
      <c r="F3738" s="16"/>
    </row>
    <row r="3739" spans="1:6" ht="13">
      <c r="A3739" s="16"/>
      <c r="E3739" s="16"/>
      <c r="F3739" s="16"/>
    </row>
    <row r="3740" spans="1:6" ht="13">
      <c r="A3740" s="16"/>
      <c r="E3740" s="16"/>
      <c r="F3740" s="16"/>
    </row>
    <row r="3741" spans="1:6" ht="13">
      <c r="A3741" s="16"/>
      <c r="E3741" s="16"/>
      <c r="F3741" s="16"/>
    </row>
    <row r="3742" spans="1:6" ht="13">
      <c r="A3742" s="16"/>
      <c r="E3742" s="16"/>
      <c r="F3742" s="16"/>
    </row>
    <row r="3743" spans="1:6" ht="13">
      <c r="A3743" s="16"/>
      <c r="E3743" s="16"/>
      <c r="F3743" s="16"/>
    </row>
    <row r="3744" spans="1:6" ht="13">
      <c r="A3744" s="16"/>
      <c r="E3744" s="16"/>
      <c r="F3744" s="16"/>
    </row>
    <row r="3745" spans="1:6" ht="13">
      <c r="A3745" s="16"/>
      <c r="E3745" s="16"/>
      <c r="F3745" s="16"/>
    </row>
    <row r="3746" spans="1:6" ht="13">
      <c r="A3746" s="16"/>
      <c r="E3746" s="16"/>
      <c r="F3746" s="16"/>
    </row>
    <row r="3747" spans="1:6" ht="13">
      <c r="A3747" s="16"/>
      <c r="E3747" s="16"/>
      <c r="F3747" s="16"/>
    </row>
    <row r="3748" spans="1:6" ht="13">
      <c r="A3748" s="16"/>
      <c r="E3748" s="16"/>
      <c r="F3748" s="16"/>
    </row>
    <row r="3749" spans="1:6" ht="13">
      <c r="A3749" s="16"/>
      <c r="E3749" s="16"/>
      <c r="F3749" s="16"/>
    </row>
    <row r="3750" spans="1:6" ht="13">
      <c r="A3750" s="16"/>
      <c r="E3750" s="16"/>
      <c r="F3750" s="16"/>
    </row>
    <row r="3751" spans="1:6" ht="13">
      <c r="A3751" s="16"/>
      <c r="E3751" s="16"/>
      <c r="F3751" s="16"/>
    </row>
    <row r="3752" spans="1:6" ht="13">
      <c r="A3752" s="16"/>
      <c r="E3752" s="16"/>
      <c r="F3752" s="16"/>
    </row>
    <row r="3753" spans="1:6" ht="13">
      <c r="A3753" s="16"/>
      <c r="E3753" s="16"/>
      <c r="F3753" s="16"/>
    </row>
    <row r="3754" spans="1:6" ht="13">
      <c r="A3754" s="16"/>
      <c r="E3754" s="16"/>
      <c r="F3754" s="16"/>
    </row>
    <row r="3755" spans="1:6" ht="13">
      <c r="A3755" s="16"/>
      <c r="E3755" s="16"/>
      <c r="F3755" s="16"/>
    </row>
    <row r="3756" spans="1:6" ht="13">
      <c r="A3756" s="16"/>
      <c r="E3756" s="16"/>
      <c r="F3756" s="16"/>
    </row>
    <row r="3757" spans="1:6" ht="13">
      <c r="A3757" s="16"/>
      <c r="E3757" s="16"/>
      <c r="F3757" s="16"/>
    </row>
    <row r="3758" spans="1:6" ht="13">
      <c r="A3758" s="16"/>
      <c r="E3758" s="16"/>
      <c r="F3758" s="16"/>
    </row>
    <row r="3759" spans="1:6" ht="13">
      <c r="A3759" s="16"/>
      <c r="E3759" s="16"/>
      <c r="F3759" s="16"/>
    </row>
    <row r="3760" spans="1:6" ht="13">
      <c r="A3760" s="16"/>
      <c r="E3760" s="16"/>
      <c r="F3760" s="16"/>
    </row>
    <row r="3761" spans="1:6" ht="13">
      <c r="A3761" s="16"/>
      <c r="E3761" s="16"/>
      <c r="F3761" s="16"/>
    </row>
    <row r="3762" spans="1:6" ht="13">
      <c r="A3762" s="16"/>
      <c r="E3762" s="16"/>
      <c r="F3762" s="16"/>
    </row>
    <row r="3763" spans="1:6" ht="13">
      <c r="A3763" s="16"/>
      <c r="E3763" s="16"/>
      <c r="F3763" s="16"/>
    </row>
    <row r="3764" spans="1:6" ht="13">
      <c r="A3764" s="16"/>
      <c r="E3764" s="16"/>
      <c r="F3764" s="16"/>
    </row>
    <row r="3765" spans="1:6" ht="13">
      <c r="A3765" s="16"/>
      <c r="E3765" s="16"/>
      <c r="F3765" s="16"/>
    </row>
    <row r="3766" spans="1:6" ht="13">
      <c r="A3766" s="16"/>
      <c r="E3766" s="16"/>
      <c r="F3766" s="16"/>
    </row>
    <row r="3767" spans="1:6" ht="13">
      <c r="A3767" s="16"/>
      <c r="E3767" s="16"/>
      <c r="F3767" s="16"/>
    </row>
    <row r="3768" spans="1:6" ht="13">
      <c r="A3768" s="16"/>
      <c r="E3768" s="16"/>
      <c r="F3768" s="16"/>
    </row>
    <row r="3769" spans="1:6" ht="13">
      <c r="A3769" s="16"/>
      <c r="E3769" s="16"/>
      <c r="F3769" s="16"/>
    </row>
    <row r="3770" spans="1:6" ht="13">
      <c r="A3770" s="16"/>
      <c r="E3770" s="16"/>
      <c r="F3770" s="16"/>
    </row>
    <row r="3771" spans="1:6" ht="13">
      <c r="A3771" s="16"/>
      <c r="E3771" s="16"/>
      <c r="F3771" s="16"/>
    </row>
    <row r="3772" spans="1:6" ht="13">
      <c r="A3772" s="16"/>
      <c r="E3772" s="16"/>
      <c r="F3772" s="16"/>
    </row>
    <row r="3773" spans="1:6" ht="13">
      <c r="A3773" s="16"/>
      <c r="E3773" s="16"/>
      <c r="F3773" s="16"/>
    </row>
    <row r="3774" spans="1:6" ht="13">
      <c r="A3774" s="16"/>
      <c r="E3774" s="16"/>
      <c r="F3774" s="16"/>
    </row>
    <row r="3775" spans="1:6" ht="13">
      <c r="A3775" s="16"/>
      <c r="E3775" s="16"/>
      <c r="F3775" s="16"/>
    </row>
    <row r="3776" spans="1:6" ht="13">
      <c r="A3776" s="16"/>
      <c r="E3776" s="16"/>
      <c r="F3776" s="16"/>
    </row>
    <row r="3777" spans="1:6" ht="13">
      <c r="A3777" s="16"/>
      <c r="E3777" s="16"/>
      <c r="F3777" s="16"/>
    </row>
    <row r="3778" spans="1:6" ht="13">
      <c r="A3778" s="16"/>
      <c r="E3778" s="16"/>
      <c r="F3778" s="16"/>
    </row>
    <row r="3779" spans="1:6" ht="13">
      <c r="A3779" s="16"/>
      <c r="E3779" s="16"/>
      <c r="F3779" s="16"/>
    </row>
    <row r="3780" spans="1:6" ht="13">
      <c r="A3780" s="16"/>
      <c r="E3780" s="16"/>
      <c r="F3780" s="16"/>
    </row>
    <row r="3781" spans="1:6" ht="13">
      <c r="A3781" s="16"/>
      <c r="E3781" s="16"/>
      <c r="F3781" s="16"/>
    </row>
    <row r="3782" spans="1:6" ht="13">
      <c r="A3782" s="16"/>
      <c r="E3782" s="16"/>
      <c r="F3782" s="16"/>
    </row>
    <row r="3783" spans="1:6" ht="13">
      <c r="A3783" s="16"/>
      <c r="E3783" s="16"/>
      <c r="F3783" s="16"/>
    </row>
    <row r="3784" spans="1:6" ht="13">
      <c r="A3784" s="16"/>
      <c r="E3784" s="16"/>
      <c r="F3784" s="16"/>
    </row>
    <row r="3785" spans="1:6" ht="13">
      <c r="A3785" s="16"/>
      <c r="E3785" s="16"/>
      <c r="F3785" s="16"/>
    </row>
    <row r="3786" spans="1:6" ht="13">
      <c r="A3786" s="16"/>
      <c r="E3786" s="16"/>
      <c r="F3786" s="16"/>
    </row>
    <row r="3787" spans="1:6" ht="13">
      <c r="A3787" s="16"/>
      <c r="E3787" s="16"/>
      <c r="F3787" s="16"/>
    </row>
    <row r="3788" spans="1:6" ht="13">
      <c r="A3788" s="16"/>
      <c r="E3788" s="16"/>
      <c r="F3788" s="16"/>
    </row>
    <row r="3789" spans="1:6" ht="13">
      <c r="A3789" s="16"/>
      <c r="E3789" s="16"/>
      <c r="F3789" s="16"/>
    </row>
    <row r="3790" spans="1:6" ht="13">
      <c r="A3790" s="16"/>
      <c r="E3790" s="16"/>
      <c r="F3790" s="16"/>
    </row>
    <row r="3791" spans="1:6" ht="13">
      <c r="A3791" s="16"/>
      <c r="E3791" s="16"/>
      <c r="F3791" s="16"/>
    </row>
    <row r="3792" spans="1:6" ht="13">
      <c r="A3792" s="16"/>
      <c r="E3792" s="16"/>
      <c r="F3792" s="16"/>
    </row>
    <row r="3793" spans="1:6" ht="13">
      <c r="A3793" s="16"/>
      <c r="E3793" s="16"/>
      <c r="F3793" s="16"/>
    </row>
    <row r="3794" spans="1:6" ht="13">
      <c r="A3794" s="16"/>
      <c r="E3794" s="16"/>
      <c r="F3794" s="16"/>
    </row>
    <row r="3795" spans="1:6" ht="13">
      <c r="A3795" s="16"/>
      <c r="E3795" s="16"/>
      <c r="F3795" s="16"/>
    </row>
    <row r="3796" spans="1:6" ht="13">
      <c r="A3796" s="16"/>
      <c r="E3796" s="16"/>
      <c r="F3796" s="16"/>
    </row>
    <row r="3797" spans="1:6" ht="13">
      <c r="A3797" s="16"/>
      <c r="E3797" s="16"/>
      <c r="F3797" s="16"/>
    </row>
    <row r="3798" spans="1:6" ht="13">
      <c r="A3798" s="16"/>
      <c r="E3798" s="16"/>
      <c r="F3798" s="16"/>
    </row>
    <row r="3799" spans="1:6" ht="13">
      <c r="A3799" s="16"/>
      <c r="E3799" s="16"/>
      <c r="F3799" s="16"/>
    </row>
    <row r="3800" spans="1:6" ht="13">
      <c r="A3800" s="16"/>
      <c r="E3800" s="16"/>
      <c r="F3800" s="16"/>
    </row>
    <row r="3801" spans="1:6" ht="13">
      <c r="A3801" s="16"/>
      <c r="E3801" s="16"/>
      <c r="F3801" s="16"/>
    </row>
    <row r="3802" spans="1:6" ht="13">
      <c r="A3802" s="16"/>
      <c r="E3802" s="16"/>
      <c r="F3802" s="16"/>
    </row>
    <row r="3803" spans="1:6" ht="13">
      <c r="A3803" s="16"/>
      <c r="E3803" s="16"/>
      <c r="F3803" s="16"/>
    </row>
    <row r="3804" spans="1:6" ht="13">
      <c r="A3804" s="16"/>
      <c r="E3804" s="16"/>
      <c r="F3804" s="16"/>
    </row>
    <row r="3805" spans="1:6" ht="13">
      <c r="A3805" s="16"/>
      <c r="E3805" s="16"/>
      <c r="F3805" s="16"/>
    </row>
    <row r="3806" spans="1:6" ht="13">
      <c r="A3806" s="16"/>
      <c r="E3806" s="16"/>
      <c r="F3806" s="16"/>
    </row>
    <row r="3807" spans="1:6" ht="13">
      <c r="A3807" s="16"/>
      <c r="E3807" s="16"/>
      <c r="F3807" s="16"/>
    </row>
    <row r="3808" spans="1:6" ht="13">
      <c r="A3808" s="16"/>
      <c r="E3808" s="16"/>
      <c r="F3808" s="16"/>
    </row>
    <row r="3809" spans="1:6" ht="13">
      <c r="A3809" s="16"/>
      <c r="E3809" s="16"/>
      <c r="F3809" s="16"/>
    </row>
    <row r="3810" spans="1:6" ht="13">
      <c r="A3810" s="16"/>
      <c r="E3810" s="16"/>
      <c r="F3810" s="16"/>
    </row>
    <row r="3811" spans="1:6" ht="13">
      <c r="A3811" s="16"/>
      <c r="E3811" s="16"/>
      <c r="F3811" s="16"/>
    </row>
    <row r="3812" spans="1:6" ht="13">
      <c r="A3812" s="16"/>
      <c r="E3812" s="16"/>
      <c r="F3812" s="16"/>
    </row>
    <row r="3813" spans="1:6" ht="13">
      <c r="A3813" s="16"/>
      <c r="E3813" s="16"/>
      <c r="F3813" s="16"/>
    </row>
    <row r="3814" spans="1:6" ht="13">
      <c r="A3814" s="16"/>
      <c r="E3814" s="16"/>
      <c r="F3814" s="16"/>
    </row>
    <row r="3815" spans="1:6" ht="13">
      <c r="A3815" s="16"/>
      <c r="E3815" s="16"/>
      <c r="F3815" s="16"/>
    </row>
    <row r="3816" spans="1:6" ht="13">
      <c r="A3816" s="16"/>
      <c r="E3816" s="16"/>
      <c r="F3816" s="16"/>
    </row>
    <row r="3817" spans="1:6" ht="13">
      <c r="A3817" s="16"/>
      <c r="E3817" s="16"/>
      <c r="F3817" s="16"/>
    </row>
    <row r="3818" spans="1:6" ht="13">
      <c r="A3818" s="16"/>
      <c r="E3818" s="16"/>
      <c r="F3818" s="16"/>
    </row>
    <row r="3819" spans="1:6" ht="13">
      <c r="A3819" s="16"/>
      <c r="E3819" s="16"/>
      <c r="F3819" s="16"/>
    </row>
    <row r="3820" spans="1:6" ht="13">
      <c r="A3820" s="16"/>
      <c r="E3820" s="16"/>
      <c r="F3820" s="16"/>
    </row>
    <row r="3821" spans="1:6" ht="13">
      <c r="A3821" s="16"/>
      <c r="E3821" s="16"/>
      <c r="F3821" s="16"/>
    </row>
    <row r="3822" spans="1:6" ht="13">
      <c r="A3822" s="16"/>
      <c r="E3822" s="16"/>
      <c r="F3822" s="16"/>
    </row>
    <row r="3823" spans="1:6" ht="13">
      <c r="A3823" s="16"/>
      <c r="E3823" s="16"/>
      <c r="F3823" s="16"/>
    </row>
    <row r="3824" spans="1:6" ht="13">
      <c r="A3824" s="16"/>
      <c r="E3824" s="16"/>
      <c r="F3824" s="16"/>
    </row>
    <row r="3825" spans="1:6" ht="13">
      <c r="A3825" s="16"/>
      <c r="E3825" s="16"/>
      <c r="F3825" s="16"/>
    </row>
    <row r="3826" spans="1:6" ht="13">
      <c r="A3826" s="16"/>
      <c r="E3826" s="16"/>
      <c r="F3826" s="16"/>
    </row>
    <row r="3827" spans="1:6" ht="13">
      <c r="A3827" s="16"/>
      <c r="E3827" s="16"/>
      <c r="F3827" s="16"/>
    </row>
    <row r="3828" spans="1:6" ht="13">
      <c r="A3828" s="16"/>
      <c r="E3828" s="16"/>
      <c r="F3828" s="16"/>
    </row>
    <row r="3829" spans="1:6" ht="13">
      <c r="A3829" s="16"/>
      <c r="E3829" s="16"/>
      <c r="F3829" s="16"/>
    </row>
    <row r="3830" spans="1:6" ht="13">
      <c r="A3830" s="16"/>
      <c r="E3830" s="16"/>
      <c r="F3830" s="16"/>
    </row>
    <row r="3831" spans="1:6" ht="13">
      <c r="A3831" s="16"/>
      <c r="E3831" s="16"/>
      <c r="F3831" s="16"/>
    </row>
    <row r="3832" spans="1:6" ht="13">
      <c r="A3832" s="16"/>
      <c r="E3832" s="16"/>
      <c r="F3832" s="16"/>
    </row>
    <row r="3833" spans="1:6" ht="13">
      <c r="A3833" s="16"/>
      <c r="E3833" s="16"/>
      <c r="F3833" s="16"/>
    </row>
    <row r="3834" spans="1:6" ht="13">
      <c r="A3834" s="16"/>
      <c r="E3834" s="16"/>
      <c r="F3834" s="16"/>
    </row>
    <row r="3835" spans="1:6" ht="13">
      <c r="A3835" s="16"/>
      <c r="E3835" s="16"/>
      <c r="F3835" s="16"/>
    </row>
    <row r="3836" spans="1:6" ht="13">
      <c r="A3836" s="16"/>
      <c r="E3836" s="16"/>
      <c r="F3836" s="16"/>
    </row>
    <row r="3837" spans="1:6" ht="13">
      <c r="A3837" s="16"/>
      <c r="E3837" s="16"/>
      <c r="F3837" s="16"/>
    </row>
    <row r="3838" spans="1:6" ht="13">
      <c r="A3838" s="16"/>
      <c r="E3838" s="16"/>
      <c r="F3838" s="16"/>
    </row>
    <row r="3839" spans="1:6" ht="13">
      <c r="A3839" s="16"/>
      <c r="E3839" s="16"/>
      <c r="F3839" s="16"/>
    </row>
    <row r="3840" spans="1:6" ht="13">
      <c r="A3840" s="16"/>
      <c r="E3840" s="16"/>
      <c r="F3840" s="16"/>
    </row>
    <row r="3841" spans="1:6" ht="13">
      <c r="A3841" s="16"/>
      <c r="E3841" s="16"/>
      <c r="F3841" s="16"/>
    </row>
    <row r="3842" spans="1:6" ht="13">
      <c r="A3842" s="16"/>
      <c r="E3842" s="16"/>
      <c r="F3842" s="16"/>
    </row>
    <row r="3843" spans="1:6" ht="13">
      <c r="A3843" s="16"/>
      <c r="E3843" s="16"/>
      <c r="F3843" s="16"/>
    </row>
    <row r="3844" spans="1:6" ht="13">
      <c r="A3844" s="16"/>
      <c r="E3844" s="16"/>
      <c r="F3844" s="16"/>
    </row>
    <row r="3845" spans="1:6" ht="13">
      <c r="A3845" s="16"/>
      <c r="E3845" s="16"/>
      <c r="F3845" s="16"/>
    </row>
    <row r="3846" spans="1:6" ht="13">
      <c r="A3846" s="16"/>
      <c r="E3846" s="16"/>
      <c r="F3846" s="16"/>
    </row>
    <row r="3847" spans="1:6" ht="13">
      <c r="A3847" s="16"/>
      <c r="E3847" s="16"/>
      <c r="F3847" s="16"/>
    </row>
    <row r="3848" spans="1:6" ht="13">
      <c r="A3848" s="16"/>
      <c r="E3848" s="16"/>
      <c r="F3848" s="16"/>
    </row>
    <row r="3849" spans="1:6" ht="13">
      <c r="A3849" s="16"/>
      <c r="E3849" s="16"/>
      <c r="F3849" s="16"/>
    </row>
    <row r="3850" spans="1:6" ht="13">
      <c r="A3850" s="16"/>
      <c r="E3850" s="16"/>
      <c r="F3850" s="16"/>
    </row>
    <row r="3851" spans="1:6" ht="13">
      <c r="A3851" s="16"/>
      <c r="E3851" s="16"/>
      <c r="F3851" s="16"/>
    </row>
    <row r="3852" spans="1:6" ht="13">
      <c r="A3852" s="16"/>
      <c r="E3852" s="16"/>
      <c r="F3852" s="16"/>
    </row>
    <row r="3853" spans="1:6" ht="13">
      <c r="A3853" s="16"/>
      <c r="E3853" s="16"/>
      <c r="F3853" s="16"/>
    </row>
    <row r="3854" spans="1:6" ht="13">
      <c r="A3854" s="16"/>
      <c r="E3854" s="16"/>
      <c r="F3854" s="16"/>
    </row>
    <row r="3855" spans="1:6" ht="13">
      <c r="A3855" s="16"/>
      <c r="E3855" s="16"/>
      <c r="F3855" s="16"/>
    </row>
    <row r="3856" spans="1:6" ht="13">
      <c r="A3856" s="16"/>
      <c r="E3856" s="16"/>
      <c r="F3856" s="16"/>
    </row>
    <row r="3857" spans="1:6" ht="13">
      <c r="A3857" s="16"/>
      <c r="E3857" s="16"/>
      <c r="F3857" s="16"/>
    </row>
    <row r="3858" spans="1:6" ht="13">
      <c r="A3858" s="16"/>
      <c r="E3858" s="16"/>
      <c r="F3858" s="16"/>
    </row>
    <row r="3859" spans="1:6" ht="13">
      <c r="A3859" s="16"/>
      <c r="E3859" s="16"/>
      <c r="F3859" s="16"/>
    </row>
    <row r="3860" spans="1:6" ht="13">
      <c r="A3860" s="16"/>
      <c r="E3860" s="16"/>
      <c r="F3860" s="16"/>
    </row>
    <row r="3861" spans="1:6" ht="13">
      <c r="A3861" s="16"/>
      <c r="E3861" s="16"/>
      <c r="F3861" s="16"/>
    </row>
    <row r="3862" spans="1:6" ht="13">
      <c r="A3862" s="16"/>
      <c r="E3862" s="16"/>
      <c r="F3862" s="16"/>
    </row>
    <row r="3863" spans="1:6" ht="13">
      <c r="A3863" s="16"/>
      <c r="E3863" s="16"/>
      <c r="F3863" s="16"/>
    </row>
    <row r="3864" spans="1:6" ht="13">
      <c r="A3864" s="16"/>
      <c r="E3864" s="16"/>
      <c r="F3864" s="16"/>
    </row>
    <row r="3865" spans="1:6" ht="13">
      <c r="A3865" s="16"/>
      <c r="E3865" s="16"/>
      <c r="F3865" s="16"/>
    </row>
    <row r="3866" spans="1:6" ht="13">
      <c r="A3866" s="16"/>
      <c r="E3866" s="16"/>
      <c r="F3866" s="16"/>
    </row>
    <row r="3867" spans="1:6" ht="13">
      <c r="A3867" s="16"/>
      <c r="E3867" s="16"/>
      <c r="F3867" s="16"/>
    </row>
    <row r="3868" spans="1:6" ht="13">
      <c r="A3868" s="16"/>
      <c r="E3868" s="16"/>
      <c r="F3868" s="16"/>
    </row>
    <row r="3869" spans="1:6" ht="13">
      <c r="A3869" s="16"/>
      <c r="E3869" s="16"/>
      <c r="F3869" s="16"/>
    </row>
    <row r="3870" spans="1:6" ht="13">
      <c r="A3870" s="16"/>
      <c r="E3870" s="16"/>
      <c r="F3870" s="16"/>
    </row>
    <row r="3871" spans="1:6" ht="13">
      <c r="A3871" s="16"/>
      <c r="E3871" s="16"/>
      <c r="F3871" s="16"/>
    </row>
    <row r="3872" spans="1:6" ht="13">
      <c r="A3872" s="16"/>
      <c r="E3872" s="16"/>
      <c r="F3872" s="16"/>
    </row>
    <row r="3873" spans="1:6" ht="13">
      <c r="A3873" s="16"/>
      <c r="E3873" s="16"/>
      <c r="F3873" s="16"/>
    </row>
    <row r="3874" spans="1:6" ht="13">
      <c r="A3874" s="16"/>
      <c r="E3874" s="16"/>
      <c r="F3874" s="16"/>
    </row>
    <row r="3875" spans="1:6" ht="13">
      <c r="A3875" s="16"/>
      <c r="E3875" s="16"/>
      <c r="F3875" s="16"/>
    </row>
    <row r="3876" spans="1:6" ht="13">
      <c r="A3876" s="16"/>
      <c r="E3876" s="16"/>
      <c r="F3876" s="16"/>
    </row>
    <row r="3877" spans="1:6" ht="13">
      <c r="A3877" s="16"/>
      <c r="E3877" s="16"/>
      <c r="F3877" s="16"/>
    </row>
    <row r="3878" spans="1:6" ht="13">
      <c r="A3878" s="16"/>
      <c r="E3878" s="16"/>
      <c r="F3878" s="16"/>
    </row>
    <row r="3879" spans="1:6" ht="13">
      <c r="A3879" s="16"/>
      <c r="E3879" s="16"/>
      <c r="F3879" s="16"/>
    </row>
    <row r="3880" spans="1:6" ht="13">
      <c r="A3880" s="16"/>
      <c r="E3880" s="16"/>
      <c r="F3880" s="16"/>
    </row>
    <row r="3881" spans="1:6" ht="13">
      <c r="A3881" s="16"/>
      <c r="E3881" s="16"/>
      <c r="F3881" s="16"/>
    </row>
    <row r="3882" spans="1:6" ht="13">
      <c r="A3882" s="16"/>
      <c r="E3882" s="16"/>
      <c r="F3882" s="16"/>
    </row>
    <row r="3883" spans="1:6" ht="13">
      <c r="A3883" s="16"/>
      <c r="E3883" s="16"/>
      <c r="F3883" s="16"/>
    </row>
    <row r="3884" spans="1:6" ht="13">
      <c r="A3884" s="16"/>
      <c r="E3884" s="16"/>
      <c r="F3884" s="16"/>
    </row>
    <row r="3885" spans="1:6" ht="13">
      <c r="A3885" s="16"/>
      <c r="E3885" s="16"/>
      <c r="F3885" s="16"/>
    </row>
    <row r="3886" spans="1:6" ht="13">
      <c r="A3886" s="16"/>
      <c r="E3886" s="16"/>
      <c r="F3886" s="16"/>
    </row>
    <row r="3887" spans="1:6" ht="13">
      <c r="A3887" s="16"/>
      <c r="E3887" s="16"/>
      <c r="F3887" s="16"/>
    </row>
    <row r="3888" spans="1:6" ht="13">
      <c r="A3888" s="16"/>
      <c r="E3888" s="16"/>
      <c r="F3888" s="16"/>
    </row>
    <row r="3889" spans="1:6" ht="13">
      <c r="A3889" s="16"/>
      <c r="E3889" s="16"/>
      <c r="F3889" s="16"/>
    </row>
    <row r="3890" spans="1:6" ht="13">
      <c r="A3890" s="16"/>
      <c r="E3890" s="16"/>
      <c r="F3890" s="16"/>
    </row>
    <row r="3891" spans="1:6" ht="13">
      <c r="A3891" s="16"/>
      <c r="E3891" s="16"/>
      <c r="F3891" s="16"/>
    </row>
    <row r="3892" spans="1:6" ht="13">
      <c r="A3892" s="16"/>
      <c r="E3892" s="16"/>
      <c r="F3892" s="16"/>
    </row>
    <row r="3893" spans="1:6" ht="13">
      <c r="A3893" s="16"/>
      <c r="E3893" s="16"/>
      <c r="F3893" s="16"/>
    </row>
    <row r="3894" spans="1:6" ht="13">
      <c r="A3894" s="16"/>
      <c r="E3894" s="16"/>
      <c r="F3894" s="16"/>
    </row>
    <row r="3895" spans="1:6" ht="13">
      <c r="A3895" s="16"/>
      <c r="E3895" s="16"/>
      <c r="F3895" s="16"/>
    </row>
    <row r="3896" spans="1:6" ht="13">
      <c r="A3896" s="16"/>
      <c r="E3896" s="16"/>
      <c r="F3896" s="16"/>
    </row>
    <row r="3897" spans="1:6" ht="13">
      <c r="A3897" s="16"/>
      <c r="E3897" s="16"/>
      <c r="F3897" s="16"/>
    </row>
    <row r="3898" spans="1:6" ht="13">
      <c r="A3898" s="16"/>
      <c r="E3898" s="16"/>
      <c r="F3898" s="16"/>
    </row>
    <row r="3899" spans="1:6" ht="13">
      <c r="A3899" s="16"/>
      <c r="E3899" s="16"/>
      <c r="F3899" s="16"/>
    </row>
    <row r="3900" spans="1:6" ht="13">
      <c r="A3900" s="16"/>
      <c r="E3900" s="16"/>
      <c r="F3900" s="16"/>
    </row>
    <row r="3901" spans="1:6" ht="13">
      <c r="A3901" s="16"/>
      <c r="E3901" s="16"/>
      <c r="F3901" s="16"/>
    </row>
    <row r="3902" spans="1:6" ht="13">
      <c r="A3902" s="16"/>
      <c r="E3902" s="16"/>
      <c r="F3902" s="16"/>
    </row>
    <row r="3903" spans="1:6" ht="13">
      <c r="A3903" s="16"/>
      <c r="E3903" s="16"/>
      <c r="F3903" s="16"/>
    </row>
    <row r="3904" spans="1:6" ht="13">
      <c r="A3904" s="16"/>
      <c r="E3904" s="16"/>
      <c r="F3904" s="16"/>
    </row>
    <row r="3905" spans="1:6" ht="13">
      <c r="A3905" s="16"/>
      <c r="E3905" s="16"/>
      <c r="F3905" s="16"/>
    </row>
    <row r="3906" spans="1:6" ht="13">
      <c r="A3906" s="16"/>
      <c r="E3906" s="16"/>
      <c r="F3906" s="16"/>
    </row>
    <row r="3907" spans="1:6" ht="13">
      <c r="A3907" s="16"/>
      <c r="E3907" s="16"/>
      <c r="F3907" s="16"/>
    </row>
    <row r="3908" spans="1:6" ht="13">
      <c r="A3908" s="16"/>
      <c r="E3908" s="16"/>
      <c r="F3908" s="16"/>
    </row>
    <row r="3909" spans="1:6" ht="13">
      <c r="A3909" s="16"/>
      <c r="E3909" s="16"/>
      <c r="F3909" s="16"/>
    </row>
    <row r="3910" spans="1:6" ht="13">
      <c r="A3910" s="16"/>
      <c r="E3910" s="16"/>
      <c r="F3910" s="16"/>
    </row>
    <row r="3911" spans="1:6" ht="13">
      <c r="A3911" s="16"/>
      <c r="E3911" s="16"/>
      <c r="F3911" s="16"/>
    </row>
    <row r="3912" spans="1:6" ht="13">
      <c r="A3912" s="16"/>
      <c r="E3912" s="16"/>
      <c r="F3912" s="16"/>
    </row>
    <row r="3913" spans="1:6" ht="13">
      <c r="A3913" s="16"/>
      <c r="E3913" s="16"/>
      <c r="F3913" s="16"/>
    </row>
    <row r="3914" spans="1:6" ht="13">
      <c r="A3914" s="16"/>
      <c r="E3914" s="16"/>
      <c r="F3914" s="16"/>
    </row>
    <row r="3915" spans="1:6" ht="13">
      <c r="A3915" s="16"/>
      <c r="E3915" s="16"/>
      <c r="F3915" s="16"/>
    </row>
    <row r="3916" spans="1:6" ht="13">
      <c r="A3916" s="16"/>
      <c r="E3916" s="16"/>
      <c r="F3916" s="16"/>
    </row>
    <row r="3917" spans="1:6" ht="13">
      <c r="A3917" s="16"/>
      <c r="E3917" s="16"/>
      <c r="F3917" s="16"/>
    </row>
    <row r="3918" spans="1:6" ht="13">
      <c r="A3918" s="16"/>
      <c r="E3918" s="16"/>
      <c r="F3918" s="16"/>
    </row>
    <row r="3919" spans="1:6" ht="13">
      <c r="A3919" s="16"/>
      <c r="E3919" s="16"/>
      <c r="F3919" s="16"/>
    </row>
    <row r="3920" spans="1:6" ht="13">
      <c r="A3920" s="16"/>
      <c r="E3920" s="16"/>
      <c r="F3920" s="16"/>
    </row>
    <row r="3921" spans="1:6" ht="13">
      <c r="A3921" s="16"/>
      <c r="E3921" s="16"/>
      <c r="F3921" s="16"/>
    </row>
    <row r="3922" spans="1:6" ht="13">
      <c r="A3922" s="16"/>
      <c r="E3922" s="16"/>
      <c r="F3922" s="16"/>
    </row>
    <row r="3923" spans="1:6" ht="13">
      <c r="A3923" s="16"/>
      <c r="E3923" s="16"/>
      <c r="F3923" s="16"/>
    </row>
    <row r="3924" spans="1:6" ht="13">
      <c r="A3924" s="16"/>
      <c r="E3924" s="16"/>
      <c r="F3924" s="16"/>
    </row>
    <row r="3925" spans="1:6" ht="13">
      <c r="A3925" s="16"/>
      <c r="E3925" s="16"/>
      <c r="F3925" s="16"/>
    </row>
    <row r="3926" spans="1:6" ht="13">
      <c r="A3926" s="16"/>
      <c r="E3926" s="16"/>
      <c r="F3926" s="16"/>
    </row>
    <row r="3927" spans="1:6" ht="13">
      <c r="A3927" s="16"/>
      <c r="E3927" s="16"/>
      <c r="F3927" s="16"/>
    </row>
    <row r="3928" spans="1:6" ht="13">
      <c r="A3928" s="16"/>
      <c r="E3928" s="16"/>
      <c r="F3928" s="16"/>
    </row>
    <row r="3929" spans="1:6" ht="13">
      <c r="A3929" s="16"/>
      <c r="E3929" s="16"/>
      <c r="F3929" s="16"/>
    </row>
    <row r="3930" spans="1:6" ht="13">
      <c r="A3930" s="16"/>
      <c r="E3930" s="16"/>
      <c r="F3930" s="16"/>
    </row>
    <row r="3931" spans="1:6" ht="13">
      <c r="A3931" s="16"/>
      <c r="E3931" s="16"/>
      <c r="F3931" s="16"/>
    </row>
    <row r="3932" spans="1:6" ht="13">
      <c r="A3932" s="16"/>
      <c r="E3932" s="16"/>
      <c r="F3932" s="16"/>
    </row>
    <row r="3933" spans="1:6" ht="13">
      <c r="A3933" s="16"/>
      <c r="E3933" s="16"/>
      <c r="F3933" s="16"/>
    </row>
    <row r="3934" spans="1:6" ht="13">
      <c r="A3934" s="16"/>
      <c r="E3934" s="16"/>
      <c r="F3934" s="16"/>
    </row>
    <row r="3935" spans="1:6" ht="13">
      <c r="A3935" s="16"/>
      <c r="E3935" s="16"/>
      <c r="F3935" s="16"/>
    </row>
    <row r="3936" spans="1:6" ht="13">
      <c r="A3936" s="16"/>
      <c r="E3936" s="16"/>
      <c r="F3936" s="16"/>
    </row>
    <row r="3937" spans="1:6" ht="13">
      <c r="A3937" s="16"/>
      <c r="E3937" s="16"/>
      <c r="F3937" s="16"/>
    </row>
    <row r="3938" spans="1:6" ht="13">
      <c r="A3938" s="16"/>
      <c r="E3938" s="16"/>
      <c r="F3938" s="16"/>
    </row>
    <row r="3939" spans="1:6" ht="13">
      <c r="A3939" s="16"/>
      <c r="E3939" s="16"/>
      <c r="F3939" s="16"/>
    </row>
    <row r="3940" spans="1:6" ht="13">
      <c r="A3940" s="16"/>
      <c r="E3940" s="16"/>
      <c r="F3940" s="16"/>
    </row>
    <row r="3941" spans="1:6" ht="13">
      <c r="A3941" s="16"/>
      <c r="E3941" s="16"/>
      <c r="F3941" s="16"/>
    </row>
    <row r="3942" spans="1:6" ht="13">
      <c r="A3942" s="16"/>
      <c r="E3942" s="16"/>
      <c r="F3942" s="16"/>
    </row>
    <row r="3943" spans="1:6" ht="13">
      <c r="A3943" s="16"/>
      <c r="E3943" s="16"/>
      <c r="F3943" s="16"/>
    </row>
    <row r="3944" spans="1:6" ht="13">
      <c r="A3944" s="16"/>
      <c r="E3944" s="16"/>
      <c r="F3944" s="16"/>
    </row>
    <row r="3945" spans="1:6" ht="13">
      <c r="A3945" s="16"/>
      <c r="E3945" s="16"/>
      <c r="F3945" s="16"/>
    </row>
    <row r="3946" spans="1:6" ht="13">
      <c r="A3946" s="16"/>
      <c r="E3946" s="16"/>
      <c r="F3946" s="16"/>
    </row>
    <row r="3947" spans="1:6" ht="13">
      <c r="A3947" s="16"/>
      <c r="E3947" s="16"/>
      <c r="F3947" s="16"/>
    </row>
    <row r="3948" spans="1:6" ht="13">
      <c r="A3948" s="16"/>
      <c r="E3948" s="16"/>
      <c r="F3948" s="16"/>
    </row>
    <row r="3949" spans="1:6" ht="13">
      <c r="A3949" s="16"/>
      <c r="E3949" s="16"/>
      <c r="F3949" s="16"/>
    </row>
    <row r="3950" spans="1:6" ht="13">
      <c r="A3950" s="16"/>
      <c r="E3950" s="16"/>
      <c r="F3950" s="16"/>
    </row>
    <row r="3951" spans="1:6" ht="13">
      <c r="A3951" s="16"/>
      <c r="E3951" s="16"/>
      <c r="F3951" s="16"/>
    </row>
    <row r="3952" spans="1:6" ht="13">
      <c r="A3952" s="16"/>
      <c r="E3952" s="16"/>
      <c r="F3952" s="16"/>
    </row>
    <row r="3953" spans="1:6" ht="13">
      <c r="A3953" s="16"/>
      <c r="E3953" s="16"/>
      <c r="F3953" s="16"/>
    </row>
    <row r="3954" spans="1:6" ht="13">
      <c r="A3954" s="16"/>
      <c r="E3954" s="16"/>
      <c r="F3954" s="16"/>
    </row>
    <row r="3955" spans="1:6" ht="13">
      <c r="A3955" s="16"/>
      <c r="E3955" s="16"/>
      <c r="F3955" s="16"/>
    </row>
    <row r="3956" spans="1:6" ht="13">
      <c r="A3956" s="16"/>
      <c r="E3956" s="16"/>
      <c r="F3956" s="16"/>
    </row>
    <row r="3957" spans="1:6" ht="13">
      <c r="A3957" s="16"/>
      <c r="E3957" s="16"/>
      <c r="F3957" s="16"/>
    </row>
    <row r="3958" spans="1:6" ht="13">
      <c r="A3958" s="16"/>
      <c r="E3958" s="16"/>
      <c r="F3958" s="16"/>
    </row>
    <row r="3959" spans="1:6" ht="13">
      <c r="A3959" s="16"/>
      <c r="E3959" s="16"/>
      <c r="F3959" s="16"/>
    </row>
    <row r="3960" spans="1:6" ht="13">
      <c r="A3960" s="16"/>
      <c r="E3960" s="16"/>
      <c r="F3960" s="16"/>
    </row>
    <row r="3961" spans="1:6" ht="13">
      <c r="A3961" s="16"/>
      <c r="E3961" s="16"/>
      <c r="F3961" s="16"/>
    </row>
    <row r="3962" spans="1:6" ht="13">
      <c r="A3962" s="16"/>
      <c r="E3962" s="16"/>
      <c r="F3962" s="16"/>
    </row>
    <row r="3963" spans="1:6" ht="13">
      <c r="A3963" s="16"/>
      <c r="E3963" s="16"/>
      <c r="F3963" s="16"/>
    </row>
    <row r="3964" spans="1:6" ht="13">
      <c r="A3964" s="16"/>
      <c r="E3964" s="16"/>
      <c r="F3964" s="16"/>
    </row>
    <row r="3965" spans="1:6" ht="13">
      <c r="A3965" s="16"/>
      <c r="E3965" s="16"/>
      <c r="F3965" s="16"/>
    </row>
    <row r="3966" spans="1:6" ht="13">
      <c r="A3966" s="16"/>
      <c r="E3966" s="16"/>
      <c r="F3966" s="16"/>
    </row>
    <row r="3967" spans="1:6" ht="13">
      <c r="A3967" s="16"/>
      <c r="E3967" s="16"/>
      <c r="F3967" s="16"/>
    </row>
    <row r="3968" spans="1:6" ht="13">
      <c r="A3968" s="16"/>
      <c r="E3968" s="16"/>
      <c r="F3968" s="16"/>
    </row>
    <row r="3969" spans="1:6" ht="13">
      <c r="A3969" s="16"/>
      <c r="E3969" s="16"/>
      <c r="F3969" s="16"/>
    </row>
    <row r="3970" spans="1:6" ht="13">
      <c r="A3970" s="16"/>
      <c r="E3970" s="16"/>
      <c r="F3970" s="16"/>
    </row>
    <row r="3971" spans="1:6" ht="13">
      <c r="A3971" s="16"/>
      <c r="E3971" s="16"/>
      <c r="F3971" s="16"/>
    </row>
    <row r="3972" spans="1:6" ht="13">
      <c r="A3972" s="16"/>
      <c r="E3972" s="16"/>
      <c r="F3972" s="16"/>
    </row>
    <row r="3973" spans="1:6" ht="13">
      <c r="A3973" s="16"/>
      <c r="E3973" s="16"/>
      <c r="F3973" s="16"/>
    </row>
    <row r="3974" spans="1:6" ht="13">
      <c r="A3974" s="16"/>
      <c r="E3974" s="16"/>
      <c r="F3974" s="16"/>
    </row>
    <row r="3975" spans="1:6" ht="13">
      <c r="A3975" s="16"/>
      <c r="E3975" s="16"/>
      <c r="F3975" s="16"/>
    </row>
    <row r="3976" spans="1:6" ht="13">
      <c r="A3976" s="16"/>
      <c r="E3976" s="16"/>
      <c r="F3976" s="16"/>
    </row>
    <row r="3977" spans="1:6" ht="13">
      <c r="A3977" s="16"/>
      <c r="E3977" s="16"/>
      <c r="F3977" s="16"/>
    </row>
    <row r="3978" spans="1:6" ht="13">
      <c r="A3978" s="16"/>
      <c r="E3978" s="16"/>
      <c r="F3978" s="16"/>
    </row>
    <row r="3979" spans="1:6" ht="13">
      <c r="A3979" s="16"/>
      <c r="E3979" s="16"/>
      <c r="F3979" s="16"/>
    </row>
    <row r="3980" spans="1:6" ht="13">
      <c r="A3980" s="16"/>
      <c r="E3980" s="16"/>
      <c r="F3980" s="16"/>
    </row>
    <row r="3981" spans="1:6" ht="13">
      <c r="A3981" s="16"/>
      <c r="E3981" s="16"/>
      <c r="F3981" s="16"/>
    </row>
    <row r="3982" spans="1:6" ht="13">
      <c r="A3982" s="16"/>
      <c r="E3982" s="16"/>
      <c r="F3982" s="16"/>
    </row>
    <row r="3983" spans="1:6" ht="13">
      <c r="A3983" s="16"/>
      <c r="E3983" s="16"/>
      <c r="F3983" s="16"/>
    </row>
    <row r="3984" spans="1:6" ht="13">
      <c r="A3984" s="16"/>
      <c r="E3984" s="16"/>
      <c r="F3984" s="16"/>
    </row>
    <row r="3985" spans="1:6" ht="13">
      <c r="A3985" s="16"/>
      <c r="E3985" s="16"/>
      <c r="F3985" s="16"/>
    </row>
    <row r="3986" spans="1:6" ht="13">
      <c r="A3986" s="16"/>
      <c r="E3986" s="16"/>
      <c r="F3986" s="16"/>
    </row>
    <row r="3987" spans="1:6" ht="13">
      <c r="A3987" s="16"/>
      <c r="E3987" s="16"/>
      <c r="F3987" s="16"/>
    </row>
    <row r="3988" spans="1:6" ht="13">
      <c r="A3988" s="16"/>
      <c r="E3988" s="16"/>
      <c r="F3988" s="16"/>
    </row>
    <row r="3989" spans="1:6" ht="13">
      <c r="A3989" s="16"/>
      <c r="E3989" s="16"/>
      <c r="F3989" s="16"/>
    </row>
    <row r="3990" spans="1:6" ht="13">
      <c r="A3990" s="16"/>
      <c r="E3990" s="16"/>
      <c r="F3990" s="16"/>
    </row>
    <row r="3991" spans="1:6" ht="13">
      <c r="A3991" s="16"/>
      <c r="E3991" s="16"/>
      <c r="F3991" s="16"/>
    </row>
    <row r="3992" spans="1:6" ht="13">
      <c r="A3992" s="16"/>
      <c r="E3992" s="16"/>
      <c r="F3992" s="16"/>
    </row>
    <row r="3993" spans="1:6" ht="13">
      <c r="A3993" s="16"/>
      <c r="E3993" s="16"/>
      <c r="F3993" s="16"/>
    </row>
    <row r="3994" spans="1:6" ht="13">
      <c r="A3994" s="16"/>
      <c r="E3994" s="16"/>
      <c r="F3994" s="16"/>
    </row>
    <row r="3995" spans="1:6" ht="13">
      <c r="A3995" s="16"/>
      <c r="E3995" s="16"/>
      <c r="F3995" s="16"/>
    </row>
    <row r="3996" spans="1:6" ht="13">
      <c r="A3996" s="16"/>
      <c r="E3996" s="16"/>
      <c r="F3996" s="16"/>
    </row>
    <row r="3997" spans="1:6" ht="13">
      <c r="A3997" s="16"/>
      <c r="E3997" s="16"/>
      <c r="F3997" s="16"/>
    </row>
    <row r="3998" spans="1:6" ht="13">
      <c r="A3998" s="16"/>
      <c r="E3998" s="16"/>
      <c r="F3998" s="16"/>
    </row>
    <row r="3999" spans="1:6" ht="13">
      <c r="A3999" s="16"/>
      <c r="E3999" s="16"/>
      <c r="F3999" s="16"/>
    </row>
    <row r="4000" spans="1:6" ht="13">
      <c r="A4000" s="16"/>
      <c r="E4000" s="16"/>
      <c r="F4000" s="16"/>
    </row>
    <row r="4001" spans="1:6" ht="13">
      <c r="A4001" s="16"/>
      <c r="E4001" s="16"/>
      <c r="F4001" s="16"/>
    </row>
    <row r="4002" spans="1:6" ht="13">
      <c r="A4002" s="16"/>
      <c r="E4002" s="16"/>
      <c r="F4002" s="16"/>
    </row>
    <row r="4003" spans="1:6" ht="13">
      <c r="A4003" s="16"/>
      <c r="E4003" s="16"/>
      <c r="F4003" s="16"/>
    </row>
    <row r="4004" spans="1:6" ht="13">
      <c r="A4004" s="16"/>
      <c r="E4004" s="16"/>
      <c r="F4004" s="16"/>
    </row>
    <row r="4005" spans="1:6" ht="13">
      <c r="A4005" s="16"/>
      <c r="E4005" s="16"/>
      <c r="F4005" s="16"/>
    </row>
    <row r="4006" spans="1:6" ht="13">
      <c r="A4006" s="16"/>
      <c r="E4006" s="16"/>
      <c r="F4006" s="16"/>
    </row>
    <row r="4007" spans="1:6" ht="13">
      <c r="A4007" s="16"/>
      <c r="E4007" s="16"/>
      <c r="F4007" s="16"/>
    </row>
    <row r="4008" spans="1:6" ht="13">
      <c r="A4008" s="16"/>
      <c r="E4008" s="16"/>
      <c r="F4008" s="16"/>
    </row>
    <row r="4009" spans="1:6" ht="13">
      <c r="A4009" s="16"/>
      <c r="E4009" s="16"/>
      <c r="F4009" s="16"/>
    </row>
    <row r="4010" spans="1:6" ht="13">
      <c r="A4010" s="16"/>
      <c r="E4010" s="16"/>
      <c r="F4010" s="16"/>
    </row>
    <row r="4011" spans="1:6" ht="13">
      <c r="A4011" s="16"/>
      <c r="E4011" s="16"/>
      <c r="F4011" s="16"/>
    </row>
    <row r="4012" spans="1:6" ht="13">
      <c r="A4012" s="16"/>
      <c r="E4012" s="16"/>
      <c r="F4012" s="16"/>
    </row>
    <row r="4013" spans="1:6" ht="13">
      <c r="A4013" s="16"/>
      <c r="E4013" s="16"/>
      <c r="F4013" s="16"/>
    </row>
    <row r="4014" spans="1:6" ht="13">
      <c r="A4014" s="16"/>
      <c r="E4014" s="16"/>
      <c r="F4014" s="16"/>
    </row>
    <row r="4015" spans="1:6" ht="13">
      <c r="A4015" s="16"/>
      <c r="E4015" s="16"/>
      <c r="F4015" s="16"/>
    </row>
    <row r="4016" spans="1:6" ht="13">
      <c r="A4016" s="16"/>
      <c r="E4016" s="16"/>
      <c r="F4016" s="16"/>
    </row>
    <row r="4017" spans="1:6" ht="13">
      <c r="A4017" s="16"/>
      <c r="E4017" s="16"/>
      <c r="F4017" s="16"/>
    </row>
    <row r="4018" spans="1:6" ht="13">
      <c r="A4018" s="16"/>
      <c r="E4018" s="16"/>
      <c r="F4018" s="16"/>
    </row>
    <row r="4019" spans="1:6" ht="13">
      <c r="A4019" s="16"/>
      <c r="E4019" s="16"/>
      <c r="F4019" s="16"/>
    </row>
    <row r="4020" spans="1:6" ht="13">
      <c r="A4020" s="16"/>
      <c r="E4020" s="16"/>
      <c r="F4020" s="16"/>
    </row>
    <row r="4021" spans="1:6" ht="13">
      <c r="A4021" s="16"/>
      <c r="E4021" s="16"/>
      <c r="F4021" s="16"/>
    </row>
    <row r="4022" spans="1:6" ht="13">
      <c r="A4022" s="16"/>
      <c r="E4022" s="16"/>
      <c r="F4022" s="16"/>
    </row>
    <row r="4023" spans="1:6" ht="13">
      <c r="A4023" s="16"/>
      <c r="E4023" s="16"/>
      <c r="F4023" s="16"/>
    </row>
    <row r="4024" spans="1:6" ht="13">
      <c r="A4024" s="16"/>
      <c r="E4024" s="16"/>
      <c r="F4024" s="16"/>
    </row>
    <row r="4025" spans="1:6" ht="13">
      <c r="A4025" s="16"/>
      <c r="E4025" s="16"/>
      <c r="F4025" s="16"/>
    </row>
    <row r="4026" spans="1:6" ht="13">
      <c r="A4026" s="16"/>
      <c r="E4026" s="16"/>
      <c r="F4026" s="16"/>
    </row>
    <row r="4027" spans="1:6" ht="13">
      <c r="A4027" s="16"/>
      <c r="E4027" s="16"/>
      <c r="F4027" s="16"/>
    </row>
    <row r="4028" spans="1:6" ht="13">
      <c r="A4028" s="16"/>
      <c r="E4028" s="16"/>
      <c r="F4028" s="16"/>
    </row>
    <row r="4029" spans="1:6" ht="13">
      <c r="A4029" s="16"/>
      <c r="E4029" s="16"/>
      <c r="F4029" s="16"/>
    </row>
    <row r="4030" spans="1:6" ht="13">
      <c r="A4030" s="16"/>
      <c r="E4030" s="16"/>
      <c r="F4030" s="16"/>
    </row>
    <row r="4031" spans="1:6" ht="13">
      <c r="A4031" s="16"/>
      <c r="E4031" s="16"/>
      <c r="F4031" s="16"/>
    </row>
    <row r="4032" spans="1:6" ht="13">
      <c r="A4032" s="16"/>
      <c r="E4032" s="16"/>
      <c r="F4032" s="16"/>
    </row>
    <row r="4033" spans="1:6" ht="13">
      <c r="A4033" s="16"/>
      <c r="E4033" s="16"/>
      <c r="F4033" s="16"/>
    </row>
    <row r="4034" spans="1:6" ht="13">
      <c r="A4034" s="16"/>
      <c r="E4034" s="16"/>
      <c r="F4034" s="16"/>
    </row>
    <row r="4035" spans="1:6" ht="13">
      <c r="A4035" s="16"/>
      <c r="E4035" s="16"/>
      <c r="F4035" s="16"/>
    </row>
    <row r="4036" spans="1:6" ht="13">
      <c r="A4036" s="16"/>
      <c r="E4036" s="16"/>
      <c r="F4036" s="16"/>
    </row>
    <row r="4037" spans="1:6" ht="13">
      <c r="A4037" s="16"/>
      <c r="E4037" s="16"/>
      <c r="F4037" s="16"/>
    </row>
    <row r="4038" spans="1:6" ht="13">
      <c r="A4038" s="16"/>
      <c r="E4038" s="16"/>
      <c r="F4038" s="16"/>
    </row>
    <row r="4039" spans="1:6" ht="13">
      <c r="A4039" s="16"/>
      <c r="E4039" s="16"/>
      <c r="F4039" s="16"/>
    </row>
    <row r="4040" spans="1:6" ht="13">
      <c r="A4040" s="16"/>
      <c r="E4040" s="16"/>
      <c r="F4040" s="16"/>
    </row>
    <row r="4041" spans="1:6" ht="13">
      <c r="A4041" s="16"/>
      <c r="E4041" s="16"/>
      <c r="F4041" s="16"/>
    </row>
    <row r="4042" spans="1:6" ht="13">
      <c r="A4042" s="16"/>
      <c r="E4042" s="16"/>
      <c r="F4042" s="16"/>
    </row>
    <row r="4043" spans="1:6" ht="13">
      <c r="A4043" s="16"/>
      <c r="E4043" s="16"/>
      <c r="F4043" s="16"/>
    </row>
    <row r="4044" spans="1:6" ht="13">
      <c r="A4044" s="16"/>
      <c r="E4044" s="16"/>
      <c r="F4044" s="16"/>
    </row>
    <row r="4045" spans="1:6" ht="13">
      <c r="A4045" s="16"/>
      <c r="E4045" s="16"/>
      <c r="F4045" s="16"/>
    </row>
    <row r="4046" spans="1:6" ht="13">
      <c r="A4046" s="16"/>
      <c r="E4046" s="16"/>
      <c r="F4046" s="16"/>
    </row>
    <row r="4047" spans="1:6" ht="13">
      <c r="A4047" s="16"/>
      <c r="E4047" s="16"/>
      <c r="F4047" s="16"/>
    </row>
    <row r="4048" spans="1:6" ht="13">
      <c r="A4048" s="16"/>
      <c r="E4048" s="16"/>
      <c r="F4048" s="16"/>
    </row>
    <row r="4049" spans="1:6" ht="13">
      <c r="A4049" s="16"/>
      <c r="E4049" s="16"/>
      <c r="F4049" s="16"/>
    </row>
    <row r="4050" spans="1:6" ht="13">
      <c r="A4050" s="16"/>
      <c r="E4050" s="16"/>
      <c r="F4050" s="16"/>
    </row>
    <row r="4051" spans="1:6" ht="13">
      <c r="A4051" s="16"/>
      <c r="E4051" s="16"/>
      <c r="F4051" s="16"/>
    </row>
    <row r="4052" spans="1:6" ht="13">
      <c r="A4052" s="16"/>
      <c r="E4052" s="16"/>
      <c r="F4052" s="16"/>
    </row>
    <row r="4053" spans="1:6" ht="13">
      <c r="A4053" s="16"/>
      <c r="E4053" s="16"/>
      <c r="F4053" s="16"/>
    </row>
    <row r="4054" spans="1:6" ht="13">
      <c r="A4054" s="16"/>
      <c r="E4054" s="16"/>
      <c r="F4054" s="16"/>
    </row>
    <row r="4055" spans="1:6" ht="13">
      <c r="A4055" s="16"/>
      <c r="E4055" s="16"/>
      <c r="F4055" s="16"/>
    </row>
    <row r="4056" spans="1:6" ht="13">
      <c r="A4056" s="16"/>
      <c r="E4056" s="16"/>
      <c r="F4056" s="16"/>
    </row>
    <row r="4057" spans="1:6" ht="13">
      <c r="A4057" s="16"/>
      <c r="E4057" s="16"/>
      <c r="F4057" s="16"/>
    </row>
    <row r="4058" spans="1:6" ht="13">
      <c r="A4058" s="16"/>
      <c r="E4058" s="16"/>
      <c r="F4058" s="16"/>
    </row>
    <row r="4059" spans="1:6" ht="13">
      <c r="A4059" s="16"/>
      <c r="E4059" s="16"/>
      <c r="F4059" s="16"/>
    </row>
    <row r="4060" spans="1:6" ht="13">
      <c r="A4060" s="16"/>
      <c r="E4060" s="16"/>
      <c r="F4060" s="16"/>
    </row>
    <row r="4061" spans="1:6" ht="13">
      <c r="A4061" s="16"/>
      <c r="E4061" s="16"/>
      <c r="F4061" s="16"/>
    </row>
    <row r="4062" spans="1:6" ht="13">
      <c r="A4062" s="16"/>
      <c r="E4062" s="16"/>
      <c r="F4062" s="16"/>
    </row>
    <row r="4063" spans="1:6" ht="13">
      <c r="A4063" s="16"/>
      <c r="E4063" s="16"/>
      <c r="F4063" s="16"/>
    </row>
    <row r="4064" spans="1:6" ht="13">
      <c r="A4064" s="16"/>
      <c r="E4064" s="16"/>
      <c r="F4064" s="16"/>
    </row>
    <row r="4065" spans="1:6" ht="13">
      <c r="A4065" s="16"/>
      <c r="E4065" s="16"/>
      <c r="F4065" s="16"/>
    </row>
    <row r="4066" spans="1:6" ht="13">
      <c r="A4066" s="16"/>
      <c r="E4066" s="16"/>
      <c r="F4066" s="16"/>
    </row>
    <row r="4067" spans="1:6" ht="13">
      <c r="A4067" s="16"/>
      <c r="E4067" s="16"/>
      <c r="F4067" s="16"/>
    </row>
    <row r="4068" spans="1:6" ht="13">
      <c r="A4068" s="16"/>
      <c r="E4068" s="16"/>
      <c r="F4068" s="16"/>
    </row>
    <row r="4069" spans="1:6" ht="13">
      <c r="A4069" s="16"/>
      <c r="E4069" s="16"/>
      <c r="F4069" s="16"/>
    </row>
    <row r="4070" spans="1:6" ht="13">
      <c r="A4070" s="16"/>
      <c r="E4070" s="16"/>
      <c r="F4070" s="16"/>
    </row>
    <row r="4071" spans="1:6" ht="13">
      <c r="A4071" s="16"/>
      <c r="E4071" s="16"/>
      <c r="F4071" s="16"/>
    </row>
    <row r="4072" spans="1:6" ht="13">
      <c r="A4072" s="16"/>
      <c r="E4072" s="16"/>
      <c r="F4072" s="16"/>
    </row>
    <row r="4073" spans="1:6" ht="13">
      <c r="A4073" s="16"/>
      <c r="E4073" s="16"/>
      <c r="F4073" s="16"/>
    </row>
    <row r="4074" spans="1:6" ht="13">
      <c r="A4074" s="16"/>
      <c r="E4074" s="16"/>
      <c r="F4074" s="16"/>
    </row>
    <row r="4075" spans="1:6" ht="13">
      <c r="A4075" s="16"/>
      <c r="E4075" s="16"/>
      <c r="F4075" s="16"/>
    </row>
    <row r="4076" spans="1:6" ht="13">
      <c r="A4076" s="16"/>
      <c r="E4076" s="16"/>
      <c r="F4076" s="16"/>
    </row>
    <row r="4077" spans="1:6" ht="13">
      <c r="A4077" s="16"/>
      <c r="E4077" s="16"/>
      <c r="F4077" s="16"/>
    </row>
    <row r="4078" spans="1:6" ht="13">
      <c r="A4078" s="16"/>
      <c r="E4078" s="16"/>
      <c r="F4078" s="16"/>
    </row>
    <row r="4079" spans="1:6" ht="13">
      <c r="A4079" s="16"/>
      <c r="E4079" s="16"/>
      <c r="F4079" s="16"/>
    </row>
    <row r="4080" spans="1:6" ht="13">
      <c r="A4080" s="16"/>
      <c r="E4080" s="16"/>
      <c r="F4080" s="16"/>
    </row>
    <row r="4081" spans="1:6" ht="13">
      <c r="A4081" s="16"/>
      <c r="E4081" s="16"/>
      <c r="F4081" s="16"/>
    </row>
    <row r="4082" spans="1:6" ht="13">
      <c r="A4082" s="16"/>
      <c r="E4082" s="16"/>
      <c r="F4082" s="16"/>
    </row>
    <row r="4083" spans="1:6" ht="13">
      <c r="A4083" s="16"/>
      <c r="E4083" s="16"/>
      <c r="F4083" s="16"/>
    </row>
    <row r="4084" spans="1:6" ht="13">
      <c r="A4084" s="16"/>
      <c r="E4084" s="16"/>
      <c r="F4084" s="16"/>
    </row>
    <row r="4085" spans="1:6" ht="13">
      <c r="A4085" s="16"/>
      <c r="E4085" s="16"/>
      <c r="F4085" s="16"/>
    </row>
    <row r="4086" spans="1:6" ht="13">
      <c r="A4086" s="16"/>
      <c r="E4086" s="16"/>
      <c r="F4086" s="16"/>
    </row>
    <row r="4087" spans="1:6" ht="13">
      <c r="A4087" s="16"/>
      <c r="E4087" s="16"/>
      <c r="F4087" s="16"/>
    </row>
    <row r="4088" spans="1:6" ht="13">
      <c r="A4088" s="16"/>
      <c r="E4088" s="16"/>
      <c r="F4088" s="16"/>
    </row>
    <row r="4089" spans="1:6" ht="13">
      <c r="A4089" s="16"/>
      <c r="E4089" s="16"/>
      <c r="F4089" s="16"/>
    </row>
    <row r="4090" spans="1:6" ht="13">
      <c r="A4090" s="16"/>
      <c r="E4090" s="16"/>
      <c r="F4090" s="16"/>
    </row>
    <row r="4091" spans="1:6" ht="13">
      <c r="A4091" s="16"/>
      <c r="E4091" s="16"/>
      <c r="F4091" s="16"/>
    </row>
    <row r="4092" spans="1:6" ht="13">
      <c r="A4092" s="16"/>
      <c r="E4092" s="16"/>
      <c r="F4092" s="16"/>
    </row>
    <row r="4093" spans="1:6" ht="13">
      <c r="A4093" s="16"/>
      <c r="E4093" s="16"/>
      <c r="F4093" s="16"/>
    </row>
    <row r="4094" spans="1:6" ht="13">
      <c r="A4094" s="16"/>
      <c r="E4094" s="16"/>
      <c r="F4094" s="16"/>
    </row>
    <row r="4095" spans="1:6" ht="13">
      <c r="A4095" s="16"/>
      <c r="E4095" s="16"/>
      <c r="F4095" s="16"/>
    </row>
    <row r="4096" spans="1:6" ht="13">
      <c r="A4096" s="16"/>
      <c r="E4096" s="16"/>
      <c r="F4096" s="16"/>
    </row>
    <row r="4097" spans="1:6" ht="13">
      <c r="A4097" s="16"/>
      <c r="E4097" s="16"/>
      <c r="F4097" s="16"/>
    </row>
    <row r="4098" spans="1:6" ht="13">
      <c r="A4098" s="16"/>
      <c r="E4098" s="16"/>
      <c r="F4098" s="16"/>
    </row>
    <row r="4099" spans="1:6" ht="13">
      <c r="A4099" s="16"/>
      <c r="E4099" s="16"/>
      <c r="F4099" s="16"/>
    </row>
    <row r="4100" spans="1:6" ht="13">
      <c r="A4100" s="16"/>
      <c r="E4100" s="16"/>
      <c r="F4100" s="16"/>
    </row>
    <row r="4101" spans="1:6" ht="13">
      <c r="A4101" s="16"/>
      <c r="E4101" s="16"/>
      <c r="F4101" s="16"/>
    </row>
    <row r="4102" spans="1:6" ht="13">
      <c r="A4102" s="16"/>
      <c r="E4102" s="16"/>
      <c r="F4102" s="16"/>
    </row>
    <row r="4103" spans="1:6" ht="13">
      <c r="A4103" s="16"/>
      <c r="E4103" s="16"/>
      <c r="F4103" s="16"/>
    </row>
    <row r="4104" spans="1:6" ht="13">
      <c r="A4104" s="16"/>
      <c r="E4104" s="16"/>
      <c r="F4104" s="16"/>
    </row>
    <row r="4105" spans="1:6" ht="13">
      <c r="A4105" s="16"/>
      <c r="E4105" s="16"/>
      <c r="F4105" s="16"/>
    </row>
    <row r="4106" spans="1:6" ht="13">
      <c r="A4106" s="16"/>
      <c r="E4106" s="16"/>
      <c r="F4106" s="16"/>
    </row>
    <row r="4107" spans="1:6" ht="13">
      <c r="A4107" s="16"/>
      <c r="E4107" s="16"/>
      <c r="F4107" s="16"/>
    </row>
    <row r="4108" spans="1:6" ht="13">
      <c r="A4108" s="16"/>
      <c r="E4108" s="16"/>
      <c r="F4108" s="16"/>
    </row>
    <row r="4109" spans="1:6" ht="13">
      <c r="A4109" s="16"/>
      <c r="E4109" s="16"/>
      <c r="F4109" s="16"/>
    </row>
    <row r="4110" spans="1:6" ht="13">
      <c r="A4110" s="16"/>
      <c r="E4110" s="16"/>
      <c r="F4110" s="16"/>
    </row>
    <row r="4111" spans="1:6" ht="13">
      <c r="A4111" s="16"/>
      <c r="E4111" s="16"/>
      <c r="F4111" s="16"/>
    </row>
    <row r="4112" spans="1:6" ht="13">
      <c r="A4112" s="16"/>
      <c r="E4112" s="16"/>
      <c r="F4112" s="16"/>
    </row>
    <row r="4113" spans="1:6" ht="13">
      <c r="A4113" s="16"/>
      <c r="E4113" s="16"/>
      <c r="F4113" s="16"/>
    </row>
    <row r="4114" spans="1:6" ht="13">
      <c r="A4114" s="16"/>
      <c r="E4114" s="16"/>
      <c r="F4114" s="16"/>
    </row>
    <row r="4115" spans="1:6" ht="13">
      <c r="A4115" s="16"/>
      <c r="E4115" s="16"/>
      <c r="F4115" s="16"/>
    </row>
    <row r="4116" spans="1:6" ht="13">
      <c r="A4116" s="16"/>
      <c r="E4116" s="16"/>
      <c r="F4116" s="16"/>
    </row>
    <row r="4117" spans="1:6" ht="13">
      <c r="A4117" s="16"/>
      <c r="E4117" s="16"/>
      <c r="F4117" s="16"/>
    </row>
    <row r="4118" spans="1:6" ht="13">
      <c r="A4118" s="16"/>
      <c r="E4118" s="16"/>
      <c r="F4118" s="16"/>
    </row>
    <row r="4119" spans="1:6" ht="13">
      <c r="A4119" s="16"/>
      <c r="E4119" s="16"/>
      <c r="F4119" s="16"/>
    </row>
    <row r="4120" spans="1:6" ht="13">
      <c r="A4120" s="16"/>
      <c r="E4120" s="16"/>
      <c r="F4120" s="16"/>
    </row>
    <row r="4121" spans="1:6" ht="13">
      <c r="A4121" s="16"/>
      <c r="E4121" s="16"/>
      <c r="F4121" s="16"/>
    </row>
    <row r="4122" spans="1:6" ht="13">
      <c r="A4122" s="16"/>
      <c r="E4122" s="16"/>
      <c r="F4122" s="16"/>
    </row>
    <row r="4123" spans="1:6" ht="13">
      <c r="A4123" s="16"/>
      <c r="E4123" s="16"/>
      <c r="F4123" s="16"/>
    </row>
    <row r="4124" spans="1:6" ht="13">
      <c r="A4124" s="16"/>
      <c r="E4124" s="16"/>
      <c r="F4124" s="16"/>
    </row>
    <row r="4125" spans="1:6" ht="13">
      <c r="A4125" s="16"/>
      <c r="E4125" s="16"/>
      <c r="F4125" s="16"/>
    </row>
    <row r="4126" spans="1:6" ht="13">
      <c r="A4126" s="16"/>
      <c r="E4126" s="16"/>
      <c r="F4126" s="16"/>
    </row>
    <row r="4127" spans="1:6" ht="13">
      <c r="A4127" s="16"/>
      <c r="E4127" s="16"/>
      <c r="F4127" s="16"/>
    </row>
    <row r="4128" spans="1:6" ht="13">
      <c r="A4128" s="16"/>
      <c r="E4128" s="16"/>
      <c r="F4128" s="16"/>
    </row>
    <row r="4129" spans="1:6" ht="13">
      <c r="A4129" s="16"/>
      <c r="E4129" s="16"/>
      <c r="F4129" s="16"/>
    </row>
    <row r="4130" spans="1:6" ht="13">
      <c r="A4130" s="16"/>
      <c r="E4130" s="16"/>
      <c r="F4130" s="16"/>
    </row>
    <row r="4131" spans="1:6" ht="13">
      <c r="A4131" s="16"/>
      <c r="E4131" s="16"/>
      <c r="F4131" s="16"/>
    </row>
    <row r="4132" spans="1:6" ht="13">
      <c r="A4132" s="16"/>
      <c r="E4132" s="16"/>
      <c r="F4132" s="16"/>
    </row>
    <row r="4133" spans="1:6" ht="13">
      <c r="A4133" s="16"/>
      <c r="E4133" s="16"/>
      <c r="F4133" s="16"/>
    </row>
    <row r="4134" spans="1:6" ht="13">
      <c r="A4134" s="16"/>
      <c r="E4134" s="16"/>
      <c r="F4134" s="16"/>
    </row>
    <row r="4135" spans="1:6" ht="13">
      <c r="A4135" s="16"/>
      <c r="E4135" s="16"/>
      <c r="F4135" s="16"/>
    </row>
    <row r="4136" spans="1:6" ht="13">
      <c r="A4136" s="16"/>
      <c r="E4136" s="16"/>
      <c r="F4136" s="16"/>
    </row>
    <row r="4137" spans="1:6" ht="13">
      <c r="A4137" s="16"/>
      <c r="E4137" s="16"/>
      <c r="F4137" s="16"/>
    </row>
    <row r="4138" spans="1:6" ht="13">
      <c r="A4138" s="16"/>
      <c r="E4138" s="16"/>
      <c r="F4138" s="16"/>
    </row>
    <row r="4139" spans="1:6" ht="13">
      <c r="A4139" s="16"/>
      <c r="E4139" s="16"/>
      <c r="F4139" s="16"/>
    </row>
    <row r="4140" spans="1:6" ht="13">
      <c r="A4140" s="16"/>
      <c r="E4140" s="16"/>
      <c r="F4140" s="16"/>
    </row>
    <row r="4141" spans="1:6" ht="13">
      <c r="A4141" s="16"/>
      <c r="E4141" s="16"/>
      <c r="F4141" s="16"/>
    </row>
    <row r="4142" spans="1:6" ht="13">
      <c r="A4142" s="16"/>
      <c r="E4142" s="16"/>
      <c r="F4142" s="16"/>
    </row>
    <row r="4143" spans="1:6" ht="13">
      <c r="A4143" s="16"/>
      <c r="E4143" s="16"/>
      <c r="F4143" s="16"/>
    </row>
    <row r="4144" spans="1:6" ht="13">
      <c r="A4144" s="16"/>
      <c r="E4144" s="16"/>
      <c r="F4144" s="16"/>
    </row>
    <row r="4145" spans="1:6" ht="13">
      <c r="A4145" s="16"/>
      <c r="E4145" s="16"/>
      <c r="F4145" s="16"/>
    </row>
    <row r="4146" spans="1:6" ht="13">
      <c r="A4146" s="16"/>
      <c r="E4146" s="16"/>
      <c r="F4146" s="16"/>
    </row>
    <row r="4147" spans="1:6" ht="13">
      <c r="A4147" s="16"/>
      <c r="E4147" s="16"/>
      <c r="F4147" s="16"/>
    </row>
    <row r="4148" spans="1:6" ht="13">
      <c r="A4148" s="16"/>
      <c r="E4148" s="16"/>
      <c r="F4148" s="16"/>
    </row>
    <row r="4149" spans="1:6" ht="13">
      <c r="A4149" s="16"/>
      <c r="E4149" s="16"/>
      <c r="F4149" s="16"/>
    </row>
    <row r="4150" spans="1:6" ht="13">
      <c r="A4150" s="16"/>
      <c r="E4150" s="16"/>
      <c r="F4150" s="16"/>
    </row>
    <row r="4151" spans="1:6" ht="13">
      <c r="A4151" s="16"/>
      <c r="E4151" s="16"/>
      <c r="F4151" s="16"/>
    </row>
    <row r="4152" spans="1:6" ht="13">
      <c r="A4152" s="16"/>
      <c r="E4152" s="16"/>
      <c r="F4152" s="16"/>
    </row>
    <row r="4153" spans="1:6" ht="13">
      <c r="A4153" s="16"/>
      <c r="E4153" s="16"/>
      <c r="F4153" s="16"/>
    </row>
    <row r="4154" spans="1:6" ht="13">
      <c r="A4154" s="16"/>
      <c r="E4154" s="16"/>
      <c r="F4154" s="16"/>
    </row>
    <row r="4155" spans="1:6" ht="13">
      <c r="A4155" s="16"/>
      <c r="E4155" s="16"/>
      <c r="F4155" s="16"/>
    </row>
    <row r="4156" spans="1:6" ht="13">
      <c r="A4156" s="16"/>
      <c r="E4156" s="16"/>
      <c r="F4156" s="16"/>
    </row>
    <row r="4157" spans="1:6" ht="13">
      <c r="A4157" s="16"/>
      <c r="E4157" s="16"/>
      <c r="F4157" s="16"/>
    </row>
    <row r="4158" spans="1:6" ht="13">
      <c r="A4158" s="16"/>
      <c r="E4158" s="16"/>
      <c r="F4158" s="16"/>
    </row>
    <row r="4159" spans="1:6" ht="13">
      <c r="A4159" s="16"/>
      <c r="E4159" s="16"/>
      <c r="F4159" s="16"/>
    </row>
    <row r="4160" spans="1:6" ht="13">
      <c r="A4160" s="16"/>
      <c r="E4160" s="16"/>
      <c r="F4160" s="16"/>
    </row>
    <row r="4161" spans="1:6" ht="13">
      <c r="A4161" s="16"/>
      <c r="E4161" s="16"/>
      <c r="F4161" s="16"/>
    </row>
    <row r="4162" spans="1:6" ht="13">
      <c r="A4162" s="16"/>
      <c r="E4162" s="16"/>
      <c r="F4162" s="16"/>
    </row>
    <row r="4163" spans="1:6" ht="13">
      <c r="A4163" s="16"/>
      <c r="E4163" s="16"/>
      <c r="F4163" s="16"/>
    </row>
    <row r="4164" spans="1:6" ht="13">
      <c r="A4164" s="16"/>
      <c r="E4164" s="16"/>
      <c r="F4164" s="16"/>
    </row>
    <row r="4165" spans="1:6" ht="13">
      <c r="A4165" s="16"/>
      <c r="E4165" s="16"/>
      <c r="F4165" s="16"/>
    </row>
    <row r="4166" spans="1:6" ht="13">
      <c r="A4166" s="16"/>
      <c r="E4166" s="16"/>
      <c r="F4166" s="16"/>
    </row>
    <row r="4167" spans="1:6" ht="13">
      <c r="A4167" s="16"/>
      <c r="E4167" s="16"/>
      <c r="F4167" s="16"/>
    </row>
    <row r="4168" spans="1:6" ht="13">
      <c r="A4168" s="16"/>
      <c r="E4168" s="16"/>
      <c r="F4168" s="16"/>
    </row>
    <row r="4169" spans="1:6" ht="13">
      <c r="A4169" s="16"/>
      <c r="E4169" s="16"/>
      <c r="F4169" s="16"/>
    </row>
    <row r="4170" spans="1:6" ht="13">
      <c r="A4170" s="16"/>
      <c r="E4170" s="16"/>
      <c r="F4170" s="16"/>
    </row>
    <row r="4171" spans="1:6" ht="13">
      <c r="A4171" s="16"/>
      <c r="E4171" s="16"/>
      <c r="F4171" s="16"/>
    </row>
    <row r="4172" spans="1:6" ht="13">
      <c r="A4172" s="16"/>
      <c r="E4172" s="16"/>
      <c r="F4172" s="16"/>
    </row>
    <row r="4173" spans="1:6" ht="13">
      <c r="A4173" s="16"/>
      <c r="E4173" s="16"/>
      <c r="F4173" s="16"/>
    </row>
    <row r="4174" spans="1:6" ht="13">
      <c r="A4174" s="16"/>
      <c r="E4174" s="16"/>
      <c r="F4174" s="16"/>
    </row>
    <row r="4175" spans="1:6" ht="13">
      <c r="A4175" s="16"/>
      <c r="E4175" s="16"/>
      <c r="F4175" s="16"/>
    </row>
    <row r="4176" spans="1:6" ht="13">
      <c r="A4176" s="16"/>
      <c r="E4176" s="16"/>
      <c r="F4176" s="16"/>
    </row>
    <row r="4177" spans="1:6" ht="13">
      <c r="A4177" s="16"/>
      <c r="E4177" s="16"/>
      <c r="F4177" s="16"/>
    </row>
    <row r="4178" spans="1:6" ht="13">
      <c r="A4178" s="16"/>
      <c r="E4178" s="16"/>
      <c r="F4178" s="16"/>
    </row>
    <row r="4179" spans="1:6" ht="13">
      <c r="A4179" s="16"/>
      <c r="E4179" s="16"/>
      <c r="F4179" s="16"/>
    </row>
    <row r="4180" spans="1:6" ht="13">
      <c r="A4180" s="16"/>
      <c r="E4180" s="16"/>
      <c r="F4180" s="16"/>
    </row>
    <row r="4181" spans="1:6" ht="13">
      <c r="A4181" s="16"/>
      <c r="E4181" s="16"/>
      <c r="F4181" s="16"/>
    </row>
    <row r="4182" spans="1:6" ht="13">
      <c r="A4182" s="16"/>
      <c r="E4182" s="16"/>
      <c r="F4182" s="16"/>
    </row>
    <row r="4183" spans="1:6" ht="13">
      <c r="A4183" s="16"/>
      <c r="E4183" s="16"/>
      <c r="F4183" s="16"/>
    </row>
    <row r="4184" spans="1:6" ht="13">
      <c r="A4184" s="16"/>
      <c r="E4184" s="16"/>
      <c r="F4184" s="16"/>
    </row>
    <row r="4185" spans="1:6" ht="13">
      <c r="A4185" s="16"/>
      <c r="E4185" s="16"/>
      <c r="F4185" s="16"/>
    </row>
    <row r="4186" spans="1:6" ht="13">
      <c r="A4186" s="16"/>
      <c r="E4186" s="16"/>
      <c r="F4186" s="16"/>
    </row>
    <row r="4187" spans="1:6" ht="13">
      <c r="A4187" s="16"/>
      <c r="E4187" s="16"/>
      <c r="F4187" s="16"/>
    </row>
    <row r="4188" spans="1:6" ht="13">
      <c r="A4188" s="16"/>
      <c r="E4188" s="16"/>
      <c r="F4188" s="16"/>
    </row>
    <row r="4189" spans="1:6" ht="13">
      <c r="A4189" s="16"/>
      <c r="E4189" s="16"/>
      <c r="F4189" s="16"/>
    </row>
    <row r="4190" spans="1:6" ht="13">
      <c r="A4190" s="16"/>
      <c r="E4190" s="16"/>
      <c r="F4190" s="16"/>
    </row>
    <row r="4191" spans="1:6" ht="13">
      <c r="A4191" s="16"/>
      <c r="E4191" s="16"/>
      <c r="F4191" s="16"/>
    </row>
    <row r="4192" spans="1:6" ht="13">
      <c r="A4192" s="16"/>
      <c r="E4192" s="16"/>
      <c r="F4192" s="16"/>
    </row>
    <row r="4193" spans="1:6" ht="13">
      <c r="A4193" s="16"/>
      <c r="E4193" s="16"/>
      <c r="F4193" s="16"/>
    </row>
    <row r="4194" spans="1:6" ht="13">
      <c r="A4194" s="16"/>
      <c r="E4194" s="16"/>
      <c r="F4194" s="16"/>
    </row>
    <row r="4195" spans="1:6" ht="13">
      <c r="A4195" s="16"/>
      <c r="E4195" s="16"/>
      <c r="F4195" s="16"/>
    </row>
    <row r="4196" spans="1:6" ht="13">
      <c r="A4196" s="16"/>
      <c r="E4196" s="16"/>
      <c r="F4196" s="16"/>
    </row>
    <row r="4197" spans="1:6" ht="13">
      <c r="A4197" s="16"/>
      <c r="E4197" s="16"/>
      <c r="F4197" s="16"/>
    </row>
    <row r="4198" spans="1:6" ht="13">
      <c r="A4198" s="16"/>
      <c r="E4198" s="16"/>
      <c r="F4198" s="16"/>
    </row>
    <row r="4199" spans="1:6" ht="13">
      <c r="A4199" s="16"/>
      <c r="E4199" s="16"/>
      <c r="F4199" s="16"/>
    </row>
    <row r="4200" spans="1:6" ht="13">
      <c r="A4200" s="16"/>
      <c r="E4200" s="16"/>
      <c r="F4200" s="16"/>
    </row>
    <row r="4201" spans="1:6" ht="13">
      <c r="A4201" s="16"/>
      <c r="E4201" s="16"/>
      <c r="F4201" s="16"/>
    </row>
    <row r="4202" spans="1:6" ht="13">
      <c r="A4202" s="16"/>
      <c r="E4202" s="16"/>
      <c r="F4202" s="16"/>
    </row>
    <row r="4203" spans="1:6" ht="13">
      <c r="A4203" s="16"/>
      <c r="E4203" s="16"/>
      <c r="F4203" s="16"/>
    </row>
    <row r="4204" spans="1:6" ht="13">
      <c r="A4204" s="16"/>
      <c r="E4204" s="16"/>
      <c r="F4204" s="16"/>
    </row>
    <row r="4205" spans="1:6" ht="13">
      <c r="A4205" s="16"/>
      <c r="E4205" s="16"/>
      <c r="F4205" s="16"/>
    </row>
    <row r="4206" spans="1:6" ht="13">
      <c r="A4206" s="16"/>
      <c r="E4206" s="16"/>
      <c r="F4206" s="16"/>
    </row>
    <row r="4207" spans="1:6" ht="13">
      <c r="A4207" s="16"/>
      <c r="E4207" s="16"/>
      <c r="F4207" s="16"/>
    </row>
    <row r="4208" spans="1:6" ht="13">
      <c r="A4208" s="16"/>
      <c r="E4208" s="16"/>
      <c r="F4208" s="16"/>
    </row>
    <row r="4209" spans="1:6" ht="13">
      <c r="A4209" s="16"/>
      <c r="E4209" s="16"/>
      <c r="F4209" s="16"/>
    </row>
    <row r="4210" spans="1:6" ht="13">
      <c r="A4210" s="16"/>
      <c r="E4210" s="16"/>
      <c r="F4210" s="16"/>
    </row>
    <row r="4211" spans="1:6" ht="13">
      <c r="A4211" s="16"/>
      <c r="E4211" s="16"/>
      <c r="F4211" s="16"/>
    </row>
    <row r="4212" spans="1:6" ht="13">
      <c r="A4212" s="16"/>
      <c r="E4212" s="16"/>
      <c r="F4212" s="16"/>
    </row>
    <row r="4213" spans="1:6" ht="13">
      <c r="A4213" s="16"/>
      <c r="E4213" s="16"/>
      <c r="F4213" s="16"/>
    </row>
    <row r="4214" spans="1:6" ht="13">
      <c r="A4214" s="16"/>
      <c r="E4214" s="16"/>
      <c r="F4214" s="16"/>
    </row>
    <row r="4215" spans="1:6" ht="13">
      <c r="A4215" s="16"/>
      <c r="E4215" s="16"/>
      <c r="F4215" s="16"/>
    </row>
    <row r="4216" spans="1:6" ht="13">
      <c r="A4216" s="16"/>
      <c r="E4216" s="16"/>
      <c r="F4216" s="16"/>
    </row>
    <row r="4217" spans="1:6" ht="13">
      <c r="A4217" s="16"/>
      <c r="E4217" s="16"/>
      <c r="F4217" s="16"/>
    </row>
    <row r="4218" spans="1:6" ht="13">
      <c r="A4218" s="16"/>
      <c r="E4218" s="16"/>
      <c r="F4218" s="16"/>
    </row>
    <row r="4219" spans="1:6" ht="13">
      <c r="A4219" s="16"/>
      <c r="E4219" s="16"/>
      <c r="F4219" s="16"/>
    </row>
    <row r="4220" spans="1:6" ht="13">
      <c r="A4220" s="16"/>
      <c r="E4220" s="16"/>
      <c r="F4220" s="16"/>
    </row>
    <row r="4221" spans="1:6" ht="13">
      <c r="A4221" s="16"/>
      <c r="E4221" s="16"/>
      <c r="F4221" s="16"/>
    </row>
    <row r="4222" spans="1:6" ht="13">
      <c r="A4222" s="16"/>
      <c r="E4222" s="16"/>
      <c r="F4222" s="16"/>
    </row>
    <row r="4223" spans="1:6" ht="13">
      <c r="A4223" s="16"/>
      <c r="E4223" s="16"/>
      <c r="F4223" s="16"/>
    </row>
    <row r="4224" spans="1:6" ht="13">
      <c r="A4224" s="16"/>
      <c r="E4224" s="16"/>
      <c r="F4224" s="16"/>
    </row>
    <row r="4225" spans="1:6" ht="13">
      <c r="A4225" s="16"/>
      <c r="E4225" s="16"/>
      <c r="F4225" s="16"/>
    </row>
    <row r="4226" spans="1:6" ht="13">
      <c r="A4226" s="16"/>
      <c r="E4226" s="16"/>
      <c r="F4226" s="16"/>
    </row>
    <row r="4227" spans="1:6" ht="13">
      <c r="A4227" s="16"/>
      <c r="E4227" s="16"/>
      <c r="F4227" s="16"/>
    </row>
    <row r="4228" spans="1:6" ht="13">
      <c r="A4228" s="16"/>
      <c r="E4228" s="16"/>
      <c r="F4228" s="16"/>
    </row>
    <row r="4229" spans="1:6" ht="13">
      <c r="A4229" s="16"/>
      <c r="E4229" s="16"/>
      <c r="F4229" s="16"/>
    </row>
    <row r="4230" spans="1:6" ht="13">
      <c r="A4230" s="16"/>
      <c r="E4230" s="16"/>
      <c r="F4230" s="16"/>
    </row>
    <row r="4231" spans="1:6" ht="13">
      <c r="A4231" s="16"/>
      <c r="E4231" s="16"/>
      <c r="F4231" s="16"/>
    </row>
    <row r="4232" spans="1:6" ht="13">
      <c r="A4232" s="16"/>
      <c r="E4232" s="16"/>
      <c r="F4232" s="16"/>
    </row>
    <row r="4233" spans="1:6" ht="13">
      <c r="A4233" s="16"/>
      <c r="E4233" s="16"/>
      <c r="F4233" s="16"/>
    </row>
    <row r="4234" spans="1:6" ht="13">
      <c r="A4234" s="16"/>
      <c r="E4234" s="16"/>
      <c r="F4234" s="16"/>
    </row>
    <row r="4235" spans="1:6" ht="13">
      <c r="A4235" s="16"/>
      <c r="E4235" s="16"/>
      <c r="F4235" s="16"/>
    </row>
    <row r="4236" spans="1:6" ht="13">
      <c r="A4236" s="16"/>
      <c r="E4236" s="16"/>
      <c r="F4236" s="16"/>
    </row>
    <row r="4237" spans="1:6" ht="13">
      <c r="A4237" s="16"/>
      <c r="E4237" s="16"/>
      <c r="F4237" s="16"/>
    </row>
    <row r="4238" spans="1:6" ht="13">
      <c r="A4238" s="16"/>
      <c r="E4238" s="16"/>
      <c r="F4238" s="16"/>
    </row>
    <row r="4239" spans="1:6" ht="13">
      <c r="A4239" s="16"/>
      <c r="E4239" s="16"/>
      <c r="F4239" s="16"/>
    </row>
    <row r="4240" spans="1:6" ht="13">
      <c r="A4240" s="16"/>
      <c r="E4240" s="16"/>
      <c r="F4240" s="16"/>
    </row>
    <row r="4241" spans="1:6" ht="13">
      <c r="A4241" s="16"/>
      <c r="E4241" s="16"/>
      <c r="F4241" s="16"/>
    </row>
    <row r="4242" spans="1:6" ht="13">
      <c r="A4242" s="16"/>
      <c r="E4242" s="16"/>
      <c r="F4242" s="16"/>
    </row>
    <row r="4243" spans="1:6" ht="13">
      <c r="A4243" s="16"/>
      <c r="E4243" s="16"/>
      <c r="F4243" s="16"/>
    </row>
    <row r="4244" spans="1:6" ht="13">
      <c r="A4244" s="16"/>
      <c r="E4244" s="16"/>
      <c r="F4244" s="16"/>
    </row>
    <row r="4245" spans="1:6" ht="13">
      <c r="A4245" s="16"/>
      <c r="E4245" s="16"/>
      <c r="F4245" s="16"/>
    </row>
    <row r="4246" spans="1:6" ht="13">
      <c r="A4246" s="16"/>
      <c r="E4246" s="16"/>
      <c r="F4246" s="16"/>
    </row>
    <row r="4247" spans="1:6" ht="13">
      <c r="A4247" s="16"/>
      <c r="E4247" s="16"/>
      <c r="F4247" s="16"/>
    </row>
    <row r="4248" spans="1:6" ht="13">
      <c r="A4248" s="16"/>
      <c r="E4248" s="16"/>
      <c r="F4248" s="16"/>
    </row>
    <row r="4249" spans="1:6" ht="13">
      <c r="A4249" s="16"/>
      <c r="E4249" s="16"/>
      <c r="F4249" s="16"/>
    </row>
    <row r="4250" spans="1:6" ht="13">
      <c r="A4250" s="16"/>
      <c r="E4250" s="16"/>
      <c r="F4250" s="16"/>
    </row>
    <row r="4251" spans="1:6" ht="13">
      <c r="A4251" s="16"/>
      <c r="E4251" s="16"/>
      <c r="F4251" s="16"/>
    </row>
    <row r="4252" spans="1:6" ht="13">
      <c r="A4252" s="16"/>
      <c r="E4252" s="16"/>
      <c r="F4252" s="16"/>
    </row>
    <row r="4253" spans="1:6" ht="13">
      <c r="A4253" s="16"/>
      <c r="E4253" s="16"/>
      <c r="F4253" s="16"/>
    </row>
    <row r="4254" spans="1:6" ht="13">
      <c r="A4254" s="16"/>
      <c r="E4254" s="16"/>
      <c r="F4254" s="16"/>
    </row>
    <row r="4255" spans="1:6" ht="13">
      <c r="A4255" s="16"/>
      <c r="E4255" s="16"/>
      <c r="F4255" s="16"/>
    </row>
    <row r="4256" spans="1:6" ht="13">
      <c r="A4256" s="16"/>
      <c r="E4256" s="16"/>
      <c r="F4256" s="16"/>
    </row>
    <row r="4257" spans="1:6" ht="13">
      <c r="A4257" s="16"/>
      <c r="E4257" s="16"/>
      <c r="F4257" s="16"/>
    </row>
    <row r="4258" spans="1:6" ht="13">
      <c r="A4258" s="16"/>
      <c r="E4258" s="16"/>
      <c r="F4258" s="16"/>
    </row>
    <row r="4259" spans="1:6" ht="13">
      <c r="A4259" s="16"/>
      <c r="E4259" s="16"/>
      <c r="F4259" s="16"/>
    </row>
    <row r="4260" spans="1:6" ht="13">
      <c r="A4260" s="16"/>
      <c r="E4260" s="16"/>
      <c r="F4260" s="16"/>
    </row>
    <row r="4261" spans="1:6" ht="13">
      <c r="A4261" s="16"/>
      <c r="E4261" s="16"/>
      <c r="F4261" s="16"/>
    </row>
    <row r="4262" spans="1:6" ht="13">
      <c r="A4262" s="16"/>
      <c r="E4262" s="16"/>
      <c r="F4262" s="16"/>
    </row>
    <row r="4263" spans="1:6" ht="13">
      <c r="A4263" s="16"/>
      <c r="E4263" s="16"/>
      <c r="F4263" s="16"/>
    </row>
    <row r="4264" spans="1:6" ht="13">
      <c r="A4264" s="16"/>
      <c r="E4264" s="16"/>
      <c r="F4264" s="16"/>
    </row>
    <row r="4265" spans="1:6" ht="13">
      <c r="A4265" s="16"/>
      <c r="E4265" s="16"/>
      <c r="F4265" s="16"/>
    </row>
    <row r="4266" spans="1:6" ht="13">
      <c r="A4266" s="16"/>
      <c r="E4266" s="16"/>
      <c r="F4266" s="16"/>
    </row>
    <row r="4267" spans="1:6" ht="13">
      <c r="A4267" s="16"/>
      <c r="E4267" s="16"/>
      <c r="F4267" s="16"/>
    </row>
    <row r="4268" spans="1:6" ht="13">
      <c r="A4268" s="16"/>
      <c r="E4268" s="16"/>
      <c r="F4268" s="16"/>
    </row>
    <row r="4269" spans="1:6" ht="13">
      <c r="A4269" s="16"/>
      <c r="E4269" s="16"/>
      <c r="F4269" s="16"/>
    </row>
    <row r="4270" spans="1:6" ht="13">
      <c r="A4270" s="16"/>
      <c r="E4270" s="16"/>
      <c r="F4270" s="16"/>
    </row>
    <row r="4271" spans="1:6" ht="13">
      <c r="A4271" s="16"/>
      <c r="E4271" s="16"/>
      <c r="F4271" s="16"/>
    </row>
    <row r="4272" spans="1:6" ht="13">
      <c r="A4272" s="16"/>
      <c r="E4272" s="16"/>
      <c r="F4272" s="16"/>
    </row>
    <row r="4273" spans="1:6" ht="13">
      <c r="A4273" s="16"/>
      <c r="E4273" s="16"/>
      <c r="F4273" s="16"/>
    </row>
    <row r="4274" spans="1:6" ht="13">
      <c r="A4274" s="16"/>
      <c r="E4274" s="16"/>
      <c r="F4274" s="16"/>
    </row>
    <row r="4275" spans="1:6" ht="13">
      <c r="A4275" s="16"/>
      <c r="E4275" s="16"/>
      <c r="F4275" s="16"/>
    </row>
    <row r="4276" spans="1:6" ht="13">
      <c r="A4276" s="16"/>
      <c r="E4276" s="16"/>
      <c r="F4276" s="16"/>
    </row>
    <row r="4277" spans="1:6" ht="13">
      <c r="A4277" s="16"/>
      <c r="E4277" s="16"/>
      <c r="F4277" s="16"/>
    </row>
    <row r="4278" spans="1:6" ht="13">
      <c r="A4278" s="16"/>
      <c r="E4278" s="16"/>
      <c r="F4278" s="16"/>
    </row>
    <row r="4279" spans="1:6" ht="13">
      <c r="A4279" s="16"/>
      <c r="E4279" s="16"/>
      <c r="F4279" s="16"/>
    </row>
    <row r="4280" spans="1:6" ht="13">
      <c r="A4280" s="16"/>
      <c r="E4280" s="16"/>
      <c r="F4280" s="16"/>
    </row>
    <row r="4281" spans="1:6" ht="13">
      <c r="A4281" s="16"/>
      <c r="E4281" s="16"/>
      <c r="F4281" s="16"/>
    </row>
    <row r="4282" spans="1:6" ht="13">
      <c r="A4282" s="16"/>
      <c r="E4282" s="16"/>
      <c r="F4282" s="16"/>
    </row>
    <row r="4283" spans="1:6" ht="13">
      <c r="A4283" s="16"/>
      <c r="E4283" s="16"/>
      <c r="F4283" s="16"/>
    </row>
    <row r="4284" spans="1:6" ht="13">
      <c r="A4284" s="16"/>
      <c r="E4284" s="16"/>
      <c r="F4284" s="16"/>
    </row>
    <row r="4285" spans="1:6" ht="13">
      <c r="A4285" s="16"/>
      <c r="E4285" s="16"/>
      <c r="F4285" s="16"/>
    </row>
    <row r="4286" spans="1:6" ht="13">
      <c r="A4286" s="16"/>
      <c r="E4286" s="16"/>
      <c r="F4286" s="16"/>
    </row>
    <row r="4287" spans="1:6" ht="13">
      <c r="A4287" s="16"/>
      <c r="E4287" s="16"/>
      <c r="F4287" s="16"/>
    </row>
    <row r="4288" spans="1:6" ht="13">
      <c r="A4288" s="16"/>
      <c r="E4288" s="16"/>
      <c r="F4288" s="16"/>
    </row>
    <row r="4289" spans="1:6" ht="13">
      <c r="A4289" s="16"/>
      <c r="E4289" s="16"/>
      <c r="F4289" s="16"/>
    </row>
    <row r="4290" spans="1:6" ht="13">
      <c r="A4290" s="16"/>
      <c r="E4290" s="16"/>
      <c r="F4290" s="16"/>
    </row>
    <row r="4291" spans="1:6" ht="13">
      <c r="A4291" s="16"/>
      <c r="E4291" s="16"/>
      <c r="F4291" s="16"/>
    </row>
    <row r="4292" spans="1:6" ht="13">
      <c r="A4292" s="16"/>
      <c r="E4292" s="16"/>
      <c r="F4292" s="16"/>
    </row>
    <row r="4293" spans="1:6" ht="13">
      <c r="A4293" s="16"/>
      <c r="E4293" s="16"/>
      <c r="F4293" s="16"/>
    </row>
    <row r="4294" spans="1:6" ht="13">
      <c r="A4294" s="16"/>
      <c r="E4294" s="16"/>
      <c r="F4294" s="16"/>
    </row>
    <row r="4295" spans="1:6" ht="13">
      <c r="A4295" s="16"/>
      <c r="E4295" s="16"/>
      <c r="F4295" s="16"/>
    </row>
    <row r="4296" spans="1:6" ht="13">
      <c r="A4296" s="16"/>
      <c r="E4296" s="16"/>
      <c r="F4296" s="16"/>
    </row>
    <row r="4297" spans="1:6" ht="13">
      <c r="A4297" s="16"/>
      <c r="E4297" s="16"/>
      <c r="F4297" s="16"/>
    </row>
    <row r="4298" spans="1:6" ht="13">
      <c r="A4298" s="16"/>
      <c r="E4298" s="16"/>
      <c r="F4298" s="16"/>
    </row>
    <row r="4299" spans="1:6" ht="13">
      <c r="A4299" s="16"/>
      <c r="E4299" s="16"/>
      <c r="F4299" s="16"/>
    </row>
    <row r="4300" spans="1:6" ht="13">
      <c r="A4300" s="16"/>
      <c r="E4300" s="16"/>
      <c r="F4300" s="16"/>
    </row>
    <row r="4301" spans="1:6" ht="13">
      <c r="A4301" s="16"/>
      <c r="E4301" s="16"/>
      <c r="F4301" s="16"/>
    </row>
    <row r="4302" spans="1:6" ht="13">
      <c r="A4302" s="16"/>
      <c r="E4302" s="16"/>
      <c r="F4302" s="16"/>
    </row>
    <row r="4303" spans="1:6" ht="13">
      <c r="A4303" s="16"/>
      <c r="E4303" s="16"/>
      <c r="F4303" s="16"/>
    </row>
    <row r="4304" spans="1:6" ht="13">
      <c r="A4304" s="16"/>
      <c r="E4304" s="16"/>
      <c r="F4304" s="16"/>
    </row>
    <row r="4305" spans="1:6" ht="13">
      <c r="A4305" s="16"/>
      <c r="E4305" s="16"/>
      <c r="F4305" s="16"/>
    </row>
    <row r="4306" spans="1:6" ht="13">
      <c r="A4306" s="16"/>
      <c r="E4306" s="16"/>
      <c r="F4306" s="16"/>
    </row>
    <row r="4307" spans="1:6" ht="13">
      <c r="A4307" s="16"/>
      <c r="E4307" s="16"/>
      <c r="F4307" s="16"/>
    </row>
    <row r="4308" spans="1:6" ht="13">
      <c r="A4308" s="16"/>
      <c r="E4308" s="16"/>
      <c r="F4308" s="16"/>
    </row>
    <row r="4309" spans="1:6" ht="13">
      <c r="A4309" s="16"/>
      <c r="E4309" s="16"/>
      <c r="F4309" s="16"/>
    </row>
    <row r="4310" spans="1:6" ht="13">
      <c r="A4310" s="16"/>
      <c r="E4310" s="16"/>
      <c r="F4310" s="16"/>
    </row>
    <row r="4311" spans="1:6" ht="13">
      <c r="A4311" s="16"/>
      <c r="E4311" s="16"/>
      <c r="F4311" s="16"/>
    </row>
    <row r="4312" spans="1:6" ht="13">
      <c r="A4312" s="16"/>
      <c r="E4312" s="16"/>
      <c r="F4312" s="16"/>
    </row>
    <row r="4313" spans="1:6" ht="13">
      <c r="A4313" s="16"/>
      <c r="E4313" s="16"/>
      <c r="F4313" s="16"/>
    </row>
    <row r="4314" spans="1:6" ht="13">
      <c r="A4314" s="16"/>
      <c r="E4314" s="16"/>
      <c r="F4314" s="16"/>
    </row>
    <row r="4315" spans="1:6" ht="13">
      <c r="A4315" s="16"/>
      <c r="E4315" s="16"/>
      <c r="F4315" s="16"/>
    </row>
    <row r="4316" spans="1:6" ht="13">
      <c r="A4316" s="16"/>
      <c r="E4316" s="16"/>
      <c r="F4316" s="16"/>
    </row>
    <row r="4317" spans="1:6" ht="13">
      <c r="A4317" s="16"/>
      <c r="E4317" s="16"/>
      <c r="F4317" s="16"/>
    </row>
    <row r="4318" spans="1:6" ht="13">
      <c r="A4318" s="16"/>
      <c r="E4318" s="16"/>
      <c r="F4318" s="16"/>
    </row>
    <row r="4319" spans="1:6" ht="13">
      <c r="A4319" s="16"/>
      <c r="E4319" s="16"/>
      <c r="F4319" s="16"/>
    </row>
    <row r="4320" spans="1:6" ht="13">
      <c r="A4320" s="16"/>
      <c r="E4320" s="16"/>
      <c r="F4320" s="16"/>
    </row>
    <row r="4321" spans="1:6" ht="13">
      <c r="A4321" s="16"/>
      <c r="E4321" s="16"/>
      <c r="F4321" s="16"/>
    </row>
    <row r="4322" spans="1:6" ht="13">
      <c r="A4322" s="16"/>
      <c r="E4322" s="16"/>
      <c r="F4322" s="16"/>
    </row>
    <row r="4323" spans="1:6" ht="13">
      <c r="A4323" s="16"/>
      <c r="E4323" s="16"/>
      <c r="F4323" s="16"/>
    </row>
    <row r="4324" spans="1:6" ht="13">
      <c r="A4324" s="16"/>
      <c r="E4324" s="16"/>
      <c r="F4324" s="16"/>
    </row>
    <row r="4325" spans="1:6" ht="13">
      <c r="A4325" s="16"/>
      <c r="E4325" s="16"/>
      <c r="F4325" s="16"/>
    </row>
    <row r="4326" spans="1:6" ht="13">
      <c r="A4326" s="16"/>
      <c r="E4326" s="16"/>
      <c r="F4326" s="16"/>
    </row>
    <row r="4327" spans="1:6" ht="13">
      <c r="A4327" s="16"/>
      <c r="E4327" s="16"/>
      <c r="F4327" s="16"/>
    </row>
    <row r="4328" spans="1:6" ht="13">
      <c r="A4328" s="16"/>
      <c r="E4328" s="16"/>
      <c r="F4328" s="16"/>
    </row>
    <row r="4329" spans="1:6" ht="13">
      <c r="A4329" s="16"/>
      <c r="E4329" s="16"/>
      <c r="F4329" s="16"/>
    </row>
    <row r="4330" spans="1:6" ht="13">
      <c r="A4330" s="16"/>
      <c r="E4330" s="16"/>
      <c r="F4330" s="16"/>
    </row>
    <row r="4331" spans="1:6" ht="13">
      <c r="A4331" s="16"/>
      <c r="E4331" s="16"/>
      <c r="F4331" s="16"/>
    </row>
    <row r="4332" spans="1:6" ht="13">
      <c r="A4332" s="16"/>
      <c r="E4332" s="16"/>
      <c r="F4332" s="16"/>
    </row>
    <row r="4333" spans="1:6" ht="13">
      <c r="A4333" s="16"/>
      <c r="E4333" s="16"/>
      <c r="F4333" s="16"/>
    </row>
    <row r="4334" spans="1:6" ht="13">
      <c r="A4334" s="16"/>
      <c r="E4334" s="16"/>
      <c r="F4334" s="16"/>
    </row>
    <row r="4335" spans="1:6" ht="13">
      <c r="A4335" s="16"/>
      <c r="E4335" s="16"/>
      <c r="F4335" s="16"/>
    </row>
    <row r="4336" spans="1:6" ht="13">
      <c r="A4336" s="16"/>
      <c r="E4336" s="16"/>
      <c r="F4336" s="16"/>
    </row>
    <row r="4337" spans="1:6" ht="13">
      <c r="A4337" s="16"/>
      <c r="E4337" s="16"/>
      <c r="F4337" s="16"/>
    </row>
    <row r="4338" spans="1:6" ht="13">
      <c r="A4338" s="16"/>
      <c r="E4338" s="16"/>
      <c r="F4338" s="16"/>
    </row>
    <row r="4339" spans="1:6" ht="13">
      <c r="A4339" s="16"/>
      <c r="E4339" s="16"/>
      <c r="F4339" s="16"/>
    </row>
    <row r="4340" spans="1:6" ht="13">
      <c r="A4340" s="16"/>
      <c r="E4340" s="16"/>
      <c r="F4340" s="16"/>
    </row>
    <row r="4341" spans="1:6" ht="13">
      <c r="A4341" s="16"/>
      <c r="E4341" s="16"/>
      <c r="F4341" s="16"/>
    </row>
    <row r="4342" spans="1:6" ht="13">
      <c r="A4342" s="16"/>
      <c r="E4342" s="16"/>
      <c r="F4342" s="16"/>
    </row>
    <row r="4343" spans="1:6" ht="13">
      <c r="A4343" s="16"/>
      <c r="E4343" s="16"/>
      <c r="F4343" s="16"/>
    </row>
    <row r="4344" spans="1:6" ht="13">
      <c r="A4344" s="16"/>
      <c r="E4344" s="16"/>
      <c r="F4344" s="16"/>
    </row>
    <row r="4345" spans="1:6" ht="13">
      <c r="A4345" s="16"/>
      <c r="E4345" s="16"/>
      <c r="F4345" s="16"/>
    </row>
    <row r="4346" spans="1:6" ht="13">
      <c r="A4346" s="16"/>
      <c r="E4346" s="16"/>
      <c r="F4346" s="16"/>
    </row>
    <row r="4347" spans="1:6" ht="13">
      <c r="A4347" s="16"/>
      <c r="E4347" s="16"/>
      <c r="F4347" s="16"/>
    </row>
    <row r="4348" spans="1:6" ht="13">
      <c r="A4348" s="16"/>
      <c r="E4348" s="16"/>
      <c r="F4348" s="16"/>
    </row>
    <row r="4349" spans="1:6" ht="13">
      <c r="A4349" s="16"/>
      <c r="E4349" s="16"/>
      <c r="F4349" s="16"/>
    </row>
    <row r="4350" spans="1:6" ht="13">
      <c r="A4350" s="16"/>
      <c r="E4350" s="16"/>
      <c r="F4350" s="16"/>
    </row>
    <row r="4351" spans="1:6" ht="13">
      <c r="A4351" s="16"/>
      <c r="E4351" s="16"/>
      <c r="F4351" s="16"/>
    </row>
    <row r="4352" spans="1:6" ht="13">
      <c r="A4352" s="16"/>
      <c r="E4352" s="16"/>
      <c r="F4352" s="16"/>
    </row>
    <row r="4353" spans="1:6" ht="13">
      <c r="A4353" s="16"/>
      <c r="E4353" s="16"/>
      <c r="F4353" s="16"/>
    </row>
    <row r="4354" spans="1:6" ht="13">
      <c r="A4354" s="16"/>
      <c r="E4354" s="16"/>
      <c r="F4354" s="16"/>
    </row>
    <row r="4355" spans="1:6" ht="13">
      <c r="A4355" s="16"/>
      <c r="E4355" s="16"/>
      <c r="F4355" s="16"/>
    </row>
    <row r="4356" spans="1:6" ht="13">
      <c r="A4356" s="16"/>
      <c r="E4356" s="16"/>
      <c r="F4356" s="16"/>
    </row>
    <row r="4357" spans="1:6" ht="13">
      <c r="A4357" s="16"/>
      <c r="E4357" s="16"/>
      <c r="F4357" s="16"/>
    </row>
    <row r="4358" spans="1:6" ht="13">
      <c r="A4358" s="16"/>
      <c r="E4358" s="16"/>
      <c r="F4358" s="16"/>
    </row>
    <row r="4359" spans="1:6" ht="13">
      <c r="A4359" s="16"/>
      <c r="E4359" s="16"/>
      <c r="F4359" s="16"/>
    </row>
    <row r="4360" spans="1:6" ht="13">
      <c r="A4360" s="16"/>
      <c r="E4360" s="16"/>
      <c r="F4360" s="16"/>
    </row>
    <row r="4361" spans="1:6" ht="13">
      <c r="A4361" s="16"/>
      <c r="E4361" s="16"/>
      <c r="F4361" s="16"/>
    </row>
    <row r="4362" spans="1:6" ht="13">
      <c r="A4362" s="16"/>
      <c r="E4362" s="16"/>
      <c r="F4362" s="16"/>
    </row>
    <row r="4363" spans="1:6" ht="13">
      <c r="A4363" s="16"/>
      <c r="E4363" s="16"/>
      <c r="F4363" s="16"/>
    </row>
    <row r="4364" spans="1:6" ht="13">
      <c r="A4364" s="16"/>
      <c r="E4364" s="16"/>
      <c r="F4364" s="16"/>
    </row>
    <row r="4365" spans="1:6" ht="13">
      <c r="A4365" s="16"/>
      <c r="E4365" s="16"/>
      <c r="F4365" s="16"/>
    </row>
    <row r="4366" spans="1:6" ht="13">
      <c r="A4366" s="16"/>
      <c r="E4366" s="16"/>
      <c r="F4366" s="16"/>
    </row>
    <row r="4367" spans="1:6" ht="13">
      <c r="A4367" s="16"/>
      <c r="E4367" s="16"/>
      <c r="F4367" s="16"/>
    </row>
    <row r="4368" spans="1:6" ht="13">
      <c r="A4368" s="16"/>
      <c r="E4368" s="16"/>
      <c r="F4368" s="16"/>
    </row>
    <row r="4369" spans="1:6" ht="13">
      <c r="A4369" s="16"/>
      <c r="E4369" s="16"/>
      <c r="F4369" s="16"/>
    </row>
    <row r="4370" spans="1:6" ht="13">
      <c r="A4370" s="16"/>
      <c r="E4370" s="16"/>
      <c r="F4370" s="16"/>
    </row>
    <row r="4371" spans="1:6" ht="13">
      <c r="A4371" s="16"/>
      <c r="E4371" s="16"/>
      <c r="F4371" s="16"/>
    </row>
    <row r="4372" spans="1:6" ht="13">
      <c r="A4372" s="16"/>
      <c r="E4372" s="16"/>
      <c r="F4372" s="16"/>
    </row>
    <row r="4373" spans="1:6" ht="13">
      <c r="A4373" s="16"/>
      <c r="E4373" s="16"/>
      <c r="F4373" s="16"/>
    </row>
    <row r="4374" spans="1:6" ht="13">
      <c r="A4374" s="16"/>
      <c r="E4374" s="16"/>
      <c r="F4374" s="16"/>
    </row>
    <row r="4375" spans="1:6" ht="13">
      <c r="A4375" s="16"/>
      <c r="E4375" s="16"/>
      <c r="F4375" s="16"/>
    </row>
    <row r="4376" spans="1:6" ht="13">
      <c r="A4376" s="16"/>
      <c r="E4376" s="16"/>
      <c r="F4376" s="16"/>
    </row>
    <row r="4377" spans="1:6" ht="13">
      <c r="A4377" s="16"/>
      <c r="E4377" s="16"/>
      <c r="F4377" s="16"/>
    </row>
    <row r="4378" spans="1:6" ht="13">
      <c r="A4378" s="16"/>
      <c r="E4378" s="16"/>
      <c r="F4378" s="16"/>
    </row>
    <row r="4379" spans="1:6" ht="13">
      <c r="A4379" s="16"/>
      <c r="E4379" s="16"/>
      <c r="F4379" s="16"/>
    </row>
    <row r="4380" spans="1:6" ht="13">
      <c r="A4380" s="16"/>
      <c r="E4380" s="16"/>
      <c r="F4380" s="16"/>
    </row>
    <row r="4381" spans="1:6" ht="13">
      <c r="A4381" s="16"/>
      <c r="E4381" s="16"/>
      <c r="F4381" s="16"/>
    </row>
    <row r="4382" spans="1:6" ht="13">
      <c r="A4382" s="16"/>
      <c r="E4382" s="16"/>
      <c r="F4382" s="16"/>
    </row>
    <row r="4383" spans="1:6" ht="13">
      <c r="A4383" s="16"/>
      <c r="E4383" s="16"/>
      <c r="F4383" s="16"/>
    </row>
    <row r="4384" spans="1:6" ht="13">
      <c r="A4384" s="16"/>
      <c r="E4384" s="16"/>
      <c r="F4384" s="16"/>
    </row>
    <row r="4385" spans="1:6" ht="13">
      <c r="A4385" s="16"/>
      <c r="E4385" s="16"/>
      <c r="F4385" s="16"/>
    </row>
    <row r="4386" spans="1:6" ht="13">
      <c r="A4386" s="16"/>
      <c r="E4386" s="16"/>
      <c r="F4386" s="16"/>
    </row>
    <row r="4387" spans="1:6" ht="13">
      <c r="A4387" s="16"/>
      <c r="E4387" s="16"/>
      <c r="F4387" s="16"/>
    </row>
    <row r="4388" spans="1:6" ht="13">
      <c r="A4388" s="16"/>
      <c r="E4388" s="16"/>
      <c r="F4388" s="16"/>
    </row>
    <row r="4389" spans="1:6" ht="13">
      <c r="A4389" s="16"/>
      <c r="E4389" s="16"/>
      <c r="F4389" s="16"/>
    </row>
    <row r="4390" spans="1:6" ht="13">
      <c r="A4390" s="16"/>
      <c r="E4390" s="16"/>
      <c r="F4390" s="16"/>
    </row>
    <row r="4391" spans="1:6" ht="13">
      <c r="A4391" s="16"/>
      <c r="E4391" s="16"/>
      <c r="F4391" s="16"/>
    </row>
    <row r="4392" spans="1:6" ht="13">
      <c r="A4392" s="16"/>
      <c r="E4392" s="16"/>
      <c r="F4392" s="16"/>
    </row>
    <row r="4393" spans="1:6" ht="13">
      <c r="A4393" s="16"/>
      <c r="E4393" s="16"/>
      <c r="F4393" s="16"/>
    </row>
    <row r="4394" spans="1:6" ht="13">
      <c r="A4394" s="16"/>
      <c r="E4394" s="16"/>
      <c r="F4394" s="16"/>
    </row>
    <row r="4395" spans="1:6" ht="13">
      <c r="A4395" s="16"/>
      <c r="E4395" s="16"/>
      <c r="F4395" s="16"/>
    </row>
    <row r="4396" spans="1:6" ht="13">
      <c r="A4396" s="16"/>
      <c r="E4396" s="16"/>
      <c r="F4396" s="16"/>
    </row>
    <row r="4397" spans="1:6" ht="13">
      <c r="A4397" s="16"/>
      <c r="E4397" s="16"/>
      <c r="F4397" s="16"/>
    </row>
    <row r="4398" spans="1:6" ht="13">
      <c r="A4398" s="16"/>
      <c r="E4398" s="16"/>
      <c r="F4398" s="16"/>
    </row>
    <row r="4399" spans="1:6" ht="13">
      <c r="A4399" s="16"/>
      <c r="E4399" s="16"/>
      <c r="F4399" s="16"/>
    </row>
    <row r="4400" spans="1:6" ht="13">
      <c r="A4400" s="16"/>
      <c r="E4400" s="16"/>
      <c r="F4400" s="16"/>
    </row>
    <row r="4401" spans="1:6" ht="13">
      <c r="A4401" s="16"/>
      <c r="E4401" s="16"/>
      <c r="F4401" s="16"/>
    </row>
    <row r="4402" spans="1:6" ht="13">
      <c r="A4402" s="16"/>
      <c r="E4402" s="16"/>
      <c r="F4402" s="16"/>
    </row>
    <row r="4403" spans="1:6" ht="13">
      <c r="A4403" s="16"/>
      <c r="E4403" s="16"/>
      <c r="F4403" s="16"/>
    </row>
    <row r="4404" spans="1:6" ht="13">
      <c r="A4404" s="16"/>
      <c r="E4404" s="16"/>
      <c r="F4404" s="16"/>
    </row>
    <row r="4405" spans="1:6" ht="13">
      <c r="A4405" s="16"/>
      <c r="E4405" s="16"/>
      <c r="F4405" s="16"/>
    </row>
    <row r="4406" spans="1:6" ht="13">
      <c r="A4406" s="16"/>
      <c r="E4406" s="16"/>
      <c r="F4406" s="16"/>
    </row>
    <row r="4407" spans="1:6" ht="13">
      <c r="A4407" s="16"/>
      <c r="E4407" s="16"/>
      <c r="F4407" s="16"/>
    </row>
    <row r="4408" spans="1:6" ht="13">
      <c r="A4408" s="16"/>
      <c r="E4408" s="16"/>
      <c r="F4408" s="16"/>
    </row>
    <row r="4409" spans="1:6" ht="13">
      <c r="A4409" s="16"/>
      <c r="E4409" s="16"/>
      <c r="F4409" s="16"/>
    </row>
    <row r="4410" spans="1:6" ht="13">
      <c r="A4410" s="16"/>
      <c r="E4410" s="16"/>
      <c r="F4410" s="16"/>
    </row>
    <row r="4411" spans="1:6" ht="13">
      <c r="A4411" s="16"/>
      <c r="E4411" s="16"/>
      <c r="F4411" s="16"/>
    </row>
    <row r="4412" spans="1:6" ht="13">
      <c r="A4412" s="16"/>
      <c r="E4412" s="16"/>
      <c r="F4412" s="16"/>
    </row>
    <row r="4413" spans="1:6" ht="13">
      <c r="A4413" s="16"/>
      <c r="E4413" s="16"/>
      <c r="F4413" s="16"/>
    </row>
    <row r="4414" spans="1:6" ht="13">
      <c r="A4414" s="16"/>
      <c r="E4414" s="16"/>
      <c r="F4414" s="16"/>
    </row>
    <row r="4415" spans="1:6" ht="13">
      <c r="A4415" s="16"/>
      <c r="E4415" s="16"/>
      <c r="F4415" s="16"/>
    </row>
    <row r="4416" spans="1:6" ht="13">
      <c r="A4416" s="16"/>
      <c r="E4416" s="16"/>
      <c r="F4416" s="16"/>
    </row>
    <row r="4417" spans="1:6" ht="13">
      <c r="A4417" s="16"/>
      <c r="E4417" s="16"/>
      <c r="F4417" s="16"/>
    </row>
    <row r="4418" spans="1:6" ht="13">
      <c r="A4418" s="16"/>
      <c r="E4418" s="16"/>
      <c r="F4418" s="16"/>
    </row>
    <row r="4419" spans="1:6" ht="13">
      <c r="A4419" s="16"/>
      <c r="E4419" s="16"/>
      <c r="F4419" s="16"/>
    </row>
    <row r="4420" spans="1:6" ht="13">
      <c r="A4420" s="16"/>
      <c r="E4420" s="16"/>
      <c r="F4420" s="16"/>
    </row>
    <row r="4421" spans="1:6" ht="13">
      <c r="A4421" s="16"/>
      <c r="E4421" s="16"/>
      <c r="F4421" s="16"/>
    </row>
    <row r="4422" spans="1:6" ht="13">
      <c r="A4422" s="16"/>
      <c r="E4422" s="16"/>
      <c r="F4422" s="16"/>
    </row>
    <row r="4423" spans="1:6" ht="13">
      <c r="A4423" s="16"/>
      <c r="E4423" s="16"/>
      <c r="F4423" s="16"/>
    </row>
    <row r="4424" spans="1:6" ht="13">
      <c r="A4424" s="16"/>
      <c r="E4424" s="16"/>
      <c r="F4424" s="16"/>
    </row>
    <row r="4425" spans="1:6" ht="13">
      <c r="A4425" s="16"/>
      <c r="E4425" s="16"/>
      <c r="F4425" s="16"/>
    </row>
    <row r="4426" spans="1:6" ht="13">
      <c r="A4426" s="16"/>
      <c r="E4426" s="16"/>
      <c r="F4426" s="16"/>
    </row>
    <row r="4427" spans="1:6" ht="13">
      <c r="A4427" s="16"/>
      <c r="E4427" s="16"/>
      <c r="F4427" s="16"/>
    </row>
    <row r="4428" spans="1:6" ht="13">
      <c r="A4428" s="16"/>
      <c r="E4428" s="16"/>
      <c r="F4428" s="16"/>
    </row>
    <row r="4429" spans="1:6" ht="13">
      <c r="A4429" s="16"/>
      <c r="E4429" s="16"/>
      <c r="F4429" s="16"/>
    </row>
    <row r="4430" spans="1:6" ht="13">
      <c r="A4430" s="16"/>
      <c r="E4430" s="16"/>
      <c r="F4430" s="16"/>
    </row>
    <row r="4431" spans="1:6" ht="13">
      <c r="A4431" s="16"/>
      <c r="E4431" s="16"/>
      <c r="F4431" s="16"/>
    </row>
    <row r="4432" spans="1:6" ht="13">
      <c r="A4432" s="16"/>
      <c r="E4432" s="16"/>
      <c r="F4432" s="16"/>
    </row>
    <row r="4433" spans="1:6" ht="13">
      <c r="A4433" s="16"/>
      <c r="E4433" s="16"/>
      <c r="F4433" s="16"/>
    </row>
    <row r="4434" spans="1:6" ht="13">
      <c r="A4434" s="16"/>
      <c r="E4434" s="16"/>
      <c r="F4434" s="16"/>
    </row>
    <row r="4435" spans="1:6" ht="13">
      <c r="A4435" s="16"/>
      <c r="E4435" s="16"/>
      <c r="F4435" s="16"/>
    </row>
    <row r="4436" spans="1:6" ht="13">
      <c r="A4436" s="16"/>
      <c r="E4436" s="16"/>
      <c r="F4436" s="16"/>
    </row>
    <row r="4437" spans="1:6" ht="13">
      <c r="A4437" s="16"/>
      <c r="E4437" s="16"/>
      <c r="F4437" s="16"/>
    </row>
    <row r="4438" spans="1:6" ht="13">
      <c r="A4438" s="16"/>
      <c r="E4438" s="16"/>
      <c r="F4438" s="16"/>
    </row>
    <row r="4439" spans="1:6" ht="13">
      <c r="A4439" s="16"/>
      <c r="E4439" s="16"/>
      <c r="F4439" s="16"/>
    </row>
    <row r="4440" spans="1:6" ht="13">
      <c r="A4440" s="16"/>
      <c r="E4440" s="16"/>
      <c r="F4440" s="16"/>
    </row>
    <row r="4441" spans="1:6" ht="13">
      <c r="A4441" s="16"/>
      <c r="E4441" s="16"/>
      <c r="F4441" s="16"/>
    </row>
    <row r="4442" spans="1:6" ht="13">
      <c r="A4442" s="16"/>
      <c r="E4442" s="16"/>
      <c r="F4442" s="16"/>
    </row>
    <row r="4443" spans="1:6" ht="13">
      <c r="A4443" s="16"/>
      <c r="E4443" s="16"/>
      <c r="F4443" s="16"/>
    </row>
    <row r="4444" spans="1:6" ht="13">
      <c r="A4444" s="16"/>
      <c r="E4444" s="16"/>
      <c r="F4444" s="16"/>
    </row>
    <row r="4445" spans="1:6" ht="13">
      <c r="A4445" s="16"/>
      <c r="E4445" s="16"/>
      <c r="F4445" s="16"/>
    </row>
    <row r="4446" spans="1:6" ht="13">
      <c r="A4446" s="16"/>
      <c r="E4446" s="16"/>
      <c r="F4446" s="16"/>
    </row>
    <row r="4447" spans="1:6" ht="13">
      <c r="A4447" s="16"/>
      <c r="E4447" s="16"/>
      <c r="F4447" s="16"/>
    </row>
    <row r="4448" spans="1:6" ht="13">
      <c r="A4448" s="16"/>
      <c r="E4448" s="16"/>
      <c r="F4448" s="16"/>
    </row>
    <row r="4449" spans="1:6" ht="13">
      <c r="A4449" s="16"/>
      <c r="E4449" s="16"/>
      <c r="F4449" s="16"/>
    </row>
    <row r="4450" spans="1:6" ht="13">
      <c r="A4450" s="16"/>
      <c r="E4450" s="16"/>
      <c r="F4450" s="16"/>
    </row>
    <row r="4451" spans="1:6" ht="13">
      <c r="A4451" s="16"/>
      <c r="E4451" s="16"/>
      <c r="F4451" s="16"/>
    </row>
    <row r="4452" spans="1:6" ht="13">
      <c r="A4452" s="16"/>
      <c r="E4452" s="16"/>
      <c r="F4452" s="16"/>
    </row>
    <row r="4453" spans="1:6" ht="13">
      <c r="A4453" s="16"/>
      <c r="E4453" s="16"/>
      <c r="F4453" s="16"/>
    </row>
    <row r="4454" spans="1:6" ht="13">
      <c r="A4454" s="16"/>
      <c r="E4454" s="16"/>
      <c r="F4454" s="16"/>
    </row>
    <row r="4455" spans="1:6" ht="13">
      <c r="A4455" s="16"/>
      <c r="E4455" s="16"/>
      <c r="F4455" s="16"/>
    </row>
    <row r="4456" spans="1:6" ht="13">
      <c r="A4456" s="16"/>
      <c r="E4456" s="16"/>
      <c r="F4456" s="16"/>
    </row>
    <row r="4457" spans="1:6" ht="13">
      <c r="A4457" s="16"/>
      <c r="E4457" s="16"/>
      <c r="F4457" s="16"/>
    </row>
    <row r="4458" spans="1:6" ht="13">
      <c r="A4458" s="16"/>
      <c r="E4458" s="16"/>
      <c r="F4458" s="16"/>
    </row>
    <row r="4459" spans="1:6" ht="13">
      <c r="A4459" s="16"/>
      <c r="E4459" s="16"/>
      <c r="F4459" s="16"/>
    </row>
    <row r="4460" spans="1:6" ht="13">
      <c r="A4460" s="16"/>
      <c r="E4460" s="16"/>
      <c r="F4460" s="16"/>
    </row>
    <row r="4461" spans="1:6" ht="13">
      <c r="A4461" s="16"/>
      <c r="E4461" s="16"/>
      <c r="F4461" s="16"/>
    </row>
    <row r="4462" spans="1:6" ht="13">
      <c r="A4462" s="16"/>
      <c r="E4462" s="16"/>
      <c r="F4462" s="16"/>
    </row>
    <row r="4463" spans="1:6" ht="13">
      <c r="A4463" s="16"/>
      <c r="E4463" s="16"/>
      <c r="F4463" s="16"/>
    </row>
    <row r="4464" spans="1:6" ht="13">
      <c r="A4464" s="16"/>
      <c r="E4464" s="16"/>
      <c r="F4464" s="16"/>
    </row>
    <row r="4465" spans="1:6" ht="13">
      <c r="A4465" s="16"/>
      <c r="E4465" s="16"/>
      <c r="F4465" s="16"/>
    </row>
    <row r="4466" spans="1:6" ht="13">
      <c r="A4466" s="16"/>
      <c r="E4466" s="16"/>
      <c r="F4466" s="16"/>
    </row>
    <row r="4467" spans="1:6" ht="13">
      <c r="A4467" s="16"/>
      <c r="E4467" s="16"/>
      <c r="F4467" s="16"/>
    </row>
    <row r="4468" spans="1:6" ht="13">
      <c r="A4468" s="16"/>
      <c r="E4468" s="16"/>
      <c r="F4468" s="16"/>
    </row>
    <row r="4469" spans="1:6" ht="13">
      <c r="A4469" s="16"/>
      <c r="E4469" s="16"/>
      <c r="F4469" s="16"/>
    </row>
    <row r="4470" spans="1:6" ht="13">
      <c r="A4470" s="16"/>
      <c r="E4470" s="16"/>
      <c r="F4470" s="16"/>
    </row>
    <row r="4471" spans="1:6" ht="13">
      <c r="A4471" s="16"/>
      <c r="E4471" s="16"/>
      <c r="F4471" s="16"/>
    </row>
    <row r="4472" spans="1:6" ht="13">
      <c r="A4472" s="16"/>
      <c r="E4472" s="16"/>
      <c r="F4472" s="16"/>
    </row>
    <row r="4473" spans="1:6" ht="13">
      <c r="A4473" s="16"/>
      <c r="E4473" s="16"/>
      <c r="F4473" s="16"/>
    </row>
    <row r="4474" spans="1:6" ht="13">
      <c r="A4474" s="16"/>
      <c r="E4474" s="16"/>
      <c r="F4474" s="16"/>
    </row>
    <row r="4475" spans="1:6" ht="13">
      <c r="A4475" s="16"/>
      <c r="E4475" s="16"/>
      <c r="F4475" s="16"/>
    </row>
    <row r="4476" spans="1:6" ht="13">
      <c r="A4476" s="16"/>
      <c r="E4476" s="16"/>
      <c r="F4476" s="16"/>
    </row>
    <row r="4477" spans="1:6" ht="13">
      <c r="A4477" s="16"/>
      <c r="E4477" s="16"/>
      <c r="F4477" s="16"/>
    </row>
    <row r="4478" spans="1:6" ht="13">
      <c r="A4478" s="16"/>
      <c r="E4478" s="16"/>
      <c r="F4478" s="16"/>
    </row>
    <row r="4479" spans="1:6" ht="13">
      <c r="A4479" s="16"/>
      <c r="E4479" s="16"/>
      <c r="F4479" s="16"/>
    </row>
    <row r="4480" spans="1:6" ht="13">
      <c r="A4480" s="16"/>
      <c r="E4480" s="16"/>
      <c r="F4480" s="16"/>
    </row>
    <row r="4481" spans="1:6" ht="13">
      <c r="A4481" s="16"/>
      <c r="E4481" s="16"/>
      <c r="F4481" s="16"/>
    </row>
    <row r="4482" spans="1:6" ht="13">
      <c r="A4482" s="16"/>
      <c r="E4482" s="16"/>
      <c r="F4482" s="16"/>
    </row>
    <row r="4483" spans="1:6" ht="13">
      <c r="A4483" s="16"/>
      <c r="E4483" s="16"/>
      <c r="F4483" s="16"/>
    </row>
    <row r="4484" spans="1:6" ht="13">
      <c r="A4484" s="16"/>
      <c r="E4484" s="16"/>
      <c r="F4484" s="16"/>
    </row>
    <row r="4485" spans="1:6" ht="13">
      <c r="A4485" s="16"/>
      <c r="E4485" s="16"/>
      <c r="F4485" s="16"/>
    </row>
    <row r="4486" spans="1:6" ht="13">
      <c r="A4486" s="16"/>
      <c r="E4486" s="16"/>
      <c r="F4486" s="16"/>
    </row>
    <row r="4487" spans="1:6" ht="13">
      <c r="A4487" s="16"/>
      <c r="E4487" s="16"/>
      <c r="F4487" s="16"/>
    </row>
    <row r="4488" spans="1:6" ht="13">
      <c r="A4488" s="16"/>
      <c r="E4488" s="16"/>
      <c r="F4488" s="16"/>
    </row>
    <row r="4489" spans="1:6" ht="13">
      <c r="A4489" s="16"/>
      <c r="E4489" s="16"/>
      <c r="F4489" s="16"/>
    </row>
    <row r="4490" spans="1:6" ht="13">
      <c r="A4490" s="16"/>
      <c r="E4490" s="16"/>
      <c r="F4490" s="16"/>
    </row>
    <row r="4491" spans="1:6" ht="13">
      <c r="A4491" s="16"/>
      <c r="E4491" s="16"/>
      <c r="F4491" s="16"/>
    </row>
    <row r="4492" spans="1:6" ht="13">
      <c r="A4492" s="16"/>
      <c r="E4492" s="16"/>
      <c r="F4492" s="16"/>
    </row>
    <row r="4493" spans="1:6" ht="13">
      <c r="A4493" s="16"/>
      <c r="E4493" s="16"/>
      <c r="F4493" s="16"/>
    </row>
    <row r="4494" spans="1:6" ht="13">
      <c r="A4494" s="16"/>
      <c r="E4494" s="16"/>
      <c r="F4494" s="16"/>
    </row>
    <row r="4495" spans="1:6" ht="13">
      <c r="A4495" s="16"/>
      <c r="E4495" s="16"/>
      <c r="F4495" s="16"/>
    </row>
    <row r="4496" spans="1:6" ht="13">
      <c r="A4496" s="16"/>
      <c r="E4496" s="16"/>
      <c r="F4496" s="16"/>
    </row>
    <row r="4497" spans="1:6" ht="13">
      <c r="A4497" s="16"/>
      <c r="E4497" s="16"/>
      <c r="F4497" s="16"/>
    </row>
    <row r="4498" spans="1:6" ht="13">
      <c r="A4498" s="16"/>
      <c r="E4498" s="16"/>
      <c r="F4498" s="16"/>
    </row>
    <row r="4499" spans="1:6" ht="13">
      <c r="A4499" s="16"/>
      <c r="E4499" s="16"/>
      <c r="F4499" s="16"/>
    </row>
    <row r="4500" spans="1:6" ht="13">
      <c r="A4500" s="16"/>
      <c r="E4500" s="16"/>
      <c r="F4500" s="16"/>
    </row>
    <row r="4501" spans="1:6" ht="13">
      <c r="A4501" s="16"/>
      <c r="E4501" s="16"/>
      <c r="F4501" s="16"/>
    </row>
    <row r="4502" spans="1:6" ht="13">
      <c r="A4502" s="16"/>
      <c r="E4502" s="16"/>
      <c r="F4502" s="16"/>
    </row>
    <row r="4503" spans="1:6" ht="13">
      <c r="A4503" s="16"/>
      <c r="E4503" s="16"/>
      <c r="F4503" s="16"/>
    </row>
    <row r="4504" spans="1:6" ht="13">
      <c r="A4504" s="16"/>
      <c r="E4504" s="16"/>
      <c r="F4504" s="16"/>
    </row>
    <row r="4505" spans="1:6" ht="13">
      <c r="A4505" s="16"/>
      <c r="E4505" s="16"/>
      <c r="F4505" s="16"/>
    </row>
    <row r="4506" spans="1:6" ht="13">
      <c r="A4506" s="16"/>
      <c r="E4506" s="16"/>
      <c r="F4506" s="16"/>
    </row>
    <row r="4507" spans="1:6" ht="13">
      <c r="A4507" s="16"/>
      <c r="E4507" s="16"/>
      <c r="F4507" s="16"/>
    </row>
    <row r="4508" spans="1:6" ht="13">
      <c r="A4508" s="16"/>
      <c r="E4508" s="16"/>
      <c r="F4508" s="16"/>
    </row>
    <row r="4509" spans="1:6" ht="13">
      <c r="A4509" s="16"/>
      <c r="E4509" s="16"/>
      <c r="F4509" s="16"/>
    </row>
    <row r="4510" spans="1:6" ht="13">
      <c r="A4510" s="16"/>
      <c r="E4510" s="16"/>
      <c r="F4510" s="16"/>
    </row>
    <row r="4511" spans="1:6" ht="13">
      <c r="A4511" s="16"/>
      <c r="E4511" s="16"/>
      <c r="F4511" s="16"/>
    </row>
    <row r="4512" spans="1:6" ht="13">
      <c r="A4512" s="16"/>
      <c r="E4512" s="16"/>
      <c r="F4512" s="16"/>
    </row>
    <row r="4513" spans="1:6" ht="13">
      <c r="A4513" s="16"/>
      <c r="E4513" s="16"/>
      <c r="F4513" s="16"/>
    </row>
    <row r="4514" spans="1:6" ht="13">
      <c r="A4514" s="16"/>
      <c r="E4514" s="16"/>
      <c r="F4514" s="16"/>
    </row>
    <row r="4515" spans="1:6" ht="13">
      <c r="A4515" s="16"/>
      <c r="E4515" s="16"/>
      <c r="F4515" s="16"/>
    </row>
    <row r="4516" spans="1:6" ht="13">
      <c r="A4516" s="16"/>
      <c r="E4516" s="16"/>
      <c r="F4516" s="16"/>
    </row>
    <row r="4517" spans="1:6" ht="13">
      <c r="A4517" s="16"/>
      <c r="E4517" s="16"/>
      <c r="F4517" s="16"/>
    </row>
    <row r="4518" spans="1:6" ht="13">
      <c r="A4518" s="16"/>
      <c r="E4518" s="16"/>
      <c r="F4518" s="16"/>
    </row>
    <row r="4519" spans="1:6" ht="13">
      <c r="A4519" s="16"/>
      <c r="E4519" s="16"/>
      <c r="F4519" s="16"/>
    </row>
    <row r="4520" spans="1:6" ht="13">
      <c r="A4520" s="16"/>
      <c r="E4520" s="16"/>
      <c r="F4520" s="16"/>
    </row>
    <row r="4521" spans="1:6" ht="13">
      <c r="A4521" s="16"/>
      <c r="E4521" s="16"/>
      <c r="F4521" s="16"/>
    </row>
    <row r="4522" spans="1:6" ht="13">
      <c r="A4522" s="16"/>
      <c r="E4522" s="16"/>
      <c r="F4522" s="16"/>
    </row>
    <row r="4523" spans="1:6" ht="13">
      <c r="A4523" s="16"/>
      <c r="E4523" s="16"/>
      <c r="F4523" s="16"/>
    </row>
    <row r="4524" spans="1:6" ht="13">
      <c r="A4524" s="16"/>
      <c r="E4524" s="16"/>
      <c r="F4524" s="16"/>
    </row>
    <row r="4525" spans="1:6" ht="13">
      <c r="A4525" s="16"/>
      <c r="E4525" s="16"/>
      <c r="F4525" s="16"/>
    </row>
    <row r="4526" spans="1:6" ht="13">
      <c r="A4526" s="16"/>
      <c r="E4526" s="16"/>
      <c r="F4526" s="16"/>
    </row>
    <row r="4527" spans="1:6" ht="13">
      <c r="A4527" s="16"/>
      <c r="E4527" s="16"/>
      <c r="F4527" s="16"/>
    </row>
    <row r="4528" spans="1:6" ht="13">
      <c r="A4528" s="16"/>
      <c r="E4528" s="16"/>
      <c r="F4528" s="16"/>
    </row>
    <row r="4529" spans="1:6" ht="13">
      <c r="A4529" s="16"/>
      <c r="E4529" s="16"/>
      <c r="F4529" s="16"/>
    </row>
    <row r="4530" spans="1:6" ht="13">
      <c r="A4530" s="16"/>
      <c r="E4530" s="16"/>
      <c r="F4530" s="16"/>
    </row>
    <row r="4531" spans="1:6" ht="13">
      <c r="A4531" s="16"/>
      <c r="E4531" s="16"/>
      <c r="F4531" s="16"/>
    </row>
    <row r="4532" spans="1:6" ht="13">
      <c r="A4532" s="16"/>
      <c r="E4532" s="16"/>
      <c r="F4532" s="16"/>
    </row>
    <row r="4533" spans="1:6" ht="13">
      <c r="A4533" s="16"/>
      <c r="E4533" s="16"/>
      <c r="F4533" s="16"/>
    </row>
    <row r="4534" spans="1:6" ht="13">
      <c r="A4534" s="16"/>
      <c r="E4534" s="16"/>
      <c r="F4534" s="16"/>
    </row>
    <row r="4535" spans="1:6" ht="13">
      <c r="A4535" s="16"/>
      <c r="E4535" s="16"/>
      <c r="F4535" s="16"/>
    </row>
    <row r="4536" spans="1:6" ht="13">
      <c r="A4536" s="16"/>
      <c r="E4536" s="16"/>
      <c r="F4536" s="16"/>
    </row>
    <row r="4537" spans="1:6" ht="13">
      <c r="A4537" s="16"/>
      <c r="E4537" s="16"/>
      <c r="F4537" s="16"/>
    </row>
    <row r="4538" spans="1:6" ht="13">
      <c r="A4538" s="16"/>
      <c r="E4538" s="16"/>
      <c r="F4538" s="16"/>
    </row>
    <row r="4539" spans="1:6" ht="13">
      <c r="A4539" s="16"/>
      <c r="E4539" s="16"/>
      <c r="F4539" s="16"/>
    </row>
    <row r="4540" spans="1:6" ht="13">
      <c r="A4540" s="16"/>
      <c r="E4540" s="16"/>
      <c r="F4540" s="16"/>
    </row>
    <row r="4541" spans="1:6" ht="13">
      <c r="A4541" s="16"/>
      <c r="E4541" s="16"/>
      <c r="F4541" s="16"/>
    </row>
    <row r="4542" spans="1:6" ht="13">
      <c r="A4542" s="16"/>
      <c r="E4542" s="16"/>
      <c r="F4542" s="16"/>
    </row>
    <row r="4543" spans="1:6" ht="13">
      <c r="A4543" s="16"/>
      <c r="E4543" s="16"/>
      <c r="F4543" s="16"/>
    </row>
    <row r="4544" spans="1:6" ht="13">
      <c r="A4544" s="16"/>
      <c r="E4544" s="16"/>
      <c r="F4544" s="16"/>
    </row>
    <row r="4545" spans="1:6" ht="13">
      <c r="A4545" s="16"/>
      <c r="E4545" s="16"/>
      <c r="F4545" s="16"/>
    </row>
    <row r="4546" spans="1:6" ht="13">
      <c r="A4546" s="16"/>
      <c r="E4546" s="16"/>
      <c r="F4546" s="16"/>
    </row>
    <row r="4547" spans="1:6" ht="13">
      <c r="A4547" s="16"/>
      <c r="E4547" s="16"/>
      <c r="F4547" s="16"/>
    </row>
    <row r="4548" spans="1:6" ht="13">
      <c r="A4548" s="16"/>
      <c r="E4548" s="16"/>
      <c r="F4548" s="16"/>
    </row>
    <row r="4549" spans="1:6" ht="13">
      <c r="A4549" s="16"/>
      <c r="E4549" s="16"/>
      <c r="F4549" s="16"/>
    </row>
    <row r="4550" spans="1:6" ht="13">
      <c r="A4550" s="16"/>
      <c r="E4550" s="16"/>
      <c r="F4550" s="16"/>
    </row>
    <row r="4551" spans="1:6" ht="13">
      <c r="A4551" s="16"/>
      <c r="E4551" s="16"/>
      <c r="F4551" s="16"/>
    </row>
    <row r="4552" spans="1:6" ht="13">
      <c r="A4552" s="16"/>
      <c r="E4552" s="16"/>
      <c r="F4552" s="16"/>
    </row>
    <row r="4553" spans="1:6" ht="13">
      <c r="A4553" s="16"/>
      <c r="E4553" s="16"/>
      <c r="F4553" s="16"/>
    </row>
    <row r="4554" spans="1:6" ht="13">
      <c r="A4554" s="16"/>
      <c r="E4554" s="16"/>
      <c r="F4554" s="16"/>
    </row>
    <row r="4555" spans="1:6" ht="13">
      <c r="A4555" s="16"/>
      <c r="E4555" s="16"/>
      <c r="F4555" s="16"/>
    </row>
    <row r="4556" spans="1:6" ht="13">
      <c r="A4556" s="16"/>
      <c r="E4556" s="16"/>
      <c r="F4556" s="16"/>
    </row>
    <row r="4557" spans="1:6" ht="13">
      <c r="A4557" s="16"/>
      <c r="E4557" s="16"/>
      <c r="F4557" s="16"/>
    </row>
    <row r="4558" spans="1:6" ht="13">
      <c r="A4558" s="16"/>
      <c r="E4558" s="16"/>
      <c r="F4558" s="16"/>
    </row>
    <row r="4559" spans="1:6" ht="13">
      <c r="A4559" s="16"/>
      <c r="E4559" s="16"/>
      <c r="F4559" s="16"/>
    </row>
    <row r="4560" spans="1:6" ht="13">
      <c r="A4560" s="16"/>
      <c r="E4560" s="16"/>
      <c r="F4560" s="16"/>
    </row>
    <row r="4561" spans="1:6" ht="13">
      <c r="A4561" s="16"/>
      <c r="E4561" s="16"/>
      <c r="F4561" s="16"/>
    </row>
    <row r="4562" spans="1:6" ht="13">
      <c r="A4562" s="16"/>
      <c r="E4562" s="16"/>
      <c r="F4562" s="16"/>
    </row>
    <row r="4563" spans="1:6" ht="13">
      <c r="A4563" s="16"/>
      <c r="E4563" s="16"/>
      <c r="F4563" s="16"/>
    </row>
    <row r="4564" spans="1:6" ht="13">
      <c r="A4564" s="16"/>
      <c r="E4564" s="16"/>
      <c r="F4564" s="16"/>
    </row>
    <row r="4565" spans="1:6" ht="13">
      <c r="A4565" s="16"/>
      <c r="E4565" s="16"/>
      <c r="F4565" s="16"/>
    </row>
    <row r="4566" spans="1:6" ht="13">
      <c r="A4566" s="16"/>
      <c r="E4566" s="16"/>
      <c r="F4566" s="16"/>
    </row>
    <row r="4567" spans="1:6" ht="13">
      <c r="A4567" s="16"/>
      <c r="E4567" s="16"/>
      <c r="F4567" s="16"/>
    </row>
    <row r="4568" spans="1:6" ht="13">
      <c r="A4568" s="16"/>
      <c r="E4568" s="16"/>
      <c r="F4568" s="16"/>
    </row>
    <row r="4569" spans="1:6" ht="13">
      <c r="A4569" s="16"/>
      <c r="E4569" s="16"/>
      <c r="F4569" s="16"/>
    </row>
    <row r="4570" spans="1:6" ht="13">
      <c r="A4570" s="16"/>
      <c r="E4570" s="16"/>
      <c r="F4570" s="16"/>
    </row>
    <row r="4571" spans="1:6" ht="13">
      <c r="A4571" s="16"/>
      <c r="E4571" s="16"/>
      <c r="F4571" s="16"/>
    </row>
    <row r="4572" spans="1:6" ht="13">
      <c r="A4572" s="16"/>
      <c r="E4572" s="16"/>
      <c r="F4572" s="16"/>
    </row>
    <row r="4573" spans="1:6" ht="13">
      <c r="A4573" s="16"/>
      <c r="E4573" s="16"/>
      <c r="F4573" s="16"/>
    </row>
    <row r="4574" spans="1:6" ht="13">
      <c r="A4574" s="16"/>
      <c r="E4574" s="16"/>
      <c r="F4574" s="16"/>
    </row>
    <row r="4575" spans="1:6" ht="13">
      <c r="A4575" s="16"/>
      <c r="E4575" s="16"/>
      <c r="F4575" s="16"/>
    </row>
    <row r="4576" spans="1:6" ht="13">
      <c r="A4576" s="16"/>
      <c r="E4576" s="16"/>
      <c r="F4576" s="16"/>
    </row>
    <row r="4577" spans="1:6" ht="13">
      <c r="A4577" s="16"/>
      <c r="E4577" s="16"/>
      <c r="F4577" s="16"/>
    </row>
    <row r="4578" spans="1:6" ht="13">
      <c r="A4578" s="16"/>
      <c r="E4578" s="16"/>
      <c r="F4578" s="16"/>
    </row>
    <row r="4579" spans="1:6" ht="13">
      <c r="A4579" s="16"/>
      <c r="E4579" s="16"/>
      <c r="F4579" s="16"/>
    </row>
    <row r="4580" spans="1:6" ht="13">
      <c r="A4580" s="16"/>
      <c r="E4580" s="16"/>
      <c r="F4580" s="16"/>
    </row>
    <row r="4581" spans="1:6" ht="13">
      <c r="A4581" s="16"/>
      <c r="E4581" s="16"/>
      <c r="F4581" s="16"/>
    </row>
    <row r="4582" spans="1:6" ht="13">
      <c r="A4582" s="16"/>
      <c r="E4582" s="16"/>
      <c r="F4582" s="16"/>
    </row>
    <row r="4583" spans="1:6" ht="13">
      <c r="A4583" s="16"/>
      <c r="E4583" s="16"/>
      <c r="F4583" s="16"/>
    </row>
    <row r="4584" spans="1:6" ht="13">
      <c r="A4584" s="16"/>
      <c r="E4584" s="16"/>
      <c r="F4584" s="16"/>
    </row>
    <row r="4585" spans="1:6" ht="13">
      <c r="A4585" s="16"/>
      <c r="E4585" s="16"/>
      <c r="F4585" s="16"/>
    </row>
    <row r="4586" spans="1:6" ht="13">
      <c r="A4586" s="16"/>
      <c r="E4586" s="16"/>
      <c r="F4586" s="16"/>
    </row>
    <row r="4587" spans="1:6" ht="13">
      <c r="A4587" s="16"/>
      <c r="E4587" s="16"/>
      <c r="F4587" s="16"/>
    </row>
    <row r="4588" spans="1:6" ht="13">
      <c r="A4588" s="16"/>
      <c r="E4588" s="16"/>
      <c r="F4588" s="16"/>
    </row>
    <row r="4589" spans="1:6" ht="13">
      <c r="A4589" s="16"/>
      <c r="E4589" s="16"/>
      <c r="F4589" s="16"/>
    </row>
    <row r="4590" spans="1:6" ht="13">
      <c r="A4590" s="16"/>
      <c r="E4590" s="16"/>
      <c r="F4590" s="16"/>
    </row>
    <row r="4591" spans="1:6" ht="13">
      <c r="A4591" s="16"/>
      <c r="E4591" s="16"/>
      <c r="F4591" s="16"/>
    </row>
    <row r="4592" spans="1:6" ht="13">
      <c r="A4592" s="16"/>
      <c r="E4592" s="16"/>
      <c r="F4592" s="16"/>
    </row>
    <row r="4593" spans="1:6" ht="13">
      <c r="A4593" s="16"/>
      <c r="E4593" s="16"/>
      <c r="F4593" s="16"/>
    </row>
    <row r="4594" spans="1:6" ht="13">
      <c r="A4594" s="16"/>
      <c r="E4594" s="16"/>
      <c r="F4594" s="16"/>
    </row>
    <row r="4595" spans="1:6" ht="13">
      <c r="A4595" s="16"/>
      <c r="E4595" s="16"/>
      <c r="F4595" s="16"/>
    </row>
    <row r="4596" spans="1:6" ht="13">
      <c r="A4596" s="16"/>
      <c r="E4596" s="16"/>
      <c r="F4596" s="16"/>
    </row>
    <row r="4597" spans="1:6" ht="13">
      <c r="A4597" s="16"/>
      <c r="E4597" s="16"/>
      <c r="F4597" s="16"/>
    </row>
    <row r="4598" spans="1:6" ht="13">
      <c r="A4598" s="16"/>
      <c r="E4598" s="16"/>
      <c r="F4598" s="16"/>
    </row>
    <row r="4599" spans="1:6" ht="13">
      <c r="A4599" s="16"/>
      <c r="E4599" s="16"/>
      <c r="F4599" s="16"/>
    </row>
    <row r="4600" spans="1:6" ht="13">
      <c r="A4600" s="16"/>
      <c r="E4600" s="16"/>
      <c r="F4600" s="16"/>
    </row>
    <row r="4601" spans="1:6" ht="13">
      <c r="A4601" s="16"/>
      <c r="E4601" s="16"/>
      <c r="F4601" s="16"/>
    </row>
    <row r="4602" spans="1:6" ht="13">
      <c r="A4602" s="16"/>
      <c r="E4602" s="16"/>
      <c r="F4602" s="16"/>
    </row>
    <row r="4603" spans="1:6" ht="13">
      <c r="A4603" s="16"/>
      <c r="E4603" s="16"/>
      <c r="F4603" s="16"/>
    </row>
    <row r="4604" spans="1:6" ht="13">
      <c r="A4604" s="16"/>
      <c r="E4604" s="16"/>
      <c r="F4604" s="16"/>
    </row>
    <row r="4605" spans="1:6" ht="13">
      <c r="A4605" s="16"/>
      <c r="E4605" s="16"/>
      <c r="F4605" s="16"/>
    </row>
    <row r="4606" spans="1:6" ht="13">
      <c r="A4606" s="16"/>
      <c r="E4606" s="16"/>
      <c r="F4606" s="16"/>
    </row>
    <row r="4607" spans="1:6" ht="13">
      <c r="A4607" s="16"/>
      <c r="E4607" s="16"/>
      <c r="F4607" s="16"/>
    </row>
    <row r="4608" spans="1:6" ht="13">
      <c r="A4608" s="16"/>
      <c r="E4608" s="16"/>
      <c r="F4608" s="16"/>
    </row>
    <row r="4609" spans="1:6" ht="13">
      <c r="A4609" s="16"/>
      <c r="E4609" s="16"/>
      <c r="F4609" s="16"/>
    </row>
    <row r="4610" spans="1:6" ht="13">
      <c r="A4610" s="16"/>
      <c r="E4610" s="16"/>
      <c r="F4610" s="16"/>
    </row>
    <row r="4611" spans="1:6" ht="13">
      <c r="A4611" s="16"/>
      <c r="E4611" s="16"/>
      <c r="F4611" s="16"/>
    </row>
    <row r="4612" spans="1:6" ht="13">
      <c r="A4612" s="16"/>
      <c r="E4612" s="16"/>
      <c r="F4612" s="16"/>
    </row>
    <row r="4613" spans="1:6" ht="13">
      <c r="A4613" s="16"/>
      <c r="E4613" s="16"/>
      <c r="F4613" s="16"/>
    </row>
    <row r="4614" spans="1:6" ht="13">
      <c r="A4614" s="16"/>
      <c r="E4614" s="16"/>
      <c r="F4614" s="16"/>
    </row>
    <row r="4615" spans="1:6" ht="13">
      <c r="A4615" s="16"/>
      <c r="E4615" s="16"/>
      <c r="F4615" s="16"/>
    </row>
    <row r="4616" spans="1:6" ht="13">
      <c r="A4616" s="16"/>
      <c r="E4616" s="16"/>
      <c r="F4616" s="16"/>
    </row>
    <row r="4617" spans="1:6" ht="13">
      <c r="A4617" s="16"/>
      <c r="E4617" s="16"/>
      <c r="F4617" s="16"/>
    </row>
    <row r="4618" spans="1:6" ht="13">
      <c r="A4618" s="16"/>
      <c r="E4618" s="16"/>
      <c r="F4618" s="16"/>
    </row>
    <row r="4619" spans="1:6" ht="13">
      <c r="A4619" s="16"/>
      <c r="E4619" s="16"/>
      <c r="F4619" s="16"/>
    </row>
    <row r="4620" spans="1:6" ht="13">
      <c r="A4620" s="16"/>
      <c r="E4620" s="16"/>
      <c r="F4620" s="16"/>
    </row>
    <row r="4621" spans="1:6" ht="13">
      <c r="A4621" s="16"/>
      <c r="E4621" s="16"/>
      <c r="F4621" s="16"/>
    </row>
    <row r="4622" spans="1:6" ht="13">
      <c r="A4622" s="16"/>
      <c r="E4622" s="16"/>
      <c r="F4622" s="16"/>
    </row>
    <row r="4623" spans="1:6" ht="13">
      <c r="A4623" s="16"/>
      <c r="E4623" s="16"/>
      <c r="F4623" s="16"/>
    </row>
    <row r="4624" spans="1:6" ht="13">
      <c r="A4624" s="16"/>
      <c r="E4624" s="16"/>
      <c r="F4624" s="16"/>
    </row>
    <row r="4625" spans="1:6" ht="13">
      <c r="A4625" s="16"/>
      <c r="E4625" s="16"/>
      <c r="F4625" s="16"/>
    </row>
    <row r="4626" spans="1:6" ht="13">
      <c r="A4626" s="16"/>
      <c r="E4626" s="16"/>
      <c r="F4626" s="16"/>
    </row>
    <row r="4627" spans="1:6" ht="13">
      <c r="A4627" s="16"/>
      <c r="E4627" s="16"/>
      <c r="F4627" s="16"/>
    </row>
    <row r="4628" spans="1:6" ht="13">
      <c r="A4628" s="16"/>
      <c r="E4628" s="16"/>
      <c r="F4628" s="16"/>
    </row>
    <row r="4629" spans="1:6" ht="13">
      <c r="A4629" s="16"/>
      <c r="E4629" s="16"/>
      <c r="F4629" s="16"/>
    </row>
    <row r="4630" spans="1:6" ht="13">
      <c r="A4630" s="16"/>
      <c r="E4630" s="16"/>
      <c r="F4630" s="16"/>
    </row>
    <row r="4631" spans="1:6" ht="13">
      <c r="A4631" s="16"/>
      <c r="E4631" s="16"/>
      <c r="F4631" s="16"/>
    </row>
    <row r="4632" spans="1:6" ht="13">
      <c r="A4632" s="16"/>
      <c r="E4632" s="16"/>
      <c r="F4632" s="16"/>
    </row>
    <row r="4633" spans="1:6" ht="13">
      <c r="A4633" s="16"/>
      <c r="E4633" s="16"/>
      <c r="F4633" s="16"/>
    </row>
    <row r="4634" spans="1:6" ht="13">
      <c r="A4634" s="16"/>
      <c r="E4634" s="16"/>
      <c r="F4634" s="16"/>
    </row>
    <row r="4635" spans="1:6" ht="13">
      <c r="A4635" s="16"/>
      <c r="E4635" s="16"/>
      <c r="F4635" s="16"/>
    </row>
    <row r="4636" spans="1:6" ht="13">
      <c r="A4636" s="16"/>
      <c r="E4636" s="16"/>
      <c r="F4636" s="16"/>
    </row>
    <row r="4637" spans="1:6" ht="13">
      <c r="A4637" s="16"/>
      <c r="E4637" s="16"/>
      <c r="F4637" s="16"/>
    </row>
    <row r="4638" spans="1:6" ht="13">
      <c r="A4638" s="16"/>
      <c r="E4638" s="16"/>
      <c r="F4638" s="16"/>
    </row>
    <row r="4639" spans="1:6" ht="13">
      <c r="A4639" s="16"/>
      <c r="E4639" s="16"/>
      <c r="F4639" s="16"/>
    </row>
    <row r="4640" spans="1:6" ht="13">
      <c r="A4640" s="16"/>
      <c r="E4640" s="16"/>
      <c r="F4640" s="16"/>
    </row>
    <row r="4641" spans="1:6" ht="13">
      <c r="A4641" s="16"/>
      <c r="E4641" s="16"/>
      <c r="F4641" s="16"/>
    </row>
    <row r="4642" spans="1:6" ht="13">
      <c r="A4642" s="16"/>
      <c r="E4642" s="16"/>
      <c r="F4642" s="16"/>
    </row>
    <row r="4643" spans="1:6" ht="13">
      <c r="A4643" s="16"/>
      <c r="E4643" s="16"/>
      <c r="F4643" s="16"/>
    </row>
    <row r="4644" spans="1:6" ht="13">
      <c r="A4644" s="16"/>
      <c r="E4644" s="16"/>
      <c r="F4644" s="16"/>
    </row>
    <row r="4645" spans="1:6" ht="13">
      <c r="A4645" s="16"/>
      <c r="E4645" s="16"/>
      <c r="F4645" s="16"/>
    </row>
    <row r="4646" spans="1:6" ht="13">
      <c r="A4646" s="16"/>
      <c r="E4646" s="16"/>
      <c r="F4646" s="16"/>
    </row>
    <row r="4647" spans="1:6" ht="13">
      <c r="A4647" s="16"/>
      <c r="E4647" s="16"/>
      <c r="F4647" s="16"/>
    </row>
    <row r="4648" spans="1:6" ht="13">
      <c r="A4648" s="16"/>
      <c r="E4648" s="16"/>
      <c r="F4648" s="16"/>
    </row>
    <row r="4649" spans="1:6" ht="13">
      <c r="A4649" s="16"/>
      <c r="E4649" s="16"/>
      <c r="F4649" s="16"/>
    </row>
    <row r="4650" spans="1:6" ht="13">
      <c r="A4650" s="16"/>
      <c r="E4650" s="16"/>
      <c r="F4650" s="16"/>
    </row>
    <row r="4651" spans="1:6" ht="13">
      <c r="A4651" s="16"/>
      <c r="E4651" s="16"/>
      <c r="F4651" s="16"/>
    </row>
    <row r="4652" spans="1:6" ht="13">
      <c r="A4652" s="16"/>
      <c r="E4652" s="16"/>
      <c r="F4652" s="16"/>
    </row>
    <row r="4653" spans="1:6" ht="13">
      <c r="A4653" s="16"/>
      <c r="E4653" s="16"/>
      <c r="F4653" s="16"/>
    </row>
    <row r="4654" spans="1:6" ht="13">
      <c r="A4654" s="16"/>
      <c r="E4654" s="16"/>
      <c r="F4654" s="16"/>
    </row>
    <row r="4655" spans="1:6" ht="13">
      <c r="A4655" s="16"/>
      <c r="E4655" s="16"/>
      <c r="F4655" s="16"/>
    </row>
    <row r="4656" spans="1:6" ht="13">
      <c r="A4656" s="16"/>
      <c r="E4656" s="16"/>
      <c r="F4656" s="16"/>
    </row>
    <row r="4657" spans="1:6" ht="13">
      <c r="A4657" s="16"/>
      <c r="E4657" s="16"/>
      <c r="F4657" s="16"/>
    </row>
    <row r="4658" spans="1:6" ht="13">
      <c r="A4658" s="16"/>
      <c r="E4658" s="16"/>
      <c r="F4658" s="16"/>
    </row>
    <row r="4659" spans="1:6" ht="13">
      <c r="A4659" s="16"/>
      <c r="E4659" s="16"/>
      <c r="F4659" s="16"/>
    </row>
    <row r="4660" spans="1:6" ht="13">
      <c r="A4660" s="16"/>
      <c r="E4660" s="16"/>
      <c r="F4660" s="16"/>
    </row>
    <row r="4661" spans="1:6" ht="13">
      <c r="A4661" s="16"/>
      <c r="E4661" s="16"/>
      <c r="F4661" s="16"/>
    </row>
    <row r="4662" spans="1:6" ht="13">
      <c r="A4662" s="16"/>
      <c r="E4662" s="16"/>
      <c r="F4662" s="16"/>
    </row>
    <row r="4663" spans="1:6" ht="13">
      <c r="A4663" s="16"/>
      <c r="E4663" s="16"/>
      <c r="F4663" s="16"/>
    </row>
    <row r="4664" spans="1:6" ht="13">
      <c r="A4664" s="16"/>
      <c r="E4664" s="16"/>
      <c r="F4664" s="16"/>
    </row>
    <row r="4665" spans="1:6" ht="13">
      <c r="A4665" s="16"/>
      <c r="E4665" s="16"/>
      <c r="F4665" s="16"/>
    </row>
    <row r="4666" spans="1:6" ht="13">
      <c r="A4666" s="16"/>
      <c r="E4666" s="16"/>
      <c r="F4666" s="16"/>
    </row>
    <row r="4667" spans="1:6" ht="13">
      <c r="A4667" s="16"/>
      <c r="E4667" s="16"/>
      <c r="F4667" s="16"/>
    </row>
    <row r="4668" spans="1:6" ht="13">
      <c r="A4668" s="16"/>
      <c r="E4668" s="16"/>
      <c r="F4668" s="16"/>
    </row>
    <row r="4669" spans="1:6" ht="13">
      <c r="A4669" s="16"/>
      <c r="E4669" s="16"/>
      <c r="F4669" s="16"/>
    </row>
    <row r="4670" spans="1:6" ht="13">
      <c r="A4670" s="16"/>
      <c r="E4670" s="16"/>
      <c r="F4670" s="16"/>
    </row>
    <row r="4671" spans="1:6" ht="13">
      <c r="A4671" s="16"/>
      <c r="E4671" s="16"/>
      <c r="F4671" s="16"/>
    </row>
    <row r="4672" spans="1:6" ht="13">
      <c r="A4672" s="16"/>
      <c r="E4672" s="16"/>
      <c r="F4672" s="16"/>
    </row>
    <row r="4673" spans="1:6" ht="13">
      <c r="A4673" s="16"/>
      <c r="E4673" s="16"/>
      <c r="F4673" s="16"/>
    </row>
    <row r="4674" spans="1:6" ht="13">
      <c r="A4674" s="16"/>
      <c r="E4674" s="16"/>
      <c r="F4674" s="16"/>
    </row>
    <row r="4675" spans="1:6" ht="13">
      <c r="A4675" s="16"/>
      <c r="E4675" s="16"/>
      <c r="F4675" s="16"/>
    </row>
    <row r="4676" spans="1:6" ht="13">
      <c r="A4676" s="16"/>
      <c r="E4676" s="16"/>
      <c r="F4676" s="16"/>
    </row>
    <row r="4677" spans="1:6" ht="13">
      <c r="A4677" s="16"/>
      <c r="E4677" s="16"/>
      <c r="F4677" s="16"/>
    </row>
    <row r="4678" spans="1:6" ht="13">
      <c r="A4678" s="16"/>
      <c r="E4678" s="16"/>
      <c r="F4678" s="16"/>
    </row>
    <row r="4679" spans="1:6" ht="13">
      <c r="A4679" s="16"/>
      <c r="E4679" s="16"/>
      <c r="F4679" s="16"/>
    </row>
    <row r="4680" spans="1:6" ht="13">
      <c r="A4680" s="16"/>
      <c r="E4680" s="16"/>
      <c r="F4680" s="16"/>
    </row>
    <row r="4681" spans="1:6" ht="13">
      <c r="A4681" s="16"/>
      <c r="E4681" s="16"/>
      <c r="F4681" s="16"/>
    </row>
    <row r="4682" spans="1:6" ht="13">
      <c r="A4682" s="16"/>
      <c r="E4682" s="16"/>
      <c r="F4682" s="16"/>
    </row>
    <row r="4683" spans="1:6" ht="13">
      <c r="A4683" s="16"/>
      <c r="E4683" s="16"/>
      <c r="F4683" s="16"/>
    </row>
    <row r="4684" spans="1:6" ht="13">
      <c r="A4684" s="16"/>
      <c r="E4684" s="16"/>
      <c r="F4684" s="16"/>
    </row>
    <row r="4685" spans="1:6" ht="13">
      <c r="A4685" s="16"/>
      <c r="E4685" s="16"/>
      <c r="F4685" s="16"/>
    </row>
    <row r="4686" spans="1:6" ht="13">
      <c r="A4686" s="16"/>
      <c r="E4686" s="16"/>
      <c r="F4686" s="16"/>
    </row>
    <row r="4687" spans="1:6" ht="13">
      <c r="A4687" s="16"/>
      <c r="E4687" s="16"/>
      <c r="F4687" s="16"/>
    </row>
    <row r="4688" spans="1:6" ht="13">
      <c r="A4688" s="16"/>
      <c r="E4688" s="16"/>
      <c r="F4688" s="16"/>
    </row>
    <row r="4689" spans="1:6" ht="13">
      <c r="A4689" s="16"/>
      <c r="E4689" s="16"/>
      <c r="F4689" s="16"/>
    </row>
    <row r="4690" spans="1:6" ht="13">
      <c r="A4690" s="16"/>
      <c r="E4690" s="16"/>
      <c r="F4690" s="16"/>
    </row>
    <row r="4691" spans="1:6" ht="13">
      <c r="A4691" s="16"/>
      <c r="E4691" s="16"/>
      <c r="F4691" s="16"/>
    </row>
    <row r="4692" spans="1:6" ht="13">
      <c r="A4692" s="16"/>
      <c r="E4692" s="16"/>
      <c r="F4692" s="16"/>
    </row>
    <row r="4693" spans="1:6" ht="13">
      <c r="A4693" s="16"/>
      <c r="E4693" s="16"/>
      <c r="F4693" s="16"/>
    </row>
    <row r="4694" spans="1:6" ht="13">
      <c r="A4694" s="16"/>
      <c r="E4694" s="16"/>
      <c r="F4694" s="16"/>
    </row>
    <row r="4695" spans="1:6" ht="13">
      <c r="A4695" s="16"/>
      <c r="E4695" s="16"/>
      <c r="F4695" s="16"/>
    </row>
    <row r="4696" spans="1:6" ht="13">
      <c r="A4696" s="16"/>
      <c r="E4696" s="16"/>
      <c r="F4696" s="16"/>
    </row>
    <row r="4697" spans="1:6" ht="13">
      <c r="A4697" s="16"/>
      <c r="E4697" s="16"/>
      <c r="F4697" s="16"/>
    </row>
    <row r="4698" spans="1:6" ht="13">
      <c r="A4698" s="16"/>
      <c r="E4698" s="16"/>
      <c r="F4698" s="16"/>
    </row>
    <row r="4699" spans="1:6" ht="13">
      <c r="A4699" s="16"/>
      <c r="E4699" s="16"/>
      <c r="F4699" s="16"/>
    </row>
    <row r="4700" spans="1:6" ht="13">
      <c r="A4700" s="16"/>
      <c r="E4700" s="16"/>
      <c r="F4700" s="16"/>
    </row>
    <row r="4701" spans="1:6" ht="13">
      <c r="A4701" s="16"/>
      <c r="E4701" s="16"/>
      <c r="F4701" s="16"/>
    </row>
    <row r="4702" spans="1:6" ht="13">
      <c r="A4702" s="16"/>
      <c r="E4702" s="16"/>
      <c r="F4702" s="16"/>
    </row>
    <row r="4703" spans="1:6" ht="13">
      <c r="A4703" s="16"/>
      <c r="E4703" s="16"/>
      <c r="F4703" s="16"/>
    </row>
    <row r="4704" spans="1:6" ht="13">
      <c r="A4704" s="16"/>
      <c r="E4704" s="16"/>
      <c r="F4704" s="16"/>
    </row>
    <row r="4705" spans="1:6" ht="13">
      <c r="A4705" s="16"/>
      <c r="E4705" s="16"/>
      <c r="F4705" s="16"/>
    </row>
    <row r="4706" spans="1:6" ht="13">
      <c r="A4706" s="16"/>
      <c r="E4706" s="16"/>
      <c r="F4706" s="16"/>
    </row>
    <row r="4707" spans="1:6" ht="13">
      <c r="A4707" s="16"/>
      <c r="E4707" s="16"/>
      <c r="F4707" s="16"/>
    </row>
    <row r="4708" spans="1:6" ht="13">
      <c r="A4708" s="16"/>
      <c r="E4708" s="16"/>
      <c r="F4708" s="16"/>
    </row>
    <row r="4709" spans="1:6" ht="13">
      <c r="A4709" s="16"/>
      <c r="E4709" s="16"/>
      <c r="F4709" s="16"/>
    </row>
    <row r="4710" spans="1:6" ht="13">
      <c r="A4710" s="16"/>
      <c r="E4710" s="16"/>
      <c r="F4710" s="16"/>
    </row>
    <row r="4711" spans="1:6" ht="13">
      <c r="A4711" s="16"/>
      <c r="E4711" s="16"/>
      <c r="F4711" s="16"/>
    </row>
    <row r="4712" spans="1:6" ht="13">
      <c r="A4712" s="16"/>
      <c r="E4712" s="16"/>
      <c r="F4712" s="16"/>
    </row>
    <row r="4713" spans="1:6" ht="13">
      <c r="A4713" s="16"/>
      <c r="E4713" s="16"/>
      <c r="F4713" s="16"/>
    </row>
    <row r="4714" spans="1:6" ht="13">
      <c r="A4714" s="16"/>
      <c r="E4714" s="16"/>
      <c r="F4714" s="16"/>
    </row>
    <row r="4715" spans="1:6" ht="13">
      <c r="A4715" s="16"/>
      <c r="E4715" s="16"/>
      <c r="F4715" s="16"/>
    </row>
    <row r="4716" spans="1:6" ht="13">
      <c r="A4716" s="16"/>
      <c r="E4716" s="16"/>
      <c r="F4716" s="16"/>
    </row>
    <row r="4717" spans="1:6" ht="13">
      <c r="A4717" s="16"/>
      <c r="E4717" s="16"/>
      <c r="F4717" s="16"/>
    </row>
    <row r="4718" spans="1:6" ht="13">
      <c r="A4718" s="16"/>
      <c r="E4718" s="16"/>
      <c r="F4718" s="16"/>
    </row>
    <row r="4719" spans="1:6" ht="13">
      <c r="A4719" s="16"/>
      <c r="E4719" s="16"/>
      <c r="F4719" s="16"/>
    </row>
    <row r="4720" spans="1:6" ht="13">
      <c r="A4720" s="16"/>
      <c r="E4720" s="16"/>
      <c r="F4720" s="16"/>
    </row>
    <row r="4721" spans="1:6" ht="13">
      <c r="A4721" s="16"/>
      <c r="E4721" s="16"/>
      <c r="F4721" s="16"/>
    </row>
    <row r="4722" spans="1:6" ht="13">
      <c r="A4722" s="16"/>
      <c r="E4722" s="16"/>
      <c r="F4722" s="16"/>
    </row>
    <row r="4723" spans="1:6" ht="13">
      <c r="A4723" s="16"/>
      <c r="E4723" s="16"/>
      <c r="F4723" s="16"/>
    </row>
    <row r="4724" spans="1:6" ht="13">
      <c r="A4724" s="16"/>
      <c r="E4724" s="16"/>
      <c r="F4724" s="16"/>
    </row>
    <row r="4725" spans="1:6" ht="13">
      <c r="A4725" s="16"/>
      <c r="E4725" s="16"/>
      <c r="F4725" s="16"/>
    </row>
    <row r="4726" spans="1:6" ht="13">
      <c r="A4726" s="16"/>
      <c r="E4726" s="16"/>
      <c r="F4726" s="16"/>
    </row>
    <row r="4727" spans="1:6" ht="13">
      <c r="A4727" s="16"/>
      <c r="E4727" s="16"/>
      <c r="F4727" s="16"/>
    </row>
    <row r="4728" spans="1:6" ht="13">
      <c r="A4728" s="16"/>
      <c r="E4728" s="16"/>
      <c r="F4728" s="16"/>
    </row>
    <row r="4729" spans="1:6" ht="13">
      <c r="A4729" s="16"/>
      <c r="E4729" s="16"/>
      <c r="F4729" s="16"/>
    </row>
    <row r="4730" spans="1:6" ht="13">
      <c r="A4730" s="16"/>
      <c r="E4730" s="16"/>
      <c r="F4730" s="16"/>
    </row>
    <row r="4731" spans="1:6" ht="13">
      <c r="A4731" s="16"/>
      <c r="E4731" s="16"/>
      <c r="F4731" s="16"/>
    </row>
    <row r="4732" spans="1:6" ht="13">
      <c r="A4732" s="16"/>
      <c r="E4732" s="16"/>
      <c r="F4732" s="16"/>
    </row>
    <row r="4733" spans="1:6" ht="13">
      <c r="A4733" s="16"/>
      <c r="E4733" s="16"/>
      <c r="F4733" s="16"/>
    </row>
    <row r="4734" spans="1:6" ht="13">
      <c r="A4734" s="16"/>
      <c r="E4734" s="16"/>
      <c r="F4734" s="16"/>
    </row>
    <row r="4735" spans="1:6" ht="13">
      <c r="A4735" s="16"/>
      <c r="E4735" s="16"/>
      <c r="F4735" s="16"/>
    </row>
    <row r="4736" spans="1:6" ht="13">
      <c r="A4736" s="16"/>
      <c r="E4736" s="16"/>
      <c r="F4736" s="16"/>
    </row>
    <row r="4737" spans="1:6" ht="13">
      <c r="A4737" s="16"/>
      <c r="E4737" s="16"/>
      <c r="F4737" s="16"/>
    </row>
    <row r="4738" spans="1:6" ht="13">
      <c r="A4738" s="16"/>
      <c r="E4738" s="16"/>
      <c r="F4738" s="16"/>
    </row>
    <row r="4739" spans="1:6" ht="13">
      <c r="A4739" s="16"/>
      <c r="E4739" s="16"/>
      <c r="F4739" s="16"/>
    </row>
    <row r="4740" spans="1:6" ht="13">
      <c r="A4740" s="16"/>
      <c r="E4740" s="16"/>
      <c r="F4740" s="16"/>
    </row>
    <row r="4741" spans="1:6" ht="13">
      <c r="A4741" s="16"/>
      <c r="E4741" s="16"/>
      <c r="F4741" s="16"/>
    </row>
    <row r="4742" spans="1:6" ht="13">
      <c r="A4742" s="16"/>
      <c r="E4742" s="16"/>
      <c r="F4742" s="16"/>
    </row>
    <row r="4743" spans="1:6" ht="13">
      <c r="A4743" s="16"/>
      <c r="E4743" s="16"/>
      <c r="F4743" s="16"/>
    </row>
    <row r="4744" spans="1:6" ht="13">
      <c r="A4744" s="16"/>
      <c r="E4744" s="16"/>
      <c r="F4744" s="16"/>
    </row>
    <row r="4745" spans="1:6" ht="13">
      <c r="A4745" s="16"/>
      <c r="E4745" s="16"/>
      <c r="F4745" s="16"/>
    </row>
    <row r="4746" spans="1:6" ht="13">
      <c r="A4746" s="16"/>
      <c r="E4746" s="16"/>
      <c r="F4746" s="16"/>
    </row>
    <row r="4747" spans="1:6" ht="13">
      <c r="A4747" s="16"/>
      <c r="E4747" s="16"/>
      <c r="F4747" s="16"/>
    </row>
    <row r="4748" spans="1:6" ht="13">
      <c r="A4748" s="16"/>
      <c r="E4748" s="16"/>
      <c r="F4748" s="16"/>
    </row>
    <row r="4749" spans="1:6" ht="13">
      <c r="A4749" s="16"/>
      <c r="E4749" s="16"/>
      <c r="F4749" s="16"/>
    </row>
    <row r="4750" spans="1:6" ht="13">
      <c r="A4750" s="16"/>
      <c r="E4750" s="16"/>
      <c r="F4750" s="16"/>
    </row>
    <row r="4751" spans="1:6" ht="13">
      <c r="A4751" s="16"/>
      <c r="E4751" s="16"/>
      <c r="F4751" s="16"/>
    </row>
    <row r="4752" spans="1:6" ht="13">
      <c r="A4752" s="16"/>
      <c r="E4752" s="16"/>
      <c r="F4752" s="16"/>
    </row>
    <row r="4753" spans="1:6" ht="13">
      <c r="A4753" s="16"/>
      <c r="E4753" s="16"/>
      <c r="F4753" s="16"/>
    </row>
    <row r="4754" spans="1:6" ht="13">
      <c r="A4754" s="16"/>
      <c r="E4754" s="16"/>
      <c r="F4754" s="16"/>
    </row>
    <row r="4755" spans="1:6" ht="13">
      <c r="A4755" s="16"/>
      <c r="E4755" s="16"/>
      <c r="F4755" s="16"/>
    </row>
    <row r="4756" spans="1:6" ht="13">
      <c r="A4756" s="16"/>
      <c r="E4756" s="16"/>
      <c r="F4756" s="16"/>
    </row>
    <row r="4757" spans="1:6" ht="13">
      <c r="A4757" s="16"/>
      <c r="E4757" s="16"/>
      <c r="F4757" s="16"/>
    </row>
    <row r="4758" spans="1:6" ht="13">
      <c r="A4758" s="16"/>
      <c r="E4758" s="16"/>
      <c r="F4758" s="16"/>
    </row>
    <row r="4759" spans="1:6" ht="13">
      <c r="A4759" s="16"/>
      <c r="E4759" s="16"/>
      <c r="F4759" s="16"/>
    </row>
    <row r="4760" spans="1:6" ht="13">
      <c r="A4760" s="16"/>
      <c r="E4760" s="16"/>
      <c r="F4760" s="16"/>
    </row>
    <row r="4761" spans="1:6" ht="13">
      <c r="A4761" s="16"/>
      <c r="E4761" s="16"/>
      <c r="F4761" s="16"/>
    </row>
    <row r="4762" spans="1:6" ht="13">
      <c r="A4762" s="16"/>
      <c r="E4762" s="16"/>
      <c r="F4762" s="16"/>
    </row>
    <row r="4763" spans="1:6" ht="13">
      <c r="A4763" s="16"/>
      <c r="E4763" s="16"/>
      <c r="F4763" s="16"/>
    </row>
    <row r="4764" spans="1:6" ht="13">
      <c r="A4764" s="16"/>
      <c r="E4764" s="16"/>
      <c r="F4764" s="16"/>
    </row>
    <row r="4765" spans="1:6" ht="13">
      <c r="A4765" s="16"/>
      <c r="E4765" s="16"/>
      <c r="F4765" s="16"/>
    </row>
    <row r="4766" spans="1:6" ht="13">
      <c r="A4766" s="16"/>
      <c r="E4766" s="16"/>
      <c r="F4766" s="16"/>
    </row>
    <row r="4767" spans="1:6" ht="13">
      <c r="A4767" s="16"/>
      <c r="E4767" s="16"/>
      <c r="F4767" s="16"/>
    </row>
    <row r="4768" spans="1:6" ht="13">
      <c r="A4768" s="16"/>
      <c r="E4768" s="16"/>
      <c r="F4768" s="16"/>
    </row>
    <row r="4769" spans="1:6" ht="13">
      <c r="A4769" s="16"/>
      <c r="E4769" s="16"/>
      <c r="F4769" s="16"/>
    </row>
    <row r="4770" spans="1:6" ht="13">
      <c r="A4770" s="16"/>
      <c r="E4770" s="16"/>
      <c r="F4770" s="16"/>
    </row>
    <row r="4771" spans="1:6" ht="13">
      <c r="A4771" s="16"/>
      <c r="E4771" s="16"/>
      <c r="F4771" s="16"/>
    </row>
    <row r="4772" spans="1:6" ht="13">
      <c r="A4772" s="16"/>
      <c r="E4772" s="16"/>
      <c r="F4772" s="16"/>
    </row>
    <row r="4773" spans="1:6" ht="13">
      <c r="A4773" s="16"/>
      <c r="E4773" s="16"/>
      <c r="F4773" s="16"/>
    </row>
    <row r="4774" spans="1:6" ht="13">
      <c r="A4774" s="16"/>
      <c r="E4774" s="16"/>
      <c r="F4774" s="16"/>
    </row>
    <row r="4775" spans="1:6" ht="13">
      <c r="A4775" s="16"/>
      <c r="E4775" s="16"/>
      <c r="F4775" s="16"/>
    </row>
    <row r="4776" spans="1:6" ht="13">
      <c r="A4776" s="16"/>
      <c r="E4776" s="16"/>
      <c r="F4776" s="16"/>
    </row>
    <row r="4777" spans="1:6" ht="13">
      <c r="A4777" s="16"/>
      <c r="E4777" s="16"/>
      <c r="F4777" s="16"/>
    </row>
    <row r="4778" spans="1:6" ht="13">
      <c r="A4778" s="16"/>
      <c r="E4778" s="16"/>
      <c r="F4778" s="16"/>
    </row>
    <row r="4779" spans="1:6" ht="13">
      <c r="A4779" s="16"/>
      <c r="E4779" s="16"/>
      <c r="F4779" s="16"/>
    </row>
    <row r="4780" spans="1:6" ht="13">
      <c r="A4780" s="16"/>
      <c r="E4780" s="16"/>
      <c r="F4780" s="16"/>
    </row>
    <row r="4781" spans="1:6" ht="13">
      <c r="A4781" s="16"/>
      <c r="E4781" s="16"/>
      <c r="F4781" s="16"/>
    </row>
    <row r="4782" spans="1:6" ht="13">
      <c r="A4782" s="16"/>
      <c r="E4782" s="16"/>
      <c r="F4782" s="16"/>
    </row>
    <row r="4783" spans="1:6" ht="13">
      <c r="A4783" s="16"/>
      <c r="E4783" s="16"/>
      <c r="F4783" s="16"/>
    </row>
    <row r="4784" spans="1:6" ht="13">
      <c r="A4784" s="16"/>
      <c r="E4784" s="16"/>
      <c r="F4784" s="16"/>
    </row>
    <row r="4785" spans="1:6" ht="13">
      <c r="A4785" s="16"/>
      <c r="E4785" s="16"/>
      <c r="F4785" s="16"/>
    </row>
    <row r="4786" spans="1:6" ht="13">
      <c r="A4786" s="16"/>
      <c r="E4786" s="16"/>
      <c r="F4786" s="16"/>
    </row>
    <row r="4787" spans="1:6" ht="13">
      <c r="A4787" s="16"/>
      <c r="E4787" s="16"/>
      <c r="F4787" s="16"/>
    </row>
    <row r="4788" spans="1:6" ht="13">
      <c r="A4788" s="16"/>
      <c r="E4788" s="16"/>
      <c r="F4788" s="16"/>
    </row>
    <row r="4789" spans="1:6" ht="13">
      <c r="A4789" s="16"/>
      <c r="E4789" s="16"/>
      <c r="F4789" s="16"/>
    </row>
    <row r="4790" spans="1:6" ht="13">
      <c r="A4790" s="16"/>
      <c r="E4790" s="16"/>
      <c r="F4790" s="16"/>
    </row>
    <row r="4791" spans="1:6" ht="13">
      <c r="A4791" s="16"/>
      <c r="E4791" s="16"/>
      <c r="F4791" s="16"/>
    </row>
    <row r="4792" spans="1:6" ht="13">
      <c r="A4792" s="16"/>
      <c r="E4792" s="16"/>
      <c r="F4792" s="16"/>
    </row>
    <row r="4793" spans="1:6" ht="13">
      <c r="A4793" s="16"/>
      <c r="E4793" s="16"/>
      <c r="F4793" s="16"/>
    </row>
    <row r="4794" spans="1:6" ht="13">
      <c r="A4794" s="16"/>
      <c r="E4794" s="16"/>
      <c r="F4794" s="16"/>
    </row>
    <row r="4795" spans="1:6" ht="13">
      <c r="A4795" s="16"/>
      <c r="E4795" s="16"/>
      <c r="F4795" s="16"/>
    </row>
    <row r="4796" spans="1:6" ht="13">
      <c r="A4796" s="16"/>
      <c r="E4796" s="16"/>
      <c r="F4796" s="16"/>
    </row>
    <row r="4797" spans="1:6" ht="13">
      <c r="A4797" s="16"/>
      <c r="E4797" s="16"/>
      <c r="F4797" s="16"/>
    </row>
    <row r="4798" spans="1:6" ht="13">
      <c r="A4798" s="16"/>
      <c r="E4798" s="16"/>
      <c r="F4798" s="16"/>
    </row>
    <row r="4799" spans="1:6" ht="13">
      <c r="A4799" s="16"/>
      <c r="E4799" s="16"/>
      <c r="F4799" s="16"/>
    </row>
    <row r="4800" spans="1:6" ht="13">
      <c r="A4800" s="16"/>
      <c r="E4800" s="16"/>
      <c r="F4800" s="16"/>
    </row>
    <row r="4801" spans="1:6" ht="13">
      <c r="A4801" s="16"/>
      <c r="E4801" s="16"/>
      <c r="F4801" s="16"/>
    </row>
    <row r="4802" spans="1:6" ht="13">
      <c r="A4802" s="16"/>
      <c r="E4802" s="16"/>
      <c r="F4802" s="16"/>
    </row>
    <row r="4803" spans="1:6" ht="13">
      <c r="A4803" s="16"/>
      <c r="E4803" s="16"/>
      <c r="F4803" s="16"/>
    </row>
    <row r="4804" spans="1:6" ht="13">
      <c r="A4804" s="16"/>
      <c r="E4804" s="16"/>
      <c r="F4804" s="16"/>
    </row>
    <row r="4805" spans="1:6" ht="13">
      <c r="A4805" s="16"/>
      <c r="E4805" s="16"/>
      <c r="F4805" s="16"/>
    </row>
    <row r="4806" spans="1:6" ht="13">
      <c r="A4806" s="16"/>
      <c r="E4806" s="16"/>
      <c r="F4806" s="16"/>
    </row>
    <row r="4807" spans="1:6" ht="13">
      <c r="A4807" s="16"/>
      <c r="E4807" s="16"/>
      <c r="F4807" s="16"/>
    </row>
    <row r="4808" spans="1:6" ht="13">
      <c r="A4808" s="16"/>
      <c r="E4808" s="16"/>
      <c r="F4808" s="16"/>
    </row>
    <row r="4809" spans="1:6" ht="13">
      <c r="A4809" s="16"/>
      <c r="E4809" s="16"/>
      <c r="F4809" s="16"/>
    </row>
    <row r="4810" spans="1:6" ht="13">
      <c r="A4810" s="16"/>
      <c r="E4810" s="16"/>
      <c r="F4810" s="16"/>
    </row>
    <row r="4811" spans="1:6" ht="13">
      <c r="A4811" s="16"/>
      <c r="E4811" s="16"/>
      <c r="F4811" s="16"/>
    </row>
    <row r="4812" spans="1:6" ht="13">
      <c r="A4812" s="16"/>
      <c r="E4812" s="16"/>
      <c r="F4812" s="16"/>
    </row>
    <row r="4813" spans="1:6" ht="13">
      <c r="A4813" s="16"/>
      <c r="E4813" s="16"/>
      <c r="F4813" s="16"/>
    </row>
    <row r="4814" spans="1:6" ht="13">
      <c r="A4814" s="16"/>
      <c r="E4814" s="16"/>
      <c r="F4814" s="16"/>
    </row>
    <row r="4815" spans="1:6" ht="13">
      <c r="A4815" s="16"/>
      <c r="E4815" s="16"/>
      <c r="F4815" s="16"/>
    </row>
    <row r="4816" spans="1:6" ht="13">
      <c r="A4816" s="16"/>
      <c r="E4816" s="16"/>
      <c r="F4816" s="16"/>
    </row>
    <row r="4817" spans="1:6" ht="13">
      <c r="A4817" s="16"/>
      <c r="E4817" s="16"/>
      <c r="F4817" s="16"/>
    </row>
    <row r="4818" spans="1:6" ht="13">
      <c r="A4818" s="16"/>
      <c r="E4818" s="16"/>
      <c r="F4818" s="16"/>
    </row>
    <row r="4819" spans="1:6" ht="13">
      <c r="A4819" s="16"/>
      <c r="E4819" s="16"/>
      <c r="F4819" s="16"/>
    </row>
    <row r="4820" spans="1:6" ht="13">
      <c r="A4820" s="16"/>
      <c r="E4820" s="16"/>
      <c r="F4820" s="16"/>
    </row>
    <row r="4821" spans="1:6" ht="13">
      <c r="A4821" s="16"/>
      <c r="E4821" s="16"/>
      <c r="F4821" s="16"/>
    </row>
    <row r="4822" spans="1:6" ht="13">
      <c r="A4822" s="16"/>
      <c r="E4822" s="16"/>
      <c r="F4822" s="16"/>
    </row>
    <row r="4823" spans="1:6" ht="13">
      <c r="A4823" s="16"/>
      <c r="E4823" s="16"/>
      <c r="F4823" s="16"/>
    </row>
    <row r="4824" spans="1:6" ht="13">
      <c r="A4824" s="16"/>
      <c r="E4824" s="16"/>
      <c r="F4824" s="16"/>
    </row>
    <row r="4825" spans="1:6" ht="13">
      <c r="A4825" s="16"/>
      <c r="E4825" s="16"/>
      <c r="F4825" s="16"/>
    </row>
    <row r="4826" spans="1:6" ht="13">
      <c r="A4826" s="16"/>
      <c r="E4826" s="16"/>
      <c r="F4826" s="16"/>
    </row>
    <row r="4827" spans="1:6" ht="13">
      <c r="A4827" s="16"/>
      <c r="E4827" s="16"/>
      <c r="F4827" s="16"/>
    </row>
    <row r="4828" spans="1:6" ht="13">
      <c r="A4828" s="16"/>
      <c r="E4828" s="16"/>
      <c r="F4828" s="16"/>
    </row>
    <row r="4829" spans="1:6" ht="13">
      <c r="A4829" s="16"/>
      <c r="E4829" s="16"/>
      <c r="F4829" s="16"/>
    </row>
    <row r="4830" spans="1:6" ht="13">
      <c r="A4830" s="16"/>
      <c r="E4830" s="16"/>
      <c r="F4830" s="16"/>
    </row>
    <row r="4831" spans="1:6" ht="13">
      <c r="A4831" s="16"/>
      <c r="E4831" s="16"/>
      <c r="F4831" s="16"/>
    </row>
    <row r="4832" spans="1:6" ht="13">
      <c r="A4832" s="16"/>
      <c r="E4832" s="16"/>
      <c r="F4832" s="16"/>
    </row>
    <row r="4833" spans="1:6" ht="13">
      <c r="A4833" s="16"/>
      <c r="E4833" s="16"/>
      <c r="F4833" s="16"/>
    </row>
    <row r="4834" spans="1:6" ht="13">
      <c r="A4834" s="16"/>
      <c r="E4834" s="16"/>
      <c r="F4834" s="16"/>
    </row>
    <row r="4835" spans="1:6" ht="13">
      <c r="A4835" s="16"/>
      <c r="E4835" s="16"/>
      <c r="F4835" s="16"/>
    </row>
    <row r="4836" spans="1:6" ht="13">
      <c r="A4836" s="16"/>
      <c r="E4836" s="16"/>
      <c r="F4836" s="16"/>
    </row>
    <row r="4837" spans="1:6" ht="13">
      <c r="A4837" s="16"/>
      <c r="E4837" s="16"/>
      <c r="F4837" s="16"/>
    </row>
    <row r="4838" spans="1:6" ht="13">
      <c r="A4838" s="16"/>
      <c r="E4838" s="16"/>
      <c r="F4838" s="16"/>
    </row>
    <row r="4839" spans="1:6" ht="13">
      <c r="A4839" s="16"/>
      <c r="E4839" s="16"/>
      <c r="F4839" s="16"/>
    </row>
    <row r="4840" spans="1:6" ht="13">
      <c r="A4840" s="16"/>
      <c r="E4840" s="16"/>
      <c r="F4840" s="16"/>
    </row>
    <row r="4841" spans="1:6" ht="13">
      <c r="A4841" s="16"/>
      <c r="E4841" s="16"/>
      <c r="F4841" s="16"/>
    </row>
    <row r="4842" spans="1:6" ht="13">
      <c r="A4842" s="16"/>
      <c r="E4842" s="16"/>
      <c r="F4842" s="16"/>
    </row>
    <row r="4843" spans="1:6" ht="13">
      <c r="A4843" s="16"/>
      <c r="E4843" s="16"/>
      <c r="F4843" s="16"/>
    </row>
    <row r="4844" spans="1:6" ht="13">
      <c r="A4844" s="16"/>
      <c r="E4844" s="16"/>
      <c r="F4844" s="16"/>
    </row>
    <row r="4845" spans="1:6" ht="13">
      <c r="A4845" s="16"/>
      <c r="E4845" s="16"/>
      <c r="F4845" s="16"/>
    </row>
    <row r="4846" spans="1:6" ht="13">
      <c r="A4846" s="16"/>
      <c r="E4846" s="16"/>
      <c r="F4846" s="16"/>
    </row>
    <row r="4847" spans="1:6" ht="13">
      <c r="A4847" s="16"/>
      <c r="E4847" s="16"/>
      <c r="F4847" s="16"/>
    </row>
    <row r="4848" spans="1:6" ht="13">
      <c r="A4848" s="16"/>
      <c r="E4848" s="16"/>
      <c r="F4848" s="16"/>
    </row>
    <row r="4849" spans="1:6" ht="13">
      <c r="A4849" s="16"/>
      <c r="E4849" s="16"/>
      <c r="F4849" s="16"/>
    </row>
    <row r="4850" spans="1:6" ht="13">
      <c r="A4850" s="16"/>
      <c r="E4850" s="16"/>
      <c r="F4850" s="16"/>
    </row>
    <row r="4851" spans="1:6" ht="13">
      <c r="A4851" s="16"/>
      <c r="E4851" s="16"/>
      <c r="F4851" s="16"/>
    </row>
    <row r="4852" spans="1:6" ht="13">
      <c r="A4852" s="16"/>
      <c r="E4852" s="16"/>
      <c r="F4852" s="16"/>
    </row>
    <row r="4853" spans="1:6" ht="13">
      <c r="A4853" s="16"/>
      <c r="E4853" s="16"/>
      <c r="F4853" s="16"/>
    </row>
    <row r="4854" spans="1:6" ht="13">
      <c r="A4854" s="16"/>
      <c r="E4854" s="16"/>
      <c r="F4854" s="16"/>
    </row>
    <row r="4855" spans="1:6" ht="13">
      <c r="A4855" s="16"/>
      <c r="E4855" s="16"/>
      <c r="F4855" s="16"/>
    </row>
    <row r="4856" spans="1:6" ht="13">
      <c r="A4856" s="16"/>
      <c r="E4856" s="16"/>
      <c r="F4856" s="16"/>
    </row>
    <row r="4857" spans="1:6" ht="13">
      <c r="A4857" s="16"/>
      <c r="E4857" s="16"/>
      <c r="F4857" s="16"/>
    </row>
    <row r="4858" spans="1:6" ht="13">
      <c r="A4858" s="16"/>
      <c r="E4858" s="16"/>
      <c r="F4858" s="16"/>
    </row>
    <row r="4859" spans="1:6" ht="13">
      <c r="A4859" s="16"/>
      <c r="E4859" s="16"/>
      <c r="F4859" s="16"/>
    </row>
    <row r="4860" spans="1:6" ht="13">
      <c r="A4860" s="16"/>
      <c r="E4860" s="16"/>
      <c r="F4860" s="16"/>
    </row>
    <row r="4861" spans="1:6" ht="13">
      <c r="A4861" s="16"/>
      <c r="E4861" s="16"/>
      <c r="F4861" s="16"/>
    </row>
    <row r="4862" spans="1:6" ht="13">
      <c r="A4862" s="16"/>
      <c r="E4862" s="16"/>
      <c r="F4862" s="16"/>
    </row>
    <row r="4863" spans="1:6" ht="13">
      <c r="A4863" s="16"/>
      <c r="E4863" s="16"/>
      <c r="F4863" s="16"/>
    </row>
    <row r="4864" spans="1:6" ht="13">
      <c r="A4864" s="16"/>
      <c r="E4864" s="16"/>
      <c r="F4864" s="16"/>
    </row>
    <row r="4865" spans="1:6" ht="13">
      <c r="A4865" s="16"/>
      <c r="E4865" s="16"/>
      <c r="F4865" s="16"/>
    </row>
    <row r="4866" spans="1:6" ht="13">
      <c r="A4866" s="16"/>
      <c r="E4866" s="16"/>
      <c r="F4866" s="16"/>
    </row>
    <row r="4867" spans="1:6" ht="13">
      <c r="A4867" s="16"/>
      <c r="E4867" s="16"/>
      <c r="F4867" s="16"/>
    </row>
    <row r="4868" spans="1:6" ht="13">
      <c r="A4868" s="16"/>
      <c r="E4868" s="16"/>
      <c r="F4868" s="16"/>
    </row>
    <row r="4869" spans="1:6" ht="13">
      <c r="A4869" s="16"/>
      <c r="E4869" s="16"/>
      <c r="F4869" s="16"/>
    </row>
    <row r="4870" spans="1:6" ht="13">
      <c r="A4870" s="16"/>
      <c r="E4870" s="16"/>
      <c r="F4870" s="16"/>
    </row>
    <row r="4871" spans="1:6" ht="13">
      <c r="A4871" s="16"/>
      <c r="E4871" s="16"/>
      <c r="F4871" s="16"/>
    </row>
    <row r="4872" spans="1:6" ht="13">
      <c r="A4872" s="16"/>
      <c r="E4872" s="16"/>
      <c r="F4872" s="16"/>
    </row>
    <row r="4873" spans="1:6" ht="13">
      <c r="A4873" s="16"/>
      <c r="E4873" s="16"/>
      <c r="F4873" s="16"/>
    </row>
    <row r="4874" spans="1:6" ht="13">
      <c r="A4874" s="16"/>
      <c r="E4874" s="16"/>
      <c r="F4874" s="16"/>
    </row>
    <row r="4875" spans="1:6" ht="13">
      <c r="A4875" s="16"/>
      <c r="E4875" s="16"/>
      <c r="F4875" s="16"/>
    </row>
    <row r="4876" spans="1:6" ht="13">
      <c r="A4876" s="16"/>
      <c r="E4876" s="16"/>
      <c r="F4876" s="16"/>
    </row>
    <row r="4877" spans="1:6" ht="13">
      <c r="A4877" s="16"/>
      <c r="E4877" s="16"/>
      <c r="F4877" s="16"/>
    </row>
    <row r="4878" spans="1:6" ht="13">
      <c r="A4878" s="16"/>
      <c r="E4878" s="16"/>
      <c r="F4878" s="16"/>
    </row>
    <row r="4879" spans="1:6" ht="13">
      <c r="A4879" s="16"/>
      <c r="E4879" s="16"/>
      <c r="F4879" s="16"/>
    </row>
    <row r="4880" spans="1:6" ht="13">
      <c r="A4880" s="16"/>
      <c r="E4880" s="16"/>
      <c r="F4880" s="16"/>
    </row>
    <row r="4881" spans="1:6" ht="13">
      <c r="A4881" s="16"/>
      <c r="E4881" s="16"/>
      <c r="F4881" s="16"/>
    </row>
    <row r="4882" spans="1:6" ht="13">
      <c r="A4882" s="16"/>
      <c r="E4882" s="16"/>
      <c r="F4882" s="16"/>
    </row>
    <row r="4883" spans="1:6" ht="13">
      <c r="A4883" s="16"/>
      <c r="E4883" s="16"/>
      <c r="F4883" s="16"/>
    </row>
    <row r="4884" spans="1:6" ht="13">
      <c r="A4884" s="16"/>
      <c r="E4884" s="16"/>
      <c r="F4884" s="16"/>
    </row>
    <row r="4885" spans="1:6" ht="13">
      <c r="A4885" s="16"/>
      <c r="E4885" s="16"/>
      <c r="F4885" s="16"/>
    </row>
    <row r="4886" spans="1:6" ht="13">
      <c r="A4886" s="16"/>
      <c r="E4886" s="16"/>
      <c r="F4886" s="16"/>
    </row>
    <row r="4887" spans="1:6" ht="13">
      <c r="A4887" s="16"/>
      <c r="E4887" s="16"/>
      <c r="F4887" s="16"/>
    </row>
    <row r="4888" spans="1:6" ht="13">
      <c r="A4888" s="16"/>
      <c r="E4888" s="16"/>
      <c r="F4888" s="16"/>
    </row>
    <row r="4889" spans="1:6" ht="13">
      <c r="A4889" s="16"/>
      <c r="E4889" s="16"/>
      <c r="F4889" s="16"/>
    </row>
    <row r="4890" spans="1:6" ht="13">
      <c r="A4890" s="16"/>
      <c r="E4890" s="16"/>
      <c r="F4890" s="16"/>
    </row>
    <row r="4891" spans="1:6" ht="13">
      <c r="A4891" s="16"/>
      <c r="E4891" s="16"/>
      <c r="F4891" s="16"/>
    </row>
    <row r="4892" spans="1:6" ht="13">
      <c r="A4892" s="16"/>
      <c r="E4892" s="16"/>
      <c r="F4892" s="16"/>
    </row>
    <row r="4893" spans="1:6" ht="13">
      <c r="A4893" s="16"/>
      <c r="E4893" s="16"/>
      <c r="F4893" s="16"/>
    </row>
    <row r="4894" spans="1:6" ht="13">
      <c r="A4894" s="16"/>
      <c r="E4894" s="16"/>
      <c r="F4894" s="16"/>
    </row>
    <row r="4895" spans="1:6" ht="13">
      <c r="A4895" s="16"/>
      <c r="E4895" s="16"/>
      <c r="F4895" s="16"/>
    </row>
    <row r="4896" spans="1:6" ht="13">
      <c r="A4896" s="16"/>
      <c r="E4896" s="16"/>
      <c r="F4896" s="16"/>
    </row>
    <row r="4897" spans="1:6" ht="13">
      <c r="A4897" s="16"/>
      <c r="E4897" s="16"/>
      <c r="F4897" s="16"/>
    </row>
    <row r="4898" spans="1:6" ht="13">
      <c r="A4898" s="16"/>
      <c r="E4898" s="16"/>
      <c r="F4898" s="16"/>
    </row>
    <row r="4899" spans="1:6" ht="13">
      <c r="A4899" s="16"/>
      <c r="E4899" s="16"/>
      <c r="F4899" s="16"/>
    </row>
    <row r="4900" spans="1:6" ht="13">
      <c r="A4900" s="16"/>
      <c r="E4900" s="16"/>
      <c r="F4900" s="16"/>
    </row>
    <row r="4901" spans="1:6" ht="13">
      <c r="A4901" s="16"/>
      <c r="E4901" s="16"/>
      <c r="F4901" s="16"/>
    </row>
    <row r="4902" spans="1:6" ht="13">
      <c r="A4902" s="16"/>
      <c r="E4902" s="16"/>
      <c r="F4902" s="16"/>
    </row>
    <row r="4903" spans="1:6" ht="13">
      <c r="A4903" s="16"/>
      <c r="E4903" s="16"/>
      <c r="F4903" s="16"/>
    </row>
    <row r="4904" spans="1:6" ht="13">
      <c r="A4904" s="16"/>
      <c r="E4904" s="16"/>
      <c r="F4904" s="16"/>
    </row>
    <row r="4905" spans="1:6" ht="13">
      <c r="A4905" s="16"/>
      <c r="E4905" s="16"/>
      <c r="F4905" s="16"/>
    </row>
    <row r="4906" spans="1:6" ht="13">
      <c r="A4906" s="16"/>
      <c r="E4906" s="16"/>
      <c r="F4906" s="16"/>
    </row>
    <row r="4907" spans="1:6" ht="13">
      <c r="A4907" s="16"/>
      <c r="E4907" s="16"/>
      <c r="F4907" s="16"/>
    </row>
    <row r="4908" spans="1:6" ht="13">
      <c r="A4908" s="16"/>
      <c r="E4908" s="16"/>
      <c r="F4908" s="16"/>
    </row>
    <row r="4909" spans="1:6" ht="13">
      <c r="A4909" s="16"/>
      <c r="E4909" s="16"/>
      <c r="F4909" s="16"/>
    </row>
    <row r="4910" spans="1:6" ht="13">
      <c r="A4910" s="16"/>
      <c r="E4910" s="16"/>
      <c r="F4910" s="16"/>
    </row>
    <row r="4911" spans="1:6" ht="13">
      <c r="A4911" s="16"/>
      <c r="E4911" s="16"/>
      <c r="F4911" s="16"/>
    </row>
    <row r="4912" spans="1:6" ht="13">
      <c r="A4912" s="16"/>
      <c r="E4912" s="16"/>
      <c r="F4912" s="16"/>
    </row>
    <row r="4913" spans="1:6" ht="13">
      <c r="A4913" s="16"/>
      <c r="E4913" s="16"/>
      <c r="F4913" s="16"/>
    </row>
    <row r="4914" spans="1:6" ht="13">
      <c r="A4914" s="16"/>
      <c r="E4914" s="16"/>
      <c r="F4914" s="16"/>
    </row>
    <row r="4915" spans="1:6" ht="13">
      <c r="A4915" s="16"/>
      <c r="E4915" s="16"/>
      <c r="F4915" s="16"/>
    </row>
    <row r="4916" spans="1:6" ht="13">
      <c r="A4916" s="16"/>
      <c r="E4916" s="16"/>
      <c r="F4916" s="16"/>
    </row>
    <row r="4917" spans="1:6" ht="13">
      <c r="A4917" s="16"/>
      <c r="E4917" s="16"/>
      <c r="F4917" s="16"/>
    </row>
    <row r="4918" spans="1:6" ht="13">
      <c r="A4918" s="16"/>
      <c r="E4918" s="16"/>
      <c r="F4918" s="16"/>
    </row>
    <row r="4919" spans="1:6" ht="13">
      <c r="A4919" s="16"/>
      <c r="E4919" s="16"/>
      <c r="F4919" s="16"/>
    </row>
    <row r="4920" spans="1:6" ht="13">
      <c r="A4920" s="16"/>
      <c r="E4920" s="16"/>
      <c r="F4920" s="16"/>
    </row>
    <row r="4921" spans="1:6" ht="13">
      <c r="A4921" s="16"/>
      <c r="E4921" s="16"/>
      <c r="F4921" s="16"/>
    </row>
    <row r="4922" spans="1:6" ht="13">
      <c r="A4922" s="16"/>
      <c r="E4922" s="16"/>
      <c r="F4922" s="16"/>
    </row>
    <row r="4923" spans="1:6" ht="13">
      <c r="A4923" s="16"/>
      <c r="E4923" s="16"/>
      <c r="F4923" s="16"/>
    </row>
    <row r="4924" spans="1:6" ht="13">
      <c r="A4924" s="16"/>
      <c r="E4924" s="16"/>
      <c r="F4924" s="16"/>
    </row>
    <row r="4925" spans="1:6" ht="13">
      <c r="A4925" s="16"/>
      <c r="E4925" s="16"/>
      <c r="F4925" s="16"/>
    </row>
    <row r="4926" spans="1:6" ht="13">
      <c r="A4926" s="16"/>
      <c r="E4926" s="16"/>
      <c r="F4926" s="16"/>
    </row>
    <row r="4927" spans="1:6" ht="13">
      <c r="A4927" s="16"/>
      <c r="E4927" s="16"/>
      <c r="F4927" s="16"/>
    </row>
    <row r="4928" spans="1:6" ht="13">
      <c r="A4928" s="16"/>
      <c r="E4928" s="16"/>
      <c r="F4928" s="16"/>
    </row>
    <row r="4929" spans="1:6" ht="13">
      <c r="A4929" s="16"/>
      <c r="E4929" s="16"/>
      <c r="F4929" s="16"/>
    </row>
    <row r="4930" spans="1:6" ht="13">
      <c r="A4930" s="16"/>
      <c r="E4930" s="16"/>
      <c r="F4930" s="16"/>
    </row>
    <row r="4931" spans="1:6" ht="13">
      <c r="A4931" s="16"/>
      <c r="E4931" s="16"/>
      <c r="F4931" s="16"/>
    </row>
    <row r="4932" spans="1:6" ht="13">
      <c r="A4932" s="16"/>
      <c r="E4932" s="16"/>
      <c r="F4932" s="16"/>
    </row>
    <row r="4933" spans="1:6" ht="13">
      <c r="A4933" s="16"/>
      <c r="E4933" s="16"/>
      <c r="F4933" s="16"/>
    </row>
    <row r="4934" spans="1:6" ht="13">
      <c r="A4934" s="16"/>
      <c r="E4934" s="16"/>
      <c r="F4934" s="16"/>
    </row>
    <row r="4935" spans="1:6" ht="13">
      <c r="A4935" s="16"/>
      <c r="E4935" s="16"/>
      <c r="F4935" s="16"/>
    </row>
    <row r="4936" spans="1:6" ht="13">
      <c r="A4936" s="16"/>
      <c r="E4936" s="16"/>
      <c r="F4936" s="16"/>
    </row>
    <row r="4937" spans="1:6" ht="13">
      <c r="A4937" s="16"/>
      <c r="E4937" s="16"/>
      <c r="F4937" s="16"/>
    </row>
    <row r="4938" spans="1:6" ht="13">
      <c r="A4938" s="16"/>
      <c r="E4938" s="16"/>
      <c r="F4938" s="16"/>
    </row>
    <row r="4939" spans="1:6" ht="13">
      <c r="A4939" s="16"/>
      <c r="E4939" s="16"/>
      <c r="F4939" s="16"/>
    </row>
    <row r="4940" spans="1:6" ht="13">
      <c r="A4940" s="16"/>
      <c r="E4940" s="16"/>
      <c r="F4940" s="16"/>
    </row>
    <row r="4941" spans="1:6" ht="13">
      <c r="A4941" s="16"/>
      <c r="E4941" s="16"/>
      <c r="F4941" s="16"/>
    </row>
    <row r="4942" spans="1:6" ht="13">
      <c r="A4942" s="16"/>
      <c r="E4942" s="16"/>
      <c r="F4942" s="16"/>
    </row>
    <row r="4943" spans="1:6" ht="13">
      <c r="A4943" s="16"/>
      <c r="E4943" s="16"/>
      <c r="F4943" s="16"/>
    </row>
    <row r="4944" spans="1:6" ht="13">
      <c r="A4944" s="16"/>
      <c r="E4944" s="16"/>
      <c r="F4944" s="16"/>
    </row>
    <row r="4945" spans="1:6" ht="13">
      <c r="A4945" s="16"/>
      <c r="E4945" s="16"/>
      <c r="F4945" s="16"/>
    </row>
    <row r="4946" spans="1:6" ht="13">
      <c r="A4946" s="16"/>
      <c r="E4946" s="16"/>
      <c r="F4946" s="16"/>
    </row>
    <row r="4947" spans="1:6" ht="13">
      <c r="A4947" s="16"/>
      <c r="E4947" s="16"/>
      <c r="F4947" s="16"/>
    </row>
    <row r="4948" spans="1:6" ht="13">
      <c r="A4948" s="16"/>
      <c r="E4948" s="16"/>
      <c r="F4948" s="16"/>
    </row>
    <row r="4949" spans="1:6" ht="13">
      <c r="A4949" s="16"/>
      <c r="E4949" s="16"/>
      <c r="F4949" s="16"/>
    </row>
    <row r="4950" spans="1:6" ht="13">
      <c r="A4950" s="16"/>
      <c r="E4950" s="16"/>
      <c r="F4950" s="16"/>
    </row>
    <row r="4951" spans="1:6" ht="13">
      <c r="A4951" s="16"/>
      <c r="E4951" s="16"/>
      <c r="F4951" s="16"/>
    </row>
    <row r="4952" spans="1:6" ht="13">
      <c r="A4952" s="16"/>
      <c r="E4952" s="16"/>
      <c r="F4952" s="16"/>
    </row>
    <row r="4953" spans="1:6" ht="13">
      <c r="A4953" s="16"/>
      <c r="E4953" s="16"/>
      <c r="F4953" s="16"/>
    </row>
    <row r="4954" spans="1:6" ht="13">
      <c r="A4954" s="16"/>
      <c r="E4954" s="16"/>
      <c r="F4954" s="16"/>
    </row>
    <row r="4955" spans="1:6" ht="13">
      <c r="A4955" s="16"/>
      <c r="E4955" s="16"/>
      <c r="F4955" s="16"/>
    </row>
    <row r="4956" spans="1:6" ht="13">
      <c r="A4956" s="16"/>
      <c r="E4956" s="16"/>
      <c r="F4956" s="16"/>
    </row>
    <row r="4957" spans="1:6" ht="13">
      <c r="A4957" s="16"/>
      <c r="E4957" s="16"/>
      <c r="F4957" s="16"/>
    </row>
    <row r="4958" spans="1:6" ht="13">
      <c r="A4958" s="16"/>
      <c r="E4958" s="16"/>
      <c r="F4958" s="16"/>
    </row>
    <row r="4959" spans="1:6" ht="13">
      <c r="A4959" s="16"/>
      <c r="E4959" s="16"/>
      <c r="F4959" s="16"/>
    </row>
    <row r="4960" spans="1:6" ht="13">
      <c r="A4960" s="16"/>
      <c r="E4960" s="16"/>
      <c r="F4960" s="16"/>
    </row>
    <row r="4961" spans="1:6" ht="13">
      <c r="A4961" s="16"/>
      <c r="E4961" s="16"/>
      <c r="F4961" s="16"/>
    </row>
    <row r="4962" spans="1:6" ht="13">
      <c r="A4962" s="16"/>
      <c r="E4962" s="16"/>
      <c r="F4962" s="16"/>
    </row>
    <row r="4963" spans="1:6" ht="13">
      <c r="A4963" s="16"/>
      <c r="E4963" s="16"/>
      <c r="F4963" s="16"/>
    </row>
    <row r="4964" spans="1:6" ht="13">
      <c r="A4964" s="16"/>
      <c r="E4964" s="16"/>
      <c r="F4964" s="16"/>
    </row>
    <row r="4965" spans="1:6" ht="13">
      <c r="A4965" s="16"/>
      <c r="E4965" s="16"/>
      <c r="F4965" s="16"/>
    </row>
    <row r="4966" spans="1:6" ht="13">
      <c r="A4966" s="16"/>
      <c r="E4966" s="16"/>
      <c r="F4966" s="16"/>
    </row>
    <row r="4967" spans="1:6" ht="13">
      <c r="A4967" s="16"/>
      <c r="E4967" s="16"/>
      <c r="F4967" s="16"/>
    </row>
    <row r="4968" spans="1:6" ht="13">
      <c r="A4968" s="16"/>
      <c r="E4968" s="16"/>
      <c r="F4968" s="16"/>
    </row>
    <row r="4969" spans="1:6" ht="13">
      <c r="A4969" s="16"/>
      <c r="E4969" s="16"/>
      <c r="F4969" s="16"/>
    </row>
    <row r="4970" spans="1:6" ht="13">
      <c r="A4970" s="16"/>
      <c r="E4970" s="16"/>
      <c r="F4970" s="16"/>
    </row>
    <row r="4971" spans="1:6" ht="13">
      <c r="A4971" s="16"/>
      <c r="E4971" s="16"/>
      <c r="F4971" s="16"/>
    </row>
    <row r="4972" spans="1:6" ht="13">
      <c r="A4972" s="16"/>
      <c r="E4972" s="16"/>
      <c r="F4972" s="16"/>
    </row>
    <row r="4973" spans="1:6" ht="13">
      <c r="A4973" s="16"/>
      <c r="E4973" s="16"/>
      <c r="F4973" s="16"/>
    </row>
    <row r="4974" spans="1:6" ht="13">
      <c r="A4974" s="16"/>
      <c r="E4974" s="16"/>
      <c r="F4974" s="16"/>
    </row>
    <row r="4975" spans="1:6" ht="13">
      <c r="A4975" s="16"/>
      <c r="E4975" s="16"/>
      <c r="F4975" s="16"/>
    </row>
    <row r="4976" spans="1:6" ht="13">
      <c r="A4976" s="16"/>
      <c r="E4976" s="16"/>
      <c r="F4976" s="16"/>
    </row>
    <row r="4977" spans="1:6" ht="13">
      <c r="A4977" s="16"/>
      <c r="E4977" s="16"/>
      <c r="F4977" s="16"/>
    </row>
    <row r="4978" spans="1:6" ht="13">
      <c r="A4978" s="16"/>
      <c r="E4978" s="16"/>
      <c r="F4978" s="16"/>
    </row>
    <row r="4979" spans="1:6" ht="13">
      <c r="A4979" s="16"/>
      <c r="E4979" s="16"/>
      <c r="F4979" s="16"/>
    </row>
    <row r="4980" spans="1:6" ht="13">
      <c r="A4980" s="16"/>
      <c r="E4980" s="16"/>
      <c r="F4980" s="16"/>
    </row>
    <row r="4981" spans="1:6" ht="13">
      <c r="A4981" s="16"/>
      <c r="E4981" s="16"/>
      <c r="F4981" s="16"/>
    </row>
    <row r="4982" spans="1:6" ht="13">
      <c r="A4982" s="16"/>
      <c r="E4982" s="16"/>
      <c r="F4982" s="16"/>
    </row>
    <row r="4983" spans="1:6" ht="13">
      <c r="A4983" s="16"/>
      <c r="E4983" s="16"/>
      <c r="F4983" s="16"/>
    </row>
    <row r="4984" spans="1:6" ht="13">
      <c r="A4984" s="16"/>
      <c r="E4984" s="16"/>
      <c r="F4984" s="16"/>
    </row>
    <row r="4985" spans="1:6" ht="13">
      <c r="A4985" s="16"/>
      <c r="E4985" s="16"/>
      <c r="F4985" s="16"/>
    </row>
    <row r="4986" spans="1:6" ht="13">
      <c r="A4986" s="16"/>
      <c r="E4986" s="16"/>
      <c r="F4986" s="16"/>
    </row>
    <row r="4987" spans="1:6" ht="13">
      <c r="A4987" s="16"/>
      <c r="E4987" s="16"/>
      <c r="F4987" s="16"/>
    </row>
    <row r="4988" spans="1:6" ht="13">
      <c r="A4988" s="16"/>
      <c r="E4988" s="16"/>
      <c r="F4988" s="16"/>
    </row>
    <row r="4989" spans="1:6" ht="13">
      <c r="A4989" s="16"/>
      <c r="E4989" s="16"/>
      <c r="F4989" s="16"/>
    </row>
    <row r="4990" spans="1:6" ht="13">
      <c r="A4990" s="16"/>
      <c r="E4990" s="16"/>
      <c r="F4990" s="16"/>
    </row>
    <row r="4991" spans="1:6" ht="13">
      <c r="A4991" s="16"/>
      <c r="E4991" s="16"/>
      <c r="F4991" s="16"/>
    </row>
    <row r="4992" spans="1:6" ht="13">
      <c r="A4992" s="16"/>
      <c r="E4992" s="16"/>
      <c r="F4992" s="16"/>
    </row>
    <row r="4993" spans="1:6" ht="13">
      <c r="A4993" s="16"/>
      <c r="E4993" s="16"/>
      <c r="F4993" s="16"/>
    </row>
    <row r="4994" spans="1:6" ht="13">
      <c r="A4994" s="16"/>
      <c r="E4994" s="16"/>
      <c r="F4994" s="16"/>
    </row>
    <row r="4995" spans="1:6" ht="13">
      <c r="A4995" s="16"/>
      <c r="E4995" s="16"/>
      <c r="F4995" s="16"/>
    </row>
    <row r="4996" spans="1:6" ht="13">
      <c r="A4996" s="16"/>
      <c r="E4996" s="16"/>
      <c r="F4996" s="16"/>
    </row>
    <row r="4997" spans="1:6" ht="13">
      <c r="A4997" s="16"/>
      <c r="E4997" s="16"/>
      <c r="F4997" s="16"/>
    </row>
    <row r="4998" spans="1:6" ht="13">
      <c r="A4998" s="16"/>
      <c r="E4998" s="16"/>
      <c r="F4998" s="16"/>
    </row>
    <row r="4999" spans="1:6" ht="13">
      <c r="A4999" s="16"/>
      <c r="E4999" s="16"/>
      <c r="F4999" s="16"/>
    </row>
    <row r="5000" spans="1:6" ht="13">
      <c r="A5000" s="16"/>
      <c r="E5000" s="16"/>
      <c r="F5000" s="16"/>
    </row>
    <row r="5001" spans="1:6" ht="13">
      <c r="A5001" s="16"/>
      <c r="E5001" s="16"/>
      <c r="F5001" s="16"/>
    </row>
    <row r="5002" spans="1:6" ht="13">
      <c r="A5002" s="16"/>
      <c r="E5002" s="16"/>
      <c r="F5002" s="16"/>
    </row>
    <row r="5003" spans="1:6" ht="13">
      <c r="A5003" s="16"/>
      <c r="E5003" s="16"/>
      <c r="F5003" s="16"/>
    </row>
    <row r="5004" spans="1:6" ht="13">
      <c r="A5004" s="16"/>
      <c r="E5004" s="16"/>
      <c r="F5004" s="16"/>
    </row>
    <row r="5005" spans="1:6" ht="13">
      <c r="A5005" s="16"/>
      <c r="E5005" s="16"/>
      <c r="F5005" s="16"/>
    </row>
    <row r="5006" spans="1:6" ht="13">
      <c r="A5006" s="16"/>
      <c r="E5006" s="16"/>
      <c r="F5006" s="16"/>
    </row>
    <row r="5007" spans="1:6" ht="13">
      <c r="A5007" s="16"/>
      <c r="E5007" s="16"/>
      <c r="F5007" s="16"/>
    </row>
    <row r="5008" spans="1:6" ht="13">
      <c r="A5008" s="16"/>
      <c r="E5008" s="16"/>
      <c r="F5008" s="16"/>
    </row>
    <row r="5009" spans="1:6" ht="13">
      <c r="A5009" s="16"/>
      <c r="E5009" s="16"/>
      <c r="F5009" s="16"/>
    </row>
    <row r="5010" spans="1:6" ht="13">
      <c r="A5010" s="16"/>
      <c r="E5010" s="16"/>
      <c r="F5010" s="16"/>
    </row>
    <row r="5011" spans="1:6" ht="13">
      <c r="A5011" s="16"/>
      <c r="E5011" s="16"/>
      <c r="F5011" s="16"/>
    </row>
    <row r="5012" spans="1:6" ht="13">
      <c r="A5012" s="16"/>
      <c r="E5012" s="16"/>
      <c r="F5012" s="16"/>
    </row>
    <row r="5013" spans="1:6" ht="13">
      <c r="A5013" s="16"/>
      <c r="E5013" s="16"/>
      <c r="F5013" s="16"/>
    </row>
    <row r="5014" spans="1:6" ht="13">
      <c r="A5014" s="16"/>
      <c r="E5014" s="16"/>
      <c r="F5014" s="16"/>
    </row>
    <row r="5015" spans="1:6" ht="13">
      <c r="A5015" s="16"/>
      <c r="E5015" s="16"/>
      <c r="F5015" s="16"/>
    </row>
    <row r="5016" spans="1:6" ht="13">
      <c r="A5016" s="16"/>
      <c r="E5016" s="16"/>
      <c r="F5016" s="16"/>
    </row>
    <row r="5017" spans="1:6" ht="13">
      <c r="A5017" s="16"/>
      <c r="E5017" s="16"/>
      <c r="F5017" s="16"/>
    </row>
    <row r="5018" spans="1:6" ht="13">
      <c r="A5018" s="16"/>
      <c r="E5018" s="16"/>
      <c r="F5018" s="16"/>
    </row>
    <row r="5019" spans="1:6" ht="13">
      <c r="A5019" s="16"/>
      <c r="E5019" s="16"/>
      <c r="F5019" s="16"/>
    </row>
    <row r="5020" spans="1:6" ht="13">
      <c r="A5020" s="16"/>
      <c r="E5020" s="16"/>
      <c r="F5020" s="16"/>
    </row>
    <row r="5021" spans="1:6" ht="13">
      <c r="A5021" s="16"/>
      <c r="E5021" s="16"/>
      <c r="F5021" s="16"/>
    </row>
    <row r="5022" spans="1:6" ht="13">
      <c r="A5022" s="16"/>
      <c r="E5022" s="16"/>
      <c r="F5022" s="16"/>
    </row>
    <row r="5023" spans="1:6" ht="13">
      <c r="A5023" s="16"/>
      <c r="E5023" s="16"/>
      <c r="F5023" s="16"/>
    </row>
    <row r="5024" spans="1:6" ht="13">
      <c r="A5024" s="16"/>
      <c r="E5024" s="16"/>
      <c r="F5024" s="16"/>
    </row>
    <row r="5025" spans="1:6" ht="13">
      <c r="A5025" s="16"/>
      <c r="E5025" s="16"/>
      <c r="F5025" s="16"/>
    </row>
    <row r="5026" spans="1:6" ht="13">
      <c r="A5026" s="16"/>
      <c r="E5026" s="16"/>
      <c r="F5026" s="16"/>
    </row>
    <row r="5027" spans="1:6" ht="13">
      <c r="A5027" s="16"/>
      <c r="E5027" s="16"/>
      <c r="F5027" s="16"/>
    </row>
    <row r="5028" spans="1:6" ht="13">
      <c r="A5028" s="16"/>
      <c r="E5028" s="16"/>
      <c r="F5028" s="16"/>
    </row>
    <row r="5029" spans="1:6" ht="13">
      <c r="A5029" s="16"/>
      <c r="E5029" s="16"/>
      <c r="F5029" s="16"/>
    </row>
    <row r="5030" spans="1:6" ht="13">
      <c r="A5030" s="16"/>
      <c r="E5030" s="16"/>
      <c r="F5030" s="16"/>
    </row>
    <row r="5031" spans="1:6" ht="13">
      <c r="A5031" s="16"/>
      <c r="E5031" s="16"/>
      <c r="F5031" s="16"/>
    </row>
    <row r="5032" spans="1:6" ht="13">
      <c r="A5032" s="16"/>
      <c r="E5032" s="16"/>
      <c r="F5032" s="16"/>
    </row>
    <row r="5033" spans="1:6" ht="13">
      <c r="A5033" s="16"/>
      <c r="E5033" s="16"/>
      <c r="F5033" s="16"/>
    </row>
    <row r="5034" spans="1:6" ht="13">
      <c r="A5034" s="16"/>
      <c r="E5034" s="16"/>
      <c r="F5034" s="16"/>
    </row>
    <row r="5035" spans="1:6" ht="13">
      <c r="A5035" s="16"/>
      <c r="E5035" s="16"/>
      <c r="F5035" s="16"/>
    </row>
    <row r="5036" spans="1:6" ht="13">
      <c r="A5036" s="16"/>
      <c r="E5036" s="16"/>
      <c r="F5036" s="16"/>
    </row>
    <row r="5037" spans="1:6" ht="13">
      <c r="A5037" s="16"/>
      <c r="E5037" s="16"/>
      <c r="F5037" s="16"/>
    </row>
    <row r="5038" spans="1:6" ht="13">
      <c r="A5038" s="16"/>
      <c r="E5038" s="16"/>
      <c r="F5038" s="16"/>
    </row>
    <row r="5039" spans="1:6" ht="13">
      <c r="A5039" s="16"/>
      <c r="E5039" s="16"/>
      <c r="F5039" s="16"/>
    </row>
    <row r="5040" spans="1:6" ht="13">
      <c r="A5040" s="16"/>
      <c r="E5040" s="16"/>
      <c r="F5040" s="16"/>
    </row>
    <row r="5041" spans="1:6" ht="13">
      <c r="A5041" s="16"/>
      <c r="E5041" s="16"/>
      <c r="F5041" s="16"/>
    </row>
    <row r="5042" spans="1:6" ht="13">
      <c r="A5042" s="16"/>
      <c r="E5042" s="16"/>
      <c r="F5042" s="16"/>
    </row>
    <row r="5043" spans="1:6" ht="13">
      <c r="A5043" s="16"/>
      <c r="E5043" s="16"/>
      <c r="F5043" s="16"/>
    </row>
    <row r="5044" spans="1:6" ht="13">
      <c r="A5044" s="16"/>
      <c r="E5044" s="16"/>
      <c r="F5044" s="16"/>
    </row>
    <row r="5045" spans="1:6" ht="13">
      <c r="A5045" s="16"/>
      <c r="E5045" s="16"/>
      <c r="F5045" s="16"/>
    </row>
    <row r="5046" spans="1:6" ht="13">
      <c r="A5046" s="16"/>
      <c r="E5046" s="16"/>
      <c r="F5046" s="16"/>
    </row>
    <row r="5047" spans="1:6" ht="13">
      <c r="A5047" s="16"/>
      <c r="E5047" s="16"/>
      <c r="F5047" s="16"/>
    </row>
    <row r="5048" spans="1:6" ht="13">
      <c r="A5048" s="16"/>
      <c r="E5048" s="16"/>
      <c r="F5048" s="16"/>
    </row>
    <row r="5049" spans="1:6" ht="13">
      <c r="A5049" s="16"/>
      <c r="E5049" s="16"/>
      <c r="F5049" s="16"/>
    </row>
    <row r="5050" spans="1:6" ht="13">
      <c r="A5050" s="16"/>
      <c r="E5050" s="16"/>
      <c r="F5050" s="16"/>
    </row>
    <row r="5051" spans="1:6" ht="13">
      <c r="A5051" s="16"/>
      <c r="E5051" s="16"/>
      <c r="F5051" s="16"/>
    </row>
    <row r="5052" spans="1:6" ht="13">
      <c r="A5052" s="16"/>
      <c r="E5052" s="16"/>
      <c r="F5052" s="16"/>
    </row>
    <row r="5053" spans="1:6" ht="13">
      <c r="A5053" s="16"/>
      <c r="E5053" s="16"/>
      <c r="F5053" s="16"/>
    </row>
    <row r="5054" spans="1:6" ht="13">
      <c r="A5054" s="16"/>
      <c r="E5054" s="16"/>
      <c r="F5054" s="16"/>
    </row>
    <row r="5055" spans="1:6" ht="13">
      <c r="A5055" s="16"/>
      <c r="E5055" s="16"/>
      <c r="F5055" s="16"/>
    </row>
    <row r="5056" spans="1:6" ht="13">
      <c r="A5056" s="16"/>
      <c r="E5056" s="16"/>
      <c r="F5056" s="16"/>
    </row>
    <row r="5057" spans="1:6" ht="13">
      <c r="A5057" s="16"/>
      <c r="E5057" s="16"/>
      <c r="F5057" s="16"/>
    </row>
    <row r="5058" spans="1:6" ht="13">
      <c r="A5058" s="16"/>
      <c r="E5058" s="16"/>
      <c r="F5058" s="16"/>
    </row>
    <row r="5059" spans="1:6" ht="13">
      <c r="A5059" s="16"/>
      <c r="E5059" s="16"/>
      <c r="F5059" s="16"/>
    </row>
    <row r="5060" spans="1:6" ht="13">
      <c r="A5060" s="16"/>
      <c r="E5060" s="16"/>
      <c r="F5060" s="16"/>
    </row>
    <row r="5061" spans="1:6" ht="13">
      <c r="A5061" s="16"/>
      <c r="E5061" s="16"/>
      <c r="F5061" s="16"/>
    </row>
    <row r="5062" spans="1:6" ht="13">
      <c r="A5062" s="16"/>
      <c r="E5062" s="16"/>
      <c r="F5062" s="16"/>
    </row>
    <row r="5063" spans="1:6" ht="13">
      <c r="A5063" s="16"/>
      <c r="E5063" s="16"/>
      <c r="F5063" s="16"/>
    </row>
    <row r="5064" spans="1:6" ht="13">
      <c r="A5064" s="16"/>
      <c r="E5064" s="16"/>
      <c r="F5064" s="16"/>
    </row>
    <row r="5065" spans="1:6" ht="13">
      <c r="A5065" s="16"/>
      <c r="E5065" s="16"/>
      <c r="F5065" s="16"/>
    </row>
    <row r="5066" spans="1:6" ht="13">
      <c r="A5066" s="16"/>
      <c r="E5066" s="16"/>
      <c r="F5066" s="16"/>
    </row>
    <row r="5067" spans="1:6" ht="13">
      <c r="A5067" s="16"/>
      <c r="E5067" s="16"/>
      <c r="F5067" s="16"/>
    </row>
    <row r="5068" spans="1:6" ht="13">
      <c r="A5068" s="16"/>
      <c r="E5068" s="16"/>
      <c r="F5068" s="16"/>
    </row>
    <row r="5069" spans="1:6" ht="13">
      <c r="A5069" s="16"/>
      <c r="E5069" s="16"/>
      <c r="F5069" s="16"/>
    </row>
    <row r="5070" spans="1:6" ht="13">
      <c r="A5070" s="16"/>
      <c r="E5070" s="16"/>
      <c r="F5070" s="16"/>
    </row>
    <row r="5071" spans="1:6" ht="13">
      <c r="A5071" s="16"/>
      <c r="E5071" s="16"/>
      <c r="F5071" s="16"/>
    </row>
    <row r="5072" spans="1:6" ht="13">
      <c r="A5072" s="16"/>
      <c r="E5072" s="16"/>
      <c r="F5072" s="16"/>
    </row>
    <row r="5073" spans="1:6" ht="13">
      <c r="A5073" s="16"/>
      <c r="E5073" s="16"/>
      <c r="F5073" s="16"/>
    </row>
    <row r="5074" spans="1:6" ht="13">
      <c r="A5074" s="16"/>
      <c r="E5074" s="16"/>
      <c r="F5074" s="16"/>
    </row>
    <row r="5075" spans="1:6" ht="13">
      <c r="A5075" s="16"/>
      <c r="E5075" s="16"/>
      <c r="F5075" s="16"/>
    </row>
    <row r="5076" spans="1:6" ht="13">
      <c r="A5076" s="16"/>
      <c r="E5076" s="16"/>
      <c r="F5076" s="16"/>
    </row>
    <row r="5077" spans="1:6" ht="13">
      <c r="A5077" s="16"/>
      <c r="E5077" s="16"/>
      <c r="F5077" s="16"/>
    </row>
    <row r="5078" spans="1:6" ht="13">
      <c r="A5078" s="16"/>
      <c r="E5078" s="16"/>
      <c r="F5078" s="16"/>
    </row>
    <row r="5079" spans="1:6" ht="13">
      <c r="A5079" s="16"/>
      <c r="E5079" s="16"/>
      <c r="F5079" s="16"/>
    </row>
    <row r="5080" spans="1:6" ht="13">
      <c r="A5080" s="16"/>
      <c r="E5080" s="16"/>
      <c r="F5080" s="16"/>
    </row>
    <row r="5081" spans="1:6" ht="13">
      <c r="A5081" s="16"/>
      <c r="E5081" s="16"/>
      <c r="F5081" s="16"/>
    </row>
    <row r="5082" spans="1:6" ht="13">
      <c r="A5082" s="16"/>
      <c r="E5082" s="16"/>
      <c r="F5082" s="16"/>
    </row>
    <row r="5083" spans="1:6" ht="13">
      <c r="A5083" s="16"/>
      <c r="E5083" s="16"/>
      <c r="F5083" s="16"/>
    </row>
    <row r="5084" spans="1:6" ht="13">
      <c r="A5084" s="16"/>
      <c r="E5084" s="16"/>
      <c r="F5084" s="16"/>
    </row>
    <row r="5085" spans="1:6" ht="13">
      <c r="A5085" s="16"/>
      <c r="E5085" s="16"/>
      <c r="F5085" s="16"/>
    </row>
    <row r="5086" spans="1:6" ht="13">
      <c r="A5086" s="16"/>
      <c r="E5086" s="16"/>
      <c r="F5086" s="16"/>
    </row>
    <row r="5087" spans="1:6" ht="13">
      <c r="A5087" s="16"/>
      <c r="E5087" s="16"/>
      <c r="F5087" s="16"/>
    </row>
    <row r="5088" spans="1:6" ht="13">
      <c r="A5088" s="16"/>
      <c r="E5088" s="16"/>
      <c r="F5088" s="16"/>
    </row>
    <row r="5089" spans="1:6" ht="13">
      <c r="A5089" s="16"/>
      <c r="E5089" s="16"/>
      <c r="F5089" s="16"/>
    </row>
    <row r="5090" spans="1:6" ht="13">
      <c r="A5090" s="16"/>
      <c r="E5090" s="16"/>
      <c r="F5090" s="16"/>
    </row>
    <row r="5091" spans="1:6" ht="13">
      <c r="A5091" s="16"/>
      <c r="E5091" s="16"/>
      <c r="F5091" s="16"/>
    </row>
    <row r="5092" spans="1:6" ht="13">
      <c r="A5092" s="16"/>
      <c r="E5092" s="16"/>
      <c r="F5092" s="16"/>
    </row>
    <row r="5093" spans="1:6" ht="13">
      <c r="A5093" s="16"/>
      <c r="E5093" s="16"/>
      <c r="F5093" s="16"/>
    </row>
    <row r="5094" spans="1:6" ht="13">
      <c r="A5094" s="16"/>
      <c r="E5094" s="16"/>
      <c r="F5094" s="16"/>
    </row>
    <row r="5095" spans="1:6" ht="13">
      <c r="A5095" s="16"/>
      <c r="E5095" s="16"/>
      <c r="F5095" s="16"/>
    </row>
    <row r="5096" spans="1:6" ht="13">
      <c r="A5096" s="16"/>
      <c r="E5096" s="16"/>
      <c r="F5096" s="16"/>
    </row>
    <row r="5097" spans="1:6" ht="13">
      <c r="A5097" s="16"/>
      <c r="E5097" s="16"/>
      <c r="F5097" s="16"/>
    </row>
    <row r="5098" spans="1:6" ht="13">
      <c r="A5098" s="16"/>
      <c r="E5098" s="16"/>
      <c r="F5098" s="16"/>
    </row>
    <row r="5099" spans="1:6" ht="13">
      <c r="A5099" s="16"/>
      <c r="E5099" s="16"/>
      <c r="F5099" s="16"/>
    </row>
    <row r="5100" spans="1:6" ht="13">
      <c r="A5100" s="16"/>
      <c r="E5100" s="16"/>
      <c r="F5100" s="16"/>
    </row>
    <row r="5101" spans="1:6" ht="13">
      <c r="A5101" s="16"/>
      <c r="E5101" s="16"/>
      <c r="F5101" s="16"/>
    </row>
    <row r="5102" spans="1:6" ht="13">
      <c r="A5102" s="16"/>
      <c r="E5102" s="16"/>
      <c r="F5102" s="16"/>
    </row>
    <row r="5103" spans="1:6" ht="13">
      <c r="A5103" s="16"/>
      <c r="E5103" s="16"/>
      <c r="F5103" s="16"/>
    </row>
    <row r="5104" spans="1:6" ht="13">
      <c r="A5104" s="16"/>
      <c r="E5104" s="16"/>
      <c r="F5104" s="16"/>
    </row>
    <row r="5105" spans="1:6" ht="13">
      <c r="A5105" s="16"/>
      <c r="E5105" s="16"/>
      <c r="F5105" s="16"/>
    </row>
    <row r="5106" spans="1:6" ht="13">
      <c r="A5106" s="16"/>
      <c r="E5106" s="16"/>
      <c r="F5106" s="16"/>
    </row>
    <row r="5107" spans="1:6" ht="13">
      <c r="A5107" s="16"/>
      <c r="E5107" s="16"/>
      <c r="F5107" s="16"/>
    </row>
    <row r="5108" spans="1:6" ht="13">
      <c r="A5108" s="16"/>
      <c r="E5108" s="16"/>
      <c r="F5108" s="16"/>
    </row>
    <row r="5109" spans="1:6" ht="13">
      <c r="A5109" s="16"/>
      <c r="E5109" s="16"/>
      <c r="F5109" s="16"/>
    </row>
    <row r="5110" spans="1:6" ht="13">
      <c r="A5110" s="16"/>
      <c r="E5110" s="16"/>
      <c r="F5110" s="16"/>
    </row>
    <row r="5111" spans="1:6" ht="13">
      <c r="A5111" s="16"/>
      <c r="E5111" s="16"/>
      <c r="F5111" s="16"/>
    </row>
    <row r="5112" spans="1:6" ht="13">
      <c r="A5112" s="16"/>
      <c r="E5112" s="16"/>
      <c r="F5112" s="16"/>
    </row>
    <row r="5113" spans="1:6" ht="13">
      <c r="A5113" s="16"/>
      <c r="E5113" s="16"/>
      <c r="F5113" s="16"/>
    </row>
    <row r="5114" spans="1:6" ht="13">
      <c r="A5114" s="16"/>
      <c r="E5114" s="16"/>
      <c r="F5114" s="16"/>
    </row>
    <row r="5115" spans="1:6" ht="13">
      <c r="A5115" s="16"/>
      <c r="E5115" s="16"/>
      <c r="F5115" s="16"/>
    </row>
    <row r="5116" spans="1:6" ht="13">
      <c r="A5116" s="16"/>
      <c r="E5116" s="16"/>
      <c r="F5116" s="16"/>
    </row>
    <row r="5117" spans="1:6" ht="13">
      <c r="A5117" s="16"/>
      <c r="E5117" s="16"/>
      <c r="F5117" s="16"/>
    </row>
    <row r="5118" spans="1:6" ht="13">
      <c r="A5118" s="16"/>
      <c r="E5118" s="16"/>
      <c r="F5118" s="16"/>
    </row>
    <row r="5119" spans="1:6" ht="13">
      <c r="A5119" s="16"/>
      <c r="E5119" s="16"/>
      <c r="F5119" s="16"/>
    </row>
    <row r="5120" spans="1:6" ht="13">
      <c r="A5120" s="16"/>
      <c r="E5120" s="16"/>
      <c r="F5120" s="16"/>
    </row>
    <row r="5121" spans="1:6" ht="13">
      <c r="A5121" s="16"/>
      <c r="E5121" s="16"/>
      <c r="F5121" s="16"/>
    </row>
    <row r="5122" spans="1:6" ht="13">
      <c r="A5122" s="16"/>
      <c r="E5122" s="16"/>
      <c r="F5122" s="16"/>
    </row>
    <row r="5123" spans="1:6" ht="13">
      <c r="A5123" s="16"/>
      <c r="E5123" s="16"/>
      <c r="F5123" s="16"/>
    </row>
    <row r="5124" spans="1:6" ht="13">
      <c r="A5124" s="16"/>
      <c r="E5124" s="16"/>
      <c r="F5124" s="16"/>
    </row>
    <row r="5125" spans="1:6" ht="13">
      <c r="A5125" s="16"/>
      <c r="E5125" s="16"/>
      <c r="F5125" s="16"/>
    </row>
    <row r="5126" spans="1:6" ht="13">
      <c r="A5126" s="16"/>
      <c r="E5126" s="16"/>
      <c r="F5126" s="16"/>
    </row>
    <row r="5127" spans="1:6" ht="13">
      <c r="A5127" s="16"/>
      <c r="E5127" s="16"/>
      <c r="F5127" s="16"/>
    </row>
    <row r="5128" spans="1:6" ht="13">
      <c r="A5128" s="16"/>
      <c r="E5128" s="16"/>
      <c r="F5128" s="16"/>
    </row>
    <row r="5129" spans="1:6" ht="13">
      <c r="A5129" s="16"/>
      <c r="E5129" s="16"/>
      <c r="F5129" s="16"/>
    </row>
    <row r="5130" spans="1:6" ht="13">
      <c r="A5130" s="16"/>
      <c r="E5130" s="16"/>
      <c r="F5130" s="16"/>
    </row>
    <row r="5131" spans="1:6" ht="13">
      <c r="A5131" s="16"/>
      <c r="E5131" s="16"/>
      <c r="F5131" s="16"/>
    </row>
    <row r="5132" spans="1:6" ht="13">
      <c r="A5132" s="16"/>
      <c r="E5132" s="16"/>
      <c r="F5132" s="16"/>
    </row>
    <row r="5133" spans="1:6" ht="13">
      <c r="A5133" s="16"/>
      <c r="E5133" s="16"/>
      <c r="F5133" s="16"/>
    </row>
    <row r="5134" spans="1:6" ht="13">
      <c r="A5134" s="16"/>
      <c r="E5134" s="16"/>
      <c r="F5134" s="16"/>
    </row>
    <row r="5135" spans="1:6" ht="13">
      <c r="A5135" s="16"/>
      <c r="E5135" s="16"/>
      <c r="F5135" s="16"/>
    </row>
    <row r="5136" spans="1:6" ht="13">
      <c r="A5136" s="16"/>
      <c r="E5136" s="16"/>
      <c r="F5136" s="16"/>
    </row>
    <row r="5137" spans="1:6" ht="13">
      <c r="A5137" s="16"/>
      <c r="E5137" s="16"/>
      <c r="F5137" s="16"/>
    </row>
    <row r="5138" spans="1:6" ht="13">
      <c r="A5138" s="16"/>
      <c r="E5138" s="16"/>
      <c r="F5138" s="16"/>
    </row>
    <row r="5139" spans="1:6" ht="13">
      <c r="A5139" s="16"/>
      <c r="E5139" s="16"/>
      <c r="F5139" s="16"/>
    </row>
    <row r="5140" spans="1:6" ht="13">
      <c r="A5140" s="16"/>
      <c r="E5140" s="16"/>
      <c r="F5140" s="16"/>
    </row>
    <row r="5141" spans="1:6" ht="13">
      <c r="A5141" s="16"/>
      <c r="E5141" s="16"/>
      <c r="F5141" s="16"/>
    </row>
    <row r="5142" spans="1:6" ht="13">
      <c r="A5142" s="16"/>
      <c r="E5142" s="16"/>
      <c r="F5142" s="16"/>
    </row>
    <row r="5143" spans="1:6" ht="13">
      <c r="A5143" s="16"/>
      <c r="E5143" s="16"/>
      <c r="F5143" s="16"/>
    </row>
    <row r="5144" spans="1:6" ht="13">
      <c r="A5144" s="16"/>
      <c r="E5144" s="16"/>
      <c r="F5144" s="16"/>
    </row>
    <row r="5145" spans="1:6" ht="13">
      <c r="A5145" s="16"/>
      <c r="E5145" s="16"/>
      <c r="F5145" s="16"/>
    </row>
    <row r="5146" spans="1:6" ht="13">
      <c r="A5146" s="16"/>
      <c r="E5146" s="16"/>
      <c r="F5146" s="16"/>
    </row>
    <row r="5147" spans="1:6" ht="13">
      <c r="A5147" s="16"/>
      <c r="E5147" s="16"/>
      <c r="F5147" s="16"/>
    </row>
    <row r="5148" spans="1:6" ht="13">
      <c r="A5148" s="16"/>
      <c r="E5148" s="16"/>
      <c r="F5148" s="16"/>
    </row>
    <row r="5149" spans="1:6" ht="13">
      <c r="A5149" s="16"/>
      <c r="E5149" s="16"/>
      <c r="F5149" s="16"/>
    </row>
    <row r="5150" spans="1:6" ht="13">
      <c r="A5150" s="16"/>
      <c r="E5150" s="16"/>
      <c r="F5150" s="16"/>
    </row>
    <row r="5151" spans="1:6" ht="13">
      <c r="A5151" s="16"/>
      <c r="E5151" s="16"/>
      <c r="F5151" s="16"/>
    </row>
    <row r="5152" spans="1:6" ht="13">
      <c r="A5152" s="16"/>
      <c r="E5152" s="16"/>
      <c r="F5152" s="16"/>
    </row>
    <row r="5153" spans="1:6" ht="13">
      <c r="A5153" s="16"/>
      <c r="E5153" s="16"/>
      <c r="F5153" s="16"/>
    </row>
    <row r="5154" spans="1:6" ht="13">
      <c r="A5154" s="16"/>
      <c r="E5154" s="16"/>
      <c r="F5154" s="16"/>
    </row>
    <row r="5155" spans="1:6" ht="13">
      <c r="A5155" s="16"/>
      <c r="E5155" s="16"/>
      <c r="F5155" s="16"/>
    </row>
    <row r="5156" spans="1:6" ht="13">
      <c r="A5156" s="16"/>
      <c r="E5156" s="16"/>
      <c r="F5156" s="16"/>
    </row>
    <row r="5157" spans="1:6" ht="13">
      <c r="A5157" s="16"/>
      <c r="E5157" s="16"/>
      <c r="F5157" s="16"/>
    </row>
    <row r="5158" spans="1:6" ht="13">
      <c r="A5158" s="16"/>
      <c r="E5158" s="16"/>
      <c r="F5158" s="16"/>
    </row>
    <row r="5159" spans="1:6" ht="13">
      <c r="A5159" s="16"/>
      <c r="E5159" s="16"/>
      <c r="F5159" s="16"/>
    </row>
    <row r="5160" spans="1:6" ht="13">
      <c r="A5160" s="16"/>
      <c r="E5160" s="16"/>
      <c r="F5160" s="16"/>
    </row>
    <row r="5161" spans="1:6" ht="13">
      <c r="A5161" s="16"/>
      <c r="E5161" s="16"/>
      <c r="F5161" s="16"/>
    </row>
    <row r="5162" spans="1:6" ht="13">
      <c r="A5162" s="16"/>
      <c r="E5162" s="16"/>
      <c r="F5162" s="16"/>
    </row>
    <row r="5163" spans="1:6" ht="13">
      <c r="A5163" s="16"/>
      <c r="E5163" s="16"/>
      <c r="F5163" s="16"/>
    </row>
    <row r="5164" spans="1:6" ht="13">
      <c r="A5164" s="16"/>
      <c r="E5164" s="16"/>
      <c r="F5164" s="16"/>
    </row>
    <row r="5165" spans="1:6" ht="13">
      <c r="A5165" s="16"/>
      <c r="E5165" s="16"/>
      <c r="F5165" s="16"/>
    </row>
    <row r="5166" spans="1:6" ht="13">
      <c r="A5166" s="16"/>
      <c r="E5166" s="16"/>
      <c r="F5166" s="16"/>
    </row>
    <row r="5167" spans="1:6" ht="13">
      <c r="A5167" s="16"/>
      <c r="E5167" s="16"/>
      <c r="F5167" s="16"/>
    </row>
    <row r="5168" spans="1:6" ht="13">
      <c r="A5168" s="16"/>
      <c r="E5168" s="16"/>
      <c r="F5168" s="16"/>
    </row>
    <row r="5169" spans="1:6" ht="13">
      <c r="A5169" s="16"/>
      <c r="E5169" s="16"/>
      <c r="F5169" s="16"/>
    </row>
    <row r="5170" spans="1:6" ht="13">
      <c r="A5170" s="16"/>
      <c r="E5170" s="16"/>
      <c r="F5170" s="16"/>
    </row>
    <row r="5171" spans="1:6" ht="13">
      <c r="A5171" s="16"/>
      <c r="E5171" s="16"/>
      <c r="F5171" s="16"/>
    </row>
    <row r="5172" spans="1:6" ht="13">
      <c r="A5172" s="16"/>
      <c r="E5172" s="16"/>
      <c r="F5172" s="16"/>
    </row>
    <row r="5173" spans="1:6" ht="13">
      <c r="A5173" s="16"/>
      <c r="E5173" s="16"/>
      <c r="F5173" s="16"/>
    </row>
    <row r="5174" spans="1:6" ht="13">
      <c r="A5174" s="16"/>
      <c r="E5174" s="16"/>
      <c r="F5174" s="16"/>
    </row>
    <row r="5175" spans="1:6" ht="13">
      <c r="A5175" s="16"/>
      <c r="E5175" s="16"/>
      <c r="F5175" s="16"/>
    </row>
    <row r="5176" spans="1:6" ht="13">
      <c r="A5176" s="16"/>
      <c r="E5176" s="16"/>
      <c r="F5176" s="16"/>
    </row>
    <row r="5177" spans="1:6" ht="13">
      <c r="A5177" s="16"/>
      <c r="E5177" s="16"/>
      <c r="F5177" s="16"/>
    </row>
    <row r="5178" spans="1:6" ht="13">
      <c r="A5178" s="16"/>
      <c r="E5178" s="16"/>
      <c r="F5178" s="16"/>
    </row>
    <row r="5179" spans="1:6" ht="13">
      <c r="A5179" s="16"/>
      <c r="E5179" s="16"/>
      <c r="F5179" s="16"/>
    </row>
    <row r="5180" spans="1:6" ht="13">
      <c r="A5180" s="16"/>
      <c r="E5180" s="16"/>
      <c r="F5180" s="16"/>
    </row>
    <row r="5181" spans="1:6" ht="13">
      <c r="A5181" s="16"/>
      <c r="E5181" s="16"/>
      <c r="F5181" s="16"/>
    </row>
    <row r="5182" spans="1:6" ht="13">
      <c r="A5182" s="16"/>
      <c r="E5182" s="16"/>
      <c r="F5182" s="16"/>
    </row>
    <row r="5183" spans="1:6" ht="13">
      <c r="A5183" s="16"/>
      <c r="E5183" s="16"/>
      <c r="F5183" s="16"/>
    </row>
    <row r="5184" spans="1:6" ht="13">
      <c r="A5184" s="16"/>
      <c r="E5184" s="16"/>
      <c r="F5184" s="16"/>
    </row>
    <row r="5185" spans="1:6" ht="13">
      <c r="A5185" s="16"/>
      <c r="E5185" s="16"/>
      <c r="F5185" s="16"/>
    </row>
    <row r="5186" spans="1:6" ht="13">
      <c r="A5186" s="16"/>
      <c r="E5186" s="16"/>
      <c r="F5186" s="16"/>
    </row>
    <row r="5187" spans="1:6" ht="13">
      <c r="A5187" s="16"/>
      <c r="E5187" s="16"/>
      <c r="F5187" s="16"/>
    </row>
    <row r="5188" spans="1:6" ht="13">
      <c r="A5188" s="16"/>
      <c r="E5188" s="16"/>
      <c r="F5188" s="16"/>
    </row>
    <row r="5189" spans="1:6" ht="13">
      <c r="A5189" s="16"/>
      <c r="E5189" s="16"/>
      <c r="F5189" s="16"/>
    </row>
    <row r="5190" spans="1:6" ht="13">
      <c r="A5190" s="16"/>
      <c r="E5190" s="16"/>
      <c r="F5190" s="16"/>
    </row>
    <row r="5191" spans="1:6" ht="13">
      <c r="A5191" s="16"/>
      <c r="E5191" s="16"/>
      <c r="F5191" s="16"/>
    </row>
    <row r="5192" spans="1:6" ht="13">
      <c r="A5192" s="16"/>
      <c r="E5192" s="16"/>
      <c r="F5192" s="16"/>
    </row>
    <row r="5193" spans="1:6" ht="13">
      <c r="A5193" s="16"/>
      <c r="E5193" s="16"/>
      <c r="F5193" s="16"/>
    </row>
    <row r="5194" spans="1:6" ht="13">
      <c r="A5194" s="16"/>
      <c r="E5194" s="16"/>
      <c r="F5194" s="16"/>
    </row>
    <row r="5195" spans="1:6" ht="13">
      <c r="A5195" s="16"/>
      <c r="E5195" s="16"/>
      <c r="F5195" s="16"/>
    </row>
    <row r="5196" spans="1:6" ht="13">
      <c r="A5196" s="16"/>
      <c r="E5196" s="16"/>
      <c r="F5196" s="16"/>
    </row>
    <row r="5197" spans="1:6" ht="13">
      <c r="A5197" s="16"/>
      <c r="E5197" s="16"/>
      <c r="F5197" s="16"/>
    </row>
    <row r="5198" spans="1:6" ht="13">
      <c r="A5198" s="16"/>
      <c r="E5198" s="16"/>
      <c r="F5198" s="16"/>
    </row>
    <row r="5199" spans="1:6" ht="13">
      <c r="A5199" s="16"/>
      <c r="E5199" s="16"/>
      <c r="F5199" s="16"/>
    </row>
    <row r="5200" spans="1:6" ht="13">
      <c r="A5200" s="16"/>
      <c r="E5200" s="16"/>
      <c r="F5200" s="16"/>
    </row>
    <row r="5201" spans="1:6" ht="13">
      <c r="A5201" s="16"/>
      <c r="E5201" s="16"/>
      <c r="F5201" s="16"/>
    </row>
    <row r="5202" spans="1:6" ht="13">
      <c r="A5202" s="16"/>
      <c r="E5202" s="16"/>
      <c r="F5202" s="16"/>
    </row>
    <row r="5203" spans="1:6" ht="13">
      <c r="A5203" s="16"/>
      <c r="E5203" s="16"/>
      <c r="F5203" s="16"/>
    </row>
    <row r="5204" spans="1:6" ht="13">
      <c r="A5204" s="16"/>
      <c r="E5204" s="16"/>
      <c r="F5204" s="16"/>
    </row>
    <row r="5205" spans="1:6" ht="13">
      <c r="A5205" s="16"/>
      <c r="E5205" s="16"/>
      <c r="F5205" s="16"/>
    </row>
    <row r="5206" spans="1:6" ht="13">
      <c r="A5206" s="16"/>
      <c r="E5206" s="16"/>
      <c r="F5206" s="16"/>
    </row>
    <row r="5207" spans="1:6" ht="13">
      <c r="A5207" s="16"/>
      <c r="E5207" s="16"/>
      <c r="F5207" s="16"/>
    </row>
    <row r="5208" spans="1:6" ht="13">
      <c r="A5208" s="16"/>
      <c r="E5208" s="16"/>
      <c r="F5208" s="16"/>
    </row>
    <row r="5209" spans="1:6" ht="13">
      <c r="A5209" s="16"/>
      <c r="E5209" s="16"/>
      <c r="F5209" s="16"/>
    </row>
    <row r="5210" spans="1:6" ht="13">
      <c r="A5210" s="16"/>
      <c r="E5210" s="16"/>
      <c r="F5210" s="16"/>
    </row>
    <row r="5211" spans="1:6" ht="13">
      <c r="A5211" s="16"/>
      <c r="E5211" s="16"/>
      <c r="F5211" s="16"/>
    </row>
    <row r="5212" spans="1:6" ht="13">
      <c r="A5212" s="16"/>
      <c r="E5212" s="16"/>
      <c r="F5212" s="16"/>
    </row>
    <row r="5213" spans="1:6" ht="13">
      <c r="A5213" s="16"/>
      <c r="E5213" s="16"/>
      <c r="F5213" s="16"/>
    </row>
    <row r="5214" spans="1:6" ht="13">
      <c r="A5214" s="16"/>
      <c r="E5214" s="16"/>
      <c r="F5214" s="16"/>
    </row>
    <row r="5215" spans="1:6" ht="13">
      <c r="A5215" s="16"/>
      <c r="E5215" s="16"/>
      <c r="F5215" s="16"/>
    </row>
    <row r="5216" spans="1:6" ht="13">
      <c r="A5216" s="16"/>
      <c r="E5216" s="16"/>
      <c r="F5216" s="16"/>
    </row>
    <row r="5217" spans="1:6" ht="13">
      <c r="A5217" s="16"/>
      <c r="E5217" s="16"/>
      <c r="F5217" s="16"/>
    </row>
    <row r="5218" spans="1:6" ht="13">
      <c r="A5218" s="16"/>
      <c r="E5218" s="16"/>
      <c r="F5218" s="16"/>
    </row>
    <row r="5219" spans="1:6" ht="13">
      <c r="A5219" s="16"/>
      <c r="E5219" s="16"/>
      <c r="F5219" s="16"/>
    </row>
    <row r="5220" spans="1:6" ht="13">
      <c r="A5220" s="16"/>
      <c r="E5220" s="16"/>
      <c r="F5220" s="16"/>
    </row>
    <row r="5221" spans="1:6" ht="13">
      <c r="A5221" s="16"/>
      <c r="E5221" s="16"/>
      <c r="F5221" s="16"/>
    </row>
    <row r="5222" spans="1:6" ht="13">
      <c r="A5222" s="16"/>
      <c r="E5222" s="16"/>
      <c r="F5222" s="16"/>
    </row>
    <row r="5223" spans="1:6" ht="13">
      <c r="A5223" s="16"/>
      <c r="E5223" s="16"/>
      <c r="F5223" s="16"/>
    </row>
    <row r="5224" spans="1:6" ht="13">
      <c r="A5224" s="16"/>
      <c r="E5224" s="16"/>
      <c r="F5224" s="16"/>
    </row>
    <row r="5225" spans="1:6" ht="13">
      <c r="A5225" s="16"/>
      <c r="E5225" s="16"/>
      <c r="F5225" s="16"/>
    </row>
    <row r="5226" spans="1:6" ht="13">
      <c r="A5226" s="16"/>
      <c r="E5226" s="16"/>
      <c r="F5226" s="16"/>
    </row>
    <row r="5227" spans="1:6" ht="13">
      <c r="A5227" s="16"/>
      <c r="E5227" s="16"/>
      <c r="F5227" s="16"/>
    </row>
    <row r="5228" spans="1:6" ht="13">
      <c r="A5228" s="16"/>
      <c r="E5228" s="16"/>
      <c r="F5228" s="16"/>
    </row>
    <row r="5229" spans="1:6" ht="13">
      <c r="A5229" s="16"/>
      <c r="E5229" s="16"/>
      <c r="F5229" s="16"/>
    </row>
    <row r="5230" spans="1:6" ht="13">
      <c r="A5230" s="16"/>
      <c r="E5230" s="16"/>
      <c r="F5230" s="16"/>
    </row>
    <row r="5231" spans="1:6" ht="13">
      <c r="A5231" s="16"/>
      <c r="E5231" s="16"/>
      <c r="F5231" s="16"/>
    </row>
    <row r="5232" spans="1:6" ht="13">
      <c r="A5232" s="16"/>
      <c r="E5232" s="16"/>
      <c r="F5232" s="16"/>
    </row>
    <row r="5233" spans="1:6" ht="13">
      <c r="A5233" s="16"/>
      <c r="E5233" s="16"/>
      <c r="F5233" s="16"/>
    </row>
    <row r="5234" spans="1:6" ht="13">
      <c r="A5234" s="16"/>
      <c r="E5234" s="16"/>
      <c r="F5234" s="16"/>
    </row>
    <row r="5235" spans="1:6" ht="13">
      <c r="A5235" s="16"/>
      <c r="E5235" s="16"/>
      <c r="F5235" s="16"/>
    </row>
    <row r="5236" spans="1:6" ht="13">
      <c r="A5236" s="16"/>
      <c r="E5236" s="16"/>
      <c r="F5236" s="16"/>
    </row>
    <row r="5237" spans="1:6" ht="13">
      <c r="A5237" s="16"/>
      <c r="E5237" s="16"/>
      <c r="F5237" s="16"/>
    </row>
    <row r="5238" spans="1:6" ht="13">
      <c r="A5238" s="16"/>
      <c r="E5238" s="16"/>
      <c r="F5238" s="16"/>
    </row>
    <row r="5239" spans="1:6" ht="13">
      <c r="A5239" s="16"/>
      <c r="E5239" s="16"/>
      <c r="F5239" s="16"/>
    </row>
    <row r="5240" spans="1:6" ht="13">
      <c r="A5240" s="16"/>
      <c r="E5240" s="16"/>
      <c r="F5240" s="16"/>
    </row>
    <row r="5241" spans="1:6" ht="13">
      <c r="A5241" s="16"/>
      <c r="E5241" s="16"/>
      <c r="F5241" s="16"/>
    </row>
    <row r="5242" spans="1:6" ht="13">
      <c r="A5242" s="16"/>
      <c r="E5242" s="16"/>
      <c r="F5242" s="16"/>
    </row>
    <row r="5243" spans="1:6" ht="13">
      <c r="A5243" s="16"/>
      <c r="E5243" s="16"/>
      <c r="F5243" s="16"/>
    </row>
    <row r="5244" spans="1:6" ht="13">
      <c r="A5244" s="16"/>
      <c r="E5244" s="16"/>
      <c r="F5244" s="16"/>
    </row>
    <row r="5245" spans="1:6" ht="13">
      <c r="A5245" s="16"/>
      <c r="E5245" s="16"/>
      <c r="F5245" s="16"/>
    </row>
    <row r="5246" spans="1:6" ht="13">
      <c r="A5246" s="16"/>
      <c r="E5246" s="16"/>
      <c r="F5246" s="16"/>
    </row>
    <row r="5247" spans="1:6" ht="13">
      <c r="A5247" s="16"/>
      <c r="E5247" s="16"/>
      <c r="F5247" s="16"/>
    </row>
    <row r="5248" spans="1:6" ht="13">
      <c r="A5248" s="16"/>
      <c r="E5248" s="16"/>
      <c r="F5248" s="16"/>
    </row>
    <row r="5249" spans="1:6" ht="13">
      <c r="A5249" s="16"/>
      <c r="E5249" s="16"/>
      <c r="F5249" s="16"/>
    </row>
    <row r="5250" spans="1:6" ht="13">
      <c r="A5250" s="16"/>
      <c r="E5250" s="16"/>
      <c r="F5250" s="16"/>
    </row>
    <row r="5251" spans="1:6" ht="13">
      <c r="A5251" s="16"/>
      <c r="E5251" s="16"/>
      <c r="F5251" s="16"/>
    </row>
    <row r="5252" spans="1:6" ht="13">
      <c r="A5252" s="16"/>
      <c r="E5252" s="16"/>
      <c r="F5252" s="16"/>
    </row>
    <row r="5253" spans="1:6" ht="13">
      <c r="A5253" s="16"/>
      <c r="E5253" s="16"/>
      <c r="F5253" s="16"/>
    </row>
    <row r="5254" spans="1:6" ht="13">
      <c r="A5254" s="16"/>
      <c r="E5254" s="16"/>
      <c r="F5254" s="16"/>
    </row>
    <row r="5255" spans="1:6" ht="13">
      <c r="A5255" s="16"/>
      <c r="E5255" s="16"/>
      <c r="F5255" s="16"/>
    </row>
    <row r="5256" spans="1:6" ht="13">
      <c r="A5256" s="16"/>
      <c r="E5256" s="16"/>
      <c r="F5256" s="16"/>
    </row>
    <row r="5257" spans="1:6" ht="13">
      <c r="A5257" s="16"/>
      <c r="E5257" s="16"/>
      <c r="F5257" s="16"/>
    </row>
    <row r="5258" spans="1:6" ht="13">
      <c r="A5258" s="16"/>
      <c r="E5258" s="16"/>
      <c r="F5258" s="16"/>
    </row>
    <row r="5259" spans="1:6" ht="13">
      <c r="A5259" s="16"/>
      <c r="E5259" s="16"/>
      <c r="F5259" s="16"/>
    </row>
    <row r="5260" spans="1:6" ht="13">
      <c r="A5260" s="16"/>
      <c r="E5260" s="16"/>
      <c r="F5260" s="16"/>
    </row>
    <row r="5261" spans="1:6" ht="13">
      <c r="A5261" s="16"/>
      <c r="E5261" s="16"/>
      <c r="F5261" s="16"/>
    </row>
    <row r="5262" spans="1:6" ht="13">
      <c r="A5262" s="16"/>
      <c r="E5262" s="16"/>
      <c r="F5262" s="16"/>
    </row>
    <row r="5263" spans="1:6" ht="13">
      <c r="A5263" s="16"/>
      <c r="E5263" s="16"/>
      <c r="F5263" s="16"/>
    </row>
    <row r="5264" spans="1:6" ht="13">
      <c r="A5264" s="16"/>
      <c r="E5264" s="16"/>
      <c r="F5264" s="16"/>
    </row>
    <row r="5265" spans="1:6" ht="13">
      <c r="A5265" s="16"/>
      <c r="E5265" s="16"/>
      <c r="F5265" s="16"/>
    </row>
    <row r="5266" spans="1:6" ht="13">
      <c r="A5266" s="16"/>
      <c r="E5266" s="16"/>
      <c r="F5266" s="16"/>
    </row>
    <row r="5267" spans="1:6" ht="13">
      <c r="A5267" s="16"/>
      <c r="E5267" s="16"/>
      <c r="F5267" s="16"/>
    </row>
    <row r="5268" spans="1:6" ht="13">
      <c r="A5268" s="16"/>
      <c r="E5268" s="16"/>
      <c r="F5268" s="16"/>
    </row>
    <row r="5269" spans="1:6" ht="13">
      <c r="A5269" s="16"/>
      <c r="E5269" s="16"/>
      <c r="F5269" s="16"/>
    </row>
    <row r="5270" spans="1:6" ht="13">
      <c r="A5270" s="16"/>
      <c r="E5270" s="16"/>
      <c r="F5270" s="16"/>
    </row>
    <row r="5271" spans="1:6" ht="13">
      <c r="A5271" s="16"/>
      <c r="E5271" s="16"/>
      <c r="F5271" s="16"/>
    </row>
    <row r="5272" spans="1:6" ht="13">
      <c r="A5272" s="16"/>
      <c r="E5272" s="16"/>
      <c r="F5272" s="16"/>
    </row>
    <row r="5273" spans="1:6" ht="13">
      <c r="A5273" s="16"/>
      <c r="E5273" s="16"/>
      <c r="F5273" s="16"/>
    </row>
    <row r="5274" spans="1:6" ht="13">
      <c r="A5274" s="16"/>
      <c r="E5274" s="16"/>
      <c r="F5274" s="16"/>
    </row>
    <row r="5275" spans="1:6" ht="13">
      <c r="A5275" s="16"/>
      <c r="E5275" s="16"/>
      <c r="F5275" s="16"/>
    </row>
    <row r="5276" spans="1:6" ht="13">
      <c r="A5276" s="16"/>
      <c r="E5276" s="16"/>
      <c r="F5276" s="16"/>
    </row>
    <row r="5277" spans="1:6" ht="13">
      <c r="A5277" s="16"/>
      <c r="E5277" s="16"/>
      <c r="F5277" s="16"/>
    </row>
    <row r="5278" spans="1:6" ht="13">
      <c r="A5278" s="16"/>
      <c r="E5278" s="16"/>
      <c r="F5278" s="16"/>
    </row>
    <row r="5279" spans="1:6" ht="13">
      <c r="A5279" s="16"/>
      <c r="E5279" s="16"/>
      <c r="F5279" s="16"/>
    </row>
    <row r="5280" spans="1:6" ht="13">
      <c r="A5280" s="16"/>
      <c r="E5280" s="16"/>
      <c r="F5280" s="16"/>
    </row>
    <row r="5281" spans="1:6" ht="13">
      <c r="A5281" s="16"/>
      <c r="E5281" s="16"/>
      <c r="F5281" s="16"/>
    </row>
    <row r="5282" spans="1:6" ht="13">
      <c r="A5282" s="16"/>
      <c r="E5282" s="16"/>
      <c r="F5282" s="16"/>
    </row>
    <row r="5283" spans="1:6" ht="13">
      <c r="A5283" s="16"/>
      <c r="E5283" s="16"/>
      <c r="F5283" s="16"/>
    </row>
    <row r="5284" spans="1:6" ht="13">
      <c r="A5284" s="16"/>
      <c r="E5284" s="16"/>
      <c r="F5284" s="16"/>
    </row>
    <row r="5285" spans="1:6" ht="13">
      <c r="A5285" s="16"/>
      <c r="E5285" s="16"/>
      <c r="F5285" s="16"/>
    </row>
    <row r="5286" spans="1:6" ht="13">
      <c r="A5286" s="16"/>
      <c r="E5286" s="16"/>
      <c r="F5286" s="16"/>
    </row>
    <row r="5287" spans="1:6" ht="13">
      <c r="A5287" s="16"/>
      <c r="E5287" s="16"/>
      <c r="F5287" s="16"/>
    </row>
    <row r="5288" spans="1:6" ht="13">
      <c r="A5288" s="16"/>
      <c r="E5288" s="16"/>
      <c r="F5288" s="16"/>
    </row>
    <row r="5289" spans="1:6" ht="13">
      <c r="A5289" s="16"/>
      <c r="E5289" s="16"/>
      <c r="F5289" s="16"/>
    </row>
    <row r="5290" spans="1:6" ht="13">
      <c r="A5290" s="16"/>
      <c r="E5290" s="16"/>
      <c r="F5290" s="16"/>
    </row>
    <row r="5291" spans="1:6" ht="13">
      <c r="A5291" s="16"/>
      <c r="E5291" s="16"/>
      <c r="F5291" s="16"/>
    </row>
    <row r="5292" spans="1:6" ht="13">
      <c r="A5292" s="16"/>
      <c r="E5292" s="16"/>
      <c r="F5292" s="16"/>
    </row>
    <row r="5293" spans="1:6" ht="13">
      <c r="A5293" s="16"/>
      <c r="E5293" s="16"/>
      <c r="F5293" s="16"/>
    </row>
    <row r="5294" spans="1:6" ht="13">
      <c r="A5294" s="16"/>
      <c r="E5294" s="16"/>
      <c r="F5294" s="16"/>
    </row>
    <row r="5295" spans="1:6" ht="13">
      <c r="A5295" s="16"/>
      <c r="E5295" s="16"/>
      <c r="F5295" s="16"/>
    </row>
    <row r="5296" spans="1:6" ht="13">
      <c r="A5296" s="16"/>
      <c r="E5296" s="16"/>
      <c r="F5296" s="16"/>
    </row>
    <row r="5297" spans="1:6" ht="13">
      <c r="A5297" s="16"/>
      <c r="E5297" s="16"/>
      <c r="F5297" s="16"/>
    </row>
    <row r="5298" spans="1:6" ht="13">
      <c r="A5298" s="16"/>
      <c r="E5298" s="16"/>
      <c r="F5298" s="16"/>
    </row>
    <row r="5299" spans="1:6" ht="13">
      <c r="A5299" s="16"/>
      <c r="E5299" s="16"/>
      <c r="F5299" s="16"/>
    </row>
    <row r="5300" spans="1:6" ht="13">
      <c r="A5300" s="16"/>
      <c r="E5300" s="16"/>
      <c r="F5300" s="16"/>
    </row>
    <row r="5301" spans="1:6" ht="13">
      <c r="A5301" s="16"/>
      <c r="E5301" s="16"/>
      <c r="F5301" s="16"/>
    </row>
    <row r="5302" spans="1:6" ht="13">
      <c r="A5302" s="16"/>
      <c r="E5302" s="16"/>
      <c r="F5302" s="16"/>
    </row>
    <row r="5303" spans="1:6" ht="13">
      <c r="A5303" s="16"/>
      <c r="E5303" s="16"/>
      <c r="F5303" s="16"/>
    </row>
    <row r="5304" spans="1:6" ht="13">
      <c r="A5304" s="16"/>
      <c r="E5304" s="16"/>
      <c r="F5304" s="16"/>
    </row>
    <row r="5305" spans="1:6" ht="13">
      <c r="A5305" s="16"/>
      <c r="E5305" s="16"/>
      <c r="F5305" s="16"/>
    </row>
    <row r="5306" spans="1:6" ht="13">
      <c r="A5306" s="16"/>
      <c r="E5306" s="16"/>
      <c r="F5306" s="16"/>
    </row>
    <row r="5307" spans="1:6" ht="13">
      <c r="A5307" s="16"/>
      <c r="E5307" s="16"/>
      <c r="F5307" s="16"/>
    </row>
    <row r="5308" spans="1:6" ht="13">
      <c r="A5308" s="16"/>
      <c r="E5308" s="16"/>
      <c r="F5308" s="16"/>
    </row>
    <row r="5309" spans="1:6" ht="13">
      <c r="A5309" s="16"/>
      <c r="E5309" s="16"/>
      <c r="F5309" s="16"/>
    </row>
    <row r="5310" spans="1:6" ht="13">
      <c r="A5310" s="16"/>
      <c r="E5310" s="16"/>
      <c r="F5310" s="16"/>
    </row>
    <row r="5311" spans="1:6" ht="13">
      <c r="A5311" s="16"/>
      <c r="E5311" s="16"/>
      <c r="F5311" s="16"/>
    </row>
    <row r="5312" spans="1:6" ht="13">
      <c r="A5312" s="16"/>
      <c r="E5312" s="16"/>
      <c r="F5312" s="16"/>
    </row>
    <row r="5313" spans="1:6" ht="13">
      <c r="A5313" s="16"/>
      <c r="E5313" s="16"/>
      <c r="F5313" s="16"/>
    </row>
    <row r="5314" spans="1:6" ht="13">
      <c r="A5314" s="16"/>
      <c r="E5314" s="16"/>
      <c r="F5314" s="16"/>
    </row>
    <row r="5315" spans="1:6" ht="13">
      <c r="A5315" s="16"/>
      <c r="E5315" s="16"/>
      <c r="F5315" s="16"/>
    </row>
    <row r="5316" spans="1:6" ht="13">
      <c r="A5316" s="16"/>
      <c r="E5316" s="16"/>
      <c r="F5316" s="16"/>
    </row>
    <row r="5317" spans="1:6" ht="13">
      <c r="A5317" s="16"/>
      <c r="E5317" s="16"/>
      <c r="F5317" s="16"/>
    </row>
    <row r="5318" spans="1:6" ht="13">
      <c r="A5318" s="16"/>
      <c r="E5318" s="16"/>
      <c r="F5318" s="16"/>
    </row>
    <row r="5319" spans="1:6" ht="13">
      <c r="A5319" s="16"/>
      <c r="E5319" s="16"/>
      <c r="F5319" s="16"/>
    </row>
    <row r="5320" spans="1:6" ht="13">
      <c r="A5320" s="16"/>
      <c r="E5320" s="16"/>
      <c r="F5320" s="16"/>
    </row>
    <row r="5321" spans="1:6" ht="13">
      <c r="A5321" s="16"/>
      <c r="E5321" s="16"/>
      <c r="F5321" s="16"/>
    </row>
    <row r="5322" spans="1:6" ht="13">
      <c r="A5322" s="16"/>
      <c r="E5322" s="16"/>
      <c r="F5322" s="16"/>
    </row>
    <row r="5323" spans="1:6" ht="13">
      <c r="A5323" s="16"/>
      <c r="E5323" s="16"/>
      <c r="F5323" s="16"/>
    </row>
    <row r="5324" spans="1:6" ht="13">
      <c r="A5324" s="16"/>
      <c r="E5324" s="16"/>
      <c r="F5324" s="16"/>
    </row>
    <row r="5325" spans="1:6" ht="13">
      <c r="A5325" s="16"/>
      <c r="E5325" s="16"/>
      <c r="F5325" s="16"/>
    </row>
    <row r="5326" spans="1:6" ht="13">
      <c r="A5326" s="16"/>
      <c r="E5326" s="16"/>
      <c r="F5326" s="16"/>
    </row>
    <row r="5327" spans="1:6" ht="13">
      <c r="A5327" s="16"/>
      <c r="E5327" s="16"/>
      <c r="F5327" s="16"/>
    </row>
    <row r="5328" spans="1:6" ht="13">
      <c r="A5328" s="16"/>
      <c r="E5328" s="16"/>
      <c r="F5328" s="16"/>
    </row>
    <row r="5329" spans="1:6" ht="13">
      <c r="A5329" s="16"/>
      <c r="E5329" s="16"/>
      <c r="F5329" s="16"/>
    </row>
    <row r="5330" spans="1:6" ht="13">
      <c r="A5330" s="16"/>
      <c r="E5330" s="16"/>
      <c r="F5330" s="16"/>
    </row>
    <row r="5331" spans="1:6" ht="13">
      <c r="A5331" s="16"/>
      <c r="E5331" s="16"/>
      <c r="F5331" s="16"/>
    </row>
    <row r="5332" spans="1:6" ht="13">
      <c r="A5332" s="16"/>
      <c r="E5332" s="16"/>
      <c r="F5332" s="16"/>
    </row>
    <row r="5333" spans="1:6" ht="13">
      <c r="A5333" s="16"/>
      <c r="E5333" s="16"/>
      <c r="F5333" s="16"/>
    </row>
    <row r="5334" spans="1:6" ht="13">
      <c r="A5334" s="16"/>
      <c r="E5334" s="16"/>
      <c r="F5334" s="16"/>
    </row>
    <row r="5335" spans="1:6" ht="13">
      <c r="A5335" s="16"/>
      <c r="E5335" s="16"/>
      <c r="F5335" s="16"/>
    </row>
    <row r="5336" spans="1:6" ht="13">
      <c r="A5336" s="16"/>
      <c r="E5336" s="16"/>
      <c r="F5336" s="16"/>
    </row>
    <row r="5337" spans="1:6" ht="13">
      <c r="A5337" s="16"/>
      <c r="E5337" s="16"/>
      <c r="F5337" s="16"/>
    </row>
    <row r="5338" spans="1:6" ht="13">
      <c r="A5338" s="16"/>
      <c r="E5338" s="16"/>
      <c r="F5338" s="16"/>
    </row>
    <row r="5339" spans="1:6" ht="13">
      <c r="A5339" s="16"/>
      <c r="E5339" s="16"/>
      <c r="F5339" s="16"/>
    </row>
    <row r="5340" spans="1:6" ht="13">
      <c r="A5340" s="16"/>
      <c r="E5340" s="16"/>
      <c r="F5340" s="16"/>
    </row>
    <row r="5341" spans="1:6" ht="13">
      <c r="A5341" s="16"/>
      <c r="E5341" s="16"/>
      <c r="F5341" s="16"/>
    </row>
    <row r="5342" spans="1:6" ht="13">
      <c r="A5342" s="16"/>
      <c r="E5342" s="16"/>
      <c r="F5342" s="16"/>
    </row>
    <row r="5343" spans="1:6" ht="13">
      <c r="A5343" s="16"/>
      <c r="E5343" s="16"/>
      <c r="F5343" s="16"/>
    </row>
    <row r="5344" spans="1:6" ht="13">
      <c r="A5344" s="16"/>
      <c r="E5344" s="16"/>
      <c r="F5344" s="16"/>
    </row>
    <row r="5345" spans="1:6" ht="13">
      <c r="A5345" s="16"/>
      <c r="E5345" s="16"/>
      <c r="F5345" s="16"/>
    </row>
    <row r="5346" spans="1:6" ht="13">
      <c r="A5346" s="16"/>
      <c r="E5346" s="16"/>
      <c r="F5346" s="16"/>
    </row>
    <row r="5347" spans="1:6" ht="13">
      <c r="A5347" s="16"/>
      <c r="E5347" s="16"/>
      <c r="F5347" s="16"/>
    </row>
    <row r="5348" spans="1:6" ht="13">
      <c r="A5348" s="16"/>
      <c r="E5348" s="16"/>
      <c r="F5348" s="16"/>
    </row>
    <row r="5349" spans="1:6" ht="13">
      <c r="A5349" s="16"/>
      <c r="E5349" s="16"/>
      <c r="F5349" s="16"/>
    </row>
    <row r="5350" spans="1:6" ht="13">
      <c r="A5350" s="16"/>
      <c r="E5350" s="16"/>
      <c r="F5350" s="16"/>
    </row>
    <row r="5351" spans="1:6" ht="13">
      <c r="A5351" s="16"/>
      <c r="E5351" s="16"/>
      <c r="F5351" s="16"/>
    </row>
    <row r="5352" spans="1:6" ht="13">
      <c r="A5352" s="16"/>
      <c r="E5352" s="16"/>
      <c r="F5352" s="16"/>
    </row>
    <row r="5353" spans="1:6" ht="13">
      <c r="A5353" s="16"/>
      <c r="E5353" s="16"/>
      <c r="F5353" s="16"/>
    </row>
    <row r="5354" spans="1:6" ht="13">
      <c r="A5354" s="16"/>
      <c r="E5354" s="16"/>
      <c r="F5354" s="16"/>
    </row>
    <row r="5355" spans="1:6" ht="13">
      <c r="A5355" s="16"/>
      <c r="E5355" s="16"/>
      <c r="F5355" s="16"/>
    </row>
    <row r="5356" spans="1:6" ht="13">
      <c r="A5356" s="16"/>
      <c r="E5356" s="16"/>
      <c r="F5356" s="16"/>
    </row>
    <row r="5357" spans="1:6" ht="13">
      <c r="A5357" s="16"/>
      <c r="E5357" s="16"/>
      <c r="F5357" s="16"/>
    </row>
    <row r="5358" spans="1:6" ht="13">
      <c r="A5358" s="16"/>
      <c r="E5358" s="16"/>
      <c r="F5358" s="16"/>
    </row>
    <row r="5359" spans="1:6" ht="13">
      <c r="A5359" s="16"/>
      <c r="E5359" s="16"/>
      <c r="F5359" s="16"/>
    </row>
    <row r="5360" spans="1:6" ht="13">
      <c r="A5360" s="16"/>
      <c r="E5360" s="16"/>
      <c r="F5360" s="16"/>
    </row>
    <row r="5361" spans="1:6" ht="13">
      <c r="A5361" s="16"/>
      <c r="E5361" s="16"/>
      <c r="F5361" s="16"/>
    </row>
    <row r="5362" spans="1:6" ht="13">
      <c r="A5362" s="16"/>
      <c r="E5362" s="16"/>
      <c r="F5362" s="16"/>
    </row>
    <row r="5363" spans="1:6" ht="13">
      <c r="A5363" s="16"/>
      <c r="E5363" s="16"/>
      <c r="F5363" s="16"/>
    </row>
    <row r="5364" spans="1:6" ht="13">
      <c r="A5364" s="16"/>
      <c r="E5364" s="16"/>
      <c r="F5364" s="16"/>
    </row>
    <row r="5365" spans="1:6" ht="13">
      <c r="A5365" s="16"/>
      <c r="E5365" s="16"/>
      <c r="F5365" s="16"/>
    </row>
    <row r="5366" spans="1:6" ht="13">
      <c r="A5366" s="16"/>
      <c r="E5366" s="16"/>
      <c r="F5366" s="16"/>
    </row>
    <row r="5367" spans="1:6" ht="13">
      <c r="A5367" s="16"/>
      <c r="E5367" s="16"/>
      <c r="F5367" s="16"/>
    </row>
    <row r="5368" spans="1:6" ht="13">
      <c r="A5368" s="16"/>
      <c r="E5368" s="16"/>
      <c r="F5368" s="16"/>
    </row>
    <row r="5369" spans="1:6" ht="13">
      <c r="A5369" s="16"/>
      <c r="E5369" s="16"/>
      <c r="F5369" s="16"/>
    </row>
    <row r="5370" spans="1:6" ht="13">
      <c r="A5370" s="16"/>
      <c r="E5370" s="16"/>
      <c r="F5370" s="16"/>
    </row>
    <row r="5371" spans="1:6" ht="13">
      <c r="A5371" s="16"/>
      <c r="E5371" s="16"/>
      <c r="F5371" s="16"/>
    </row>
    <row r="5372" spans="1:6" ht="13">
      <c r="A5372" s="16"/>
      <c r="E5372" s="16"/>
      <c r="F5372" s="16"/>
    </row>
    <row r="5373" spans="1:6" ht="13">
      <c r="A5373" s="16"/>
      <c r="E5373" s="16"/>
      <c r="F5373" s="16"/>
    </row>
    <row r="5374" spans="1:6" ht="13">
      <c r="A5374" s="16"/>
      <c r="E5374" s="16"/>
      <c r="F5374" s="16"/>
    </row>
    <row r="5375" spans="1:6" ht="13">
      <c r="A5375" s="16"/>
      <c r="E5375" s="16"/>
      <c r="F5375" s="16"/>
    </row>
    <row r="5376" spans="1:6" ht="13">
      <c r="A5376" s="16"/>
      <c r="E5376" s="16"/>
      <c r="F5376" s="16"/>
    </row>
    <row r="5377" spans="1:6" ht="13">
      <c r="A5377" s="16"/>
      <c r="E5377" s="16"/>
      <c r="F5377" s="16"/>
    </row>
    <row r="5378" spans="1:6" ht="13">
      <c r="A5378" s="16"/>
      <c r="E5378" s="16"/>
      <c r="F5378" s="16"/>
    </row>
    <row r="5379" spans="1:6" ht="13">
      <c r="A5379" s="16"/>
      <c r="E5379" s="16"/>
      <c r="F5379" s="16"/>
    </row>
    <row r="5380" spans="1:6" ht="13">
      <c r="A5380" s="16"/>
      <c r="E5380" s="16"/>
      <c r="F5380" s="16"/>
    </row>
    <row r="5381" spans="1:6" ht="13">
      <c r="A5381" s="16"/>
      <c r="E5381" s="16"/>
      <c r="F5381" s="16"/>
    </row>
    <row r="5382" spans="1:6" ht="13">
      <c r="A5382" s="16"/>
      <c r="E5382" s="16"/>
      <c r="F5382" s="16"/>
    </row>
    <row r="5383" spans="1:6" ht="13">
      <c r="A5383" s="16"/>
      <c r="E5383" s="16"/>
      <c r="F5383" s="16"/>
    </row>
    <row r="5384" spans="1:6" ht="13">
      <c r="A5384" s="16"/>
      <c r="E5384" s="16"/>
      <c r="F5384" s="16"/>
    </row>
    <row r="5385" spans="1:6" ht="13">
      <c r="A5385" s="16"/>
      <c r="E5385" s="16"/>
      <c r="F5385" s="16"/>
    </row>
    <row r="5386" spans="1:6" ht="13">
      <c r="A5386" s="16"/>
      <c r="E5386" s="16"/>
      <c r="F5386" s="16"/>
    </row>
    <row r="5387" spans="1:6" ht="13">
      <c r="A5387" s="16"/>
      <c r="E5387" s="16"/>
      <c r="F5387" s="16"/>
    </row>
    <row r="5388" spans="1:6" ht="13">
      <c r="A5388" s="16"/>
      <c r="E5388" s="16"/>
      <c r="F5388" s="16"/>
    </row>
    <row r="5389" spans="1:6" ht="13">
      <c r="A5389" s="16"/>
      <c r="E5389" s="16"/>
      <c r="F5389" s="16"/>
    </row>
    <row r="5390" spans="1:6" ht="13">
      <c r="A5390" s="16"/>
      <c r="E5390" s="16"/>
      <c r="F5390" s="16"/>
    </row>
    <row r="5391" spans="1:6" ht="13">
      <c r="A5391" s="16"/>
      <c r="E5391" s="16"/>
      <c r="F5391" s="16"/>
    </row>
    <row r="5392" spans="1:6" ht="13">
      <c r="A5392" s="16"/>
      <c r="E5392" s="16"/>
      <c r="F5392" s="16"/>
    </row>
    <row r="5393" spans="1:6" ht="13">
      <c r="A5393" s="16"/>
      <c r="E5393" s="16"/>
      <c r="F5393" s="16"/>
    </row>
    <row r="5394" spans="1:6" ht="13">
      <c r="A5394" s="16"/>
      <c r="E5394" s="16"/>
      <c r="F5394" s="16"/>
    </row>
    <row r="5395" spans="1:6" ht="13">
      <c r="A5395" s="16"/>
      <c r="E5395" s="16"/>
      <c r="F5395" s="16"/>
    </row>
    <row r="5396" spans="1:6" ht="13">
      <c r="A5396" s="16"/>
      <c r="E5396" s="16"/>
      <c r="F5396" s="16"/>
    </row>
    <row r="5397" spans="1:6" ht="13">
      <c r="A5397" s="16"/>
      <c r="E5397" s="16"/>
      <c r="F5397" s="16"/>
    </row>
    <row r="5398" spans="1:6" ht="13">
      <c r="A5398" s="16"/>
      <c r="E5398" s="16"/>
      <c r="F5398" s="16"/>
    </row>
    <row r="5399" spans="1:6" ht="13">
      <c r="A5399" s="16"/>
      <c r="E5399" s="16"/>
      <c r="F5399" s="16"/>
    </row>
    <row r="5400" spans="1:6" ht="13">
      <c r="A5400" s="16"/>
      <c r="E5400" s="16"/>
      <c r="F5400" s="16"/>
    </row>
    <row r="5401" spans="1:6" ht="13">
      <c r="A5401" s="16"/>
      <c r="E5401" s="16"/>
      <c r="F5401" s="16"/>
    </row>
    <row r="5402" spans="1:6" ht="13">
      <c r="A5402" s="16"/>
      <c r="E5402" s="16"/>
      <c r="F5402" s="16"/>
    </row>
    <row r="5403" spans="1:6" ht="13">
      <c r="A5403" s="16"/>
      <c r="E5403" s="16"/>
      <c r="F5403" s="16"/>
    </row>
    <row r="5404" spans="1:6" ht="13">
      <c r="A5404" s="16"/>
      <c r="E5404" s="16"/>
      <c r="F5404" s="16"/>
    </row>
    <row r="5405" spans="1:6" ht="13">
      <c r="A5405" s="16"/>
      <c r="E5405" s="16"/>
      <c r="F5405" s="16"/>
    </row>
    <row r="5406" spans="1:6" ht="13">
      <c r="A5406" s="16"/>
      <c r="E5406" s="16"/>
      <c r="F5406" s="16"/>
    </row>
    <row r="5407" spans="1:6" ht="13">
      <c r="A5407" s="16"/>
      <c r="E5407" s="16"/>
      <c r="F5407" s="16"/>
    </row>
    <row r="5408" spans="1:6" ht="13">
      <c r="A5408" s="16"/>
      <c r="E5408" s="16"/>
      <c r="F5408" s="16"/>
    </row>
    <row r="5409" spans="1:6" ht="13">
      <c r="A5409" s="16"/>
      <c r="E5409" s="16"/>
      <c r="F5409" s="16"/>
    </row>
    <row r="5410" spans="1:6" ht="13">
      <c r="A5410" s="16"/>
      <c r="E5410" s="16"/>
      <c r="F5410" s="16"/>
    </row>
    <row r="5411" spans="1:6" ht="13">
      <c r="A5411" s="16"/>
      <c r="E5411" s="16"/>
      <c r="F5411" s="16"/>
    </row>
    <row r="5412" spans="1:6" ht="13">
      <c r="A5412" s="16"/>
      <c r="E5412" s="16"/>
      <c r="F5412" s="16"/>
    </row>
    <row r="5413" spans="1:6" ht="13">
      <c r="A5413" s="16"/>
      <c r="E5413" s="16"/>
      <c r="F5413" s="16"/>
    </row>
    <row r="5414" spans="1:6" ht="13">
      <c r="A5414" s="16"/>
      <c r="E5414" s="16"/>
      <c r="F5414" s="16"/>
    </row>
    <row r="5415" spans="1:6" ht="13">
      <c r="A5415" s="16"/>
      <c r="E5415" s="16"/>
      <c r="F5415" s="16"/>
    </row>
    <row r="5416" spans="1:6" ht="13">
      <c r="A5416" s="16"/>
      <c r="E5416" s="16"/>
      <c r="F5416" s="16"/>
    </row>
    <row r="5417" spans="1:6" ht="13">
      <c r="A5417" s="16"/>
      <c r="E5417" s="16"/>
      <c r="F5417" s="16"/>
    </row>
    <row r="5418" spans="1:6" ht="13">
      <c r="A5418" s="16"/>
      <c r="E5418" s="16"/>
      <c r="F5418" s="16"/>
    </row>
    <row r="5419" spans="1:6" ht="13">
      <c r="A5419" s="16"/>
      <c r="E5419" s="16"/>
      <c r="F5419" s="16"/>
    </row>
    <row r="5420" spans="1:6" ht="13">
      <c r="A5420" s="16"/>
      <c r="E5420" s="16"/>
      <c r="F5420" s="16"/>
    </row>
    <row r="5421" spans="1:6" ht="13">
      <c r="A5421" s="16"/>
      <c r="E5421" s="16"/>
      <c r="F5421" s="16"/>
    </row>
    <row r="5422" spans="1:6" ht="13">
      <c r="A5422" s="16"/>
      <c r="E5422" s="16"/>
      <c r="F5422" s="16"/>
    </row>
    <row r="5423" spans="1:6" ht="13">
      <c r="A5423" s="16"/>
      <c r="E5423" s="16"/>
      <c r="F5423" s="16"/>
    </row>
    <row r="5424" spans="1:6" ht="13">
      <c r="A5424" s="16"/>
      <c r="E5424" s="16"/>
      <c r="F5424" s="16"/>
    </row>
    <row r="5425" spans="1:6" ht="13">
      <c r="A5425" s="16"/>
      <c r="E5425" s="16"/>
      <c r="F5425" s="16"/>
    </row>
    <row r="5426" spans="1:6" ht="13">
      <c r="A5426" s="16"/>
      <c r="E5426" s="16"/>
      <c r="F5426" s="16"/>
    </row>
    <row r="5427" spans="1:6" ht="13">
      <c r="A5427" s="16"/>
      <c r="E5427" s="16"/>
      <c r="F5427" s="16"/>
    </row>
    <row r="5428" spans="1:6" ht="13">
      <c r="A5428" s="16"/>
      <c r="E5428" s="16"/>
      <c r="F5428" s="16"/>
    </row>
    <row r="5429" spans="1:6" ht="13">
      <c r="A5429" s="16"/>
      <c r="E5429" s="16"/>
      <c r="F5429" s="16"/>
    </row>
    <row r="5430" spans="1:6" ht="13">
      <c r="A5430" s="16"/>
      <c r="E5430" s="16"/>
      <c r="F5430" s="16"/>
    </row>
    <row r="5431" spans="1:6" ht="13">
      <c r="A5431" s="16"/>
      <c r="E5431" s="16"/>
      <c r="F5431" s="16"/>
    </row>
    <row r="5432" spans="1:6" ht="13">
      <c r="A5432" s="16"/>
      <c r="E5432" s="16"/>
      <c r="F5432" s="16"/>
    </row>
    <row r="5433" spans="1:6" ht="13">
      <c r="A5433" s="16"/>
      <c r="E5433" s="16"/>
      <c r="F5433" s="16"/>
    </row>
    <row r="5434" spans="1:6" ht="13">
      <c r="A5434" s="16"/>
      <c r="E5434" s="16"/>
      <c r="F5434" s="16"/>
    </row>
    <row r="5435" spans="1:6" ht="13">
      <c r="A5435" s="16"/>
      <c r="E5435" s="16"/>
      <c r="F5435" s="16"/>
    </row>
    <row r="5436" spans="1:6" ht="13">
      <c r="A5436" s="16"/>
      <c r="E5436" s="16"/>
      <c r="F5436" s="16"/>
    </row>
    <row r="5437" spans="1:6" ht="13">
      <c r="A5437" s="16"/>
      <c r="E5437" s="16"/>
      <c r="F5437" s="16"/>
    </row>
    <row r="5438" spans="1:6" ht="13">
      <c r="A5438" s="16"/>
      <c r="E5438" s="16"/>
      <c r="F5438" s="16"/>
    </row>
    <row r="5439" spans="1:6" ht="13">
      <c r="A5439" s="16"/>
      <c r="E5439" s="16"/>
      <c r="F5439" s="16"/>
    </row>
    <row r="5440" spans="1:6" ht="13">
      <c r="A5440" s="16"/>
      <c r="E5440" s="16"/>
      <c r="F5440" s="16"/>
    </row>
    <row r="5441" spans="1:6" ht="13">
      <c r="A5441" s="16"/>
      <c r="E5441" s="16"/>
      <c r="F5441" s="16"/>
    </row>
    <row r="5442" spans="1:6" ht="13">
      <c r="A5442" s="16"/>
      <c r="E5442" s="16"/>
      <c r="F5442" s="16"/>
    </row>
    <row r="5443" spans="1:6" ht="13">
      <c r="A5443" s="16"/>
      <c r="E5443" s="16"/>
      <c r="F5443" s="16"/>
    </row>
    <row r="5444" spans="1:6" ht="13">
      <c r="A5444" s="16"/>
      <c r="E5444" s="16"/>
      <c r="F5444" s="16"/>
    </row>
    <row r="5445" spans="1:6" ht="13">
      <c r="A5445" s="16"/>
      <c r="E5445" s="16"/>
      <c r="F5445" s="16"/>
    </row>
    <row r="5446" spans="1:6" ht="13">
      <c r="A5446" s="16"/>
      <c r="E5446" s="16"/>
      <c r="F5446" s="16"/>
    </row>
    <row r="5447" spans="1:6" ht="13">
      <c r="A5447" s="16"/>
      <c r="E5447" s="16"/>
      <c r="F5447" s="16"/>
    </row>
    <row r="5448" spans="1:6" ht="13">
      <c r="A5448" s="16"/>
      <c r="E5448" s="16"/>
      <c r="F5448" s="16"/>
    </row>
    <row r="5449" spans="1:6" ht="13">
      <c r="A5449" s="16"/>
      <c r="E5449" s="16"/>
      <c r="F5449" s="16"/>
    </row>
    <row r="5450" spans="1:6" ht="13">
      <c r="A5450" s="16"/>
      <c r="E5450" s="16"/>
      <c r="F5450" s="16"/>
    </row>
    <row r="5451" spans="1:6" ht="13">
      <c r="A5451" s="16"/>
      <c r="E5451" s="16"/>
      <c r="F5451" s="16"/>
    </row>
    <row r="5452" spans="1:6" ht="13">
      <c r="A5452" s="16"/>
      <c r="E5452" s="16"/>
      <c r="F5452" s="16"/>
    </row>
    <row r="5453" spans="1:6" ht="13">
      <c r="A5453" s="16"/>
      <c r="E5453" s="16"/>
      <c r="F5453" s="16"/>
    </row>
    <row r="5454" spans="1:6" ht="13">
      <c r="A5454" s="16"/>
      <c r="E5454" s="16"/>
      <c r="F5454" s="16"/>
    </row>
    <row r="5455" spans="1:6" ht="13">
      <c r="A5455" s="16"/>
      <c r="E5455" s="16"/>
      <c r="F5455" s="16"/>
    </row>
    <row r="5456" spans="1:6" ht="13">
      <c r="A5456" s="16"/>
      <c r="E5456" s="16"/>
      <c r="F5456" s="16"/>
    </row>
    <row r="5457" spans="1:6" ht="13">
      <c r="A5457" s="16"/>
      <c r="E5457" s="16"/>
      <c r="F5457" s="16"/>
    </row>
    <row r="5458" spans="1:6" ht="13">
      <c r="A5458" s="16"/>
      <c r="E5458" s="16"/>
      <c r="F5458" s="16"/>
    </row>
    <row r="5459" spans="1:6" ht="13">
      <c r="A5459" s="16"/>
      <c r="E5459" s="16"/>
      <c r="F5459" s="16"/>
    </row>
    <row r="5460" spans="1:6" ht="13">
      <c r="A5460" s="16"/>
      <c r="E5460" s="16"/>
      <c r="F5460" s="16"/>
    </row>
    <row r="5461" spans="1:6" ht="13">
      <c r="A5461" s="16"/>
      <c r="E5461" s="16"/>
      <c r="F5461" s="16"/>
    </row>
    <row r="5462" spans="1:6" ht="13">
      <c r="A5462" s="16"/>
      <c r="E5462" s="16"/>
      <c r="F5462" s="16"/>
    </row>
    <row r="5463" spans="1:6" ht="13">
      <c r="A5463" s="16"/>
      <c r="E5463" s="16"/>
      <c r="F5463" s="16"/>
    </row>
    <row r="5464" spans="1:6" ht="13">
      <c r="A5464" s="16"/>
      <c r="E5464" s="16"/>
      <c r="F5464" s="16"/>
    </row>
    <row r="5465" spans="1:6" ht="13">
      <c r="A5465" s="16"/>
      <c r="E5465" s="16"/>
      <c r="F5465" s="16"/>
    </row>
    <row r="5466" spans="1:6" ht="13">
      <c r="A5466" s="16"/>
      <c r="E5466" s="16"/>
      <c r="F5466" s="16"/>
    </row>
    <row r="5467" spans="1:6" ht="13">
      <c r="A5467" s="16"/>
      <c r="E5467" s="16"/>
      <c r="F5467" s="16"/>
    </row>
    <row r="5468" spans="1:6" ht="13">
      <c r="A5468" s="16"/>
      <c r="E5468" s="16"/>
      <c r="F5468" s="16"/>
    </row>
    <row r="5469" spans="1:6" ht="13">
      <c r="A5469" s="16"/>
      <c r="E5469" s="16"/>
      <c r="F5469" s="16"/>
    </row>
    <row r="5470" spans="1:6" ht="13">
      <c r="A5470" s="16"/>
      <c r="E5470" s="16"/>
      <c r="F5470" s="16"/>
    </row>
    <row r="5471" spans="1:6" ht="13">
      <c r="A5471" s="16"/>
      <c r="E5471" s="16"/>
      <c r="F5471" s="16"/>
    </row>
    <row r="5472" spans="1:6" ht="13">
      <c r="A5472" s="16"/>
      <c r="E5472" s="16"/>
      <c r="F5472" s="16"/>
    </row>
    <row r="5473" spans="1:6" ht="13">
      <c r="A5473" s="16"/>
      <c r="E5473" s="16"/>
      <c r="F5473" s="16"/>
    </row>
    <row r="5474" spans="1:6" ht="13">
      <c r="A5474" s="16"/>
      <c r="E5474" s="16"/>
      <c r="F5474" s="16"/>
    </row>
    <row r="5475" spans="1:6" ht="13">
      <c r="A5475" s="16"/>
      <c r="E5475" s="16"/>
      <c r="F5475" s="16"/>
    </row>
    <row r="5476" spans="1:6" ht="13">
      <c r="A5476" s="16"/>
      <c r="E5476" s="16"/>
      <c r="F5476" s="16"/>
    </row>
    <row r="5477" spans="1:6" ht="13">
      <c r="A5477" s="16"/>
      <c r="E5477" s="16"/>
      <c r="F5477" s="16"/>
    </row>
    <row r="5478" spans="1:6" ht="13">
      <c r="A5478" s="16"/>
      <c r="E5478" s="16"/>
      <c r="F5478" s="16"/>
    </row>
    <row r="5479" spans="1:6" ht="13">
      <c r="A5479" s="16"/>
      <c r="E5479" s="16"/>
      <c r="F5479" s="16"/>
    </row>
    <row r="5480" spans="1:6" ht="13">
      <c r="A5480" s="16"/>
      <c r="E5480" s="16"/>
      <c r="F5480" s="16"/>
    </row>
    <row r="5481" spans="1:6" ht="13">
      <c r="A5481" s="16"/>
      <c r="E5481" s="16"/>
      <c r="F5481" s="16"/>
    </row>
    <row r="5482" spans="1:6" ht="13">
      <c r="A5482" s="16"/>
      <c r="E5482" s="16"/>
      <c r="F5482" s="16"/>
    </row>
    <row r="5483" spans="1:6" ht="13">
      <c r="A5483" s="16"/>
      <c r="E5483" s="16"/>
      <c r="F5483" s="16"/>
    </row>
    <row r="5484" spans="1:6" ht="13">
      <c r="A5484" s="16"/>
      <c r="E5484" s="16"/>
      <c r="F5484" s="16"/>
    </row>
    <row r="5485" spans="1:6" ht="13">
      <c r="A5485" s="16"/>
      <c r="E5485" s="16"/>
      <c r="F5485" s="16"/>
    </row>
    <row r="5486" spans="1:6" ht="13">
      <c r="A5486" s="16"/>
      <c r="E5486" s="16"/>
      <c r="F5486" s="16"/>
    </row>
    <row r="5487" spans="1:6" ht="13">
      <c r="A5487" s="16"/>
      <c r="E5487" s="16"/>
      <c r="F5487" s="16"/>
    </row>
    <row r="5488" spans="1:6" ht="13">
      <c r="A5488" s="16"/>
      <c r="E5488" s="16"/>
      <c r="F5488" s="16"/>
    </row>
    <row r="5489" spans="1:6" ht="13">
      <c r="A5489" s="16"/>
      <c r="E5489" s="16"/>
      <c r="F5489" s="16"/>
    </row>
    <row r="5490" spans="1:6" ht="13">
      <c r="A5490" s="16"/>
      <c r="E5490" s="16"/>
      <c r="F5490" s="16"/>
    </row>
    <row r="5491" spans="1:6" ht="13">
      <c r="A5491" s="16"/>
      <c r="E5491" s="16"/>
      <c r="F5491" s="16"/>
    </row>
    <row r="5492" spans="1:6" ht="13">
      <c r="A5492" s="16"/>
      <c r="E5492" s="16"/>
      <c r="F5492" s="16"/>
    </row>
    <row r="5493" spans="1:6" ht="13">
      <c r="A5493" s="16"/>
      <c r="E5493" s="16"/>
      <c r="F5493" s="16"/>
    </row>
    <row r="5494" spans="1:6" ht="13">
      <c r="A5494" s="16"/>
      <c r="E5494" s="16"/>
      <c r="F5494" s="16"/>
    </row>
    <row r="5495" spans="1:6" ht="13">
      <c r="A5495" s="16"/>
      <c r="E5495" s="16"/>
      <c r="F5495" s="16"/>
    </row>
    <row r="5496" spans="1:6" ht="13">
      <c r="A5496" s="16"/>
      <c r="E5496" s="16"/>
      <c r="F5496" s="16"/>
    </row>
    <row r="5497" spans="1:6" ht="13">
      <c r="A5497" s="16"/>
      <c r="E5497" s="16"/>
      <c r="F5497" s="16"/>
    </row>
    <row r="5498" spans="1:6" ht="13">
      <c r="A5498" s="16"/>
      <c r="E5498" s="16"/>
      <c r="F5498" s="16"/>
    </row>
    <row r="5499" spans="1:6" ht="13">
      <c r="A5499" s="16"/>
      <c r="E5499" s="16"/>
      <c r="F5499" s="16"/>
    </row>
    <row r="5500" spans="1:6" ht="13">
      <c r="A5500" s="16"/>
      <c r="E5500" s="16"/>
      <c r="F5500" s="16"/>
    </row>
    <row r="5501" spans="1:6" ht="13">
      <c r="A5501" s="16"/>
      <c r="E5501" s="16"/>
      <c r="F5501" s="16"/>
    </row>
    <row r="5502" spans="1:6" ht="13">
      <c r="A5502" s="16"/>
      <c r="E5502" s="16"/>
      <c r="F5502" s="16"/>
    </row>
    <row r="5503" spans="1:6" ht="13">
      <c r="A5503" s="16"/>
      <c r="E5503" s="16"/>
      <c r="F5503" s="16"/>
    </row>
    <row r="5504" spans="1:6" ht="13">
      <c r="A5504" s="16"/>
      <c r="E5504" s="16"/>
      <c r="F5504" s="16"/>
    </row>
    <row r="5505" spans="1:6" ht="13">
      <c r="A5505" s="16"/>
      <c r="E5505" s="16"/>
      <c r="F5505" s="16"/>
    </row>
    <row r="5506" spans="1:6" ht="13">
      <c r="A5506" s="16"/>
      <c r="E5506" s="16"/>
      <c r="F5506" s="16"/>
    </row>
    <row r="5507" spans="1:6" ht="13">
      <c r="A5507" s="16"/>
      <c r="E5507" s="16"/>
      <c r="F5507" s="16"/>
    </row>
    <row r="5508" spans="1:6" ht="13">
      <c r="A5508" s="16"/>
      <c r="E5508" s="16"/>
      <c r="F5508" s="16"/>
    </row>
    <row r="5509" spans="1:6" ht="13">
      <c r="A5509" s="16"/>
      <c r="E5509" s="16"/>
      <c r="F5509" s="16"/>
    </row>
    <row r="5510" spans="1:6" ht="13">
      <c r="A5510" s="16"/>
      <c r="E5510" s="16"/>
      <c r="F5510" s="16"/>
    </row>
    <row r="5511" spans="1:6" ht="13">
      <c r="A5511" s="16"/>
      <c r="E5511" s="16"/>
      <c r="F5511" s="16"/>
    </row>
    <row r="5512" spans="1:6" ht="13">
      <c r="A5512" s="16"/>
      <c r="E5512" s="16"/>
      <c r="F5512" s="16"/>
    </row>
    <row r="5513" spans="1:6" ht="13">
      <c r="A5513" s="16"/>
      <c r="E5513" s="16"/>
      <c r="F5513" s="16"/>
    </row>
    <row r="5514" spans="1:6" ht="13">
      <c r="A5514" s="16"/>
      <c r="E5514" s="16"/>
      <c r="F5514" s="16"/>
    </row>
    <row r="5515" spans="1:6" ht="13">
      <c r="A5515" s="16"/>
      <c r="E5515" s="16"/>
      <c r="F5515" s="16"/>
    </row>
    <row r="5516" spans="1:6" ht="13">
      <c r="A5516" s="16"/>
      <c r="E5516" s="16"/>
      <c r="F5516" s="16"/>
    </row>
    <row r="5517" spans="1:6" ht="13">
      <c r="A5517" s="16"/>
      <c r="E5517" s="16"/>
      <c r="F5517" s="16"/>
    </row>
    <row r="5518" spans="1:6" ht="13">
      <c r="A5518" s="16"/>
      <c r="E5518" s="16"/>
      <c r="F5518" s="16"/>
    </row>
    <row r="5519" spans="1:6" ht="13">
      <c r="A5519" s="16"/>
      <c r="E5519" s="16"/>
      <c r="F5519" s="16"/>
    </row>
    <row r="5520" spans="1:6" ht="13">
      <c r="A5520" s="16"/>
      <c r="E5520" s="16"/>
      <c r="F5520" s="16"/>
    </row>
    <row r="5521" spans="1:6" ht="13">
      <c r="A5521" s="16"/>
      <c r="E5521" s="16"/>
      <c r="F5521" s="16"/>
    </row>
    <row r="5522" spans="1:6" ht="13">
      <c r="A5522" s="16"/>
      <c r="E5522" s="16"/>
      <c r="F5522" s="16"/>
    </row>
    <row r="5523" spans="1:6" ht="13">
      <c r="A5523" s="16"/>
      <c r="E5523" s="16"/>
      <c r="F5523" s="16"/>
    </row>
    <row r="5524" spans="1:6" ht="13">
      <c r="A5524" s="16"/>
      <c r="E5524" s="16"/>
      <c r="F5524" s="16"/>
    </row>
    <row r="5525" spans="1:6" ht="13">
      <c r="A5525" s="16"/>
      <c r="E5525" s="16"/>
      <c r="F5525" s="16"/>
    </row>
    <row r="5526" spans="1:6" ht="13">
      <c r="A5526" s="16"/>
      <c r="E5526" s="16"/>
      <c r="F5526" s="16"/>
    </row>
    <row r="5527" spans="1:6" ht="13">
      <c r="A5527" s="16"/>
      <c r="E5527" s="16"/>
      <c r="F5527" s="16"/>
    </row>
    <row r="5528" spans="1:6" ht="13">
      <c r="A5528" s="16"/>
      <c r="E5528" s="16"/>
      <c r="F5528" s="16"/>
    </row>
    <row r="5529" spans="1:6" ht="13">
      <c r="A5529" s="16"/>
      <c r="E5529" s="16"/>
      <c r="F5529" s="16"/>
    </row>
    <row r="5530" spans="1:6" ht="13">
      <c r="A5530" s="16"/>
      <c r="E5530" s="16"/>
      <c r="F5530" s="16"/>
    </row>
    <row r="5531" spans="1:6" ht="13">
      <c r="A5531" s="16"/>
      <c r="E5531" s="16"/>
      <c r="F5531" s="16"/>
    </row>
    <row r="5532" spans="1:6" ht="13">
      <c r="A5532" s="16"/>
      <c r="E5532" s="16"/>
      <c r="F5532" s="16"/>
    </row>
    <row r="5533" spans="1:6" ht="13">
      <c r="A5533" s="16"/>
      <c r="E5533" s="16"/>
      <c r="F5533" s="16"/>
    </row>
    <row r="5534" spans="1:6" ht="13">
      <c r="A5534" s="16"/>
      <c r="E5534" s="16"/>
      <c r="F5534" s="16"/>
    </row>
    <row r="5535" spans="1:6" ht="13">
      <c r="A5535" s="16"/>
      <c r="E5535" s="16"/>
      <c r="F5535" s="16"/>
    </row>
    <row r="5536" spans="1:6" ht="13">
      <c r="A5536" s="16"/>
      <c r="E5536" s="16"/>
      <c r="F5536" s="16"/>
    </row>
    <row r="5537" spans="1:6" ht="13">
      <c r="A5537" s="16"/>
      <c r="E5537" s="16"/>
      <c r="F5537" s="16"/>
    </row>
    <row r="5538" spans="1:6" ht="13">
      <c r="A5538" s="16"/>
      <c r="E5538" s="16"/>
      <c r="F5538" s="16"/>
    </row>
    <row r="5539" spans="1:6" ht="13">
      <c r="A5539" s="16"/>
      <c r="E5539" s="16"/>
      <c r="F5539" s="16"/>
    </row>
    <row r="5540" spans="1:6" ht="13">
      <c r="A5540" s="16"/>
      <c r="E5540" s="16"/>
      <c r="F5540" s="16"/>
    </row>
    <row r="5541" spans="1:6" ht="13">
      <c r="A5541" s="16"/>
      <c r="E5541" s="16"/>
      <c r="F5541" s="16"/>
    </row>
    <row r="5542" spans="1:6" ht="13">
      <c r="A5542" s="16"/>
      <c r="E5542" s="16"/>
      <c r="F5542" s="16"/>
    </row>
    <row r="5543" spans="1:6" ht="13">
      <c r="A5543" s="16"/>
      <c r="E5543" s="16"/>
      <c r="F5543" s="16"/>
    </row>
    <row r="5544" spans="1:6" ht="13">
      <c r="A5544" s="16"/>
      <c r="E5544" s="16"/>
      <c r="F5544" s="16"/>
    </row>
    <row r="5545" spans="1:6" ht="13">
      <c r="A5545" s="16"/>
      <c r="E5545" s="16"/>
      <c r="F5545" s="16"/>
    </row>
    <row r="5546" spans="1:6" ht="13">
      <c r="A5546" s="16"/>
      <c r="E5546" s="16"/>
      <c r="F5546" s="16"/>
    </row>
    <row r="5547" spans="1:6" ht="13">
      <c r="A5547" s="16"/>
      <c r="E5547" s="16"/>
      <c r="F5547" s="16"/>
    </row>
    <row r="5548" spans="1:6" ht="13">
      <c r="A5548" s="16"/>
      <c r="E5548" s="16"/>
      <c r="F5548" s="16"/>
    </row>
    <row r="5549" spans="1:6" ht="13">
      <c r="A5549" s="16"/>
      <c r="E5549" s="16"/>
      <c r="F5549" s="16"/>
    </row>
    <row r="5550" spans="1:6" ht="13">
      <c r="A5550" s="16"/>
      <c r="E5550" s="16"/>
      <c r="F5550" s="16"/>
    </row>
    <row r="5551" spans="1:6" ht="13">
      <c r="A5551" s="16"/>
      <c r="E5551" s="16"/>
      <c r="F5551" s="16"/>
    </row>
    <row r="5552" spans="1:6" ht="13">
      <c r="A5552" s="16"/>
      <c r="E5552" s="16"/>
      <c r="F5552" s="16"/>
    </row>
    <row r="5553" spans="1:6" ht="13">
      <c r="A5553" s="16"/>
      <c r="E5553" s="16"/>
      <c r="F5553" s="16"/>
    </row>
    <row r="5554" spans="1:6" ht="13">
      <c r="A5554" s="16"/>
      <c r="E5554" s="16"/>
      <c r="F5554" s="16"/>
    </row>
    <row r="5555" spans="1:6" ht="13">
      <c r="A5555" s="16"/>
      <c r="E5555" s="16"/>
      <c r="F5555" s="16"/>
    </row>
    <row r="5556" spans="1:6" ht="13">
      <c r="A5556" s="16"/>
      <c r="E5556" s="16"/>
      <c r="F5556" s="16"/>
    </row>
    <row r="5557" spans="1:6" ht="13">
      <c r="A5557" s="16"/>
      <c r="E5557" s="16"/>
      <c r="F5557" s="16"/>
    </row>
    <row r="5558" spans="1:6" ht="13">
      <c r="A5558" s="16"/>
      <c r="E5558" s="16"/>
      <c r="F5558" s="16"/>
    </row>
    <row r="5559" spans="1:6" ht="13">
      <c r="A5559" s="16"/>
      <c r="E5559" s="16"/>
      <c r="F5559" s="16"/>
    </row>
    <row r="5560" spans="1:6" ht="13">
      <c r="A5560" s="16"/>
      <c r="E5560" s="16"/>
      <c r="F5560" s="16"/>
    </row>
    <row r="5561" spans="1:6" ht="13">
      <c r="A5561" s="16"/>
      <c r="E5561" s="16"/>
      <c r="F5561" s="16"/>
    </row>
    <row r="5562" spans="1:6" ht="13">
      <c r="A5562" s="16"/>
      <c r="E5562" s="16"/>
      <c r="F5562" s="16"/>
    </row>
    <row r="5563" spans="1:6" ht="13">
      <c r="A5563" s="16"/>
      <c r="E5563" s="16"/>
      <c r="F5563" s="16"/>
    </row>
    <row r="5564" spans="1:6" ht="13">
      <c r="A5564" s="16"/>
      <c r="E5564" s="16"/>
      <c r="F5564" s="16"/>
    </row>
    <row r="5565" spans="1:6" ht="13">
      <c r="A5565" s="16"/>
      <c r="E5565" s="16"/>
      <c r="F5565" s="16"/>
    </row>
    <row r="5566" spans="1:6" ht="13">
      <c r="A5566" s="16"/>
      <c r="E5566" s="16"/>
      <c r="F5566" s="16"/>
    </row>
    <row r="5567" spans="1:6" ht="13">
      <c r="A5567" s="16"/>
      <c r="E5567" s="16"/>
      <c r="F5567" s="16"/>
    </row>
    <row r="5568" spans="1:6" ht="13">
      <c r="A5568" s="16"/>
      <c r="E5568" s="16"/>
      <c r="F5568" s="16"/>
    </row>
    <row r="5569" spans="1:6" ht="13">
      <c r="A5569" s="16"/>
      <c r="E5569" s="16"/>
      <c r="F5569" s="16"/>
    </row>
    <row r="5570" spans="1:6" ht="13">
      <c r="A5570" s="16"/>
      <c r="E5570" s="16"/>
      <c r="F5570" s="16"/>
    </row>
    <row r="5571" spans="1:6" ht="13">
      <c r="A5571" s="16"/>
      <c r="E5571" s="16"/>
      <c r="F5571" s="16"/>
    </row>
    <row r="5572" spans="1:6" ht="13">
      <c r="A5572" s="16"/>
      <c r="E5572" s="16"/>
      <c r="F5572" s="16"/>
    </row>
    <row r="5573" spans="1:6" ht="13">
      <c r="A5573" s="16"/>
      <c r="E5573" s="16"/>
      <c r="F5573" s="16"/>
    </row>
    <row r="5574" spans="1:6" ht="13">
      <c r="A5574" s="16"/>
      <c r="E5574" s="16"/>
      <c r="F5574" s="16"/>
    </row>
    <row r="5575" spans="1:6" ht="13">
      <c r="A5575" s="16"/>
      <c r="E5575" s="16"/>
      <c r="F5575" s="16"/>
    </row>
    <row r="5576" spans="1:6" ht="13">
      <c r="A5576" s="16"/>
      <c r="E5576" s="16"/>
      <c r="F5576" s="16"/>
    </row>
    <row r="5577" spans="1:6" ht="13">
      <c r="A5577" s="16"/>
      <c r="E5577" s="16"/>
      <c r="F5577" s="16"/>
    </row>
    <row r="5578" spans="1:6" ht="13">
      <c r="A5578" s="16"/>
      <c r="E5578" s="16"/>
      <c r="F5578" s="16"/>
    </row>
    <row r="5579" spans="1:6" ht="13">
      <c r="A5579" s="16"/>
      <c r="E5579" s="16"/>
      <c r="F5579" s="16"/>
    </row>
    <row r="5580" spans="1:6" ht="13">
      <c r="A5580" s="16"/>
      <c r="E5580" s="16"/>
      <c r="F5580" s="16"/>
    </row>
    <row r="5581" spans="1:6" ht="13">
      <c r="A5581" s="16"/>
      <c r="E5581" s="16"/>
      <c r="F5581" s="16"/>
    </row>
    <row r="5582" spans="1:6" ht="13">
      <c r="A5582" s="16"/>
      <c r="E5582" s="16"/>
      <c r="F5582" s="16"/>
    </row>
    <row r="5583" spans="1:6" ht="13">
      <c r="A5583" s="16"/>
      <c r="E5583" s="16"/>
      <c r="F5583" s="16"/>
    </row>
    <row r="5584" spans="1:6" ht="13">
      <c r="A5584" s="16"/>
      <c r="E5584" s="16"/>
      <c r="F5584" s="16"/>
    </row>
    <row r="5585" spans="1:6" ht="13">
      <c r="A5585" s="16"/>
      <c r="E5585" s="16"/>
      <c r="F5585" s="16"/>
    </row>
    <row r="5586" spans="1:6" ht="13">
      <c r="A5586" s="16"/>
      <c r="E5586" s="16"/>
      <c r="F5586" s="16"/>
    </row>
    <row r="5587" spans="1:6" ht="13">
      <c r="A5587" s="16"/>
      <c r="E5587" s="16"/>
      <c r="F5587" s="16"/>
    </row>
    <row r="5588" spans="1:6" ht="13">
      <c r="A5588" s="16"/>
      <c r="E5588" s="16"/>
      <c r="F5588" s="16"/>
    </row>
    <row r="5589" spans="1:6" ht="13">
      <c r="A5589" s="16"/>
      <c r="E5589" s="16"/>
      <c r="F5589" s="16"/>
    </row>
    <row r="5590" spans="1:6" ht="13">
      <c r="A5590" s="16"/>
      <c r="E5590" s="16"/>
      <c r="F5590" s="16"/>
    </row>
    <row r="5591" spans="1:6" ht="13">
      <c r="A5591" s="16"/>
      <c r="E5591" s="16"/>
      <c r="F5591" s="16"/>
    </row>
    <row r="5592" spans="1:6" ht="13">
      <c r="A5592" s="16"/>
      <c r="E5592" s="16"/>
      <c r="F5592" s="16"/>
    </row>
    <row r="5593" spans="1:6" ht="13">
      <c r="A5593" s="16"/>
      <c r="E5593" s="16"/>
      <c r="F5593" s="16"/>
    </row>
    <row r="5594" spans="1:6" ht="13">
      <c r="A5594" s="16"/>
      <c r="E5594" s="16"/>
      <c r="F5594" s="16"/>
    </row>
    <row r="5595" spans="1:6" ht="13">
      <c r="A5595" s="16"/>
      <c r="E5595" s="16"/>
      <c r="F5595" s="16"/>
    </row>
    <row r="5596" spans="1:6" ht="13">
      <c r="A5596" s="16"/>
      <c r="E5596" s="16"/>
      <c r="F5596" s="16"/>
    </row>
    <row r="5597" spans="1:6" ht="13">
      <c r="A5597" s="16"/>
      <c r="E5597" s="16"/>
      <c r="F5597" s="16"/>
    </row>
    <row r="5598" spans="1:6" ht="13">
      <c r="A5598" s="16"/>
      <c r="E5598" s="16"/>
      <c r="F5598" s="16"/>
    </row>
    <row r="5599" spans="1:6" ht="13">
      <c r="A5599" s="16"/>
      <c r="E5599" s="16"/>
      <c r="F5599" s="16"/>
    </row>
    <row r="5600" spans="1:6" ht="13">
      <c r="A5600" s="16"/>
      <c r="E5600" s="16"/>
      <c r="F5600" s="16"/>
    </row>
    <row r="5601" spans="1:6" ht="13">
      <c r="A5601" s="16"/>
      <c r="E5601" s="16"/>
      <c r="F5601" s="16"/>
    </row>
    <row r="5602" spans="1:6" ht="13">
      <c r="A5602" s="16"/>
      <c r="E5602" s="16"/>
      <c r="F5602" s="16"/>
    </row>
    <row r="5603" spans="1:6" ht="13">
      <c r="A5603" s="16"/>
      <c r="E5603" s="16"/>
      <c r="F5603" s="16"/>
    </row>
    <row r="5604" spans="1:6" ht="13">
      <c r="A5604" s="16"/>
      <c r="E5604" s="16"/>
      <c r="F5604" s="16"/>
    </row>
    <row r="5605" spans="1:6" ht="13">
      <c r="A5605" s="16"/>
      <c r="E5605" s="16"/>
      <c r="F5605" s="16"/>
    </row>
    <row r="5606" spans="1:6" ht="13">
      <c r="A5606" s="16"/>
      <c r="E5606" s="16"/>
      <c r="F5606" s="16"/>
    </row>
    <row r="5607" spans="1:6" ht="13">
      <c r="A5607" s="16"/>
      <c r="E5607" s="16"/>
      <c r="F5607" s="16"/>
    </row>
    <row r="5608" spans="1:6" ht="13">
      <c r="A5608" s="16"/>
      <c r="E5608" s="16"/>
      <c r="F5608" s="16"/>
    </row>
    <row r="5609" spans="1:6" ht="13">
      <c r="A5609" s="16"/>
      <c r="E5609" s="16"/>
      <c r="F5609" s="16"/>
    </row>
    <row r="5610" spans="1:6" ht="13">
      <c r="A5610" s="16"/>
      <c r="E5610" s="16"/>
      <c r="F5610" s="16"/>
    </row>
    <row r="5611" spans="1:6" ht="13">
      <c r="A5611" s="16"/>
      <c r="E5611" s="16"/>
      <c r="F5611" s="16"/>
    </row>
    <row r="5612" spans="1:6" ht="13">
      <c r="A5612" s="16"/>
      <c r="E5612" s="16"/>
      <c r="F5612" s="16"/>
    </row>
    <row r="5613" spans="1:6" ht="13">
      <c r="A5613" s="16"/>
      <c r="E5613" s="16"/>
      <c r="F5613" s="16"/>
    </row>
    <row r="5614" spans="1:6" ht="13">
      <c r="A5614" s="16"/>
      <c r="E5614" s="16"/>
      <c r="F5614" s="16"/>
    </row>
    <row r="5615" spans="1:6" ht="13">
      <c r="A5615" s="16"/>
      <c r="E5615" s="16"/>
      <c r="F5615" s="16"/>
    </row>
    <row r="5616" spans="1:6" ht="13">
      <c r="A5616" s="16"/>
      <c r="E5616" s="16"/>
      <c r="F5616" s="16"/>
    </row>
    <row r="5617" spans="1:6" ht="13">
      <c r="A5617" s="16"/>
      <c r="E5617" s="16"/>
      <c r="F5617" s="16"/>
    </row>
    <row r="5618" spans="1:6" ht="13">
      <c r="A5618" s="16"/>
      <c r="E5618" s="16"/>
      <c r="F5618" s="16"/>
    </row>
    <row r="5619" spans="1:6" ht="13">
      <c r="A5619" s="16"/>
      <c r="E5619" s="16"/>
      <c r="F5619" s="16"/>
    </row>
    <row r="5620" spans="1:6" ht="13">
      <c r="A5620" s="16"/>
      <c r="E5620" s="16"/>
      <c r="F5620" s="16"/>
    </row>
    <row r="5621" spans="1:6" ht="13">
      <c r="A5621" s="16"/>
      <c r="E5621" s="16"/>
      <c r="F5621" s="16"/>
    </row>
    <row r="5622" spans="1:6" ht="13">
      <c r="A5622" s="16"/>
      <c r="E5622" s="16"/>
      <c r="F5622" s="16"/>
    </row>
    <row r="5623" spans="1:6" ht="13">
      <c r="A5623" s="16"/>
      <c r="E5623" s="16"/>
      <c r="F5623" s="16"/>
    </row>
    <row r="5624" spans="1:6" ht="13">
      <c r="A5624" s="16"/>
      <c r="E5624" s="16"/>
      <c r="F5624" s="16"/>
    </row>
    <row r="5625" spans="1:6" ht="13">
      <c r="A5625" s="16"/>
      <c r="E5625" s="16"/>
      <c r="F5625" s="16"/>
    </row>
    <row r="5626" spans="1:6" ht="13">
      <c r="A5626" s="16"/>
      <c r="E5626" s="16"/>
      <c r="F5626" s="16"/>
    </row>
    <row r="5627" spans="1:6" ht="13">
      <c r="A5627" s="16"/>
      <c r="E5627" s="16"/>
      <c r="F5627" s="16"/>
    </row>
    <row r="5628" spans="1:6" ht="13">
      <c r="A5628" s="16"/>
      <c r="E5628" s="16"/>
      <c r="F5628" s="16"/>
    </row>
    <row r="5629" spans="1:6" ht="13">
      <c r="A5629" s="16"/>
      <c r="E5629" s="16"/>
      <c r="F5629" s="16"/>
    </row>
    <row r="5630" spans="1:6" ht="13">
      <c r="A5630" s="16"/>
      <c r="E5630" s="16"/>
      <c r="F5630" s="16"/>
    </row>
    <row r="5631" spans="1:6" ht="13">
      <c r="A5631" s="16"/>
      <c r="E5631" s="16"/>
      <c r="F5631" s="16"/>
    </row>
    <row r="5632" spans="1:6" ht="13">
      <c r="A5632" s="16"/>
      <c r="E5632" s="16"/>
      <c r="F5632" s="16"/>
    </row>
    <row r="5633" spans="1:6" ht="13">
      <c r="A5633" s="16"/>
      <c r="E5633" s="16"/>
      <c r="F5633" s="16"/>
    </row>
    <row r="5634" spans="1:6" ht="13">
      <c r="A5634" s="16"/>
      <c r="E5634" s="16"/>
      <c r="F5634" s="16"/>
    </row>
    <row r="5635" spans="1:6" ht="13">
      <c r="A5635" s="16"/>
      <c r="E5635" s="16"/>
      <c r="F5635" s="16"/>
    </row>
    <row r="5636" spans="1:6" ht="13">
      <c r="A5636" s="16"/>
      <c r="E5636" s="16"/>
      <c r="F5636" s="16"/>
    </row>
    <row r="5637" spans="1:6" ht="13">
      <c r="A5637" s="16"/>
      <c r="E5637" s="16"/>
      <c r="F5637" s="16"/>
    </row>
    <row r="5638" spans="1:6" ht="13">
      <c r="A5638" s="16"/>
      <c r="E5638" s="16"/>
      <c r="F5638" s="16"/>
    </row>
    <row r="5639" spans="1:6" ht="13">
      <c r="A5639" s="16"/>
      <c r="E5639" s="16"/>
      <c r="F5639" s="16"/>
    </row>
    <row r="5640" spans="1:6" ht="13">
      <c r="A5640" s="16"/>
      <c r="E5640" s="16"/>
      <c r="F5640" s="16"/>
    </row>
    <row r="5641" spans="1:6" ht="13">
      <c r="A5641" s="16"/>
      <c r="E5641" s="16"/>
      <c r="F5641" s="16"/>
    </row>
    <row r="5642" spans="1:6" ht="13">
      <c r="A5642" s="16"/>
      <c r="E5642" s="16"/>
      <c r="F5642" s="16"/>
    </row>
    <row r="5643" spans="1:6" ht="13">
      <c r="A5643" s="16"/>
      <c r="E5643" s="16"/>
      <c r="F5643" s="16"/>
    </row>
    <row r="5644" spans="1:6" ht="13">
      <c r="A5644" s="16"/>
      <c r="E5644" s="16"/>
      <c r="F5644" s="16"/>
    </row>
    <row r="5645" spans="1:6" ht="13">
      <c r="A5645" s="16"/>
      <c r="E5645" s="16"/>
      <c r="F5645" s="16"/>
    </row>
    <row r="5646" spans="1:6" ht="13">
      <c r="A5646" s="16"/>
      <c r="E5646" s="16"/>
      <c r="F5646" s="16"/>
    </row>
    <row r="5647" spans="1:6" ht="13">
      <c r="A5647" s="16"/>
      <c r="E5647" s="16"/>
      <c r="F5647" s="16"/>
    </row>
    <row r="5648" spans="1:6" ht="13">
      <c r="A5648" s="16"/>
      <c r="E5648" s="16"/>
      <c r="F5648" s="16"/>
    </row>
    <row r="5649" spans="1:6" ht="13">
      <c r="A5649" s="16"/>
      <c r="E5649" s="16"/>
      <c r="F5649" s="16"/>
    </row>
    <row r="5650" spans="1:6" ht="13">
      <c r="A5650" s="16"/>
      <c r="E5650" s="16"/>
      <c r="F5650" s="16"/>
    </row>
    <row r="5651" spans="1:6" ht="13">
      <c r="A5651" s="16"/>
      <c r="E5651" s="16"/>
      <c r="F5651" s="16"/>
    </row>
    <row r="5652" spans="1:6" ht="13">
      <c r="A5652" s="16"/>
      <c r="E5652" s="16"/>
      <c r="F5652" s="16"/>
    </row>
    <row r="5653" spans="1:6" ht="13">
      <c r="A5653" s="16"/>
      <c r="E5653" s="16"/>
      <c r="F5653" s="16"/>
    </row>
    <row r="5654" spans="1:6" ht="13">
      <c r="A5654" s="16"/>
      <c r="E5654" s="16"/>
      <c r="F5654" s="16"/>
    </row>
    <row r="5655" spans="1:6" ht="13">
      <c r="A5655" s="16"/>
      <c r="E5655" s="16"/>
      <c r="F5655" s="16"/>
    </row>
    <row r="5656" spans="1:6" ht="13">
      <c r="A5656" s="16"/>
      <c r="E5656" s="16"/>
      <c r="F5656" s="16"/>
    </row>
    <row r="5657" spans="1:6" ht="13">
      <c r="A5657" s="16"/>
      <c r="E5657" s="16"/>
      <c r="F5657" s="16"/>
    </row>
    <row r="5658" spans="1:6" ht="13">
      <c r="A5658" s="16"/>
      <c r="E5658" s="16"/>
      <c r="F5658" s="16"/>
    </row>
    <row r="5659" spans="1:6" ht="13">
      <c r="A5659" s="16"/>
      <c r="E5659" s="16"/>
      <c r="F5659" s="16"/>
    </row>
    <row r="5660" spans="1:6" ht="13">
      <c r="A5660" s="16"/>
      <c r="E5660" s="16"/>
      <c r="F5660" s="16"/>
    </row>
    <row r="5661" spans="1:6" ht="13">
      <c r="A5661" s="16"/>
      <c r="E5661" s="16"/>
      <c r="F5661" s="16"/>
    </row>
    <row r="5662" spans="1:6" ht="13">
      <c r="A5662" s="16"/>
      <c r="E5662" s="16"/>
      <c r="F5662" s="16"/>
    </row>
    <row r="5663" spans="1:6" ht="13">
      <c r="A5663" s="16"/>
      <c r="E5663" s="16"/>
      <c r="F5663" s="16"/>
    </row>
    <row r="5664" spans="1:6" ht="13">
      <c r="A5664" s="16"/>
      <c r="E5664" s="16"/>
      <c r="F5664" s="16"/>
    </row>
    <row r="5665" spans="1:6" ht="13">
      <c r="A5665" s="16"/>
      <c r="E5665" s="16"/>
      <c r="F5665" s="16"/>
    </row>
    <row r="5666" spans="1:6" ht="13">
      <c r="A5666" s="16"/>
      <c r="E5666" s="16"/>
      <c r="F5666" s="16"/>
    </row>
    <row r="5667" spans="1:6" ht="13">
      <c r="A5667" s="16"/>
      <c r="E5667" s="16"/>
      <c r="F5667" s="16"/>
    </row>
    <row r="5668" spans="1:6" ht="13">
      <c r="A5668" s="16"/>
      <c r="E5668" s="16"/>
      <c r="F5668" s="16"/>
    </row>
    <row r="5669" spans="1:6" ht="13">
      <c r="A5669" s="16"/>
      <c r="E5669" s="16"/>
      <c r="F5669" s="16"/>
    </row>
    <row r="5670" spans="1:6" ht="13">
      <c r="A5670" s="16"/>
      <c r="E5670" s="16"/>
      <c r="F5670" s="16"/>
    </row>
    <row r="5671" spans="1:6" ht="13">
      <c r="A5671" s="16"/>
      <c r="E5671" s="16"/>
      <c r="F5671" s="16"/>
    </row>
    <row r="5672" spans="1:6" ht="13">
      <c r="A5672" s="16"/>
      <c r="E5672" s="16"/>
      <c r="F5672" s="16"/>
    </row>
    <row r="5673" spans="1:6" ht="13">
      <c r="A5673" s="16"/>
      <c r="E5673" s="16"/>
      <c r="F5673" s="16"/>
    </row>
    <row r="5674" spans="1:6" ht="13">
      <c r="A5674" s="16"/>
      <c r="E5674" s="16"/>
      <c r="F5674" s="16"/>
    </row>
    <row r="5675" spans="1:6" ht="13">
      <c r="A5675" s="16"/>
      <c r="E5675" s="16"/>
      <c r="F5675" s="16"/>
    </row>
    <row r="5676" spans="1:6" ht="13">
      <c r="A5676" s="16"/>
      <c r="E5676" s="16"/>
      <c r="F5676" s="16"/>
    </row>
    <row r="5677" spans="1:6" ht="13">
      <c r="A5677" s="16"/>
      <c r="E5677" s="16"/>
      <c r="F5677" s="16"/>
    </row>
    <row r="5678" spans="1:6" ht="13">
      <c r="A5678" s="16"/>
      <c r="E5678" s="16"/>
      <c r="F5678" s="16"/>
    </row>
    <row r="5679" spans="1:6" ht="13">
      <c r="A5679" s="16"/>
      <c r="E5679" s="16"/>
      <c r="F5679" s="16"/>
    </row>
    <row r="5680" spans="1:6" ht="13">
      <c r="A5680" s="16"/>
      <c r="E5680" s="16"/>
      <c r="F5680" s="16"/>
    </row>
    <row r="5681" spans="1:6" ht="13">
      <c r="A5681" s="16"/>
      <c r="E5681" s="16"/>
      <c r="F5681" s="16"/>
    </row>
    <row r="5682" spans="1:6" ht="13">
      <c r="A5682" s="16"/>
      <c r="E5682" s="16"/>
      <c r="F5682" s="16"/>
    </row>
    <row r="5683" spans="1:6" ht="13">
      <c r="A5683" s="16"/>
      <c r="E5683" s="16"/>
      <c r="F5683" s="16"/>
    </row>
    <row r="5684" spans="1:6" ht="13">
      <c r="A5684" s="16"/>
      <c r="E5684" s="16"/>
      <c r="F5684" s="16"/>
    </row>
    <row r="5685" spans="1:6" ht="13">
      <c r="A5685" s="16"/>
      <c r="E5685" s="16"/>
      <c r="F5685" s="16"/>
    </row>
    <row r="5686" spans="1:6" ht="13">
      <c r="A5686" s="16"/>
      <c r="E5686" s="16"/>
      <c r="F5686" s="16"/>
    </row>
    <row r="5687" spans="1:6" ht="13">
      <c r="A5687" s="16"/>
      <c r="E5687" s="16"/>
      <c r="F5687" s="16"/>
    </row>
    <row r="5688" spans="1:6" ht="13">
      <c r="A5688" s="16"/>
      <c r="E5688" s="16"/>
      <c r="F5688" s="16"/>
    </row>
    <row r="5689" spans="1:6" ht="13">
      <c r="A5689" s="16"/>
      <c r="E5689" s="16"/>
      <c r="F5689" s="16"/>
    </row>
    <row r="5690" spans="1:6" ht="13">
      <c r="A5690" s="16"/>
      <c r="E5690" s="16"/>
      <c r="F5690" s="16"/>
    </row>
    <row r="5691" spans="1:6" ht="13">
      <c r="A5691" s="16"/>
      <c r="E5691" s="16"/>
      <c r="F5691" s="16"/>
    </row>
    <row r="5692" spans="1:6" ht="13">
      <c r="A5692" s="16"/>
      <c r="E5692" s="16"/>
      <c r="F5692" s="16"/>
    </row>
    <row r="5693" spans="1:6" ht="13">
      <c r="A5693" s="16"/>
      <c r="E5693" s="16"/>
      <c r="F5693" s="16"/>
    </row>
    <row r="5694" spans="1:6" ht="13">
      <c r="A5694" s="16"/>
      <c r="E5694" s="16"/>
      <c r="F5694" s="16"/>
    </row>
    <row r="5695" spans="1:6" ht="13">
      <c r="A5695" s="16"/>
      <c r="E5695" s="16"/>
      <c r="F5695" s="16"/>
    </row>
    <row r="5696" spans="1:6" ht="13">
      <c r="A5696" s="16"/>
      <c r="E5696" s="16"/>
      <c r="F5696" s="16"/>
    </row>
    <row r="5697" spans="1:6" ht="13">
      <c r="A5697" s="16"/>
      <c r="E5697" s="16"/>
      <c r="F5697" s="16"/>
    </row>
    <row r="5698" spans="1:6" ht="13">
      <c r="A5698" s="16"/>
      <c r="E5698" s="16"/>
      <c r="F5698" s="16"/>
    </row>
    <row r="5699" spans="1:6" ht="13">
      <c r="A5699" s="16"/>
      <c r="E5699" s="16"/>
      <c r="F5699" s="16"/>
    </row>
    <row r="5700" spans="1:6" ht="13">
      <c r="A5700" s="16"/>
      <c r="E5700" s="16"/>
      <c r="F5700" s="16"/>
    </row>
    <row r="5701" spans="1:6" ht="13">
      <c r="A5701" s="16"/>
      <c r="E5701" s="16"/>
      <c r="F5701" s="16"/>
    </row>
    <row r="5702" spans="1:6" ht="13">
      <c r="A5702" s="16"/>
      <c r="E5702" s="16"/>
      <c r="F5702" s="16"/>
    </row>
    <row r="5703" spans="1:6" ht="13">
      <c r="A5703" s="16"/>
      <c r="E5703" s="16"/>
      <c r="F5703" s="16"/>
    </row>
    <row r="5704" spans="1:6" ht="13">
      <c r="A5704" s="16"/>
      <c r="E5704" s="16"/>
      <c r="F5704" s="16"/>
    </row>
    <row r="5705" spans="1:6" ht="13">
      <c r="A5705" s="16"/>
      <c r="E5705" s="16"/>
      <c r="F5705" s="16"/>
    </row>
    <row r="5706" spans="1:6" ht="13">
      <c r="A5706" s="16"/>
      <c r="E5706" s="16"/>
      <c r="F5706" s="16"/>
    </row>
    <row r="5707" spans="1:6" ht="13">
      <c r="A5707" s="16"/>
      <c r="E5707" s="16"/>
      <c r="F5707" s="16"/>
    </row>
    <row r="5708" spans="1:6" ht="13">
      <c r="A5708" s="16"/>
      <c r="E5708" s="16"/>
      <c r="F5708" s="16"/>
    </row>
    <row r="5709" spans="1:6" ht="13">
      <c r="A5709" s="16"/>
      <c r="E5709" s="16"/>
      <c r="F5709" s="16"/>
    </row>
    <row r="5710" spans="1:6" ht="13">
      <c r="A5710" s="16"/>
      <c r="E5710" s="16"/>
      <c r="F5710" s="16"/>
    </row>
    <row r="5711" spans="1:6" ht="13">
      <c r="A5711" s="16"/>
      <c r="E5711" s="16"/>
      <c r="F5711" s="16"/>
    </row>
    <row r="5712" spans="1:6" ht="13">
      <c r="A5712" s="16"/>
      <c r="E5712" s="16"/>
      <c r="F5712" s="16"/>
    </row>
    <row r="5713" spans="1:6" ht="13">
      <c r="A5713" s="16"/>
      <c r="E5713" s="16"/>
      <c r="F5713" s="16"/>
    </row>
    <row r="5714" spans="1:6" ht="13">
      <c r="A5714" s="16"/>
      <c r="E5714" s="16"/>
      <c r="F5714" s="16"/>
    </row>
    <row r="5715" spans="1:6" ht="13">
      <c r="A5715" s="16"/>
      <c r="E5715" s="16"/>
      <c r="F5715" s="16"/>
    </row>
    <row r="5716" spans="1:6" ht="13">
      <c r="A5716" s="16"/>
      <c r="E5716" s="16"/>
      <c r="F5716" s="16"/>
    </row>
    <row r="5717" spans="1:6" ht="13">
      <c r="A5717" s="16"/>
      <c r="E5717" s="16"/>
      <c r="F5717" s="16"/>
    </row>
    <row r="5718" spans="1:6" ht="13">
      <c r="A5718" s="16"/>
      <c r="E5718" s="16"/>
      <c r="F5718" s="16"/>
    </row>
    <row r="5719" spans="1:6" ht="13">
      <c r="A5719" s="16"/>
      <c r="E5719" s="16"/>
      <c r="F5719" s="16"/>
    </row>
    <row r="5720" spans="1:6" ht="13">
      <c r="A5720" s="16"/>
      <c r="E5720" s="16"/>
      <c r="F5720" s="16"/>
    </row>
    <row r="5721" spans="1:6" ht="13">
      <c r="A5721" s="16"/>
      <c r="E5721" s="16"/>
      <c r="F5721" s="16"/>
    </row>
    <row r="5722" spans="1:6" ht="13">
      <c r="A5722" s="16"/>
      <c r="E5722" s="16"/>
      <c r="F5722" s="16"/>
    </row>
    <row r="5723" spans="1:6" ht="13">
      <c r="A5723" s="16"/>
      <c r="E5723" s="16"/>
      <c r="F5723" s="16"/>
    </row>
    <row r="5724" spans="1:6" ht="13">
      <c r="A5724" s="16"/>
      <c r="E5724" s="16"/>
      <c r="F5724" s="16"/>
    </row>
    <row r="5725" spans="1:6" ht="13">
      <c r="A5725" s="16"/>
      <c r="E5725" s="16"/>
      <c r="F5725" s="16"/>
    </row>
    <row r="5726" spans="1:6" ht="13">
      <c r="A5726" s="16"/>
      <c r="E5726" s="16"/>
      <c r="F5726" s="16"/>
    </row>
    <row r="5727" spans="1:6" ht="13">
      <c r="A5727" s="16"/>
      <c r="E5727" s="16"/>
      <c r="F5727" s="16"/>
    </row>
    <row r="5728" spans="1:6" ht="13">
      <c r="A5728" s="16"/>
      <c r="E5728" s="16"/>
      <c r="F5728" s="16"/>
    </row>
    <row r="5729" spans="1:6" ht="13">
      <c r="A5729" s="16"/>
      <c r="E5729" s="16"/>
      <c r="F5729" s="16"/>
    </row>
    <row r="5730" spans="1:6" ht="13">
      <c r="A5730" s="16"/>
      <c r="E5730" s="16"/>
      <c r="F5730" s="16"/>
    </row>
    <row r="5731" spans="1:6" ht="13">
      <c r="A5731" s="16"/>
      <c r="E5731" s="16"/>
      <c r="F5731" s="16"/>
    </row>
    <row r="5732" spans="1:6" ht="13">
      <c r="A5732" s="16"/>
      <c r="E5732" s="16"/>
      <c r="F5732" s="16"/>
    </row>
    <row r="5733" spans="1:6" ht="13">
      <c r="A5733" s="16"/>
      <c r="E5733" s="16"/>
      <c r="F5733" s="16"/>
    </row>
    <row r="5734" spans="1:6" ht="13">
      <c r="A5734" s="16"/>
      <c r="E5734" s="16"/>
      <c r="F5734" s="16"/>
    </row>
    <row r="5735" spans="1:6" ht="13">
      <c r="A5735" s="16"/>
      <c r="E5735" s="16"/>
      <c r="F5735" s="16"/>
    </row>
    <row r="5736" spans="1:6" ht="13">
      <c r="A5736" s="16"/>
      <c r="E5736" s="16"/>
      <c r="F5736" s="16"/>
    </row>
    <row r="5737" spans="1:6" ht="13">
      <c r="A5737" s="16"/>
      <c r="E5737" s="16"/>
      <c r="F5737" s="16"/>
    </row>
    <row r="5738" spans="1:6" ht="13">
      <c r="A5738" s="16"/>
      <c r="E5738" s="16"/>
      <c r="F5738" s="16"/>
    </row>
    <row r="5739" spans="1:6" ht="13">
      <c r="A5739" s="16"/>
      <c r="E5739" s="16"/>
      <c r="F5739" s="16"/>
    </row>
    <row r="5740" spans="1:6" ht="13">
      <c r="A5740" s="16"/>
      <c r="E5740" s="16"/>
      <c r="F5740" s="16"/>
    </row>
    <row r="5741" spans="1:6" ht="13">
      <c r="A5741" s="16"/>
      <c r="E5741" s="16"/>
      <c r="F5741" s="16"/>
    </row>
    <row r="5742" spans="1:6" ht="13">
      <c r="A5742" s="16"/>
      <c r="E5742" s="16"/>
      <c r="F5742" s="16"/>
    </row>
    <row r="5743" spans="1:6" ht="13">
      <c r="A5743" s="16"/>
      <c r="E5743" s="16"/>
      <c r="F5743" s="16"/>
    </row>
    <row r="5744" spans="1:6" ht="13">
      <c r="A5744" s="16"/>
      <c r="E5744" s="16"/>
      <c r="F5744" s="16"/>
    </row>
    <row r="5745" spans="1:6" ht="13">
      <c r="A5745" s="16"/>
      <c r="E5745" s="16"/>
      <c r="F5745" s="16"/>
    </row>
    <row r="5746" spans="1:6" ht="13">
      <c r="A5746" s="16"/>
      <c r="E5746" s="16"/>
      <c r="F5746" s="16"/>
    </row>
    <row r="5747" spans="1:6" ht="13">
      <c r="A5747" s="16"/>
      <c r="E5747" s="16"/>
      <c r="F5747" s="16"/>
    </row>
    <row r="5748" spans="1:6" ht="13">
      <c r="A5748" s="16"/>
      <c r="E5748" s="16"/>
      <c r="F5748" s="16"/>
    </row>
    <row r="5749" spans="1:6" ht="13">
      <c r="A5749" s="16"/>
      <c r="E5749" s="16"/>
      <c r="F5749" s="16"/>
    </row>
    <row r="5750" spans="1:6" ht="13">
      <c r="A5750" s="16"/>
      <c r="E5750" s="16"/>
      <c r="F5750" s="16"/>
    </row>
    <row r="5751" spans="1:6" ht="13">
      <c r="A5751" s="16"/>
      <c r="E5751" s="16"/>
      <c r="F5751" s="16"/>
    </row>
    <row r="5752" spans="1:6" ht="13">
      <c r="A5752" s="16"/>
      <c r="E5752" s="16"/>
      <c r="F5752" s="16"/>
    </row>
    <row r="5753" spans="1:6" ht="13">
      <c r="A5753" s="16"/>
      <c r="E5753" s="16"/>
      <c r="F5753" s="16"/>
    </row>
    <row r="5754" spans="1:6" ht="13">
      <c r="A5754" s="16"/>
      <c r="E5754" s="16"/>
      <c r="F5754" s="16"/>
    </row>
    <row r="5755" spans="1:6" ht="13">
      <c r="A5755" s="16"/>
      <c r="E5755" s="16"/>
      <c r="F5755" s="16"/>
    </row>
    <row r="5756" spans="1:6" ht="13">
      <c r="A5756" s="16"/>
      <c r="E5756" s="16"/>
      <c r="F5756" s="16"/>
    </row>
    <row r="5757" spans="1:6" ht="13">
      <c r="A5757" s="16"/>
      <c r="E5757" s="16"/>
      <c r="F5757" s="16"/>
    </row>
    <row r="5758" spans="1:6" ht="13">
      <c r="A5758" s="16"/>
      <c r="E5758" s="16"/>
      <c r="F5758" s="16"/>
    </row>
    <row r="5759" spans="1:6" ht="13">
      <c r="A5759" s="16"/>
      <c r="E5759" s="16"/>
      <c r="F5759" s="16"/>
    </row>
    <row r="5760" spans="1:6" ht="13">
      <c r="A5760" s="16"/>
      <c r="E5760" s="16"/>
      <c r="F5760" s="16"/>
    </row>
    <row r="5761" spans="1:6" ht="13">
      <c r="A5761" s="16"/>
      <c r="E5761" s="16"/>
      <c r="F5761" s="16"/>
    </row>
    <row r="5762" spans="1:6" ht="13">
      <c r="A5762" s="16"/>
      <c r="E5762" s="16"/>
      <c r="F5762" s="16"/>
    </row>
    <row r="5763" spans="1:6" ht="13">
      <c r="A5763" s="16"/>
      <c r="E5763" s="16"/>
      <c r="F5763" s="16"/>
    </row>
    <row r="5764" spans="1:6" ht="13">
      <c r="A5764" s="16"/>
      <c r="E5764" s="16"/>
      <c r="F5764" s="16"/>
    </row>
    <row r="5765" spans="1:6" ht="13">
      <c r="A5765" s="16"/>
      <c r="E5765" s="16"/>
      <c r="F5765" s="16"/>
    </row>
    <row r="5766" spans="1:6" ht="13">
      <c r="A5766" s="16"/>
      <c r="E5766" s="16"/>
      <c r="F5766" s="16"/>
    </row>
    <row r="5767" spans="1:6" ht="13">
      <c r="A5767" s="16"/>
      <c r="E5767" s="16"/>
      <c r="F5767" s="16"/>
    </row>
    <row r="5768" spans="1:6" ht="13">
      <c r="A5768" s="16"/>
      <c r="E5768" s="16"/>
      <c r="F5768" s="16"/>
    </row>
    <row r="5769" spans="1:6" ht="13">
      <c r="A5769" s="16"/>
      <c r="E5769" s="16"/>
      <c r="F5769" s="16"/>
    </row>
    <row r="5770" spans="1:6" ht="13">
      <c r="A5770" s="16"/>
      <c r="E5770" s="16"/>
      <c r="F5770" s="16"/>
    </row>
    <row r="5771" spans="1:6" ht="13">
      <c r="A5771" s="16"/>
      <c r="E5771" s="16"/>
      <c r="F5771" s="16"/>
    </row>
    <row r="5772" spans="1:6" ht="13">
      <c r="A5772" s="16"/>
      <c r="E5772" s="16"/>
      <c r="F5772" s="16"/>
    </row>
    <row r="5773" spans="1:6" ht="13">
      <c r="A5773" s="16"/>
      <c r="E5773" s="16"/>
      <c r="F5773" s="16"/>
    </row>
    <row r="5774" spans="1:6" ht="13">
      <c r="A5774" s="16"/>
      <c r="E5774" s="16"/>
      <c r="F5774" s="16"/>
    </row>
    <row r="5775" spans="1:6" ht="13">
      <c r="A5775" s="16"/>
      <c r="E5775" s="16"/>
      <c r="F5775" s="16"/>
    </row>
    <row r="5776" spans="1:6" ht="13">
      <c r="A5776" s="16"/>
      <c r="E5776" s="16"/>
      <c r="F5776" s="16"/>
    </row>
    <row r="5777" spans="1:6" ht="13">
      <c r="A5777" s="16"/>
      <c r="E5777" s="16"/>
      <c r="F5777" s="16"/>
    </row>
    <row r="5778" spans="1:6" ht="13">
      <c r="A5778" s="16"/>
      <c r="E5778" s="16"/>
      <c r="F5778" s="16"/>
    </row>
    <row r="5779" spans="1:6" ht="13">
      <c r="A5779" s="16"/>
      <c r="E5779" s="16"/>
      <c r="F5779" s="16"/>
    </row>
    <row r="5780" spans="1:6" ht="13">
      <c r="A5780" s="16"/>
      <c r="E5780" s="16"/>
      <c r="F5780" s="16"/>
    </row>
    <row r="5781" spans="1:6" ht="13">
      <c r="A5781" s="16"/>
      <c r="E5781" s="16"/>
      <c r="F5781" s="16"/>
    </row>
    <row r="5782" spans="1:6" ht="13">
      <c r="A5782" s="16"/>
      <c r="E5782" s="16"/>
      <c r="F5782" s="16"/>
    </row>
    <row r="5783" spans="1:6" ht="13">
      <c r="A5783" s="16"/>
      <c r="E5783" s="16"/>
      <c r="F5783" s="16"/>
    </row>
    <row r="5784" spans="1:6" ht="13">
      <c r="A5784" s="16"/>
      <c r="E5784" s="16"/>
      <c r="F5784" s="16"/>
    </row>
    <row r="5785" spans="1:6" ht="13">
      <c r="A5785" s="16"/>
      <c r="E5785" s="16"/>
      <c r="F5785" s="16"/>
    </row>
    <row r="5786" spans="1:6" ht="13">
      <c r="A5786" s="16"/>
      <c r="E5786" s="16"/>
      <c r="F5786" s="16"/>
    </row>
    <row r="5787" spans="1:6" ht="13">
      <c r="A5787" s="16"/>
      <c r="E5787" s="16"/>
      <c r="F5787" s="16"/>
    </row>
    <row r="5788" spans="1:6" ht="13">
      <c r="A5788" s="16"/>
      <c r="E5788" s="16"/>
      <c r="F5788" s="16"/>
    </row>
    <row r="5789" spans="1:6" ht="13">
      <c r="A5789" s="16"/>
      <c r="E5789" s="16"/>
      <c r="F5789" s="16"/>
    </row>
    <row r="5790" spans="1:6" ht="13">
      <c r="A5790" s="16"/>
      <c r="E5790" s="16"/>
      <c r="F5790" s="16"/>
    </row>
    <row r="5791" spans="1:6" ht="13">
      <c r="A5791" s="16"/>
      <c r="E5791" s="16"/>
      <c r="F5791" s="16"/>
    </row>
    <row r="5792" spans="1:6" ht="13">
      <c r="A5792" s="16"/>
      <c r="E5792" s="16"/>
      <c r="F5792" s="16"/>
    </row>
    <row r="5793" spans="1:6" ht="13">
      <c r="A5793" s="16"/>
      <c r="E5793" s="16"/>
      <c r="F5793" s="16"/>
    </row>
    <row r="5794" spans="1:6" ht="13">
      <c r="A5794" s="16"/>
      <c r="E5794" s="16"/>
      <c r="F5794" s="16"/>
    </row>
    <row r="5795" spans="1:6" ht="13">
      <c r="A5795" s="16"/>
      <c r="E5795" s="16"/>
      <c r="F5795" s="16"/>
    </row>
    <row r="5796" spans="1:6" ht="13">
      <c r="A5796" s="16"/>
      <c r="E5796" s="16"/>
      <c r="F5796" s="16"/>
    </row>
    <row r="5797" spans="1:6" ht="13">
      <c r="A5797" s="16"/>
      <c r="E5797" s="16"/>
      <c r="F5797" s="16"/>
    </row>
    <row r="5798" spans="1:6" ht="13">
      <c r="A5798" s="16"/>
      <c r="E5798" s="16"/>
      <c r="F5798" s="16"/>
    </row>
    <row r="5799" spans="1:6" ht="13">
      <c r="A5799" s="16"/>
      <c r="E5799" s="16"/>
      <c r="F5799" s="16"/>
    </row>
    <row r="5800" spans="1:6" ht="13">
      <c r="A5800" s="16"/>
      <c r="E5800" s="16"/>
      <c r="F5800" s="16"/>
    </row>
    <row r="5801" spans="1:6" ht="13">
      <c r="A5801" s="16"/>
      <c r="E5801" s="16"/>
      <c r="F5801" s="16"/>
    </row>
    <row r="5802" spans="1:6" ht="13">
      <c r="A5802" s="16"/>
      <c r="E5802" s="16"/>
      <c r="F5802" s="16"/>
    </row>
    <row r="5803" spans="1:6" ht="13">
      <c r="A5803" s="16"/>
      <c r="E5803" s="16"/>
      <c r="F5803" s="16"/>
    </row>
    <row r="5804" spans="1:6" ht="13">
      <c r="A5804" s="16"/>
      <c r="E5804" s="16"/>
      <c r="F5804" s="16"/>
    </row>
    <row r="5805" spans="1:6" ht="13">
      <c r="A5805" s="16"/>
      <c r="E5805" s="16"/>
      <c r="F5805" s="16"/>
    </row>
    <row r="5806" spans="1:6" ht="13">
      <c r="A5806" s="16"/>
      <c r="E5806" s="16"/>
      <c r="F5806" s="16"/>
    </row>
    <row r="5807" spans="1:6" ht="13">
      <c r="A5807" s="16"/>
      <c r="E5807" s="16"/>
      <c r="F5807" s="16"/>
    </row>
    <row r="5808" spans="1:6" ht="13">
      <c r="A5808" s="16"/>
      <c r="E5808" s="16"/>
      <c r="F5808" s="16"/>
    </row>
    <row r="5809" spans="1:6" ht="13">
      <c r="A5809" s="16"/>
      <c r="E5809" s="16"/>
      <c r="F5809" s="16"/>
    </row>
    <row r="5810" spans="1:6" ht="13">
      <c r="A5810" s="16"/>
      <c r="E5810" s="16"/>
      <c r="F5810" s="16"/>
    </row>
    <row r="5811" spans="1:6" ht="13">
      <c r="A5811" s="16"/>
      <c r="E5811" s="16"/>
      <c r="F5811" s="16"/>
    </row>
    <row r="5812" spans="1:6" ht="13">
      <c r="A5812" s="16"/>
      <c r="E5812" s="16"/>
      <c r="F5812" s="16"/>
    </row>
    <row r="5813" spans="1:6" ht="13">
      <c r="A5813" s="16"/>
      <c r="E5813" s="16"/>
      <c r="F5813" s="16"/>
    </row>
    <row r="5814" spans="1:6" ht="13">
      <c r="A5814" s="16"/>
      <c r="E5814" s="16"/>
      <c r="F5814" s="16"/>
    </row>
    <row r="5815" spans="1:6" ht="13">
      <c r="A5815" s="16"/>
      <c r="E5815" s="16"/>
      <c r="F5815" s="16"/>
    </row>
    <row r="5816" spans="1:6" ht="13">
      <c r="A5816" s="16"/>
      <c r="E5816" s="16"/>
      <c r="F5816" s="16"/>
    </row>
    <row r="5817" spans="1:6" ht="13">
      <c r="A5817" s="16"/>
      <c r="E5817" s="16"/>
      <c r="F5817" s="16"/>
    </row>
    <row r="5818" spans="1:6" ht="13">
      <c r="A5818" s="16"/>
      <c r="E5818" s="16"/>
      <c r="F5818" s="16"/>
    </row>
    <row r="5819" spans="1:6" ht="13">
      <c r="A5819" s="16"/>
      <c r="E5819" s="16"/>
      <c r="F5819" s="16"/>
    </row>
    <row r="5820" spans="1:6" ht="13">
      <c r="A5820" s="16"/>
      <c r="E5820" s="16"/>
      <c r="F5820" s="16"/>
    </row>
    <row r="5821" spans="1:6" ht="13">
      <c r="A5821" s="16"/>
      <c r="E5821" s="16"/>
      <c r="F5821" s="16"/>
    </row>
    <row r="5822" spans="1:6" ht="13">
      <c r="A5822" s="16"/>
      <c r="E5822" s="16"/>
      <c r="F5822" s="16"/>
    </row>
    <row r="5823" spans="1:6" ht="13">
      <c r="A5823" s="16"/>
      <c r="E5823" s="16"/>
      <c r="F5823" s="16"/>
    </row>
    <row r="5824" spans="1:6" ht="13">
      <c r="A5824" s="16"/>
      <c r="E5824" s="16"/>
      <c r="F5824" s="16"/>
    </row>
    <row r="5825" spans="1:6" ht="13">
      <c r="A5825" s="16"/>
      <c r="E5825" s="16"/>
      <c r="F5825" s="16"/>
    </row>
    <row r="5826" spans="1:6" ht="13">
      <c r="A5826" s="16"/>
      <c r="E5826" s="16"/>
      <c r="F5826" s="16"/>
    </row>
    <row r="5827" spans="1:6" ht="13">
      <c r="A5827" s="16"/>
      <c r="E5827" s="16"/>
      <c r="F5827" s="16"/>
    </row>
    <row r="5828" spans="1:6" ht="13">
      <c r="A5828" s="16"/>
      <c r="E5828" s="16"/>
      <c r="F5828" s="16"/>
    </row>
    <row r="5829" spans="1:6" ht="13">
      <c r="A5829" s="16"/>
      <c r="E5829" s="16"/>
      <c r="F5829" s="16"/>
    </row>
    <row r="5830" spans="1:6" ht="13">
      <c r="A5830" s="16"/>
      <c r="E5830" s="16"/>
      <c r="F5830" s="16"/>
    </row>
    <row r="5831" spans="1:6" ht="13">
      <c r="A5831" s="16"/>
      <c r="E5831" s="16"/>
      <c r="F5831" s="16"/>
    </row>
    <row r="5832" spans="1:6" ht="13">
      <c r="A5832" s="16"/>
      <c r="E5832" s="16"/>
      <c r="F5832" s="16"/>
    </row>
    <row r="5833" spans="1:6" ht="13">
      <c r="A5833" s="16"/>
      <c r="E5833" s="16"/>
      <c r="F5833" s="16"/>
    </row>
    <row r="5834" spans="1:6" ht="13">
      <c r="A5834" s="16"/>
      <c r="E5834" s="16"/>
      <c r="F5834" s="16"/>
    </row>
    <row r="5835" spans="1:6" ht="13">
      <c r="A5835" s="16"/>
      <c r="E5835" s="16"/>
      <c r="F5835" s="16"/>
    </row>
    <row r="5836" spans="1:6" ht="13">
      <c r="A5836" s="16"/>
      <c r="E5836" s="16"/>
      <c r="F5836" s="16"/>
    </row>
    <row r="5837" spans="1:6" ht="13">
      <c r="A5837" s="16"/>
      <c r="E5837" s="16"/>
      <c r="F5837" s="16"/>
    </row>
    <row r="5838" spans="1:6" ht="13">
      <c r="A5838" s="16"/>
      <c r="E5838" s="16"/>
      <c r="F5838" s="16"/>
    </row>
    <row r="5839" spans="1:6" ht="13">
      <c r="A5839" s="16"/>
      <c r="E5839" s="16"/>
      <c r="F5839" s="16"/>
    </row>
    <row r="5840" spans="1:6" ht="13">
      <c r="A5840" s="16"/>
      <c r="E5840" s="16"/>
      <c r="F5840" s="16"/>
    </row>
    <row r="5841" spans="1:6" ht="13">
      <c r="A5841" s="16"/>
      <c r="E5841" s="16"/>
      <c r="F5841" s="16"/>
    </row>
    <row r="5842" spans="1:6" ht="13">
      <c r="A5842" s="16"/>
      <c r="E5842" s="16"/>
      <c r="F5842" s="16"/>
    </row>
    <row r="5843" spans="1:6" ht="13">
      <c r="A5843" s="16"/>
      <c r="E5843" s="16"/>
      <c r="F5843" s="16"/>
    </row>
    <row r="5844" spans="1:6" ht="13">
      <c r="A5844" s="16"/>
      <c r="E5844" s="16"/>
      <c r="F5844" s="16"/>
    </row>
    <row r="5845" spans="1:6" ht="13">
      <c r="A5845" s="16"/>
      <c r="E5845" s="16"/>
      <c r="F5845" s="16"/>
    </row>
    <row r="5846" spans="1:6" ht="13">
      <c r="A5846" s="16"/>
      <c r="E5846" s="16"/>
      <c r="F5846" s="16"/>
    </row>
    <row r="5847" spans="1:6" ht="13">
      <c r="A5847" s="16"/>
      <c r="E5847" s="16"/>
      <c r="F5847" s="16"/>
    </row>
    <row r="5848" spans="1:6" ht="13">
      <c r="A5848" s="16"/>
      <c r="E5848" s="16"/>
      <c r="F5848" s="16"/>
    </row>
    <row r="5849" spans="1:6" ht="13">
      <c r="A5849" s="16"/>
      <c r="E5849" s="16"/>
      <c r="F5849" s="16"/>
    </row>
    <row r="5850" spans="1:6" ht="13">
      <c r="A5850" s="16"/>
      <c r="E5850" s="16"/>
      <c r="F5850" s="16"/>
    </row>
    <row r="5851" spans="1:6" ht="13">
      <c r="A5851" s="16"/>
      <c r="E5851" s="16"/>
      <c r="F5851" s="16"/>
    </row>
    <row r="5852" spans="1:6" ht="13">
      <c r="A5852" s="16"/>
      <c r="E5852" s="16"/>
      <c r="F5852" s="16"/>
    </row>
    <row r="5853" spans="1:6" ht="13">
      <c r="A5853" s="16"/>
      <c r="E5853" s="16"/>
      <c r="F5853" s="16"/>
    </row>
    <row r="5854" spans="1:6" ht="13">
      <c r="A5854" s="16"/>
      <c r="E5854" s="16"/>
      <c r="F5854" s="16"/>
    </row>
    <row r="5855" spans="1:6" ht="13">
      <c r="A5855" s="16"/>
      <c r="E5855" s="16"/>
      <c r="F5855" s="16"/>
    </row>
    <row r="5856" spans="1:6" ht="13">
      <c r="A5856" s="16"/>
      <c r="E5856" s="16"/>
      <c r="F5856" s="16"/>
    </row>
    <row r="5857" spans="1:6" ht="13">
      <c r="A5857" s="16"/>
      <c r="E5857" s="16"/>
      <c r="F5857" s="16"/>
    </row>
    <row r="5858" spans="1:6" ht="13">
      <c r="A5858" s="16"/>
      <c r="E5858" s="16"/>
      <c r="F5858" s="16"/>
    </row>
    <row r="5859" spans="1:6" ht="13">
      <c r="A5859" s="16"/>
      <c r="E5859" s="16"/>
      <c r="F5859" s="16"/>
    </row>
    <row r="5860" spans="1:6" ht="13">
      <c r="A5860" s="16"/>
      <c r="E5860" s="16"/>
      <c r="F5860" s="16"/>
    </row>
    <row r="5861" spans="1:6" ht="13">
      <c r="A5861" s="16"/>
      <c r="E5861" s="16"/>
      <c r="F5861" s="16"/>
    </row>
    <row r="5862" spans="1:6" ht="13">
      <c r="A5862" s="16"/>
      <c r="E5862" s="16"/>
      <c r="F5862" s="16"/>
    </row>
    <row r="5863" spans="1:6" ht="13">
      <c r="A5863" s="16"/>
      <c r="E5863" s="16"/>
      <c r="F5863" s="16"/>
    </row>
    <row r="5864" spans="1:6" ht="13">
      <c r="A5864" s="16"/>
      <c r="E5864" s="16"/>
      <c r="F5864" s="16"/>
    </row>
    <row r="5865" spans="1:6" ht="13">
      <c r="A5865" s="16"/>
      <c r="E5865" s="16"/>
      <c r="F5865" s="16"/>
    </row>
    <row r="5866" spans="1:6" ht="13">
      <c r="A5866" s="16"/>
      <c r="E5866" s="16"/>
      <c r="F5866" s="16"/>
    </row>
    <row r="5867" spans="1:6" ht="13">
      <c r="A5867" s="16"/>
      <c r="E5867" s="16"/>
      <c r="F5867" s="16"/>
    </row>
    <row r="5868" spans="1:6" ht="13">
      <c r="A5868" s="16"/>
      <c r="E5868" s="16"/>
      <c r="F5868" s="16"/>
    </row>
    <row r="5869" spans="1:6" ht="13">
      <c r="A5869" s="16"/>
      <c r="E5869" s="16"/>
      <c r="F5869" s="16"/>
    </row>
    <row r="5870" spans="1:6" ht="13">
      <c r="A5870" s="16"/>
      <c r="E5870" s="16"/>
      <c r="F5870" s="16"/>
    </row>
    <row r="5871" spans="1:6" ht="13">
      <c r="A5871" s="16"/>
      <c r="E5871" s="16"/>
      <c r="F5871" s="16"/>
    </row>
    <row r="5872" spans="1:6" ht="13">
      <c r="A5872" s="16"/>
      <c r="E5872" s="16"/>
      <c r="F5872" s="16"/>
    </row>
    <row r="5873" spans="1:6" ht="13">
      <c r="A5873" s="16"/>
      <c r="E5873" s="16"/>
      <c r="F5873" s="16"/>
    </row>
    <row r="5874" spans="1:6" ht="13">
      <c r="A5874" s="16"/>
      <c r="E5874" s="16"/>
      <c r="F5874" s="16"/>
    </row>
    <row r="5875" spans="1:6" ht="13">
      <c r="A5875" s="16"/>
      <c r="E5875" s="16"/>
      <c r="F5875" s="16"/>
    </row>
    <row r="5876" spans="1:6" ht="13">
      <c r="A5876" s="16"/>
      <c r="E5876" s="16"/>
      <c r="F5876" s="16"/>
    </row>
    <row r="5877" spans="1:6" ht="13">
      <c r="A5877" s="16"/>
      <c r="E5877" s="16"/>
      <c r="F5877" s="16"/>
    </row>
    <row r="5878" spans="1:6" ht="13">
      <c r="A5878" s="16"/>
      <c r="E5878" s="16"/>
      <c r="F5878" s="16"/>
    </row>
    <row r="5879" spans="1:6" ht="13">
      <c r="A5879" s="16"/>
      <c r="E5879" s="16"/>
      <c r="F5879" s="16"/>
    </row>
    <row r="5880" spans="1:6" ht="13">
      <c r="A5880" s="16"/>
      <c r="E5880" s="16"/>
      <c r="F5880" s="16"/>
    </row>
    <row r="5881" spans="1:6" ht="13">
      <c r="A5881" s="16"/>
      <c r="E5881" s="16"/>
      <c r="F5881" s="16"/>
    </row>
    <row r="5882" spans="1:6" ht="13">
      <c r="A5882" s="16"/>
      <c r="E5882" s="16"/>
      <c r="F5882" s="16"/>
    </row>
    <row r="5883" spans="1:6" ht="13">
      <c r="A5883" s="16"/>
      <c r="E5883" s="16"/>
      <c r="F5883" s="16"/>
    </row>
    <row r="5884" spans="1:6" ht="13">
      <c r="A5884" s="16"/>
      <c r="E5884" s="16"/>
      <c r="F5884" s="16"/>
    </row>
    <row r="5885" spans="1:6" ht="13">
      <c r="A5885" s="16"/>
      <c r="E5885" s="16"/>
      <c r="F5885" s="16"/>
    </row>
    <row r="5886" spans="1:6" ht="13">
      <c r="A5886" s="16"/>
      <c r="E5886" s="16"/>
      <c r="F5886" s="16"/>
    </row>
    <row r="5887" spans="1:6" ht="13">
      <c r="A5887" s="16"/>
      <c r="E5887" s="16"/>
      <c r="F5887" s="16"/>
    </row>
    <row r="5888" spans="1:6" ht="13">
      <c r="A5888" s="16"/>
      <c r="E5888" s="16"/>
      <c r="F5888" s="16"/>
    </row>
    <row r="5889" spans="1:6" ht="13">
      <c r="A5889" s="16"/>
      <c r="E5889" s="16"/>
      <c r="F5889" s="16"/>
    </row>
    <row r="5890" spans="1:6" ht="13">
      <c r="A5890" s="16"/>
      <c r="E5890" s="16"/>
      <c r="F5890" s="16"/>
    </row>
    <row r="5891" spans="1:6" ht="13">
      <c r="A5891" s="16"/>
      <c r="E5891" s="16"/>
      <c r="F5891" s="16"/>
    </row>
    <row r="5892" spans="1:6" ht="13">
      <c r="A5892" s="16"/>
      <c r="E5892" s="16"/>
      <c r="F5892" s="16"/>
    </row>
    <row r="5893" spans="1:6" ht="13">
      <c r="A5893" s="16"/>
      <c r="E5893" s="16"/>
      <c r="F5893" s="16"/>
    </row>
    <row r="5894" spans="1:6" ht="13">
      <c r="A5894" s="16"/>
      <c r="E5894" s="16"/>
      <c r="F5894" s="16"/>
    </row>
    <row r="5895" spans="1:6" ht="13">
      <c r="A5895" s="16"/>
      <c r="E5895" s="16"/>
      <c r="F5895" s="16"/>
    </row>
    <row r="5896" spans="1:6" ht="13">
      <c r="A5896" s="16"/>
      <c r="E5896" s="16"/>
      <c r="F5896" s="16"/>
    </row>
    <row r="5897" spans="1:6" ht="13">
      <c r="A5897" s="16"/>
      <c r="E5897" s="16"/>
      <c r="F5897" s="16"/>
    </row>
    <row r="5898" spans="1:6" ht="13">
      <c r="A5898" s="16"/>
      <c r="E5898" s="16"/>
      <c r="F5898" s="16"/>
    </row>
    <row r="5899" spans="1:6" ht="13">
      <c r="A5899" s="16"/>
      <c r="E5899" s="16"/>
      <c r="F5899" s="16"/>
    </row>
    <row r="5900" spans="1:6" ht="13">
      <c r="A5900" s="16"/>
      <c r="E5900" s="16"/>
      <c r="F5900" s="16"/>
    </row>
    <row r="5901" spans="1:6" ht="13">
      <c r="A5901" s="16"/>
      <c r="E5901" s="16"/>
      <c r="F5901" s="16"/>
    </row>
    <row r="5902" spans="1:6" ht="13">
      <c r="A5902" s="16"/>
      <c r="E5902" s="16"/>
      <c r="F5902" s="16"/>
    </row>
    <row r="5903" spans="1:6" ht="13">
      <c r="A5903" s="16"/>
      <c r="E5903" s="16"/>
      <c r="F5903" s="16"/>
    </row>
    <row r="5904" spans="1:6" ht="13">
      <c r="A5904" s="16"/>
      <c r="E5904" s="16"/>
      <c r="F5904" s="16"/>
    </row>
    <row r="5905" spans="1:6" ht="13">
      <c r="A5905" s="16"/>
      <c r="E5905" s="16"/>
      <c r="F5905" s="16"/>
    </row>
    <row r="5906" spans="1:6" ht="13">
      <c r="A5906" s="16"/>
      <c r="E5906" s="16"/>
      <c r="F5906" s="16"/>
    </row>
    <row r="5907" spans="1:6" ht="13">
      <c r="A5907" s="16"/>
      <c r="E5907" s="16"/>
      <c r="F5907" s="16"/>
    </row>
    <row r="5908" spans="1:6" ht="13">
      <c r="A5908" s="16"/>
      <c r="E5908" s="16"/>
      <c r="F5908" s="16"/>
    </row>
    <row r="5909" spans="1:6" ht="13">
      <c r="A5909" s="16"/>
      <c r="E5909" s="16"/>
      <c r="F5909" s="16"/>
    </row>
    <row r="5910" spans="1:6" ht="13">
      <c r="A5910" s="16"/>
      <c r="E5910" s="16"/>
      <c r="F5910" s="16"/>
    </row>
    <row r="5911" spans="1:6" ht="13">
      <c r="A5911" s="16"/>
      <c r="E5911" s="16"/>
      <c r="F5911" s="16"/>
    </row>
    <row r="5912" spans="1:6" ht="13">
      <c r="A5912" s="16"/>
      <c r="E5912" s="16"/>
      <c r="F5912" s="16"/>
    </row>
    <row r="5913" spans="1:6" ht="13">
      <c r="A5913" s="16"/>
      <c r="E5913" s="16"/>
      <c r="F5913" s="16"/>
    </row>
    <row r="5914" spans="1:6" ht="13">
      <c r="A5914" s="16"/>
      <c r="E5914" s="16"/>
      <c r="F5914" s="16"/>
    </row>
    <row r="5915" spans="1:6" ht="13">
      <c r="A5915" s="16"/>
      <c r="E5915" s="16"/>
      <c r="F5915" s="16"/>
    </row>
    <row r="5916" spans="1:6" ht="13">
      <c r="A5916" s="16"/>
      <c r="E5916" s="16"/>
      <c r="F5916" s="16"/>
    </row>
    <row r="5917" spans="1:6" ht="13">
      <c r="A5917" s="16"/>
      <c r="E5917" s="16"/>
      <c r="F5917" s="16"/>
    </row>
    <row r="5918" spans="1:6" ht="13">
      <c r="A5918" s="16"/>
      <c r="E5918" s="16"/>
      <c r="F5918" s="16"/>
    </row>
    <row r="5919" spans="1:6" ht="13">
      <c r="A5919" s="16"/>
      <c r="E5919" s="16"/>
      <c r="F5919" s="16"/>
    </row>
    <row r="5920" spans="1:6" ht="13">
      <c r="A5920" s="16"/>
      <c r="E5920" s="16"/>
      <c r="F5920" s="16"/>
    </row>
    <row r="5921" spans="1:6" ht="13">
      <c r="A5921" s="16"/>
      <c r="E5921" s="16"/>
      <c r="F5921" s="16"/>
    </row>
    <row r="5922" spans="1:6" ht="13">
      <c r="A5922" s="16"/>
      <c r="E5922" s="16"/>
      <c r="F5922" s="16"/>
    </row>
    <row r="5923" spans="1:6" ht="13">
      <c r="A5923" s="16"/>
      <c r="E5923" s="16"/>
      <c r="F5923" s="16"/>
    </row>
    <row r="5924" spans="1:6" ht="13">
      <c r="A5924" s="16"/>
      <c r="E5924" s="16"/>
      <c r="F5924" s="16"/>
    </row>
    <row r="5925" spans="1:6" ht="13">
      <c r="A5925" s="16"/>
      <c r="E5925" s="16"/>
      <c r="F5925" s="16"/>
    </row>
    <row r="5926" spans="1:6" ht="13">
      <c r="A5926" s="16"/>
      <c r="E5926" s="16"/>
      <c r="F5926" s="16"/>
    </row>
    <row r="5927" spans="1:6" ht="13">
      <c r="A5927" s="16"/>
      <c r="E5927" s="16"/>
      <c r="F5927" s="16"/>
    </row>
    <row r="5928" spans="1:6" ht="13">
      <c r="A5928" s="16"/>
      <c r="E5928" s="16"/>
      <c r="F5928" s="16"/>
    </row>
    <row r="5929" spans="1:6" ht="13">
      <c r="A5929" s="16"/>
      <c r="E5929" s="16"/>
      <c r="F5929" s="16"/>
    </row>
    <row r="5930" spans="1:6" ht="13">
      <c r="A5930" s="16"/>
      <c r="E5930" s="16"/>
      <c r="F5930" s="16"/>
    </row>
    <row r="5931" spans="1:6" ht="13">
      <c r="A5931" s="16"/>
      <c r="E5931" s="16"/>
      <c r="F5931" s="16"/>
    </row>
    <row r="5932" spans="1:6" ht="13">
      <c r="A5932" s="16"/>
      <c r="E5932" s="16"/>
      <c r="F5932" s="16"/>
    </row>
    <row r="5933" spans="1:6" ht="13">
      <c r="A5933" s="16"/>
      <c r="E5933" s="16"/>
      <c r="F5933" s="16"/>
    </row>
    <row r="5934" spans="1:6" ht="13">
      <c r="A5934" s="16"/>
      <c r="E5934" s="16"/>
      <c r="F5934" s="16"/>
    </row>
    <row r="5935" spans="1:6" ht="13">
      <c r="A5935" s="16"/>
      <c r="E5935" s="16"/>
      <c r="F5935" s="16"/>
    </row>
    <row r="5936" spans="1:6" ht="13">
      <c r="A5936" s="16"/>
      <c r="E5936" s="16"/>
      <c r="F5936" s="16"/>
    </row>
    <row r="5937" spans="1:6" ht="13">
      <c r="A5937" s="16"/>
      <c r="E5937" s="16"/>
      <c r="F5937" s="16"/>
    </row>
    <row r="5938" spans="1:6" ht="13">
      <c r="A5938" s="16"/>
      <c r="E5938" s="16"/>
      <c r="F5938" s="16"/>
    </row>
    <row r="5939" spans="1:6" ht="13">
      <c r="A5939" s="16"/>
      <c r="E5939" s="16"/>
      <c r="F5939" s="16"/>
    </row>
    <row r="5940" spans="1:6" ht="13">
      <c r="A5940" s="16"/>
      <c r="E5940" s="16"/>
      <c r="F5940" s="16"/>
    </row>
    <row r="5941" spans="1:6" ht="13">
      <c r="A5941" s="16"/>
      <c r="E5941" s="16"/>
      <c r="F5941" s="16"/>
    </row>
    <row r="5942" spans="1:6" ht="13">
      <c r="A5942" s="16"/>
      <c r="E5942" s="16"/>
      <c r="F5942" s="16"/>
    </row>
    <row r="5943" spans="1:6" ht="13">
      <c r="A5943" s="16"/>
      <c r="E5943" s="16"/>
      <c r="F5943" s="16"/>
    </row>
    <row r="5944" spans="1:6" ht="13">
      <c r="A5944" s="16"/>
      <c r="E5944" s="16"/>
      <c r="F5944" s="16"/>
    </row>
    <row r="5945" spans="1:6" ht="13">
      <c r="A5945" s="16"/>
      <c r="E5945" s="16"/>
      <c r="F5945" s="16"/>
    </row>
    <row r="5946" spans="1:6" ht="13">
      <c r="A5946" s="16"/>
      <c r="E5946" s="16"/>
      <c r="F5946" s="16"/>
    </row>
    <row r="5947" spans="1:6" ht="13">
      <c r="A5947" s="16"/>
      <c r="E5947" s="16"/>
      <c r="F5947" s="16"/>
    </row>
    <row r="5948" spans="1:6" ht="13">
      <c r="A5948" s="16"/>
      <c r="E5948" s="16"/>
      <c r="F5948" s="16"/>
    </row>
    <row r="5949" spans="1:6" ht="13">
      <c r="A5949" s="16"/>
      <c r="E5949" s="16"/>
      <c r="F5949" s="16"/>
    </row>
    <row r="5950" spans="1:6" ht="13">
      <c r="A5950" s="16"/>
      <c r="E5950" s="16"/>
      <c r="F5950" s="16"/>
    </row>
    <row r="5951" spans="1:6" ht="13">
      <c r="A5951" s="16"/>
      <c r="E5951" s="16"/>
      <c r="F5951" s="16"/>
    </row>
    <row r="5952" spans="1:6" ht="13">
      <c r="A5952" s="16"/>
      <c r="E5952" s="16"/>
      <c r="F5952" s="16"/>
    </row>
    <row r="5953" spans="1:6" ht="13">
      <c r="A5953" s="16"/>
      <c r="E5953" s="16"/>
      <c r="F5953" s="16"/>
    </row>
    <row r="5954" spans="1:6" ht="13">
      <c r="A5954" s="16"/>
      <c r="E5954" s="16"/>
      <c r="F5954" s="16"/>
    </row>
    <row r="5955" spans="1:6" ht="13">
      <c r="A5955" s="16"/>
      <c r="E5955" s="16"/>
      <c r="F5955" s="16"/>
    </row>
    <row r="5956" spans="1:6" ht="13">
      <c r="A5956" s="16"/>
      <c r="E5956" s="16"/>
      <c r="F5956" s="16"/>
    </row>
    <row r="5957" spans="1:6" ht="13">
      <c r="A5957" s="16"/>
      <c r="E5957" s="16"/>
      <c r="F5957" s="16"/>
    </row>
    <row r="5958" spans="1:6" ht="13">
      <c r="A5958" s="16"/>
      <c r="E5958" s="16"/>
      <c r="F5958" s="16"/>
    </row>
    <row r="5959" spans="1:6" ht="13">
      <c r="A5959" s="16"/>
      <c r="E5959" s="16"/>
      <c r="F5959" s="16"/>
    </row>
    <row r="5960" spans="1:6" ht="13">
      <c r="A5960" s="16"/>
      <c r="E5960" s="16"/>
      <c r="F5960" s="16"/>
    </row>
    <row r="5961" spans="1:6" ht="13">
      <c r="A5961" s="16"/>
      <c r="E5961" s="16"/>
      <c r="F5961" s="16"/>
    </row>
    <row r="5962" spans="1:6" ht="13">
      <c r="A5962" s="16"/>
      <c r="E5962" s="16"/>
      <c r="F5962" s="16"/>
    </row>
    <row r="5963" spans="1:6" ht="13">
      <c r="A5963" s="16"/>
      <c r="E5963" s="16"/>
      <c r="F5963" s="16"/>
    </row>
    <row r="5964" spans="1:6" ht="13">
      <c r="A5964" s="16"/>
      <c r="E5964" s="16"/>
      <c r="F5964" s="16"/>
    </row>
    <row r="5965" spans="1:6" ht="13">
      <c r="A5965" s="16"/>
      <c r="E5965" s="16"/>
      <c r="F5965" s="16"/>
    </row>
    <row r="5966" spans="1:6" ht="13">
      <c r="A5966" s="16"/>
      <c r="E5966" s="16"/>
      <c r="F5966" s="16"/>
    </row>
    <row r="5967" spans="1:6" ht="13">
      <c r="A5967" s="16"/>
      <c r="E5967" s="16"/>
      <c r="F5967" s="16"/>
    </row>
    <row r="5968" spans="1:6" ht="13">
      <c r="A5968" s="16"/>
      <c r="E5968" s="16"/>
      <c r="F5968" s="16"/>
    </row>
    <row r="5969" spans="1:6" ht="13">
      <c r="A5969" s="16"/>
      <c r="E5969" s="16"/>
      <c r="F5969" s="16"/>
    </row>
    <row r="5970" spans="1:6" ht="13">
      <c r="A5970" s="16"/>
      <c r="E5970" s="16"/>
      <c r="F5970" s="16"/>
    </row>
    <row r="5971" spans="1:6" ht="13">
      <c r="A5971" s="16"/>
      <c r="E5971" s="16"/>
      <c r="F5971" s="16"/>
    </row>
    <row r="5972" spans="1:6" ht="13">
      <c r="A5972" s="16"/>
      <c r="E5972" s="16"/>
      <c r="F5972" s="16"/>
    </row>
    <row r="5973" spans="1:6" ht="13">
      <c r="A5973" s="16"/>
      <c r="E5973" s="16"/>
      <c r="F5973" s="16"/>
    </row>
    <row r="5974" spans="1:6" ht="13">
      <c r="A5974" s="16"/>
      <c r="E5974" s="16"/>
      <c r="F5974" s="16"/>
    </row>
    <row r="5975" spans="1:6" ht="13">
      <c r="A5975" s="16"/>
      <c r="E5975" s="16"/>
      <c r="F5975" s="16"/>
    </row>
    <row r="5976" spans="1:6" ht="13">
      <c r="A5976" s="16"/>
      <c r="E5976" s="16"/>
      <c r="F5976" s="16"/>
    </row>
    <row r="5977" spans="1:6" ht="13">
      <c r="A5977" s="16"/>
      <c r="E5977" s="16"/>
      <c r="F5977" s="16"/>
    </row>
    <row r="5978" spans="1:6" ht="13">
      <c r="A5978" s="16"/>
      <c r="E5978" s="16"/>
      <c r="F5978" s="16"/>
    </row>
    <row r="5979" spans="1:6" ht="13">
      <c r="A5979" s="16"/>
      <c r="E5979" s="16"/>
      <c r="F5979" s="16"/>
    </row>
    <row r="5980" spans="1:6" ht="13">
      <c r="A5980" s="16"/>
      <c r="E5980" s="16"/>
      <c r="F5980" s="16"/>
    </row>
    <row r="5981" spans="1:6" ht="13">
      <c r="A5981" s="16"/>
      <c r="E5981" s="16"/>
      <c r="F5981" s="16"/>
    </row>
    <row r="5982" spans="1:6" ht="13">
      <c r="A5982" s="16"/>
      <c r="E5982" s="16"/>
      <c r="F5982" s="16"/>
    </row>
    <row r="5983" spans="1:6" ht="13">
      <c r="A5983" s="16"/>
      <c r="E5983" s="16"/>
      <c r="F5983" s="16"/>
    </row>
    <row r="5984" spans="1:6" ht="13">
      <c r="A5984" s="16"/>
      <c r="E5984" s="16"/>
      <c r="F5984" s="16"/>
    </row>
    <row r="5985" spans="1:6" ht="13">
      <c r="A5985" s="16"/>
      <c r="E5985" s="16"/>
      <c r="F5985" s="16"/>
    </row>
    <row r="5986" spans="1:6" ht="13">
      <c r="A5986" s="16"/>
      <c r="E5986" s="16"/>
      <c r="F5986" s="16"/>
    </row>
    <row r="5987" spans="1:6" ht="13">
      <c r="A5987" s="16"/>
      <c r="E5987" s="16"/>
      <c r="F5987" s="16"/>
    </row>
    <row r="5988" spans="1:6" ht="13">
      <c r="A5988" s="16"/>
      <c r="E5988" s="16"/>
      <c r="F5988" s="16"/>
    </row>
    <row r="5989" spans="1:6" ht="13">
      <c r="A5989" s="16"/>
      <c r="E5989" s="16"/>
      <c r="F5989" s="16"/>
    </row>
    <row r="5990" spans="1:6" ht="13">
      <c r="A5990" s="16"/>
      <c r="E5990" s="16"/>
      <c r="F5990" s="16"/>
    </row>
    <row r="5991" spans="1:6" ht="13">
      <c r="A5991" s="16"/>
      <c r="E5991" s="16"/>
      <c r="F5991" s="16"/>
    </row>
    <row r="5992" spans="1:6" ht="13">
      <c r="A5992" s="16"/>
      <c r="E5992" s="16"/>
      <c r="F5992" s="16"/>
    </row>
    <row r="5993" spans="1:6" ht="13">
      <c r="A5993" s="16"/>
      <c r="E5993" s="16"/>
      <c r="F5993" s="16"/>
    </row>
    <row r="5994" spans="1:6" ht="13">
      <c r="A5994" s="16"/>
      <c r="E5994" s="16"/>
      <c r="F5994" s="16"/>
    </row>
    <row r="5995" spans="1:6" ht="13">
      <c r="A5995" s="16"/>
      <c r="E5995" s="16"/>
      <c r="F5995" s="16"/>
    </row>
    <row r="5996" spans="1:6" ht="13">
      <c r="A5996" s="16"/>
      <c r="E5996" s="16"/>
      <c r="F5996" s="16"/>
    </row>
    <row r="5997" spans="1:6" ht="13">
      <c r="A5997" s="16"/>
      <c r="E5997" s="16"/>
      <c r="F5997" s="16"/>
    </row>
    <row r="5998" spans="1:6" ht="13">
      <c r="A5998" s="16"/>
      <c r="E5998" s="16"/>
      <c r="F5998" s="16"/>
    </row>
    <row r="5999" spans="1:6" ht="13">
      <c r="A5999" s="16"/>
      <c r="E5999" s="16"/>
      <c r="F5999" s="16"/>
    </row>
    <row r="6000" spans="1:6" ht="13">
      <c r="A6000" s="16"/>
      <c r="E6000" s="16"/>
      <c r="F6000" s="16"/>
    </row>
    <row r="6001" spans="1:6" ht="13">
      <c r="A6001" s="16"/>
      <c r="E6001" s="16"/>
      <c r="F6001" s="16"/>
    </row>
    <row r="6002" spans="1:6" ht="13">
      <c r="A6002" s="16"/>
      <c r="E6002" s="16"/>
      <c r="F6002" s="16"/>
    </row>
    <row r="6003" spans="1:6" ht="13">
      <c r="A6003" s="16"/>
      <c r="E6003" s="16"/>
      <c r="F6003" s="16"/>
    </row>
    <row r="6004" spans="1:6" ht="13">
      <c r="A6004" s="16"/>
      <c r="E6004" s="16"/>
      <c r="F6004" s="16"/>
    </row>
    <row r="6005" spans="1:6" ht="13">
      <c r="A6005" s="16"/>
      <c r="E6005" s="16"/>
      <c r="F6005" s="16"/>
    </row>
    <row r="6006" spans="1:6" ht="13">
      <c r="A6006" s="16"/>
      <c r="E6006" s="16"/>
      <c r="F6006" s="16"/>
    </row>
    <row r="6007" spans="1:6" ht="13">
      <c r="A6007" s="16"/>
      <c r="E6007" s="16"/>
      <c r="F6007" s="16"/>
    </row>
    <row r="6008" spans="1:6" ht="13">
      <c r="A6008" s="16"/>
      <c r="E6008" s="16"/>
      <c r="F6008" s="16"/>
    </row>
    <row r="6009" spans="1:6" ht="13">
      <c r="A6009" s="16"/>
      <c r="E6009" s="16"/>
      <c r="F6009" s="16"/>
    </row>
    <row r="6010" spans="1:6" ht="13">
      <c r="A6010" s="16"/>
      <c r="E6010" s="16"/>
      <c r="F6010" s="16"/>
    </row>
    <row r="6011" spans="1:6" ht="13">
      <c r="A6011" s="16"/>
      <c r="E6011" s="16"/>
      <c r="F6011" s="16"/>
    </row>
    <row r="6012" spans="1:6" ht="13">
      <c r="A6012" s="16"/>
      <c r="E6012" s="16"/>
      <c r="F6012" s="16"/>
    </row>
    <row r="6013" spans="1:6" ht="13">
      <c r="A6013" s="16"/>
      <c r="E6013" s="16"/>
      <c r="F6013" s="16"/>
    </row>
    <row r="6014" spans="1:6" ht="13">
      <c r="A6014" s="16"/>
      <c r="E6014" s="16"/>
      <c r="F6014" s="16"/>
    </row>
    <row r="6015" spans="1:6" ht="13">
      <c r="A6015" s="16"/>
      <c r="E6015" s="16"/>
      <c r="F6015" s="16"/>
    </row>
    <row r="6016" spans="1:6" ht="13">
      <c r="A6016" s="16"/>
      <c r="E6016" s="16"/>
      <c r="F6016" s="16"/>
    </row>
    <row r="6017" spans="1:6" ht="13">
      <c r="A6017" s="16"/>
      <c r="E6017" s="16"/>
      <c r="F6017" s="16"/>
    </row>
    <row r="6018" spans="1:6" ht="13">
      <c r="A6018" s="16"/>
      <c r="E6018" s="16"/>
      <c r="F6018" s="16"/>
    </row>
    <row r="6019" spans="1:6" ht="13">
      <c r="A6019" s="16"/>
      <c r="E6019" s="16"/>
      <c r="F6019" s="16"/>
    </row>
    <row r="6020" spans="1:6" ht="13">
      <c r="A6020" s="16"/>
      <c r="E6020" s="16"/>
      <c r="F6020" s="16"/>
    </row>
    <row r="6021" spans="1:6" ht="13">
      <c r="A6021" s="16"/>
      <c r="E6021" s="16"/>
      <c r="F6021" s="16"/>
    </row>
    <row r="6022" spans="1:6" ht="13">
      <c r="A6022" s="16"/>
      <c r="E6022" s="16"/>
      <c r="F6022" s="16"/>
    </row>
    <row r="6023" spans="1:6" ht="13">
      <c r="A6023" s="16"/>
      <c r="E6023" s="16"/>
      <c r="F6023" s="16"/>
    </row>
    <row r="6024" spans="1:6" ht="13">
      <c r="A6024" s="16"/>
      <c r="E6024" s="16"/>
      <c r="F6024" s="16"/>
    </row>
    <row r="6025" spans="1:6" ht="13">
      <c r="A6025" s="16"/>
      <c r="E6025" s="16"/>
      <c r="F6025" s="16"/>
    </row>
    <row r="6026" spans="1:6" ht="13">
      <c r="A6026" s="16"/>
      <c r="E6026" s="16"/>
      <c r="F6026" s="16"/>
    </row>
    <row r="6027" spans="1:6" ht="13">
      <c r="A6027" s="16"/>
      <c r="E6027" s="16"/>
      <c r="F6027" s="16"/>
    </row>
    <row r="6028" spans="1:6" ht="13">
      <c r="A6028" s="16"/>
      <c r="E6028" s="16"/>
      <c r="F6028" s="16"/>
    </row>
    <row r="6029" spans="1:6" ht="13">
      <c r="A6029" s="16"/>
      <c r="E6029" s="16"/>
      <c r="F6029" s="16"/>
    </row>
    <row r="6030" spans="1:6" ht="13">
      <c r="A6030" s="16"/>
      <c r="E6030" s="16"/>
      <c r="F6030" s="16"/>
    </row>
    <row r="6031" spans="1:6" ht="13">
      <c r="A6031" s="16"/>
      <c r="E6031" s="16"/>
      <c r="F6031" s="16"/>
    </row>
    <row r="6032" spans="1:6" ht="13">
      <c r="A6032" s="16"/>
      <c r="E6032" s="16"/>
      <c r="F6032" s="16"/>
    </row>
    <row r="6033" spans="1:6" ht="13">
      <c r="A6033" s="16"/>
      <c r="E6033" s="16"/>
      <c r="F6033" s="16"/>
    </row>
    <row r="6034" spans="1:6" ht="13">
      <c r="A6034" s="16"/>
      <c r="E6034" s="16"/>
      <c r="F6034" s="16"/>
    </row>
    <row r="6035" spans="1:6" ht="13">
      <c r="A6035" s="16"/>
      <c r="E6035" s="16"/>
      <c r="F6035" s="16"/>
    </row>
    <row r="6036" spans="1:6" ht="13">
      <c r="A6036" s="16"/>
      <c r="E6036" s="16"/>
      <c r="F6036" s="16"/>
    </row>
    <row r="6037" spans="1:6" ht="13">
      <c r="A6037" s="16"/>
      <c r="E6037" s="16"/>
      <c r="F6037" s="16"/>
    </row>
    <row r="6038" spans="1:6" ht="13">
      <c r="A6038" s="16"/>
      <c r="E6038" s="16"/>
      <c r="F6038" s="16"/>
    </row>
    <row r="6039" spans="1:6" ht="13">
      <c r="A6039" s="16"/>
      <c r="E6039" s="16"/>
      <c r="F6039" s="16"/>
    </row>
    <row r="6040" spans="1:6" ht="13">
      <c r="A6040" s="16"/>
      <c r="E6040" s="16"/>
      <c r="F6040" s="16"/>
    </row>
    <row r="6041" spans="1:6" ht="13">
      <c r="A6041" s="16"/>
      <c r="E6041" s="16"/>
      <c r="F6041" s="16"/>
    </row>
    <row r="6042" spans="1:6" ht="13">
      <c r="A6042" s="16"/>
      <c r="E6042" s="16"/>
      <c r="F6042" s="16"/>
    </row>
    <row r="6043" spans="1:6" ht="13">
      <c r="A6043" s="16"/>
      <c r="E6043" s="16"/>
      <c r="F6043" s="16"/>
    </row>
    <row r="6044" spans="1:6" ht="13">
      <c r="A6044" s="16"/>
      <c r="E6044" s="16"/>
      <c r="F6044" s="16"/>
    </row>
    <row r="6045" spans="1:6" ht="13">
      <c r="A6045" s="16"/>
      <c r="E6045" s="16"/>
      <c r="F6045" s="16"/>
    </row>
    <row r="6046" spans="1:6" ht="13">
      <c r="A6046" s="16"/>
      <c r="E6046" s="16"/>
      <c r="F6046" s="16"/>
    </row>
    <row r="6047" spans="1:6" ht="13">
      <c r="A6047" s="16"/>
      <c r="E6047" s="16"/>
      <c r="F6047" s="16"/>
    </row>
    <row r="6048" spans="1:6" ht="13">
      <c r="A6048" s="16"/>
      <c r="E6048" s="16"/>
      <c r="F6048" s="16"/>
    </row>
    <row r="6049" spans="1:6" ht="13">
      <c r="A6049" s="16"/>
      <c r="E6049" s="16"/>
      <c r="F6049" s="16"/>
    </row>
    <row r="6050" spans="1:6" ht="13">
      <c r="A6050" s="16"/>
      <c r="E6050" s="16"/>
      <c r="F6050" s="16"/>
    </row>
    <row r="6051" spans="1:6" ht="13">
      <c r="A6051" s="16"/>
      <c r="E6051" s="16"/>
      <c r="F6051" s="16"/>
    </row>
    <row r="6052" spans="1:6" ht="13">
      <c r="A6052" s="16"/>
      <c r="E6052" s="16"/>
      <c r="F6052" s="16"/>
    </row>
    <row r="6053" spans="1:6" ht="13">
      <c r="A6053" s="16"/>
      <c r="E6053" s="16"/>
      <c r="F6053" s="16"/>
    </row>
    <row r="6054" spans="1:6" ht="13">
      <c r="A6054" s="16"/>
      <c r="E6054" s="16"/>
      <c r="F6054" s="16"/>
    </row>
    <row r="6055" spans="1:6" ht="13">
      <c r="A6055" s="16"/>
      <c r="E6055" s="16"/>
      <c r="F6055" s="16"/>
    </row>
    <row r="6056" spans="1:6" ht="13">
      <c r="A6056" s="16"/>
      <c r="E6056" s="16"/>
      <c r="F6056" s="16"/>
    </row>
    <row r="6057" spans="1:6" ht="13">
      <c r="A6057" s="16"/>
      <c r="E6057" s="16"/>
      <c r="F6057" s="16"/>
    </row>
    <row r="6058" spans="1:6" ht="13">
      <c r="A6058" s="16"/>
      <c r="E6058" s="16"/>
      <c r="F6058" s="16"/>
    </row>
    <row r="6059" spans="1:6" ht="13">
      <c r="A6059" s="16"/>
      <c r="E6059" s="16"/>
      <c r="F6059" s="16"/>
    </row>
    <row r="6060" spans="1:6" ht="13">
      <c r="A6060" s="16"/>
      <c r="E6060" s="16"/>
      <c r="F6060" s="16"/>
    </row>
    <row r="6061" spans="1:6" ht="13">
      <c r="A6061" s="16"/>
      <c r="E6061" s="16"/>
      <c r="F6061" s="16"/>
    </row>
    <row r="6062" spans="1:6" ht="13">
      <c r="A6062" s="16"/>
      <c r="E6062" s="16"/>
      <c r="F6062" s="16"/>
    </row>
    <row r="6063" spans="1:6" ht="13">
      <c r="A6063" s="16"/>
      <c r="E6063" s="16"/>
      <c r="F6063" s="16"/>
    </row>
    <row r="6064" spans="1:6" ht="13">
      <c r="A6064" s="16"/>
      <c r="E6064" s="16"/>
      <c r="F6064" s="16"/>
    </row>
    <row r="6065" spans="1:6" ht="13">
      <c r="A6065" s="16"/>
      <c r="E6065" s="16"/>
      <c r="F6065" s="16"/>
    </row>
    <row r="6066" spans="1:6" ht="13">
      <c r="A6066" s="16"/>
      <c r="E6066" s="16"/>
      <c r="F6066" s="16"/>
    </row>
    <row r="6067" spans="1:6" ht="13">
      <c r="A6067" s="16"/>
      <c r="E6067" s="16"/>
      <c r="F6067" s="16"/>
    </row>
    <row r="6068" spans="1:6" ht="13">
      <c r="A6068" s="16"/>
      <c r="E6068" s="16"/>
      <c r="F6068" s="16"/>
    </row>
    <row r="6069" spans="1:6" ht="13">
      <c r="A6069" s="16"/>
      <c r="E6069" s="16"/>
      <c r="F6069" s="16"/>
    </row>
    <row r="6070" spans="1:6" ht="13">
      <c r="A6070" s="16"/>
      <c r="E6070" s="16"/>
      <c r="F6070" s="16"/>
    </row>
    <row r="6071" spans="1:6" ht="13">
      <c r="A6071" s="16"/>
      <c r="E6071" s="16"/>
      <c r="F6071" s="16"/>
    </row>
    <row r="6072" spans="1:6" ht="13">
      <c r="A6072" s="16"/>
      <c r="E6072" s="16"/>
      <c r="F6072" s="16"/>
    </row>
    <row r="6073" spans="1:6" ht="13">
      <c r="A6073" s="16"/>
      <c r="E6073" s="16"/>
      <c r="F6073" s="16"/>
    </row>
    <row r="6074" spans="1:6" ht="13">
      <c r="A6074" s="16"/>
      <c r="E6074" s="16"/>
      <c r="F6074" s="16"/>
    </row>
    <row r="6075" spans="1:6" ht="13">
      <c r="A6075" s="16"/>
      <c r="E6075" s="16"/>
      <c r="F6075" s="16"/>
    </row>
    <row r="6076" spans="1:6" ht="13">
      <c r="A6076" s="16"/>
      <c r="E6076" s="16"/>
      <c r="F6076" s="16"/>
    </row>
    <row r="6077" spans="1:6" ht="13">
      <c r="A6077" s="16"/>
      <c r="E6077" s="16"/>
      <c r="F6077" s="16"/>
    </row>
    <row r="6078" spans="1:6" ht="13">
      <c r="A6078" s="16"/>
      <c r="E6078" s="16"/>
      <c r="F6078" s="16"/>
    </row>
    <row r="6079" spans="1:6" ht="13">
      <c r="A6079" s="16"/>
      <c r="E6079" s="16"/>
      <c r="F6079" s="16"/>
    </row>
    <row r="6080" spans="1:6" ht="13">
      <c r="A6080" s="16"/>
      <c r="E6080" s="16"/>
      <c r="F6080" s="16"/>
    </row>
    <row r="6081" spans="1:6" ht="13">
      <c r="A6081" s="16"/>
      <c r="E6081" s="16"/>
      <c r="F6081" s="16"/>
    </row>
    <row r="6082" spans="1:6" ht="13">
      <c r="A6082" s="16"/>
      <c r="E6082" s="16"/>
      <c r="F6082" s="16"/>
    </row>
    <row r="6083" spans="1:6" ht="13">
      <c r="A6083" s="16"/>
      <c r="E6083" s="16"/>
      <c r="F6083" s="16"/>
    </row>
    <row r="6084" spans="1:6" ht="13">
      <c r="A6084" s="16"/>
      <c r="E6084" s="16"/>
      <c r="F6084" s="16"/>
    </row>
    <row r="6085" spans="1:6" ht="13">
      <c r="A6085" s="16"/>
      <c r="E6085" s="16"/>
      <c r="F6085" s="16"/>
    </row>
    <row r="6086" spans="1:6" ht="13">
      <c r="A6086" s="16"/>
      <c r="E6086" s="16"/>
      <c r="F6086" s="16"/>
    </row>
    <row r="6087" spans="1:6" ht="13">
      <c r="A6087" s="16"/>
      <c r="E6087" s="16"/>
      <c r="F6087" s="16"/>
    </row>
    <row r="6088" spans="1:6" ht="13">
      <c r="A6088" s="16"/>
      <c r="E6088" s="16"/>
      <c r="F6088" s="16"/>
    </row>
    <row r="6089" spans="1:6" ht="13">
      <c r="A6089" s="16"/>
      <c r="E6089" s="16"/>
      <c r="F6089" s="16"/>
    </row>
    <row r="6090" spans="1:6" ht="13">
      <c r="A6090" s="16"/>
      <c r="E6090" s="16"/>
      <c r="F6090" s="16"/>
    </row>
    <row r="6091" spans="1:6" ht="13">
      <c r="A6091" s="16"/>
      <c r="E6091" s="16"/>
      <c r="F6091" s="16"/>
    </row>
    <row r="6092" spans="1:6" ht="13">
      <c r="A6092" s="16"/>
      <c r="E6092" s="16"/>
      <c r="F6092" s="16"/>
    </row>
    <row r="6093" spans="1:6" ht="13">
      <c r="A6093" s="16"/>
      <c r="E6093" s="16"/>
      <c r="F6093" s="16"/>
    </row>
    <row r="6094" spans="1:6" ht="13">
      <c r="A6094" s="16"/>
      <c r="E6094" s="16"/>
      <c r="F6094" s="16"/>
    </row>
    <row r="6095" spans="1:6" ht="13">
      <c r="A6095" s="16"/>
      <c r="E6095" s="16"/>
      <c r="F6095" s="16"/>
    </row>
    <row r="6096" spans="1:6" ht="13">
      <c r="A6096" s="16"/>
      <c r="E6096" s="16"/>
      <c r="F6096" s="16"/>
    </row>
    <row r="6097" spans="1:6" ht="13">
      <c r="A6097" s="16"/>
      <c r="E6097" s="16"/>
      <c r="F6097" s="16"/>
    </row>
    <row r="6098" spans="1:6" ht="13">
      <c r="A6098" s="16"/>
      <c r="E6098" s="16"/>
      <c r="F6098" s="16"/>
    </row>
    <row r="6099" spans="1:6" ht="13">
      <c r="A6099" s="16"/>
      <c r="E6099" s="16"/>
      <c r="F6099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999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sheetData>
    <row r="1" spans="1:36" ht="15.75" customHeight="1">
      <c r="A1" s="21" t="s">
        <v>0</v>
      </c>
      <c r="B1" s="21" t="s">
        <v>74</v>
      </c>
      <c r="C1" s="21" t="s">
        <v>75</v>
      </c>
      <c r="D1" s="21" t="s">
        <v>74</v>
      </c>
      <c r="E1" s="21" t="s">
        <v>75</v>
      </c>
      <c r="F1" s="21" t="s">
        <v>74</v>
      </c>
      <c r="G1" s="21" t="s">
        <v>75</v>
      </c>
      <c r="H1" s="21" t="s">
        <v>74</v>
      </c>
      <c r="I1" s="21" t="s">
        <v>75</v>
      </c>
      <c r="J1" s="16" t="s">
        <v>76</v>
      </c>
      <c r="K1" s="16" t="s">
        <v>76</v>
      </c>
      <c r="L1" s="16" t="s">
        <v>76</v>
      </c>
      <c r="M1" s="16" t="s">
        <v>76</v>
      </c>
      <c r="N1" s="16" t="s">
        <v>77</v>
      </c>
      <c r="O1" s="16" t="s">
        <v>77</v>
      </c>
      <c r="P1" s="16" t="s">
        <v>77</v>
      </c>
      <c r="Q1" s="16" t="s">
        <v>77</v>
      </c>
      <c r="R1" s="16" t="s">
        <v>74</v>
      </c>
      <c r="S1" s="16" t="s">
        <v>75</v>
      </c>
      <c r="T1" s="16" t="s">
        <v>76</v>
      </c>
      <c r="U1" s="16" t="s">
        <v>77</v>
      </c>
      <c r="V1" s="16" t="s">
        <v>74</v>
      </c>
      <c r="W1" s="16" t="s">
        <v>75</v>
      </c>
      <c r="X1" s="16" t="s">
        <v>76</v>
      </c>
      <c r="Y1" s="16" t="s">
        <v>77</v>
      </c>
      <c r="Z1" s="16" t="s">
        <v>74</v>
      </c>
      <c r="AA1" s="16" t="s">
        <v>75</v>
      </c>
      <c r="AB1" s="16" t="s">
        <v>76</v>
      </c>
      <c r="AC1" s="16" t="s">
        <v>77</v>
      </c>
      <c r="AD1" s="16" t="s">
        <v>78</v>
      </c>
      <c r="AE1" s="16" t="s">
        <v>78</v>
      </c>
      <c r="AF1" s="16" t="s">
        <v>78</v>
      </c>
      <c r="AG1" s="16" t="s">
        <v>78</v>
      </c>
      <c r="AH1" s="16" t="s">
        <v>78</v>
      </c>
      <c r="AI1" s="16" t="s">
        <v>78</v>
      </c>
      <c r="AJ1" s="16" t="s">
        <v>78</v>
      </c>
    </row>
    <row r="2" spans="1:36" ht="15.75" customHeight="1">
      <c r="A2" s="21">
        <v>1</v>
      </c>
      <c r="B2" s="21" t="str">
        <f ca="1">IFERROR(__xludf.DUMMYFUNCTION("importrange(""https://docs.google.com/spreadsheets/d/1e4VEZL1xvsALoOIq9V2SQuICeQrT5MtWfBm32ad7i8Q/edit#gid=311133316"",""koronahun!ad2:ad156"")"),"")</f>
        <v/>
      </c>
      <c r="C2" s="59">
        <f ca="1">IFERROR(__xludf.DUMMYFUNCTION("importrange(""https://docs.google.com/spreadsheets/d/1e4VEZL1xvsALoOIq9V2SQuICeQrT5MtWfBm32ad7i8Q/edit#gid=311133316"",""koronahun!ad157:ad335"")"),0.571428571428571)</f>
        <v>0.57142857142857095</v>
      </c>
      <c r="D2" s="21" t="str">
        <f ca="1">IFERROR(__xludf.DUMMYFUNCTION("importrange(""https://docs.google.com/spreadsheets/d/1e4VEZL1xvsALoOIq9V2SQuICeQrT5MtWfBm32ad7i8Q/edit#gid=311133316"",""koronahun!ac2:ac156"")"),"")</f>
        <v/>
      </c>
      <c r="E2" s="59">
        <f ca="1">IFERROR(__xludf.DUMMYFUNCTION("importrange(""https://docs.google.com/spreadsheets/d/1e4VEZL1xvsALoOIq9V2SQuICeQrT5MtWfBm32ad7i8Q/edit#gid=311133316"",""koronahun!ac157:ac335"")"),16.1428571428571)</f>
        <v>16.1428571428571</v>
      </c>
      <c r="F2" s="21">
        <f ca="1">IFERROR(__xludf.DUMMYFUNCTION("importrange(""https://docs.google.com/spreadsheets/d/1e4VEZL1xvsALoOIq9V2SQuICeQrT5MtWfBm32ad7i8Q/edit#gid=311133316"",""koronahun!l2:l156"")"),2)</f>
        <v>2</v>
      </c>
      <c r="G2" s="60">
        <f ca="1">IFERROR(__xludf.DUMMYFUNCTION("importrange(""https://docs.google.com/spreadsheets/d/1e4VEZL1xvsALoOIq9V2SQuICeQrT5MtWfBm32ad7i8Q/edit#gid=311133316"",""koronahun!l157:l335"")"),534)</f>
        <v>534</v>
      </c>
      <c r="H2" s="21" t="str">
        <f ca="1">IFERROR(__xludf.DUMMYFUNCTION("importrange(""https://docs.google.com/spreadsheets/d/1e4VEZL1xvsALoOIq9V2SQuICeQrT5MtWfBm32ad7i8Q/edit#gid=311133316"",""koronahun!am2:am156"")"),"")</f>
        <v/>
      </c>
      <c r="I2" s="61">
        <f ca="1">IFERROR(__xludf.DUMMYFUNCTION("importrange(""https://docs.google.com/spreadsheets/d/1e4VEZL1xvsALoOIq9V2SQuICeQrT5MtWfBm32ad7i8Q/edit#gid=311133316"",""koronahun!am157:am335"")"),16.7142857142857)</f>
        <v>16.714285714285701</v>
      </c>
      <c r="J2" s="59">
        <f ca="1">IFERROR(__xludf.DUMMYFUNCTION("importrange(""https://docs.google.com/spreadsheets/d/1e4VEZL1xvsALoOIq9V2SQuICeQrT5MtWfBm32ad7i8Q/edit#gid=311133316"",""koronahun!ad336:ad524"")"),79.1428571428571)</f>
        <v>79.142857142857096</v>
      </c>
      <c r="K2" s="59">
        <f ca="1">IFERROR(__xludf.DUMMYFUNCTION("importrange(""https://docs.google.com/spreadsheets/d/1e4VEZL1xvsALoOIq9V2SQuICeQrT5MtWfBm32ad7i8Q/edit#gid=311133316"",""koronahun!ac336:ac524"")"),1184.57142857142)</f>
        <v>1184.57142857142</v>
      </c>
      <c r="L2" s="60">
        <f ca="1">IFERROR(__xludf.DUMMYFUNCTION("importrange(""https://docs.google.com/spreadsheets/d/1e4VEZL1xvsALoOIq9V2SQuICeQrT5MtWfBm32ad7i8Q/edit#gid=311133316"",""koronahun!l336:l524"")"),91872)</f>
        <v>91872</v>
      </c>
      <c r="M2" s="61">
        <f ca="1">IFERROR(__xludf.DUMMYFUNCTION("importrange(""https://docs.google.com/spreadsheets/d/1e4VEZL1xvsALoOIq9V2SQuICeQrT5MtWfBm32ad7i8Q/edit#gid=311133316"",""koronahun!am336:am524"")"),3024)</f>
        <v>3024</v>
      </c>
      <c r="N2" s="57">
        <f ca="1">IFERROR(__xludf.DUMMYFUNCTION("importrange(""https://docs.google.com/spreadsheets/d/1e4VEZL1xvsALoOIq9V2SQuICeQrT5MtWfBm32ad7i8Q/edit#gid=311133316"",""koronahun!ad525:ad673"")"),1.42857142857142)</f>
        <v>1.4285714285714199</v>
      </c>
      <c r="O2" s="57">
        <f ca="1">IFERROR(__xludf.DUMMYFUNCTION("importrange(""https://docs.google.com/spreadsheets/d/1e4VEZL1xvsALoOIq9V2SQuICeQrT5MtWfBm32ad7i8Q/edit#gid=311133316"",""koronahun!ac525:ac673"")"),52.1428571428571)</f>
        <v>52.142857142857103</v>
      </c>
      <c r="P2">
        <f ca="1">IFERROR(__xludf.DUMMYFUNCTION("importrange(""https://docs.google.com/spreadsheets/d/1e4VEZL1xvsALoOIq9V2SQuICeQrT5MtWfBm32ad7i8Q/edit#gid=311133316"",""koronahun!l525:l673"")"),22727)</f>
        <v>22727</v>
      </c>
      <c r="Q2" s="58">
        <f ca="1">IFERROR(__xludf.DUMMYFUNCTION("importrange(""https://docs.google.com/spreadsheets/d/1e4VEZL1xvsALoOIq9V2SQuICeQrT5MtWfBm32ad7i8Q/edit#gid=311133316"",""koronahun!am525:am673"")"),1151.71428571428)</f>
        <v>1151.7142857142801</v>
      </c>
      <c r="R2" t="str">
        <f ca="1">IFERROR(__xludf.DUMMYFUNCTION("importrange(""https://docs.google.com/spreadsheets/d/1e4VEZL1xvsALoOIq9V2SQuICeQrT5MtWfBm32ad7i8Q/edit#gid=311133316"",""koronahun!af2:af156"")"),"")</f>
        <v/>
      </c>
      <c r="S2" s="13">
        <f ca="1">IFERROR(__xludf.DUMMYFUNCTION("importrange(""https://docs.google.com/spreadsheets/d/1e4VEZL1xvsALoOIq9V2SQuICeQrT5MtWfBm32ad7i8Q/edit#gid=311133316"",""koronahun!af157:af335"")"),0.00701428571428571)</f>
        <v>7.0142857142857099E-3</v>
      </c>
      <c r="T2" s="13">
        <f ca="1">IFERROR(__xludf.DUMMYFUNCTION("importrange(""https://docs.google.com/spreadsheets/d/1e4VEZL1xvsALoOIq9V2SQuICeQrT5MtWfBm32ad7i8Q/edit#gid=311133316"",""koronahun!af336:af524"")"),0.0815842321191058)</f>
        <v>8.1584232119105801E-2</v>
      </c>
      <c r="U2" s="13">
        <f ca="1">IFERROR(__xludf.DUMMYFUNCTION("importrange(""https://docs.google.com/spreadsheets/d/1e4VEZL1xvsALoOIq9V2SQuICeQrT5MtWfBm32ad7i8Q/edit#gid=311133316"",""koronahun!af525:af673"")"),0.00763041446443716)</f>
        <v>7.63041446443716E-3</v>
      </c>
      <c r="V2" t="str">
        <f ca="1">IFERROR(__xludf.DUMMYFUNCTION("importrange(""https://docs.google.com/spreadsheets/d/1e4VEZL1xvsALoOIq9V2SQuICeQrT5MtWfBm32ad7i8Q/edit#gid=311133316"",""koronahun!t2:t156"")"),"")</f>
        <v/>
      </c>
      <c r="W2">
        <f ca="1">IFERROR(__xludf.DUMMYFUNCTION("importrange(""https://docs.google.com/spreadsheets/d/1e4VEZL1xvsALoOIq9V2SQuICeQrT5MtWfBm32ad7i8Q/edit#gid=311133316"",""koronahun!t157:t335"")"),74)</f>
        <v>74</v>
      </c>
      <c r="X2">
        <f ca="1">IFERROR(__xludf.DUMMYFUNCTION("importrange(""https://docs.google.com/spreadsheets/d/1e4VEZL1xvsALoOIq9V2SQuICeQrT5MtWfBm32ad7i8Q/edit#gid=311133316"",""koronahun!t336:t524"")"),3682)</f>
        <v>3682</v>
      </c>
      <c r="Y2">
        <f ca="1">IFERROR(__xludf.DUMMYFUNCTION("importrange(""https://docs.google.com/spreadsheets/d/1e4VEZL1xvsALoOIq9V2SQuICeQrT5MtWfBm32ad7i8Q/edit#gid=311133316"",""koronahun!t525:t673"")"),75)</f>
        <v>75</v>
      </c>
      <c r="Z2" t="str">
        <f ca="1">IFERROR(__xludf.DUMMYFUNCTION("importrange(""https://docs.google.com/spreadsheets/d/1e4VEZL1xvsALoOIq9V2SQuICeQrT5MtWfBm32ad7i8Q/edit#gid=311133316"",""koronahun!u2:u156"")"),"")</f>
        <v/>
      </c>
      <c r="AA2">
        <f ca="1">IFERROR(__xludf.DUMMYFUNCTION("importrange(""https://docs.google.com/spreadsheets/d/1e4VEZL1xvsALoOIq9V2SQuICeQrT5MtWfBm32ad7i8Q/edit#gid=311133316"",""koronahun!u157:u335"")"),8)</f>
        <v>8</v>
      </c>
      <c r="AB2">
        <f ca="1">IFERROR(__xludf.DUMMYFUNCTION("importrange(""https://docs.google.com/spreadsheets/d/1e4VEZL1xvsALoOIq9V2SQuICeQrT5MtWfBm32ad7i8Q/edit#gid=311133316"",""koronahun!u336:u524"")"),273)</f>
        <v>273</v>
      </c>
      <c r="AC2">
        <f ca="1">IFERROR(__xludf.DUMMYFUNCTION("importrange(""https://docs.google.com/spreadsheets/d/1e4VEZL1xvsALoOIq9V2SQuICeQrT5MtWfBm32ad7i8Q/edit#gid=311133316"",""koronahun!u525:u673"")"),11)</f>
        <v>11</v>
      </c>
      <c r="AD2" s="57">
        <f ca="1">IFERROR(__xludf.DUMMYFUNCTION("importrange(""https://docs.google.com/spreadsheets/d/1e4VEZL1xvsALoOIq9V2SQuICeQrT5MtWfBm32ad7i8Q/edit#gid=311133316"",""koronahun!ad674:ad999"")"),84.2857142857142)</f>
        <v>84.285714285714207</v>
      </c>
      <c r="AE2" s="57">
        <f ca="1">IFERROR(__xludf.DUMMYFUNCTION("importrange(""https://docs.google.com/spreadsheets/d/1e4VEZL1xvsALoOIq9V2SQuICeQrT5MtWfBm32ad7i8Q/edit#gid=311133316"",""koronahun!ac674:ac999"")"),2897.85714285714)</f>
        <v>2897.8571428571399</v>
      </c>
      <c r="AF2">
        <f ca="1">IFERROR(__xludf.DUMMYFUNCTION("importrange(""https://docs.google.com/spreadsheets/d/1e4VEZL1xvsALoOIq9V2SQuICeQrT5MtWfBm32ad7i8Q/edit#gid=311133316"",""koronahun!l674:l999"")"),101457)</f>
        <v>101457</v>
      </c>
      <c r="AG2" s="58">
        <f ca="1">IFERROR(__xludf.DUMMYFUNCTION("importrange(""https://docs.google.com/spreadsheets/d/1e4VEZL1xvsALoOIq9V2SQuICeQrT5MtWfBm32ad7i8Q/edit#gid=311133316"",""koronahun!am674:am999"")"),4470.71428571428)</f>
        <v>4470.7142857142799</v>
      </c>
      <c r="AH2" s="13">
        <f ca="1">IFERROR(__xludf.DUMMYFUNCTION("importrange(""https://docs.google.com/spreadsheets/d/1e4VEZL1xvsALoOIq9V2SQuICeQrT5MtWfBm32ad7i8Q/edit#gid=311133316"",""koronahun!af674:af999"")"),0.233975077433227)</f>
        <v>0.23397507743322701</v>
      </c>
      <c r="AI2">
        <f ca="1">IFERROR(__xludf.DUMMYFUNCTION("importrange(""https://docs.google.com/spreadsheets/d/1e4VEZL1xvsALoOIq9V2SQuICeQrT5MtWfBm32ad7i8Q/edit#gid=311133316"",""koronahun!t674:t999"")"),3090)</f>
        <v>3090</v>
      </c>
      <c r="AJ2">
        <f ca="1">IFERROR(__xludf.DUMMYFUNCTION("importrange(""https://docs.google.com/spreadsheets/d/1e4VEZL1xvsALoOIq9V2SQuICeQrT5MtWfBm32ad7i8Q/edit#gid=311133316"",""koronahun!u674:u999"")"),307)</f>
        <v>307</v>
      </c>
    </row>
    <row r="3" spans="1:36" ht="15.75" customHeight="1">
      <c r="A3">
        <f t="shared" ref="A3:A180" ca="1" si="0">IF(G3&gt;0,1+A2," ")</f>
        <v>2</v>
      </c>
      <c r="B3" s="21"/>
      <c r="C3" s="62">
        <f ca="1">IFERROR(__xludf.DUMMYFUNCTION("""COMPUTED_VALUE"""),0.857142857142857)</f>
        <v>0.85714285714285698</v>
      </c>
      <c r="D3" s="21"/>
      <c r="E3" s="62">
        <f ca="1">IFERROR(__xludf.DUMMYFUNCTION("""COMPUTED_VALUE"""),16.5714285714285)</f>
        <v>16.571428571428498</v>
      </c>
      <c r="F3" s="21">
        <f ca="1">IFERROR(__xludf.DUMMYFUNCTION("""COMPUTED_VALUE"""),4)</f>
        <v>4</v>
      </c>
      <c r="G3" s="21">
        <f ca="1">IFERROR(__xludf.DUMMYFUNCTION("""COMPUTED_VALUE"""),555)</f>
        <v>555</v>
      </c>
      <c r="H3" s="21"/>
      <c r="I3" s="63">
        <f ca="1">IFERROR(__xludf.DUMMYFUNCTION("""COMPUTED_VALUE"""),15.8571428571428)</f>
        <v>15.857142857142801</v>
      </c>
      <c r="J3" s="57">
        <f ca="1">IFERROR(__xludf.DUMMYFUNCTION("""COMPUTED_VALUE"""),77.5714285714285)</f>
        <v>77.571428571428498</v>
      </c>
      <c r="K3" s="57">
        <f ca="1">IFERROR(__xludf.DUMMYFUNCTION("""COMPUTED_VALUE"""),1201.57142857142)</f>
        <v>1201.57142857142</v>
      </c>
      <c r="L3">
        <f ca="1">IFERROR(__xludf.DUMMYFUNCTION("""COMPUTED_VALUE"""),87829)</f>
        <v>87829</v>
      </c>
      <c r="M3" s="58">
        <f ca="1">IFERROR(__xludf.DUMMYFUNCTION("""COMPUTED_VALUE"""),3446)</f>
        <v>3446</v>
      </c>
      <c r="N3" s="57">
        <f ca="1">IFERROR(__xludf.DUMMYFUNCTION("""COMPUTED_VALUE"""),1.14285714285714)</f>
        <v>1.1428571428571399</v>
      </c>
      <c r="O3" s="57">
        <f ca="1">IFERROR(__xludf.DUMMYFUNCTION("""COMPUTED_VALUE"""),53.4285714285714)</f>
        <v>53.428571428571402</v>
      </c>
      <c r="P3">
        <f ca="1">IFERROR(__xludf.DUMMYFUNCTION("""COMPUTED_VALUE"""),20976)</f>
        <v>20976</v>
      </c>
      <c r="Q3" s="58">
        <f ca="1">IFERROR(__xludf.DUMMYFUNCTION("""COMPUTED_VALUE"""),1367.42857142857)</f>
        <v>1367.42857142857</v>
      </c>
      <c r="S3" s="13">
        <f ca="1">IFERROR(__xludf.DUMMYFUNCTION("""COMPUTED_VALUE"""),0.00707142857142857)</f>
        <v>7.0714285714285697E-3</v>
      </c>
      <c r="T3" s="13">
        <f ca="1">IFERROR(__xludf.DUMMYFUNCTION("""COMPUTED_VALUE"""),0.080323204732395)</f>
        <v>8.0323204732395001E-2</v>
      </c>
      <c r="U3" s="13">
        <f ca="1">IFERROR(__xludf.DUMMYFUNCTION("""COMPUTED_VALUE"""),0.00806920071235085)</f>
        <v>8.0692007123508505E-3</v>
      </c>
      <c r="W3">
        <f ca="1">IFERROR(__xludf.DUMMYFUNCTION("""COMPUTED_VALUE"""),72)</f>
        <v>72</v>
      </c>
      <c r="X3">
        <f ca="1">IFERROR(__xludf.DUMMYFUNCTION("""COMPUTED_VALUE"""),3729)</f>
        <v>3729</v>
      </c>
      <c r="Y3">
        <f ca="1">IFERROR(__xludf.DUMMYFUNCTION("""COMPUTED_VALUE"""),87)</f>
        <v>87</v>
      </c>
      <c r="AA3">
        <f ca="1">IFERROR(__xludf.DUMMYFUNCTION("""COMPUTED_VALUE"""),6)</f>
        <v>6</v>
      </c>
      <c r="AB3">
        <f ca="1">IFERROR(__xludf.DUMMYFUNCTION("""COMPUTED_VALUE"""),272)</f>
        <v>272</v>
      </c>
      <c r="AC3">
        <f ca="1">IFERROR(__xludf.DUMMYFUNCTION("""COMPUTED_VALUE"""),15)</f>
        <v>15</v>
      </c>
      <c r="AD3" s="57">
        <f ca="1">IFERROR(__xludf.DUMMYFUNCTION("""COMPUTED_VALUE"""),82.1428571428571)</f>
        <v>82.142857142857096</v>
      </c>
      <c r="AE3" s="57">
        <f ca="1">IFERROR(__xludf.DUMMYFUNCTION("""COMPUTED_VALUE"""),3339.71428571428)</f>
        <v>3339.7142857142799</v>
      </c>
      <c r="AF3">
        <f ca="1">IFERROR(__xludf.DUMMYFUNCTION("""COMPUTED_VALUE"""),103409)</f>
        <v>103409</v>
      </c>
      <c r="AG3" s="58">
        <f ca="1">IFERROR(__xludf.DUMMYFUNCTION("""COMPUTED_VALUE"""),3830.57142857142)</f>
        <v>3830.5714285714198</v>
      </c>
      <c r="AH3" s="13">
        <f ca="1">IFERROR(__xludf.DUMMYFUNCTION("""COMPUTED_VALUE"""),0.24370702705914)</f>
        <v>0.24370702705913999</v>
      </c>
      <c r="AI3">
        <f ca="1">IFERROR(__xludf.DUMMYFUNCTION("""COMPUTED_VALUE"""),3101)</f>
        <v>3101</v>
      </c>
      <c r="AJ3">
        <f ca="1">IFERROR(__xludf.DUMMYFUNCTION("""COMPUTED_VALUE"""),307)</f>
        <v>307</v>
      </c>
    </row>
    <row r="4" spans="1:36" ht="15.75" customHeight="1">
      <c r="A4">
        <f t="shared" ca="1" si="0"/>
        <v>3</v>
      </c>
      <c r="B4" s="21"/>
      <c r="C4" s="62">
        <f ca="1">IFERROR(__xludf.DUMMYFUNCTION("""COMPUTED_VALUE"""),0.714285714285714)</f>
        <v>0.71428571428571397</v>
      </c>
      <c r="D4" s="21"/>
      <c r="E4" s="62">
        <f ca="1">IFERROR(__xludf.DUMMYFUNCTION("""COMPUTED_VALUE"""),18.1428571428571)</f>
        <v>18.1428571428571</v>
      </c>
      <c r="F4" s="21">
        <f ca="1">IFERROR(__xludf.DUMMYFUNCTION("""COMPUTED_VALUE"""),4)</f>
        <v>4</v>
      </c>
      <c r="G4" s="21">
        <f ca="1">IFERROR(__xludf.DUMMYFUNCTION("""COMPUTED_VALUE"""),560)</f>
        <v>560</v>
      </c>
      <c r="H4" s="21"/>
      <c r="I4" s="63">
        <f ca="1">IFERROR(__xludf.DUMMYFUNCTION("""COMPUTED_VALUE"""),18.1428571428571)</f>
        <v>18.1428571428571</v>
      </c>
      <c r="J4" s="57">
        <f ca="1">IFERROR(__xludf.DUMMYFUNCTION("""COMPUTED_VALUE"""),77.2857142857142)</f>
        <v>77.285714285714207</v>
      </c>
      <c r="K4" s="57">
        <f ca="1">IFERROR(__xludf.DUMMYFUNCTION("""COMPUTED_VALUE"""),1207.85714285714)</f>
        <v>1207.8571428571399</v>
      </c>
      <c r="L4">
        <f ca="1">IFERROR(__xludf.DUMMYFUNCTION("""COMPUTED_VALUE"""),85313)</f>
        <v>85313</v>
      </c>
      <c r="M4" s="58">
        <f ca="1">IFERROR(__xludf.DUMMYFUNCTION("""COMPUTED_VALUE"""),3669.71428571428)</f>
        <v>3669.7142857142799</v>
      </c>
      <c r="N4" s="57">
        <f ca="1">IFERROR(__xludf.DUMMYFUNCTION("""COMPUTED_VALUE"""),0.714285714285714)</f>
        <v>0.71428571428571397</v>
      </c>
      <c r="O4" s="57">
        <f ca="1">IFERROR(__xludf.DUMMYFUNCTION("""COMPUTED_VALUE"""),56.4285714285714)</f>
        <v>56.428571428571402</v>
      </c>
      <c r="P4">
        <f ca="1">IFERROR(__xludf.DUMMYFUNCTION("""COMPUTED_VALUE"""),18824)</f>
        <v>18824</v>
      </c>
      <c r="Q4" s="58">
        <f ca="1">IFERROR(__xludf.DUMMYFUNCTION("""COMPUTED_VALUE"""),1641.71428571428)</f>
        <v>1641.7142857142801</v>
      </c>
      <c r="S4" s="13">
        <f ca="1">IFERROR(__xludf.DUMMYFUNCTION("""COMPUTED_VALUE"""),0.00781428571428571)</f>
        <v>7.8142857142857094E-3</v>
      </c>
      <c r="T4" s="13">
        <f ca="1">IFERROR(__xludf.DUMMYFUNCTION("""COMPUTED_VALUE"""),0.081612742340406)</f>
        <v>8.1612742340405997E-2</v>
      </c>
      <c r="U4" s="13">
        <f ca="1">IFERROR(__xludf.DUMMYFUNCTION("""COMPUTED_VALUE"""),0.00856713738068595)</f>
        <v>8.5671373806859505E-3</v>
      </c>
      <c r="W4">
        <f ca="1">IFERROR(__xludf.DUMMYFUNCTION("""COMPUTED_VALUE"""),69)</f>
        <v>69</v>
      </c>
      <c r="X4">
        <f ca="1">IFERROR(__xludf.DUMMYFUNCTION("""COMPUTED_VALUE"""),3697)</f>
        <v>3697</v>
      </c>
      <c r="Y4">
        <f ca="1">IFERROR(__xludf.DUMMYFUNCTION("""COMPUTED_VALUE"""),79)</f>
        <v>79</v>
      </c>
      <c r="AA4">
        <f ca="1">IFERROR(__xludf.DUMMYFUNCTION("""COMPUTED_VALUE"""),6)</f>
        <v>6</v>
      </c>
      <c r="AB4">
        <f ca="1">IFERROR(__xludf.DUMMYFUNCTION("""COMPUTED_VALUE"""),269)</f>
        <v>269</v>
      </c>
      <c r="AC4">
        <f ca="1">IFERROR(__xludf.DUMMYFUNCTION("""COMPUTED_VALUE"""),15)</f>
        <v>15</v>
      </c>
      <c r="AD4" s="57">
        <f ca="1">IFERROR(__xludf.DUMMYFUNCTION("""COMPUTED_VALUE"""),84.8571428571428)</f>
        <v>84.857142857142804</v>
      </c>
      <c r="AE4" s="57">
        <f ca="1">IFERROR(__xludf.DUMMYFUNCTION("""COMPUTED_VALUE"""),3791.71428571428)</f>
        <v>3791.7142857142799</v>
      </c>
      <c r="AF4">
        <f ca="1">IFERROR(__xludf.DUMMYFUNCTION("""COMPUTED_VALUE"""),105529)</f>
        <v>105529</v>
      </c>
      <c r="AG4" s="58">
        <f ca="1">IFERROR(__xludf.DUMMYFUNCTION("""COMPUTED_VALUE"""),3710.28571428571)</f>
        <v>3710.2857142857101</v>
      </c>
      <c r="AH4" s="13">
        <f ca="1">IFERROR(__xludf.DUMMYFUNCTION("""COMPUTED_VALUE"""),0.248436342434414)</f>
        <v>0.24843634243441401</v>
      </c>
      <c r="AI4">
        <f ca="1">IFERROR(__xludf.DUMMYFUNCTION("""COMPUTED_VALUE"""),3070)</f>
        <v>3070</v>
      </c>
      <c r="AJ4">
        <f ca="1">IFERROR(__xludf.DUMMYFUNCTION("""COMPUTED_VALUE"""),291)</f>
        <v>291</v>
      </c>
    </row>
    <row r="5" spans="1:36" ht="15.75" customHeight="1">
      <c r="A5">
        <f t="shared" ca="1" si="0"/>
        <v>4</v>
      </c>
      <c r="B5" s="21"/>
      <c r="C5" s="62">
        <f ca="1">IFERROR(__xludf.DUMMYFUNCTION("""COMPUTED_VALUE"""),0.714285714285714)</f>
        <v>0.71428571428571397</v>
      </c>
      <c r="D5" s="21"/>
      <c r="E5" s="62">
        <f ca="1">IFERROR(__xludf.DUMMYFUNCTION("""COMPUTED_VALUE"""),23)</f>
        <v>23</v>
      </c>
      <c r="F5" s="21">
        <f ca="1">IFERROR(__xludf.DUMMYFUNCTION("""COMPUTED_VALUE"""),5)</f>
        <v>5</v>
      </c>
      <c r="G5" s="21">
        <f ca="1">IFERROR(__xludf.DUMMYFUNCTION("""COMPUTED_VALUE"""),595)</f>
        <v>595</v>
      </c>
      <c r="H5" s="21"/>
      <c r="I5" s="63">
        <f ca="1">IFERROR(__xludf.DUMMYFUNCTION("""COMPUTED_VALUE"""),15.7142857142857)</f>
        <v>15.714285714285699</v>
      </c>
      <c r="J5" s="57">
        <f ca="1">IFERROR(__xludf.DUMMYFUNCTION("""COMPUTED_VALUE"""),77.2857142857142)</f>
        <v>77.285714285714207</v>
      </c>
      <c r="K5" s="57">
        <f ca="1">IFERROR(__xludf.DUMMYFUNCTION("""COMPUTED_VALUE"""),1219.71428571428)</f>
        <v>1219.7142857142801</v>
      </c>
      <c r="L5">
        <f ca="1">IFERROR(__xludf.DUMMYFUNCTION("""COMPUTED_VALUE"""),84848)</f>
        <v>84848</v>
      </c>
      <c r="M5" s="58">
        <f ca="1">IFERROR(__xludf.DUMMYFUNCTION("""COMPUTED_VALUE"""),3615)</f>
        <v>3615</v>
      </c>
      <c r="N5" s="57">
        <f ca="1">IFERROR(__xludf.DUMMYFUNCTION("""COMPUTED_VALUE"""),0.714285714285714)</f>
        <v>0.71428571428571397</v>
      </c>
      <c r="O5" s="57">
        <f ca="1">IFERROR(__xludf.DUMMYFUNCTION("""COMPUTED_VALUE"""),58.4285714285714)</f>
        <v>58.428571428571402</v>
      </c>
      <c r="P5">
        <f ca="1">IFERROR(__xludf.DUMMYFUNCTION("""COMPUTED_VALUE"""),16374)</f>
        <v>16374</v>
      </c>
      <c r="Q5" s="58">
        <f ca="1">IFERROR(__xludf.DUMMYFUNCTION("""COMPUTED_VALUE"""),1835.14285714285)</f>
        <v>1835.1428571428501</v>
      </c>
      <c r="S5" s="13">
        <f ca="1">IFERROR(__xludf.DUMMYFUNCTION("""COMPUTED_VALUE"""),0.00982857142857142)</f>
        <v>9.8285714285714192E-3</v>
      </c>
      <c r="T5" s="13">
        <f ca="1">IFERROR(__xludf.DUMMYFUNCTION("""COMPUTED_VALUE"""),0.0774811805598209)</f>
        <v>7.7481180559820895E-2</v>
      </c>
      <c r="U5" s="13">
        <f ca="1">IFERROR(__xludf.DUMMYFUNCTION("""COMPUTED_VALUE"""),0.00862856663142586)</f>
        <v>8.6285666314258602E-3</v>
      </c>
      <c r="W5">
        <f ca="1">IFERROR(__xludf.DUMMYFUNCTION("""COMPUTED_VALUE"""),73)</f>
        <v>73</v>
      </c>
      <c r="X5">
        <f ca="1">IFERROR(__xludf.DUMMYFUNCTION("""COMPUTED_VALUE"""),3648)</f>
        <v>3648</v>
      </c>
      <c r="Y5">
        <f ca="1">IFERROR(__xludf.DUMMYFUNCTION("""COMPUTED_VALUE"""),80)</f>
        <v>80</v>
      </c>
      <c r="AA5">
        <f ca="1">IFERROR(__xludf.DUMMYFUNCTION("""COMPUTED_VALUE"""),6)</f>
        <v>6</v>
      </c>
      <c r="AB5">
        <f ca="1">IFERROR(__xludf.DUMMYFUNCTION("""COMPUTED_VALUE"""),289)</f>
        <v>289</v>
      </c>
      <c r="AC5">
        <f ca="1">IFERROR(__xludf.DUMMYFUNCTION("""COMPUTED_VALUE"""),15)</f>
        <v>15</v>
      </c>
    </row>
    <row r="6" spans="1:36" ht="15.75" customHeight="1">
      <c r="A6">
        <f t="shared" ca="1" si="0"/>
        <v>5</v>
      </c>
      <c r="B6" s="21"/>
      <c r="C6" s="62">
        <f ca="1">IFERROR(__xludf.DUMMYFUNCTION("""COMPUTED_VALUE"""),1.14285714285714)</f>
        <v>1.1428571428571399</v>
      </c>
      <c r="D6" s="21"/>
      <c r="E6" s="62">
        <f ca="1">IFERROR(__xludf.DUMMYFUNCTION("""COMPUTED_VALUE"""),26.7142857142857)</f>
        <v>26.714285714285701</v>
      </c>
      <c r="F6" s="21">
        <f ca="1">IFERROR(__xludf.DUMMYFUNCTION("""COMPUTED_VALUE"""),7)</f>
        <v>7</v>
      </c>
      <c r="G6" s="21">
        <f ca="1">IFERROR(__xludf.DUMMYFUNCTION("""COMPUTED_VALUE"""),601)</f>
        <v>601</v>
      </c>
      <c r="H6" s="21"/>
      <c r="I6" s="63">
        <f ca="1">IFERROR(__xludf.DUMMYFUNCTION("""COMPUTED_VALUE"""),16)</f>
        <v>16</v>
      </c>
      <c r="J6" s="57">
        <f ca="1">IFERROR(__xludf.DUMMYFUNCTION("""COMPUTED_VALUE"""),79.4285714285714)</f>
        <v>79.428571428571402</v>
      </c>
      <c r="K6" s="57">
        <f ca="1">IFERROR(__xludf.DUMMYFUNCTION("""COMPUTED_VALUE"""),1236.42857142857)</f>
        <v>1236.42857142857</v>
      </c>
      <c r="L6">
        <f ca="1">IFERROR(__xludf.DUMMYFUNCTION("""COMPUTED_VALUE"""),84870)</f>
        <v>84870</v>
      </c>
      <c r="M6" s="58">
        <f ca="1">IFERROR(__xludf.DUMMYFUNCTION("""COMPUTED_VALUE"""),2997.28571428571)</f>
        <v>2997.2857142857101</v>
      </c>
      <c r="N6" s="57">
        <f ca="1">IFERROR(__xludf.DUMMYFUNCTION("""COMPUTED_VALUE"""),0.714285714285714)</f>
        <v>0.71428571428571397</v>
      </c>
      <c r="O6" s="57">
        <f ca="1">IFERROR(__xludf.DUMMYFUNCTION("""COMPUTED_VALUE"""),65.8571428571428)</f>
        <v>65.857142857142804</v>
      </c>
      <c r="P6">
        <f ca="1">IFERROR(__xludf.DUMMYFUNCTION("""COMPUTED_VALUE"""),14326)</f>
        <v>14326</v>
      </c>
      <c r="Q6" s="58">
        <f ca="1">IFERROR(__xludf.DUMMYFUNCTION("""COMPUTED_VALUE"""),1891.85714285714)</f>
        <v>1891.8571428571399</v>
      </c>
      <c r="S6" s="13">
        <f ca="1">IFERROR(__xludf.DUMMYFUNCTION("""COMPUTED_VALUE"""),0.0118142857142857)</f>
        <v>1.1814285714285701E-2</v>
      </c>
      <c r="T6" s="13">
        <f ca="1">IFERROR(__xludf.DUMMYFUNCTION("""COMPUTED_VALUE"""),0.0785410361364335)</f>
        <v>7.8541036136433498E-2</v>
      </c>
      <c r="U6" s="13">
        <f ca="1">IFERROR(__xludf.DUMMYFUNCTION("""COMPUTED_VALUE"""),0.00983019848070564)</f>
        <v>9.8301984807056403E-3</v>
      </c>
      <c r="W6">
        <f ca="1">IFERROR(__xludf.DUMMYFUNCTION("""COMPUTED_VALUE"""),61)</f>
        <v>61</v>
      </c>
      <c r="X6">
        <f ca="1">IFERROR(__xludf.DUMMYFUNCTION("""COMPUTED_VALUE"""),3638)</f>
        <v>3638</v>
      </c>
      <c r="Y6">
        <f ca="1">IFERROR(__xludf.DUMMYFUNCTION("""COMPUTED_VALUE"""),83)</f>
        <v>83</v>
      </c>
      <c r="AA6">
        <f ca="1">IFERROR(__xludf.DUMMYFUNCTION("""COMPUTED_VALUE"""),6)</f>
        <v>6</v>
      </c>
      <c r="AB6">
        <f ca="1">IFERROR(__xludf.DUMMYFUNCTION("""COMPUTED_VALUE"""),302)</f>
        <v>302</v>
      </c>
      <c r="AC6">
        <f ca="1">IFERROR(__xludf.DUMMYFUNCTION("""COMPUTED_VALUE"""),14)</f>
        <v>14</v>
      </c>
    </row>
    <row r="7" spans="1:36" ht="15.75" customHeight="1">
      <c r="A7">
        <f t="shared" ca="1" si="0"/>
        <v>6</v>
      </c>
      <c r="B7" s="21"/>
      <c r="C7" s="62">
        <f ca="1">IFERROR(__xludf.DUMMYFUNCTION("""COMPUTED_VALUE"""),1)</f>
        <v>1</v>
      </c>
      <c r="D7" s="21"/>
      <c r="E7" s="62">
        <f ca="1">IFERROR(__xludf.DUMMYFUNCTION("""COMPUTED_VALUE"""),27.5714285714285)</f>
        <v>27.571428571428498</v>
      </c>
      <c r="F7" s="21">
        <f ca="1">IFERROR(__xludf.DUMMYFUNCTION("""COMPUTED_VALUE"""),9)</f>
        <v>9</v>
      </c>
      <c r="G7" s="21">
        <f ca="1">IFERROR(__xludf.DUMMYFUNCTION("""COMPUTED_VALUE"""),614)</f>
        <v>614</v>
      </c>
      <c r="H7" s="21"/>
      <c r="I7" s="63">
        <f ca="1">IFERROR(__xludf.DUMMYFUNCTION("""COMPUTED_VALUE"""),16)</f>
        <v>16</v>
      </c>
      <c r="J7" s="57">
        <f ca="1">IFERROR(__xludf.DUMMYFUNCTION("""COMPUTED_VALUE"""),80.4285714285714)</f>
        <v>80.428571428571402</v>
      </c>
      <c r="K7" s="57">
        <f ca="1">IFERROR(__xludf.DUMMYFUNCTION("""COMPUTED_VALUE"""),1263.71428571428)</f>
        <v>1263.7142857142801</v>
      </c>
      <c r="L7">
        <f ca="1">IFERROR(__xludf.DUMMYFUNCTION("""COMPUTED_VALUE"""),84150)</f>
        <v>84150</v>
      </c>
      <c r="M7" s="58">
        <f ca="1">IFERROR(__xludf.DUMMYFUNCTION("""COMPUTED_VALUE"""),2627.71428571428)</f>
        <v>2627.7142857142799</v>
      </c>
      <c r="S7" s="13">
        <f ca="1">IFERROR(__xludf.DUMMYFUNCTION("""COMPUTED_VALUE"""),0.0133999999999999)</f>
        <v>1.33999999999999E-2</v>
      </c>
      <c r="T7" s="13">
        <f ca="1">IFERROR(__xludf.DUMMYFUNCTION("""COMPUTED_VALUE"""),0.0820525750057531)</f>
        <v>8.2052575005753095E-2</v>
      </c>
      <c r="W7">
        <f ca="1">IFERROR(__xludf.DUMMYFUNCTION("""COMPUTED_VALUE"""),62)</f>
        <v>62</v>
      </c>
      <c r="X7">
        <f ca="1">IFERROR(__xludf.DUMMYFUNCTION("""COMPUTED_VALUE"""),3601)</f>
        <v>3601</v>
      </c>
      <c r="AA7">
        <f ca="1">IFERROR(__xludf.DUMMYFUNCTION("""COMPUTED_VALUE"""),5)</f>
        <v>5</v>
      </c>
      <c r="AB7">
        <f ca="1">IFERROR(__xludf.DUMMYFUNCTION("""COMPUTED_VALUE"""),298)</f>
        <v>298</v>
      </c>
      <c r="AD7" s="57">
        <f ca="1">IFERROR(__xludf.DUMMYFUNCTION("""COMPUTED_VALUE"""),73.2857142857142)</f>
        <v>73.285714285714207</v>
      </c>
      <c r="AE7" s="57">
        <f ca="1">IFERROR(__xludf.DUMMYFUNCTION("""COMPUTED_VALUE"""),5047.42857142857)</f>
        <v>5047.4285714285697</v>
      </c>
      <c r="AF7">
        <f ca="1">IFERROR(__xludf.DUMMYFUNCTION("""COMPUTED_VALUE"""),111895)</f>
        <v>111895</v>
      </c>
      <c r="AG7" s="58">
        <f ca="1">IFERROR(__xludf.DUMMYFUNCTION("""COMPUTED_VALUE"""),3421)</f>
        <v>3421</v>
      </c>
      <c r="AH7" s="13">
        <f ca="1">IFERROR(__xludf.DUMMYFUNCTION("""COMPUTED_VALUE"""),0.253979947610609)</f>
        <v>0.25397994761060899</v>
      </c>
      <c r="AI7">
        <f ca="1">IFERROR(__xludf.DUMMYFUNCTION("""COMPUTED_VALUE"""),2931)</f>
        <v>2931</v>
      </c>
      <c r="AJ7">
        <f ca="1">IFERROR(__xludf.DUMMYFUNCTION("""COMPUTED_VALUE"""),281)</f>
        <v>281</v>
      </c>
    </row>
    <row r="8" spans="1:36" ht="15.75" customHeight="1">
      <c r="A8">
        <f t="shared" ca="1" si="0"/>
        <v>7</v>
      </c>
      <c r="B8" s="21"/>
      <c r="C8" s="62">
        <f ca="1">IFERROR(__xludf.DUMMYFUNCTION("""COMPUTED_VALUE"""),0.857142857142857)</f>
        <v>0.85714285714285698</v>
      </c>
      <c r="D8" s="62">
        <f ca="1">IFERROR(__xludf.DUMMYFUNCTION("""COMPUTED_VALUE"""),1.71428571428571)</f>
        <v>1.71428571428571</v>
      </c>
      <c r="E8" s="62">
        <f ca="1">IFERROR(__xludf.DUMMYFUNCTION("""COMPUTED_VALUE"""),29.1428571428571)</f>
        <v>29.1428571428571</v>
      </c>
      <c r="F8" s="21">
        <f ca="1">IFERROR(__xludf.DUMMYFUNCTION("""COMPUTED_VALUE"""),12)</f>
        <v>12</v>
      </c>
      <c r="G8" s="21">
        <f ca="1">IFERROR(__xludf.DUMMYFUNCTION("""COMPUTED_VALUE"""),634)</f>
        <v>634</v>
      </c>
      <c r="H8" s="21"/>
      <c r="I8" s="63">
        <f ca="1">IFERROR(__xludf.DUMMYFUNCTION("""COMPUTED_VALUE"""),14)</f>
        <v>14</v>
      </c>
      <c r="J8" s="57">
        <f ca="1">IFERROR(__xludf.DUMMYFUNCTION("""COMPUTED_VALUE"""),80.8571428571428)</f>
        <v>80.857142857142804</v>
      </c>
      <c r="K8" s="57">
        <f ca="1">IFERROR(__xludf.DUMMYFUNCTION("""COMPUTED_VALUE"""),1272.71428571428)</f>
        <v>1272.7142857142801</v>
      </c>
      <c r="L8">
        <f ca="1">IFERROR(__xludf.DUMMYFUNCTION("""COMPUTED_VALUE"""),83642)</f>
        <v>83642</v>
      </c>
      <c r="M8" s="58">
        <f ca="1">IFERROR(__xludf.DUMMYFUNCTION("""COMPUTED_VALUE"""),2399.28571428571)</f>
        <v>2399.2857142857101</v>
      </c>
      <c r="S8" s="13">
        <f ca="1">IFERROR(__xludf.DUMMYFUNCTION("""COMPUTED_VALUE"""),0.0136857142857142)</f>
        <v>1.36857142857142E-2</v>
      </c>
      <c r="T8" s="13">
        <f ca="1">IFERROR(__xludf.DUMMYFUNCTION("""COMPUTED_VALUE"""),0.0830704338143636)</f>
        <v>8.3070433814363603E-2</v>
      </c>
      <c r="W8">
        <f ca="1">IFERROR(__xludf.DUMMYFUNCTION("""COMPUTED_VALUE"""),64)</f>
        <v>64</v>
      </c>
      <c r="X8">
        <f ca="1">IFERROR(__xludf.DUMMYFUNCTION("""COMPUTED_VALUE"""),3578)</f>
        <v>3578</v>
      </c>
      <c r="AA8">
        <f ca="1">IFERROR(__xludf.DUMMYFUNCTION("""COMPUTED_VALUE"""),5)</f>
        <v>5</v>
      </c>
      <c r="AB8">
        <f ca="1">IFERROR(__xludf.DUMMYFUNCTION("""COMPUTED_VALUE"""),291)</f>
        <v>291</v>
      </c>
      <c r="AD8" s="57">
        <f ca="1">IFERROR(__xludf.DUMMYFUNCTION("""COMPUTED_VALUE"""),71.2857142857142)</f>
        <v>71.285714285714207</v>
      </c>
      <c r="AE8" s="57">
        <f ca="1">IFERROR(__xludf.DUMMYFUNCTION("""COMPUTED_VALUE"""),5183.57142857142)</f>
        <v>5183.5714285714203</v>
      </c>
      <c r="AF8">
        <f ca="1">IFERROR(__xludf.DUMMYFUNCTION("""COMPUTED_VALUE"""),113160)</f>
        <v>113160</v>
      </c>
      <c r="AG8" s="58">
        <f ca="1">IFERROR(__xludf.DUMMYFUNCTION("""COMPUTED_VALUE"""),3267.57142857142)</f>
        <v>3267.5714285714198</v>
      </c>
      <c r="AH8" s="13">
        <f ca="1">IFERROR(__xludf.DUMMYFUNCTION("""COMPUTED_VALUE"""),0.265306183555498)</f>
        <v>0.26530618355549801</v>
      </c>
      <c r="AI8">
        <f ca="1">IFERROR(__xludf.DUMMYFUNCTION("""COMPUTED_VALUE"""),2932)</f>
        <v>2932</v>
      </c>
      <c r="AJ8">
        <f ca="1">IFERROR(__xludf.DUMMYFUNCTION("""COMPUTED_VALUE"""),274)</f>
        <v>274</v>
      </c>
    </row>
    <row r="9" spans="1:36" ht="15.75" customHeight="1">
      <c r="A9">
        <f t="shared" ca="1" si="0"/>
        <v>8</v>
      </c>
      <c r="B9" s="21"/>
      <c r="C9" s="62">
        <f ca="1">IFERROR(__xludf.DUMMYFUNCTION("""COMPUTED_VALUE"""),1)</f>
        <v>1</v>
      </c>
      <c r="D9" s="62">
        <f ca="1">IFERROR(__xludf.DUMMYFUNCTION("""COMPUTED_VALUE"""),1.57142857142857)</f>
        <v>1.5714285714285701</v>
      </c>
      <c r="E9" s="62">
        <f ca="1">IFERROR(__xludf.DUMMYFUNCTION("""COMPUTED_VALUE"""),30.8571428571428)</f>
        <v>30.857142857142801</v>
      </c>
      <c r="F9" s="21">
        <f ca="1">IFERROR(__xludf.DUMMYFUNCTION("""COMPUTED_VALUE"""),13)</f>
        <v>13</v>
      </c>
      <c r="G9" s="21">
        <f ca="1">IFERROR(__xludf.DUMMYFUNCTION("""COMPUTED_VALUE"""),645)</f>
        <v>645</v>
      </c>
      <c r="H9" s="21"/>
      <c r="I9" s="63">
        <f ca="1">IFERROR(__xludf.DUMMYFUNCTION("""COMPUTED_VALUE"""),14)</f>
        <v>14</v>
      </c>
      <c r="J9" s="57">
        <f ca="1">IFERROR(__xludf.DUMMYFUNCTION("""COMPUTED_VALUE"""),82.4285714285714)</f>
        <v>82.428571428571402</v>
      </c>
      <c r="K9" s="57">
        <f ca="1">IFERROR(__xludf.DUMMYFUNCTION("""COMPUTED_VALUE"""),1277.85714285714)</f>
        <v>1277.8571428571399</v>
      </c>
      <c r="L9">
        <f ca="1">IFERROR(__xludf.DUMMYFUNCTION("""COMPUTED_VALUE"""),82661)</f>
        <v>82661</v>
      </c>
      <c r="M9" s="58">
        <f ca="1">IFERROR(__xludf.DUMMYFUNCTION("""COMPUTED_VALUE"""),2511.28571428571)</f>
        <v>2511.2857142857101</v>
      </c>
      <c r="N9" s="57">
        <f ca="1">IFERROR(__xludf.DUMMYFUNCTION("""COMPUTED_VALUE"""),0.571428571428571)</f>
        <v>0.57142857142857095</v>
      </c>
      <c r="O9" s="57">
        <f ca="1">IFERROR(__xludf.DUMMYFUNCTION("""COMPUTED_VALUE"""),70.4285714285714)</f>
        <v>70.428571428571402</v>
      </c>
      <c r="P9">
        <f ca="1">IFERROR(__xludf.DUMMYFUNCTION("""COMPUTED_VALUE"""),12155)</f>
        <v>12155</v>
      </c>
      <c r="Q9" s="58">
        <f ca="1">IFERROR(__xludf.DUMMYFUNCTION("""COMPUTED_VALUE"""),1580.14285714285)</f>
        <v>1580.1428571428501</v>
      </c>
      <c r="S9" s="13">
        <f ca="1">IFERROR(__xludf.DUMMYFUNCTION("""COMPUTED_VALUE"""),0.0137714285714285)</f>
        <v>1.37714285714285E-2</v>
      </c>
      <c r="T9" s="13">
        <f ca="1">IFERROR(__xludf.DUMMYFUNCTION("""COMPUTED_VALUE"""),0.0853363683415965)</f>
        <v>8.5336368341596497E-2</v>
      </c>
      <c r="U9" s="13">
        <f ca="1">IFERROR(__xludf.DUMMYFUNCTION("""COMPUTED_VALUE"""),0.0100014611139106)</f>
        <v>1.0001461113910599E-2</v>
      </c>
      <c r="W9">
        <f ca="1">IFERROR(__xludf.DUMMYFUNCTION("""COMPUTED_VALUE"""),66)</f>
        <v>66</v>
      </c>
      <c r="X9">
        <f ca="1">IFERROR(__xludf.DUMMYFUNCTION("""COMPUTED_VALUE"""),3717)</f>
        <v>3717</v>
      </c>
      <c r="Y9">
        <f ca="1">IFERROR(__xludf.DUMMYFUNCTION("""COMPUTED_VALUE"""),92)</f>
        <v>92</v>
      </c>
      <c r="AA9">
        <f ca="1">IFERROR(__xludf.DUMMYFUNCTION("""COMPUTED_VALUE"""),5)</f>
        <v>5</v>
      </c>
      <c r="AB9">
        <f ca="1">IFERROR(__xludf.DUMMYFUNCTION("""COMPUTED_VALUE"""),295)</f>
        <v>295</v>
      </c>
      <c r="AC9">
        <f ca="1">IFERROR(__xludf.DUMMYFUNCTION("""COMPUTED_VALUE"""),11)</f>
        <v>11</v>
      </c>
      <c r="AD9" s="57">
        <f ca="1">IFERROR(__xludf.DUMMYFUNCTION("""COMPUTED_VALUE"""),69.1428571428571)</f>
        <v>69.142857142857096</v>
      </c>
      <c r="AE9" s="57">
        <f ca="1">IFERROR(__xludf.DUMMYFUNCTION("""COMPUTED_VALUE"""),5556.85714285714)</f>
        <v>5556.8571428571404</v>
      </c>
      <c r="AF9">
        <f ca="1">IFERROR(__xludf.DUMMYFUNCTION("""COMPUTED_VALUE"""),118945)</f>
        <v>118945</v>
      </c>
      <c r="AG9" s="58">
        <f ca="1">IFERROR(__xludf.DUMMYFUNCTION("""COMPUTED_VALUE"""),2989.42857142857)</f>
        <v>2989.4285714285702</v>
      </c>
      <c r="AH9" s="13">
        <f ca="1">IFERROR(__xludf.DUMMYFUNCTION("""COMPUTED_VALUE"""),0.292130413642084)</f>
        <v>0.29213041364208397</v>
      </c>
      <c r="AI9">
        <f ca="1">IFERROR(__xludf.DUMMYFUNCTION("""COMPUTED_VALUE"""),2758)</f>
        <v>2758</v>
      </c>
      <c r="AJ9">
        <f ca="1">IFERROR(__xludf.DUMMYFUNCTION("""COMPUTED_VALUE"""),257)</f>
        <v>257</v>
      </c>
    </row>
    <row r="10" spans="1:36" ht="15.75" customHeight="1">
      <c r="A10">
        <f t="shared" ca="1" si="0"/>
        <v>9</v>
      </c>
      <c r="B10" s="21"/>
      <c r="C10" s="62">
        <f ca="1">IFERROR(__xludf.DUMMYFUNCTION("""COMPUTED_VALUE"""),0.714285714285714)</f>
        <v>0.71428571428571397</v>
      </c>
      <c r="D10" s="62">
        <f ca="1">IFERROR(__xludf.DUMMYFUNCTION("""COMPUTED_VALUE"""),1.71428571428571)</f>
        <v>1.71428571428571</v>
      </c>
      <c r="E10" s="62">
        <f ca="1">IFERROR(__xludf.DUMMYFUNCTION("""COMPUTED_VALUE"""),33.1428571428571)</f>
        <v>33.142857142857103</v>
      </c>
      <c r="F10" s="21">
        <f ca="1">IFERROR(__xludf.DUMMYFUNCTION("""COMPUTED_VALUE"""),16)</f>
        <v>16</v>
      </c>
      <c r="G10" s="21">
        <f ca="1">IFERROR(__xludf.DUMMYFUNCTION("""COMPUTED_VALUE"""),656)</f>
        <v>656</v>
      </c>
      <c r="H10" s="21"/>
      <c r="I10" s="63">
        <f ca="1">IFERROR(__xludf.DUMMYFUNCTION("""COMPUTED_VALUE"""),18)</f>
        <v>18</v>
      </c>
      <c r="J10" s="57">
        <f ca="1">IFERROR(__xludf.DUMMYFUNCTION("""COMPUTED_VALUE"""),84.7142857142857)</f>
        <v>84.714285714285694</v>
      </c>
      <c r="K10" s="57">
        <f ca="1">IFERROR(__xludf.DUMMYFUNCTION("""COMPUTED_VALUE"""),1349.42857142857)</f>
        <v>1349.42857142857</v>
      </c>
      <c r="L10">
        <f ca="1">IFERROR(__xludf.DUMMYFUNCTION("""COMPUTED_VALUE"""),82203)</f>
        <v>82203</v>
      </c>
      <c r="M10" s="58">
        <f ca="1">IFERROR(__xludf.DUMMYFUNCTION("""COMPUTED_VALUE"""),2068.42857142857)</f>
        <v>2068.4285714285702</v>
      </c>
      <c r="N10" s="57">
        <f ca="1">IFERROR(__xludf.DUMMYFUNCTION("""COMPUTED_VALUE"""),0.714285714285714)</f>
        <v>0.71428571428571397</v>
      </c>
      <c r="O10" s="57">
        <f ca="1">IFERROR(__xludf.DUMMYFUNCTION("""COMPUTED_VALUE"""),71.8571428571428)</f>
        <v>71.857142857142804</v>
      </c>
      <c r="P10">
        <f ca="1">IFERROR(__xludf.DUMMYFUNCTION("""COMPUTED_VALUE"""),11988)</f>
        <v>11988</v>
      </c>
      <c r="Q10" s="58">
        <f ca="1">IFERROR(__xludf.DUMMYFUNCTION("""COMPUTED_VALUE"""),1355.14285714285)</f>
        <v>1355.1428571428501</v>
      </c>
      <c r="S10" s="13">
        <f ca="1">IFERROR(__xludf.DUMMYFUNCTION("""COMPUTED_VALUE"""),0.0144142857142857)</f>
        <v>1.4414285714285701E-2</v>
      </c>
      <c r="T10" s="13">
        <f ca="1">IFERROR(__xludf.DUMMYFUNCTION("""COMPUTED_VALUE"""),0.0987893859520182)</f>
        <v>9.8789385952018194E-2</v>
      </c>
      <c r="U10" s="13">
        <f ca="1">IFERROR(__xludf.DUMMYFUNCTION("""COMPUTED_VALUE"""),0.0104372011911981)</f>
        <v>1.0437201191198099E-2</v>
      </c>
      <c r="W10">
        <f ca="1">IFERROR(__xludf.DUMMYFUNCTION("""COMPUTED_VALUE"""),64)</f>
        <v>64</v>
      </c>
      <c r="X10">
        <f ca="1">IFERROR(__xludf.DUMMYFUNCTION("""COMPUTED_VALUE"""),3792)</f>
        <v>3792</v>
      </c>
      <c r="Y10">
        <f ca="1">IFERROR(__xludf.DUMMYFUNCTION("""COMPUTED_VALUE"""),85)</f>
        <v>85</v>
      </c>
      <c r="AA10">
        <f ca="1">IFERROR(__xludf.DUMMYFUNCTION("""COMPUTED_VALUE"""),6)</f>
        <v>6</v>
      </c>
      <c r="AB10">
        <f ca="1">IFERROR(__xludf.DUMMYFUNCTION("""COMPUTED_VALUE"""),304)</f>
        <v>304</v>
      </c>
      <c r="AC10">
        <f ca="1">IFERROR(__xludf.DUMMYFUNCTION("""COMPUTED_VALUE"""),11)</f>
        <v>11</v>
      </c>
      <c r="AD10" s="57">
        <f ca="1">IFERROR(__xludf.DUMMYFUNCTION("""COMPUTED_VALUE"""),69.2857142857142)</f>
        <v>69.285714285714207</v>
      </c>
      <c r="AE10" s="57">
        <f ca="1">IFERROR(__xludf.DUMMYFUNCTION("""COMPUTED_VALUE"""),5951.42857142857)</f>
        <v>5951.4285714285697</v>
      </c>
      <c r="AF10">
        <f ca="1">IFERROR(__xludf.DUMMYFUNCTION("""COMPUTED_VALUE"""),122424)</f>
        <v>122424</v>
      </c>
      <c r="AG10" s="58">
        <f ca="1">IFERROR(__xludf.DUMMYFUNCTION("""COMPUTED_VALUE"""),3165.71428571428)</f>
        <v>3165.7142857142799</v>
      </c>
      <c r="AH10" s="13">
        <f ca="1">IFERROR(__xludf.DUMMYFUNCTION("""COMPUTED_VALUE"""),0.302712823840698)</f>
        <v>0.30271282384069798</v>
      </c>
      <c r="AI10">
        <f ca="1">IFERROR(__xludf.DUMMYFUNCTION("""COMPUTED_VALUE"""),2647)</f>
        <v>2647</v>
      </c>
      <c r="AJ10">
        <f ca="1">IFERROR(__xludf.DUMMYFUNCTION("""COMPUTED_VALUE"""),249)</f>
        <v>249</v>
      </c>
    </row>
    <row r="11" spans="1:36" ht="15.75" customHeight="1">
      <c r="A11">
        <f t="shared" ca="1" si="0"/>
        <v>10</v>
      </c>
      <c r="B11" s="21"/>
      <c r="C11" s="62">
        <f ca="1">IFERROR(__xludf.DUMMYFUNCTION("""COMPUTED_VALUE"""),0.714285714285714)</f>
        <v>0.71428571428571397</v>
      </c>
      <c r="D11" s="62">
        <f ca="1">IFERROR(__xludf.DUMMYFUNCTION("""COMPUTED_VALUE"""),2.14285714285714)</f>
        <v>2.1428571428571401</v>
      </c>
      <c r="E11" s="62">
        <f ca="1">IFERROR(__xludf.DUMMYFUNCTION("""COMPUTED_VALUE"""),32)</f>
        <v>32</v>
      </c>
      <c r="F11" s="21">
        <f ca="1">IFERROR(__xludf.DUMMYFUNCTION("""COMPUTED_VALUE"""),18)</f>
        <v>18</v>
      </c>
      <c r="G11" s="21">
        <f ca="1">IFERROR(__xludf.DUMMYFUNCTION("""COMPUTED_VALUE"""),664)</f>
        <v>664</v>
      </c>
      <c r="H11" s="21"/>
      <c r="I11" s="63">
        <f ca="1">IFERROR(__xludf.DUMMYFUNCTION("""COMPUTED_VALUE"""),16.4285714285714)</f>
        <v>16.428571428571399</v>
      </c>
      <c r="J11" s="57">
        <f ca="1">IFERROR(__xludf.DUMMYFUNCTION("""COMPUTED_VALUE"""),86.8571428571428)</f>
        <v>86.857142857142804</v>
      </c>
      <c r="K11" s="57">
        <f ca="1">IFERROR(__xludf.DUMMYFUNCTION("""COMPUTED_VALUE"""),1382.42857142857)</f>
        <v>1382.42857142857</v>
      </c>
      <c r="L11">
        <f ca="1">IFERROR(__xludf.DUMMYFUNCTION("""COMPUTED_VALUE"""),81644)</f>
        <v>81644</v>
      </c>
      <c r="M11" s="58">
        <f ca="1">IFERROR(__xludf.DUMMYFUNCTION("""COMPUTED_VALUE"""),1819.71428571428)</f>
        <v>1819.7142857142801</v>
      </c>
      <c r="N11" s="57">
        <f ca="1">IFERROR(__xludf.DUMMYFUNCTION("""COMPUTED_VALUE"""),1.14285714285714)</f>
        <v>1.1428571428571399</v>
      </c>
      <c r="O11" s="57">
        <f ca="1">IFERROR(__xludf.DUMMYFUNCTION("""COMPUTED_VALUE"""),76)</f>
        <v>76</v>
      </c>
      <c r="P11">
        <f ca="1">IFERROR(__xludf.DUMMYFUNCTION("""COMPUTED_VALUE"""),11722)</f>
        <v>11722</v>
      </c>
      <c r="Q11" s="58">
        <f ca="1">IFERROR(__xludf.DUMMYFUNCTION("""COMPUTED_VALUE"""),1089.42857142857)</f>
        <v>1089.42857142857</v>
      </c>
      <c r="R11" s="13">
        <f ca="1">IFERROR(__xludf.DUMMYFUNCTION("""COMPUTED_VALUE"""),0.0207571428571428)</f>
        <v>2.07571428571428E-2</v>
      </c>
      <c r="S11" s="13">
        <f ca="1">IFERROR(__xludf.DUMMYFUNCTION("""COMPUTED_VALUE"""),0.0140142857142857)</f>
        <v>1.40142857142857E-2</v>
      </c>
      <c r="T11" s="13">
        <f ca="1">IFERROR(__xludf.DUMMYFUNCTION("""COMPUTED_VALUE"""),0.099950722094795)</f>
        <v>9.9950722094794997E-2</v>
      </c>
      <c r="U11" s="13">
        <f ca="1">IFERROR(__xludf.DUMMYFUNCTION("""COMPUTED_VALUE"""),0.0111088994288193)</f>
        <v>1.11088994288193E-2</v>
      </c>
      <c r="W11">
        <f ca="1">IFERROR(__xludf.DUMMYFUNCTION("""COMPUTED_VALUE"""),63)</f>
        <v>63</v>
      </c>
      <c r="X11">
        <f ca="1">IFERROR(__xludf.DUMMYFUNCTION("""COMPUTED_VALUE"""),3747)</f>
        <v>3747</v>
      </c>
      <c r="Y11">
        <f ca="1">IFERROR(__xludf.DUMMYFUNCTION("""COMPUTED_VALUE"""),75)</f>
        <v>75</v>
      </c>
      <c r="AA11">
        <f ca="1">IFERROR(__xludf.DUMMYFUNCTION("""COMPUTED_VALUE"""),6)</f>
        <v>6</v>
      </c>
      <c r="AB11">
        <f ca="1">IFERROR(__xludf.DUMMYFUNCTION("""COMPUTED_VALUE"""),296)</f>
        <v>296</v>
      </c>
      <c r="AC11">
        <f ca="1">IFERROR(__xludf.DUMMYFUNCTION("""COMPUTED_VALUE"""),11)</f>
        <v>11</v>
      </c>
      <c r="AD11" s="57">
        <f ca="1">IFERROR(__xludf.DUMMYFUNCTION("""COMPUTED_VALUE"""),65.2857142857142)</f>
        <v>65.285714285714207</v>
      </c>
      <c r="AE11" s="57">
        <f ca="1">IFERROR(__xludf.DUMMYFUNCTION("""COMPUTED_VALUE"""),6293.85714285714)</f>
        <v>6293.8571428571404</v>
      </c>
      <c r="AF11">
        <f ca="1">IFERROR(__xludf.DUMMYFUNCTION("""COMPUTED_VALUE"""),128268)</f>
        <v>128268</v>
      </c>
      <c r="AG11" s="58">
        <f ca="1">IFERROR(__xludf.DUMMYFUNCTION("""COMPUTED_VALUE"""),2980.14285714285)</f>
        <v>2980.1428571428501</v>
      </c>
      <c r="AH11" s="13">
        <f ca="1">IFERROR(__xludf.DUMMYFUNCTION("""COMPUTED_VALUE"""),0.31646246599866)</f>
        <v>0.31646246599866001</v>
      </c>
      <c r="AI11">
        <f ca="1">IFERROR(__xludf.DUMMYFUNCTION("""COMPUTED_VALUE"""),2611)</f>
        <v>2611</v>
      </c>
      <c r="AJ11">
        <f ca="1">IFERROR(__xludf.DUMMYFUNCTION("""COMPUTED_VALUE"""),243)</f>
        <v>243</v>
      </c>
    </row>
    <row r="12" spans="1:36" ht="15.75" customHeight="1">
      <c r="A12">
        <f t="shared" ca="1" si="0"/>
        <v>11</v>
      </c>
      <c r="B12" s="21"/>
      <c r="C12" s="62">
        <f ca="1">IFERROR(__xludf.DUMMYFUNCTION("""COMPUTED_VALUE"""),0.857142857142857)</f>
        <v>0.85714285714285698</v>
      </c>
      <c r="D12" s="62">
        <f ca="1">IFERROR(__xludf.DUMMYFUNCTION("""COMPUTED_VALUE"""),3.57142857142857)</f>
        <v>3.5714285714285698</v>
      </c>
      <c r="E12" s="62">
        <f ca="1">IFERROR(__xludf.DUMMYFUNCTION("""COMPUTED_VALUE"""),31.4285714285714)</f>
        <v>31.428571428571399</v>
      </c>
      <c r="F12" s="21">
        <f ca="1">IFERROR(__xludf.DUMMYFUNCTION("""COMPUTED_VALUE"""),29)</f>
        <v>29</v>
      </c>
      <c r="G12" s="21">
        <f ca="1">IFERROR(__xludf.DUMMYFUNCTION("""COMPUTED_VALUE"""),685)</f>
        <v>685</v>
      </c>
      <c r="H12" s="21"/>
      <c r="I12" s="63">
        <f ca="1">IFERROR(__xludf.DUMMYFUNCTION("""COMPUTED_VALUE"""),17.7142857142857)</f>
        <v>17.714285714285701</v>
      </c>
      <c r="J12" s="57">
        <f ca="1">IFERROR(__xludf.DUMMYFUNCTION("""COMPUTED_VALUE"""),87.4285714285714)</f>
        <v>87.428571428571402</v>
      </c>
      <c r="K12" s="57">
        <f ca="1">IFERROR(__xludf.DUMMYFUNCTION("""COMPUTED_VALUE"""),1412.42857142857)</f>
        <v>1412.42857142857</v>
      </c>
      <c r="L12">
        <f ca="1">IFERROR(__xludf.DUMMYFUNCTION("""COMPUTED_VALUE"""),81297)</f>
        <v>81297</v>
      </c>
      <c r="M12" s="58">
        <f ca="1">IFERROR(__xludf.DUMMYFUNCTION("""COMPUTED_VALUE"""),1832.28571428571)</f>
        <v>1832.2857142857099</v>
      </c>
      <c r="N12" s="57">
        <f ca="1">IFERROR(__xludf.DUMMYFUNCTION("""COMPUTED_VALUE"""),1.28571428571428)</f>
        <v>1.28571428571428</v>
      </c>
      <c r="O12" s="57">
        <f ca="1">IFERROR(__xludf.DUMMYFUNCTION("""COMPUTED_VALUE"""),81.2857142857142)</f>
        <v>81.285714285714207</v>
      </c>
      <c r="P12">
        <f ca="1">IFERROR(__xludf.DUMMYFUNCTION("""COMPUTED_VALUE"""),10958)</f>
        <v>10958</v>
      </c>
      <c r="Q12" s="58">
        <f ca="1">IFERROR(__xludf.DUMMYFUNCTION("""COMPUTED_VALUE"""),853.714285714285)</f>
        <v>853.71428571428498</v>
      </c>
      <c r="R12" s="13">
        <f ca="1">IFERROR(__xludf.DUMMYFUNCTION("""COMPUTED_VALUE"""),0.0279714285714285)</f>
        <v>2.7971428571428501E-2</v>
      </c>
      <c r="S12" s="13">
        <f ca="1">IFERROR(__xludf.DUMMYFUNCTION("""COMPUTED_VALUE"""),0.0132857142857142)</f>
        <v>1.3285714285714199E-2</v>
      </c>
      <c r="T12" s="13">
        <f ca="1">IFERROR(__xludf.DUMMYFUNCTION("""COMPUTED_VALUE"""),0.100239097411388)</f>
        <v>0.10023909741138801</v>
      </c>
      <c r="U12" s="13">
        <f ca="1">IFERROR(__xludf.DUMMYFUNCTION("""COMPUTED_VALUE"""),0.0114597279948763)</f>
        <v>1.1459727994876301E-2</v>
      </c>
      <c r="W12">
        <f ca="1">IFERROR(__xludf.DUMMYFUNCTION("""COMPUTED_VALUE"""),62)</f>
        <v>62</v>
      </c>
      <c r="X12">
        <f ca="1">IFERROR(__xludf.DUMMYFUNCTION("""COMPUTED_VALUE"""),3799)</f>
        <v>3799</v>
      </c>
      <c r="Y12">
        <f ca="1">IFERROR(__xludf.DUMMYFUNCTION("""COMPUTED_VALUE"""),76)</f>
        <v>76</v>
      </c>
      <c r="AA12">
        <f ca="1">IFERROR(__xludf.DUMMYFUNCTION("""COMPUTED_VALUE"""),6)</f>
        <v>6</v>
      </c>
      <c r="AB12">
        <f ca="1">IFERROR(__xludf.DUMMYFUNCTION("""COMPUTED_VALUE"""),299)</f>
        <v>299</v>
      </c>
      <c r="AC12">
        <f ca="1">IFERROR(__xludf.DUMMYFUNCTION("""COMPUTED_VALUE"""),11)</f>
        <v>11</v>
      </c>
    </row>
    <row r="13" spans="1:36" ht="15.75" customHeight="1">
      <c r="A13">
        <f t="shared" ca="1" si="0"/>
        <v>12</v>
      </c>
      <c r="B13" s="21"/>
      <c r="C13" s="62">
        <f ca="1">IFERROR(__xludf.DUMMYFUNCTION("""COMPUTED_VALUE"""),0.428571428571428)</f>
        <v>0.42857142857142799</v>
      </c>
      <c r="D13" s="62">
        <f ca="1">IFERROR(__xludf.DUMMYFUNCTION("""COMPUTED_VALUE"""),3.57142857142857)</f>
        <v>3.5714285714285698</v>
      </c>
      <c r="E13" s="62">
        <f ca="1">IFERROR(__xludf.DUMMYFUNCTION("""COMPUTED_VALUE"""),30.7142857142857)</f>
        <v>30.714285714285701</v>
      </c>
      <c r="F13" s="21">
        <f ca="1">IFERROR(__xludf.DUMMYFUNCTION("""COMPUTED_VALUE"""),31)</f>
        <v>31</v>
      </c>
      <c r="G13" s="21">
        <f ca="1">IFERROR(__xludf.DUMMYFUNCTION("""COMPUTED_VALUE"""),708)</f>
        <v>708</v>
      </c>
      <c r="H13" s="21"/>
      <c r="I13" s="63">
        <f ca="1">IFERROR(__xludf.DUMMYFUNCTION("""COMPUTED_VALUE"""),15)</f>
        <v>15</v>
      </c>
      <c r="J13" s="57">
        <f ca="1">IFERROR(__xludf.DUMMYFUNCTION("""COMPUTED_VALUE"""),87.5714285714285)</f>
        <v>87.571428571428498</v>
      </c>
      <c r="K13" s="57">
        <f ca="1">IFERROR(__xludf.DUMMYFUNCTION("""COMPUTED_VALUE"""),1453)</f>
        <v>1453</v>
      </c>
      <c r="L13">
        <f ca="1">IFERROR(__xludf.DUMMYFUNCTION("""COMPUTED_VALUE"""),80672)</f>
        <v>80672</v>
      </c>
      <c r="M13" s="58">
        <f ca="1">IFERROR(__xludf.DUMMYFUNCTION("""COMPUTED_VALUE"""),1965.14285714285)</f>
        <v>1965.1428571428501</v>
      </c>
      <c r="R13" s="13">
        <f ca="1">IFERROR(__xludf.DUMMYFUNCTION("""COMPUTED_VALUE"""),0.0226142857142857)</f>
        <v>2.2614285714285701E-2</v>
      </c>
      <c r="S13" s="13">
        <f ca="1">IFERROR(__xludf.DUMMYFUNCTION("""COMPUTED_VALUE"""),0.0124857142857142)</f>
        <v>1.2485714285714201E-2</v>
      </c>
      <c r="T13" s="13">
        <f ca="1">IFERROR(__xludf.DUMMYFUNCTION("""COMPUTED_VALUE"""),0.101863997373699)</f>
        <v>0.101863997373699</v>
      </c>
      <c r="W13">
        <f ca="1">IFERROR(__xludf.DUMMYFUNCTION("""COMPUTED_VALUE"""),62)</f>
        <v>62</v>
      </c>
      <c r="X13">
        <f ca="1">IFERROR(__xludf.DUMMYFUNCTION("""COMPUTED_VALUE"""),3828)</f>
        <v>3828</v>
      </c>
      <c r="AA13">
        <f ca="1">IFERROR(__xludf.DUMMYFUNCTION("""COMPUTED_VALUE"""),6)</f>
        <v>6</v>
      </c>
      <c r="AB13">
        <f ca="1">IFERROR(__xludf.DUMMYFUNCTION("""COMPUTED_VALUE"""),299)</f>
        <v>299</v>
      </c>
    </row>
    <row r="14" spans="1:36" ht="15.75" customHeight="1">
      <c r="A14">
        <f t="shared" ca="1" si="0"/>
        <v>13</v>
      </c>
      <c r="B14" s="21"/>
      <c r="C14" s="62">
        <f ca="1">IFERROR(__xludf.DUMMYFUNCTION("""COMPUTED_VALUE"""),0.571428571428571)</f>
        <v>0.57142857142857095</v>
      </c>
      <c r="D14" s="62">
        <f ca="1">IFERROR(__xludf.DUMMYFUNCTION("""COMPUTED_VALUE"""),4.28571428571428)</f>
        <v>4.2857142857142803</v>
      </c>
      <c r="E14" s="62">
        <f ca="1">IFERROR(__xludf.DUMMYFUNCTION("""COMPUTED_VALUE"""),32)</f>
        <v>32</v>
      </c>
      <c r="F14" s="21">
        <f ca="1">IFERROR(__xludf.DUMMYFUNCTION("""COMPUTED_VALUE"""),36)</f>
        <v>36</v>
      </c>
      <c r="G14" s="21">
        <f ca="1">IFERROR(__xludf.DUMMYFUNCTION("""COMPUTED_VALUE"""),730)</f>
        <v>730</v>
      </c>
      <c r="H14" s="21"/>
      <c r="I14" s="63">
        <f ca="1">IFERROR(__xludf.DUMMYFUNCTION("""COMPUTED_VALUE"""),14.8571428571428)</f>
        <v>14.857142857142801</v>
      </c>
      <c r="J14" s="57">
        <f ca="1">IFERROR(__xludf.DUMMYFUNCTION("""COMPUTED_VALUE"""),87.1428571428571)</f>
        <v>87.142857142857096</v>
      </c>
      <c r="K14" s="57">
        <f ca="1">IFERROR(__xludf.DUMMYFUNCTION("""COMPUTED_VALUE"""),1518.57142857142)</f>
        <v>1518.57142857142</v>
      </c>
      <c r="L14">
        <f ca="1">IFERROR(__xludf.DUMMYFUNCTION("""COMPUTED_VALUE"""),78577)</f>
        <v>78577</v>
      </c>
      <c r="M14" s="58">
        <f ca="1">IFERROR(__xludf.DUMMYFUNCTION("""COMPUTED_VALUE"""),2227.57142857142)</f>
        <v>2227.5714285714198</v>
      </c>
      <c r="R14" s="13">
        <f ca="1">IFERROR(__xludf.DUMMYFUNCTION("""COMPUTED_VALUE"""),0.0268857142857142)</f>
        <v>2.68857142857142E-2</v>
      </c>
      <c r="S14" s="13">
        <f ca="1">IFERROR(__xludf.DUMMYFUNCTION("""COMPUTED_VALUE"""),0.0111857142857142)</f>
        <v>1.11857142857142E-2</v>
      </c>
      <c r="T14" s="13">
        <f ca="1">IFERROR(__xludf.DUMMYFUNCTION("""COMPUTED_VALUE"""),0.104078524495227)</f>
        <v>0.104078524495227</v>
      </c>
      <c r="W14">
        <f ca="1">IFERROR(__xludf.DUMMYFUNCTION("""COMPUTED_VALUE"""),60)</f>
        <v>60</v>
      </c>
      <c r="X14">
        <f ca="1">IFERROR(__xludf.DUMMYFUNCTION("""COMPUTED_VALUE"""),3771)</f>
        <v>3771</v>
      </c>
      <c r="AA14">
        <f ca="1">IFERROR(__xludf.DUMMYFUNCTION("""COMPUTED_VALUE"""),6)</f>
        <v>6</v>
      </c>
      <c r="AB14">
        <f ca="1">IFERROR(__xludf.DUMMYFUNCTION("""COMPUTED_VALUE"""),299)</f>
        <v>299</v>
      </c>
      <c r="AD14" s="57">
        <f ca="1">IFERROR(__xludf.DUMMYFUNCTION("""COMPUTED_VALUE"""),80)</f>
        <v>80</v>
      </c>
      <c r="AE14" s="57">
        <f ca="1">IFERROR(__xludf.DUMMYFUNCTION("""COMPUTED_VALUE"""),7231.57142857142)</f>
        <v>7231.5714285714203</v>
      </c>
      <c r="AF14">
        <f ca="1">IFERROR(__xludf.DUMMYFUNCTION("""COMPUTED_VALUE"""),137951)</f>
        <v>137951</v>
      </c>
      <c r="AG14" s="58">
        <f ca="1">IFERROR(__xludf.DUMMYFUNCTION("""COMPUTED_VALUE"""),3429.28571428571)</f>
        <v>3429.2857142857101</v>
      </c>
      <c r="AH14" s="13">
        <f ca="1">IFERROR(__xludf.DUMMYFUNCTION("""COMPUTED_VALUE"""),0.328281317062496)</f>
        <v>0.32828131706249603</v>
      </c>
      <c r="AI14">
        <f ca="1">IFERROR(__xludf.DUMMYFUNCTION("""COMPUTED_VALUE"""),2630)</f>
        <v>2630</v>
      </c>
      <c r="AJ14">
        <f ca="1">IFERROR(__xludf.DUMMYFUNCTION("""COMPUTED_VALUE"""),228)</f>
        <v>228</v>
      </c>
    </row>
    <row r="15" spans="1:36" ht="15.75" customHeight="1">
      <c r="A15">
        <f t="shared" ca="1" si="0"/>
        <v>14</v>
      </c>
      <c r="B15" s="21"/>
      <c r="C15" s="62">
        <f ca="1">IFERROR(__xludf.DUMMYFUNCTION("""COMPUTED_VALUE"""),0.571428571428571)</f>
        <v>0.57142857142857095</v>
      </c>
      <c r="D15" s="62">
        <f ca="1">IFERROR(__xludf.DUMMYFUNCTION("""COMPUTED_VALUE"""),5.42857142857142)</f>
        <v>5.4285714285714199</v>
      </c>
      <c r="E15" s="62">
        <f ca="1">IFERROR(__xludf.DUMMYFUNCTION("""COMPUTED_VALUE"""),33.4285714285714)</f>
        <v>33.428571428571402</v>
      </c>
      <c r="F15" s="21">
        <f ca="1">IFERROR(__xludf.DUMMYFUNCTION("""COMPUTED_VALUE"""),47)</f>
        <v>47</v>
      </c>
      <c r="G15" s="21">
        <f ca="1">IFERROR(__xludf.DUMMYFUNCTION("""COMPUTED_VALUE"""),728)</f>
        <v>728</v>
      </c>
      <c r="H15" s="21"/>
      <c r="I15" s="63">
        <f ca="1">IFERROR(__xludf.DUMMYFUNCTION("""COMPUTED_VALUE"""),19.4285714285714)</f>
        <v>19.428571428571399</v>
      </c>
      <c r="J15" s="57">
        <f ca="1">IFERROR(__xludf.DUMMYFUNCTION("""COMPUTED_VALUE"""),88)</f>
        <v>88</v>
      </c>
      <c r="K15" s="57">
        <f ca="1">IFERROR(__xludf.DUMMYFUNCTION("""COMPUTED_VALUE"""),1566.71428571428)</f>
        <v>1566.7142857142801</v>
      </c>
      <c r="L15">
        <f ca="1">IFERROR(__xludf.DUMMYFUNCTION("""COMPUTED_VALUE"""),77583)</f>
        <v>77583</v>
      </c>
      <c r="M15" s="58">
        <f ca="1">IFERROR(__xludf.DUMMYFUNCTION("""COMPUTED_VALUE"""),2344.28571428571)</f>
        <v>2344.2857142857101</v>
      </c>
      <c r="R15" s="13">
        <f ca="1">IFERROR(__xludf.DUMMYFUNCTION("""COMPUTED_VALUE"""),0.0377714285714285)</f>
        <v>3.7771428571428498E-2</v>
      </c>
      <c r="S15" s="13">
        <f ca="1">IFERROR(__xludf.DUMMYFUNCTION("""COMPUTED_VALUE"""),0.0113285714285714)</f>
        <v>1.13285714285714E-2</v>
      </c>
      <c r="T15" s="13">
        <f ca="1">IFERROR(__xludf.DUMMYFUNCTION("""COMPUTED_VALUE"""),0.106286649965121)</f>
        <v>0.10628664996512099</v>
      </c>
      <c r="W15">
        <f ca="1">IFERROR(__xludf.DUMMYFUNCTION("""COMPUTED_VALUE"""),57)</f>
        <v>57</v>
      </c>
      <c r="X15">
        <f ca="1">IFERROR(__xludf.DUMMYFUNCTION("""COMPUTED_VALUE"""),3755)</f>
        <v>3755</v>
      </c>
      <c r="AA15">
        <f ca="1">IFERROR(__xludf.DUMMYFUNCTION("""COMPUTED_VALUE"""),7)</f>
        <v>7</v>
      </c>
      <c r="AB15">
        <f ca="1">IFERROR(__xludf.DUMMYFUNCTION("""COMPUTED_VALUE"""),312)</f>
        <v>312</v>
      </c>
      <c r="AD15" s="57">
        <f ca="1">IFERROR(__xludf.DUMMYFUNCTION("""COMPUTED_VALUE"""),83.5714285714285)</f>
        <v>83.571428571428498</v>
      </c>
      <c r="AE15" s="57">
        <f ca="1">IFERROR(__xludf.DUMMYFUNCTION("""COMPUTED_VALUE"""),7727.14285714285)</f>
        <v>7727.1428571428496</v>
      </c>
      <c r="AF15">
        <f ca="1">IFERROR(__xludf.DUMMYFUNCTION("""COMPUTED_VALUE"""),137628)</f>
        <v>137628</v>
      </c>
      <c r="AG15" s="58">
        <f ca="1">IFERROR(__xludf.DUMMYFUNCTION("""COMPUTED_VALUE"""),4148.14285714285)</f>
        <v>4148.1428571428496</v>
      </c>
      <c r="AH15" s="13">
        <f ca="1">IFERROR(__xludf.DUMMYFUNCTION("""COMPUTED_VALUE"""),0.34073206458816)</f>
        <v>0.34073206458816002</v>
      </c>
      <c r="AI15">
        <f ca="1">IFERROR(__xludf.DUMMYFUNCTION("""COMPUTED_VALUE"""),2689)</f>
        <v>2689</v>
      </c>
      <c r="AJ15">
        <f ca="1">IFERROR(__xludf.DUMMYFUNCTION("""COMPUTED_VALUE"""),217)</f>
        <v>217</v>
      </c>
    </row>
    <row r="16" spans="1:36" ht="15.75" customHeight="1">
      <c r="A16">
        <f t="shared" ca="1" si="0"/>
        <v>15</v>
      </c>
      <c r="B16" s="21"/>
      <c r="C16" s="62">
        <f ca="1">IFERROR(__xludf.DUMMYFUNCTION("""COMPUTED_VALUE"""),0.285714285714285)</f>
        <v>0.28571428571428498</v>
      </c>
      <c r="D16" s="62">
        <f ca="1">IFERROR(__xludf.DUMMYFUNCTION("""COMPUTED_VALUE"""),6.42857142857142)</f>
        <v>6.4285714285714199</v>
      </c>
      <c r="E16" s="62">
        <f ca="1">IFERROR(__xludf.DUMMYFUNCTION("""COMPUTED_VALUE"""),33.2857142857142)</f>
        <v>33.285714285714199</v>
      </c>
      <c r="F16" s="21">
        <f ca="1">IFERROR(__xludf.DUMMYFUNCTION("""COMPUTED_VALUE"""),55)</f>
        <v>55</v>
      </c>
      <c r="G16" s="21">
        <f ca="1">IFERROR(__xludf.DUMMYFUNCTION("""COMPUTED_VALUE"""),759)</f>
        <v>759</v>
      </c>
      <c r="H16" s="21"/>
      <c r="I16" s="63">
        <f ca="1">IFERROR(__xludf.DUMMYFUNCTION("""COMPUTED_VALUE"""),16.7142857142857)</f>
        <v>16.714285714285701</v>
      </c>
      <c r="J16" s="57">
        <f ca="1">IFERROR(__xludf.DUMMYFUNCTION("""COMPUTED_VALUE"""),85.2857142857142)</f>
        <v>85.285714285714207</v>
      </c>
      <c r="K16" s="57">
        <f ca="1">IFERROR(__xludf.DUMMYFUNCTION("""COMPUTED_VALUE"""),1592)</f>
        <v>1592</v>
      </c>
      <c r="L16">
        <f ca="1">IFERROR(__xludf.DUMMYFUNCTION("""COMPUTED_VALUE"""),77039)</f>
        <v>77039</v>
      </c>
      <c r="M16" s="58">
        <f ca="1">IFERROR(__xludf.DUMMYFUNCTION("""COMPUTED_VALUE"""),2309.85714285714)</f>
        <v>2309.8571428571399</v>
      </c>
      <c r="N16" s="57">
        <f ca="1">IFERROR(__xludf.DUMMYFUNCTION("""COMPUTED_VALUE"""),1.57142857142857)</f>
        <v>1.5714285714285701</v>
      </c>
      <c r="O16" s="57">
        <f ca="1">IFERROR(__xludf.DUMMYFUNCTION("""COMPUTED_VALUE"""),88.1428571428571)</f>
        <v>88.142857142857096</v>
      </c>
      <c r="P16">
        <f ca="1">IFERROR(__xludf.DUMMYFUNCTION("""COMPUTED_VALUE"""),9539)</f>
        <v>9539</v>
      </c>
      <c r="Q16" s="58">
        <f ca="1">IFERROR(__xludf.DUMMYFUNCTION("""COMPUTED_VALUE"""),460.285714285714)</f>
        <v>460.28571428571399</v>
      </c>
      <c r="R16" s="13">
        <f ca="1">IFERROR(__xludf.DUMMYFUNCTION("""COMPUTED_VALUE"""),0.0412285714285714)</f>
        <v>4.1228571428571399E-2</v>
      </c>
      <c r="S16" s="13">
        <f ca="1">IFERROR(__xludf.DUMMYFUNCTION("""COMPUTED_VALUE"""),0.0114285714285714)</f>
        <v>1.1428571428571401E-2</v>
      </c>
      <c r="T16" s="13">
        <f ca="1">IFERROR(__xludf.DUMMYFUNCTION("""COMPUTED_VALUE"""),0.106185503763216)</f>
        <v>0.106185503763216</v>
      </c>
      <c r="U16" s="13">
        <f ca="1">IFERROR(__xludf.DUMMYFUNCTION("""COMPUTED_VALUE"""),0.00995773271594858)</f>
        <v>9.9577327159485803E-3</v>
      </c>
      <c r="W16">
        <f ca="1">IFERROR(__xludf.DUMMYFUNCTION("""COMPUTED_VALUE"""),57)</f>
        <v>57</v>
      </c>
      <c r="X16">
        <f ca="1">IFERROR(__xludf.DUMMYFUNCTION("""COMPUTED_VALUE"""),3883)</f>
        <v>3883</v>
      </c>
      <c r="Y16">
        <f ca="1">IFERROR(__xludf.DUMMYFUNCTION("""COMPUTED_VALUE"""),73)</f>
        <v>73</v>
      </c>
      <c r="AA16">
        <f ca="1">IFERROR(__xludf.DUMMYFUNCTION("""COMPUTED_VALUE"""),7)</f>
        <v>7</v>
      </c>
      <c r="AB16">
        <f ca="1">IFERROR(__xludf.DUMMYFUNCTION("""COMPUTED_VALUE"""),314)</f>
        <v>314</v>
      </c>
      <c r="AC16">
        <f ca="1">IFERROR(__xludf.DUMMYFUNCTION("""COMPUTED_VALUE"""),10)</f>
        <v>10</v>
      </c>
      <c r="AD16" s="57">
        <f ca="1">IFERROR(__xludf.DUMMYFUNCTION("""COMPUTED_VALUE"""),86.1428571428571)</f>
        <v>86.142857142857096</v>
      </c>
      <c r="AE16" s="57">
        <f ca="1">IFERROR(__xludf.DUMMYFUNCTION("""COMPUTED_VALUE"""),8728.14285714285)</f>
        <v>8728.1428571428496</v>
      </c>
      <c r="AF16">
        <f ca="1">IFERROR(__xludf.DUMMYFUNCTION("""COMPUTED_VALUE"""),147573)</f>
        <v>147573</v>
      </c>
      <c r="AG16" s="58">
        <f ca="1">IFERROR(__xludf.DUMMYFUNCTION("""COMPUTED_VALUE"""),4552.28571428571)</f>
        <v>4552.2857142857101</v>
      </c>
      <c r="AH16" s="13">
        <f ca="1">IFERROR(__xludf.DUMMYFUNCTION("""COMPUTED_VALUE"""),0.369933638288005)</f>
        <v>0.36993363828800502</v>
      </c>
      <c r="AI16">
        <f ca="1">IFERROR(__xludf.DUMMYFUNCTION("""COMPUTED_VALUE"""),2645)</f>
        <v>2645</v>
      </c>
      <c r="AJ16">
        <f ca="1">IFERROR(__xludf.DUMMYFUNCTION("""COMPUTED_VALUE"""),208)</f>
        <v>208</v>
      </c>
    </row>
    <row r="17" spans="1:36" ht="15.75" customHeight="1">
      <c r="A17">
        <f t="shared" ca="1" si="0"/>
        <v>16</v>
      </c>
      <c r="B17" s="21"/>
      <c r="C17" s="62">
        <f ca="1">IFERROR(__xludf.DUMMYFUNCTION("""COMPUTED_VALUE"""),0.571428571428571)</f>
        <v>0.57142857142857095</v>
      </c>
      <c r="D17" s="62">
        <f ca="1">IFERROR(__xludf.DUMMYFUNCTION("""COMPUTED_VALUE"""),8.14285714285714)</f>
        <v>8.1428571428571406</v>
      </c>
      <c r="E17" s="62">
        <f ca="1">IFERROR(__xludf.DUMMYFUNCTION("""COMPUTED_VALUE"""),35)</f>
        <v>35</v>
      </c>
      <c r="F17" s="21">
        <f ca="1">IFERROR(__xludf.DUMMYFUNCTION("""COMPUTED_VALUE"""),70)</f>
        <v>70</v>
      </c>
      <c r="G17" s="21">
        <f ca="1">IFERROR(__xludf.DUMMYFUNCTION("""COMPUTED_VALUE"""),806)</f>
        <v>806</v>
      </c>
      <c r="H17" s="63">
        <f ca="1">IFERROR(__xludf.DUMMYFUNCTION("""COMPUTED_VALUE"""),0.285714285714285)</f>
        <v>0.28571428571428498</v>
      </c>
      <c r="I17" s="63">
        <f ca="1">IFERROR(__xludf.DUMMYFUNCTION("""COMPUTED_VALUE"""),13)</f>
        <v>13</v>
      </c>
      <c r="J17" s="57">
        <f ca="1">IFERROR(__xludf.DUMMYFUNCTION("""COMPUTED_VALUE"""),84)</f>
        <v>84</v>
      </c>
      <c r="K17" s="57">
        <f ca="1">IFERROR(__xludf.DUMMYFUNCTION("""COMPUTED_VALUE"""),1555.42857142857)</f>
        <v>1555.42857142857</v>
      </c>
      <c r="L17">
        <f ca="1">IFERROR(__xludf.DUMMYFUNCTION("""COMPUTED_VALUE"""),77012)</f>
        <v>77012</v>
      </c>
      <c r="M17" s="58">
        <f ca="1">IFERROR(__xludf.DUMMYFUNCTION("""COMPUTED_VALUE"""),2213)</f>
        <v>2213</v>
      </c>
      <c r="N17" s="57">
        <f ca="1">IFERROR(__xludf.DUMMYFUNCTION("""COMPUTED_VALUE"""),1.71428571428571)</f>
        <v>1.71428571428571</v>
      </c>
      <c r="O17" s="57">
        <f ca="1">IFERROR(__xludf.DUMMYFUNCTION("""COMPUTED_VALUE"""),93.4285714285714)</f>
        <v>93.428571428571402</v>
      </c>
      <c r="P17">
        <f ca="1">IFERROR(__xludf.DUMMYFUNCTION("""COMPUTED_VALUE"""),8908)</f>
        <v>8908</v>
      </c>
      <c r="Q17" s="58">
        <f ca="1">IFERROR(__xludf.DUMMYFUNCTION("""COMPUTED_VALUE"""),531.714285714285)</f>
        <v>531.71428571428498</v>
      </c>
      <c r="R17" s="13">
        <f ca="1">IFERROR(__xludf.DUMMYFUNCTION("""COMPUTED_VALUE"""),0.0418142857142857)</f>
        <v>4.18142857142857E-2</v>
      </c>
      <c r="S17" s="13">
        <f ca="1">IFERROR(__xludf.DUMMYFUNCTION("""COMPUTED_VALUE"""),0.0118285714285714)</f>
        <v>1.18285714285714E-2</v>
      </c>
      <c r="T17" s="13">
        <f ca="1">IFERROR(__xludf.DUMMYFUNCTION("""COMPUTED_VALUE"""),0.101019166480438)</f>
        <v>0.101019166480438</v>
      </c>
      <c r="U17" s="13">
        <f ca="1">IFERROR(__xludf.DUMMYFUNCTION("""COMPUTED_VALUE"""),0.00920298556032543)</f>
        <v>9.2029855603254305E-3</v>
      </c>
      <c r="W17">
        <f ca="1">IFERROR(__xludf.DUMMYFUNCTION("""COMPUTED_VALUE"""),58)</f>
        <v>58</v>
      </c>
      <c r="X17">
        <f ca="1">IFERROR(__xludf.DUMMYFUNCTION("""COMPUTED_VALUE"""),3979)</f>
        <v>3979</v>
      </c>
      <c r="Y17">
        <f ca="1">IFERROR(__xludf.DUMMYFUNCTION("""COMPUTED_VALUE"""),81)</f>
        <v>81</v>
      </c>
      <c r="AA17">
        <f ca="1">IFERROR(__xludf.DUMMYFUNCTION("""COMPUTED_VALUE"""),6)</f>
        <v>6</v>
      </c>
      <c r="AB17">
        <f ca="1">IFERROR(__xludf.DUMMYFUNCTION("""COMPUTED_VALUE"""),318)</f>
        <v>318</v>
      </c>
      <c r="AC17">
        <f ca="1">IFERROR(__xludf.DUMMYFUNCTION("""COMPUTED_VALUE"""),11)</f>
        <v>11</v>
      </c>
      <c r="AD17" s="57">
        <f ca="1">IFERROR(__xludf.DUMMYFUNCTION("""COMPUTED_VALUE"""),84.7142857142857)</f>
        <v>84.714285714285694</v>
      </c>
      <c r="AE17" s="57">
        <f ca="1">IFERROR(__xludf.DUMMYFUNCTION("""COMPUTED_VALUE"""),9629.57142857143)</f>
        <v>9629.5714285714294</v>
      </c>
      <c r="AF17">
        <f ca="1">IFERROR(__xludf.DUMMYFUNCTION("""COMPUTED_VALUE"""),158424)</f>
        <v>158424</v>
      </c>
      <c r="AG17" s="58">
        <f ca="1">IFERROR(__xludf.DUMMYFUNCTION("""COMPUTED_VALUE"""),4402)</f>
        <v>4402</v>
      </c>
      <c r="AH17" s="13">
        <f ca="1">IFERROR(__xludf.DUMMYFUNCTION("""COMPUTED_VALUE"""),0.388170522012872)</f>
        <v>0.388170522012872</v>
      </c>
      <c r="AI17">
        <f ca="1">IFERROR(__xludf.DUMMYFUNCTION("""COMPUTED_VALUE"""),2673)</f>
        <v>2673</v>
      </c>
      <c r="AJ17">
        <f ca="1">IFERROR(__xludf.DUMMYFUNCTION("""COMPUTED_VALUE"""),202)</f>
        <v>202</v>
      </c>
    </row>
    <row r="18" spans="1:36" ht="15.75" customHeight="1">
      <c r="A18">
        <f t="shared" ca="1" si="0"/>
        <v>17</v>
      </c>
      <c r="B18" s="21"/>
      <c r="C18" s="62">
        <f ca="1">IFERROR(__xludf.DUMMYFUNCTION("""COMPUTED_VALUE"""),0.571428571428571)</f>
        <v>0.57142857142857095</v>
      </c>
      <c r="D18" s="62">
        <f ca="1">IFERROR(__xludf.DUMMYFUNCTION("""COMPUTED_VALUE"""),9.42857142857142)</f>
        <v>9.4285714285714199</v>
      </c>
      <c r="E18" s="62">
        <f ca="1">IFERROR(__xludf.DUMMYFUNCTION("""COMPUTED_VALUE"""),36.5714285714285)</f>
        <v>36.571428571428498</v>
      </c>
      <c r="F18" s="21">
        <f ca="1">IFERROR(__xludf.DUMMYFUNCTION("""COMPUTED_VALUE"""),74)</f>
        <v>74</v>
      </c>
      <c r="G18" s="21">
        <f ca="1">IFERROR(__xludf.DUMMYFUNCTION("""COMPUTED_VALUE"""),830)</f>
        <v>830</v>
      </c>
      <c r="H18" s="63">
        <f ca="1">IFERROR(__xludf.DUMMYFUNCTION("""COMPUTED_VALUE"""),0.857142857142857)</f>
        <v>0.85714285714285698</v>
      </c>
      <c r="I18" s="63">
        <f ca="1">IFERROR(__xludf.DUMMYFUNCTION("""COMPUTED_VALUE"""),12.2857142857142)</f>
        <v>12.285714285714199</v>
      </c>
      <c r="J18" s="57">
        <f ca="1">IFERROR(__xludf.DUMMYFUNCTION("""COMPUTED_VALUE"""),83.4285714285714)</f>
        <v>83.428571428571402</v>
      </c>
      <c r="K18" s="57">
        <f ca="1">IFERROR(__xludf.DUMMYFUNCTION("""COMPUTED_VALUE"""),1593.85714285714)</f>
        <v>1593.8571428571399</v>
      </c>
      <c r="L18">
        <f ca="1">IFERROR(__xludf.DUMMYFUNCTION("""COMPUTED_VALUE"""),77250)</f>
        <v>77250</v>
      </c>
      <c r="M18" s="58">
        <f ca="1">IFERROR(__xludf.DUMMYFUNCTION("""COMPUTED_VALUE"""),2138.14285714285)</f>
        <v>2138.1428571428501</v>
      </c>
      <c r="N18" s="57">
        <f ca="1">IFERROR(__xludf.DUMMYFUNCTION("""COMPUTED_VALUE"""),1.42857142857142)</f>
        <v>1.4285714285714199</v>
      </c>
      <c r="O18" s="57">
        <f ca="1">IFERROR(__xludf.DUMMYFUNCTION("""COMPUTED_VALUE"""),97)</f>
        <v>97</v>
      </c>
      <c r="P18">
        <f ca="1">IFERROR(__xludf.DUMMYFUNCTION("""COMPUTED_VALUE"""),7713)</f>
        <v>7713</v>
      </c>
      <c r="Q18" s="58">
        <f ca="1">IFERROR(__xludf.DUMMYFUNCTION("""COMPUTED_VALUE"""),668.285714285714)</f>
        <v>668.28571428571399</v>
      </c>
      <c r="R18" s="13">
        <f ca="1">IFERROR(__xludf.DUMMYFUNCTION("""COMPUTED_VALUE"""),0.0409714285714285)</f>
        <v>4.0971428571428499E-2</v>
      </c>
      <c r="S18" s="13">
        <f ca="1">IFERROR(__xludf.DUMMYFUNCTION("""COMPUTED_VALUE"""),0.0140571428571428)</f>
        <v>1.4057142857142799E-2</v>
      </c>
      <c r="T18" s="13">
        <f ca="1">IFERROR(__xludf.DUMMYFUNCTION("""COMPUTED_VALUE"""),0.101592611685472)</f>
        <v>0.101592611685472</v>
      </c>
      <c r="U18" s="13">
        <f ca="1">IFERROR(__xludf.DUMMYFUNCTION("""COMPUTED_VALUE"""),0.00944211639783138)</f>
        <v>9.4421163978313793E-3</v>
      </c>
      <c r="W18">
        <f ca="1">IFERROR(__xludf.DUMMYFUNCTION("""COMPUTED_VALUE"""),60)</f>
        <v>60</v>
      </c>
      <c r="X18">
        <f ca="1">IFERROR(__xludf.DUMMYFUNCTION("""COMPUTED_VALUE"""),4014)</f>
        <v>4014</v>
      </c>
      <c r="Y18">
        <f ca="1">IFERROR(__xludf.DUMMYFUNCTION("""COMPUTED_VALUE"""),92)</f>
        <v>92</v>
      </c>
      <c r="AA18">
        <f ca="1">IFERROR(__xludf.DUMMYFUNCTION("""COMPUTED_VALUE"""),7)</f>
        <v>7</v>
      </c>
      <c r="AB18">
        <f ca="1">IFERROR(__xludf.DUMMYFUNCTION("""COMPUTED_VALUE"""),321)</f>
        <v>321</v>
      </c>
      <c r="AC18">
        <f ca="1">IFERROR(__xludf.DUMMYFUNCTION("""COMPUTED_VALUE"""),13)</f>
        <v>13</v>
      </c>
      <c r="AD18" s="57">
        <f ca="1">IFERROR(__xludf.DUMMYFUNCTION("""COMPUTED_VALUE"""),83.5714285714285)</f>
        <v>83.571428571428498</v>
      </c>
      <c r="AE18" s="57">
        <f ca="1">IFERROR(__xludf.DUMMYFUNCTION("""COMPUTED_VALUE"""),10634.7142857142)</f>
        <v>10634.714285714201</v>
      </c>
      <c r="AF18">
        <f ca="1">IFERROR(__xludf.DUMMYFUNCTION("""COMPUTED_VALUE"""),167425)</f>
        <v>167425</v>
      </c>
      <c r="AG18" s="58">
        <f ca="1">IFERROR(__xludf.DUMMYFUNCTION("""COMPUTED_VALUE"""),4957.28571428571)</f>
        <v>4957.2857142857101</v>
      </c>
      <c r="AH18" s="13">
        <f ca="1">IFERROR(__xludf.DUMMYFUNCTION("""COMPUTED_VALUE"""),0.39412497430473)</f>
        <v>0.39412497430472998</v>
      </c>
      <c r="AI18">
        <f ca="1">IFERROR(__xludf.DUMMYFUNCTION("""COMPUTED_VALUE"""),2674)</f>
        <v>2674</v>
      </c>
      <c r="AJ18">
        <f ca="1">IFERROR(__xludf.DUMMYFUNCTION("""COMPUTED_VALUE"""),201)</f>
        <v>201</v>
      </c>
    </row>
    <row r="19" spans="1:36" ht="15.75" customHeight="1">
      <c r="A19">
        <f t="shared" ca="1" si="0"/>
        <v>18</v>
      </c>
      <c r="B19" s="21"/>
      <c r="C19" s="62">
        <f ca="1">IFERROR(__xludf.DUMMYFUNCTION("""COMPUTED_VALUE"""),0.714285714285714)</f>
        <v>0.71428571428571397</v>
      </c>
      <c r="D19" s="62">
        <f ca="1">IFERROR(__xludf.DUMMYFUNCTION("""COMPUTED_VALUE"""),10.4285714285714)</f>
        <v>10.4285714285714</v>
      </c>
      <c r="E19" s="62">
        <f ca="1">IFERROR(__xludf.DUMMYFUNCTION("""COMPUTED_VALUE"""),34.1428571428571)</f>
        <v>34.142857142857103</v>
      </c>
      <c r="F19" s="21">
        <f ca="1">IFERROR(__xludf.DUMMYFUNCTION("""COMPUTED_VALUE"""),92)</f>
        <v>92</v>
      </c>
      <c r="G19" s="21">
        <f ca="1">IFERROR(__xludf.DUMMYFUNCTION("""COMPUTED_VALUE"""),847)</f>
        <v>847</v>
      </c>
      <c r="H19" s="63">
        <f ca="1">IFERROR(__xludf.DUMMYFUNCTION("""COMPUTED_VALUE"""),0.857142857142857)</f>
        <v>0.85714285714285698</v>
      </c>
      <c r="I19" s="63">
        <f ca="1">IFERROR(__xludf.DUMMYFUNCTION("""COMPUTED_VALUE"""),10.2857142857142)</f>
        <v>10.285714285714199</v>
      </c>
      <c r="J19" s="57">
        <f ca="1">IFERROR(__xludf.DUMMYFUNCTION("""COMPUTED_VALUE"""),84.4285714285714)</f>
        <v>84.428571428571402</v>
      </c>
      <c r="K19" s="57">
        <f ca="1">IFERROR(__xludf.DUMMYFUNCTION("""COMPUTED_VALUE"""),1735.42857142857)</f>
        <v>1735.42857142857</v>
      </c>
      <c r="L19">
        <f ca="1">IFERROR(__xludf.DUMMYFUNCTION("""COMPUTED_VALUE"""),78625)</f>
        <v>78625</v>
      </c>
      <c r="M19" s="58">
        <f ca="1">IFERROR(__xludf.DUMMYFUNCTION("""COMPUTED_VALUE"""),2032.71428571428)</f>
        <v>2032.7142857142801</v>
      </c>
      <c r="N19" s="57">
        <f ca="1">IFERROR(__xludf.DUMMYFUNCTION("""COMPUTED_VALUE"""),1.42857142857142)</f>
        <v>1.4285714285714199</v>
      </c>
      <c r="O19" s="57">
        <f ca="1">IFERROR(__xludf.DUMMYFUNCTION("""COMPUTED_VALUE"""),105.142857142857)</f>
        <v>105.142857142857</v>
      </c>
      <c r="P19">
        <f ca="1">IFERROR(__xludf.DUMMYFUNCTION("""COMPUTED_VALUE"""),6861)</f>
        <v>6861</v>
      </c>
      <c r="Q19" s="58">
        <f ca="1">IFERROR(__xludf.DUMMYFUNCTION("""COMPUTED_VALUE"""),689)</f>
        <v>689</v>
      </c>
      <c r="R19" s="13">
        <f ca="1">IFERROR(__xludf.DUMMYFUNCTION("""COMPUTED_VALUE"""),0.0363714285714285)</f>
        <v>3.6371428571428499E-2</v>
      </c>
      <c r="S19" s="13">
        <f ca="1">IFERROR(__xludf.DUMMYFUNCTION("""COMPUTED_VALUE"""),0.0136)</f>
        <v>1.3599999999999999E-2</v>
      </c>
      <c r="T19" s="13">
        <f ca="1">IFERROR(__xludf.DUMMYFUNCTION("""COMPUTED_VALUE"""),0.107859612414433)</f>
        <v>0.107859612414433</v>
      </c>
      <c r="U19" s="13">
        <f ca="1">IFERROR(__xludf.DUMMYFUNCTION("""COMPUTED_VALUE"""),0.00896794575788127)</f>
        <v>8.9679457578812696E-3</v>
      </c>
      <c r="W19">
        <f ca="1">IFERROR(__xludf.DUMMYFUNCTION("""COMPUTED_VALUE"""),59)</f>
        <v>59</v>
      </c>
      <c r="X19">
        <f ca="1">IFERROR(__xludf.DUMMYFUNCTION("""COMPUTED_VALUE"""),4021)</f>
        <v>4021</v>
      </c>
      <c r="Y19">
        <f ca="1">IFERROR(__xludf.DUMMYFUNCTION("""COMPUTED_VALUE"""),93)</f>
        <v>93</v>
      </c>
      <c r="AA19">
        <f ca="1">IFERROR(__xludf.DUMMYFUNCTION("""COMPUTED_VALUE"""),7)</f>
        <v>7</v>
      </c>
      <c r="AB19">
        <f ca="1">IFERROR(__xludf.DUMMYFUNCTION("""COMPUTED_VALUE"""),332)</f>
        <v>332</v>
      </c>
      <c r="AC19">
        <f ca="1">IFERROR(__xludf.DUMMYFUNCTION("""COMPUTED_VALUE"""),9)</f>
        <v>9</v>
      </c>
    </row>
    <row r="20" spans="1:36" ht="15.75" customHeight="1">
      <c r="A20">
        <f t="shared" ca="1" si="0"/>
        <v>19</v>
      </c>
      <c r="B20" s="62">
        <f ca="1">IFERROR(__xludf.DUMMYFUNCTION("""COMPUTED_VALUE"""),0.857142857142857)</f>
        <v>0.85714285714285698</v>
      </c>
      <c r="C20" s="62">
        <f ca="1">IFERROR(__xludf.DUMMYFUNCTION("""COMPUTED_VALUE"""),0.714285714285714)</f>
        <v>0.71428571428571397</v>
      </c>
      <c r="D20" s="62">
        <f ca="1">IFERROR(__xludf.DUMMYFUNCTION("""COMPUTED_VALUE"""),14.1428571428571)</f>
        <v>14.1428571428571</v>
      </c>
      <c r="E20" s="62">
        <f ca="1">IFERROR(__xludf.DUMMYFUNCTION("""COMPUTED_VALUE"""),35)</f>
        <v>35</v>
      </c>
      <c r="F20" s="21">
        <f ca="1">IFERROR(__xludf.DUMMYFUNCTION("""COMPUTED_VALUE"""),109)</f>
        <v>109</v>
      </c>
      <c r="G20" s="21">
        <f ca="1">IFERROR(__xludf.DUMMYFUNCTION("""COMPUTED_VALUE"""),883)</f>
        <v>883</v>
      </c>
      <c r="H20" s="63">
        <f ca="1">IFERROR(__xludf.DUMMYFUNCTION("""COMPUTED_VALUE"""),2.14285714285714)</f>
        <v>2.1428571428571401</v>
      </c>
      <c r="I20" s="63">
        <f ca="1">IFERROR(__xludf.DUMMYFUNCTION("""COMPUTED_VALUE"""),9.28571428571428)</f>
        <v>9.2857142857142794</v>
      </c>
      <c r="J20" s="57">
        <f ca="1">IFERROR(__xludf.DUMMYFUNCTION("""COMPUTED_VALUE"""),86)</f>
        <v>86</v>
      </c>
      <c r="K20" s="57">
        <f ca="1">IFERROR(__xludf.DUMMYFUNCTION("""COMPUTED_VALUE"""),1911.57142857142)</f>
        <v>1911.57142857142</v>
      </c>
      <c r="L20">
        <f ca="1">IFERROR(__xludf.DUMMYFUNCTION("""COMPUTED_VALUE"""),80282)</f>
        <v>80282</v>
      </c>
      <c r="M20" s="58">
        <f ca="1">IFERROR(__xludf.DUMMYFUNCTION("""COMPUTED_VALUE"""),1881.28571428571)</f>
        <v>1881.2857142857099</v>
      </c>
      <c r="N20" s="57">
        <f ca="1">IFERROR(__xludf.DUMMYFUNCTION("""COMPUTED_VALUE"""),1.57142857142857)</f>
        <v>1.5714285714285701</v>
      </c>
      <c r="O20" s="57">
        <f ca="1">IFERROR(__xludf.DUMMYFUNCTION("""COMPUTED_VALUE"""),132.142857142857)</f>
        <v>132.142857142857</v>
      </c>
      <c r="P20">
        <f ca="1">IFERROR(__xludf.DUMMYFUNCTION("""COMPUTED_VALUE"""),6363)</f>
        <v>6363</v>
      </c>
      <c r="Q20" s="58">
        <f ca="1">IFERROR(__xludf.DUMMYFUNCTION("""COMPUTED_VALUE"""),787)</f>
        <v>787</v>
      </c>
      <c r="R20" s="13">
        <f ca="1">IFERROR(__xludf.DUMMYFUNCTION("""COMPUTED_VALUE"""),0.0392285714285714)</f>
        <v>3.9228571428571397E-2</v>
      </c>
      <c r="S20" s="13">
        <f ca="1">IFERROR(__xludf.DUMMYFUNCTION("""COMPUTED_VALUE"""),0.0152857142857142)</f>
        <v>1.5285714285714199E-2</v>
      </c>
      <c r="T20" s="13">
        <f ca="1">IFERROR(__xludf.DUMMYFUNCTION("""COMPUTED_VALUE"""),0.113689911540838)</f>
        <v>0.113689911540838</v>
      </c>
      <c r="U20" s="13">
        <f ca="1">IFERROR(__xludf.DUMMYFUNCTION("""COMPUTED_VALUE"""),0.0127042312179979)</f>
        <v>1.2704231217997901E-2</v>
      </c>
      <c r="W20">
        <f ca="1">IFERROR(__xludf.DUMMYFUNCTION("""COMPUTED_VALUE"""),59)</f>
        <v>59</v>
      </c>
      <c r="X20">
        <f ca="1">IFERROR(__xludf.DUMMYFUNCTION("""COMPUTED_VALUE"""),4024)</f>
        <v>4024</v>
      </c>
      <c r="Y20">
        <f ca="1">IFERROR(__xludf.DUMMYFUNCTION("""COMPUTED_VALUE"""),82)</f>
        <v>82</v>
      </c>
      <c r="AA20">
        <f ca="1">IFERROR(__xludf.DUMMYFUNCTION("""COMPUTED_VALUE"""),9)</f>
        <v>9</v>
      </c>
      <c r="AB20">
        <f ca="1">IFERROR(__xludf.DUMMYFUNCTION("""COMPUTED_VALUE"""),352)</f>
        <v>352</v>
      </c>
      <c r="AC20">
        <f ca="1">IFERROR(__xludf.DUMMYFUNCTION("""COMPUTED_VALUE"""),8)</f>
        <v>8</v>
      </c>
    </row>
    <row r="21" spans="1:36" ht="15.75" customHeight="1">
      <c r="A21">
        <f t="shared" ca="1" si="0"/>
        <v>20</v>
      </c>
      <c r="B21" s="62">
        <f ca="1">IFERROR(__xludf.DUMMYFUNCTION("""COMPUTED_VALUE"""),1)</f>
        <v>1</v>
      </c>
      <c r="C21" s="62">
        <f ca="1">IFERROR(__xludf.DUMMYFUNCTION("""COMPUTED_VALUE"""),0.714285714285714)</f>
        <v>0.71428571428571397</v>
      </c>
      <c r="D21" s="62">
        <f ca="1">IFERROR(__xludf.DUMMYFUNCTION("""COMPUTED_VALUE"""),18.2857142857142)</f>
        <v>18.285714285714199</v>
      </c>
      <c r="E21" s="62">
        <f ca="1">IFERROR(__xludf.DUMMYFUNCTION("""COMPUTED_VALUE"""),35)</f>
        <v>35</v>
      </c>
      <c r="F21" s="21">
        <f ca="1">IFERROR(__xludf.DUMMYFUNCTION("""COMPUTED_VALUE"""),138)</f>
        <v>138</v>
      </c>
      <c r="G21" s="21">
        <f ca="1">IFERROR(__xludf.DUMMYFUNCTION("""COMPUTED_VALUE"""),885)</f>
        <v>885</v>
      </c>
      <c r="H21" s="63">
        <f ca="1">IFERROR(__xludf.DUMMYFUNCTION("""COMPUTED_VALUE"""),2.71428571428571)</f>
        <v>2.71428571428571</v>
      </c>
      <c r="I21" s="63">
        <f ca="1">IFERROR(__xludf.DUMMYFUNCTION("""COMPUTED_VALUE"""),12.1428571428571)</f>
        <v>12.1428571428571</v>
      </c>
      <c r="J21" s="57">
        <f ca="1">IFERROR(__xludf.DUMMYFUNCTION("""COMPUTED_VALUE"""),88)</f>
        <v>88</v>
      </c>
      <c r="K21" s="57">
        <f ca="1">IFERROR(__xludf.DUMMYFUNCTION("""COMPUTED_VALUE"""),2050.85714285714)</f>
        <v>2050.8571428571399</v>
      </c>
      <c r="L21">
        <f ca="1">IFERROR(__xludf.DUMMYFUNCTION("""COMPUTED_VALUE"""),81179)</f>
        <v>81179</v>
      </c>
      <c r="M21" s="58">
        <f ca="1">IFERROR(__xludf.DUMMYFUNCTION("""COMPUTED_VALUE"""),1591.14285714285)</f>
        <v>1591.1428571428501</v>
      </c>
      <c r="R21" s="13">
        <f ca="1">IFERROR(__xludf.DUMMYFUNCTION("""COMPUTED_VALUE"""),0.0397571428571428)</f>
        <v>3.9757142857142803E-2</v>
      </c>
      <c r="S21" s="13">
        <f ca="1">IFERROR(__xludf.DUMMYFUNCTION("""COMPUTED_VALUE"""),0.0157142857142857)</f>
        <v>1.5714285714285701E-2</v>
      </c>
      <c r="T21" s="13">
        <f ca="1">IFERROR(__xludf.DUMMYFUNCTION("""COMPUTED_VALUE"""),0.117480873584152)</f>
        <v>0.117480873584152</v>
      </c>
      <c r="W21">
        <f ca="1">IFERROR(__xludf.DUMMYFUNCTION("""COMPUTED_VALUE"""),57)</f>
        <v>57</v>
      </c>
      <c r="X21">
        <f ca="1">IFERROR(__xludf.DUMMYFUNCTION("""COMPUTED_VALUE"""),4147)</f>
        <v>4147</v>
      </c>
      <c r="AA21">
        <f ca="1">IFERROR(__xludf.DUMMYFUNCTION("""COMPUTED_VALUE"""),7)</f>
        <v>7</v>
      </c>
      <c r="AB21">
        <f ca="1">IFERROR(__xludf.DUMMYFUNCTION("""COMPUTED_VALUE"""),351)</f>
        <v>351</v>
      </c>
      <c r="AD21" s="57">
        <f ca="1">IFERROR(__xludf.DUMMYFUNCTION("""COMPUTED_VALUE"""),62.4285714285714)</f>
        <v>62.428571428571402</v>
      </c>
      <c r="AE21" s="57">
        <f ca="1">IFERROR(__xludf.DUMMYFUNCTION("""COMPUTED_VALUE"""),13307.4285714285)</f>
        <v>13307.4285714285</v>
      </c>
      <c r="AF21">
        <f ca="1">IFERROR(__xludf.DUMMYFUNCTION("""COMPUTED_VALUE"""),191312)</f>
        <v>191312</v>
      </c>
      <c r="AG21" s="58">
        <f ca="1">IFERROR(__xludf.DUMMYFUNCTION("""COMPUTED_VALUE"""),5622)</f>
        <v>5622</v>
      </c>
      <c r="AH21" s="13">
        <f ca="1">IFERROR(__xludf.DUMMYFUNCTION("""COMPUTED_VALUE"""),0.402611992091888)</f>
        <v>0.40261199209188803</v>
      </c>
      <c r="AI21">
        <f ca="1">IFERROR(__xludf.DUMMYFUNCTION("""COMPUTED_VALUE"""),2921)</f>
        <v>2921</v>
      </c>
      <c r="AJ21">
        <f ca="1">IFERROR(__xludf.DUMMYFUNCTION("""COMPUTED_VALUE"""),176)</f>
        <v>176</v>
      </c>
    </row>
    <row r="22" spans="1:36" ht="15.75" customHeight="1">
      <c r="A22">
        <f t="shared" ca="1" si="0"/>
        <v>21</v>
      </c>
      <c r="B22" s="62">
        <f ca="1">IFERROR(__xludf.DUMMYFUNCTION("""COMPUTED_VALUE"""),1.14285714285714)</f>
        <v>1.1428571428571399</v>
      </c>
      <c r="C22" s="62">
        <f ca="1">IFERROR(__xludf.DUMMYFUNCTION("""COMPUTED_VALUE"""),0.714285714285714)</f>
        <v>0.71428571428571397</v>
      </c>
      <c r="D22" s="62">
        <f ca="1">IFERROR(__xludf.DUMMYFUNCTION("""COMPUTED_VALUE"""),19.5714285714285)</f>
        <v>19.571428571428498</v>
      </c>
      <c r="E22" s="62">
        <f ca="1">IFERROR(__xludf.DUMMYFUNCTION("""COMPUTED_VALUE"""),40.8571428571428)</f>
        <v>40.857142857142797</v>
      </c>
      <c r="F22" s="21">
        <f ca="1">IFERROR(__xludf.DUMMYFUNCTION("""COMPUTED_VALUE"""),157)</f>
        <v>157</v>
      </c>
      <c r="G22" s="21">
        <f ca="1">IFERROR(__xludf.DUMMYFUNCTION("""COMPUTED_VALUE"""),940)</f>
        <v>940</v>
      </c>
      <c r="H22" s="63">
        <f ca="1">IFERROR(__xludf.DUMMYFUNCTION("""COMPUTED_VALUE"""),2.71428571428571)</f>
        <v>2.71428571428571</v>
      </c>
      <c r="I22" s="63">
        <f ca="1">IFERROR(__xludf.DUMMYFUNCTION("""COMPUTED_VALUE"""),9.85714285714285)</f>
        <v>9.8571428571428505</v>
      </c>
      <c r="J22" s="57">
        <f ca="1">IFERROR(__xludf.DUMMYFUNCTION("""COMPUTED_VALUE"""),84.7142857142857)</f>
        <v>84.714285714285694</v>
      </c>
      <c r="K22" s="57">
        <f ca="1">IFERROR(__xludf.DUMMYFUNCTION("""COMPUTED_VALUE"""),2223)</f>
        <v>2223</v>
      </c>
      <c r="L22">
        <f ca="1">IFERROR(__xludf.DUMMYFUNCTION("""COMPUTED_VALUE"""),82103)</f>
        <v>82103</v>
      </c>
      <c r="M22" s="58">
        <f ca="1">IFERROR(__xludf.DUMMYFUNCTION("""COMPUTED_VALUE"""),1492.57142857142)</f>
        <v>1492.57142857142</v>
      </c>
      <c r="R22" s="13">
        <f ca="1">IFERROR(__xludf.DUMMYFUNCTION("""COMPUTED_VALUE"""),0.0311)</f>
        <v>3.1099999999999999E-2</v>
      </c>
      <c r="S22" s="13">
        <f ca="1">IFERROR(__xludf.DUMMYFUNCTION("""COMPUTED_VALUE"""),0.0167428571428571)</f>
        <v>1.6742857142857101E-2</v>
      </c>
      <c r="T22" s="13">
        <f ca="1">IFERROR(__xludf.DUMMYFUNCTION("""COMPUTED_VALUE"""),0.122941567460174)</f>
        <v>0.122941567460174</v>
      </c>
      <c r="W22">
        <f ca="1">IFERROR(__xludf.DUMMYFUNCTION("""COMPUTED_VALUE"""),64)</f>
        <v>64</v>
      </c>
      <c r="X22">
        <f ca="1">IFERROR(__xludf.DUMMYFUNCTION("""COMPUTED_VALUE"""),4233)</f>
        <v>4233</v>
      </c>
      <c r="AA22">
        <f ca="1">IFERROR(__xludf.DUMMYFUNCTION("""COMPUTED_VALUE"""),7)</f>
        <v>7</v>
      </c>
      <c r="AB22">
        <f ca="1">IFERROR(__xludf.DUMMYFUNCTION("""COMPUTED_VALUE"""),366)</f>
        <v>366</v>
      </c>
      <c r="AD22" s="57">
        <f ca="1">IFERROR(__xludf.DUMMYFUNCTION("""COMPUTED_VALUE"""),59.5714285714285)</f>
        <v>59.571428571428498</v>
      </c>
      <c r="AE22" s="57">
        <f ca="1">IFERROR(__xludf.DUMMYFUNCTION("""COMPUTED_VALUE"""),13716.8571428571)</f>
        <v>13716.857142857099</v>
      </c>
      <c r="AF22">
        <f ca="1">IFERROR(__xludf.DUMMYFUNCTION("""COMPUTED_VALUE"""),193630)</f>
        <v>193630</v>
      </c>
      <c r="AG22" s="58">
        <f ca="1">IFERROR(__xludf.DUMMYFUNCTION("""COMPUTED_VALUE"""),5657)</f>
        <v>5657</v>
      </c>
      <c r="AH22" s="13">
        <f ca="1">IFERROR(__xludf.DUMMYFUNCTION("""COMPUTED_VALUE"""),0.424715174987464)</f>
        <v>0.42471517498746397</v>
      </c>
      <c r="AI22">
        <f ca="1">IFERROR(__xludf.DUMMYFUNCTION("""COMPUTED_VALUE"""),3115)</f>
        <v>3115</v>
      </c>
      <c r="AJ22">
        <f ca="1">IFERROR(__xludf.DUMMYFUNCTION("""COMPUTED_VALUE"""),177)</f>
        <v>177</v>
      </c>
    </row>
    <row r="23" spans="1:36" ht="15.75" customHeight="1">
      <c r="A23">
        <f t="shared" ca="1" si="0"/>
        <v>22</v>
      </c>
      <c r="B23" s="62">
        <f ca="1">IFERROR(__xludf.DUMMYFUNCTION("""COMPUTED_VALUE"""),1.28571428571428)</f>
        <v>1.28571428571428</v>
      </c>
      <c r="C23" s="62">
        <f ca="1">IFERROR(__xludf.DUMMYFUNCTION("""COMPUTED_VALUE"""),0.714285714285714)</f>
        <v>0.71428571428571397</v>
      </c>
      <c r="D23" s="62">
        <f ca="1">IFERROR(__xludf.DUMMYFUNCTION("""COMPUTED_VALUE"""),24)</f>
        <v>24</v>
      </c>
      <c r="E23" s="62">
        <f ca="1">IFERROR(__xludf.DUMMYFUNCTION("""COMPUTED_VALUE"""),47.5714285714285)</f>
        <v>47.571428571428498</v>
      </c>
      <c r="F23" s="21">
        <f ca="1">IFERROR(__xludf.DUMMYFUNCTION("""COMPUTED_VALUE"""),195)</f>
        <v>195</v>
      </c>
      <c r="G23" s="21">
        <f ca="1">IFERROR(__xludf.DUMMYFUNCTION("""COMPUTED_VALUE"""),1008)</f>
        <v>1008</v>
      </c>
      <c r="H23" s="63">
        <f ca="1">IFERROR(__xludf.DUMMYFUNCTION("""COMPUTED_VALUE"""),2.71428571428571)</f>
        <v>2.71428571428571</v>
      </c>
      <c r="I23" s="63">
        <f ca="1">IFERROR(__xludf.DUMMYFUNCTION("""COMPUTED_VALUE"""),11.2857142857142)</f>
        <v>11.285714285714199</v>
      </c>
      <c r="J23" s="57">
        <f ca="1">IFERROR(__xludf.DUMMYFUNCTION("""COMPUTED_VALUE"""),85)</f>
        <v>85</v>
      </c>
      <c r="K23" s="57">
        <f ca="1">IFERROR(__xludf.DUMMYFUNCTION("""COMPUTED_VALUE"""),2406.71428571428)</f>
        <v>2406.7142857142799</v>
      </c>
      <c r="L23">
        <f ca="1">IFERROR(__xludf.DUMMYFUNCTION("""COMPUTED_VALUE"""),82649)</f>
        <v>82649</v>
      </c>
      <c r="M23" s="58">
        <f ca="1">IFERROR(__xludf.DUMMYFUNCTION("""COMPUTED_VALUE"""),1520.28571428571)</f>
        <v>1520.2857142857099</v>
      </c>
      <c r="N23" s="57">
        <f ca="1">IFERROR(__xludf.DUMMYFUNCTION("""COMPUTED_VALUE"""),0.714285714285714)</f>
        <v>0.71428571428571397</v>
      </c>
      <c r="O23" s="57">
        <f ca="1">IFERROR(__xludf.DUMMYFUNCTION("""COMPUTED_VALUE"""),158)</f>
        <v>158</v>
      </c>
      <c r="P23">
        <f ca="1">IFERROR(__xludf.DUMMYFUNCTION("""COMPUTED_VALUE"""),4936)</f>
        <v>4936</v>
      </c>
      <c r="Q23" s="58">
        <f ca="1">IFERROR(__xludf.DUMMYFUNCTION("""COMPUTED_VALUE"""),814.857142857142)</f>
        <v>814.85714285714198</v>
      </c>
      <c r="R23" s="13">
        <f ca="1">IFERROR(__xludf.DUMMYFUNCTION("""COMPUTED_VALUE"""),0.0337285714285714)</f>
        <v>3.3728571428571399E-2</v>
      </c>
      <c r="S23" s="13">
        <f ca="1">IFERROR(__xludf.DUMMYFUNCTION("""COMPUTED_VALUE"""),0.0181142857142857)</f>
        <v>1.8114285714285701E-2</v>
      </c>
      <c r="T23" s="13">
        <f ca="1">IFERROR(__xludf.DUMMYFUNCTION("""COMPUTED_VALUE"""),0.129523858283814)</f>
        <v>0.12952385828381399</v>
      </c>
      <c r="U23" s="13">
        <f ca="1">IFERROR(__xludf.DUMMYFUNCTION("""COMPUTED_VALUE"""),0.0138365855509254)</f>
        <v>1.3836585550925399E-2</v>
      </c>
      <c r="W23">
        <f ca="1">IFERROR(__xludf.DUMMYFUNCTION("""COMPUTED_VALUE"""),69)</f>
        <v>69</v>
      </c>
      <c r="X23">
        <f ca="1">IFERROR(__xludf.DUMMYFUNCTION("""COMPUTED_VALUE"""),4489)</f>
        <v>4489</v>
      </c>
      <c r="Y23">
        <f ca="1">IFERROR(__xludf.DUMMYFUNCTION("""COMPUTED_VALUE"""),98)</f>
        <v>98</v>
      </c>
      <c r="AA23">
        <f ca="1">IFERROR(__xludf.DUMMYFUNCTION("""COMPUTED_VALUE"""),8)</f>
        <v>8</v>
      </c>
      <c r="AB23">
        <f ca="1">IFERROR(__xludf.DUMMYFUNCTION("""COMPUTED_VALUE"""),394)</f>
        <v>394</v>
      </c>
      <c r="AC23">
        <f ca="1">IFERROR(__xludf.DUMMYFUNCTION("""COMPUTED_VALUE"""),7)</f>
        <v>7</v>
      </c>
      <c r="AD23" s="57">
        <f ca="1">IFERROR(__xludf.DUMMYFUNCTION("""COMPUTED_VALUE"""),57.2857142857142)</f>
        <v>57.285714285714199</v>
      </c>
      <c r="AE23" s="57">
        <f ca="1">IFERROR(__xludf.DUMMYFUNCTION("""COMPUTED_VALUE"""),14471.7142857142)</f>
        <v>14471.714285714201</v>
      </c>
      <c r="AF23">
        <f ca="1">IFERROR(__xludf.DUMMYFUNCTION("""COMPUTED_VALUE"""),205376)</f>
        <v>205376</v>
      </c>
      <c r="AG23" s="58">
        <f ca="1">IFERROR(__xludf.DUMMYFUNCTION("""COMPUTED_VALUE"""),6156.85714285714)</f>
        <v>6156.8571428571404</v>
      </c>
      <c r="AH23" s="13">
        <f ca="1">IFERROR(__xludf.DUMMYFUNCTION("""COMPUTED_VALUE"""),0.462316688418584)</f>
        <v>0.46231668841858398</v>
      </c>
      <c r="AI23">
        <f ca="1">IFERROR(__xludf.DUMMYFUNCTION("""COMPUTED_VALUE"""),3145)</f>
        <v>3145</v>
      </c>
      <c r="AJ23">
        <f ca="1">IFERROR(__xludf.DUMMYFUNCTION("""COMPUTED_VALUE"""),164)</f>
        <v>164</v>
      </c>
    </row>
    <row r="24" spans="1:36" ht="15.75" customHeight="1">
      <c r="A24">
        <f t="shared" ca="1" si="0"/>
        <v>23</v>
      </c>
      <c r="B24" s="62">
        <f ca="1">IFERROR(__xludf.DUMMYFUNCTION("""COMPUTED_VALUE"""),1.28571428571428)</f>
        <v>1.28571428571428</v>
      </c>
      <c r="C24" s="62">
        <f ca="1">IFERROR(__xludf.DUMMYFUNCTION("""COMPUTED_VALUE"""),0.428571428571428)</f>
        <v>0.42857142857142799</v>
      </c>
      <c r="D24" s="62">
        <f ca="1">IFERROR(__xludf.DUMMYFUNCTION("""COMPUTED_VALUE"""),26.8571428571428)</f>
        <v>26.857142857142801</v>
      </c>
      <c r="E24" s="62">
        <f ca="1">IFERROR(__xludf.DUMMYFUNCTION("""COMPUTED_VALUE"""),59)</f>
        <v>59</v>
      </c>
      <c r="F24" s="21">
        <f ca="1">IFERROR(__xludf.DUMMYFUNCTION("""COMPUTED_VALUE"""),223)</f>
        <v>223</v>
      </c>
      <c r="G24" s="21">
        <f ca="1">IFERROR(__xludf.DUMMYFUNCTION("""COMPUTED_VALUE"""),1138)</f>
        <v>1138</v>
      </c>
      <c r="H24" s="63">
        <f ca="1">IFERROR(__xludf.DUMMYFUNCTION("""COMPUTED_VALUE"""),3.71428571428571)</f>
        <v>3.71428571428571</v>
      </c>
      <c r="I24" s="63">
        <f ca="1">IFERROR(__xludf.DUMMYFUNCTION("""COMPUTED_VALUE"""),11.1428571428571)</f>
        <v>11.1428571428571</v>
      </c>
      <c r="J24" s="57">
        <f ca="1">IFERROR(__xludf.DUMMYFUNCTION("""COMPUTED_VALUE"""),87.5714285714285)</f>
        <v>87.571428571428498</v>
      </c>
      <c r="K24" s="57">
        <f ca="1">IFERROR(__xludf.DUMMYFUNCTION("""COMPUTED_VALUE"""),2521.71428571428)</f>
        <v>2521.7142857142799</v>
      </c>
      <c r="L24">
        <f ca="1">IFERROR(__xludf.DUMMYFUNCTION("""COMPUTED_VALUE"""),81976)</f>
        <v>81976</v>
      </c>
      <c r="M24" s="58">
        <f ca="1">IFERROR(__xludf.DUMMYFUNCTION("""COMPUTED_VALUE"""),1725)</f>
        <v>1725</v>
      </c>
      <c r="N24" s="57">
        <f ca="1">IFERROR(__xludf.DUMMYFUNCTION("""COMPUTED_VALUE"""),0.571428571428571)</f>
        <v>0.57142857142857095</v>
      </c>
      <c r="O24" s="57">
        <f ca="1">IFERROR(__xludf.DUMMYFUNCTION("""COMPUTED_VALUE"""),162)</f>
        <v>162</v>
      </c>
      <c r="P24">
        <f ca="1">IFERROR(__xludf.DUMMYFUNCTION("""COMPUTED_VALUE"""),4834)</f>
        <v>4834</v>
      </c>
      <c r="Q24" s="58">
        <f ca="1">IFERROR(__xludf.DUMMYFUNCTION("""COMPUTED_VALUE"""),743.428571428571)</f>
        <v>743.42857142857099</v>
      </c>
      <c r="R24" s="13">
        <f ca="1">IFERROR(__xludf.DUMMYFUNCTION("""COMPUTED_VALUE"""),0.0338142857142857)</f>
        <v>3.38142857142857E-2</v>
      </c>
      <c r="S24" s="13">
        <f ca="1">IFERROR(__xludf.DUMMYFUNCTION("""COMPUTED_VALUE"""),0.0191285714285714)</f>
        <v>1.9128571428571401E-2</v>
      </c>
      <c r="T24" s="13">
        <f ca="1">IFERROR(__xludf.DUMMYFUNCTION("""COMPUTED_VALUE"""),0.135580909421917)</f>
        <v>0.135580909421917</v>
      </c>
      <c r="U24" s="13">
        <f ca="1">IFERROR(__xludf.DUMMYFUNCTION("""COMPUTED_VALUE"""),0.0163542069947643)</f>
        <v>1.6354206994764298E-2</v>
      </c>
      <c r="W24">
        <f ca="1">IFERROR(__xludf.DUMMYFUNCTION("""COMPUTED_VALUE"""),78)</f>
        <v>78</v>
      </c>
      <c r="X24">
        <f ca="1">IFERROR(__xludf.DUMMYFUNCTION("""COMPUTED_VALUE"""),4582)</f>
        <v>4582</v>
      </c>
      <c r="Y24">
        <f ca="1">IFERROR(__xludf.DUMMYFUNCTION("""COMPUTED_VALUE"""),119)</f>
        <v>119</v>
      </c>
      <c r="AA24">
        <f ca="1">IFERROR(__xludf.DUMMYFUNCTION("""COMPUTED_VALUE"""),7)</f>
        <v>7</v>
      </c>
      <c r="AB24">
        <f ca="1">IFERROR(__xludf.DUMMYFUNCTION("""COMPUTED_VALUE"""),396)</f>
        <v>396</v>
      </c>
      <c r="AC24">
        <f ca="1">IFERROR(__xludf.DUMMYFUNCTION("""COMPUTED_VALUE"""),13)</f>
        <v>13</v>
      </c>
      <c r="AD24" s="57">
        <f ca="1">IFERROR(__xludf.DUMMYFUNCTION("""COMPUTED_VALUE"""),56.2857142857142)</f>
        <v>56.285714285714199</v>
      </c>
      <c r="AE24" s="57">
        <f ca="1">IFERROR(__xludf.DUMMYFUNCTION("""COMPUTED_VALUE"""),14998.4285714285)</f>
        <v>14998.4285714285</v>
      </c>
      <c r="AF24">
        <f ca="1">IFERROR(__xludf.DUMMYFUNCTION("""COMPUTED_VALUE"""),215839)</f>
        <v>215839</v>
      </c>
      <c r="AG24" s="58">
        <f ca="1">IFERROR(__xludf.DUMMYFUNCTION("""COMPUTED_VALUE"""),6740)</f>
        <v>6740</v>
      </c>
      <c r="AH24" s="13">
        <f ca="1">IFERROR(__xludf.DUMMYFUNCTION("""COMPUTED_VALUE"""),0.464380218911163)</f>
        <v>0.46438021891116299</v>
      </c>
      <c r="AI24">
        <f ca="1">IFERROR(__xludf.DUMMYFUNCTION("""COMPUTED_VALUE"""),3267)</f>
        <v>3267</v>
      </c>
      <c r="AJ24">
        <f ca="1">IFERROR(__xludf.DUMMYFUNCTION("""COMPUTED_VALUE"""),157)</f>
        <v>157</v>
      </c>
    </row>
    <row r="25" spans="1:36" ht="15.75" customHeight="1">
      <c r="A25">
        <f t="shared" ca="1" si="0"/>
        <v>24</v>
      </c>
      <c r="B25" s="62">
        <f ca="1">IFERROR(__xludf.DUMMYFUNCTION("""COMPUTED_VALUE"""),0.857142857142857)</f>
        <v>0.85714285714285698</v>
      </c>
      <c r="C25" s="62">
        <f ca="1">IFERROR(__xludf.DUMMYFUNCTION("""COMPUTED_VALUE"""),0.428571428571428)</f>
        <v>0.42857142857142799</v>
      </c>
      <c r="D25" s="62">
        <f ca="1">IFERROR(__xludf.DUMMYFUNCTION("""COMPUTED_VALUE"""),30.7142857142857)</f>
        <v>30.714285714285701</v>
      </c>
      <c r="E25" s="62">
        <f ca="1">IFERROR(__xludf.DUMMYFUNCTION("""COMPUTED_VALUE"""),76.5714285714285)</f>
        <v>76.571428571428498</v>
      </c>
      <c r="F25" s="21">
        <f ca="1">IFERROR(__xludf.DUMMYFUNCTION("""COMPUTED_VALUE"""),256)</f>
        <v>256</v>
      </c>
      <c r="G25" s="21">
        <f ca="1">IFERROR(__xludf.DUMMYFUNCTION("""COMPUTED_VALUE"""),1296)</f>
        <v>1296</v>
      </c>
      <c r="H25" s="63">
        <f ca="1">IFERROR(__xludf.DUMMYFUNCTION("""COMPUTED_VALUE"""),3.85714285714285)</f>
        <v>3.8571428571428501</v>
      </c>
      <c r="I25" s="63">
        <f ca="1">IFERROR(__xludf.DUMMYFUNCTION("""COMPUTED_VALUE"""),9.57142857142857)</f>
        <v>9.5714285714285694</v>
      </c>
      <c r="J25" s="57">
        <f ca="1">IFERROR(__xludf.DUMMYFUNCTION("""COMPUTED_VALUE"""),88.7142857142857)</f>
        <v>88.714285714285694</v>
      </c>
      <c r="K25" s="57">
        <f ca="1">IFERROR(__xludf.DUMMYFUNCTION("""COMPUTED_VALUE"""),2708.42857142857)</f>
        <v>2708.4285714285702</v>
      </c>
      <c r="L25">
        <f ca="1">IFERROR(__xludf.DUMMYFUNCTION("""COMPUTED_VALUE"""),82127)</f>
        <v>82127</v>
      </c>
      <c r="M25" s="58">
        <f ca="1">IFERROR(__xludf.DUMMYFUNCTION("""COMPUTED_VALUE"""),1923)</f>
        <v>1923</v>
      </c>
      <c r="N25" s="57">
        <f ca="1">IFERROR(__xludf.DUMMYFUNCTION("""COMPUTED_VALUE"""),0.571428571428571)</f>
        <v>0.57142857142857095</v>
      </c>
      <c r="O25" s="57">
        <f ca="1">IFERROR(__xludf.DUMMYFUNCTION("""COMPUTED_VALUE"""),170.571428571428)</f>
        <v>170.57142857142799</v>
      </c>
      <c r="P25">
        <f ca="1">IFERROR(__xludf.DUMMYFUNCTION("""COMPUTED_VALUE"""),4826)</f>
        <v>4826</v>
      </c>
      <c r="Q25" s="58">
        <f ca="1">IFERROR(__xludf.DUMMYFUNCTION("""COMPUTED_VALUE"""),582.428571428571)</f>
        <v>582.42857142857099</v>
      </c>
      <c r="R25" s="13">
        <f ca="1">IFERROR(__xludf.DUMMYFUNCTION("""COMPUTED_VALUE"""),0.0356999999999999)</f>
        <v>3.5699999999999898E-2</v>
      </c>
      <c r="S25" s="13">
        <f ca="1">IFERROR(__xludf.DUMMYFUNCTION("""COMPUTED_VALUE"""),0.0227142857142857)</f>
        <v>2.2714285714285701E-2</v>
      </c>
      <c r="T25" s="13">
        <f ca="1">IFERROR(__xludf.DUMMYFUNCTION("""COMPUTED_VALUE"""),0.141576374760177)</f>
        <v>0.14157637476017701</v>
      </c>
      <c r="U25" s="13">
        <f ca="1">IFERROR(__xludf.DUMMYFUNCTION("""COMPUTED_VALUE"""),0.0174887329996068)</f>
        <v>1.74887329996068E-2</v>
      </c>
      <c r="W25">
        <f ca="1">IFERROR(__xludf.DUMMYFUNCTION("""COMPUTED_VALUE"""),90)</f>
        <v>90</v>
      </c>
      <c r="X25">
        <f ca="1">IFERROR(__xludf.DUMMYFUNCTION("""COMPUTED_VALUE"""),4353)</f>
        <v>4353</v>
      </c>
      <c r="Y25">
        <f ca="1">IFERROR(__xludf.DUMMYFUNCTION("""COMPUTED_VALUE"""),132)</f>
        <v>132</v>
      </c>
      <c r="AA25">
        <f ca="1">IFERROR(__xludf.DUMMYFUNCTION("""COMPUTED_VALUE"""),7)</f>
        <v>7</v>
      </c>
      <c r="AB25">
        <f ca="1">IFERROR(__xludf.DUMMYFUNCTION("""COMPUTED_VALUE"""),407)</f>
        <v>407</v>
      </c>
      <c r="AC25">
        <f ca="1">IFERROR(__xludf.DUMMYFUNCTION("""COMPUTED_VALUE"""),13)</f>
        <v>13</v>
      </c>
      <c r="AD25" s="57">
        <f ca="1">IFERROR(__xludf.DUMMYFUNCTION("""COMPUTED_VALUE"""),58.1428571428571)</f>
        <v>58.142857142857103</v>
      </c>
      <c r="AE25" s="57">
        <f ca="1">IFERROR(__xludf.DUMMYFUNCTION("""COMPUTED_VALUE"""),15271.5714285714)</f>
        <v>15271.5714285714</v>
      </c>
      <c r="AF25">
        <f ca="1">IFERROR(__xludf.DUMMYFUNCTION("""COMPUTED_VALUE"""),225801)</f>
        <v>225801</v>
      </c>
      <c r="AG25" s="58">
        <f ca="1">IFERROR(__xludf.DUMMYFUNCTION("""COMPUTED_VALUE"""),6874)</f>
        <v>6874</v>
      </c>
      <c r="AH25" s="13">
        <f ca="1">IFERROR(__xludf.DUMMYFUNCTION("""COMPUTED_VALUE"""),0.472912792071108)</f>
        <v>0.47291279207110798</v>
      </c>
      <c r="AI25">
        <f ca="1">IFERROR(__xludf.DUMMYFUNCTION("""COMPUTED_VALUE"""),3463)</f>
        <v>3463</v>
      </c>
      <c r="AJ25">
        <f ca="1">IFERROR(__xludf.DUMMYFUNCTION("""COMPUTED_VALUE"""),145)</f>
        <v>145</v>
      </c>
    </row>
    <row r="26" spans="1:36" ht="15.75" customHeight="1">
      <c r="A26">
        <f t="shared" ca="1" si="0"/>
        <v>25</v>
      </c>
      <c r="B26" s="62">
        <f ca="1">IFERROR(__xludf.DUMMYFUNCTION("""COMPUTED_VALUE"""),1)</f>
        <v>1</v>
      </c>
      <c r="C26" s="62">
        <f ca="1">IFERROR(__xludf.DUMMYFUNCTION("""COMPUTED_VALUE"""),0.142857142857142)</f>
        <v>0.14285714285714199</v>
      </c>
      <c r="D26" s="62">
        <f ca="1">IFERROR(__xludf.DUMMYFUNCTION("""COMPUTED_VALUE"""),34.2857142857142)</f>
        <v>34.285714285714199</v>
      </c>
      <c r="E26" s="62">
        <f ca="1">IFERROR(__xludf.DUMMYFUNCTION("""COMPUTED_VALUE"""),115.142857142857)</f>
        <v>115.142857142857</v>
      </c>
      <c r="F26" s="21">
        <f ca="1">IFERROR(__xludf.DUMMYFUNCTION("""COMPUTED_VALUE"""),298)</f>
        <v>298</v>
      </c>
      <c r="G26" s="21">
        <f ca="1">IFERROR(__xludf.DUMMYFUNCTION("""COMPUTED_VALUE"""),1588)</f>
        <v>1588</v>
      </c>
      <c r="H26" s="63">
        <f ca="1">IFERROR(__xludf.DUMMYFUNCTION("""COMPUTED_VALUE"""),3.85714285714285)</f>
        <v>3.8571428571428501</v>
      </c>
      <c r="I26" s="63">
        <f ca="1">IFERROR(__xludf.DUMMYFUNCTION("""COMPUTED_VALUE"""),9.14285714285714)</f>
        <v>9.1428571428571406</v>
      </c>
      <c r="J26" s="57">
        <f ca="1">IFERROR(__xludf.DUMMYFUNCTION("""COMPUTED_VALUE"""),91)</f>
        <v>91</v>
      </c>
      <c r="K26" s="57">
        <f ca="1">IFERROR(__xludf.DUMMYFUNCTION("""COMPUTED_VALUE"""),2927.28571428571)</f>
        <v>2927.2857142857101</v>
      </c>
      <c r="L26">
        <f ca="1">IFERROR(__xludf.DUMMYFUNCTION("""COMPUTED_VALUE"""),84061)</f>
        <v>84061</v>
      </c>
      <c r="M26" s="58">
        <f ca="1">IFERROR(__xludf.DUMMYFUNCTION("""COMPUTED_VALUE"""),2059.71428571428)</f>
        <v>2059.7142857142799</v>
      </c>
      <c r="N26" s="57">
        <f ca="1">IFERROR(__xludf.DUMMYFUNCTION("""COMPUTED_VALUE"""),0.571428571428571)</f>
        <v>0.57142857142857095</v>
      </c>
      <c r="O26" s="57">
        <f ca="1">IFERROR(__xludf.DUMMYFUNCTION("""COMPUTED_VALUE"""),182.285714285714)</f>
        <v>182.28571428571399</v>
      </c>
      <c r="P26">
        <f ca="1">IFERROR(__xludf.DUMMYFUNCTION("""COMPUTED_VALUE"""),4824)</f>
        <v>4824</v>
      </c>
      <c r="Q26" s="58">
        <f ca="1">IFERROR(__xludf.DUMMYFUNCTION("""COMPUTED_VALUE"""),472.714285714285)</f>
        <v>472.71428571428498</v>
      </c>
      <c r="R26" s="13">
        <f ca="1">IFERROR(__xludf.DUMMYFUNCTION("""COMPUTED_VALUE"""),0.0362)</f>
        <v>3.6200000000000003E-2</v>
      </c>
      <c r="S26" s="13">
        <f ca="1">IFERROR(__xludf.DUMMYFUNCTION("""COMPUTED_VALUE"""),0.0278142857142857)</f>
        <v>2.7814285714285701E-2</v>
      </c>
      <c r="T26" s="13">
        <f ca="1">IFERROR(__xludf.DUMMYFUNCTION("""COMPUTED_VALUE"""),0.146590430114551)</f>
        <v>0.146590430114551</v>
      </c>
      <c r="U26" s="13">
        <f ca="1">IFERROR(__xludf.DUMMYFUNCTION("""COMPUTED_VALUE"""),0.0203182251559414)</f>
        <v>2.0318225155941401E-2</v>
      </c>
      <c r="W26">
        <f ca="1">IFERROR(__xludf.DUMMYFUNCTION("""COMPUTED_VALUE"""),90)</f>
        <v>90</v>
      </c>
      <c r="X26">
        <f ca="1">IFERROR(__xludf.DUMMYFUNCTION("""COMPUTED_VALUE"""),4836)</f>
        <v>4836</v>
      </c>
      <c r="Y26">
        <f ca="1">IFERROR(__xludf.DUMMYFUNCTION("""COMPUTED_VALUE"""),138)</f>
        <v>138</v>
      </c>
      <c r="AA26">
        <f ca="1">IFERROR(__xludf.DUMMYFUNCTION("""COMPUTED_VALUE"""),7)</f>
        <v>7</v>
      </c>
      <c r="AB26">
        <f ca="1">IFERROR(__xludf.DUMMYFUNCTION("""COMPUTED_VALUE"""),411)</f>
        <v>411</v>
      </c>
      <c r="AC26">
        <f ca="1">IFERROR(__xludf.DUMMYFUNCTION("""COMPUTED_VALUE"""),16)</f>
        <v>16</v>
      </c>
    </row>
    <row r="27" spans="1:36" ht="15.75" customHeight="1">
      <c r="A27">
        <f t="shared" ca="1" si="0"/>
        <v>26</v>
      </c>
      <c r="B27" s="62">
        <f ca="1">IFERROR(__xludf.DUMMYFUNCTION("""COMPUTED_VALUE"""),1)</f>
        <v>1</v>
      </c>
      <c r="C27" s="62">
        <f ca="1">IFERROR(__xludf.DUMMYFUNCTION("""COMPUTED_VALUE"""),0.285714285714285)</f>
        <v>0.28571428571428498</v>
      </c>
      <c r="D27" s="62">
        <f ca="1">IFERROR(__xludf.DUMMYFUNCTION("""COMPUTED_VALUE"""),39.5714285714285)</f>
        <v>39.571428571428498</v>
      </c>
      <c r="E27" s="62">
        <f ca="1">IFERROR(__xludf.DUMMYFUNCTION("""COMPUTED_VALUE"""),135.428571428571)</f>
        <v>135.42857142857099</v>
      </c>
      <c r="F27" s="21">
        <f ca="1">IFERROR(__xludf.DUMMYFUNCTION("""COMPUTED_VALUE"""),361)</f>
        <v>361</v>
      </c>
      <c r="G27" s="21">
        <f ca="1">IFERROR(__xludf.DUMMYFUNCTION("""COMPUTED_VALUE"""),1763)</f>
        <v>1763</v>
      </c>
      <c r="H27" s="63">
        <f ca="1">IFERROR(__xludf.DUMMYFUNCTION("""COMPUTED_VALUE"""),2.57142857142857)</f>
        <v>2.5714285714285698</v>
      </c>
      <c r="I27" s="63">
        <f ca="1">IFERROR(__xludf.DUMMYFUNCTION("""COMPUTED_VALUE"""),9.42857142857142)</f>
        <v>9.4285714285714199</v>
      </c>
      <c r="J27" s="57">
        <f ca="1">IFERROR(__xludf.DUMMYFUNCTION("""COMPUTED_VALUE"""),92.8571428571428)</f>
        <v>92.857142857142804</v>
      </c>
      <c r="K27" s="57">
        <f ca="1">IFERROR(__xludf.DUMMYFUNCTION("""COMPUTED_VALUE"""),3152.28571428571)</f>
        <v>3152.2857142857101</v>
      </c>
      <c r="L27">
        <f ca="1">IFERROR(__xludf.DUMMYFUNCTION("""COMPUTED_VALUE"""),86488)</f>
        <v>86488</v>
      </c>
      <c r="M27" s="58">
        <f ca="1">IFERROR(__xludf.DUMMYFUNCTION("""COMPUTED_VALUE"""),2172.85714285714)</f>
        <v>2172.8571428571399</v>
      </c>
      <c r="N27" s="57">
        <f ca="1">IFERROR(__xludf.DUMMYFUNCTION("""COMPUTED_VALUE"""),0.571428571428571)</f>
        <v>0.57142857142857095</v>
      </c>
      <c r="O27" s="57">
        <f ca="1">IFERROR(__xludf.DUMMYFUNCTION("""COMPUTED_VALUE"""),190.571428571428)</f>
        <v>190.57142857142799</v>
      </c>
      <c r="P27">
        <f ca="1">IFERROR(__xludf.DUMMYFUNCTION("""COMPUTED_VALUE"""),4991)</f>
        <v>4991</v>
      </c>
      <c r="Q27" s="58">
        <f ca="1">IFERROR(__xludf.DUMMYFUNCTION("""COMPUTED_VALUE"""),386)</f>
        <v>386</v>
      </c>
      <c r="R27" s="13">
        <f ca="1">IFERROR(__xludf.DUMMYFUNCTION("""COMPUTED_VALUE"""),0.0370857142857142)</f>
        <v>3.7085714285714201E-2</v>
      </c>
      <c r="S27" s="13">
        <f ca="1">IFERROR(__xludf.DUMMYFUNCTION("""COMPUTED_VALUE"""),0.0308428571428571)</f>
        <v>3.0842857142857099E-2</v>
      </c>
      <c r="T27" s="13">
        <f ca="1">IFERROR(__xludf.DUMMYFUNCTION("""COMPUTED_VALUE"""),0.151672873903823)</f>
        <v>0.151672873903823</v>
      </c>
      <c r="U27" s="13">
        <f ca="1">IFERROR(__xludf.DUMMYFUNCTION("""COMPUTED_VALUE"""),0.0211215463857714)</f>
        <v>2.1121546385771399E-2</v>
      </c>
      <c r="W27">
        <f ca="1">IFERROR(__xludf.DUMMYFUNCTION("""COMPUTED_VALUE"""),103)</f>
        <v>103</v>
      </c>
      <c r="X27">
        <f ca="1">IFERROR(__xludf.DUMMYFUNCTION("""COMPUTED_VALUE"""),5027)</f>
        <v>5027</v>
      </c>
      <c r="Y27">
        <f ca="1">IFERROR(__xludf.DUMMYFUNCTION("""COMPUTED_VALUE"""),149)</f>
        <v>149</v>
      </c>
      <c r="AA27">
        <f ca="1">IFERROR(__xludf.DUMMYFUNCTION("""COMPUTED_VALUE"""),7)</f>
        <v>7</v>
      </c>
      <c r="AB27">
        <f ca="1">IFERROR(__xludf.DUMMYFUNCTION("""COMPUTED_VALUE"""),451)</f>
        <v>451</v>
      </c>
      <c r="AC27">
        <f ca="1">IFERROR(__xludf.DUMMYFUNCTION("""COMPUTED_VALUE"""),19)</f>
        <v>19</v>
      </c>
    </row>
    <row r="28" spans="1:36" ht="15.75" customHeight="1">
      <c r="A28">
        <f t="shared" ca="1" si="0"/>
        <v>27</v>
      </c>
      <c r="B28" s="62">
        <f ca="1">IFERROR(__xludf.DUMMYFUNCTION("""COMPUTED_VALUE"""),1)</f>
        <v>1</v>
      </c>
      <c r="C28" s="62">
        <f ca="1">IFERROR(__xludf.DUMMYFUNCTION("""COMPUTED_VALUE"""),0.285714285714285)</f>
        <v>0.28571428571428498</v>
      </c>
      <c r="D28" s="62">
        <f ca="1">IFERROR(__xludf.DUMMYFUNCTION("""COMPUTED_VALUE"""),40)</f>
        <v>40</v>
      </c>
      <c r="E28" s="62">
        <f ca="1">IFERROR(__xludf.DUMMYFUNCTION("""COMPUTED_VALUE"""),148.857142857142)</f>
        <v>148.85714285714201</v>
      </c>
      <c r="F28" s="21">
        <f ca="1">IFERROR(__xludf.DUMMYFUNCTION("""COMPUTED_VALUE"""),398)</f>
        <v>398</v>
      </c>
      <c r="G28" s="21">
        <f ca="1">IFERROR(__xludf.DUMMYFUNCTION("""COMPUTED_VALUE"""),1820)</f>
        <v>1820</v>
      </c>
      <c r="H28" s="63">
        <f ca="1">IFERROR(__xludf.DUMMYFUNCTION("""COMPUTED_VALUE"""),1.85714285714285)</f>
        <v>1.8571428571428501</v>
      </c>
      <c r="I28" s="63">
        <f ca="1">IFERROR(__xludf.DUMMYFUNCTION("""COMPUTED_VALUE"""),15)</f>
        <v>15</v>
      </c>
      <c r="J28" s="57">
        <f ca="1">IFERROR(__xludf.DUMMYFUNCTION("""COMPUTED_VALUE"""),92.8571428571428)</f>
        <v>92.857142857142804</v>
      </c>
      <c r="K28" s="57">
        <f ca="1">IFERROR(__xludf.DUMMYFUNCTION("""COMPUTED_VALUE"""),3431.28571428571)</f>
        <v>3431.2857142857101</v>
      </c>
      <c r="L28">
        <f ca="1">IFERROR(__xludf.DUMMYFUNCTION("""COMPUTED_VALUE"""),89537)</f>
        <v>89537</v>
      </c>
      <c r="M28" s="58">
        <f ca="1">IFERROR(__xludf.DUMMYFUNCTION("""COMPUTED_VALUE"""),2144.42857142857)</f>
        <v>2144.4285714285702</v>
      </c>
      <c r="R28" s="13">
        <f ca="1">IFERROR(__xludf.DUMMYFUNCTION("""COMPUTED_VALUE"""),0.0371142857142857)</f>
        <v>3.7114285714285697E-2</v>
      </c>
      <c r="S28" s="13">
        <f ca="1">IFERROR(__xludf.DUMMYFUNCTION("""COMPUTED_VALUE"""),0.0384285714285714)</f>
        <v>3.8428571428571402E-2</v>
      </c>
      <c r="T28" s="13">
        <f ca="1">IFERROR(__xludf.DUMMYFUNCTION("""COMPUTED_VALUE"""),0.158407767545187)</f>
        <v>0.15840776754518701</v>
      </c>
      <c r="W28">
        <f ca="1">IFERROR(__xludf.DUMMYFUNCTION("""COMPUTED_VALUE"""),96)</f>
        <v>96</v>
      </c>
      <c r="X28">
        <f ca="1">IFERROR(__xludf.DUMMYFUNCTION("""COMPUTED_VALUE"""),5282)</f>
        <v>5282</v>
      </c>
      <c r="AA28">
        <f ca="1">IFERROR(__xludf.DUMMYFUNCTION("""COMPUTED_VALUE"""),7)</f>
        <v>7</v>
      </c>
      <c r="AB28">
        <f ca="1">IFERROR(__xludf.DUMMYFUNCTION("""COMPUTED_VALUE"""),482)</f>
        <v>482</v>
      </c>
      <c r="AD28" s="57">
        <f ca="1">IFERROR(__xludf.DUMMYFUNCTION("""COMPUTED_VALUE"""),65.8571428571428)</f>
        <v>65.857142857142804</v>
      </c>
      <c r="AE28" s="57">
        <f ca="1">IFERROR(__xludf.DUMMYFUNCTION("""COMPUTED_VALUE"""),16002.8571428571)</f>
        <v>16002.857142857099</v>
      </c>
      <c r="AF28">
        <f ca="1">IFERROR(__xludf.DUMMYFUNCTION("""COMPUTED_VALUE"""),231601)</f>
        <v>231601</v>
      </c>
      <c r="AG28" s="58">
        <f ca="1">IFERROR(__xludf.DUMMYFUNCTION("""COMPUTED_VALUE"""),10181.4285714285)</f>
        <v>10181.4285714285</v>
      </c>
      <c r="AH28" s="13">
        <f ca="1">IFERROR(__xludf.DUMMYFUNCTION("""COMPUTED_VALUE"""),0.47971331858378)</f>
        <v>0.47971331858378002</v>
      </c>
      <c r="AI28">
        <f ca="1">IFERROR(__xludf.DUMMYFUNCTION("""COMPUTED_VALUE"""),3903)</f>
        <v>3903</v>
      </c>
      <c r="AJ28">
        <f ca="1">IFERROR(__xludf.DUMMYFUNCTION("""COMPUTED_VALUE"""),150)</f>
        <v>150</v>
      </c>
    </row>
    <row r="29" spans="1:36" ht="15.75" customHeight="1">
      <c r="A29">
        <f t="shared" ca="1" si="0"/>
        <v>28</v>
      </c>
      <c r="B29" s="62">
        <f ca="1">IFERROR(__xludf.DUMMYFUNCTION("""COMPUTED_VALUE"""),1.14285714285714)</f>
        <v>1.1428571428571399</v>
      </c>
      <c r="C29" s="62">
        <f ca="1">IFERROR(__xludf.DUMMYFUNCTION("""COMPUTED_VALUE"""),0.714285714285714)</f>
        <v>0.71428571428571397</v>
      </c>
      <c r="D29" s="62">
        <f ca="1">IFERROR(__xludf.DUMMYFUNCTION("""COMPUTED_VALUE"""),43.5714285714285)</f>
        <v>43.571428571428498</v>
      </c>
      <c r="E29" s="62">
        <f ca="1">IFERROR(__xludf.DUMMYFUNCTION("""COMPUTED_VALUE"""),190.571428571428)</f>
        <v>190.57142857142799</v>
      </c>
      <c r="F29" s="21">
        <f ca="1">IFERROR(__xludf.DUMMYFUNCTION("""COMPUTED_VALUE"""),439)</f>
        <v>439</v>
      </c>
      <c r="G29" s="21">
        <f ca="1">IFERROR(__xludf.DUMMYFUNCTION("""COMPUTED_VALUE"""),2100)</f>
        <v>2100</v>
      </c>
      <c r="H29" s="63">
        <f ca="1">IFERROR(__xludf.DUMMYFUNCTION("""COMPUTED_VALUE"""),2.28571428571428)</f>
        <v>2.2857142857142798</v>
      </c>
      <c r="I29" s="63">
        <f ca="1">IFERROR(__xludf.DUMMYFUNCTION("""COMPUTED_VALUE"""),24.1428571428571)</f>
        <v>24.1428571428571</v>
      </c>
      <c r="J29" s="57">
        <f ca="1">IFERROR(__xludf.DUMMYFUNCTION("""COMPUTED_VALUE"""),96.4285714285714)</f>
        <v>96.428571428571402</v>
      </c>
      <c r="K29" s="57">
        <f ca="1">IFERROR(__xludf.DUMMYFUNCTION("""COMPUTED_VALUE"""),3653.71428571428)</f>
        <v>3653.7142857142799</v>
      </c>
      <c r="L29">
        <f ca="1">IFERROR(__xludf.DUMMYFUNCTION("""COMPUTED_VALUE"""),92497)</f>
        <v>92497</v>
      </c>
      <c r="M29" s="58">
        <f ca="1">IFERROR(__xludf.DUMMYFUNCTION("""COMPUTED_VALUE"""),2072.42857142857)</f>
        <v>2072.4285714285702</v>
      </c>
      <c r="R29" s="13">
        <f ca="1">IFERROR(__xludf.DUMMYFUNCTION("""COMPUTED_VALUE"""),0.0399571428571428)</f>
        <v>3.9957142857142802E-2</v>
      </c>
      <c r="S29" s="13">
        <f ca="1">IFERROR(__xludf.DUMMYFUNCTION("""COMPUTED_VALUE"""),0.0430428571428571)</f>
        <v>4.3042857142857098E-2</v>
      </c>
      <c r="T29" s="13">
        <f ca="1">IFERROR(__xludf.DUMMYFUNCTION("""COMPUTED_VALUE"""),0.163557545757528)</f>
        <v>0.16355754575752801</v>
      </c>
      <c r="W29">
        <f ca="1">IFERROR(__xludf.DUMMYFUNCTION("""COMPUTED_VALUE"""),98)</f>
        <v>98</v>
      </c>
      <c r="X29">
        <f ca="1">IFERROR(__xludf.DUMMYFUNCTION("""COMPUTED_VALUE"""),5482)</f>
        <v>5482</v>
      </c>
      <c r="AA29">
        <f ca="1">IFERROR(__xludf.DUMMYFUNCTION("""COMPUTED_VALUE"""),7)</f>
        <v>7</v>
      </c>
      <c r="AB29">
        <f ca="1">IFERROR(__xludf.DUMMYFUNCTION("""COMPUTED_VALUE"""),524)</f>
        <v>524</v>
      </c>
      <c r="AD29" s="57">
        <f ca="1">IFERROR(__xludf.DUMMYFUNCTION("""COMPUTED_VALUE"""),64.7142857142857)</f>
        <v>64.714285714285694</v>
      </c>
      <c r="AE29" s="57">
        <f ca="1">IFERROR(__xludf.DUMMYFUNCTION("""COMPUTED_VALUE"""),15960.7142857142)</f>
        <v>15960.714285714201</v>
      </c>
      <c r="AF29">
        <f ca="1">IFERROR(__xludf.DUMMYFUNCTION("""COMPUTED_VALUE"""),229857)</f>
        <v>229857</v>
      </c>
      <c r="AG29" s="58">
        <f ca="1">IFERROR(__xludf.DUMMYFUNCTION("""COMPUTED_VALUE"""),10720.7142857142)</f>
        <v>10720.714285714201</v>
      </c>
      <c r="AH29" s="13">
        <f ca="1">IFERROR(__xludf.DUMMYFUNCTION("""COMPUTED_VALUE"""),0.475498046563915)</f>
        <v>0.47549804656391498</v>
      </c>
      <c r="AI29">
        <f ca="1">IFERROR(__xludf.DUMMYFUNCTION("""COMPUTED_VALUE"""),4218)</f>
        <v>4218</v>
      </c>
      <c r="AJ29">
        <f ca="1">IFERROR(__xludf.DUMMYFUNCTION("""COMPUTED_VALUE"""),169)</f>
        <v>169</v>
      </c>
    </row>
    <row r="30" spans="1:36" ht="15.75" customHeight="1">
      <c r="A30">
        <f t="shared" ca="1" si="0"/>
        <v>29</v>
      </c>
      <c r="B30" s="62">
        <f ca="1">IFERROR(__xludf.DUMMYFUNCTION("""COMPUTED_VALUE"""),1.57142857142857)</f>
        <v>1.5714285714285701</v>
      </c>
      <c r="C30" s="62">
        <f ca="1">IFERROR(__xludf.DUMMYFUNCTION("""COMPUTED_VALUE"""),0.857142857142857)</f>
        <v>0.85714285714285698</v>
      </c>
      <c r="D30" s="62">
        <f ca="1">IFERROR(__xludf.DUMMYFUNCTION("""COMPUTED_VALUE"""),42.7142857142857)</f>
        <v>42.714285714285701</v>
      </c>
      <c r="E30" s="62">
        <f ca="1">IFERROR(__xludf.DUMMYFUNCTION("""COMPUTED_VALUE"""),220.571428571428)</f>
        <v>220.57142857142799</v>
      </c>
      <c r="F30" s="21">
        <f ca="1">IFERROR(__xludf.DUMMYFUNCTION("""COMPUTED_VALUE"""),465)</f>
        <v>465</v>
      </c>
      <c r="G30" s="21">
        <f ca="1">IFERROR(__xludf.DUMMYFUNCTION("""COMPUTED_VALUE"""),2373)</f>
        <v>2373</v>
      </c>
      <c r="H30" s="63">
        <f ca="1">IFERROR(__xludf.DUMMYFUNCTION("""COMPUTED_VALUE"""),2.71428571428571)</f>
        <v>2.71428571428571</v>
      </c>
      <c r="I30" s="63">
        <f ca="1">IFERROR(__xludf.DUMMYFUNCTION("""COMPUTED_VALUE"""),24.7142857142857)</f>
        <v>24.714285714285701</v>
      </c>
      <c r="J30" s="57">
        <f ca="1">IFERROR(__xludf.DUMMYFUNCTION("""COMPUTED_VALUE"""),101.571428571428)</f>
        <v>101.571428571428</v>
      </c>
      <c r="K30" s="57">
        <f ca="1">IFERROR(__xludf.DUMMYFUNCTION("""COMPUTED_VALUE"""),3897)</f>
        <v>3897</v>
      </c>
      <c r="L30">
        <f ca="1">IFERROR(__xludf.DUMMYFUNCTION("""COMPUTED_VALUE"""),94911)</f>
        <v>94911</v>
      </c>
      <c r="M30" s="58">
        <f ca="1">IFERROR(__xludf.DUMMYFUNCTION("""COMPUTED_VALUE"""),2043.71428571428)</f>
        <v>2043.7142857142801</v>
      </c>
      <c r="N30" s="57">
        <f ca="1">IFERROR(__xludf.DUMMYFUNCTION("""COMPUTED_VALUE"""),1.85714285714285)</f>
        <v>1.8571428571428501</v>
      </c>
      <c r="O30" s="57">
        <f ca="1">IFERROR(__xludf.DUMMYFUNCTION("""COMPUTED_VALUE"""),208.714285714285)</f>
        <v>208.71428571428501</v>
      </c>
      <c r="P30">
        <f ca="1">IFERROR(__xludf.DUMMYFUNCTION("""COMPUTED_VALUE"""),5382)</f>
        <v>5382</v>
      </c>
      <c r="Q30" s="58">
        <f ca="1">IFERROR(__xludf.DUMMYFUNCTION("""COMPUTED_VALUE"""),143.142857142857)</f>
        <v>143.142857142857</v>
      </c>
      <c r="R30" s="13">
        <f ca="1">IFERROR(__xludf.DUMMYFUNCTION("""COMPUTED_VALUE"""),0.0364857142857142)</f>
        <v>3.6485714285714198E-2</v>
      </c>
      <c r="S30" s="13">
        <f ca="1">IFERROR(__xludf.DUMMYFUNCTION("""COMPUTED_VALUE"""),0.0452714285714285)</f>
        <v>4.5271428571428497E-2</v>
      </c>
      <c r="T30" s="13">
        <f ca="1">IFERROR(__xludf.DUMMYFUNCTION("""COMPUTED_VALUE"""),0.170576296373482)</f>
        <v>0.17057629637348201</v>
      </c>
      <c r="U30" s="13">
        <f ca="1">IFERROR(__xludf.DUMMYFUNCTION("""COMPUTED_VALUE"""),0.021864903400491)</f>
        <v>2.1864903400491E-2</v>
      </c>
      <c r="W30">
        <f ca="1">IFERROR(__xludf.DUMMYFUNCTION("""COMPUTED_VALUE"""),100)</f>
        <v>100</v>
      </c>
      <c r="X30">
        <f ca="1">IFERROR(__xludf.DUMMYFUNCTION("""COMPUTED_VALUE"""),5679)</f>
        <v>5679</v>
      </c>
      <c r="Y30">
        <f ca="1">IFERROR(__xludf.DUMMYFUNCTION("""COMPUTED_VALUE"""),194)</f>
        <v>194</v>
      </c>
      <c r="AA30">
        <f ca="1">IFERROR(__xludf.DUMMYFUNCTION("""COMPUTED_VALUE"""),7)</f>
        <v>7</v>
      </c>
      <c r="AB30">
        <f ca="1">IFERROR(__xludf.DUMMYFUNCTION("""COMPUTED_VALUE"""),537)</f>
        <v>537</v>
      </c>
      <c r="AC30">
        <f ca="1">IFERROR(__xludf.DUMMYFUNCTION("""COMPUTED_VALUE"""),23)</f>
        <v>23</v>
      </c>
      <c r="AD30" s="57">
        <f ca="1">IFERROR(__xludf.DUMMYFUNCTION("""COMPUTED_VALUE"""),65.8571428571428)</f>
        <v>65.857142857142804</v>
      </c>
      <c r="AE30" s="57">
        <f ca="1">IFERROR(__xludf.DUMMYFUNCTION("""COMPUTED_VALUE"""),15891.5714285714)</f>
        <v>15891.5714285714</v>
      </c>
      <c r="AF30">
        <f ca="1">IFERROR(__xludf.DUMMYFUNCTION("""COMPUTED_VALUE"""),230549)</f>
        <v>230549</v>
      </c>
      <c r="AG30" s="58">
        <f ca="1">IFERROR(__xludf.DUMMYFUNCTION("""COMPUTED_VALUE"""),12229.5714285714)</f>
        <v>12229.5714285714</v>
      </c>
      <c r="AH30" s="13">
        <f ca="1">IFERROR(__xludf.DUMMYFUNCTION("""COMPUTED_VALUE"""),0.470945009228141)</f>
        <v>0.47094500922814098</v>
      </c>
      <c r="AI30">
        <f ca="1">IFERROR(__xludf.DUMMYFUNCTION("""COMPUTED_VALUE"""),4341)</f>
        <v>4341</v>
      </c>
      <c r="AJ30">
        <f ca="1">IFERROR(__xludf.DUMMYFUNCTION("""COMPUTED_VALUE"""),163)</f>
        <v>163</v>
      </c>
    </row>
    <row r="31" spans="1:36" ht="15.75" customHeight="1">
      <c r="A31">
        <f t="shared" ca="1" si="0"/>
        <v>30</v>
      </c>
      <c r="B31" s="62">
        <f ca="1">IFERROR(__xludf.DUMMYFUNCTION("""COMPUTED_VALUE"""),1.71428571428571)</f>
        <v>1.71428571428571</v>
      </c>
      <c r="C31" s="62">
        <f ca="1">IFERROR(__xludf.DUMMYFUNCTION("""COMPUTED_VALUE"""),1)</f>
        <v>1</v>
      </c>
      <c r="D31" s="62">
        <f ca="1">IFERROR(__xludf.DUMMYFUNCTION("""COMPUTED_VALUE"""),46.2857142857142)</f>
        <v>46.285714285714199</v>
      </c>
      <c r="E31" s="62">
        <f ca="1">IFERROR(__xludf.DUMMYFUNCTION("""COMPUTED_VALUE"""),267.285714285714)</f>
        <v>267.28571428571399</v>
      </c>
      <c r="F31" s="21">
        <f ca="1">IFERROR(__xludf.DUMMYFUNCTION("""COMPUTED_VALUE"""),522)</f>
        <v>522</v>
      </c>
      <c r="G31" s="21">
        <f ca="1">IFERROR(__xludf.DUMMYFUNCTION("""COMPUTED_VALUE"""),2817)</f>
        <v>2817</v>
      </c>
      <c r="H31" s="63">
        <f ca="1">IFERROR(__xludf.DUMMYFUNCTION("""COMPUTED_VALUE"""),2)</f>
        <v>2</v>
      </c>
      <c r="I31" s="63">
        <f ca="1">IFERROR(__xludf.DUMMYFUNCTION("""COMPUTED_VALUE"""),26.4285714285714)</f>
        <v>26.428571428571399</v>
      </c>
      <c r="J31" s="57">
        <f ca="1">IFERROR(__xludf.DUMMYFUNCTION("""COMPUTED_VALUE"""),105.428571428571)</f>
        <v>105.428571428571</v>
      </c>
      <c r="K31" s="57">
        <f ca="1">IFERROR(__xludf.DUMMYFUNCTION("""COMPUTED_VALUE"""),4059.28571428571)</f>
        <v>4059.2857142857101</v>
      </c>
      <c r="L31">
        <f ca="1">IFERROR(__xludf.DUMMYFUNCTION("""COMPUTED_VALUE"""),96299)</f>
        <v>96299</v>
      </c>
      <c r="M31" s="58">
        <f ca="1">IFERROR(__xludf.DUMMYFUNCTION("""COMPUTED_VALUE"""),1907.71428571428)</f>
        <v>1907.7142857142801</v>
      </c>
      <c r="N31" s="57">
        <f ca="1">IFERROR(__xludf.DUMMYFUNCTION("""COMPUTED_VALUE"""),2.28571428571428)</f>
        <v>2.2857142857142798</v>
      </c>
      <c r="O31" s="57">
        <f ca="1">IFERROR(__xludf.DUMMYFUNCTION("""COMPUTED_VALUE"""),211.571428571428)</f>
        <v>211.57142857142799</v>
      </c>
      <c r="P31">
        <f ca="1">IFERROR(__xludf.DUMMYFUNCTION("""COMPUTED_VALUE"""),5486)</f>
        <v>5486</v>
      </c>
      <c r="Q31" s="58">
        <f ca="1">IFERROR(__xludf.DUMMYFUNCTION("""COMPUTED_VALUE"""),116.142857142857)</f>
        <v>116.142857142857</v>
      </c>
      <c r="R31" s="13">
        <f ca="1">IFERROR(__xludf.DUMMYFUNCTION("""COMPUTED_VALUE"""),0.0394571428571428)</f>
        <v>3.9457142857142802E-2</v>
      </c>
      <c r="S31" s="13">
        <f ca="1">IFERROR(__xludf.DUMMYFUNCTION("""COMPUTED_VALUE"""),0.0512857142857142)</f>
        <v>5.1285714285714198E-2</v>
      </c>
      <c r="T31" s="13">
        <f ca="1">IFERROR(__xludf.DUMMYFUNCTION("""COMPUTED_VALUE"""),0.176443229816226)</f>
        <v>0.17644322981622601</v>
      </c>
      <c r="U31" s="13">
        <f ca="1">IFERROR(__xludf.DUMMYFUNCTION("""COMPUTED_VALUE"""),0.0217718862751326)</f>
        <v>2.1771886275132601E-2</v>
      </c>
      <c r="W31">
        <f ca="1">IFERROR(__xludf.DUMMYFUNCTION("""COMPUTED_VALUE"""),120)</f>
        <v>120</v>
      </c>
      <c r="X31">
        <f ca="1">IFERROR(__xludf.DUMMYFUNCTION("""COMPUTED_VALUE"""),6071)</f>
        <v>6071</v>
      </c>
      <c r="Y31">
        <f ca="1">IFERROR(__xludf.DUMMYFUNCTION("""COMPUTED_VALUE"""),210)</f>
        <v>210</v>
      </c>
      <c r="AA31">
        <f ca="1">IFERROR(__xludf.DUMMYFUNCTION("""COMPUTED_VALUE"""),8)</f>
        <v>8</v>
      </c>
      <c r="AB31">
        <f ca="1">IFERROR(__xludf.DUMMYFUNCTION("""COMPUTED_VALUE"""),581)</f>
        <v>581</v>
      </c>
      <c r="AC31">
        <f ca="1">IFERROR(__xludf.DUMMYFUNCTION("""COMPUTED_VALUE"""),24)</f>
        <v>24</v>
      </c>
      <c r="AD31" s="57">
        <f ca="1">IFERROR(__xludf.DUMMYFUNCTION("""COMPUTED_VALUE"""),69.2857142857142)</f>
        <v>69.285714285714207</v>
      </c>
      <c r="AE31" s="57">
        <f ca="1">IFERROR(__xludf.DUMMYFUNCTION("""COMPUTED_VALUE"""),15703.1428571428)</f>
        <v>15703.1428571428</v>
      </c>
      <c r="AF31">
        <f ca="1">IFERROR(__xludf.DUMMYFUNCTION("""COMPUTED_VALUE"""),227899)</f>
        <v>227899</v>
      </c>
      <c r="AG31" s="58">
        <f ca="1">IFERROR(__xludf.DUMMYFUNCTION("""COMPUTED_VALUE"""),13911)</f>
        <v>13911</v>
      </c>
      <c r="AH31" s="13">
        <f ca="1">IFERROR(__xludf.DUMMYFUNCTION("""COMPUTED_VALUE"""),0.470297704608671)</f>
        <v>0.47029770460867099</v>
      </c>
      <c r="AI31">
        <f ca="1">IFERROR(__xludf.DUMMYFUNCTION("""COMPUTED_VALUE"""),4451)</f>
        <v>4451</v>
      </c>
      <c r="AJ31">
        <f ca="1">IFERROR(__xludf.DUMMYFUNCTION("""COMPUTED_VALUE"""),163)</f>
        <v>163</v>
      </c>
    </row>
    <row r="32" spans="1:36" ht="15.75" customHeight="1">
      <c r="A32">
        <f t="shared" ca="1" si="0"/>
        <v>31</v>
      </c>
      <c r="B32" s="62">
        <f ca="1">IFERROR(__xludf.DUMMYFUNCTION("""COMPUTED_VALUE"""),2.42857142857142)</f>
        <v>2.4285714285714199</v>
      </c>
      <c r="C32" s="62">
        <f ca="1">IFERROR(__xludf.DUMMYFUNCTION("""COMPUTED_VALUE"""),1.42857142857142)</f>
        <v>1.4285714285714199</v>
      </c>
      <c r="D32" s="62">
        <f ca="1">IFERROR(__xludf.DUMMYFUNCTION("""COMPUTED_VALUE"""),46.1428571428571)</f>
        <v>46.142857142857103</v>
      </c>
      <c r="E32" s="62">
        <f ca="1">IFERROR(__xludf.DUMMYFUNCTION("""COMPUTED_VALUE"""),317.571428571428)</f>
        <v>317.57142857142799</v>
      </c>
      <c r="F32" s="21">
        <f ca="1">IFERROR(__xludf.DUMMYFUNCTION("""COMPUTED_VALUE"""),554)</f>
        <v>554</v>
      </c>
      <c r="G32" s="21">
        <f ca="1">IFERROR(__xludf.DUMMYFUNCTION("""COMPUTED_VALUE"""),3316)</f>
        <v>3316</v>
      </c>
      <c r="H32" s="63">
        <f ca="1">IFERROR(__xludf.DUMMYFUNCTION("""COMPUTED_VALUE"""),1.28571428571428)</f>
        <v>1.28571428571428</v>
      </c>
      <c r="I32" s="63">
        <f ca="1">IFERROR(__xludf.DUMMYFUNCTION("""COMPUTED_VALUE"""),27.5714285714285)</f>
        <v>27.571428571428498</v>
      </c>
      <c r="J32" s="57">
        <f ca="1">IFERROR(__xludf.DUMMYFUNCTION("""COMPUTED_VALUE"""),110.285714285714)</f>
        <v>110.28571428571399</v>
      </c>
      <c r="K32" s="57">
        <f ca="1">IFERROR(__xludf.DUMMYFUNCTION("""COMPUTED_VALUE"""),4253)</f>
        <v>4253</v>
      </c>
      <c r="L32">
        <f ca="1">IFERROR(__xludf.DUMMYFUNCTION("""COMPUTED_VALUE"""),98361)</f>
        <v>98361</v>
      </c>
      <c r="M32" s="58">
        <f ca="1">IFERROR(__xludf.DUMMYFUNCTION("""COMPUTED_VALUE"""),1823.57142857142)</f>
        <v>1823.57142857142</v>
      </c>
      <c r="N32" s="57">
        <f ca="1">IFERROR(__xludf.DUMMYFUNCTION("""COMPUTED_VALUE"""),2.57142857142857)</f>
        <v>2.5714285714285698</v>
      </c>
      <c r="O32" s="57">
        <f ca="1">IFERROR(__xludf.DUMMYFUNCTION("""COMPUTED_VALUE"""),219)</f>
        <v>219</v>
      </c>
      <c r="P32">
        <f ca="1">IFERROR(__xludf.DUMMYFUNCTION("""COMPUTED_VALUE"""),5586)</f>
        <v>5586</v>
      </c>
      <c r="Q32" s="58">
        <f ca="1">IFERROR(__xludf.DUMMYFUNCTION("""COMPUTED_VALUE"""),107.857142857142)</f>
        <v>107.85714285714199</v>
      </c>
      <c r="R32" s="13">
        <f ca="1">IFERROR(__xludf.DUMMYFUNCTION("""COMPUTED_VALUE"""),0.0390428571428571)</f>
        <v>3.9042857142857101E-2</v>
      </c>
      <c r="S32" s="13">
        <f ca="1">IFERROR(__xludf.DUMMYFUNCTION("""COMPUTED_VALUE"""),0.0533285714285714)</f>
        <v>5.3328571428571399E-2</v>
      </c>
      <c r="T32" s="13">
        <f ca="1">IFERROR(__xludf.DUMMYFUNCTION("""COMPUTED_VALUE"""),0.182399211504677)</f>
        <v>0.182399211504677</v>
      </c>
      <c r="U32" s="13">
        <f ca="1">IFERROR(__xludf.DUMMYFUNCTION("""COMPUTED_VALUE"""),0.0223279111826725)</f>
        <v>2.2327911182672501E-2</v>
      </c>
      <c r="W32">
        <f ca="1">IFERROR(__xludf.DUMMYFUNCTION("""COMPUTED_VALUE"""),139)</f>
        <v>139</v>
      </c>
      <c r="X32">
        <f ca="1">IFERROR(__xludf.DUMMYFUNCTION("""COMPUTED_VALUE"""),6367)</f>
        <v>6367</v>
      </c>
      <c r="Y32">
        <f ca="1">IFERROR(__xludf.DUMMYFUNCTION("""COMPUTED_VALUE"""),208)</f>
        <v>208</v>
      </c>
      <c r="AA32">
        <f ca="1">IFERROR(__xludf.DUMMYFUNCTION("""COMPUTED_VALUE"""),9)</f>
        <v>9</v>
      </c>
      <c r="AB32">
        <f ca="1">IFERROR(__xludf.DUMMYFUNCTION("""COMPUTED_VALUE"""),622)</f>
        <v>622</v>
      </c>
      <c r="AC32">
        <f ca="1">IFERROR(__xludf.DUMMYFUNCTION("""COMPUTED_VALUE"""),26)</f>
        <v>26</v>
      </c>
      <c r="AD32" s="57">
        <f ca="1">IFERROR(__xludf.DUMMYFUNCTION("""COMPUTED_VALUE"""),73.1428571428571)</f>
        <v>73.142857142857096</v>
      </c>
      <c r="AE32" s="57">
        <f ca="1">IFERROR(__xludf.DUMMYFUNCTION("""COMPUTED_VALUE"""),15498.2857142857)</f>
        <v>15498.285714285699</v>
      </c>
      <c r="AF32">
        <f ca="1">IFERROR(__xludf.DUMMYFUNCTION("""COMPUTED_VALUE"""),227407)</f>
        <v>227407</v>
      </c>
      <c r="AG32" s="58">
        <f ca="1">IFERROR(__xludf.DUMMYFUNCTION("""COMPUTED_VALUE"""),15195.7142857142)</f>
        <v>15195.714285714201</v>
      </c>
      <c r="AH32" s="13">
        <f ca="1">IFERROR(__xludf.DUMMYFUNCTION("""COMPUTED_VALUE"""),0.469187409254767)</f>
        <v>0.46918740925476699</v>
      </c>
      <c r="AI32">
        <f ca="1">IFERROR(__xludf.DUMMYFUNCTION("""COMPUTED_VALUE"""),4588)</f>
        <v>4588</v>
      </c>
      <c r="AJ32">
        <f ca="1">IFERROR(__xludf.DUMMYFUNCTION("""COMPUTED_VALUE"""),168)</f>
        <v>168</v>
      </c>
    </row>
    <row r="33" spans="1:36" ht="15.75" customHeight="1">
      <c r="A33">
        <f t="shared" ca="1" si="0"/>
        <v>32</v>
      </c>
      <c r="B33" s="62">
        <f ca="1">IFERROR(__xludf.DUMMYFUNCTION("""COMPUTED_VALUE"""),3.14285714285714)</f>
        <v>3.1428571428571401</v>
      </c>
      <c r="C33" s="62">
        <f ca="1">IFERROR(__xludf.DUMMYFUNCTION("""COMPUTED_VALUE"""),1.42857142857142)</f>
        <v>1.4285714285714199</v>
      </c>
      <c r="D33" s="62">
        <f ca="1">IFERROR(__xludf.DUMMYFUNCTION("""COMPUTED_VALUE"""),47.8571428571428)</f>
        <v>47.857142857142797</v>
      </c>
      <c r="E33" s="62">
        <f ca="1">IFERROR(__xludf.DUMMYFUNCTION("""COMPUTED_VALUE"""),346.571428571428)</f>
        <v>346.57142857142799</v>
      </c>
      <c r="F33" s="21">
        <f ca="1">IFERROR(__xludf.DUMMYFUNCTION("""COMPUTED_VALUE"""),588)</f>
        <v>588</v>
      </c>
      <c r="G33" s="21">
        <f ca="1">IFERROR(__xludf.DUMMYFUNCTION("""COMPUTED_VALUE"""),3805)</f>
        <v>3805</v>
      </c>
      <c r="H33" s="63">
        <f ca="1">IFERROR(__xludf.DUMMYFUNCTION("""COMPUTED_VALUE"""),3.42857142857142)</f>
        <v>3.4285714285714199</v>
      </c>
      <c r="I33" s="63">
        <f ca="1">IFERROR(__xludf.DUMMYFUNCTION("""COMPUTED_VALUE"""),28.4285714285714)</f>
        <v>28.428571428571399</v>
      </c>
      <c r="J33" s="57">
        <f ca="1">IFERROR(__xludf.DUMMYFUNCTION("""COMPUTED_VALUE"""),114.857142857142)</f>
        <v>114.85714285714199</v>
      </c>
      <c r="K33" s="57">
        <f ca="1">IFERROR(__xludf.DUMMYFUNCTION("""COMPUTED_VALUE"""),4523.42857142857)</f>
        <v>4523.4285714285697</v>
      </c>
      <c r="L33">
        <f ca="1">IFERROR(__xludf.DUMMYFUNCTION("""COMPUTED_VALUE"""),102566)</f>
        <v>102566</v>
      </c>
      <c r="M33" s="58">
        <f ca="1">IFERROR(__xludf.DUMMYFUNCTION("""COMPUTED_VALUE"""),1765)</f>
        <v>1765</v>
      </c>
      <c r="N33" s="57">
        <f ca="1">IFERROR(__xludf.DUMMYFUNCTION("""COMPUTED_VALUE"""),2.85714285714285)</f>
        <v>2.8571428571428501</v>
      </c>
      <c r="O33" s="57">
        <f ca="1">IFERROR(__xludf.DUMMYFUNCTION("""COMPUTED_VALUE"""),230.857142857142)</f>
        <v>230.85714285714201</v>
      </c>
      <c r="P33">
        <f ca="1">IFERROR(__xludf.DUMMYFUNCTION("""COMPUTED_VALUE"""),5798)</f>
        <v>5798</v>
      </c>
      <c r="Q33" s="58">
        <f ca="1">IFERROR(__xludf.DUMMYFUNCTION("""COMPUTED_VALUE"""),88.8571428571428)</f>
        <v>88.857142857142804</v>
      </c>
      <c r="R33" s="13">
        <f ca="1">IFERROR(__xludf.DUMMYFUNCTION("""COMPUTED_VALUE"""),0.0378142857142857)</f>
        <v>3.7814285714285703E-2</v>
      </c>
      <c r="S33" s="13">
        <f ca="1">IFERROR(__xludf.DUMMYFUNCTION("""COMPUTED_VALUE"""),0.0540285714285714)</f>
        <v>5.4028571428571398E-2</v>
      </c>
      <c r="T33" s="13">
        <f ca="1">IFERROR(__xludf.DUMMYFUNCTION("""COMPUTED_VALUE"""),0.186966464397972)</f>
        <v>0.18696646439797199</v>
      </c>
      <c r="U33" s="13">
        <f ca="1">IFERROR(__xludf.DUMMYFUNCTION("""COMPUTED_VALUE"""),0.0227646945606482)</f>
        <v>2.27646945606482E-2</v>
      </c>
      <c r="W33">
        <f ca="1">IFERROR(__xludf.DUMMYFUNCTION("""COMPUTED_VALUE"""),151)</f>
        <v>151</v>
      </c>
      <c r="X33">
        <f ca="1">IFERROR(__xludf.DUMMYFUNCTION("""COMPUTED_VALUE"""),6554)</f>
        <v>6554</v>
      </c>
      <c r="Y33">
        <f ca="1">IFERROR(__xludf.DUMMYFUNCTION("""COMPUTED_VALUE"""),215)</f>
        <v>215</v>
      </c>
      <c r="AA33">
        <f ca="1">IFERROR(__xludf.DUMMYFUNCTION("""COMPUTED_VALUE"""),11)</f>
        <v>11</v>
      </c>
      <c r="AB33">
        <f ca="1">IFERROR(__xludf.DUMMYFUNCTION("""COMPUTED_VALUE"""),639)</f>
        <v>639</v>
      </c>
      <c r="AC33">
        <f ca="1">IFERROR(__xludf.DUMMYFUNCTION("""COMPUTED_VALUE"""),26)</f>
        <v>26</v>
      </c>
    </row>
    <row r="34" spans="1:36" ht="15.75" customHeight="1">
      <c r="A34">
        <f t="shared" ca="1" si="0"/>
        <v>33</v>
      </c>
      <c r="B34" s="62">
        <f ca="1">IFERROR(__xludf.DUMMYFUNCTION("""COMPUTED_VALUE"""),3.14285714285714)</f>
        <v>3.1428571428571401</v>
      </c>
      <c r="C34" s="62">
        <f ca="1">IFERROR(__xludf.DUMMYFUNCTION("""COMPUTED_VALUE"""),1.42857142857142)</f>
        <v>1.4285714285714199</v>
      </c>
      <c r="D34" s="62">
        <f ca="1">IFERROR(__xludf.DUMMYFUNCTION("""COMPUTED_VALUE"""),46.4285714285714)</f>
        <v>46.428571428571402</v>
      </c>
      <c r="E34" s="62">
        <f ca="1">IFERROR(__xludf.DUMMYFUNCTION("""COMPUTED_VALUE"""),403.428571428571)</f>
        <v>403.42857142857099</v>
      </c>
      <c r="F34" s="21">
        <f ca="1">IFERROR(__xludf.DUMMYFUNCTION("""COMPUTED_VALUE"""),633)</f>
        <v>633</v>
      </c>
      <c r="G34" s="21">
        <f ca="1">IFERROR(__xludf.DUMMYFUNCTION("""COMPUTED_VALUE"""),4377)</f>
        <v>4377</v>
      </c>
      <c r="H34" s="63">
        <f ca="1">IFERROR(__xludf.DUMMYFUNCTION("""COMPUTED_VALUE"""),4.57142857142857)</f>
        <v>4.5714285714285703</v>
      </c>
      <c r="I34" s="63">
        <f ca="1">IFERROR(__xludf.DUMMYFUNCTION("""COMPUTED_VALUE"""),28.5714285714285)</f>
        <v>28.571428571428498</v>
      </c>
      <c r="J34" s="57">
        <f ca="1">IFERROR(__xludf.DUMMYFUNCTION("""COMPUTED_VALUE"""),117.714285714285)</f>
        <v>117.714285714285</v>
      </c>
      <c r="K34" s="57">
        <f ca="1">IFERROR(__xludf.DUMMYFUNCTION("""COMPUTED_VALUE"""),4766.42857142857)</f>
        <v>4766.4285714285697</v>
      </c>
      <c r="L34">
        <f ca="1">IFERROR(__xludf.DUMMYFUNCTION("""COMPUTED_VALUE"""),105371)</f>
        <v>105371</v>
      </c>
      <c r="M34" s="58">
        <f ca="1">IFERROR(__xludf.DUMMYFUNCTION("""COMPUTED_VALUE"""),1951.14285714285)</f>
        <v>1951.1428571428501</v>
      </c>
      <c r="N34" s="57">
        <f ca="1">IFERROR(__xludf.DUMMYFUNCTION("""COMPUTED_VALUE"""),3.57142857142857)</f>
        <v>3.5714285714285698</v>
      </c>
      <c r="O34" s="57">
        <f ca="1">IFERROR(__xludf.DUMMYFUNCTION("""COMPUTED_VALUE"""),241.714285714285)</f>
        <v>241.71428571428501</v>
      </c>
      <c r="P34">
        <f ca="1">IFERROR(__xludf.DUMMYFUNCTION("""COMPUTED_VALUE"""),6006)</f>
        <v>6006</v>
      </c>
      <c r="Q34" s="58">
        <f ca="1">IFERROR(__xludf.DUMMYFUNCTION("""COMPUTED_VALUE"""),93.1428571428571)</f>
        <v>93.142857142857096</v>
      </c>
      <c r="R34" s="13">
        <f ca="1">IFERROR(__xludf.DUMMYFUNCTION("""COMPUTED_VALUE"""),0.0370857142857142)</f>
        <v>3.7085714285714201E-2</v>
      </c>
      <c r="S34" s="13">
        <f ca="1">IFERROR(__xludf.DUMMYFUNCTION("""COMPUTED_VALUE"""),0.0546714285714285)</f>
        <v>5.4671428571428503E-2</v>
      </c>
      <c r="T34" s="13">
        <f ca="1">IFERROR(__xludf.DUMMYFUNCTION("""COMPUTED_VALUE"""),0.191477673084557)</f>
        <v>0.19147767308455699</v>
      </c>
      <c r="U34" s="13">
        <f ca="1">IFERROR(__xludf.DUMMYFUNCTION("""COMPUTED_VALUE"""),0.0227334276013177)</f>
        <v>2.2733427601317701E-2</v>
      </c>
      <c r="W34">
        <f ca="1">IFERROR(__xludf.DUMMYFUNCTION("""COMPUTED_VALUE"""),164)</f>
        <v>164</v>
      </c>
      <c r="X34">
        <f ca="1">IFERROR(__xludf.DUMMYFUNCTION("""COMPUTED_VALUE"""),6867)</f>
        <v>6867</v>
      </c>
      <c r="Y34">
        <f ca="1">IFERROR(__xludf.DUMMYFUNCTION("""COMPUTED_VALUE"""),220)</f>
        <v>220</v>
      </c>
      <c r="AA34">
        <f ca="1">IFERROR(__xludf.DUMMYFUNCTION("""COMPUTED_VALUE"""),11)</f>
        <v>11</v>
      </c>
      <c r="AB34">
        <f ca="1">IFERROR(__xludf.DUMMYFUNCTION("""COMPUTED_VALUE"""),677)</f>
        <v>677</v>
      </c>
      <c r="AC34">
        <f ca="1">IFERROR(__xludf.DUMMYFUNCTION("""COMPUTED_VALUE"""),30)</f>
        <v>30</v>
      </c>
    </row>
    <row r="35" spans="1:36" ht="15.75" customHeight="1">
      <c r="A35">
        <f t="shared" ca="1" si="0"/>
        <v>34</v>
      </c>
      <c r="B35" s="62">
        <f ca="1">IFERROR(__xludf.DUMMYFUNCTION("""COMPUTED_VALUE"""),3.42857142857142)</f>
        <v>3.4285714285714199</v>
      </c>
      <c r="C35" s="62">
        <f ca="1">IFERROR(__xludf.DUMMYFUNCTION("""COMPUTED_VALUE"""),1.42857142857142)</f>
        <v>1.4285714285714199</v>
      </c>
      <c r="D35" s="62">
        <f ca="1">IFERROR(__xludf.DUMMYFUNCTION("""COMPUTED_VALUE"""),42.4285714285714)</f>
        <v>42.428571428571402</v>
      </c>
      <c r="E35" s="62">
        <f ca="1">IFERROR(__xludf.DUMMYFUNCTION("""COMPUTED_VALUE"""),435.285714285714)</f>
        <v>435.28571428571399</v>
      </c>
      <c r="F35" s="21">
        <f ca="1">IFERROR(__xludf.DUMMYFUNCTION("""COMPUTED_VALUE"""),639)</f>
        <v>639</v>
      </c>
      <c r="G35" s="21">
        <f ca="1">IFERROR(__xludf.DUMMYFUNCTION("""COMPUTED_VALUE"""),4706)</f>
        <v>4706</v>
      </c>
      <c r="H35" s="63">
        <f ca="1">IFERROR(__xludf.DUMMYFUNCTION("""COMPUTED_VALUE"""),4.71428571428571)</f>
        <v>4.71428571428571</v>
      </c>
      <c r="I35" s="63">
        <f ca="1">IFERROR(__xludf.DUMMYFUNCTION("""COMPUTED_VALUE"""),21.5714285714285)</f>
        <v>21.571428571428498</v>
      </c>
      <c r="J35" s="57">
        <f ca="1">IFERROR(__xludf.DUMMYFUNCTION("""COMPUTED_VALUE"""),123.285714285714)</f>
        <v>123.28571428571399</v>
      </c>
      <c r="K35" s="57">
        <f ca="1">IFERROR(__xludf.DUMMYFUNCTION("""COMPUTED_VALUE"""),5098)</f>
        <v>5098</v>
      </c>
      <c r="L35">
        <f ca="1">IFERROR(__xludf.DUMMYFUNCTION("""COMPUTED_VALUE"""),111006)</f>
        <v>111006</v>
      </c>
      <c r="M35" s="58">
        <f ca="1">IFERROR(__xludf.DUMMYFUNCTION("""COMPUTED_VALUE"""),1907.71428571428)</f>
        <v>1907.7142857142801</v>
      </c>
      <c r="R35" s="13">
        <f ca="1">IFERROR(__xludf.DUMMYFUNCTION("""COMPUTED_VALUE"""),0.0337857142857142)</f>
        <v>3.3785714285714197E-2</v>
      </c>
      <c r="S35" s="13">
        <f ca="1">IFERROR(__xludf.DUMMYFUNCTION("""COMPUTED_VALUE"""),0.0537857142857142)</f>
        <v>5.3785714285714201E-2</v>
      </c>
      <c r="T35" s="13">
        <f ca="1">IFERROR(__xludf.DUMMYFUNCTION("""COMPUTED_VALUE"""),0.195175238304366)</f>
        <v>0.19517523830436601</v>
      </c>
      <c r="W35">
        <f ca="1">IFERROR(__xludf.DUMMYFUNCTION("""COMPUTED_VALUE"""),192)</f>
        <v>192</v>
      </c>
      <c r="X35">
        <f ca="1">IFERROR(__xludf.DUMMYFUNCTION("""COMPUTED_VALUE"""),7243)</f>
        <v>7243</v>
      </c>
      <c r="AA35">
        <f ca="1">IFERROR(__xludf.DUMMYFUNCTION("""COMPUTED_VALUE"""),12)</f>
        <v>12</v>
      </c>
      <c r="AB35">
        <f ca="1">IFERROR(__xludf.DUMMYFUNCTION("""COMPUTED_VALUE"""),751)</f>
        <v>751</v>
      </c>
      <c r="AD35" s="57">
        <f ca="1">IFERROR(__xludf.DUMMYFUNCTION("""COMPUTED_VALUE"""),81.4285714285714)</f>
        <v>81.428571428571402</v>
      </c>
      <c r="AE35" s="57">
        <f ca="1">IFERROR(__xludf.DUMMYFUNCTION("""COMPUTED_VALUE"""),13879.5714285714)</f>
        <v>13879.5714285714</v>
      </c>
      <c r="AF35">
        <f ca="1">IFERROR(__xludf.DUMMYFUNCTION("""COMPUTED_VALUE"""),231490)</f>
        <v>231490</v>
      </c>
      <c r="AG35" s="58">
        <f ca="1">IFERROR(__xludf.DUMMYFUNCTION("""COMPUTED_VALUE"""),13814)</f>
        <v>13814</v>
      </c>
      <c r="AH35" s="13">
        <f ca="1">IFERROR(__xludf.DUMMYFUNCTION("""COMPUTED_VALUE"""),0.46210371296896)</f>
        <v>0.46210371296896002</v>
      </c>
      <c r="AI35">
        <f ca="1">IFERROR(__xludf.DUMMYFUNCTION("""COMPUTED_VALUE"""),4919)</f>
        <v>4919</v>
      </c>
      <c r="AJ35">
        <f ca="1">IFERROR(__xludf.DUMMYFUNCTION("""COMPUTED_VALUE"""),168)</f>
        <v>168</v>
      </c>
    </row>
    <row r="36" spans="1:36" ht="15.75" customHeight="1">
      <c r="A36">
        <f t="shared" ca="1" si="0"/>
        <v>35</v>
      </c>
      <c r="B36" s="62">
        <f ca="1">IFERROR(__xludf.DUMMYFUNCTION("""COMPUTED_VALUE"""),4.42857142857142)</f>
        <v>4.4285714285714199</v>
      </c>
      <c r="C36" s="62">
        <f ca="1">IFERROR(__xludf.DUMMYFUNCTION("""COMPUTED_VALUE"""),1.28571428571428)</f>
        <v>1.28571428571428</v>
      </c>
      <c r="D36" s="62">
        <f ca="1">IFERROR(__xludf.DUMMYFUNCTION("""COMPUTED_VALUE"""),46.4285714285714)</f>
        <v>46.428571428571402</v>
      </c>
      <c r="E36" s="62">
        <f ca="1">IFERROR(__xludf.DUMMYFUNCTION("""COMPUTED_VALUE"""),441.857142857142)</f>
        <v>441.85714285714198</v>
      </c>
      <c r="F36" s="21">
        <f ca="1">IFERROR(__xludf.DUMMYFUNCTION("""COMPUTED_VALUE"""),699)</f>
        <v>699</v>
      </c>
      <c r="G36" s="21">
        <f ca="1">IFERROR(__xludf.DUMMYFUNCTION("""COMPUTED_VALUE"""),5103)</f>
        <v>5103</v>
      </c>
      <c r="H36" s="63">
        <f ca="1">IFERROR(__xludf.DUMMYFUNCTION("""COMPUTED_VALUE"""),4.85714285714285)</f>
        <v>4.8571428571428497</v>
      </c>
      <c r="I36" s="63">
        <f ca="1">IFERROR(__xludf.DUMMYFUNCTION("""COMPUTED_VALUE"""),11.5714285714285)</f>
        <v>11.5714285714285</v>
      </c>
      <c r="J36" s="57">
        <f ca="1">IFERROR(__xludf.DUMMYFUNCTION("""COMPUTED_VALUE"""),128.428571428571)</f>
        <v>128.42857142857099</v>
      </c>
      <c r="K36" s="57">
        <f ca="1">IFERROR(__xludf.DUMMYFUNCTION("""COMPUTED_VALUE"""),5345.42857142857)</f>
        <v>5345.4285714285697</v>
      </c>
      <c r="L36">
        <f ca="1">IFERROR(__xludf.DUMMYFUNCTION("""COMPUTED_VALUE"""),114632)</f>
        <v>114632</v>
      </c>
      <c r="M36" s="58">
        <f ca="1">IFERROR(__xludf.DUMMYFUNCTION("""COMPUTED_VALUE"""),2054.85714285714)</f>
        <v>2054.8571428571399</v>
      </c>
      <c r="R36" s="13">
        <f ca="1">IFERROR(__xludf.DUMMYFUNCTION("""COMPUTED_VALUE"""),0.0332999999999999)</f>
        <v>3.3299999999999899E-2</v>
      </c>
      <c r="S36" s="13">
        <f ca="1">IFERROR(__xludf.DUMMYFUNCTION("""COMPUTED_VALUE"""),0.0539571428571428)</f>
        <v>5.3957142857142801E-2</v>
      </c>
      <c r="T36" s="13">
        <f ca="1">IFERROR(__xludf.DUMMYFUNCTION("""COMPUTED_VALUE"""),0.198300181279143)</f>
        <v>0.19830018127914301</v>
      </c>
      <c r="W36">
        <f ca="1">IFERROR(__xludf.DUMMYFUNCTION("""COMPUTED_VALUE"""),221)</f>
        <v>221</v>
      </c>
      <c r="X36">
        <f ca="1">IFERROR(__xludf.DUMMYFUNCTION("""COMPUTED_VALUE"""),7445)</f>
        <v>7445</v>
      </c>
      <c r="AA36">
        <f ca="1">IFERROR(__xludf.DUMMYFUNCTION("""COMPUTED_VALUE"""),13)</f>
        <v>13</v>
      </c>
      <c r="AB36">
        <f ca="1">IFERROR(__xludf.DUMMYFUNCTION("""COMPUTED_VALUE"""),778)</f>
        <v>778</v>
      </c>
      <c r="AD36" s="57">
        <f ca="1">IFERROR(__xludf.DUMMYFUNCTION("""COMPUTED_VALUE"""),85.4285714285714)</f>
        <v>85.428571428571402</v>
      </c>
      <c r="AE36" s="57">
        <f ca="1">IFERROR(__xludf.DUMMYFUNCTION("""COMPUTED_VALUE"""),13541.1428571428)</f>
        <v>13541.1428571428</v>
      </c>
      <c r="AF36">
        <f ca="1">IFERROR(__xludf.DUMMYFUNCTION("""COMPUTED_VALUE"""),231376)</f>
        <v>231376</v>
      </c>
      <c r="AG36" s="58">
        <f ca="1">IFERROR(__xludf.DUMMYFUNCTION("""COMPUTED_VALUE"""),13238.7142857142)</f>
        <v>13238.714285714201</v>
      </c>
      <c r="AH36" s="13">
        <f ca="1">IFERROR(__xludf.DUMMYFUNCTION("""COMPUTED_VALUE"""),0.469462586402813)</f>
        <v>0.46946258640281302</v>
      </c>
      <c r="AI36">
        <f ca="1">IFERROR(__xludf.DUMMYFUNCTION("""COMPUTED_VALUE"""),5167)</f>
        <v>5167</v>
      </c>
      <c r="AJ36">
        <f ca="1">IFERROR(__xludf.DUMMYFUNCTION("""COMPUTED_VALUE"""),176)</f>
        <v>176</v>
      </c>
    </row>
    <row r="37" spans="1:36" ht="15.75" customHeight="1">
      <c r="A37">
        <f t="shared" ca="1" si="0"/>
        <v>36</v>
      </c>
      <c r="B37" s="62">
        <f ca="1">IFERROR(__xludf.DUMMYFUNCTION("""COMPUTED_VALUE"""),5.42857142857142)</f>
        <v>5.4285714285714199</v>
      </c>
      <c r="C37" s="62">
        <f ca="1">IFERROR(__xludf.DUMMYFUNCTION("""COMPUTED_VALUE"""),1.42857142857142)</f>
        <v>1.4285714285714199</v>
      </c>
      <c r="D37" s="62">
        <f ca="1">IFERROR(__xludf.DUMMYFUNCTION("""COMPUTED_VALUE"""),52.8571428571428)</f>
        <v>52.857142857142797</v>
      </c>
      <c r="E37" s="62">
        <f ca="1">IFERROR(__xludf.DUMMYFUNCTION("""COMPUTED_VALUE"""),466.857142857142)</f>
        <v>466.85714285714198</v>
      </c>
      <c r="F37" s="21">
        <f ca="1">IFERROR(__xludf.DUMMYFUNCTION("""COMPUTED_VALUE"""),743)</f>
        <v>743</v>
      </c>
      <c r="G37" s="21">
        <f ca="1">IFERROR(__xludf.DUMMYFUNCTION("""COMPUTED_VALUE"""),5571)</f>
        <v>5571</v>
      </c>
      <c r="H37" s="63">
        <f ca="1">IFERROR(__xludf.DUMMYFUNCTION("""COMPUTED_VALUE"""),7.71428571428571)</f>
        <v>7.71428571428571</v>
      </c>
      <c r="I37" s="63">
        <f ca="1">IFERROR(__xludf.DUMMYFUNCTION("""COMPUTED_VALUE"""),8.57142857142857)</f>
        <v>8.5714285714285694</v>
      </c>
      <c r="J37" s="57">
        <f ca="1">IFERROR(__xludf.DUMMYFUNCTION("""COMPUTED_VALUE"""),132.857142857142)</f>
        <v>132.85714285714201</v>
      </c>
      <c r="K37" s="57">
        <f ca="1">IFERROR(__xludf.DUMMYFUNCTION("""COMPUTED_VALUE"""),5112.57142857142)</f>
        <v>5112.5714285714203</v>
      </c>
      <c r="L37">
        <f ca="1">IFERROR(__xludf.DUMMYFUNCTION("""COMPUTED_VALUE"""),115981)</f>
        <v>115981</v>
      </c>
      <c r="M37" s="58">
        <f ca="1">IFERROR(__xludf.DUMMYFUNCTION("""COMPUTED_VALUE"""),1969.71428571428)</f>
        <v>1969.7142857142801</v>
      </c>
      <c r="N37" s="57">
        <f ca="1">IFERROR(__xludf.DUMMYFUNCTION("""COMPUTED_VALUE"""),4)</f>
        <v>4</v>
      </c>
      <c r="O37" s="57">
        <f ca="1">IFERROR(__xludf.DUMMYFUNCTION("""COMPUTED_VALUE"""),273.857142857142)</f>
        <v>273.85714285714198</v>
      </c>
      <c r="P37">
        <f ca="1">IFERROR(__xludf.DUMMYFUNCTION("""COMPUTED_VALUE"""),6502)</f>
        <v>6502</v>
      </c>
      <c r="Q37" s="58">
        <f ca="1">IFERROR(__xludf.DUMMYFUNCTION("""COMPUTED_VALUE"""),109.857142857142)</f>
        <v>109.85714285714199</v>
      </c>
      <c r="R37" s="13">
        <f ca="1">IFERROR(__xludf.DUMMYFUNCTION("""COMPUTED_VALUE"""),0.0344285714285714)</f>
        <v>3.4428571428571399E-2</v>
      </c>
      <c r="S37" s="13">
        <f ca="1">IFERROR(__xludf.DUMMYFUNCTION("""COMPUTED_VALUE"""),0.0549714285714285)</f>
        <v>5.4971428571428498E-2</v>
      </c>
      <c r="T37" s="13">
        <f ca="1">IFERROR(__xludf.DUMMYFUNCTION("""COMPUTED_VALUE"""),0.183873000513453)</f>
        <v>0.18387300051345301</v>
      </c>
      <c r="U37" s="13">
        <f ca="1">IFERROR(__xludf.DUMMYFUNCTION("""COMPUTED_VALUE"""),0.0228775839341234)</f>
        <v>2.28775839341234E-2</v>
      </c>
      <c r="W37">
        <f ca="1">IFERROR(__xludf.DUMMYFUNCTION("""COMPUTED_VALUE"""),234)</f>
        <v>234</v>
      </c>
      <c r="X37">
        <f ca="1">IFERROR(__xludf.DUMMYFUNCTION("""COMPUTED_VALUE"""),7924)</f>
        <v>7924</v>
      </c>
      <c r="Y37">
        <f ca="1">IFERROR(__xludf.DUMMYFUNCTION("""COMPUTED_VALUE"""),266)</f>
        <v>266</v>
      </c>
      <c r="AA37">
        <f ca="1">IFERROR(__xludf.DUMMYFUNCTION("""COMPUTED_VALUE"""),11)</f>
        <v>11</v>
      </c>
      <c r="AB37">
        <f ca="1">IFERROR(__xludf.DUMMYFUNCTION("""COMPUTED_VALUE"""),806)</f>
        <v>806</v>
      </c>
      <c r="AC37">
        <f ca="1">IFERROR(__xludf.DUMMYFUNCTION("""COMPUTED_VALUE"""),34)</f>
        <v>34</v>
      </c>
      <c r="AD37" s="57">
        <f ca="1">IFERROR(__xludf.DUMMYFUNCTION("""COMPUTED_VALUE"""),88.8571428571428)</f>
        <v>88.857142857142804</v>
      </c>
      <c r="AE37" s="57">
        <f ca="1">IFERROR(__xludf.DUMMYFUNCTION("""COMPUTED_VALUE"""),12718.5714285714)</f>
        <v>12718.5714285714</v>
      </c>
      <c r="AF37">
        <f ca="1">IFERROR(__xludf.DUMMYFUNCTION("""COMPUTED_VALUE"""),229240)</f>
        <v>229240</v>
      </c>
      <c r="AG37" s="58">
        <f ca="1">IFERROR(__xludf.DUMMYFUNCTION("""COMPUTED_VALUE"""),12816.7142857142)</f>
        <v>12816.714285714201</v>
      </c>
      <c r="AH37" s="13">
        <f ca="1">IFERROR(__xludf.DUMMYFUNCTION("""COMPUTED_VALUE"""),0.450498286789658)</f>
        <v>0.45049828678965798</v>
      </c>
      <c r="AI37">
        <f ca="1">IFERROR(__xludf.DUMMYFUNCTION("""COMPUTED_VALUE"""),5108)</f>
        <v>5108</v>
      </c>
      <c r="AJ37">
        <f ca="1">IFERROR(__xludf.DUMMYFUNCTION("""COMPUTED_VALUE"""),193)</f>
        <v>193</v>
      </c>
    </row>
    <row r="38" spans="1:36" ht="15.75" customHeight="1">
      <c r="A38">
        <f t="shared" ca="1" si="0"/>
        <v>37</v>
      </c>
      <c r="B38" s="62">
        <f ca="1">IFERROR(__xludf.DUMMYFUNCTION("""COMPUTED_VALUE"""),6.42857142857142)</f>
        <v>6.4285714285714199</v>
      </c>
      <c r="C38" s="62">
        <f ca="1">IFERROR(__xludf.DUMMYFUNCTION("""COMPUTED_VALUE"""),1.42857142857142)</f>
        <v>1.4285714285714199</v>
      </c>
      <c r="D38" s="62">
        <f ca="1">IFERROR(__xludf.DUMMYFUNCTION("""COMPUTED_VALUE"""),56.4285714285714)</f>
        <v>56.428571428571402</v>
      </c>
      <c r="E38" s="62">
        <f ca="1">IFERROR(__xludf.DUMMYFUNCTION("""COMPUTED_VALUE"""),503.857142857142)</f>
        <v>503.85714285714198</v>
      </c>
      <c r="F38" s="21">
        <f ca="1">IFERROR(__xludf.DUMMYFUNCTION("""COMPUTED_VALUE"""),818)</f>
        <v>818</v>
      </c>
      <c r="G38" s="21">
        <f ca="1">IFERROR(__xludf.DUMMYFUNCTION("""COMPUTED_VALUE"""),6264)</f>
        <v>6264</v>
      </c>
      <c r="H38" s="63">
        <f ca="1">IFERROR(__xludf.DUMMYFUNCTION("""COMPUTED_VALUE"""),7.71428571428571)</f>
        <v>7.71428571428571</v>
      </c>
      <c r="I38" s="63">
        <f ca="1">IFERROR(__xludf.DUMMYFUNCTION("""COMPUTED_VALUE"""),10)</f>
        <v>10</v>
      </c>
      <c r="J38" s="57">
        <f ca="1">IFERROR(__xludf.DUMMYFUNCTION("""COMPUTED_VALUE"""),136.857142857142)</f>
        <v>136.85714285714201</v>
      </c>
      <c r="K38" s="57">
        <f ca="1">IFERROR(__xludf.DUMMYFUNCTION("""COMPUTED_VALUE"""),5645.42857142857)</f>
        <v>5645.4285714285697</v>
      </c>
      <c r="L38">
        <f ca="1">IFERROR(__xludf.DUMMYFUNCTION("""COMPUTED_VALUE"""),120115)</f>
        <v>120115</v>
      </c>
      <c r="M38" s="58">
        <f ca="1">IFERROR(__xludf.DUMMYFUNCTION("""COMPUTED_VALUE"""),2106.28571428571)</f>
        <v>2106.2857142857101</v>
      </c>
      <c r="N38" s="57">
        <f ca="1">IFERROR(__xludf.DUMMYFUNCTION("""COMPUTED_VALUE"""),4)</f>
        <v>4</v>
      </c>
      <c r="O38" s="57">
        <f ca="1">IFERROR(__xludf.DUMMYFUNCTION("""COMPUTED_VALUE"""),290.428571428571)</f>
        <v>290.42857142857099</v>
      </c>
      <c r="P38">
        <f ca="1">IFERROR(__xludf.DUMMYFUNCTION("""COMPUTED_VALUE"""),6635)</f>
        <v>6635</v>
      </c>
      <c r="Q38" s="58">
        <f ca="1">IFERROR(__xludf.DUMMYFUNCTION("""COMPUTED_VALUE"""),122.285714285714)</f>
        <v>122.28571428571399</v>
      </c>
      <c r="R38" s="13">
        <f ca="1">IFERROR(__xludf.DUMMYFUNCTION("""COMPUTED_VALUE"""),0.0330857142857142)</f>
        <v>3.3085714285714198E-2</v>
      </c>
      <c r="S38" s="13">
        <f ca="1">IFERROR(__xludf.DUMMYFUNCTION("""COMPUTED_VALUE"""),0.0545428571428571)</f>
        <v>5.4542857142857101E-2</v>
      </c>
      <c r="T38" s="13">
        <f ca="1">IFERROR(__xludf.DUMMYFUNCTION("""COMPUTED_VALUE"""),0.206801918858475)</f>
        <v>0.20680191885847499</v>
      </c>
      <c r="U38" s="13">
        <f ca="1">IFERROR(__xludf.DUMMYFUNCTION("""COMPUTED_VALUE"""),0.0245438502389831)</f>
        <v>2.45438502389831E-2</v>
      </c>
      <c r="W38">
        <f ca="1">IFERROR(__xludf.DUMMYFUNCTION("""COMPUTED_VALUE"""),259)</f>
        <v>259</v>
      </c>
      <c r="X38">
        <f ca="1">IFERROR(__xludf.DUMMYFUNCTION("""COMPUTED_VALUE"""),8270)</f>
        <v>8270</v>
      </c>
      <c r="Y38">
        <f ca="1">IFERROR(__xludf.DUMMYFUNCTION("""COMPUTED_VALUE"""),300)</f>
        <v>300</v>
      </c>
      <c r="AA38">
        <f ca="1">IFERROR(__xludf.DUMMYFUNCTION("""COMPUTED_VALUE"""),12)</f>
        <v>12</v>
      </c>
      <c r="AB38">
        <f ca="1">IFERROR(__xludf.DUMMYFUNCTION("""COMPUTED_VALUE"""),833)</f>
        <v>833</v>
      </c>
      <c r="AC38">
        <f ca="1">IFERROR(__xludf.DUMMYFUNCTION("""COMPUTED_VALUE"""),43)</f>
        <v>43</v>
      </c>
      <c r="AD38" s="57">
        <f ca="1">IFERROR(__xludf.DUMMYFUNCTION("""COMPUTED_VALUE"""),90.4285714285714)</f>
        <v>90.428571428571402</v>
      </c>
      <c r="AE38" s="57">
        <f ca="1">IFERROR(__xludf.DUMMYFUNCTION("""COMPUTED_VALUE"""),12003)</f>
        <v>12003</v>
      </c>
      <c r="AF38">
        <f ca="1">IFERROR(__xludf.DUMMYFUNCTION("""COMPUTED_VALUE"""),231613)</f>
        <v>231613</v>
      </c>
      <c r="AG38" s="58">
        <f ca="1">IFERROR(__xludf.DUMMYFUNCTION("""COMPUTED_VALUE"""),11382)</f>
        <v>11382</v>
      </c>
      <c r="AH38" s="13">
        <f ca="1">IFERROR(__xludf.DUMMYFUNCTION("""COMPUTED_VALUE"""),0.440951686522557)</f>
        <v>0.44095168652255701</v>
      </c>
      <c r="AI38">
        <f ca="1">IFERROR(__xludf.DUMMYFUNCTION("""COMPUTED_VALUE"""),5198)</f>
        <v>5198</v>
      </c>
      <c r="AJ38">
        <f ca="1">IFERROR(__xludf.DUMMYFUNCTION("""COMPUTED_VALUE"""),198)</f>
        <v>198</v>
      </c>
    </row>
    <row r="39" spans="1:36" ht="15.75" customHeight="1">
      <c r="A39">
        <f t="shared" ca="1" si="0"/>
        <v>38</v>
      </c>
      <c r="B39" s="62">
        <f ca="1">IFERROR(__xludf.DUMMYFUNCTION("""COMPUTED_VALUE"""),7.28571428571428)</f>
        <v>7.2857142857142803</v>
      </c>
      <c r="C39" s="62">
        <f ca="1">IFERROR(__xludf.DUMMYFUNCTION("""COMPUTED_VALUE"""),1.28571428571428)</f>
        <v>1.28571428571428</v>
      </c>
      <c r="D39" s="62">
        <f ca="1">IFERROR(__xludf.DUMMYFUNCTION("""COMPUTED_VALUE"""),81)</f>
        <v>81</v>
      </c>
      <c r="E39" s="62">
        <f ca="1">IFERROR(__xludf.DUMMYFUNCTION("""COMPUTED_VALUE"""),561.857142857142)</f>
        <v>561.85714285714198</v>
      </c>
      <c r="F39" s="21">
        <f ca="1">IFERROR(__xludf.DUMMYFUNCTION("""COMPUTED_VALUE"""),1001)</f>
        <v>1001</v>
      </c>
      <c r="G39" s="21">
        <f ca="1">IFERROR(__xludf.DUMMYFUNCTION("""COMPUTED_VALUE"""),7134)</f>
        <v>7134</v>
      </c>
      <c r="H39" s="63">
        <f ca="1">IFERROR(__xludf.DUMMYFUNCTION("""COMPUTED_VALUE"""),9.85714285714285)</f>
        <v>9.8571428571428505</v>
      </c>
      <c r="I39" s="63">
        <f ca="1">IFERROR(__xludf.DUMMYFUNCTION("""COMPUTED_VALUE"""),15.1428571428571)</f>
        <v>15.1428571428571</v>
      </c>
      <c r="J39" s="57">
        <f ca="1">IFERROR(__xludf.DUMMYFUNCTION("""COMPUTED_VALUE"""),143)</f>
        <v>143</v>
      </c>
      <c r="K39" s="57">
        <f ca="1">IFERROR(__xludf.DUMMYFUNCTION("""COMPUTED_VALUE"""),5851.42857142857)</f>
        <v>5851.4285714285697</v>
      </c>
      <c r="L39">
        <f ca="1">IFERROR(__xludf.DUMMYFUNCTION("""COMPUTED_VALUE"""),123691)</f>
        <v>123691</v>
      </c>
      <c r="M39" s="58">
        <f ca="1">IFERROR(__xludf.DUMMYFUNCTION("""COMPUTED_VALUE"""),2089.85714285714)</f>
        <v>2089.8571428571399</v>
      </c>
      <c r="N39" s="57">
        <f ca="1">IFERROR(__xludf.DUMMYFUNCTION("""COMPUTED_VALUE"""),5.28571428571428)</f>
        <v>5.2857142857142803</v>
      </c>
      <c r="O39" s="57">
        <f ca="1">IFERROR(__xludf.DUMMYFUNCTION("""COMPUTED_VALUE"""),308.285714285714)</f>
        <v>308.28571428571399</v>
      </c>
      <c r="P39">
        <f ca="1">IFERROR(__xludf.DUMMYFUNCTION("""COMPUTED_VALUE"""),6858)</f>
        <v>6858</v>
      </c>
      <c r="Q39" s="58">
        <f ca="1">IFERROR(__xludf.DUMMYFUNCTION("""COMPUTED_VALUE"""),121.285714285714)</f>
        <v>121.28571428571399</v>
      </c>
      <c r="R39" s="13">
        <f ca="1">IFERROR(__xludf.DUMMYFUNCTION("""COMPUTED_VALUE"""),0.0432571428571428)</f>
        <v>4.32571428571428E-2</v>
      </c>
      <c r="S39" s="13">
        <f ca="1">IFERROR(__xludf.DUMMYFUNCTION("""COMPUTED_VALUE"""),0.0566)</f>
        <v>5.6599999999999998E-2</v>
      </c>
      <c r="T39" s="13">
        <f ca="1">IFERROR(__xludf.DUMMYFUNCTION("""COMPUTED_VALUE"""),0.209676177309425)</f>
        <v>0.209676177309425</v>
      </c>
      <c r="U39" s="13">
        <f ca="1">IFERROR(__xludf.DUMMYFUNCTION("""COMPUTED_VALUE"""),0.0257412697037563)</f>
        <v>2.57412697037563E-2</v>
      </c>
      <c r="W39">
        <f ca="1">IFERROR(__xludf.DUMMYFUNCTION("""COMPUTED_VALUE"""),282)</f>
        <v>282</v>
      </c>
      <c r="X39">
        <f ca="1">IFERROR(__xludf.DUMMYFUNCTION("""COMPUTED_VALUE"""),8348)</f>
        <v>8348</v>
      </c>
      <c r="Y39">
        <f ca="1">IFERROR(__xludf.DUMMYFUNCTION("""COMPUTED_VALUE"""),307)</f>
        <v>307</v>
      </c>
      <c r="AA39">
        <f ca="1">IFERROR(__xludf.DUMMYFUNCTION("""COMPUTED_VALUE"""),15)</f>
        <v>15</v>
      </c>
      <c r="AB39">
        <f ca="1">IFERROR(__xludf.DUMMYFUNCTION("""COMPUTED_VALUE"""),844)</f>
        <v>844</v>
      </c>
      <c r="AC39">
        <f ca="1">IFERROR(__xludf.DUMMYFUNCTION("""COMPUTED_VALUE"""),40)</f>
        <v>40</v>
      </c>
      <c r="AD39" s="57">
        <f ca="1">IFERROR(__xludf.DUMMYFUNCTION("""COMPUTED_VALUE"""),88.4285714285714)</f>
        <v>88.428571428571402</v>
      </c>
      <c r="AE39" s="57">
        <f ca="1">IFERROR(__xludf.DUMMYFUNCTION("""COMPUTED_VALUE"""),11306.4285714285)</f>
        <v>11306.4285714285</v>
      </c>
      <c r="AF39">
        <f ca="1">IFERROR(__xludf.DUMMYFUNCTION("""COMPUTED_VALUE"""),229710)</f>
        <v>229710</v>
      </c>
      <c r="AG39" s="58">
        <f ca="1">IFERROR(__xludf.DUMMYFUNCTION("""COMPUTED_VALUE"""),10889)</f>
        <v>10889</v>
      </c>
      <c r="AH39" s="13">
        <f ca="1">IFERROR(__xludf.DUMMYFUNCTION("""COMPUTED_VALUE"""),0.430024740379025)</f>
        <v>0.43002474037902499</v>
      </c>
      <c r="AI39">
        <f ca="1">IFERROR(__xludf.DUMMYFUNCTION("""COMPUTED_VALUE"""),5152)</f>
        <v>5152</v>
      </c>
      <c r="AJ39">
        <f ca="1">IFERROR(__xludf.DUMMYFUNCTION("""COMPUTED_VALUE"""),209)</f>
        <v>209</v>
      </c>
    </row>
    <row r="40" spans="1:36" ht="15.75" customHeight="1">
      <c r="A40">
        <f t="shared" ca="1" si="0"/>
        <v>39</v>
      </c>
      <c r="B40" s="62">
        <f ca="1">IFERROR(__xludf.DUMMYFUNCTION("""COMPUTED_VALUE"""),7.57142857142857)</f>
        <v>7.5714285714285703</v>
      </c>
      <c r="C40" s="62">
        <f ca="1">IFERROR(__xludf.DUMMYFUNCTION("""COMPUTED_VALUE"""),1.85714285714285)</f>
        <v>1.8571428571428501</v>
      </c>
      <c r="D40" s="62">
        <f ca="1">IFERROR(__xludf.DUMMYFUNCTION("""COMPUTED_VALUE"""),90.2857142857142)</f>
        <v>90.285714285714207</v>
      </c>
      <c r="E40" s="62">
        <f ca="1">IFERROR(__xludf.DUMMYFUNCTION("""COMPUTED_VALUE"""),560.285714285714)</f>
        <v>560.28571428571399</v>
      </c>
      <c r="F40" s="21">
        <f ca="1">IFERROR(__xludf.DUMMYFUNCTION("""COMPUTED_VALUE"""),1110)</f>
        <v>1110</v>
      </c>
      <c r="G40" s="21">
        <f ca="1">IFERROR(__xludf.DUMMYFUNCTION("""COMPUTED_VALUE"""),7603)</f>
        <v>7603</v>
      </c>
      <c r="H40" s="63">
        <f ca="1">IFERROR(__xludf.DUMMYFUNCTION("""COMPUTED_VALUE"""),8.14285714285714)</f>
        <v>8.1428571428571406</v>
      </c>
      <c r="I40" s="63">
        <f ca="1">IFERROR(__xludf.DUMMYFUNCTION("""COMPUTED_VALUE"""),15.8571428571428)</f>
        <v>15.857142857142801</v>
      </c>
      <c r="J40" s="57">
        <f ca="1">IFERROR(__xludf.DUMMYFUNCTION("""COMPUTED_VALUE"""),145.857142857142)</f>
        <v>145.85714285714201</v>
      </c>
      <c r="K40" s="57">
        <f ca="1">IFERROR(__xludf.DUMMYFUNCTION("""COMPUTED_VALUE"""),6142)</f>
        <v>6142</v>
      </c>
      <c r="L40">
        <f ca="1">IFERROR(__xludf.DUMMYFUNCTION("""COMPUTED_VALUE"""),128408)</f>
        <v>128408</v>
      </c>
      <c r="M40" s="58">
        <f ca="1">IFERROR(__xludf.DUMMYFUNCTION("""COMPUTED_VALUE"""),2304.42857142857)</f>
        <v>2304.4285714285702</v>
      </c>
      <c r="N40" s="57">
        <f ca="1">IFERROR(__xludf.DUMMYFUNCTION("""COMPUTED_VALUE"""),5.42857142857142)</f>
        <v>5.4285714285714199</v>
      </c>
      <c r="O40" s="57">
        <f ca="1">IFERROR(__xludf.DUMMYFUNCTION("""COMPUTED_VALUE"""),324.428571428571)</f>
        <v>324.42857142857099</v>
      </c>
      <c r="P40">
        <f ca="1">IFERROR(__xludf.DUMMYFUNCTION("""COMPUTED_VALUE"""),7129)</f>
        <v>7129</v>
      </c>
      <c r="Q40" s="58">
        <f ca="1">IFERROR(__xludf.DUMMYFUNCTION("""COMPUTED_VALUE"""),128.857142857142)</f>
        <v>128.85714285714201</v>
      </c>
      <c r="R40" s="13">
        <f ca="1">IFERROR(__xludf.DUMMYFUNCTION("""COMPUTED_VALUE"""),0.0470285714285714)</f>
        <v>4.7028571428571399E-2</v>
      </c>
      <c r="S40" s="13">
        <f ca="1">IFERROR(__xludf.DUMMYFUNCTION("""COMPUTED_VALUE"""),0.0571857142857142)</f>
        <v>5.7185714285714201E-2</v>
      </c>
      <c r="T40" s="13">
        <f ca="1">IFERROR(__xludf.DUMMYFUNCTION("""COMPUTED_VALUE"""),0.21603552611874)</f>
        <v>0.21603552611874</v>
      </c>
      <c r="U40" s="13">
        <f ca="1">IFERROR(__xludf.DUMMYFUNCTION("""COMPUTED_VALUE"""),0.0263606268772541)</f>
        <v>2.6360626877254101E-2</v>
      </c>
      <c r="W40">
        <f ca="1">IFERROR(__xludf.DUMMYFUNCTION("""COMPUTED_VALUE"""),282)</f>
        <v>282</v>
      </c>
      <c r="X40">
        <f ca="1">IFERROR(__xludf.DUMMYFUNCTION("""COMPUTED_VALUE"""),8329)</f>
        <v>8329</v>
      </c>
      <c r="Y40">
        <f ca="1">IFERROR(__xludf.DUMMYFUNCTION("""COMPUTED_VALUE"""),343)</f>
        <v>343</v>
      </c>
      <c r="AA40">
        <f ca="1">IFERROR(__xludf.DUMMYFUNCTION("""COMPUTED_VALUE"""),16)</f>
        <v>16</v>
      </c>
      <c r="AB40">
        <f ca="1">IFERROR(__xludf.DUMMYFUNCTION("""COMPUTED_VALUE"""),911)</f>
        <v>911</v>
      </c>
      <c r="AC40">
        <f ca="1">IFERROR(__xludf.DUMMYFUNCTION("""COMPUTED_VALUE"""),40)</f>
        <v>40</v>
      </c>
    </row>
    <row r="41" spans="1:36" ht="15.75" customHeight="1">
      <c r="A41">
        <f t="shared" ca="1" si="0"/>
        <v>40</v>
      </c>
      <c r="B41" s="62">
        <f ca="1">IFERROR(__xludf.DUMMYFUNCTION("""COMPUTED_VALUE"""),9.28571428571428)</f>
        <v>9.2857142857142794</v>
      </c>
      <c r="C41" s="62">
        <f ca="1">IFERROR(__xludf.DUMMYFUNCTION("""COMPUTED_VALUE"""),2.42857142857142)</f>
        <v>2.4285714285714199</v>
      </c>
      <c r="D41" s="62">
        <f ca="1">IFERROR(__xludf.DUMMYFUNCTION("""COMPUTED_VALUE"""),96.7142857142857)</f>
        <v>96.714285714285694</v>
      </c>
      <c r="E41" s="62">
        <f ca="1">IFERROR(__xludf.DUMMYFUNCTION("""COMPUTED_VALUE"""),598.571428571428)</f>
        <v>598.57142857142799</v>
      </c>
      <c r="F41" s="21">
        <f ca="1">IFERROR(__xludf.DUMMYFUNCTION("""COMPUTED_VALUE"""),1193)</f>
        <v>1193</v>
      </c>
      <c r="G41" s="21">
        <f ca="1">IFERROR(__xludf.DUMMYFUNCTION("""COMPUTED_VALUE"""),8394)</f>
        <v>8394</v>
      </c>
      <c r="H41" s="63">
        <f ca="1">IFERROR(__xludf.DUMMYFUNCTION("""COMPUTED_VALUE"""),7.42857142857142)</f>
        <v>7.4285714285714199</v>
      </c>
      <c r="I41" s="63">
        <f ca="1">IFERROR(__xludf.DUMMYFUNCTION("""COMPUTED_VALUE"""),22.2857142857142)</f>
        <v>22.285714285714199</v>
      </c>
      <c r="J41" s="57">
        <f ca="1">IFERROR(__xludf.DUMMYFUNCTION("""COMPUTED_VALUE"""),144)</f>
        <v>144</v>
      </c>
      <c r="K41" s="57">
        <f ca="1">IFERROR(__xludf.DUMMYFUNCTION("""COMPUTED_VALUE"""),6519.42857142857)</f>
        <v>6519.4285714285697</v>
      </c>
      <c r="L41">
        <f ca="1">IFERROR(__xludf.DUMMYFUNCTION("""COMPUTED_VALUE"""),134652)</f>
        <v>134652</v>
      </c>
      <c r="M41" s="58">
        <f ca="1">IFERROR(__xludf.DUMMYFUNCTION("""COMPUTED_VALUE"""),2192.42857142857)</f>
        <v>2192.4285714285702</v>
      </c>
      <c r="N41" s="57">
        <f ca="1">IFERROR(__xludf.DUMMYFUNCTION("""COMPUTED_VALUE"""),5.28571428571428)</f>
        <v>5.2857142857142803</v>
      </c>
      <c r="O41" s="57">
        <f ca="1">IFERROR(__xludf.DUMMYFUNCTION("""COMPUTED_VALUE"""),346.714285714285)</f>
        <v>346.71428571428498</v>
      </c>
      <c r="P41">
        <f ca="1">IFERROR(__xludf.DUMMYFUNCTION("""COMPUTED_VALUE"""),7259)</f>
        <v>7259</v>
      </c>
      <c r="Q41" s="58">
        <f ca="1">IFERROR(__xludf.DUMMYFUNCTION("""COMPUTED_VALUE"""),162.428571428571)</f>
        <v>162.42857142857099</v>
      </c>
      <c r="R41" s="13">
        <f ca="1">IFERROR(__xludf.DUMMYFUNCTION("""COMPUTED_VALUE"""),0.0518285714285714)</f>
        <v>5.1828571428571397E-2</v>
      </c>
      <c r="S41" s="13">
        <f ca="1">IFERROR(__xludf.DUMMYFUNCTION("""COMPUTED_VALUE"""),0.0606428571428571)</f>
        <v>6.0642857142857103E-2</v>
      </c>
      <c r="T41" s="13">
        <f ca="1">IFERROR(__xludf.DUMMYFUNCTION("""COMPUTED_VALUE"""),0.221926833750148)</f>
        <v>0.22192683375014799</v>
      </c>
      <c r="U41" s="13">
        <f ca="1">IFERROR(__xludf.DUMMYFUNCTION("""COMPUTED_VALUE"""),0.0280011960041475)</f>
        <v>2.8001196004147501E-2</v>
      </c>
      <c r="W41">
        <f ca="1">IFERROR(__xludf.DUMMYFUNCTION("""COMPUTED_VALUE"""),287)</f>
        <v>287</v>
      </c>
      <c r="X41">
        <f ca="1">IFERROR(__xludf.DUMMYFUNCTION("""COMPUTED_VALUE"""),8718)</f>
        <v>8718</v>
      </c>
      <c r="Y41">
        <f ca="1">IFERROR(__xludf.DUMMYFUNCTION("""COMPUTED_VALUE"""),353)</f>
        <v>353</v>
      </c>
      <c r="AA41">
        <f ca="1">IFERROR(__xludf.DUMMYFUNCTION("""COMPUTED_VALUE"""),16)</f>
        <v>16</v>
      </c>
      <c r="AB41">
        <f ca="1">IFERROR(__xludf.DUMMYFUNCTION("""COMPUTED_VALUE"""),949)</f>
        <v>949</v>
      </c>
      <c r="AC41">
        <f ca="1">IFERROR(__xludf.DUMMYFUNCTION("""COMPUTED_VALUE"""),41)</f>
        <v>41</v>
      </c>
    </row>
    <row r="42" spans="1:36" ht="15.75" customHeight="1">
      <c r="A42">
        <f t="shared" ca="1" si="0"/>
        <v>41</v>
      </c>
      <c r="B42" s="62">
        <f ca="1">IFERROR(__xludf.DUMMYFUNCTION("""COMPUTED_VALUE"""),10.1428571428571)</f>
        <v>10.1428571428571</v>
      </c>
      <c r="C42" s="62">
        <f ca="1">IFERROR(__xludf.DUMMYFUNCTION("""COMPUTED_VALUE"""),2.85714285714285)</f>
        <v>2.8571428571428501</v>
      </c>
      <c r="D42" s="62">
        <f ca="1">IFERROR(__xludf.DUMMYFUNCTION("""COMPUTED_VALUE"""),102)</f>
        <v>102</v>
      </c>
      <c r="E42" s="62">
        <f ca="1">IFERROR(__xludf.DUMMYFUNCTION("""COMPUTED_VALUE"""),653.571428571428)</f>
        <v>653.57142857142799</v>
      </c>
      <c r="F42" s="21">
        <f ca="1">IFERROR(__xludf.DUMMYFUNCTION("""COMPUTED_VALUE"""),1229)</f>
        <v>1229</v>
      </c>
      <c r="G42" s="21">
        <f ca="1">IFERROR(__xludf.DUMMYFUNCTION("""COMPUTED_VALUE"""),9103)</f>
        <v>9103</v>
      </c>
      <c r="H42" s="63">
        <f ca="1">IFERROR(__xludf.DUMMYFUNCTION("""COMPUTED_VALUE"""),7.57142857142857)</f>
        <v>7.5714285714285703</v>
      </c>
      <c r="I42" s="63">
        <f ca="1">IFERROR(__xludf.DUMMYFUNCTION("""COMPUTED_VALUE"""),22.5714285714285)</f>
        <v>22.571428571428498</v>
      </c>
      <c r="J42" s="57">
        <f ca="1">IFERROR(__xludf.DUMMYFUNCTION("""COMPUTED_VALUE"""),146.428571428571)</f>
        <v>146.42857142857099</v>
      </c>
      <c r="K42" s="57">
        <f ca="1">IFERROR(__xludf.DUMMYFUNCTION("""COMPUTED_VALUE"""),6830.14285714285)</f>
        <v>6830.1428571428496</v>
      </c>
      <c r="L42">
        <f ca="1">IFERROR(__xludf.DUMMYFUNCTION("""COMPUTED_VALUE"""),141307)</f>
        <v>141307</v>
      </c>
      <c r="M42" s="58">
        <f ca="1">IFERROR(__xludf.DUMMYFUNCTION("""COMPUTED_VALUE"""),2355)</f>
        <v>2355</v>
      </c>
      <c r="R42" s="13">
        <f ca="1">IFERROR(__xludf.DUMMYFUNCTION("""COMPUTED_VALUE"""),0.0556285714285714)</f>
        <v>5.5628571428571402E-2</v>
      </c>
      <c r="S42" s="13">
        <f ca="1">IFERROR(__xludf.DUMMYFUNCTION("""COMPUTED_VALUE"""),0.0641142857142857)</f>
        <v>6.4114285714285693E-2</v>
      </c>
      <c r="T42" s="13">
        <f ca="1">IFERROR(__xludf.DUMMYFUNCTION("""COMPUTED_VALUE"""),0.225056986103953)</f>
        <v>0.225056986103953</v>
      </c>
      <c r="W42">
        <f ca="1">IFERROR(__xludf.DUMMYFUNCTION("""COMPUTED_VALUE"""),306)</f>
        <v>306</v>
      </c>
      <c r="X42">
        <f ca="1">IFERROR(__xludf.DUMMYFUNCTION("""COMPUTED_VALUE"""),8897)</f>
        <v>8897</v>
      </c>
      <c r="AA42">
        <f ca="1">IFERROR(__xludf.DUMMYFUNCTION("""COMPUTED_VALUE"""),17)</f>
        <v>17</v>
      </c>
      <c r="AB42">
        <f ca="1">IFERROR(__xludf.DUMMYFUNCTION("""COMPUTED_VALUE"""),989)</f>
        <v>989</v>
      </c>
      <c r="AD42" s="57">
        <f ca="1">IFERROR(__xludf.DUMMYFUNCTION("""COMPUTED_VALUE"""),93.7142857142857)</f>
        <v>93.714285714285694</v>
      </c>
      <c r="AE42" s="57">
        <f ca="1">IFERROR(__xludf.DUMMYFUNCTION("""COMPUTED_VALUE"""),9501.42857142857)</f>
        <v>9501.4285714285706</v>
      </c>
      <c r="AF42">
        <f ca="1">IFERROR(__xludf.DUMMYFUNCTION("""COMPUTED_VALUE"""),223810)</f>
        <v>223810</v>
      </c>
      <c r="AG42" s="58">
        <f ca="1">IFERROR(__xludf.DUMMYFUNCTION("""COMPUTED_VALUE"""),10504.8571428571)</f>
        <v>10504.857142857099</v>
      </c>
      <c r="AH42" s="13">
        <f ca="1">IFERROR(__xludf.DUMMYFUNCTION("""COMPUTED_VALUE"""),0.42076021350966)</f>
        <v>0.42076021350965997</v>
      </c>
      <c r="AI42">
        <f ca="1">IFERROR(__xludf.DUMMYFUNCTION("""COMPUTED_VALUE"""),5186)</f>
        <v>5186</v>
      </c>
      <c r="AJ42">
        <f ca="1">IFERROR(__xludf.DUMMYFUNCTION("""COMPUTED_VALUE"""),199)</f>
        <v>199</v>
      </c>
    </row>
    <row r="43" spans="1:36" ht="15.75" customHeight="1">
      <c r="A43">
        <f t="shared" ca="1" si="0"/>
        <v>42</v>
      </c>
      <c r="B43" s="62">
        <f ca="1">IFERROR(__xludf.DUMMYFUNCTION("""COMPUTED_VALUE"""),10.7142857142857)</f>
        <v>10.714285714285699</v>
      </c>
      <c r="C43" s="62">
        <f ca="1">IFERROR(__xludf.DUMMYFUNCTION("""COMPUTED_VALUE"""),3.71428571428571)</f>
        <v>3.71428571428571</v>
      </c>
      <c r="D43" s="62">
        <f ca="1">IFERROR(__xludf.DUMMYFUNCTION("""COMPUTED_VALUE"""),99.2857142857142)</f>
        <v>99.285714285714207</v>
      </c>
      <c r="E43" s="62">
        <f ca="1">IFERROR(__xludf.DUMMYFUNCTION("""COMPUTED_VALUE"""),677.857142857142)</f>
        <v>677.85714285714198</v>
      </c>
      <c r="F43" s="21">
        <f ca="1">IFERROR(__xludf.DUMMYFUNCTION("""COMPUTED_VALUE"""),1268)</f>
        <v>1268</v>
      </c>
      <c r="G43" s="21">
        <f ca="1">IFERROR(__xludf.DUMMYFUNCTION("""COMPUTED_VALUE"""),9653)</f>
        <v>9653</v>
      </c>
      <c r="H43" s="63">
        <f ca="1">IFERROR(__xludf.DUMMYFUNCTION("""COMPUTED_VALUE"""),7.28571428571428)</f>
        <v>7.2857142857142803</v>
      </c>
      <c r="I43" s="63">
        <f ca="1">IFERROR(__xludf.DUMMYFUNCTION("""COMPUTED_VALUE"""),24.1428571428571)</f>
        <v>24.1428571428571</v>
      </c>
      <c r="J43" s="57">
        <f ca="1">IFERROR(__xludf.DUMMYFUNCTION("""COMPUTED_VALUE"""),154.142857142857)</f>
        <v>154.142857142857</v>
      </c>
      <c r="K43" s="57">
        <f ca="1">IFERROR(__xludf.DUMMYFUNCTION("""COMPUTED_VALUE"""),7210.42857142857)</f>
        <v>7210.4285714285697</v>
      </c>
      <c r="L43">
        <f ca="1">IFERROR(__xludf.DUMMYFUNCTION("""COMPUTED_VALUE"""),147647)</f>
        <v>147647</v>
      </c>
      <c r="M43" s="58">
        <f ca="1">IFERROR(__xludf.DUMMYFUNCTION("""COMPUTED_VALUE"""),2339.85714285714)</f>
        <v>2339.8571428571399</v>
      </c>
      <c r="R43" s="13">
        <f ca="1">IFERROR(__xludf.DUMMYFUNCTION("""COMPUTED_VALUE"""),0.0561714285714285)</f>
        <v>5.6171428571428497E-2</v>
      </c>
      <c r="S43" s="13">
        <f ca="1">IFERROR(__xludf.DUMMYFUNCTION("""COMPUTED_VALUE"""),0.0655142857142857)</f>
        <v>6.5514285714285705E-2</v>
      </c>
      <c r="T43" s="13">
        <f ca="1">IFERROR(__xludf.DUMMYFUNCTION("""COMPUTED_VALUE"""),0.228752484090056)</f>
        <v>0.228752484090056</v>
      </c>
      <c r="W43">
        <f ca="1">IFERROR(__xludf.DUMMYFUNCTION("""COMPUTED_VALUE"""),324)</f>
        <v>324</v>
      </c>
      <c r="X43">
        <f ca="1">IFERROR(__xludf.DUMMYFUNCTION("""COMPUTED_VALUE"""),8764)</f>
        <v>8764</v>
      </c>
      <c r="AA43">
        <f ca="1">IFERROR(__xludf.DUMMYFUNCTION("""COMPUTED_VALUE"""),18)</f>
        <v>18</v>
      </c>
      <c r="AB43">
        <f ca="1">IFERROR(__xludf.DUMMYFUNCTION("""COMPUTED_VALUE"""),1005)</f>
        <v>1005</v>
      </c>
      <c r="AD43" s="57">
        <f ca="1">IFERROR(__xludf.DUMMYFUNCTION("""COMPUTED_VALUE"""),97.8571428571428)</f>
        <v>97.857142857142804</v>
      </c>
      <c r="AE43" s="57">
        <f ca="1">IFERROR(__xludf.DUMMYFUNCTION("""COMPUTED_VALUE"""),9124)</f>
        <v>9124</v>
      </c>
      <c r="AF43">
        <f ca="1">IFERROR(__xludf.DUMMYFUNCTION("""COMPUTED_VALUE"""),210285)</f>
        <v>210285</v>
      </c>
      <c r="AG43" s="58">
        <f ca="1">IFERROR(__xludf.DUMMYFUNCTION("""COMPUTED_VALUE"""),12039.1428571428)</f>
        <v>12039.1428571428</v>
      </c>
      <c r="AH43" s="13">
        <f ca="1">IFERROR(__xludf.DUMMYFUNCTION("""COMPUTED_VALUE"""),0.424606708170386)</f>
        <v>0.42460670817038598</v>
      </c>
      <c r="AI43">
        <f ca="1">IFERROR(__xludf.DUMMYFUNCTION("""COMPUTED_VALUE"""),5291)</f>
        <v>5291</v>
      </c>
      <c r="AJ43">
        <f ca="1">IFERROR(__xludf.DUMMYFUNCTION("""COMPUTED_VALUE"""),211)</f>
        <v>211</v>
      </c>
    </row>
    <row r="44" spans="1:36" ht="15.75" customHeight="1">
      <c r="A44">
        <f t="shared" ca="1" si="0"/>
        <v>43</v>
      </c>
      <c r="B44" s="62">
        <f ca="1">IFERROR(__xludf.DUMMYFUNCTION("""COMPUTED_VALUE"""),10.8571428571428)</f>
        <v>10.857142857142801</v>
      </c>
      <c r="C44" s="62">
        <f ca="1">IFERROR(__xludf.DUMMYFUNCTION("""COMPUTED_VALUE"""),4.71428571428571)</f>
        <v>4.71428571428571</v>
      </c>
      <c r="D44" s="62">
        <f ca="1">IFERROR(__xludf.DUMMYFUNCTION("""COMPUTED_VALUE"""),97.7142857142857)</f>
        <v>97.714285714285694</v>
      </c>
      <c r="E44" s="62">
        <f ca="1">IFERROR(__xludf.DUMMYFUNCTION("""COMPUTED_VALUE"""),711.285714285714)</f>
        <v>711.28571428571399</v>
      </c>
      <c r="F44" s="21">
        <f ca="1">IFERROR(__xludf.DUMMYFUNCTION("""COMPUTED_VALUE"""),1253)</f>
        <v>1253</v>
      </c>
      <c r="G44" s="21">
        <f ca="1">IFERROR(__xludf.DUMMYFUNCTION("""COMPUTED_VALUE"""),10280)</f>
        <v>10280</v>
      </c>
      <c r="H44" s="63">
        <f ca="1">IFERROR(__xludf.DUMMYFUNCTION("""COMPUTED_VALUE"""),14)</f>
        <v>14</v>
      </c>
      <c r="I44" s="63">
        <f ca="1">IFERROR(__xludf.DUMMYFUNCTION("""COMPUTED_VALUE"""),33.8571428571428)</f>
        <v>33.857142857142797</v>
      </c>
      <c r="J44" s="57">
        <f ca="1">IFERROR(__xludf.DUMMYFUNCTION("""COMPUTED_VALUE"""),156.428571428571)</f>
        <v>156.42857142857099</v>
      </c>
      <c r="K44" s="57">
        <f ca="1">IFERROR(__xludf.DUMMYFUNCTION("""COMPUTED_VALUE"""),7926.14285714285)</f>
        <v>7926.1428571428496</v>
      </c>
      <c r="L44">
        <f ca="1">IFERROR(__xludf.DUMMYFUNCTION("""COMPUTED_VALUE"""),152296)</f>
        <v>152296</v>
      </c>
      <c r="M44" s="58">
        <f ca="1">IFERROR(__xludf.DUMMYFUNCTION("""COMPUTED_VALUE"""),2581.85714285714)</f>
        <v>2581.8571428571399</v>
      </c>
      <c r="N44" s="57">
        <f ca="1">IFERROR(__xludf.DUMMYFUNCTION("""COMPUTED_VALUE"""),5.42857142857142)</f>
        <v>5.4285714285714199</v>
      </c>
      <c r="O44" s="57">
        <f ca="1">IFERROR(__xludf.DUMMYFUNCTION("""COMPUTED_VALUE"""),375.142857142857)</f>
        <v>375.142857142857</v>
      </c>
      <c r="P44">
        <f ca="1">IFERROR(__xludf.DUMMYFUNCTION("""COMPUTED_VALUE"""),7630)</f>
        <v>7630</v>
      </c>
      <c r="Q44" s="58">
        <f ca="1">IFERROR(__xludf.DUMMYFUNCTION("""COMPUTED_VALUE"""),208.571428571428)</f>
        <v>208.57142857142799</v>
      </c>
      <c r="R44" s="13">
        <f ca="1">IFERROR(__xludf.DUMMYFUNCTION("""COMPUTED_VALUE"""),0.0569714285714285)</f>
        <v>5.6971428571428499E-2</v>
      </c>
      <c r="S44" s="13">
        <f ca="1">IFERROR(__xludf.DUMMYFUNCTION("""COMPUTED_VALUE"""),0.0669714285714285)</f>
        <v>6.6971428571428501E-2</v>
      </c>
      <c r="T44" s="13">
        <f ca="1">IFERROR(__xludf.DUMMYFUNCTION("""COMPUTED_VALUE"""),0.252702944173298)</f>
        <v>0.25270294417329803</v>
      </c>
      <c r="U44" s="13">
        <f ca="1">IFERROR(__xludf.DUMMYFUNCTION("""COMPUTED_VALUE"""),0.029043307913881)</f>
        <v>2.9043307913880999E-2</v>
      </c>
      <c r="W44">
        <f ca="1">IFERROR(__xludf.DUMMYFUNCTION("""COMPUTED_VALUE"""),328)</f>
        <v>328</v>
      </c>
      <c r="X44">
        <f ca="1">IFERROR(__xludf.DUMMYFUNCTION("""COMPUTED_VALUE"""),9300)</f>
        <v>9300</v>
      </c>
      <c r="Y44">
        <f ca="1">IFERROR(__xludf.DUMMYFUNCTION("""COMPUTED_VALUE"""),380)</f>
        <v>380</v>
      </c>
      <c r="AA44">
        <f ca="1">IFERROR(__xludf.DUMMYFUNCTION("""COMPUTED_VALUE"""),21)</f>
        <v>21</v>
      </c>
      <c r="AB44">
        <f ca="1">IFERROR(__xludf.DUMMYFUNCTION("""COMPUTED_VALUE"""),1008)</f>
        <v>1008</v>
      </c>
      <c r="AC44">
        <f ca="1">IFERROR(__xludf.DUMMYFUNCTION("""COMPUTED_VALUE"""),45)</f>
        <v>45</v>
      </c>
      <c r="AD44" s="57">
        <f ca="1">IFERROR(__xludf.DUMMYFUNCTION("""COMPUTED_VALUE"""),97.2857142857142)</f>
        <v>97.285714285714207</v>
      </c>
      <c r="AE44" s="57">
        <f ca="1">IFERROR(__xludf.DUMMYFUNCTION("""COMPUTED_VALUE"""),8402.71428571428)</f>
        <v>8402.7142857142808</v>
      </c>
      <c r="AF44">
        <f ca="1">IFERROR(__xludf.DUMMYFUNCTION("""COMPUTED_VALUE"""),209035)</f>
        <v>209035</v>
      </c>
      <c r="AG44" s="58">
        <f ca="1">IFERROR(__xludf.DUMMYFUNCTION("""COMPUTED_VALUE"""),11191.8571428571)</f>
        <v>11191.857142857099</v>
      </c>
      <c r="AH44" s="13">
        <f ca="1">IFERROR(__xludf.DUMMYFUNCTION("""COMPUTED_VALUE"""),0.394232000376923)</f>
        <v>0.39423200037692302</v>
      </c>
      <c r="AI44">
        <f ca="1">IFERROR(__xludf.DUMMYFUNCTION("""COMPUTED_VALUE"""),5166)</f>
        <v>5166</v>
      </c>
      <c r="AJ44">
        <f ca="1">IFERROR(__xludf.DUMMYFUNCTION("""COMPUTED_VALUE"""),203)</f>
        <v>203</v>
      </c>
    </row>
    <row r="45" spans="1:36" ht="15.75" customHeight="1">
      <c r="A45">
        <f t="shared" ca="1" si="0"/>
        <v>44</v>
      </c>
      <c r="B45" s="62">
        <f ca="1">IFERROR(__xludf.DUMMYFUNCTION("""COMPUTED_VALUE"""),10.8571428571428)</f>
        <v>10.857142857142801</v>
      </c>
      <c r="C45" s="62">
        <f ca="1">IFERROR(__xludf.DUMMYFUNCTION("""COMPUTED_VALUE"""),5.42857142857142)</f>
        <v>5.4285714285714199</v>
      </c>
      <c r="D45" s="62">
        <f ca="1">IFERROR(__xludf.DUMMYFUNCTION("""COMPUTED_VALUE"""),96)</f>
        <v>96</v>
      </c>
      <c r="E45" s="62">
        <f ca="1">IFERROR(__xludf.DUMMYFUNCTION("""COMPUTED_VALUE"""),743.142857142857)</f>
        <v>743.142857142857</v>
      </c>
      <c r="F45" s="21">
        <f ca="1">IFERROR(__xludf.DUMMYFUNCTION("""COMPUTED_VALUE"""),1311)</f>
        <v>1311</v>
      </c>
      <c r="G45" s="21">
        <f ca="1">IFERROR(__xludf.DUMMYFUNCTION("""COMPUTED_VALUE"""),11202)</f>
        <v>11202</v>
      </c>
      <c r="H45" s="63">
        <f ca="1">IFERROR(__xludf.DUMMYFUNCTION("""COMPUTED_VALUE"""),14.7142857142857)</f>
        <v>14.714285714285699</v>
      </c>
      <c r="I45" s="63">
        <f ca="1">IFERROR(__xludf.DUMMYFUNCTION("""COMPUTED_VALUE"""),32.2857142857142)</f>
        <v>32.285714285714199</v>
      </c>
      <c r="J45" s="57">
        <f ca="1">IFERROR(__xludf.DUMMYFUNCTION("""COMPUTED_VALUE"""),154.285714285714)</f>
        <v>154.28571428571399</v>
      </c>
      <c r="K45" s="57">
        <f ca="1">IFERROR(__xludf.DUMMYFUNCTION("""COMPUTED_VALUE"""),7702.14285714285)</f>
        <v>7702.1428571428496</v>
      </c>
      <c r="L45">
        <f ca="1">IFERROR(__xludf.DUMMYFUNCTION("""COMPUTED_VALUE"""),155217)</f>
        <v>155217</v>
      </c>
      <c r="M45" s="58">
        <f ca="1">IFERROR(__xludf.DUMMYFUNCTION("""COMPUTED_VALUE"""),2533.28571428571)</f>
        <v>2533.2857142857101</v>
      </c>
      <c r="N45" s="57">
        <f ca="1">IFERROR(__xludf.DUMMYFUNCTION("""COMPUTED_VALUE"""),5.57142857142857)</f>
        <v>5.5714285714285703</v>
      </c>
      <c r="O45" s="57">
        <f ca="1">IFERROR(__xludf.DUMMYFUNCTION("""COMPUTED_VALUE"""),381.285714285714)</f>
        <v>381.28571428571399</v>
      </c>
      <c r="P45">
        <f ca="1">IFERROR(__xludf.DUMMYFUNCTION("""COMPUTED_VALUE"""),7639)</f>
        <v>7639</v>
      </c>
      <c r="Q45" s="58">
        <f ca="1">IFERROR(__xludf.DUMMYFUNCTION("""COMPUTED_VALUE"""),232.285714285714)</f>
        <v>232.28571428571399</v>
      </c>
      <c r="R45" s="13">
        <f ca="1">IFERROR(__xludf.DUMMYFUNCTION("""COMPUTED_VALUE"""),0.0600999999999999)</f>
        <v>6.0099999999999897E-2</v>
      </c>
      <c r="S45" s="13">
        <f ca="1">IFERROR(__xludf.DUMMYFUNCTION("""COMPUTED_VALUE"""),0.0698)</f>
        <v>6.9800000000000001E-2</v>
      </c>
      <c r="T45" s="13">
        <f ca="1">IFERROR(__xludf.DUMMYFUNCTION("""COMPUTED_VALUE"""),0.237792604704805)</f>
        <v>0.23779260470480501</v>
      </c>
      <c r="U45" s="13">
        <f ca="1">IFERROR(__xludf.DUMMYFUNCTION("""COMPUTED_VALUE"""),0.0293971799381472)</f>
        <v>2.9397179938147201E-2</v>
      </c>
      <c r="V45">
        <f ca="1">IFERROR(__xludf.DUMMYFUNCTION("""COMPUTED_VALUE"""),729)</f>
        <v>729</v>
      </c>
      <c r="W45">
        <f ca="1">IFERROR(__xludf.DUMMYFUNCTION("""COMPUTED_VALUE"""),374)</f>
        <v>374</v>
      </c>
      <c r="X45">
        <f ca="1">IFERROR(__xludf.DUMMYFUNCTION("""COMPUTED_VALUE"""),9844)</f>
        <v>9844</v>
      </c>
      <c r="Y45">
        <f ca="1">IFERROR(__xludf.DUMMYFUNCTION("""COMPUTED_VALUE"""),401)</f>
        <v>401</v>
      </c>
      <c r="Z45">
        <f ca="1">IFERROR(__xludf.DUMMYFUNCTION("""COMPUTED_VALUE"""),60)</f>
        <v>60</v>
      </c>
      <c r="AA45">
        <f ca="1">IFERROR(__xludf.DUMMYFUNCTION("""COMPUTED_VALUE"""),29)</f>
        <v>29</v>
      </c>
      <c r="AB45">
        <f ca="1">IFERROR(__xludf.DUMMYFUNCTION("""COMPUTED_VALUE"""),1067)</f>
        <v>1067</v>
      </c>
      <c r="AC45">
        <f ca="1">IFERROR(__xludf.DUMMYFUNCTION("""COMPUTED_VALUE"""),45)</f>
        <v>45</v>
      </c>
      <c r="AD45" s="57">
        <f ca="1">IFERROR(__xludf.DUMMYFUNCTION("""COMPUTED_VALUE"""),99.5714285714285)</f>
        <v>99.571428571428498</v>
      </c>
      <c r="AE45" s="57">
        <f ca="1">IFERROR(__xludf.DUMMYFUNCTION("""COMPUTED_VALUE"""),7787.42857142857)</f>
        <v>7787.4285714285697</v>
      </c>
      <c r="AF45">
        <f ca="1">IFERROR(__xludf.DUMMYFUNCTION("""COMPUTED_VALUE"""),202738)</f>
        <v>202738</v>
      </c>
      <c r="AG45" s="58">
        <f ca="1">IFERROR(__xludf.DUMMYFUNCTION("""COMPUTED_VALUE"""),11812.8571428571)</f>
        <v>11812.857142857099</v>
      </c>
      <c r="AH45" s="13">
        <f ca="1">IFERROR(__xludf.DUMMYFUNCTION("""COMPUTED_VALUE"""),0.380460999081049)</f>
        <v>0.38046099908104902</v>
      </c>
      <c r="AI45">
        <f ca="1">IFERROR(__xludf.DUMMYFUNCTION("""COMPUTED_VALUE"""),5062)</f>
        <v>5062</v>
      </c>
      <c r="AJ45">
        <f ca="1">IFERROR(__xludf.DUMMYFUNCTION("""COMPUTED_VALUE"""),206)</f>
        <v>206</v>
      </c>
    </row>
    <row r="46" spans="1:36" ht="15.75" customHeight="1">
      <c r="A46">
        <f t="shared" ca="1" si="0"/>
        <v>45</v>
      </c>
      <c r="B46" s="62">
        <f ca="1">IFERROR(__xludf.DUMMYFUNCTION("""COMPUTED_VALUE"""),11.2857142857142)</f>
        <v>11.285714285714199</v>
      </c>
      <c r="C46" s="62">
        <f ca="1">IFERROR(__xludf.DUMMYFUNCTION("""COMPUTED_VALUE"""),6)</f>
        <v>6</v>
      </c>
      <c r="D46" s="62">
        <f ca="1">IFERROR(__xludf.DUMMYFUNCTION("""COMPUTED_VALUE"""),81.8571428571428)</f>
        <v>81.857142857142804</v>
      </c>
      <c r="E46" s="62">
        <f ca="1">IFERROR(__xludf.DUMMYFUNCTION("""COMPUTED_VALUE"""),727.857142857142)</f>
        <v>727.85714285714198</v>
      </c>
      <c r="F46" s="21">
        <f ca="1">IFERROR(__xludf.DUMMYFUNCTION("""COMPUTED_VALUE"""),1400)</f>
        <v>1400</v>
      </c>
      <c r="G46" s="21">
        <f ca="1">IFERROR(__xludf.DUMMYFUNCTION("""COMPUTED_VALUE"""),11863)</f>
        <v>11863</v>
      </c>
      <c r="H46" s="63">
        <f ca="1">IFERROR(__xludf.DUMMYFUNCTION("""COMPUTED_VALUE"""),13.5714285714285)</f>
        <v>13.5714285714285</v>
      </c>
      <c r="I46" s="63">
        <f ca="1">IFERROR(__xludf.DUMMYFUNCTION("""COMPUTED_VALUE"""),46.2857142857142)</f>
        <v>46.285714285714199</v>
      </c>
      <c r="J46" s="57">
        <f ca="1">IFERROR(__xludf.DUMMYFUNCTION("""COMPUTED_VALUE"""),156.571428571428)</f>
        <v>156.57142857142799</v>
      </c>
      <c r="K46" s="57">
        <f ca="1">IFERROR(__xludf.DUMMYFUNCTION("""COMPUTED_VALUE"""),7388.28571428571)</f>
        <v>7388.2857142857101</v>
      </c>
      <c r="L46">
        <f ca="1">IFERROR(__xludf.DUMMYFUNCTION("""COMPUTED_VALUE"""),156096)</f>
        <v>156096</v>
      </c>
      <c r="M46" s="58">
        <f ca="1">IFERROR(__xludf.DUMMYFUNCTION("""COMPUTED_VALUE"""),2602.42857142857)</f>
        <v>2602.4285714285702</v>
      </c>
      <c r="N46" s="57">
        <f ca="1">IFERROR(__xludf.DUMMYFUNCTION("""COMPUTED_VALUE"""),4.14285714285714)</f>
        <v>4.1428571428571397</v>
      </c>
      <c r="O46" s="57">
        <f ca="1">IFERROR(__xludf.DUMMYFUNCTION("""COMPUTED_VALUE"""),399.857142857142)</f>
        <v>399.85714285714198</v>
      </c>
      <c r="P46">
        <f ca="1">IFERROR(__xludf.DUMMYFUNCTION("""COMPUTED_VALUE"""),7740)</f>
        <v>7740</v>
      </c>
      <c r="Q46" s="58">
        <f ca="1">IFERROR(__xludf.DUMMYFUNCTION("""COMPUTED_VALUE"""),269.714285714285)</f>
        <v>269.71428571428498</v>
      </c>
      <c r="R46" s="13">
        <f ca="1">IFERROR(__xludf.DUMMYFUNCTION("""COMPUTED_VALUE"""),0.0510714285714285)</f>
        <v>5.1071428571428497E-2</v>
      </c>
      <c r="S46" s="13">
        <f ca="1">IFERROR(__xludf.DUMMYFUNCTION("""COMPUTED_VALUE"""),0.0679857142857142)</f>
        <v>6.7985714285714205E-2</v>
      </c>
      <c r="T46" s="13">
        <f ca="1">IFERROR(__xludf.DUMMYFUNCTION("""COMPUTED_VALUE"""),0.247704021959462)</f>
        <v>0.24770402195946201</v>
      </c>
      <c r="U46" s="13">
        <f ca="1">IFERROR(__xludf.DUMMYFUNCTION("""COMPUTED_VALUE"""),0.0307389952137395)</f>
        <v>3.07389952137395E-2</v>
      </c>
      <c r="V46">
        <f ca="1">IFERROR(__xludf.DUMMYFUNCTION("""COMPUTED_VALUE"""),847)</f>
        <v>847</v>
      </c>
      <c r="W46">
        <f ca="1">IFERROR(__xludf.DUMMYFUNCTION("""COMPUTED_VALUE"""),386)</f>
        <v>386</v>
      </c>
      <c r="X46">
        <f ca="1">IFERROR(__xludf.DUMMYFUNCTION("""COMPUTED_VALUE"""),10284)</f>
        <v>10284</v>
      </c>
      <c r="Y46">
        <f ca="1">IFERROR(__xludf.DUMMYFUNCTION("""COMPUTED_VALUE"""),406)</f>
        <v>406</v>
      </c>
      <c r="Z46">
        <f ca="1">IFERROR(__xludf.DUMMYFUNCTION("""COMPUTED_VALUE"""),63)</f>
        <v>63</v>
      </c>
      <c r="AA46">
        <f ca="1">IFERROR(__xludf.DUMMYFUNCTION("""COMPUTED_VALUE"""),30)</f>
        <v>30</v>
      </c>
      <c r="AB46">
        <f ca="1">IFERROR(__xludf.DUMMYFUNCTION("""COMPUTED_VALUE"""),1167)</f>
        <v>1167</v>
      </c>
      <c r="AC46">
        <f ca="1">IFERROR(__xludf.DUMMYFUNCTION("""COMPUTED_VALUE"""),46)</f>
        <v>46</v>
      </c>
      <c r="AD46" s="57">
        <f ca="1">IFERROR(__xludf.DUMMYFUNCTION("""COMPUTED_VALUE"""),100.857142857142)</f>
        <v>100.85714285714199</v>
      </c>
      <c r="AE46" s="57">
        <f ca="1">IFERROR(__xludf.DUMMYFUNCTION("""COMPUTED_VALUE"""),7204.71428571428)</f>
        <v>7204.7142857142799</v>
      </c>
      <c r="AF46">
        <f ca="1">IFERROR(__xludf.DUMMYFUNCTION("""COMPUTED_VALUE"""),199303)</f>
        <v>199303</v>
      </c>
      <c r="AG46" s="58">
        <f ca="1">IFERROR(__xludf.DUMMYFUNCTION("""COMPUTED_VALUE"""),11447.7142857142)</f>
        <v>11447.714285714201</v>
      </c>
      <c r="AH46" s="13">
        <f ca="1">IFERROR(__xludf.DUMMYFUNCTION("""COMPUTED_VALUE"""),0.374558792807921)</f>
        <v>0.37455879280792098</v>
      </c>
      <c r="AI46">
        <f ca="1">IFERROR(__xludf.DUMMYFUNCTION("""COMPUTED_VALUE"""),4919)</f>
        <v>4919</v>
      </c>
      <c r="AJ46">
        <f ca="1">IFERROR(__xludf.DUMMYFUNCTION("""COMPUTED_VALUE"""),201)</f>
        <v>201</v>
      </c>
    </row>
    <row r="47" spans="1:36" ht="15.75" customHeight="1">
      <c r="A47">
        <f t="shared" ca="1" si="0"/>
        <v>46</v>
      </c>
      <c r="B47" s="62">
        <f ca="1">IFERROR(__xludf.DUMMYFUNCTION("""COMPUTED_VALUE"""),12.4285714285714)</f>
        <v>12.4285714285714</v>
      </c>
      <c r="C47" s="62">
        <f ca="1">IFERROR(__xludf.DUMMYFUNCTION("""COMPUTED_VALUE"""),6.57142857142857)</f>
        <v>6.5714285714285703</v>
      </c>
      <c r="D47" s="62">
        <f ca="1">IFERROR(__xludf.DUMMYFUNCTION("""COMPUTED_VALUE"""),74.8571428571428)</f>
        <v>74.857142857142804</v>
      </c>
      <c r="E47" s="62">
        <f ca="1">IFERROR(__xludf.DUMMYFUNCTION("""COMPUTED_VALUE"""),811.571428571428)</f>
        <v>811.57142857142799</v>
      </c>
      <c r="F47" s="21">
        <f ca="1">IFERROR(__xludf.DUMMYFUNCTION("""COMPUTED_VALUE"""),1431)</f>
        <v>1431</v>
      </c>
      <c r="G47" s="21">
        <f ca="1">IFERROR(__xludf.DUMMYFUNCTION("""COMPUTED_VALUE"""),12916)</f>
        <v>12916</v>
      </c>
      <c r="H47" s="63">
        <f ca="1">IFERROR(__xludf.DUMMYFUNCTION("""COMPUTED_VALUE"""),16.5714285714285)</f>
        <v>16.571428571428498</v>
      </c>
      <c r="I47" s="63">
        <f ca="1">IFERROR(__xludf.DUMMYFUNCTION("""COMPUTED_VALUE"""),46)</f>
        <v>46</v>
      </c>
      <c r="J47" s="57">
        <f ca="1">IFERROR(__xludf.DUMMYFUNCTION("""COMPUTED_VALUE"""),161.571428571428)</f>
        <v>161.57142857142799</v>
      </c>
      <c r="K47" s="57">
        <f ca="1">IFERROR(__xludf.DUMMYFUNCTION("""COMPUTED_VALUE"""),7129.71428571428)</f>
        <v>7129.7142857142799</v>
      </c>
      <c r="L47">
        <f ca="1">IFERROR(__xludf.DUMMYFUNCTION("""COMPUTED_VALUE"""),160557)</f>
        <v>160557</v>
      </c>
      <c r="M47" s="58">
        <f ca="1">IFERROR(__xludf.DUMMYFUNCTION("""COMPUTED_VALUE"""),2375.42857142857)</f>
        <v>2375.4285714285702</v>
      </c>
      <c r="N47" s="57">
        <f ca="1">IFERROR(__xludf.DUMMYFUNCTION("""COMPUTED_VALUE"""),3.85714285714285)</f>
        <v>3.8571428571428501</v>
      </c>
      <c r="O47" s="57">
        <f ca="1">IFERROR(__xludf.DUMMYFUNCTION("""COMPUTED_VALUE"""),409.571428571428)</f>
        <v>409.57142857142799</v>
      </c>
      <c r="P47">
        <f ca="1">IFERROR(__xludf.DUMMYFUNCTION("""COMPUTED_VALUE"""),7960)</f>
        <v>7960</v>
      </c>
      <c r="Q47" s="58">
        <f ca="1">IFERROR(__xludf.DUMMYFUNCTION("""COMPUTED_VALUE"""),287)</f>
        <v>287</v>
      </c>
      <c r="R47" s="13">
        <f ca="1">IFERROR(__xludf.DUMMYFUNCTION("""COMPUTED_VALUE"""),0.0469428571428571)</f>
        <v>4.6942857142857099E-2</v>
      </c>
      <c r="S47" s="13">
        <f ca="1">IFERROR(__xludf.DUMMYFUNCTION("""COMPUTED_VALUE"""),0.0730285714285714)</f>
        <v>7.3028571428571401E-2</v>
      </c>
      <c r="T47" s="13">
        <f ca="1">IFERROR(__xludf.DUMMYFUNCTION("""COMPUTED_VALUE"""),0.247274119671175)</f>
        <v>0.24727411967117499</v>
      </c>
      <c r="U47" s="13">
        <f ca="1">IFERROR(__xludf.DUMMYFUNCTION("""COMPUTED_VALUE"""),0.03231053034827)</f>
        <v>3.231053034827E-2</v>
      </c>
      <c r="V47">
        <f ca="1">IFERROR(__xludf.DUMMYFUNCTION("""COMPUTED_VALUE"""),829)</f>
        <v>829</v>
      </c>
      <c r="W47">
        <f ca="1">IFERROR(__xludf.DUMMYFUNCTION("""COMPUTED_VALUE"""),404)</f>
        <v>404</v>
      </c>
      <c r="X47">
        <f ca="1">IFERROR(__xludf.DUMMYFUNCTION("""COMPUTED_VALUE"""),10386)</f>
        <v>10386</v>
      </c>
      <c r="Y47">
        <f ca="1">IFERROR(__xludf.DUMMYFUNCTION("""COMPUTED_VALUE"""),411)</f>
        <v>411</v>
      </c>
      <c r="Z47">
        <f ca="1">IFERROR(__xludf.DUMMYFUNCTION("""COMPUTED_VALUE"""),60)</f>
        <v>60</v>
      </c>
      <c r="AA47">
        <f ca="1">IFERROR(__xludf.DUMMYFUNCTION("""COMPUTED_VALUE"""),32)</f>
        <v>32</v>
      </c>
      <c r="AB47">
        <f ca="1">IFERROR(__xludf.DUMMYFUNCTION("""COMPUTED_VALUE"""),1170)</f>
        <v>1170</v>
      </c>
      <c r="AC47">
        <f ca="1">IFERROR(__xludf.DUMMYFUNCTION("""COMPUTED_VALUE"""),48)</f>
        <v>48</v>
      </c>
    </row>
    <row r="48" spans="1:36" ht="15.75" customHeight="1">
      <c r="A48">
        <f t="shared" ca="1" si="0"/>
        <v>47</v>
      </c>
      <c r="B48" s="62">
        <f ca="1">IFERROR(__xludf.DUMMYFUNCTION("""COMPUTED_VALUE"""),12.8571428571428)</f>
        <v>12.857142857142801</v>
      </c>
      <c r="C48" s="62">
        <f ca="1">IFERROR(__xludf.DUMMYFUNCTION("""COMPUTED_VALUE"""),6.28571428571428)</f>
        <v>6.2857142857142803</v>
      </c>
      <c r="D48" s="62">
        <f ca="1">IFERROR(__xludf.DUMMYFUNCTION("""COMPUTED_VALUE"""),72.2857142857142)</f>
        <v>72.285714285714207</v>
      </c>
      <c r="E48" s="62">
        <f ca="1">IFERROR(__xludf.DUMMYFUNCTION("""COMPUTED_VALUE"""),816.142857142857)</f>
        <v>816.142857142857</v>
      </c>
      <c r="F48" s="21">
        <f ca="1">IFERROR(__xludf.DUMMYFUNCTION("""COMPUTED_VALUE"""),1477)</f>
        <v>1477</v>
      </c>
      <c r="G48" s="21">
        <f ca="1">IFERROR(__xludf.DUMMYFUNCTION("""COMPUTED_VALUE"""),13779)</f>
        <v>13779</v>
      </c>
      <c r="H48" s="63">
        <f ca="1">IFERROR(__xludf.DUMMYFUNCTION("""COMPUTED_VALUE"""),18.8571428571428)</f>
        <v>18.857142857142801</v>
      </c>
      <c r="I48" s="63">
        <f ca="1">IFERROR(__xludf.DUMMYFUNCTION("""COMPUTED_VALUE"""),40.5714285714285)</f>
        <v>40.571428571428498</v>
      </c>
      <c r="J48" s="57">
        <f ca="1">IFERROR(__xludf.DUMMYFUNCTION("""COMPUTED_VALUE"""),173.428571428571)</f>
        <v>173.42857142857099</v>
      </c>
      <c r="K48" s="57">
        <f ca="1">IFERROR(__xludf.DUMMYFUNCTION("""COMPUTED_VALUE"""),7379.42857142857)</f>
        <v>7379.4285714285697</v>
      </c>
      <c r="L48">
        <f ca="1">IFERROR(__xludf.DUMMYFUNCTION("""COMPUTED_VALUE"""),167190)</f>
        <v>167190</v>
      </c>
      <c r="M48" s="58">
        <f ca="1">IFERROR(__xludf.DUMMYFUNCTION("""COMPUTED_VALUE"""),2557.71428571428)</f>
        <v>2557.7142857142799</v>
      </c>
      <c r="N48" s="57">
        <f ca="1">IFERROR(__xludf.DUMMYFUNCTION("""COMPUTED_VALUE"""),4)</f>
        <v>4</v>
      </c>
      <c r="O48" s="57">
        <f ca="1">IFERROR(__xludf.DUMMYFUNCTION("""COMPUTED_VALUE"""),417)</f>
        <v>417</v>
      </c>
      <c r="P48">
        <f ca="1">IFERROR(__xludf.DUMMYFUNCTION("""COMPUTED_VALUE"""),8133)</f>
        <v>8133</v>
      </c>
      <c r="Q48" s="58">
        <f ca="1">IFERROR(__xludf.DUMMYFUNCTION("""COMPUTED_VALUE"""),288.142857142857)</f>
        <v>288.142857142857</v>
      </c>
      <c r="R48" s="13">
        <f ca="1">IFERROR(__xludf.DUMMYFUNCTION("""COMPUTED_VALUE"""),0.0426142857142857)</f>
        <v>4.2614285714285702E-2</v>
      </c>
      <c r="S48" s="13">
        <f ca="1">IFERROR(__xludf.DUMMYFUNCTION("""COMPUTED_VALUE"""),0.0748571428571428)</f>
        <v>7.4857142857142803E-2</v>
      </c>
      <c r="T48" s="13">
        <f ca="1">IFERROR(__xludf.DUMMYFUNCTION("""COMPUTED_VALUE"""),0.251104818628978)</f>
        <v>0.25110481862897799</v>
      </c>
      <c r="U48" s="13">
        <f ca="1">IFERROR(__xludf.DUMMYFUNCTION("""COMPUTED_VALUE"""),0.0335187396064514)</f>
        <v>3.3518739606451402E-2</v>
      </c>
      <c r="V48">
        <f ca="1">IFERROR(__xludf.DUMMYFUNCTION("""COMPUTED_VALUE"""),784)</f>
        <v>784</v>
      </c>
      <c r="W48">
        <f ca="1">IFERROR(__xludf.DUMMYFUNCTION("""COMPUTED_VALUE"""),463)</f>
        <v>463</v>
      </c>
      <c r="X48">
        <f ca="1">IFERROR(__xludf.DUMMYFUNCTION("""COMPUTED_VALUE"""),10264)</f>
        <v>10264</v>
      </c>
      <c r="Y48">
        <f ca="1">IFERROR(__xludf.DUMMYFUNCTION("""COMPUTED_VALUE"""),438)</f>
        <v>438</v>
      </c>
      <c r="Z48">
        <f ca="1">IFERROR(__xludf.DUMMYFUNCTION("""COMPUTED_VALUE"""),61)</f>
        <v>61</v>
      </c>
      <c r="AA48">
        <f ca="1">IFERROR(__xludf.DUMMYFUNCTION("""COMPUTED_VALUE"""),35)</f>
        <v>35</v>
      </c>
      <c r="AB48">
        <f ca="1">IFERROR(__xludf.DUMMYFUNCTION("""COMPUTED_VALUE"""),1174)</f>
        <v>1174</v>
      </c>
      <c r="AC48">
        <f ca="1">IFERROR(__xludf.DUMMYFUNCTION("""COMPUTED_VALUE"""),54)</f>
        <v>54</v>
      </c>
    </row>
    <row r="49" spans="1:36" ht="15.75" customHeight="1">
      <c r="A49">
        <f t="shared" ca="1" si="0"/>
        <v>48</v>
      </c>
      <c r="B49" s="62">
        <f ca="1">IFERROR(__xludf.DUMMYFUNCTION("""COMPUTED_VALUE"""),12.8571428571428)</f>
        <v>12.857142857142801</v>
      </c>
      <c r="C49" s="62">
        <f ca="1">IFERROR(__xludf.DUMMYFUNCTION("""COMPUTED_VALUE"""),6.85714285714285)</f>
        <v>6.8571428571428497</v>
      </c>
      <c r="D49" s="62">
        <f ca="1">IFERROR(__xludf.DUMMYFUNCTION("""COMPUTED_VALUE"""),75.1428571428571)</f>
        <v>75.142857142857096</v>
      </c>
      <c r="E49" s="62">
        <f ca="1">IFERROR(__xludf.DUMMYFUNCTION("""COMPUTED_VALUE"""),802.857142857142)</f>
        <v>802.85714285714198</v>
      </c>
      <c r="F49" s="21">
        <f ca="1">IFERROR(__xludf.DUMMYFUNCTION("""COMPUTED_VALUE"""),1518)</f>
        <v>1518</v>
      </c>
      <c r="G49" s="21">
        <f ca="1">IFERROR(__xludf.DUMMYFUNCTION("""COMPUTED_VALUE"""),14246)</f>
        <v>14246</v>
      </c>
      <c r="H49" s="63">
        <f ca="1">IFERROR(__xludf.DUMMYFUNCTION("""COMPUTED_VALUE"""),21)</f>
        <v>21</v>
      </c>
      <c r="I49" s="63">
        <f ca="1">IFERROR(__xludf.DUMMYFUNCTION("""COMPUTED_VALUE"""),61.2857142857142)</f>
        <v>61.285714285714199</v>
      </c>
      <c r="J49" s="57">
        <f ca="1">IFERROR(__xludf.DUMMYFUNCTION("""COMPUTED_VALUE"""),182.571428571428)</f>
        <v>182.57142857142799</v>
      </c>
      <c r="K49" s="57">
        <f ca="1">IFERROR(__xludf.DUMMYFUNCTION("""COMPUTED_VALUE"""),7620.57142857142)</f>
        <v>7620.5714285714203</v>
      </c>
      <c r="L49">
        <f ca="1">IFERROR(__xludf.DUMMYFUNCTION("""COMPUTED_VALUE"""),176129)</f>
        <v>176129</v>
      </c>
      <c r="M49" s="58">
        <f ca="1">IFERROR(__xludf.DUMMYFUNCTION("""COMPUTED_VALUE"""),2463.42857142857)</f>
        <v>2463.4285714285702</v>
      </c>
      <c r="R49" s="13">
        <f ca="1">IFERROR(__xludf.DUMMYFUNCTION("""COMPUTED_VALUE"""),0.0429857142857142)</f>
        <v>4.2985714285714197E-2</v>
      </c>
      <c r="S49" s="13">
        <f ca="1">IFERROR(__xludf.DUMMYFUNCTION("""COMPUTED_VALUE"""),0.0779142857142857)</f>
        <v>7.79142857142857E-2</v>
      </c>
      <c r="T49" s="13">
        <f ca="1">IFERROR(__xludf.DUMMYFUNCTION("""COMPUTED_VALUE"""),0.258152980057254)</f>
        <v>0.25815298005725401</v>
      </c>
      <c r="V49">
        <f ca="1">IFERROR(__xludf.DUMMYFUNCTION("""COMPUTED_VALUE"""),811)</f>
        <v>811</v>
      </c>
      <c r="W49">
        <f ca="1">IFERROR(__xludf.DUMMYFUNCTION("""COMPUTED_VALUE"""),534)</f>
        <v>534</v>
      </c>
      <c r="X49">
        <f ca="1">IFERROR(__xludf.DUMMYFUNCTION("""COMPUTED_VALUE"""),10583)</f>
        <v>10583</v>
      </c>
      <c r="Z49">
        <f ca="1">IFERROR(__xludf.DUMMYFUNCTION("""COMPUTED_VALUE"""),60)</f>
        <v>60</v>
      </c>
      <c r="AA49">
        <f ca="1">IFERROR(__xludf.DUMMYFUNCTION("""COMPUTED_VALUE"""),36)</f>
        <v>36</v>
      </c>
      <c r="AB49">
        <f ca="1">IFERROR(__xludf.DUMMYFUNCTION("""COMPUTED_VALUE"""),1237)</f>
        <v>1237</v>
      </c>
      <c r="AD49" s="57">
        <f ca="1">IFERROR(__xludf.DUMMYFUNCTION("""COMPUTED_VALUE"""),95.4285714285714)</f>
        <v>95.428571428571402</v>
      </c>
      <c r="AE49" s="57">
        <f ca="1">IFERROR(__xludf.DUMMYFUNCTION("""COMPUTED_VALUE"""),6087.57142857142)</f>
        <v>6087.5714285714203</v>
      </c>
      <c r="AF49">
        <f ca="1">IFERROR(__xludf.DUMMYFUNCTION("""COMPUTED_VALUE"""),189560)</f>
        <v>189560</v>
      </c>
      <c r="AG49" s="58">
        <f ca="1">IFERROR(__xludf.DUMMYFUNCTION("""COMPUTED_VALUE"""),10885)</f>
        <v>10885</v>
      </c>
      <c r="AH49" s="13">
        <f ca="1">IFERROR(__xludf.DUMMYFUNCTION("""COMPUTED_VALUE"""),0.364308974785306)</f>
        <v>0.36430897478530599</v>
      </c>
      <c r="AI49">
        <f ca="1">IFERROR(__xludf.DUMMYFUNCTION("""COMPUTED_VALUE"""),4741)</f>
        <v>4741</v>
      </c>
      <c r="AJ49">
        <f ca="1">IFERROR(__xludf.DUMMYFUNCTION("""COMPUTED_VALUE"""),176)</f>
        <v>176</v>
      </c>
    </row>
    <row r="50" spans="1:36" ht="15.75" customHeight="1">
      <c r="A50">
        <f t="shared" ca="1" si="0"/>
        <v>49</v>
      </c>
      <c r="B50" s="62">
        <f ca="1">IFERROR(__xludf.DUMMYFUNCTION("""COMPUTED_VALUE"""),13)</f>
        <v>13</v>
      </c>
      <c r="C50" s="62">
        <f ca="1">IFERROR(__xludf.DUMMYFUNCTION("""COMPUTED_VALUE"""),6.85714285714285)</f>
        <v>6.8571428571428497</v>
      </c>
      <c r="D50" s="62">
        <f ca="1">IFERROR(__xludf.DUMMYFUNCTION("""COMPUTED_VALUE"""),83.7142857142857)</f>
        <v>83.714285714285694</v>
      </c>
      <c r="E50" s="62">
        <f ca="1">IFERROR(__xludf.DUMMYFUNCTION("""COMPUTED_VALUE"""),855.714285714285)</f>
        <v>855.71428571428498</v>
      </c>
      <c r="F50" s="21">
        <f ca="1">IFERROR(__xludf.DUMMYFUNCTION("""COMPUTED_VALUE"""),1598)</f>
        <v>1598</v>
      </c>
      <c r="G50" s="21">
        <f ca="1">IFERROR(__xludf.DUMMYFUNCTION("""COMPUTED_VALUE"""),15104)</f>
        <v>15104</v>
      </c>
      <c r="H50" s="63">
        <f ca="1">IFERROR(__xludf.DUMMYFUNCTION("""COMPUTED_VALUE"""),23.5714285714285)</f>
        <v>23.571428571428498</v>
      </c>
      <c r="I50" s="63">
        <f ca="1">IFERROR(__xludf.DUMMYFUNCTION("""COMPUTED_VALUE"""),70.1428571428571)</f>
        <v>70.142857142857096</v>
      </c>
      <c r="J50" s="57">
        <f ca="1">IFERROR(__xludf.DUMMYFUNCTION("""COMPUTED_VALUE"""),187.142857142857)</f>
        <v>187.142857142857</v>
      </c>
      <c r="K50" s="57">
        <f ca="1">IFERROR(__xludf.DUMMYFUNCTION("""COMPUTED_VALUE"""),7872.28571428571)</f>
        <v>7872.2857142857101</v>
      </c>
      <c r="L50">
        <f ca="1">IFERROR(__xludf.DUMMYFUNCTION("""COMPUTED_VALUE"""),183336)</f>
        <v>183336</v>
      </c>
      <c r="M50" s="58">
        <f ca="1">IFERROR(__xludf.DUMMYFUNCTION("""COMPUTED_VALUE"""),2586.71428571428)</f>
        <v>2586.7142857142799</v>
      </c>
      <c r="R50" s="13">
        <f ca="1">IFERROR(__xludf.DUMMYFUNCTION("""COMPUTED_VALUE"""),0.0434714285714285)</f>
        <v>4.3471428571428501E-2</v>
      </c>
      <c r="S50" s="13">
        <f ca="1">IFERROR(__xludf.DUMMYFUNCTION("""COMPUTED_VALUE"""),0.0795571428571428)</f>
        <v>7.9557142857142799E-2</v>
      </c>
      <c r="T50" s="13">
        <f ca="1">IFERROR(__xludf.DUMMYFUNCTION("""COMPUTED_VALUE"""),0.265266062287614)</f>
        <v>0.26526606228761401</v>
      </c>
      <c r="V50">
        <f ca="1">IFERROR(__xludf.DUMMYFUNCTION("""COMPUTED_VALUE"""),842)</f>
        <v>842</v>
      </c>
      <c r="W50">
        <f ca="1">IFERROR(__xludf.DUMMYFUNCTION("""COMPUTED_VALUE"""),558)</f>
        <v>558</v>
      </c>
      <c r="X50">
        <f ca="1">IFERROR(__xludf.DUMMYFUNCTION("""COMPUTED_VALUE"""),10652)</f>
        <v>10652</v>
      </c>
      <c r="Z50">
        <f ca="1">IFERROR(__xludf.DUMMYFUNCTION("""COMPUTED_VALUE"""),82)</f>
        <v>82</v>
      </c>
      <c r="AA50">
        <f ca="1">IFERROR(__xludf.DUMMYFUNCTION("""COMPUTED_VALUE"""),35)</f>
        <v>35</v>
      </c>
      <c r="AB50">
        <f ca="1">IFERROR(__xludf.DUMMYFUNCTION("""COMPUTED_VALUE"""),1273)</f>
        <v>1273</v>
      </c>
      <c r="AD50" s="57">
        <f ca="1">IFERROR(__xludf.DUMMYFUNCTION("""COMPUTED_VALUE"""),96.5714285714285)</f>
        <v>96.571428571428498</v>
      </c>
      <c r="AE50" s="57">
        <f ca="1">IFERROR(__xludf.DUMMYFUNCTION("""COMPUTED_VALUE"""),5913.57142857142)</f>
        <v>5913.5714285714203</v>
      </c>
      <c r="AF50">
        <f ca="1">IFERROR(__xludf.DUMMYFUNCTION("""COMPUTED_VALUE"""),183992)</f>
        <v>183992</v>
      </c>
      <c r="AG50" s="58">
        <f ca="1">IFERROR(__xludf.DUMMYFUNCTION("""COMPUTED_VALUE"""),9573.14285714285)</f>
        <v>9573.1428571428496</v>
      </c>
      <c r="AH50" s="13">
        <f ca="1">IFERROR(__xludf.DUMMYFUNCTION("""COMPUTED_VALUE"""),0.352050849476346)</f>
        <v>0.35205084947634602</v>
      </c>
      <c r="AI50">
        <f ca="1">IFERROR(__xludf.DUMMYFUNCTION("""COMPUTED_VALUE"""),4740)</f>
        <v>4740</v>
      </c>
      <c r="AJ50">
        <f ca="1">IFERROR(__xludf.DUMMYFUNCTION("""COMPUTED_VALUE"""),177)</f>
        <v>177</v>
      </c>
    </row>
    <row r="51" spans="1:36" ht="15.75" customHeight="1">
      <c r="A51">
        <f t="shared" ca="1" si="0"/>
        <v>50</v>
      </c>
      <c r="B51" s="62">
        <f ca="1">IFERROR(__xludf.DUMMYFUNCTION("""COMPUTED_VALUE"""),13)</f>
        <v>13</v>
      </c>
      <c r="C51" s="62">
        <f ca="1">IFERROR(__xludf.DUMMYFUNCTION("""COMPUTED_VALUE"""),6.57142857142857)</f>
        <v>6.5714285714285703</v>
      </c>
      <c r="D51" s="62">
        <f ca="1">IFERROR(__xludf.DUMMYFUNCTION("""COMPUTED_VALUE"""),84.1428571428571)</f>
        <v>84.142857142857096</v>
      </c>
      <c r="E51" s="62">
        <f ca="1">IFERROR(__xludf.DUMMYFUNCTION("""COMPUTED_VALUE"""),861.428571428571)</f>
        <v>861.42857142857099</v>
      </c>
      <c r="F51" s="21">
        <f ca="1">IFERROR(__xludf.DUMMYFUNCTION("""COMPUTED_VALUE"""),1648)</f>
        <v>1648</v>
      </c>
      <c r="G51" s="21">
        <f ca="1">IFERROR(__xludf.DUMMYFUNCTION("""COMPUTED_VALUE"""),15673)</f>
        <v>15673</v>
      </c>
      <c r="H51" s="63">
        <f ca="1">IFERROR(__xludf.DUMMYFUNCTION("""COMPUTED_VALUE"""),14.7142857142857)</f>
        <v>14.714285714285699</v>
      </c>
      <c r="I51" s="63">
        <f ca="1">IFERROR(__xludf.DUMMYFUNCTION("""COMPUTED_VALUE"""),84.4285714285714)</f>
        <v>84.428571428571402</v>
      </c>
      <c r="J51" s="57">
        <f ca="1">IFERROR(__xludf.DUMMYFUNCTION("""COMPUTED_VALUE"""),195.428571428571)</f>
        <v>195.42857142857099</v>
      </c>
      <c r="K51" s="57">
        <f ca="1">IFERROR(__xludf.DUMMYFUNCTION("""COMPUTED_VALUE"""),8063.71428571428)</f>
        <v>8063.7142857142799</v>
      </c>
      <c r="L51">
        <f ca="1">IFERROR(__xludf.DUMMYFUNCTION("""COMPUTED_VALUE"""),188525)</f>
        <v>188525</v>
      </c>
      <c r="M51" s="58">
        <f ca="1">IFERROR(__xludf.DUMMYFUNCTION("""COMPUTED_VALUE"""),2692.71428571428)</f>
        <v>2692.7142857142799</v>
      </c>
      <c r="N51" s="57">
        <f ca="1">IFERROR(__xludf.DUMMYFUNCTION("""COMPUTED_VALUE"""),5)</f>
        <v>5</v>
      </c>
      <c r="O51" s="57">
        <f ca="1">IFERROR(__xludf.DUMMYFUNCTION("""COMPUTED_VALUE"""),432.857142857142)</f>
        <v>432.85714285714198</v>
      </c>
      <c r="P51">
        <f ca="1">IFERROR(__xludf.DUMMYFUNCTION("""COMPUTED_VALUE"""),7923)</f>
        <v>7923</v>
      </c>
      <c r="Q51" s="58">
        <f ca="1">IFERROR(__xludf.DUMMYFUNCTION("""COMPUTED_VALUE"""),386)</f>
        <v>386</v>
      </c>
      <c r="R51" s="13">
        <f ca="1">IFERROR(__xludf.DUMMYFUNCTION("""COMPUTED_VALUE"""),0.0408714285714285)</f>
        <v>4.0871428571428503E-2</v>
      </c>
      <c r="S51" s="13">
        <f ca="1">IFERROR(__xludf.DUMMYFUNCTION("""COMPUTED_VALUE"""),0.0803428571428571)</f>
        <v>8.0342857142857105E-2</v>
      </c>
      <c r="T51" s="13">
        <f ca="1">IFERROR(__xludf.DUMMYFUNCTION("""COMPUTED_VALUE"""),0.266135852957941)</f>
        <v>0.26613585295794101</v>
      </c>
      <c r="U51" s="13">
        <f ca="1">IFERROR(__xludf.DUMMYFUNCTION("""COMPUTED_VALUE"""),0.0343952996367535)</f>
        <v>3.4395299636753501E-2</v>
      </c>
      <c r="V51">
        <f ca="1">IFERROR(__xludf.DUMMYFUNCTION("""COMPUTED_VALUE"""),825)</f>
        <v>825</v>
      </c>
      <c r="W51">
        <f ca="1">IFERROR(__xludf.DUMMYFUNCTION("""COMPUTED_VALUE"""),549)</f>
        <v>549</v>
      </c>
      <c r="X51">
        <f ca="1">IFERROR(__xludf.DUMMYFUNCTION("""COMPUTED_VALUE"""),11276)</f>
        <v>11276</v>
      </c>
      <c r="Y51">
        <f ca="1">IFERROR(__xludf.DUMMYFUNCTION("""COMPUTED_VALUE"""),478)</f>
        <v>478</v>
      </c>
      <c r="Z51">
        <f ca="1">IFERROR(__xludf.DUMMYFUNCTION("""COMPUTED_VALUE"""),63)</f>
        <v>63</v>
      </c>
      <c r="AA51">
        <f ca="1">IFERROR(__xludf.DUMMYFUNCTION("""COMPUTED_VALUE"""),32)</f>
        <v>32</v>
      </c>
      <c r="AB51">
        <f ca="1">IFERROR(__xludf.DUMMYFUNCTION("""COMPUTED_VALUE"""),1340)</f>
        <v>1340</v>
      </c>
      <c r="AC51">
        <f ca="1">IFERROR(__xludf.DUMMYFUNCTION("""COMPUTED_VALUE"""),71)</f>
        <v>71</v>
      </c>
      <c r="AD51" s="57">
        <f ca="1">IFERROR(__xludf.DUMMYFUNCTION("""COMPUTED_VALUE"""),101.571428571428)</f>
        <v>101.571428571428</v>
      </c>
      <c r="AE51" s="57">
        <f ca="1">IFERROR(__xludf.DUMMYFUNCTION("""COMPUTED_VALUE"""),5542.57142857142)</f>
        <v>5542.5714285714203</v>
      </c>
      <c r="AF51">
        <f ca="1">IFERROR(__xludf.DUMMYFUNCTION("""COMPUTED_VALUE"""),178730)</f>
        <v>178730</v>
      </c>
      <c r="AG51" s="58">
        <f ca="1">IFERROR(__xludf.DUMMYFUNCTION("""COMPUTED_VALUE"""),9770.28571428571)</f>
        <v>9770.2857142857101</v>
      </c>
      <c r="AH51" s="13">
        <f ca="1">IFERROR(__xludf.DUMMYFUNCTION("""COMPUTED_VALUE"""),0.325694644158802)</f>
        <v>0.325694644158802</v>
      </c>
      <c r="AI51">
        <f ca="1">IFERROR(__xludf.DUMMYFUNCTION("""COMPUTED_VALUE"""),4463)</f>
        <v>4463</v>
      </c>
      <c r="AJ51">
        <f ca="1">IFERROR(__xludf.DUMMYFUNCTION("""COMPUTED_VALUE"""),170)</f>
        <v>170</v>
      </c>
    </row>
    <row r="52" spans="1:36" ht="15.75" customHeight="1">
      <c r="A52">
        <f t="shared" ca="1" si="0"/>
        <v>51</v>
      </c>
      <c r="B52" s="62">
        <f ca="1">IFERROR(__xludf.DUMMYFUNCTION("""COMPUTED_VALUE"""),13.8571428571428)</f>
        <v>13.857142857142801</v>
      </c>
      <c r="C52" s="62">
        <f ca="1">IFERROR(__xludf.DUMMYFUNCTION("""COMPUTED_VALUE"""),7)</f>
        <v>7</v>
      </c>
      <c r="D52" s="62">
        <f ca="1">IFERROR(__xludf.DUMMYFUNCTION("""COMPUTED_VALUE"""),90.2857142857142)</f>
        <v>90.285714285714207</v>
      </c>
      <c r="E52" s="62">
        <f ca="1">IFERROR(__xludf.DUMMYFUNCTION("""COMPUTED_VALUE"""),859.428571428571)</f>
        <v>859.42857142857099</v>
      </c>
      <c r="F52" s="21">
        <f ca="1">IFERROR(__xludf.DUMMYFUNCTION("""COMPUTED_VALUE"""),1655)</f>
        <v>1655</v>
      </c>
      <c r="G52" s="21">
        <f ca="1">IFERROR(__xludf.DUMMYFUNCTION("""COMPUTED_VALUE"""),16464)</f>
        <v>16464</v>
      </c>
      <c r="H52" s="63">
        <f ca="1">IFERROR(__xludf.DUMMYFUNCTION("""COMPUTED_VALUE"""),27.2857142857142)</f>
        <v>27.285714285714199</v>
      </c>
      <c r="I52" s="63">
        <f ca="1">IFERROR(__xludf.DUMMYFUNCTION("""COMPUTED_VALUE"""),100.714285714285)</f>
        <v>100.714285714285</v>
      </c>
      <c r="J52" s="57">
        <f ca="1">IFERROR(__xludf.DUMMYFUNCTION("""COMPUTED_VALUE"""),211)</f>
        <v>211</v>
      </c>
      <c r="K52" s="57">
        <f ca="1">IFERROR(__xludf.DUMMYFUNCTION("""COMPUTED_VALUE"""),8143)</f>
        <v>8143</v>
      </c>
      <c r="L52">
        <f ca="1">IFERROR(__xludf.DUMMYFUNCTION("""COMPUTED_VALUE"""),189244)</f>
        <v>189244</v>
      </c>
      <c r="M52" s="58">
        <f ca="1">IFERROR(__xludf.DUMMYFUNCTION("""COMPUTED_VALUE"""),3071)</f>
        <v>3071</v>
      </c>
      <c r="N52" s="57">
        <f ca="1">IFERROR(__xludf.DUMMYFUNCTION("""COMPUTED_VALUE"""),5.42857142857142)</f>
        <v>5.4285714285714199</v>
      </c>
      <c r="O52" s="57">
        <f ca="1">IFERROR(__xludf.DUMMYFUNCTION("""COMPUTED_VALUE"""),429.428571428571)</f>
        <v>429.42857142857099</v>
      </c>
      <c r="P52">
        <f ca="1">IFERROR(__xludf.DUMMYFUNCTION("""COMPUTED_VALUE"""),7532)</f>
        <v>7532</v>
      </c>
      <c r="Q52" s="58">
        <f ca="1">IFERROR(__xludf.DUMMYFUNCTION("""COMPUTED_VALUE"""),439.285714285714)</f>
        <v>439.28571428571399</v>
      </c>
      <c r="R52" s="13">
        <f ca="1">IFERROR(__xludf.DUMMYFUNCTION("""COMPUTED_VALUE"""),0.0380714285714285)</f>
        <v>3.8071428571428499E-2</v>
      </c>
      <c r="S52" s="13">
        <f ca="1">IFERROR(__xludf.DUMMYFUNCTION("""COMPUTED_VALUE"""),0.0806142857142857)</f>
        <v>8.0614285714285694E-2</v>
      </c>
      <c r="T52" s="13">
        <f ca="1">IFERROR(__xludf.DUMMYFUNCTION("""COMPUTED_VALUE"""),0.267926518916693)</f>
        <v>0.267926518916693</v>
      </c>
      <c r="U52" s="13">
        <f ca="1">IFERROR(__xludf.DUMMYFUNCTION("""COMPUTED_VALUE"""),0.0356019413701343)</f>
        <v>3.5601941370134303E-2</v>
      </c>
      <c r="V52">
        <f ca="1">IFERROR(__xludf.DUMMYFUNCTION("""COMPUTED_VALUE"""),850)</f>
        <v>850</v>
      </c>
      <c r="W52">
        <f ca="1">IFERROR(__xludf.DUMMYFUNCTION("""COMPUTED_VALUE"""),577)</f>
        <v>577</v>
      </c>
      <c r="X52">
        <f ca="1">IFERROR(__xludf.DUMMYFUNCTION("""COMPUTED_VALUE"""),11873)</f>
        <v>11873</v>
      </c>
      <c r="Y52">
        <f ca="1">IFERROR(__xludf.DUMMYFUNCTION("""COMPUTED_VALUE"""),513)</f>
        <v>513</v>
      </c>
      <c r="Z52">
        <f ca="1">IFERROR(__xludf.DUMMYFUNCTION("""COMPUTED_VALUE"""),61)</f>
        <v>61</v>
      </c>
      <c r="AA52">
        <f ca="1">IFERROR(__xludf.DUMMYFUNCTION("""COMPUTED_VALUE"""),30)</f>
        <v>30</v>
      </c>
      <c r="AB52">
        <f ca="1">IFERROR(__xludf.DUMMYFUNCTION("""COMPUTED_VALUE"""),1389)</f>
        <v>1389</v>
      </c>
      <c r="AC52">
        <f ca="1">IFERROR(__xludf.DUMMYFUNCTION("""COMPUTED_VALUE"""),74)</f>
        <v>74</v>
      </c>
      <c r="AD52" s="57">
        <f ca="1">IFERROR(__xludf.DUMMYFUNCTION("""COMPUTED_VALUE"""),99.7142857142857)</f>
        <v>99.714285714285694</v>
      </c>
      <c r="AE52" s="57">
        <f ca="1">IFERROR(__xludf.DUMMYFUNCTION("""COMPUTED_VALUE"""),5104.57142857142)</f>
        <v>5104.5714285714203</v>
      </c>
      <c r="AF52">
        <f ca="1">IFERROR(__xludf.DUMMYFUNCTION("""COMPUTED_VALUE"""),173798)</f>
        <v>173798</v>
      </c>
      <c r="AG52" s="58">
        <f ca="1">IFERROR(__xludf.DUMMYFUNCTION("""COMPUTED_VALUE"""),9139.14285714285)</f>
        <v>9139.1428571428496</v>
      </c>
      <c r="AH52" s="13">
        <f ca="1">IFERROR(__xludf.DUMMYFUNCTION("""COMPUTED_VALUE"""),0.315137736784268)</f>
        <v>0.31513773678426799</v>
      </c>
      <c r="AI52">
        <f ca="1">IFERROR(__xludf.DUMMYFUNCTION("""COMPUTED_VALUE"""),4199)</f>
        <v>4199</v>
      </c>
      <c r="AJ52">
        <f ca="1">IFERROR(__xludf.DUMMYFUNCTION("""COMPUTED_VALUE"""),165)</f>
        <v>165</v>
      </c>
    </row>
    <row r="53" spans="1:36" ht="15.75" customHeight="1">
      <c r="A53">
        <f t="shared" ca="1" si="0"/>
        <v>52</v>
      </c>
      <c r="B53" s="62">
        <f ca="1">IFERROR(__xludf.DUMMYFUNCTION("""COMPUTED_VALUE"""),13.4285714285714)</f>
        <v>13.4285714285714</v>
      </c>
      <c r="C53" s="62">
        <f ca="1">IFERROR(__xludf.DUMMYFUNCTION("""COMPUTED_VALUE"""),7.85714285714285)</f>
        <v>7.8571428571428497</v>
      </c>
      <c r="D53" s="62">
        <f ca="1">IFERROR(__xludf.DUMMYFUNCTION("""COMPUTED_VALUE"""),88.5714285714285)</f>
        <v>88.571428571428498</v>
      </c>
      <c r="E53" s="62">
        <f ca="1">IFERROR(__xludf.DUMMYFUNCTION("""COMPUTED_VALUE"""),879.571428571428)</f>
        <v>879.57142857142799</v>
      </c>
      <c r="F53" s="21">
        <f ca="1">IFERROR(__xludf.DUMMYFUNCTION("""COMPUTED_VALUE"""),1732)</f>
        <v>1732</v>
      </c>
      <c r="G53" s="21">
        <f ca="1">IFERROR(__xludf.DUMMYFUNCTION("""COMPUTED_VALUE"""),17248)</f>
        <v>17248</v>
      </c>
      <c r="H53" s="63">
        <f ca="1">IFERROR(__xludf.DUMMYFUNCTION("""COMPUTED_VALUE"""),27.7142857142857)</f>
        <v>27.714285714285701</v>
      </c>
      <c r="I53" s="63">
        <f ca="1">IFERROR(__xludf.DUMMYFUNCTION("""COMPUTED_VALUE"""),102.428571428571)</f>
        <v>102.428571428571</v>
      </c>
      <c r="J53" s="57">
        <f ca="1">IFERROR(__xludf.DUMMYFUNCTION("""COMPUTED_VALUE"""),218.714285714285)</f>
        <v>218.71428571428501</v>
      </c>
      <c r="K53" s="57">
        <f ca="1">IFERROR(__xludf.DUMMYFUNCTION("""COMPUTED_VALUE"""),8733.14285714285)</f>
        <v>8733.1428571428496</v>
      </c>
      <c r="L53">
        <f ca="1">IFERROR(__xludf.DUMMYFUNCTION("""COMPUTED_VALUE"""),192951)</f>
        <v>192951</v>
      </c>
      <c r="M53" s="58">
        <f ca="1">IFERROR(__xludf.DUMMYFUNCTION("""COMPUTED_VALUE"""),3249.42857142857)</f>
        <v>3249.4285714285702</v>
      </c>
      <c r="N53" s="57">
        <f ca="1">IFERROR(__xludf.DUMMYFUNCTION("""COMPUTED_VALUE"""),6)</f>
        <v>6</v>
      </c>
      <c r="O53" s="57">
        <f ca="1">IFERROR(__xludf.DUMMYFUNCTION("""COMPUTED_VALUE"""),435.857142857142)</f>
        <v>435.85714285714198</v>
      </c>
      <c r="P53">
        <f ca="1">IFERROR(__xludf.DUMMYFUNCTION("""COMPUTED_VALUE"""),7348)</f>
        <v>7348</v>
      </c>
      <c r="Q53" s="58">
        <f ca="1">IFERROR(__xludf.DUMMYFUNCTION("""COMPUTED_VALUE"""),485.857142857142)</f>
        <v>485.85714285714198</v>
      </c>
      <c r="R53" s="13">
        <f ca="1">IFERROR(__xludf.DUMMYFUNCTION("""COMPUTED_VALUE"""),0.0379)</f>
        <v>3.7900000000000003E-2</v>
      </c>
      <c r="S53" s="13">
        <f ca="1">IFERROR(__xludf.DUMMYFUNCTION("""COMPUTED_VALUE"""),0.0828857142857143)</f>
        <v>8.2885714285714299E-2</v>
      </c>
      <c r="T53" s="13">
        <f ca="1">IFERROR(__xludf.DUMMYFUNCTION("""COMPUTED_VALUE"""),0.264286955452051)</f>
        <v>0.264286955452051</v>
      </c>
      <c r="U53" s="13">
        <f ca="1">IFERROR(__xludf.DUMMYFUNCTION("""COMPUTED_VALUE"""),0.0368833497170326)</f>
        <v>3.6883349717032603E-2</v>
      </c>
      <c r="V53">
        <f ca="1">IFERROR(__xludf.DUMMYFUNCTION("""COMPUTED_VALUE"""),877)</f>
        <v>877</v>
      </c>
      <c r="W53">
        <f ca="1">IFERROR(__xludf.DUMMYFUNCTION("""COMPUTED_VALUE"""),589)</f>
        <v>589</v>
      </c>
      <c r="X53">
        <f ca="1">IFERROR(__xludf.DUMMYFUNCTION("""COMPUTED_VALUE"""),11805)</f>
        <v>11805</v>
      </c>
      <c r="Y53">
        <f ca="1">IFERROR(__xludf.DUMMYFUNCTION("""COMPUTED_VALUE"""),529)</f>
        <v>529</v>
      </c>
      <c r="Z53">
        <f ca="1">IFERROR(__xludf.DUMMYFUNCTION("""COMPUTED_VALUE"""),61)</f>
        <v>61</v>
      </c>
      <c r="AA53">
        <f ca="1">IFERROR(__xludf.DUMMYFUNCTION("""COMPUTED_VALUE"""),36)</f>
        <v>36</v>
      </c>
      <c r="AB53">
        <f ca="1">IFERROR(__xludf.DUMMYFUNCTION("""COMPUTED_VALUE"""),1423)</f>
        <v>1423</v>
      </c>
      <c r="AC53">
        <f ca="1">IFERROR(__xludf.DUMMYFUNCTION("""COMPUTED_VALUE"""),81)</f>
        <v>81</v>
      </c>
      <c r="AD53" s="57">
        <f ca="1">IFERROR(__xludf.DUMMYFUNCTION("""COMPUTED_VALUE"""),98)</f>
        <v>98</v>
      </c>
      <c r="AE53" s="57">
        <f ca="1">IFERROR(__xludf.DUMMYFUNCTION("""COMPUTED_VALUE"""),4678.57142857142)</f>
        <v>4678.5714285714203</v>
      </c>
      <c r="AF53">
        <f ca="1">IFERROR(__xludf.DUMMYFUNCTION("""COMPUTED_VALUE"""),168913)</f>
        <v>168913</v>
      </c>
      <c r="AG53" s="58">
        <f ca="1">IFERROR(__xludf.DUMMYFUNCTION("""COMPUTED_VALUE"""),8922)</f>
        <v>8922</v>
      </c>
      <c r="AH53" s="13">
        <f ca="1">IFERROR(__xludf.DUMMYFUNCTION("""COMPUTED_VALUE"""),0.299523003703221)</f>
        <v>0.29952300370322099</v>
      </c>
      <c r="AI53">
        <f ca="1">IFERROR(__xludf.DUMMYFUNCTION("""COMPUTED_VALUE"""),3997)</f>
        <v>3997</v>
      </c>
      <c r="AJ53">
        <f ca="1">IFERROR(__xludf.DUMMYFUNCTION("""COMPUTED_VALUE"""),148)</f>
        <v>148</v>
      </c>
    </row>
    <row r="54" spans="1:36" ht="15.75" customHeight="1">
      <c r="A54">
        <f t="shared" ca="1" si="0"/>
        <v>53</v>
      </c>
      <c r="B54" s="62">
        <f ca="1">IFERROR(__xludf.DUMMYFUNCTION("""COMPUTED_VALUE"""),12.8571428571428)</f>
        <v>12.857142857142801</v>
      </c>
      <c r="C54" s="62">
        <f ca="1">IFERROR(__xludf.DUMMYFUNCTION("""COMPUTED_VALUE"""),7.57142857142857)</f>
        <v>7.5714285714285703</v>
      </c>
      <c r="D54" s="62">
        <f ca="1">IFERROR(__xludf.DUMMYFUNCTION("""COMPUTED_VALUE"""),87)</f>
        <v>87</v>
      </c>
      <c r="E54" s="62">
        <f ca="1">IFERROR(__xludf.DUMMYFUNCTION("""COMPUTED_VALUE"""),860.571428571428)</f>
        <v>860.57142857142799</v>
      </c>
      <c r="F54" s="21">
        <f ca="1">IFERROR(__xludf.DUMMYFUNCTION("""COMPUTED_VALUE"""),1723)</f>
        <v>1723</v>
      </c>
      <c r="G54" s="21">
        <f ca="1">IFERROR(__xludf.DUMMYFUNCTION("""COMPUTED_VALUE"""),18137)</f>
        <v>18137</v>
      </c>
      <c r="H54" s="63">
        <f ca="1">IFERROR(__xludf.DUMMYFUNCTION("""COMPUTED_VALUE"""),32.4285714285714)</f>
        <v>32.428571428571402</v>
      </c>
      <c r="I54" s="63">
        <f ca="1">IFERROR(__xludf.DUMMYFUNCTION("""COMPUTED_VALUE"""),107.142857142857)</f>
        <v>107.142857142857</v>
      </c>
      <c r="J54" s="57">
        <f ca="1">IFERROR(__xludf.DUMMYFUNCTION("""COMPUTED_VALUE"""),228)</f>
        <v>228</v>
      </c>
      <c r="K54" s="57">
        <f ca="1">IFERROR(__xludf.DUMMYFUNCTION("""COMPUTED_VALUE"""),9181)</f>
        <v>9181</v>
      </c>
      <c r="L54">
        <f ca="1">IFERROR(__xludf.DUMMYFUNCTION("""COMPUTED_VALUE"""),196553)</f>
        <v>196553</v>
      </c>
      <c r="M54" s="58">
        <f ca="1">IFERROR(__xludf.DUMMYFUNCTION("""COMPUTED_VALUE"""),3810.71428571428)</f>
        <v>3810.7142857142799</v>
      </c>
      <c r="N54" s="57">
        <f ca="1">IFERROR(__xludf.DUMMYFUNCTION("""COMPUTED_VALUE"""),6.42857142857142)</f>
        <v>6.4285714285714199</v>
      </c>
      <c r="O54" s="57">
        <f ca="1">IFERROR(__xludf.DUMMYFUNCTION("""COMPUTED_VALUE"""),451.142857142857)</f>
        <v>451.142857142857</v>
      </c>
      <c r="P54">
        <f ca="1">IFERROR(__xludf.DUMMYFUNCTION("""COMPUTED_VALUE"""),7425)</f>
        <v>7425</v>
      </c>
      <c r="Q54" s="58">
        <f ca="1">IFERROR(__xludf.DUMMYFUNCTION("""COMPUTED_VALUE"""),521.142857142857)</f>
        <v>521.142857142857</v>
      </c>
      <c r="R54" s="13">
        <f ca="1">IFERROR(__xludf.DUMMYFUNCTION("""COMPUTED_VALUE"""),0.0368714285714285)</f>
        <v>3.6871428571428499E-2</v>
      </c>
      <c r="S54" s="13">
        <f ca="1">IFERROR(__xludf.DUMMYFUNCTION("""COMPUTED_VALUE"""),0.0833)</f>
        <v>8.3299999999999999E-2</v>
      </c>
      <c r="T54" s="13">
        <f ca="1">IFERROR(__xludf.DUMMYFUNCTION("""COMPUTED_VALUE"""),0.268104663862886)</f>
        <v>0.26810466386288601</v>
      </c>
      <c r="U54" s="13">
        <f ca="1">IFERROR(__xludf.DUMMYFUNCTION("""COMPUTED_VALUE"""),0.0363838447110398)</f>
        <v>3.6383844711039802E-2</v>
      </c>
      <c r="V54">
        <f ca="1">IFERROR(__xludf.DUMMYFUNCTION("""COMPUTED_VALUE"""),899)</f>
        <v>899</v>
      </c>
      <c r="W54">
        <f ca="1">IFERROR(__xludf.DUMMYFUNCTION("""COMPUTED_VALUE"""),620)</f>
        <v>620</v>
      </c>
      <c r="X54">
        <f ca="1">IFERROR(__xludf.DUMMYFUNCTION("""COMPUTED_VALUE"""),11760)</f>
        <v>11760</v>
      </c>
      <c r="Y54">
        <f ca="1">IFERROR(__xludf.DUMMYFUNCTION("""COMPUTED_VALUE"""),539)</f>
        <v>539</v>
      </c>
      <c r="Z54">
        <f ca="1">IFERROR(__xludf.DUMMYFUNCTION("""COMPUTED_VALUE"""),54)</f>
        <v>54</v>
      </c>
      <c r="AA54">
        <f ca="1">IFERROR(__xludf.DUMMYFUNCTION("""COMPUTED_VALUE"""),38)</f>
        <v>38</v>
      </c>
      <c r="AB54">
        <f ca="1">IFERROR(__xludf.DUMMYFUNCTION("""COMPUTED_VALUE"""),1467)</f>
        <v>1467</v>
      </c>
      <c r="AC54">
        <f ca="1">IFERROR(__xludf.DUMMYFUNCTION("""COMPUTED_VALUE"""),87)</f>
        <v>87</v>
      </c>
    </row>
    <row r="55" spans="1:36" ht="15.75" customHeight="1">
      <c r="A55">
        <f t="shared" ca="1" si="0"/>
        <v>54</v>
      </c>
      <c r="B55" s="62">
        <f ca="1">IFERROR(__xludf.DUMMYFUNCTION("""COMPUTED_VALUE"""),11.8571428571428)</f>
        <v>11.857142857142801</v>
      </c>
      <c r="C55" s="62">
        <f ca="1">IFERROR(__xludf.DUMMYFUNCTION("""COMPUTED_VALUE"""),9)</f>
        <v>9</v>
      </c>
      <c r="D55" s="62">
        <f ca="1">IFERROR(__xludf.DUMMYFUNCTION("""COMPUTED_VALUE"""),83.4285714285714)</f>
        <v>83.428571428571402</v>
      </c>
      <c r="E55" s="62">
        <f ca="1">IFERROR(__xludf.DUMMYFUNCTION("""COMPUTED_VALUE"""),835.714285714285)</f>
        <v>835.71428571428498</v>
      </c>
      <c r="F55" s="21">
        <f ca="1">IFERROR(__xludf.DUMMYFUNCTION("""COMPUTED_VALUE"""),1743)</f>
        <v>1743</v>
      </c>
      <c r="G55" s="21">
        <f ca="1">IFERROR(__xludf.DUMMYFUNCTION("""COMPUTED_VALUE"""),18815)</f>
        <v>18815</v>
      </c>
      <c r="H55" s="63">
        <f ca="1">IFERROR(__xludf.DUMMYFUNCTION("""COMPUTED_VALUE"""),33.5714285714285)</f>
        <v>33.571428571428498</v>
      </c>
      <c r="I55" s="63">
        <f ca="1">IFERROR(__xludf.DUMMYFUNCTION("""COMPUTED_VALUE"""),107.285714285714)</f>
        <v>107.28571428571399</v>
      </c>
      <c r="J55" s="57">
        <f ca="1">IFERROR(__xludf.DUMMYFUNCTION("""COMPUTED_VALUE"""),236.857142857142)</f>
        <v>236.85714285714201</v>
      </c>
      <c r="K55" s="57">
        <f ca="1">IFERROR(__xludf.DUMMYFUNCTION("""COMPUTED_VALUE"""),9253.28571428571)</f>
        <v>9253.2857142857101</v>
      </c>
      <c r="L55">
        <f ca="1">IFERROR(__xludf.DUMMYFUNCTION("""COMPUTED_VALUE"""),202799)</f>
        <v>202799</v>
      </c>
      <c r="M55" s="58">
        <f ca="1">IFERROR(__xludf.DUMMYFUNCTION("""COMPUTED_VALUE"""),3929.42857142857)</f>
        <v>3929.4285714285702</v>
      </c>
      <c r="N55" s="57">
        <f ca="1">IFERROR(__xludf.DUMMYFUNCTION("""COMPUTED_VALUE"""),6.85714285714285)</f>
        <v>6.8571428571428497</v>
      </c>
      <c r="O55" s="57">
        <f ca="1">IFERROR(__xludf.DUMMYFUNCTION("""COMPUTED_VALUE"""),472.285714285714)</f>
        <v>472.28571428571399</v>
      </c>
      <c r="P55">
        <f ca="1">IFERROR(__xludf.DUMMYFUNCTION("""COMPUTED_VALUE"""),7539)</f>
        <v>7539</v>
      </c>
      <c r="Q55" s="58">
        <f ca="1">IFERROR(__xludf.DUMMYFUNCTION("""COMPUTED_VALUE"""),550.285714285714)</f>
        <v>550.28571428571399</v>
      </c>
      <c r="R55" s="13">
        <f ca="1">IFERROR(__xludf.DUMMYFUNCTION("""COMPUTED_VALUE"""),0.0351142857142857)</f>
        <v>3.5114285714285702E-2</v>
      </c>
      <c r="S55" s="13">
        <f ca="1">IFERROR(__xludf.DUMMYFUNCTION("""COMPUTED_VALUE"""),0.0850142857142857)</f>
        <v>8.5014285714285695E-2</v>
      </c>
      <c r="T55" s="13">
        <f ca="1">IFERROR(__xludf.DUMMYFUNCTION("""COMPUTED_VALUE"""),0.26922915758572)</f>
        <v>0.26922915758572002</v>
      </c>
      <c r="U55" s="13">
        <f ca="1">IFERROR(__xludf.DUMMYFUNCTION("""COMPUTED_VALUE"""),0.0379880569371727)</f>
        <v>3.79880569371727E-2</v>
      </c>
      <c r="V55">
        <f ca="1">IFERROR(__xludf.DUMMYFUNCTION("""COMPUTED_VALUE"""),927)</f>
        <v>927</v>
      </c>
      <c r="W55">
        <f ca="1">IFERROR(__xludf.DUMMYFUNCTION("""COMPUTED_VALUE"""),693)</f>
        <v>693</v>
      </c>
      <c r="X55">
        <f ca="1">IFERROR(__xludf.DUMMYFUNCTION("""COMPUTED_VALUE"""),11823)</f>
        <v>11823</v>
      </c>
      <c r="Y55">
        <f ca="1">IFERROR(__xludf.DUMMYFUNCTION("""COMPUTED_VALUE"""),533)</f>
        <v>533</v>
      </c>
      <c r="Z55">
        <f ca="1">IFERROR(__xludf.DUMMYFUNCTION("""COMPUTED_VALUE"""),56)</f>
        <v>56</v>
      </c>
      <c r="AA55">
        <f ca="1">IFERROR(__xludf.DUMMYFUNCTION("""COMPUTED_VALUE"""),44)</f>
        <v>44</v>
      </c>
      <c r="AB55">
        <f ca="1">IFERROR(__xludf.DUMMYFUNCTION("""COMPUTED_VALUE"""),1480)</f>
        <v>1480</v>
      </c>
      <c r="AC55">
        <f ca="1">IFERROR(__xludf.DUMMYFUNCTION("""COMPUTED_VALUE"""),84)</f>
        <v>84</v>
      </c>
    </row>
    <row r="56" spans="1:36" ht="15.75" customHeight="1">
      <c r="A56">
        <f t="shared" ca="1" si="0"/>
        <v>55</v>
      </c>
      <c r="B56" s="62">
        <f ca="1">IFERROR(__xludf.DUMMYFUNCTION("""COMPUTED_VALUE"""),11.5714285714285)</f>
        <v>11.5714285714285</v>
      </c>
      <c r="C56" s="62">
        <f ca="1">IFERROR(__xludf.DUMMYFUNCTION("""COMPUTED_VALUE"""),9)</f>
        <v>9</v>
      </c>
      <c r="D56" s="62">
        <f ca="1">IFERROR(__xludf.DUMMYFUNCTION("""COMPUTED_VALUE"""),85.5714285714285)</f>
        <v>85.571428571428498</v>
      </c>
      <c r="E56" s="62">
        <f ca="1">IFERROR(__xludf.DUMMYFUNCTION("""COMPUTED_VALUE"""),866.857142857142)</f>
        <v>866.85714285714198</v>
      </c>
      <c r="F56" s="21">
        <f ca="1">IFERROR(__xludf.DUMMYFUNCTION("""COMPUTED_VALUE"""),1805)</f>
        <v>1805</v>
      </c>
      <c r="G56" s="21">
        <f ca="1">IFERROR(__xludf.DUMMYFUNCTION("""COMPUTED_VALUE"""),19637)</f>
        <v>19637</v>
      </c>
      <c r="H56" s="63">
        <f ca="1">IFERROR(__xludf.DUMMYFUNCTION("""COMPUTED_VALUE"""),33)</f>
        <v>33</v>
      </c>
      <c r="I56" s="63">
        <f ca="1">IFERROR(__xludf.DUMMYFUNCTION("""COMPUTED_VALUE"""),87.7142857142857)</f>
        <v>87.714285714285694</v>
      </c>
      <c r="J56" s="57">
        <f ca="1">IFERROR(__xludf.DUMMYFUNCTION("""COMPUTED_VALUE"""),240.571428571428)</f>
        <v>240.57142857142799</v>
      </c>
      <c r="K56" s="57">
        <f ca="1">IFERROR(__xludf.DUMMYFUNCTION("""COMPUTED_VALUE"""),9115.42857142857)</f>
        <v>9115.4285714285706</v>
      </c>
      <c r="L56">
        <f ca="1">IFERROR(__xludf.DUMMYFUNCTION("""COMPUTED_VALUE"""),211028)</f>
        <v>211028</v>
      </c>
      <c r="M56" s="58">
        <f ca="1">IFERROR(__xludf.DUMMYFUNCTION("""COMPUTED_VALUE"""),3889.28571428571)</f>
        <v>3889.2857142857101</v>
      </c>
      <c r="R56" s="13">
        <f ca="1">IFERROR(__xludf.DUMMYFUNCTION("""COMPUTED_VALUE"""),0.0350142857142857)</f>
        <v>3.5014285714285699E-2</v>
      </c>
      <c r="S56" s="13">
        <f ca="1">IFERROR(__xludf.DUMMYFUNCTION("""COMPUTED_VALUE"""),0.0872428571428571)</f>
        <v>8.7242857142857094E-2</v>
      </c>
      <c r="T56" s="13">
        <f ca="1">IFERROR(__xludf.DUMMYFUNCTION("""COMPUTED_VALUE"""),0.264071785952378)</f>
        <v>0.26407178595237801</v>
      </c>
      <c r="V56">
        <f ca="1">IFERROR(__xludf.DUMMYFUNCTION("""COMPUTED_VALUE"""),931)</f>
        <v>931</v>
      </c>
      <c r="W56">
        <f ca="1">IFERROR(__xludf.DUMMYFUNCTION("""COMPUTED_VALUE"""),755)</f>
        <v>755</v>
      </c>
      <c r="X56">
        <f ca="1">IFERROR(__xludf.DUMMYFUNCTION("""COMPUTED_VALUE"""),11779)</f>
        <v>11779</v>
      </c>
      <c r="Z56">
        <f ca="1">IFERROR(__xludf.DUMMYFUNCTION("""COMPUTED_VALUE"""),52)</f>
        <v>52</v>
      </c>
      <c r="AA56">
        <f ca="1">IFERROR(__xludf.DUMMYFUNCTION("""COMPUTED_VALUE"""),51)</f>
        <v>51</v>
      </c>
      <c r="AB56">
        <f ca="1">IFERROR(__xludf.DUMMYFUNCTION("""COMPUTED_VALUE"""),1512)</f>
        <v>1512</v>
      </c>
      <c r="AD56" s="57">
        <f ca="1">IFERROR(__xludf.DUMMYFUNCTION("""COMPUTED_VALUE"""),92.8571428571428)</f>
        <v>92.857142857142804</v>
      </c>
      <c r="AE56" s="57">
        <f ca="1">IFERROR(__xludf.DUMMYFUNCTION("""COMPUTED_VALUE"""),3979.85714285714)</f>
        <v>3979.8571428571399</v>
      </c>
      <c r="AF56">
        <f ca="1">IFERROR(__xludf.DUMMYFUNCTION("""COMPUTED_VALUE"""),154752)</f>
        <v>154752</v>
      </c>
      <c r="AG56" s="58">
        <f ca="1">IFERROR(__xludf.DUMMYFUNCTION("""COMPUTED_VALUE"""),8859.57142857143)</f>
        <v>8859.5714285714294</v>
      </c>
      <c r="AH56" s="13">
        <f ca="1">IFERROR(__xludf.DUMMYFUNCTION("""COMPUTED_VALUE"""),0.291974825727842)</f>
        <v>0.291974825727842</v>
      </c>
      <c r="AI56">
        <f ca="1">IFERROR(__xludf.DUMMYFUNCTION("""COMPUTED_VALUE"""),3615)</f>
        <v>3615</v>
      </c>
      <c r="AJ56">
        <f ca="1">IFERROR(__xludf.DUMMYFUNCTION("""COMPUTED_VALUE"""),132)</f>
        <v>132</v>
      </c>
    </row>
    <row r="57" spans="1:36" ht="15.75" customHeight="1">
      <c r="A57">
        <f t="shared" ca="1" si="0"/>
        <v>56</v>
      </c>
      <c r="B57" s="62">
        <f ca="1">IFERROR(__xludf.DUMMYFUNCTION("""COMPUTED_VALUE"""),11.1428571428571)</f>
        <v>11.1428571428571</v>
      </c>
      <c r="C57" s="62">
        <f ca="1">IFERROR(__xludf.DUMMYFUNCTION("""COMPUTED_VALUE"""),9)</f>
        <v>9</v>
      </c>
      <c r="D57" s="62">
        <f ca="1">IFERROR(__xludf.DUMMYFUNCTION("""COMPUTED_VALUE"""),78.7142857142857)</f>
        <v>78.714285714285694</v>
      </c>
      <c r="E57" s="62">
        <f ca="1">IFERROR(__xludf.DUMMYFUNCTION("""COMPUTED_VALUE"""),858.714285714285)</f>
        <v>858.71428571428498</v>
      </c>
      <c r="F57" s="21">
        <f ca="1">IFERROR(__xludf.DUMMYFUNCTION("""COMPUTED_VALUE"""),1842)</f>
        <v>1842</v>
      </c>
      <c r="G57" s="21">
        <f ca="1">IFERROR(__xludf.DUMMYFUNCTION("""COMPUTED_VALUE"""),19806)</f>
        <v>19806</v>
      </c>
      <c r="H57" s="63">
        <f ca="1">IFERROR(__xludf.DUMMYFUNCTION("""COMPUTED_VALUE"""),32.7142857142857)</f>
        <v>32.714285714285701</v>
      </c>
      <c r="I57" s="63">
        <f ca="1">IFERROR(__xludf.DUMMYFUNCTION("""COMPUTED_VALUE"""),178)</f>
        <v>178</v>
      </c>
      <c r="J57" s="57">
        <f ca="1">IFERROR(__xludf.DUMMYFUNCTION("""COMPUTED_VALUE"""),244.285714285714)</f>
        <v>244.28571428571399</v>
      </c>
      <c r="K57" s="57">
        <f ca="1">IFERROR(__xludf.DUMMYFUNCTION("""COMPUTED_VALUE"""),8895)</f>
        <v>8895</v>
      </c>
      <c r="L57">
        <f ca="1">IFERROR(__xludf.DUMMYFUNCTION("""COMPUTED_VALUE"""),218099)</f>
        <v>218099</v>
      </c>
      <c r="M57" s="58">
        <f ca="1">IFERROR(__xludf.DUMMYFUNCTION("""COMPUTED_VALUE"""),3684.57142857142)</f>
        <v>3684.5714285714198</v>
      </c>
      <c r="R57" s="13">
        <f ca="1">IFERROR(__xludf.DUMMYFUNCTION("""COMPUTED_VALUE"""),0.0329571428571428)</f>
        <v>3.2957142857142803E-2</v>
      </c>
      <c r="S57" s="13">
        <f ca="1">IFERROR(__xludf.DUMMYFUNCTION("""COMPUTED_VALUE"""),0.0885999999999999)</f>
        <v>8.8599999999999901E-2</v>
      </c>
      <c r="T57" s="13">
        <f ca="1">IFERROR(__xludf.DUMMYFUNCTION("""COMPUTED_VALUE"""),0.271311235759893)</f>
        <v>0.27131123575989302</v>
      </c>
      <c r="V57">
        <f ca="1">IFERROR(__xludf.DUMMYFUNCTION("""COMPUTED_VALUE"""),946)</f>
        <v>946</v>
      </c>
      <c r="W57">
        <f ca="1">IFERROR(__xludf.DUMMYFUNCTION("""COMPUTED_VALUE"""),773)</f>
        <v>773</v>
      </c>
      <c r="X57">
        <f ca="1">IFERROR(__xludf.DUMMYFUNCTION("""COMPUTED_VALUE"""),11805)</f>
        <v>11805</v>
      </c>
      <c r="Z57">
        <f ca="1">IFERROR(__xludf.DUMMYFUNCTION("""COMPUTED_VALUE"""),49)</f>
        <v>49</v>
      </c>
      <c r="AA57">
        <f ca="1">IFERROR(__xludf.DUMMYFUNCTION("""COMPUTED_VALUE"""),54)</f>
        <v>54</v>
      </c>
      <c r="AB57">
        <f ca="1">IFERROR(__xludf.DUMMYFUNCTION("""COMPUTED_VALUE"""),1527)</f>
        <v>1527</v>
      </c>
      <c r="AD57" s="57">
        <f ca="1">IFERROR(__xludf.DUMMYFUNCTION("""COMPUTED_VALUE"""),88.7142857142857)</f>
        <v>88.714285714285694</v>
      </c>
      <c r="AE57" s="57">
        <f ca="1">IFERROR(__xludf.DUMMYFUNCTION("""COMPUTED_VALUE"""),3814.71428571428)</f>
        <v>3814.7142857142799</v>
      </c>
      <c r="AF57">
        <f ca="1">IFERROR(__xludf.DUMMYFUNCTION("""COMPUTED_VALUE"""),150522)</f>
        <v>150522</v>
      </c>
      <c r="AG57" s="58">
        <f ca="1">IFERROR(__xludf.DUMMYFUNCTION("""COMPUTED_VALUE"""),8507.42857142857)</f>
        <v>8507.4285714285706</v>
      </c>
      <c r="AH57" s="13">
        <f ca="1">IFERROR(__xludf.DUMMYFUNCTION("""COMPUTED_VALUE"""),0.27375080964155)</f>
        <v>0.27375080964155002</v>
      </c>
      <c r="AI57">
        <f ca="1">IFERROR(__xludf.DUMMYFUNCTION("""COMPUTED_VALUE"""),3610)</f>
        <v>3610</v>
      </c>
      <c r="AJ57">
        <f ca="1">IFERROR(__xludf.DUMMYFUNCTION("""COMPUTED_VALUE"""),136)</f>
        <v>136</v>
      </c>
    </row>
    <row r="58" spans="1:36" ht="15.75" customHeight="1">
      <c r="A58">
        <f t="shared" ca="1" si="0"/>
        <v>57</v>
      </c>
      <c r="B58" s="62">
        <f ca="1">IFERROR(__xludf.DUMMYFUNCTION("""COMPUTED_VALUE"""),10.7142857142857)</f>
        <v>10.714285714285699</v>
      </c>
      <c r="C58" s="62">
        <f ca="1">IFERROR(__xludf.DUMMYFUNCTION("""COMPUTED_VALUE"""),10.2857142857142)</f>
        <v>10.285714285714199</v>
      </c>
      <c r="D58" s="62">
        <f ca="1">IFERROR(__xludf.DUMMYFUNCTION("""COMPUTED_VALUE"""),79.8571428571428)</f>
        <v>79.857142857142804</v>
      </c>
      <c r="E58" s="62">
        <f ca="1">IFERROR(__xludf.DUMMYFUNCTION("""COMPUTED_VALUE"""),872.714285714285)</f>
        <v>872.71428571428498</v>
      </c>
      <c r="F58" s="21">
        <f ca="1">IFERROR(__xludf.DUMMYFUNCTION("""COMPUTED_VALUE"""),1891)</f>
        <v>1891</v>
      </c>
      <c r="G58" s="21">
        <f ca="1">IFERROR(__xludf.DUMMYFUNCTION("""COMPUTED_VALUE"""),20410)</f>
        <v>20410</v>
      </c>
      <c r="H58" s="63">
        <f ca="1">IFERROR(__xludf.DUMMYFUNCTION("""COMPUTED_VALUE"""),34.4285714285714)</f>
        <v>34.428571428571402</v>
      </c>
      <c r="I58" s="63">
        <f ca="1">IFERROR(__xludf.DUMMYFUNCTION("""COMPUTED_VALUE"""),185.714285714285)</f>
        <v>185.71428571428501</v>
      </c>
      <c r="J58" s="57">
        <f ca="1">IFERROR(__xludf.DUMMYFUNCTION("""COMPUTED_VALUE"""),244.285714285714)</f>
        <v>244.28571428571399</v>
      </c>
      <c r="K58" s="57">
        <f ca="1">IFERROR(__xludf.DUMMYFUNCTION("""COMPUTED_VALUE"""),8640.28571428571)</f>
        <v>8640.2857142857101</v>
      </c>
      <c r="L58">
        <f ca="1">IFERROR(__xludf.DUMMYFUNCTION("""COMPUTED_VALUE"""),221002)</f>
        <v>221002</v>
      </c>
      <c r="M58" s="58">
        <f ca="1">IFERROR(__xludf.DUMMYFUNCTION("""COMPUTED_VALUE"""),3756.42857142857)</f>
        <v>3756.4285714285702</v>
      </c>
      <c r="N58" s="57">
        <f ca="1">IFERROR(__xludf.DUMMYFUNCTION("""COMPUTED_VALUE"""),8.42857142857142)</f>
        <v>8.4285714285714199</v>
      </c>
      <c r="O58" s="57">
        <f ca="1">IFERROR(__xludf.DUMMYFUNCTION("""COMPUTED_VALUE"""),516.428571428571)</f>
        <v>516.42857142857099</v>
      </c>
      <c r="P58">
        <f ca="1">IFERROR(__xludf.DUMMYFUNCTION("""COMPUTED_VALUE"""),7909)</f>
        <v>7909</v>
      </c>
      <c r="Q58" s="58">
        <f ca="1">IFERROR(__xludf.DUMMYFUNCTION("""COMPUTED_VALUE"""),510)</f>
        <v>510</v>
      </c>
      <c r="R58" s="13">
        <f ca="1">IFERROR(__xludf.DUMMYFUNCTION("""COMPUTED_VALUE"""),0.0327428571428571)</f>
        <v>3.2742857142857101E-2</v>
      </c>
      <c r="S58" s="13">
        <f ca="1">IFERROR(__xludf.DUMMYFUNCTION("""COMPUTED_VALUE"""),0.0897428571428571)</f>
        <v>8.9742857142857096E-2</v>
      </c>
      <c r="T58" s="13">
        <f ca="1">IFERROR(__xludf.DUMMYFUNCTION("""COMPUTED_VALUE"""),0.254794990163636)</f>
        <v>0.25479499016363599</v>
      </c>
      <c r="U58" s="13">
        <f ca="1">IFERROR(__xludf.DUMMYFUNCTION("""COMPUTED_VALUE"""),0.040554209226387)</f>
        <v>4.0554209226387E-2</v>
      </c>
      <c r="V58">
        <f ca="1">IFERROR(__xludf.DUMMYFUNCTION("""COMPUTED_VALUE"""),983)</f>
        <v>983</v>
      </c>
      <c r="W58">
        <f ca="1">IFERROR(__xludf.DUMMYFUNCTION("""COMPUTED_VALUE"""),757)</f>
        <v>757</v>
      </c>
      <c r="X58">
        <f ca="1">IFERROR(__xludf.DUMMYFUNCTION("""COMPUTED_VALUE"""),12291)</f>
        <v>12291</v>
      </c>
      <c r="Y58">
        <f ca="1">IFERROR(__xludf.DUMMYFUNCTION("""COMPUTED_VALUE"""),560)</f>
        <v>560</v>
      </c>
      <c r="Z58">
        <f ca="1">IFERROR(__xludf.DUMMYFUNCTION("""COMPUTED_VALUE"""),50)</f>
        <v>50</v>
      </c>
      <c r="AA58">
        <f ca="1">IFERROR(__xludf.DUMMYFUNCTION("""COMPUTED_VALUE"""),52)</f>
        <v>52</v>
      </c>
      <c r="AB58">
        <f ca="1">IFERROR(__xludf.DUMMYFUNCTION("""COMPUTED_VALUE"""),1497)</f>
        <v>1497</v>
      </c>
      <c r="AC58">
        <f ca="1">IFERROR(__xludf.DUMMYFUNCTION("""COMPUTED_VALUE"""),87)</f>
        <v>87</v>
      </c>
      <c r="AD58" s="57">
        <f ca="1">IFERROR(__xludf.DUMMYFUNCTION("""COMPUTED_VALUE"""),81.7142857142857)</f>
        <v>81.714285714285694</v>
      </c>
      <c r="AE58" s="57">
        <f ca="1">IFERROR(__xludf.DUMMYFUNCTION("""COMPUTED_VALUE"""),3422.28571428571)</f>
        <v>3422.2857142857101</v>
      </c>
      <c r="AF58">
        <f ca="1">IFERROR(__xludf.DUMMYFUNCTION("""COMPUTED_VALUE"""),142902)</f>
        <v>142902</v>
      </c>
      <c r="AG58" s="58">
        <f ca="1">IFERROR(__xludf.DUMMYFUNCTION("""COMPUTED_VALUE"""),8458.85714285714)</f>
        <v>8458.8571428571395</v>
      </c>
      <c r="AH58" s="13">
        <f ca="1">IFERROR(__xludf.DUMMYFUNCTION("""COMPUTED_VALUE"""),0.267604609076583)</f>
        <v>0.26760460907658301</v>
      </c>
      <c r="AI58">
        <f ca="1">IFERROR(__xludf.DUMMYFUNCTION("""COMPUTED_VALUE"""),3313)</f>
        <v>3313</v>
      </c>
      <c r="AJ58">
        <f ca="1">IFERROR(__xludf.DUMMYFUNCTION("""COMPUTED_VALUE"""),133)</f>
        <v>133</v>
      </c>
    </row>
    <row r="59" spans="1:36" ht="15.75" customHeight="1">
      <c r="A59">
        <f t="shared" ca="1" si="0"/>
        <v>58</v>
      </c>
      <c r="B59" s="62">
        <f ca="1">IFERROR(__xludf.DUMMYFUNCTION("""COMPUTED_VALUE"""),10.4285714285714)</f>
        <v>10.4285714285714</v>
      </c>
      <c r="C59" s="62">
        <f ca="1">IFERROR(__xludf.DUMMYFUNCTION("""COMPUTED_VALUE"""),11.4285714285714)</f>
        <v>11.4285714285714</v>
      </c>
      <c r="D59" s="62">
        <f ca="1">IFERROR(__xludf.DUMMYFUNCTION("""COMPUTED_VALUE"""),70.1428571428571)</f>
        <v>70.142857142857096</v>
      </c>
      <c r="E59" s="62">
        <f ca="1">IFERROR(__xludf.DUMMYFUNCTION("""COMPUTED_VALUE"""),929.142857142857)</f>
        <v>929.142857142857</v>
      </c>
      <c r="F59" s="21">
        <f ca="1">IFERROR(__xludf.DUMMYFUNCTION("""COMPUTED_VALUE"""),1882)</f>
        <v>1882</v>
      </c>
      <c r="G59" s="21">
        <f ca="1">IFERROR(__xludf.DUMMYFUNCTION("""COMPUTED_VALUE"""),21484)</f>
        <v>21484</v>
      </c>
      <c r="H59" s="63">
        <f ca="1">IFERROR(__xludf.DUMMYFUNCTION("""COMPUTED_VALUE"""),27.2857142857142)</f>
        <v>27.285714285714199</v>
      </c>
      <c r="I59" s="63">
        <f ca="1">IFERROR(__xludf.DUMMYFUNCTION("""COMPUTED_VALUE"""),200.571428571428)</f>
        <v>200.57142857142799</v>
      </c>
      <c r="J59" s="57">
        <f ca="1">IFERROR(__xludf.DUMMYFUNCTION("""COMPUTED_VALUE"""),247.428571428571)</f>
        <v>247.42857142857099</v>
      </c>
      <c r="K59" s="57">
        <f ca="1">IFERROR(__xludf.DUMMYFUNCTION("""COMPUTED_VALUE"""),8515.71428571428)</f>
        <v>8515.7142857142808</v>
      </c>
      <c r="L59">
        <f ca="1">IFERROR(__xludf.DUMMYFUNCTION("""COMPUTED_VALUE"""),222234)</f>
        <v>222234</v>
      </c>
      <c r="M59" s="58">
        <f ca="1">IFERROR(__xludf.DUMMYFUNCTION("""COMPUTED_VALUE"""),3541.14285714285)</f>
        <v>3541.1428571428501</v>
      </c>
      <c r="N59" s="57">
        <f ca="1">IFERROR(__xludf.DUMMYFUNCTION("""COMPUTED_VALUE"""),9.57142857142857)</f>
        <v>9.5714285714285694</v>
      </c>
      <c r="O59" s="57">
        <f ca="1">IFERROR(__xludf.DUMMYFUNCTION("""COMPUTED_VALUE"""),520.571428571428)</f>
        <v>520.57142857142799</v>
      </c>
      <c r="P59">
        <f ca="1">IFERROR(__xludf.DUMMYFUNCTION("""COMPUTED_VALUE"""),8041)</f>
        <v>8041</v>
      </c>
      <c r="Q59" s="58">
        <f ca="1">IFERROR(__xludf.DUMMYFUNCTION("""COMPUTED_VALUE"""),438.285714285714)</f>
        <v>438.28571428571399</v>
      </c>
      <c r="R59" s="13">
        <f ca="1">IFERROR(__xludf.DUMMYFUNCTION("""COMPUTED_VALUE"""),0.0291571428571428)</f>
        <v>2.9157142857142802E-2</v>
      </c>
      <c r="S59" s="13">
        <f ca="1">IFERROR(__xludf.DUMMYFUNCTION("""COMPUTED_VALUE"""),0.0930714285714285)</f>
        <v>9.3071428571428499E-2</v>
      </c>
      <c r="T59" s="13">
        <f ca="1">IFERROR(__xludf.DUMMYFUNCTION("""COMPUTED_VALUE"""),0.249858367165658)</f>
        <v>0.24985836716565801</v>
      </c>
      <c r="U59" s="13">
        <f ca="1">IFERROR(__xludf.DUMMYFUNCTION("""COMPUTED_VALUE"""),0.0407440581117577)</f>
        <v>4.07440581117577E-2</v>
      </c>
      <c r="V59">
        <f ca="1">IFERROR(__xludf.DUMMYFUNCTION("""COMPUTED_VALUE"""),998)</f>
        <v>998</v>
      </c>
      <c r="W59">
        <f ca="1">IFERROR(__xludf.DUMMYFUNCTION("""COMPUTED_VALUE"""),740)</f>
        <v>740</v>
      </c>
      <c r="X59">
        <f ca="1">IFERROR(__xludf.DUMMYFUNCTION("""COMPUTED_VALUE"""),12553)</f>
        <v>12553</v>
      </c>
      <c r="Y59">
        <f ca="1">IFERROR(__xludf.DUMMYFUNCTION("""COMPUTED_VALUE"""),585)</f>
        <v>585</v>
      </c>
      <c r="Z59">
        <f ca="1">IFERROR(__xludf.DUMMYFUNCTION("""COMPUTED_VALUE"""),54)</f>
        <v>54</v>
      </c>
      <c r="AA59">
        <f ca="1">IFERROR(__xludf.DUMMYFUNCTION("""COMPUTED_VALUE"""),47)</f>
        <v>47</v>
      </c>
      <c r="AB59">
        <f ca="1">IFERROR(__xludf.DUMMYFUNCTION("""COMPUTED_VALUE"""),1529)</f>
        <v>1529</v>
      </c>
      <c r="AC59">
        <f ca="1">IFERROR(__xludf.DUMMYFUNCTION("""COMPUTED_VALUE"""),86)</f>
        <v>86</v>
      </c>
      <c r="AD59" s="57">
        <f ca="1">IFERROR(__xludf.DUMMYFUNCTION("""COMPUTED_VALUE"""),78.1428571428571)</f>
        <v>78.142857142857096</v>
      </c>
      <c r="AE59" s="57">
        <f ca="1">IFERROR(__xludf.DUMMYFUNCTION("""COMPUTED_VALUE"""),3186.57142857142)</f>
        <v>3186.5714285714198</v>
      </c>
      <c r="AF59">
        <f ca="1">IFERROR(__xludf.DUMMYFUNCTION("""COMPUTED_VALUE"""),142456)</f>
        <v>142456</v>
      </c>
      <c r="AG59" s="58">
        <f ca="1">IFERROR(__xludf.DUMMYFUNCTION("""COMPUTED_VALUE"""),7585.85714285714)</f>
        <v>7585.8571428571404</v>
      </c>
      <c r="AH59" s="13">
        <f ca="1">IFERROR(__xludf.DUMMYFUNCTION("""COMPUTED_VALUE"""),0.265093507791023)</f>
        <v>0.26509350779102298</v>
      </c>
      <c r="AI59">
        <f ca="1">IFERROR(__xludf.DUMMYFUNCTION("""COMPUTED_VALUE"""),3120)</f>
        <v>3120</v>
      </c>
      <c r="AJ59">
        <f ca="1">IFERROR(__xludf.DUMMYFUNCTION("""COMPUTED_VALUE"""),126)</f>
        <v>126</v>
      </c>
    </row>
    <row r="60" spans="1:36" ht="15.75" customHeight="1">
      <c r="A60">
        <f t="shared" ca="1" si="0"/>
        <v>59</v>
      </c>
      <c r="B60" s="62">
        <f ca="1">IFERROR(__xludf.DUMMYFUNCTION("""COMPUTED_VALUE"""),10.4285714285714)</f>
        <v>10.4285714285714</v>
      </c>
      <c r="C60" s="62">
        <f ca="1">IFERROR(__xludf.DUMMYFUNCTION("""COMPUTED_VALUE"""),11.7142857142857)</f>
        <v>11.714285714285699</v>
      </c>
      <c r="D60" s="62">
        <f ca="1">IFERROR(__xludf.DUMMYFUNCTION("""COMPUTED_VALUE"""),68.5714285714285)</f>
        <v>68.571428571428498</v>
      </c>
      <c r="E60" s="62">
        <f ca="1">IFERROR(__xludf.DUMMYFUNCTION("""COMPUTED_VALUE"""),948.571428571428)</f>
        <v>948.57142857142799</v>
      </c>
      <c r="F60" s="21">
        <f ca="1">IFERROR(__xludf.DUMMYFUNCTION("""COMPUTED_VALUE"""),1931)</f>
        <v>1931</v>
      </c>
      <c r="G60" s="21">
        <f ca="1">IFERROR(__xludf.DUMMYFUNCTION("""COMPUTED_VALUE"""),22081)</f>
        <v>22081</v>
      </c>
      <c r="H60" s="63">
        <f ca="1">IFERROR(__xludf.DUMMYFUNCTION("""COMPUTED_VALUE"""),29.7142857142857)</f>
        <v>29.714285714285701</v>
      </c>
      <c r="I60" s="63">
        <f ca="1">IFERROR(__xludf.DUMMYFUNCTION("""COMPUTED_VALUE"""),246.428571428571)</f>
        <v>246.42857142857099</v>
      </c>
      <c r="J60" s="57">
        <f ca="1">IFERROR(__xludf.DUMMYFUNCTION("""COMPUTED_VALUE"""),255)</f>
        <v>255</v>
      </c>
      <c r="K60" s="57">
        <f ca="1">IFERROR(__xludf.DUMMYFUNCTION("""COMPUTED_VALUE"""),8389)</f>
        <v>8389</v>
      </c>
      <c r="L60">
        <f ca="1">IFERROR(__xludf.DUMMYFUNCTION("""COMPUTED_VALUE"""),224761)</f>
        <v>224761</v>
      </c>
      <c r="M60" s="58">
        <f ca="1">IFERROR(__xludf.DUMMYFUNCTION("""COMPUTED_VALUE"""),3589.71428571428)</f>
        <v>3589.7142857142799</v>
      </c>
      <c r="N60" s="57">
        <f ca="1">IFERROR(__xludf.DUMMYFUNCTION("""COMPUTED_VALUE"""),9.71428571428571)</f>
        <v>9.71428571428571</v>
      </c>
      <c r="O60" s="57">
        <f ca="1">IFERROR(__xludf.DUMMYFUNCTION("""COMPUTED_VALUE"""),532.428571428571)</f>
        <v>532.42857142857099</v>
      </c>
      <c r="P60">
        <f ca="1">IFERROR(__xludf.DUMMYFUNCTION("""COMPUTED_VALUE"""),8316)</f>
        <v>8316</v>
      </c>
      <c r="Q60" s="58">
        <f ca="1">IFERROR(__xludf.DUMMYFUNCTION("""COMPUTED_VALUE"""),384.428571428571)</f>
        <v>384.42857142857099</v>
      </c>
      <c r="R60" s="13">
        <f ca="1">IFERROR(__xludf.DUMMYFUNCTION("""COMPUTED_VALUE"""),0.0279285714285714)</f>
        <v>2.79285714285714E-2</v>
      </c>
      <c r="S60" s="13">
        <f ca="1">IFERROR(__xludf.DUMMYFUNCTION("""COMPUTED_VALUE"""),0.0954428571428571)</f>
        <v>9.5442857142857093E-2</v>
      </c>
      <c r="T60" s="13">
        <f ca="1">IFERROR(__xludf.DUMMYFUNCTION("""COMPUTED_VALUE"""),0.246547902888026)</f>
        <v>0.246547902888026</v>
      </c>
      <c r="U60" s="13">
        <f ca="1">IFERROR(__xludf.DUMMYFUNCTION("""COMPUTED_VALUE"""),0.04275601027383)</f>
        <v>4.2756010273829997E-2</v>
      </c>
      <c r="V60">
        <f ca="1">IFERROR(__xludf.DUMMYFUNCTION("""COMPUTED_VALUE"""),983)</f>
        <v>983</v>
      </c>
      <c r="W60">
        <f ca="1">IFERROR(__xludf.DUMMYFUNCTION("""COMPUTED_VALUE"""),704)</f>
        <v>704</v>
      </c>
      <c r="X60">
        <f ca="1">IFERROR(__xludf.DUMMYFUNCTION("""COMPUTED_VALUE"""),12346)</f>
        <v>12346</v>
      </c>
      <c r="Y60">
        <f ca="1">IFERROR(__xludf.DUMMYFUNCTION("""COMPUTED_VALUE"""),574)</f>
        <v>574</v>
      </c>
      <c r="Z60">
        <f ca="1">IFERROR(__xludf.DUMMYFUNCTION("""COMPUTED_VALUE"""),49)</f>
        <v>49</v>
      </c>
      <c r="AA60">
        <f ca="1">IFERROR(__xludf.DUMMYFUNCTION("""COMPUTED_VALUE"""),43)</f>
        <v>43</v>
      </c>
      <c r="AB60">
        <f ca="1">IFERROR(__xludf.DUMMYFUNCTION("""COMPUTED_VALUE"""),1492)</f>
        <v>1492</v>
      </c>
      <c r="AC60">
        <f ca="1">IFERROR(__xludf.DUMMYFUNCTION("""COMPUTED_VALUE"""),79)</f>
        <v>79</v>
      </c>
      <c r="AD60" s="57">
        <f ca="1">IFERROR(__xludf.DUMMYFUNCTION("""COMPUTED_VALUE"""),76.2857142857142)</f>
        <v>76.285714285714207</v>
      </c>
      <c r="AE60" s="57">
        <f ca="1">IFERROR(__xludf.DUMMYFUNCTION("""COMPUTED_VALUE"""),2981.71428571428)</f>
        <v>2981.7142857142799</v>
      </c>
      <c r="AF60">
        <f ca="1">IFERROR(__xludf.DUMMYFUNCTION("""COMPUTED_VALUE"""),137186)</f>
        <v>137186</v>
      </c>
      <c r="AG60" s="58">
        <f ca="1">IFERROR(__xludf.DUMMYFUNCTION("""COMPUTED_VALUE"""),7437.85714285714)</f>
        <v>7437.8571428571404</v>
      </c>
      <c r="AH60" s="13">
        <f ca="1">IFERROR(__xludf.DUMMYFUNCTION("""COMPUTED_VALUE"""),0.259422725291102)</f>
        <v>0.259422725291102</v>
      </c>
      <c r="AI60">
        <f ca="1">IFERROR(__xludf.DUMMYFUNCTION("""COMPUTED_VALUE"""),2961)</f>
        <v>2961</v>
      </c>
      <c r="AJ60">
        <f ca="1">IFERROR(__xludf.DUMMYFUNCTION("""COMPUTED_VALUE"""),127)</f>
        <v>127</v>
      </c>
    </row>
    <row r="61" spans="1:36" ht="15.75" customHeight="1">
      <c r="A61">
        <f t="shared" ca="1" si="0"/>
        <v>60</v>
      </c>
      <c r="B61" s="62">
        <f ca="1">IFERROR(__xludf.DUMMYFUNCTION("""COMPUTED_VALUE"""),10.4285714285714)</f>
        <v>10.4285714285714</v>
      </c>
      <c r="C61" s="62">
        <f ca="1">IFERROR(__xludf.DUMMYFUNCTION("""COMPUTED_VALUE"""),12.2857142857142)</f>
        <v>12.285714285714199</v>
      </c>
      <c r="D61" s="62">
        <f ca="1">IFERROR(__xludf.DUMMYFUNCTION("""COMPUTED_VALUE"""),71.2857142857142)</f>
        <v>71.285714285714207</v>
      </c>
      <c r="E61" s="62">
        <f ca="1">IFERROR(__xludf.DUMMYFUNCTION("""COMPUTED_VALUE"""),937.285714285714)</f>
        <v>937.28571428571399</v>
      </c>
      <c r="F61" s="21">
        <f ca="1">IFERROR(__xludf.DUMMYFUNCTION("""COMPUTED_VALUE"""),1982)</f>
        <v>1982</v>
      </c>
      <c r="G61" s="21">
        <f ca="1">IFERROR(__xludf.DUMMYFUNCTION("""COMPUTED_VALUE"""),22283)</f>
        <v>22283</v>
      </c>
      <c r="H61" s="63">
        <f ca="1">IFERROR(__xludf.DUMMYFUNCTION("""COMPUTED_VALUE"""),23.8571428571428)</f>
        <v>23.857142857142801</v>
      </c>
      <c r="I61" s="63">
        <f ca="1">IFERROR(__xludf.DUMMYFUNCTION("""COMPUTED_VALUE"""),332.714285714285)</f>
        <v>332.71428571428498</v>
      </c>
      <c r="J61" s="57">
        <f ca="1">IFERROR(__xludf.DUMMYFUNCTION("""COMPUTED_VALUE"""),253)</f>
        <v>253</v>
      </c>
      <c r="K61" s="57">
        <f ca="1">IFERROR(__xludf.DUMMYFUNCTION("""COMPUTED_VALUE"""),8339.14285714285)</f>
        <v>8339.1428571428496</v>
      </c>
      <c r="L61">
        <f ca="1">IFERROR(__xludf.DUMMYFUNCTION("""COMPUTED_VALUE"""),230161)</f>
        <v>230161</v>
      </c>
      <c r="M61" s="58">
        <f ca="1">IFERROR(__xludf.DUMMYFUNCTION("""COMPUTED_VALUE"""),3285)</f>
        <v>3285</v>
      </c>
      <c r="N61" s="57">
        <f ca="1">IFERROR(__xludf.DUMMYFUNCTION("""COMPUTED_VALUE"""),9.85714285714285)</f>
        <v>9.8571428571428505</v>
      </c>
      <c r="O61" s="57">
        <f ca="1">IFERROR(__xludf.DUMMYFUNCTION("""COMPUTED_VALUE"""),561.571428571428)</f>
        <v>561.57142857142799</v>
      </c>
      <c r="P61">
        <f ca="1">IFERROR(__xludf.DUMMYFUNCTION("""COMPUTED_VALUE"""),8722)</f>
        <v>8722</v>
      </c>
      <c r="Q61" s="58">
        <f ca="1">IFERROR(__xludf.DUMMYFUNCTION("""COMPUTED_VALUE"""),366.428571428571)</f>
        <v>366.42857142857099</v>
      </c>
      <c r="R61" s="13">
        <f ca="1">IFERROR(__xludf.DUMMYFUNCTION("""COMPUTED_VALUE"""),0.0280714285714285)</f>
        <v>2.8071428571428501E-2</v>
      </c>
      <c r="S61" s="13">
        <f ca="1">IFERROR(__xludf.DUMMYFUNCTION("""COMPUTED_VALUE"""),0.0975571428571428)</f>
        <v>9.7557142857142801E-2</v>
      </c>
      <c r="T61" s="13">
        <f ca="1">IFERROR(__xludf.DUMMYFUNCTION("""COMPUTED_VALUE"""),0.240483603862722)</f>
        <v>0.240483603862722</v>
      </c>
      <c r="U61" s="13">
        <f ca="1">IFERROR(__xludf.DUMMYFUNCTION("""COMPUTED_VALUE"""),0.046180050359624)</f>
        <v>4.6180050359623998E-2</v>
      </c>
      <c r="V61">
        <f ca="1">IFERROR(__xludf.DUMMYFUNCTION("""COMPUTED_VALUE"""),1008)</f>
        <v>1008</v>
      </c>
      <c r="W61">
        <f ca="1">IFERROR(__xludf.DUMMYFUNCTION("""COMPUTED_VALUE"""),685)</f>
        <v>685</v>
      </c>
      <c r="X61">
        <f ca="1">IFERROR(__xludf.DUMMYFUNCTION("""COMPUTED_VALUE"""),12062)</f>
        <v>12062</v>
      </c>
      <c r="Y61">
        <f ca="1">IFERROR(__xludf.DUMMYFUNCTION("""COMPUTED_VALUE"""),627)</f>
        <v>627</v>
      </c>
      <c r="Z61">
        <f ca="1">IFERROR(__xludf.DUMMYFUNCTION("""COMPUTED_VALUE"""),52)</f>
        <v>52</v>
      </c>
      <c r="AA61">
        <f ca="1">IFERROR(__xludf.DUMMYFUNCTION("""COMPUTED_VALUE"""),42)</f>
        <v>42</v>
      </c>
      <c r="AB61">
        <f ca="1">IFERROR(__xludf.DUMMYFUNCTION("""COMPUTED_VALUE"""),1512)</f>
        <v>1512</v>
      </c>
      <c r="AC61">
        <f ca="1">IFERROR(__xludf.DUMMYFUNCTION("""COMPUTED_VALUE"""),92)</f>
        <v>92</v>
      </c>
    </row>
    <row r="62" spans="1:36" ht="15.75" customHeight="1">
      <c r="A62">
        <f t="shared" ca="1" si="0"/>
        <v>61</v>
      </c>
      <c r="B62" s="62">
        <f ca="1">IFERROR(__xludf.DUMMYFUNCTION("""COMPUTED_VALUE"""),9.71428571428571)</f>
        <v>9.71428571428571</v>
      </c>
      <c r="C62" s="62">
        <f ca="1">IFERROR(__xludf.DUMMYFUNCTION("""COMPUTED_VALUE"""),12)</f>
        <v>12</v>
      </c>
      <c r="D62" s="62">
        <f ca="1">IFERROR(__xludf.DUMMYFUNCTION("""COMPUTED_VALUE"""),71.1428571428571)</f>
        <v>71.142857142857096</v>
      </c>
      <c r="E62" s="62">
        <f ca="1">IFERROR(__xludf.DUMMYFUNCTION("""COMPUTED_VALUE"""),966.285714285714)</f>
        <v>966.28571428571399</v>
      </c>
      <c r="F62" s="21">
        <f ca="1">IFERROR(__xludf.DUMMYFUNCTION("""COMPUTED_VALUE"""),2029)</f>
        <v>2029</v>
      </c>
      <c r="G62" s="21">
        <f ca="1">IFERROR(__xludf.DUMMYFUNCTION("""COMPUTED_VALUE"""),22482)</f>
        <v>22482</v>
      </c>
      <c r="H62" s="63">
        <f ca="1">IFERROR(__xludf.DUMMYFUNCTION("""COMPUTED_VALUE"""),20.5714285714285)</f>
        <v>20.571428571428498</v>
      </c>
      <c r="I62" s="63">
        <f ca="1">IFERROR(__xludf.DUMMYFUNCTION("""COMPUTED_VALUE"""),430.428571428571)</f>
        <v>430.42857142857099</v>
      </c>
      <c r="J62" s="57">
        <f ca="1">IFERROR(__xludf.DUMMYFUNCTION("""COMPUTED_VALUE"""),251.857142857142)</f>
        <v>251.85714285714201</v>
      </c>
      <c r="K62" s="57">
        <f ca="1">IFERROR(__xludf.DUMMYFUNCTION("""COMPUTED_VALUE"""),8023.42857142857)</f>
        <v>8023.4285714285697</v>
      </c>
      <c r="L62">
        <f ca="1">IFERROR(__xludf.DUMMYFUNCTION("""COMPUTED_VALUE"""),236144)</f>
        <v>236144</v>
      </c>
      <c r="M62" s="58">
        <f ca="1">IFERROR(__xludf.DUMMYFUNCTION("""COMPUTED_VALUE"""),3008)</f>
        <v>3008</v>
      </c>
      <c r="N62" s="57">
        <f ca="1">IFERROR(__xludf.DUMMYFUNCTION("""COMPUTED_VALUE"""),10.8571428571428)</f>
        <v>10.857142857142801</v>
      </c>
      <c r="O62" s="57">
        <f ca="1">IFERROR(__xludf.DUMMYFUNCTION("""COMPUTED_VALUE"""),575.142857142857)</f>
        <v>575.142857142857</v>
      </c>
      <c r="P62">
        <f ca="1">IFERROR(__xludf.DUMMYFUNCTION("""COMPUTED_VALUE"""),9121)</f>
        <v>9121</v>
      </c>
      <c r="Q62" s="58">
        <f ca="1">IFERROR(__xludf.DUMMYFUNCTION("""COMPUTED_VALUE"""),338.285714285714)</f>
        <v>338.28571428571399</v>
      </c>
      <c r="R62" s="13">
        <f ca="1">IFERROR(__xludf.DUMMYFUNCTION("""COMPUTED_VALUE"""),0.0283142857142857)</f>
        <v>2.8314285714285702E-2</v>
      </c>
      <c r="S62" s="13">
        <f ca="1">IFERROR(__xludf.DUMMYFUNCTION("""COMPUTED_VALUE"""),0.103485714285714)</f>
        <v>0.103485714285714</v>
      </c>
      <c r="T62" s="13">
        <f ca="1">IFERROR(__xludf.DUMMYFUNCTION("""COMPUTED_VALUE"""),0.23288896454844)</f>
        <v>0.23288896454843999</v>
      </c>
      <c r="U62" s="13">
        <f ca="1">IFERROR(__xludf.DUMMYFUNCTION("""COMPUTED_VALUE"""),0.0470673012622332)</f>
        <v>4.7067301262233199E-2</v>
      </c>
      <c r="V62">
        <f ca="1">IFERROR(__xludf.DUMMYFUNCTION("""COMPUTED_VALUE"""),1005)</f>
        <v>1005</v>
      </c>
      <c r="W62">
        <f ca="1">IFERROR(__xludf.DUMMYFUNCTION("""COMPUTED_VALUE"""),649)</f>
        <v>649</v>
      </c>
      <c r="X62">
        <f ca="1">IFERROR(__xludf.DUMMYFUNCTION("""COMPUTED_VALUE"""),11747)</f>
        <v>11747</v>
      </c>
      <c r="Y62">
        <f ca="1">IFERROR(__xludf.DUMMYFUNCTION("""COMPUTED_VALUE"""),650)</f>
        <v>650</v>
      </c>
      <c r="Z62">
        <f ca="1">IFERROR(__xludf.DUMMYFUNCTION("""COMPUTED_VALUE"""),51)</f>
        <v>51</v>
      </c>
      <c r="AA62">
        <f ca="1">IFERROR(__xludf.DUMMYFUNCTION("""COMPUTED_VALUE"""),40)</f>
        <v>40</v>
      </c>
      <c r="AB62">
        <f ca="1">IFERROR(__xludf.DUMMYFUNCTION("""COMPUTED_VALUE"""),1467)</f>
        <v>1467</v>
      </c>
      <c r="AC62">
        <f ca="1">IFERROR(__xludf.DUMMYFUNCTION("""COMPUTED_VALUE"""),100)</f>
        <v>100</v>
      </c>
    </row>
    <row r="63" spans="1:36" ht="15.75" customHeight="1">
      <c r="A63">
        <f t="shared" ca="1" si="0"/>
        <v>62</v>
      </c>
      <c r="B63" s="62">
        <f ca="1">IFERROR(__xludf.DUMMYFUNCTION("""COMPUTED_VALUE"""),10.1428571428571)</f>
        <v>10.1428571428571</v>
      </c>
      <c r="C63" s="62">
        <f ca="1">IFERROR(__xludf.DUMMYFUNCTION("""COMPUTED_VALUE"""),13.7142857142857)</f>
        <v>13.714285714285699</v>
      </c>
      <c r="D63" s="62">
        <f ca="1">IFERROR(__xludf.DUMMYFUNCTION("""COMPUTED_VALUE"""),64.5714285714285)</f>
        <v>64.571428571428498</v>
      </c>
      <c r="E63" s="62">
        <f ca="1">IFERROR(__xludf.DUMMYFUNCTION("""COMPUTED_VALUE"""),961.571428571428)</f>
        <v>961.57142857142799</v>
      </c>
      <c r="F63" s="21">
        <f ca="1">IFERROR(__xludf.DUMMYFUNCTION("""COMPUTED_VALUE"""),2054)</f>
        <v>2054</v>
      </c>
      <c r="G63" s="21">
        <f ca="1">IFERROR(__xludf.DUMMYFUNCTION("""COMPUTED_VALUE"""),22722)</f>
        <v>22722</v>
      </c>
      <c r="H63" s="63">
        <f ca="1">IFERROR(__xludf.DUMMYFUNCTION("""COMPUTED_VALUE"""),18.8571428571428)</f>
        <v>18.857142857142801</v>
      </c>
      <c r="I63" s="63">
        <f ca="1">IFERROR(__xludf.DUMMYFUNCTION("""COMPUTED_VALUE"""),507.142857142857)</f>
        <v>507.142857142857</v>
      </c>
      <c r="J63" s="57">
        <f ca="1">IFERROR(__xludf.DUMMYFUNCTION("""COMPUTED_VALUE"""),250.285714285714)</f>
        <v>250.28571428571399</v>
      </c>
      <c r="K63" s="57">
        <f ca="1">IFERROR(__xludf.DUMMYFUNCTION("""COMPUTED_VALUE"""),7804.85714285714)</f>
        <v>7804.8571428571404</v>
      </c>
      <c r="L63">
        <f ca="1">IFERROR(__xludf.DUMMYFUNCTION("""COMPUTED_VALUE"""),242308)</f>
        <v>242308</v>
      </c>
      <c r="M63" s="58">
        <f ca="1">IFERROR(__xludf.DUMMYFUNCTION("""COMPUTED_VALUE"""),3086)</f>
        <v>3086</v>
      </c>
      <c r="R63" s="13">
        <f ca="1">IFERROR(__xludf.DUMMYFUNCTION("""COMPUTED_VALUE"""),0.0254285714285714)</f>
        <v>2.5428571428571401E-2</v>
      </c>
      <c r="S63" s="13">
        <f ca="1">IFERROR(__xludf.DUMMYFUNCTION("""COMPUTED_VALUE"""),0.106714285714285)</f>
        <v>0.106714285714285</v>
      </c>
      <c r="T63" s="13">
        <f ca="1">IFERROR(__xludf.DUMMYFUNCTION("""COMPUTED_VALUE"""),0.23247052560216)</f>
        <v>0.23247052560216</v>
      </c>
      <c r="V63">
        <f ca="1">IFERROR(__xludf.DUMMYFUNCTION("""COMPUTED_VALUE"""),1027)</f>
        <v>1027</v>
      </c>
      <c r="W63">
        <f ca="1">IFERROR(__xludf.DUMMYFUNCTION("""COMPUTED_VALUE"""),627)</f>
        <v>627</v>
      </c>
      <c r="X63">
        <f ca="1">IFERROR(__xludf.DUMMYFUNCTION("""COMPUTED_VALUE"""),11383)</f>
        <v>11383</v>
      </c>
      <c r="Z63">
        <f ca="1">IFERROR(__xludf.DUMMYFUNCTION("""COMPUTED_VALUE"""),55)</f>
        <v>55</v>
      </c>
      <c r="AA63">
        <f ca="1">IFERROR(__xludf.DUMMYFUNCTION("""COMPUTED_VALUE"""),37)</f>
        <v>37</v>
      </c>
      <c r="AB63">
        <f ca="1">IFERROR(__xludf.DUMMYFUNCTION("""COMPUTED_VALUE"""),1437)</f>
        <v>1437</v>
      </c>
      <c r="AD63" s="57">
        <f ca="1">IFERROR(__xludf.DUMMYFUNCTION("""COMPUTED_VALUE"""),69.5714285714285)</f>
        <v>69.571428571428498</v>
      </c>
      <c r="AE63" s="57">
        <f ca="1">IFERROR(__xludf.DUMMYFUNCTION("""COMPUTED_VALUE"""),2622)</f>
        <v>2622</v>
      </c>
      <c r="AF63">
        <f ca="1">IFERROR(__xludf.DUMMYFUNCTION("""COMPUTED_VALUE"""),129137)</f>
        <v>129137</v>
      </c>
      <c r="AG63" s="58">
        <f ca="1">IFERROR(__xludf.DUMMYFUNCTION("""COMPUTED_VALUE"""),6211.71428571428)</f>
        <v>6211.7142857142799</v>
      </c>
      <c r="AH63" s="13">
        <f ca="1">IFERROR(__xludf.DUMMYFUNCTION("""COMPUTED_VALUE"""),0.254535332293907)</f>
        <v>0.25453533229390701</v>
      </c>
      <c r="AI63">
        <f ca="1">IFERROR(__xludf.DUMMYFUNCTION("""COMPUTED_VALUE"""),2745)</f>
        <v>2745</v>
      </c>
      <c r="AJ63">
        <f ca="1">IFERROR(__xludf.DUMMYFUNCTION("""COMPUTED_VALUE"""),117)</f>
        <v>117</v>
      </c>
    </row>
    <row r="64" spans="1:36" ht="13">
      <c r="A64">
        <f t="shared" ca="1" si="0"/>
        <v>63</v>
      </c>
      <c r="B64" s="62">
        <f ca="1">IFERROR(__xludf.DUMMYFUNCTION("""COMPUTED_VALUE"""),10.2857142857142)</f>
        <v>10.285714285714199</v>
      </c>
      <c r="C64" s="62">
        <f ca="1">IFERROR(__xludf.DUMMYFUNCTION("""COMPUTED_VALUE"""),16)</f>
        <v>16</v>
      </c>
      <c r="D64" s="62">
        <f ca="1">IFERROR(__xludf.DUMMYFUNCTION("""COMPUTED_VALUE"""),59.4285714285714)</f>
        <v>59.428571428571402</v>
      </c>
      <c r="E64" s="62">
        <f ca="1">IFERROR(__xludf.DUMMYFUNCTION("""COMPUTED_VALUE"""),950.428571428571)</f>
        <v>950.42857142857099</v>
      </c>
      <c r="F64" s="21">
        <f ca="1">IFERROR(__xludf.DUMMYFUNCTION("""COMPUTED_VALUE"""),1993)</f>
        <v>1993</v>
      </c>
      <c r="G64" s="21">
        <f ca="1">IFERROR(__xludf.DUMMYFUNCTION("""COMPUTED_VALUE"""),23088)</f>
        <v>23088</v>
      </c>
      <c r="H64" s="63">
        <f ca="1">IFERROR(__xludf.DUMMYFUNCTION("""COMPUTED_VALUE"""),27.5714285714285)</f>
        <v>27.571428571428498</v>
      </c>
      <c r="I64" s="63">
        <f ca="1">IFERROR(__xludf.DUMMYFUNCTION("""COMPUTED_VALUE"""),465.571428571428)</f>
        <v>465.57142857142799</v>
      </c>
      <c r="J64" s="57">
        <f ca="1">IFERROR(__xludf.DUMMYFUNCTION("""COMPUTED_VALUE"""),249)</f>
        <v>249</v>
      </c>
      <c r="K64" s="57">
        <f ca="1">IFERROR(__xludf.DUMMYFUNCTION("""COMPUTED_VALUE"""),7445.42857142857)</f>
        <v>7445.4285714285697</v>
      </c>
      <c r="L64">
        <f ca="1">IFERROR(__xludf.DUMMYFUNCTION("""COMPUTED_VALUE"""),247292)</f>
        <v>247292</v>
      </c>
      <c r="M64" s="58">
        <f ca="1">IFERROR(__xludf.DUMMYFUNCTION("""COMPUTED_VALUE"""),3026)</f>
        <v>3026</v>
      </c>
      <c r="R64" s="13">
        <f ca="1">IFERROR(__xludf.DUMMYFUNCTION("""COMPUTED_VALUE"""),0.0220142857142857)</f>
        <v>2.2014285714285702E-2</v>
      </c>
      <c r="S64" s="13">
        <f ca="1">IFERROR(__xludf.DUMMYFUNCTION("""COMPUTED_VALUE"""),0.107256975412003)</f>
        <v>0.10725697541200301</v>
      </c>
      <c r="T64" s="13">
        <f ca="1">IFERROR(__xludf.DUMMYFUNCTION("""COMPUTED_VALUE"""),0.222811409343545)</f>
        <v>0.22281140934354501</v>
      </c>
      <c r="V64">
        <f ca="1">IFERROR(__xludf.DUMMYFUNCTION("""COMPUTED_VALUE"""),982)</f>
        <v>982</v>
      </c>
      <c r="W64">
        <f ca="1">IFERROR(__xludf.DUMMYFUNCTION("""COMPUTED_VALUE"""),656)</f>
        <v>656</v>
      </c>
      <c r="X64">
        <f ca="1">IFERROR(__xludf.DUMMYFUNCTION("""COMPUTED_VALUE"""),11571)</f>
        <v>11571</v>
      </c>
      <c r="Z64">
        <f ca="1">IFERROR(__xludf.DUMMYFUNCTION("""COMPUTED_VALUE"""),55)</f>
        <v>55</v>
      </c>
      <c r="AA64">
        <f ca="1">IFERROR(__xludf.DUMMYFUNCTION("""COMPUTED_VALUE"""),41)</f>
        <v>41</v>
      </c>
      <c r="AB64">
        <f ca="1">IFERROR(__xludf.DUMMYFUNCTION("""COMPUTED_VALUE"""),1440)</f>
        <v>1440</v>
      </c>
      <c r="AD64" s="57">
        <f ca="1">IFERROR(__xludf.DUMMYFUNCTION("""COMPUTED_VALUE"""),63.4285714285714)</f>
        <v>63.428571428571402</v>
      </c>
      <c r="AE64" s="57">
        <f ca="1">IFERROR(__xludf.DUMMYFUNCTION("""COMPUTED_VALUE"""),2529.14285714285)</f>
        <v>2529.1428571428501</v>
      </c>
      <c r="AF64">
        <f ca="1">IFERROR(__xludf.DUMMYFUNCTION("""COMPUTED_VALUE"""),126009)</f>
        <v>126009</v>
      </c>
      <c r="AG64" s="58">
        <f ca="1">IFERROR(__xludf.DUMMYFUNCTION("""COMPUTED_VALUE"""),5967.57142857142)</f>
        <v>5967.5714285714203</v>
      </c>
      <c r="AH64" s="13">
        <f ca="1">IFERROR(__xludf.DUMMYFUNCTION("""COMPUTED_VALUE"""),0.244097251941881)</f>
        <v>0.244097251941881</v>
      </c>
      <c r="AI64">
        <f ca="1">IFERROR(__xludf.DUMMYFUNCTION("""COMPUTED_VALUE"""),2766)</f>
        <v>2766</v>
      </c>
      <c r="AJ64">
        <f ca="1">IFERROR(__xludf.DUMMYFUNCTION("""COMPUTED_VALUE"""),114)</f>
        <v>114</v>
      </c>
    </row>
    <row r="65" spans="1:36" ht="13">
      <c r="A65">
        <f t="shared" ca="1" si="0"/>
        <v>64</v>
      </c>
      <c r="B65" s="62">
        <f ca="1">IFERROR(__xludf.DUMMYFUNCTION("""COMPUTED_VALUE"""),10.4285714285714)</f>
        <v>10.4285714285714</v>
      </c>
      <c r="C65" s="62">
        <f ca="1">IFERROR(__xludf.DUMMYFUNCTION("""COMPUTED_VALUE"""),16.7142857142857)</f>
        <v>16.714285714285701</v>
      </c>
      <c r="D65" s="62">
        <f ca="1">IFERROR(__xludf.DUMMYFUNCTION("""COMPUTED_VALUE"""),54.8571428571428)</f>
        <v>54.857142857142797</v>
      </c>
      <c r="E65" s="62">
        <f ca="1">IFERROR(__xludf.DUMMYFUNCTION("""COMPUTED_VALUE"""),962.428571428571)</f>
        <v>962.42857142857099</v>
      </c>
      <c r="F65" s="21">
        <f ca="1">IFERROR(__xludf.DUMMYFUNCTION("""COMPUTED_VALUE"""),1979)</f>
        <v>1979</v>
      </c>
      <c r="G65" s="21">
        <f ca="1">IFERROR(__xludf.DUMMYFUNCTION("""COMPUTED_VALUE"""),23961)</f>
        <v>23961</v>
      </c>
      <c r="H65" s="63">
        <f ca="1">IFERROR(__xludf.DUMMYFUNCTION("""COMPUTED_VALUE"""),31.8571428571428)</f>
        <v>31.857142857142801</v>
      </c>
      <c r="I65" s="63">
        <f ca="1">IFERROR(__xludf.DUMMYFUNCTION("""COMPUTED_VALUE"""),438.428571428571)</f>
        <v>438.42857142857099</v>
      </c>
      <c r="J65" s="57">
        <f ca="1">IFERROR(__xludf.DUMMYFUNCTION("""COMPUTED_VALUE"""),252.428571428571)</f>
        <v>252.42857142857099</v>
      </c>
      <c r="K65" s="57">
        <f ca="1">IFERROR(__xludf.DUMMYFUNCTION("""COMPUTED_VALUE"""),6961.28571428571)</f>
        <v>6961.2857142857101</v>
      </c>
      <c r="L65">
        <f ca="1">IFERROR(__xludf.DUMMYFUNCTION("""COMPUTED_VALUE"""),249841)</f>
        <v>249841</v>
      </c>
      <c r="M65" s="58">
        <f ca="1">IFERROR(__xludf.DUMMYFUNCTION("""COMPUTED_VALUE"""),2589)</f>
        <v>2589</v>
      </c>
      <c r="N65" s="57">
        <f ca="1">IFERROR(__xludf.DUMMYFUNCTION("""COMPUTED_VALUE"""),10.4285714285714)</f>
        <v>10.4285714285714</v>
      </c>
      <c r="O65" s="57">
        <f ca="1">IFERROR(__xludf.DUMMYFUNCTION("""COMPUTED_VALUE"""),654.285714285714)</f>
        <v>654.28571428571399</v>
      </c>
      <c r="P65">
        <f ca="1">IFERROR(__xludf.DUMMYFUNCTION("""COMPUTED_VALUE"""),10143)</f>
        <v>10143</v>
      </c>
      <c r="Q65" s="58">
        <f ca="1">IFERROR(__xludf.DUMMYFUNCTION("""COMPUTED_VALUE"""),324.714285714285)</f>
        <v>324.71428571428498</v>
      </c>
      <c r="R65" s="13">
        <f ca="1">IFERROR(__xludf.DUMMYFUNCTION("""COMPUTED_VALUE"""),0.0205285714285714)</f>
        <v>2.05285714285714E-2</v>
      </c>
      <c r="S65" s="13">
        <f ca="1">IFERROR(__xludf.DUMMYFUNCTION("""COMPUTED_VALUE"""),0.108758712830055)</f>
        <v>0.108758712830055</v>
      </c>
      <c r="T65" s="13">
        <f ca="1">IFERROR(__xludf.DUMMYFUNCTION("""COMPUTED_VALUE"""),0.22765544065816)</f>
        <v>0.22765544065816001</v>
      </c>
      <c r="U65" s="13">
        <f ca="1">IFERROR(__xludf.DUMMYFUNCTION("""COMPUTED_VALUE"""),0.048208931236904)</f>
        <v>4.8208931236904E-2</v>
      </c>
      <c r="V65">
        <f ca="1">IFERROR(__xludf.DUMMYFUNCTION("""COMPUTED_VALUE"""),964)</f>
        <v>964</v>
      </c>
      <c r="W65">
        <f ca="1">IFERROR(__xludf.DUMMYFUNCTION("""COMPUTED_VALUE"""),804)</f>
        <v>804</v>
      </c>
      <c r="X65">
        <f ca="1">IFERROR(__xludf.DUMMYFUNCTION("""COMPUTED_VALUE"""),11806)</f>
        <v>11806</v>
      </c>
      <c r="Y65">
        <f ca="1">IFERROR(__xludf.DUMMYFUNCTION("""COMPUTED_VALUE"""),715)</f>
        <v>715</v>
      </c>
      <c r="Z65">
        <f ca="1">IFERROR(__xludf.DUMMYFUNCTION("""COMPUTED_VALUE"""),50)</f>
        <v>50</v>
      </c>
      <c r="AA65">
        <f ca="1">IFERROR(__xludf.DUMMYFUNCTION("""COMPUTED_VALUE"""),56)</f>
        <v>56</v>
      </c>
      <c r="AB65">
        <f ca="1">IFERROR(__xludf.DUMMYFUNCTION("""COMPUTED_VALUE"""),1451)</f>
        <v>1451</v>
      </c>
      <c r="AC65">
        <f ca="1">IFERROR(__xludf.DUMMYFUNCTION("""COMPUTED_VALUE"""),109)</f>
        <v>109</v>
      </c>
      <c r="AD65" s="57">
        <f ca="1">IFERROR(__xludf.DUMMYFUNCTION("""COMPUTED_VALUE"""),59.2857142857142)</f>
        <v>59.285714285714199</v>
      </c>
      <c r="AE65" s="57">
        <f ca="1">IFERROR(__xludf.DUMMYFUNCTION("""COMPUTED_VALUE"""),2399.57142857142)</f>
        <v>2399.5714285714198</v>
      </c>
      <c r="AF65">
        <f ca="1">IFERROR(__xludf.DUMMYFUNCTION("""COMPUTED_VALUE"""),124112)</f>
        <v>124112</v>
      </c>
      <c r="AG65" s="58">
        <f ca="1">IFERROR(__xludf.DUMMYFUNCTION("""COMPUTED_VALUE"""),5024.57142857142)</f>
        <v>5024.5714285714203</v>
      </c>
      <c r="AH65" s="13">
        <f ca="1">IFERROR(__xludf.DUMMYFUNCTION("""COMPUTED_VALUE"""),0.230718736596943)</f>
        <v>0.230718736596943</v>
      </c>
      <c r="AI65">
        <f ca="1">IFERROR(__xludf.DUMMYFUNCTION("""COMPUTED_VALUE"""),2617)</f>
        <v>2617</v>
      </c>
      <c r="AJ65">
        <f ca="1">IFERROR(__xludf.DUMMYFUNCTION("""COMPUTED_VALUE"""),118)</f>
        <v>118</v>
      </c>
    </row>
    <row r="66" spans="1:36" ht="13">
      <c r="A66">
        <f t="shared" ca="1" si="0"/>
        <v>65</v>
      </c>
      <c r="B66" s="62">
        <f ca="1">IFERROR(__xludf.DUMMYFUNCTION("""COMPUTED_VALUE"""),10.1428571428571)</f>
        <v>10.1428571428571</v>
      </c>
      <c r="C66" s="62">
        <f ca="1">IFERROR(__xludf.DUMMYFUNCTION("""COMPUTED_VALUE"""),16.4285714285714)</f>
        <v>16.428571428571399</v>
      </c>
      <c r="D66" s="62">
        <f ca="1">IFERROR(__xludf.DUMMYFUNCTION("""COMPUTED_VALUE"""),53.5714285714285)</f>
        <v>53.571428571428498</v>
      </c>
      <c r="E66" s="62">
        <f ca="1">IFERROR(__xludf.DUMMYFUNCTION("""COMPUTED_VALUE"""),941.571428571428)</f>
        <v>941.57142857142799</v>
      </c>
      <c r="F66" s="21">
        <f ca="1">IFERROR(__xludf.DUMMYFUNCTION("""COMPUTED_VALUE"""),1966)</f>
        <v>1966</v>
      </c>
      <c r="G66" s="21">
        <f ca="1">IFERROR(__xludf.DUMMYFUNCTION("""COMPUTED_VALUE"""),25107)</f>
        <v>25107</v>
      </c>
      <c r="H66" s="63">
        <f ca="1">IFERROR(__xludf.DUMMYFUNCTION("""COMPUTED_VALUE"""),31.4285714285714)</f>
        <v>31.428571428571399</v>
      </c>
      <c r="I66" s="63">
        <f ca="1">IFERROR(__xludf.DUMMYFUNCTION("""COMPUTED_VALUE"""),407.571428571428)</f>
        <v>407.57142857142799</v>
      </c>
      <c r="J66" s="57">
        <f ca="1">IFERROR(__xludf.DUMMYFUNCTION("""COMPUTED_VALUE"""),237.571428571428)</f>
        <v>237.57142857142799</v>
      </c>
      <c r="K66" s="57">
        <f ca="1">IFERROR(__xludf.DUMMYFUNCTION("""COMPUTED_VALUE"""),6572.85714285714)</f>
        <v>6572.8571428571404</v>
      </c>
      <c r="L66">
        <f ca="1">IFERROR(__xludf.DUMMYFUNCTION("""COMPUTED_VALUE"""),251077)</f>
        <v>251077</v>
      </c>
      <c r="M66" s="58">
        <f ca="1">IFERROR(__xludf.DUMMYFUNCTION("""COMPUTED_VALUE"""),2229.14285714285)</f>
        <v>2229.1428571428501</v>
      </c>
      <c r="N66" s="57">
        <f ca="1">IFERROR(__xludf.DUMMYFUNCTION("""COMPUTED_VALUE"""),10.5714285714285)</f>
        <v>10.5714285714285</v>
      </c>
      <c r="O66" s="57">
        <f ca="1">IFERROR(__xludf.DUMMYFUNCTION("""COMPUTED_VALUE"""),677.285714285714)</f>
        <v>677.28571428571399</v>
      </c>
      <c r="P66">
        <f ca="1">IFERROR(__xludf.DUMMYFUNCTION("""COMPUTED_VALUE"""),10269)</f>
        <v>10269</v>
      </c>
      <c r="Q66" s="58">
        <f ca="1">IFERROR(__xludf.DUMMYFUNCTION("""COMPUTED_VALUE"""),348.428571428571)</f>
        <v>348.42857142857099</v>
      </c>
      <c r="R66" s="13">
        <f ca="1">IFERROR(__xludf.DUMMYFUNCTION("""COMPUTED_VALUE"""),0.019)</f>
        <v>1.9E-2</v>
      </c>
      <c r="S66" s="13">
        <f ca="1">IFERROR(__xludf.DUMMYFUNCTION("""COMPUTED_VALUE"""),0.108565573504989)</f>
        <v>0.10856557350498899</v>
      </c>
      <c r="T66" s="13">
        <f ca="1">IFERROR(__xludf.DUMMYFUNCTION("""COMPUTED_VALUE"""),0.216097988238772)</f>
        <v>0.21609798823877199</v>
      </c>
      <c r="U66" s="13">
        <f ca="1">IFERROR(__xludf.DUMMYFUNCTION("""COMPUTED_VALUE"""),0.0522011296969351)</f>
        <v>5.2201129696935099E-2</v>
      </c>
      <c r="V66">
        <f ca="1">IFERROR(__xludf.DUMMYFUNCTION("""COMPUTED_VALUE"""),968)</f>
        <v>968</v>
      </c>
      <c r="W66">
        <f ca="1">IFERROR(__xludf.DUMMYFUNCTION("""COMPUTED_VALUE"""),993)</f>
        <v>993</v>
      </c>
      <c r="X66">
        <f ca="1">IFERROR(__xludf.DUMMYFUNCTION("""COMPUTED_VALUE"""),12007)</f>
        <v>12007</v>
      </c>
      <c r="Y66">
        <f ca="1">IFERROR(__xludf.DUMMYFUNCTION("""COMPUTED_VALUE"""),733)</f>
        <v>733</v>
      </c>
      <c r="Z66">
        <f ca="1">IFERROR(__xludf.DUMMYFUNCTION("""COMPUTED_VALUE"""),50)</f>
        <v>50</v>
      </c>
      <c r="AA66">
        <f ca="1">IFERROR(__xludf.DUMMYFUNCTION("""COMPUTED_VALUE"""),82)</f>
        <v>82</v>
      </c>
      <c r="AB66">
        <f ca="1">IFERROR(__xludf.DUMMYFUNCTION("""COMPUTED_VALUE"""),1440)</f>
        <v>1440</v>
      </c>
      <c r="AC66">
        <f ca="1">IFERROR(__xludf.DUMMYFUNCTION("""COMPUTED_VALUE"""),110)</f>
        <v>110</v>
      </c>
      <c r="AD66" s="57">
        <f ca="1">IFERROR(__xludf.DUMMYFUNCTION("""COMPUTED_VALUE"""),56)</f>
        <v>56</v>
      </c>
      <c r="AE66" s="57">
        <f ca="1">IFERROR(__xludf.DUMMYFUNCTION("""COMPUTED_VALUE"""),2187.42857142857)</f>
        <v>2187.4285714285702</v>
      </c>
      <c r="AF66">
        <f ca="1">IFERROR(__xludf.DUMMYFUNCTION("""COMPUTED_VALUE"""),121654)</f>
        <v>121654</v>
      </c>
      <c r="AG66" s="58">
        <f ca="1">IFERROR(__xludf.DUMMYFUNCTION("""COMPUTED_VALUE"""),5103.14285714285)</f>
        <v>5103.1428571428496</v>
      </c>
      <c r="AH66" s="13">
        <f ca="1">IFERROR(__xludf.DUMMYFUNCTION("""COMPUTED_VALUE"""),0.221717494705049)</f>
        <v>0.22171749470504901</v>
      </c>
      <c r="AI66">
        <f ca="1">IFERROR(__xludf.DUMMYFUNCTION("""COMPUTED_VALUE"""),2499)</f>
        <v>2499</v>
      </c>
      <c r="AJ66">
        <f ca="1">IFERROR(__xludf.DUMMYFUNCTION("""COMPUTED_VALUE"""),117)</f>
        <v>117</v>
      </c>
    </row>
    <row r="67" spans="1:36" ht="13">
      <c r="A67">
        <f t="shared" ca="1" si="0"/>
        <v>66</v>
      </c>
      <c r="B67" s="62">
        <f ca="1">IFERROR(__xludf.DUMMYFUNCTION("""COMPUTED_VALUE"""),9.85714285714285)</f>
        <v>9.8571428571428505</v>
      </c>
      <c r="C67" s="62">
        <f ca="1">IFERROR(__xludf.DUMMYFUNCTION("""COMPUTED_VALUE"""),17.2857142857142)</f>
        <v>17.285714285714199</v>
      </c>
      <c r="D67" s="62">
        <f ca="1">IFERROR(__xludf.DUMMYFUNCTION("""COMPUTED_VALUE"""),45)</f>
        <v>45</v>
      </c>
      <c r="E67" s="62">
        <f ca="1">IFERROR(__xludf.DUMMYFUNCTION("""COMPUTED_VALUE"""),982.714285714285)</f>
        <v>982.71428571428498</v>
      </c>
      <c r="F67" s="21">
        <f ca="1">IFERROR(__xludf.DUMMYFUNCTION("""COMPUTED_VALUE"""),1921)</f>
        <v>1921</v>
      </c>
      <c r="G67" s="21">
        <f ca="1">IFERROR(__xludf.DUMMYFUNCTION("""COMPUTED_VALUE"""),25980)</f>
        <v>25980</v>
      </c>
      <c r="H67" s="63">
        <f ca="1">IFERROR(__xludf.DUMMYFUNCTION("""COMPUTED_VALUE"""),36.5714285714285)</f>
        <v>36.571428571428498</v>
      </c>
      <c r="I67" s="63">
        <f ca="1">IFERROR(__xludf.DUMMYFUNCTION("""COMPUTED_VALUE"""),408.428571428571)</f>
        <v>408.42857142857099</v>
      </c>
      <c r="J67" s="57">
        <f ca="1">IFERROR(__xludf.DUMMYFUNCTION("""COMPUTED_VALUE"""),238.857142857142)</f>
        <v>238.85714285714201</v>
      </c>
      <c r="K67" s="57">
        <f ca="1">IFERROR(__xludf.DUMMYFUNCTION("""COMPUTED_VALUE"""),5891.85714285714)</f>
        <v>5891.8571428571404</v>
      </c>
      <c r="L67">
        <f ca="1">IFERROR(__xludf.DUMMYFUNCTION("""COMPUTED_VALUE"""),252115)</f>
        <v>252115</v>
      </c>
      <c r="M67" s="58">
        <f ca="1">IFERROR(__xludf.DUMMYFUNCTION("""COMPUTED_VALUE"""),1745.28571428571)</f>
        <v>1745.2857142857099</v>
      </c>
      <c r="N67" s="57">
        <f ca="1">IFERROR(__xludf.DUMMYFUNCTION("""COMPUTED_VALUE"""),11)</f>
        <v>11</v>
      </c>
      <c r="O67" s="57">
        <f ca="1">IFERROR(__xludf.DUMMYFUNCTION("""COMPUTED_VALUE"""),703.714285714285)</f>
        <v>703.71428571428498</v>
      </c>
      <c r="P67">
        <f ca="1">IFERROR(__xludf.DUMMYFUNCTION("""COMPUTED_VALUE"""),10690)</f>
        <v>10690</v>
      </c>
      <c r="Q67" s="58">
        <f ca="1">IFERROR(__xludf.DUMMYFUNCTION("""COMPUTED_VALUE"""),353.571428571428)</f>
        <v>353.57142857142799</v>
      </c>
      <c r="R67" s="13">
        <f ca="1">IFERROR(__xludf.DUMMYFUNCTION("""COMPUTED_VALUE"""),0.0160857142857142)</f>
        <v>1.60857142857142E-2</v>
      </c>
      <c r="S67" s="13">
        <f ca="1">IFERROR(__xludf.DUMMYFUNCTION("""COMPUTED_VALUE"""),0.111429216185373)</f>
        <v>0.11142921618537301</v>
      </c>
      <c r="T67" s="13">
        <f ca="1">IFERROR(__xludf.DUMMYFUNCTION("""COMPUTED_VALUE"""),0.20950862653601)</f>
        <v>0.20950862653600999</v>
      </c>
      <c r="U67" s="13">
        <f ca="1">IFERROR(__xludf.DUMMYFUNCTION("""COMPUTED_VALUE"""),0.0533770540810641)</f>
        <v>5.33770540810641E-2</v>
      </c>
      <c r="V67">
        <f ca="1">IFERROR(__xludf.DUMMYFUNCTION("""COMPUTED_VALUE"""),891)</f>
        <v>891</v>
      </c>
      <c r="W67">
        <f ca="1">IFERROR(__xludf.DUMMYFUNCTION("""COMPUTED_VALUE"""),1174)</f>
        <v>1174</v>
      </c>
      <c r="X67">
        <f ca="1">IFERROR(__xludf.DUMMYFUNCTION("""COMPUTED_VALUE"""),12202)</f>
        <v>12202</v>
      </c>
      <c r="Y67">
        <f ca="1">IFERROR(__xludf.DUMMYFUNCTION("""COMPUTED_VALUE"""),737)</f>
        <v>737</v>
      </c>
      <c r="AA67">
        <f ca="1">IFERROR(__xludf.DUMMYFUNCTION("""COMPUTED_VALUE"""),110)</f>
        <v>110</v>
      </c>
      <c r="AB67">
        <f ca="1">IFERROR(__xludf.DUMMYFUNCTION("""COMPUTED_VALUE"""),1407)</f>
        <v>1407</v>
      </c>
      <c r="AC67">
        <f ca="1">IFERROR(__xludf.DUMMYFUNCTION("""COMPUTED_VALUE"""),116)</f>
        <v>116</v>
      </c>
      <c r="AD67" s="57">
        <f ca="1">IFERROR(__xludf.DUMMYFUNCTION("""COMPUTED_VALUE"""),52.4285714285714)</f>
        <v>52.428571428571402</v>
      </c>
      <c r="AE67" s="57">
        <f ca="1">IFERROR(__xludf.DUMMYFUNCTION("""COMPUTED_VALUE"""),2045.14285714285)</f>
        <v>2045.1428571428501</v>
      </c>
      <c r="AF67">
        <f ca="1">IFERROR(__xludf.DUMMYFUNCTION("""COMPUTED_VALUE"""),119066)</f>
        <v>119066</v>
      </c>
      <c r="AG67" s="58">
        <f ca="1">IFERROR(__xludf.DUMMYFUNCTION("""COMPUTED_VALUE"""),4581.28571428571)</f>
        <v>4581.2857142857101</v>
      </c>
      <c r="AH67" s="13">
        <f ca="1">IFERROR(__xludf.DUMMYFUNCTION("""COMPUTED_VALUE"""),0.216295342142389)</f>
        <v>0.21629534214238899</v>
      </c>
      <c r="AI67">
        <f ca="1">IFERROR(__xludf.DUMMYFUNCTION("""COMPUTED_VALUE"""),2338)</f>
        <v>2338</v>
      </c>
      <c r="AJ67">
        <f ca="1">IFERROR(__xludf.DUMMYFUNCTION("""COMPUTED_VALUE"""),109)</f>
        <v>109</v>
      </c>
    </row>
    <row r="68" spans="1:36" ht="13">
      <c r="A68">
        <f t="shared" ca="1" si="0"/>
        <v>67</v>
      </c>
      <c r="B68" s="62">
        <f ca="1">IFERROR(__xludf.DUMMYFUNCTION("""COMPUTED_VALUE"""),10)</f>
        <v>10</v>
      </c>
      <c r="C68" s="62">
        <f ca="1">IFERROR(__xludf.DUMMYFUNCTION("""COMPUTED_VALUE"""),18.8571428571428)</f>
        <v>18.857142857142801</v>
      </c>
      <c r="D68" s="62">
        <f ca="1">IFERROR(__xludf.DUMMYFUNCTION("""COMPUTED_VALUE"""),38.7142857142857)</f>
        <v>38.714285714285701</v>
      </c>
      <c r="E68" s="62">
        <f ca="1">IFERROR(__xludf.DUMMYFUNCTION("""COMPUTED_VALUE"""),1012.71428571428)</f>
        <v>1012.71428571428</v>
      </c>
      <c r="F68" s="21">
        <f ca="1">IFERROR(__xludf.DUMMYFUNCTION("""COMPUTED_VALUE"""),1904)</f>
        <v>1904</v>
      </c>
      <c r="G68" s="21">
        <f ca="1">IFERROR(__xludf.DUMMYFUNCTION("""COMPUTED_VALUE"""),25862)</f>
        <v>25862</v>
      </c>
      <c r="H68" s="63">
        <f ca="1">IFERROR(__xludf.DUMMYFUNCTION("""COMPUTED_VALUE"""),39.8571428571428)</f>
        <v>39.857142857142797</v>
      </c>
      <c r="I68" s="63">
        <f ca="1">IFERROR(__xludf.DUMMYFUNCTION("""COMPUTED_VALUE"""),482.571428571428)</f>
        <v>482.57142857142799</v>
      </c>
      <c r="J68" s="57">
        <f ca="1">IFERROR(__xludf.DUMMYFUNCTION("""COMPUTED_VALUE"""),240.857142857142)</f>
        <v>240.85714285714201</v>
      </c>
      <c r="K68" s="57">
        <f ca="1">IFERROR(__xludf.DUMMYFUNCTION("""COMPUTED_VALUE"""),5252.71428571428)</f>
        <v>5252.7142857142799</v>
      </c>
      <c r="L68">
        <f ca="1">IFERROR(__xludf.DUMMYFUNCTION("""COMPUTED_VALUE"""),256044)</f>
        <v>256044</v>
      </c>
      <c r="M68" s="58">
        <f ca="1">IFERROR(__xludf.DUMMYFUNCTION("""COMPUTED_VALUE"""),1314.28571428571)</f>
        <v>1314.2857142857099</v>
      </c>
      <c r="N68" s="57">
        <f ca="1">IFERROR(__xludf.DUMMYFUNCTION("""COMPUTED_VALUE"""),11.7142857142857)</f>
        <v>11.714285714285699</v>
      </c>
      <c r="O68" s="57">
        <f ca="1">IFERROR(__xludf.DUMMYFUNCTION("""COMPUTED_VALUE"""),747.142857142857)</f>
        <v>747.142857142857</v>
      </c>
      <c r="P68">
        <f ca="1">IFERROR(__xludf.DUMMYFUNCTION("""COMPUTED_VALUE"""),11398)</f>
        <v>11398</v>
      </c>
      <c r="Q68" s="58">
        <f ca="1">IFERROR(__xludf.DUMMYFUNCTION("""COMPUTED_VALUE"""),353.142857142857)</f>
        <v>353.142857142857</v>
      </c>
      <c r="R68" s="13">
        <f ca="1">IFERROR(__xludf.DUMMYFUNCTION("""COMPUTED_VALUE"""),0.0137714285714285)</f>
        <v>1.37714285714285E-2</v>
      </c>
      <c r="S68" s="13">
        <f ca="1">IFERROR(__xludf.DUMMYFUNCTION("""COMPUTED_VALUE"""),0.110982801265392)</f>
        <v>0.11098280126539201</v>
      </c>
      <c r="T68" s="13">
        <f ca="1">IFERROR(__xludf.DUMMYFUNCTION("""COMPUTED_VALUE"""),0.199607606705205)</f>
        <v>0.199607606705205</v>
      </c>
      <c r="U68" s="13">
        <f ca="1">IFERROR(__xludf.DUMMYFUNCTION("""COMPUTED_VALUE"""),0.0570596746844504)</f>
        <v>5.7059674684450397E-2</v>
      </c>
      <c r="V68">
        <f ca="1">IFERROR(__xludf.DUMMYFUNCTION("""COMPUTED_VALUE"""),875)</f>
        <v>875</v>
      </c>
      <c r="W68">
        <f ca="1">IFERROR(__xludf.DUMMYFUNCTION("""COMPUTED_VALUE"""),1252)</f>
        <v>1252</v>
      </c>
      <c r="X68">
        <f ca="1">IFERROR(__xludf.DUMMYFUNCTION("""COMPUTED_VALUE"""),11663)</f>
        <v>11663</v>
      </c>
      <c r="Y68">
        <f ca="1">IFERROR(__xludf.DUMMYFUNCTION("""COMPUTED_VALUE"""),742)</f>
        <v>742</v>
      </c>
      <c r="AA68">
        <f ca="1">IFERROR(__xludf.DUMMYFUNCTION("""COMPUTED_VALUE"""),138)</f>
        <v>138</v>
      </c>
      <c r="AB68">
        <f ca="1">IFERROR(__xludf.DUMMYFUNCTION("""COMPUTED_VALUE"""),1337)</f>
        <v>1337</v>
      </c>
      <c r="AC68">
        <f ca="1">IFERROR(__xludf.DUMMYFUNCTION("""COMPUTED_VALUE"""),113)</f>
        <v>113</v>
      </c>
    </row>
    <row r="69" spans="1:36" ht="13">
      <c r="A69">
        <f t="shared" ca="1" si="0"/>
        <v>68</v>
      </c>
      <c r="B69" s="62">
        <f ca="1">IFERROR(__xludf.DUMMYFUNCTION("""COMPUTED_VALUE"""),10.4285714285714)</f>
        <v>10.4285714285714</v>
      </c>
      <c r="C69" s="62">
        <f ca="1">IFERROR(__xludf.DUMMYFUNCTION("""COMPUTED_VALUE"""),19.2857142857142)</f>
        <v>19.285714285714199</v>
      </c>
      <c r="D69" s="62">
        <f ca="1">IFERROR(__xludf.DUMMYFUNCTION("""COMPUTED_VALUE"""),37.8571428571428)</f>
        <v>37.857142857142797</v>
      </c>
      <c r="E69" s="62">
        <f ca="1">IFERROR(__xludf.DUMMYFUNCTION("""COMPUTED_VALUE"""),1051)</f>
        <v>1051</v>
      </c>
      <c r="F69" s="21">
        <f ca="1">IFERROR(__xludf.DUMMYFUNCTION("""COMPUTED_VALUE"""),1917)</f>
        <v>1917</v>
      </c>
      <c r="G69" s="21">
        <f ca="1">IFERROR(__xludf.DUMMYFUNCTION("""COMPUTED_VALUE"""),26832)</f>
        <v>26832</v>
      </c>
      <c r="H69" s="63">
        <f ca="1">IFERROR(__xludf.DUMMYFUNCTION("""COMPUTED_VALUE"""),43.4285714285714)</f>
        <v>43.428571428571402</v>
      </c>
      <c r="I69" s="63">
        <f ca="1">IFERROR(__xludf.DUMMYFUNCTION("""COMPUTED_VALUE"""),410.285714285714)</f>
        <v>410.28571428571399</v>
      </c>
      <c r="J69" s="57">
        <f ca="1">IFERROR(__xludf.DUMMYFUNCTION("""COMPUTED_VALUE"""),243.428571428571)</f>
        <v>243.42857142857099</v>
      </c>
      <c r="K69" s="57">
        <f ca="1">IFERROR(__xludf.DUMMYFUNCTION("""COMPUTED_VALUE"""),5005.57142857142)</f>
        <v>5005.5714285714203</v>
      </c>
      <c r="L69">
        <f ca="1">IFERROR(__xludf.DUMMYFUNCTION("""COMPUTED_VALUE"""),262574)</f>
        <v>262574</v>
      </c>
      <c r="M69" s="58">
        <f ca="1">IFERROR(__xludf.DUMMYFUNCTION("""COMPUTED_VALUE"""),986.428571428571)</f>
        <v>986.42857142857099</v>
      </c>
      <c r="N69" s="57">
        <f ca="1">IFERROR(__xludf.DUMMYFUNCTION("""COMPUTED_VALUE"""),10.8571428571428)</f>
        <v>10.857142857142801</v>
      </c>
      <c r="O69" s="57">
        <f ca="1">IFERROR(__xludf.DUMMYFUNCTION("""COMPUTED_VALUE"""),815)</f>
        <v>815</v>
      </c>
      <c r="P69">
        <f ca="1">IFERROR(__xludf.DUMMYFUNCTION("""COMPUTED_VALUE"""),12118)</f>
        <v>12118</v>
      </c>
      <c r="Q69" s="58">
        <f ca="1">IFERROR(__xludf.DUMMYFUNCTION("""COMPUTED_VALUE"""),376)</f>
        <v>376</v>
      </c>
      <c r="R69" s="13">
        <f ca="1">IFERROR(__xludf.DUMMYFUNCTION("""COMPUTED_VALUE"""),0.0119428571428571)</f>
        <v>1.1942857142857101E-2</v>
      </c>
      <c r="S69" s="13">
        <f ca="1">IFERROR(__xludf.DUMMYFUNCTION("""COMPUTED_VALUE"""),0.110506091988976)</f>
        <v>0.110506091988976</v>
      </c>
      <c r="T69" s="13">
        <f ca="1">IFERROR(__xludf.DUMMYFUNCTION("""COMPUTED_VALUE"""),0.196571922352061)</f>
        <v>0.196571922352061</v>
      </c>
      <c r="U69" s="13">
        <f ca="1">IFERROR(__xludf.DUMMYFUNCTION("""COMPUTED_VALUE"""),0.0614414682833578)</f>
        <v>6.1441468283357802E-2</v>
      </c>
      <c r="V69">
        <f ca="1">IFERROR(__xludf.DUMMYFUNCTION("""COMPUTED_VALUE"""),812)</f>
        <v>812</v>
      </c>
      <c r="W69">
        <f ca="1">IFERROR(__xludf.DUMMYFUNCTION("""COMPUTED_VALUE"""),1418)</f>
        <v>1418</v>
      </c>
      <c r="X69">
        <f ca="1">IFERROR(__xludf.DUMMYFUNCTION("""COMPUTED_VALUE"""),11363)</f>
        <v>11363</v>
      </c>
      <c r="Y69">
        <f ca="1">IFERROR(__xludf.DUMMYFUNCTION("""COMPUTED_VALUE"""),800)</f>
        <v>800</v>
      </c>
      <c r="Z69">
        <f ca="1">IFERROR(__xludf.DUMMYFUNCTION("""COMPUTED_VALUE"""),50)</f>
        <v>50</v>
      </c>
      <c r="AA69">
        <f ca="1">IFERROR(__xludf.DUMMYFUNCTION("""COMPUTED_VALUE"""),154)</f>
        <v>154</v>
      </c>
      <c r="AB69">
        <f ca="1">IFERROR(__xludf.DUMMYFUNCTION("""COMPUTED_VALUE"""),1364)</f>
        <v>1364</v>
      </c>
      <c r="AC69">
        <f ca="1">IFERROR(__xludf.DUMMYFUNCTION("""COMPUTED_VALUE"""),124)</f>
        <v>124</v>
      </c>
    </row>
    <row r="70" spans="1:36" ht="13">
      <c r="A70">
        <f t="shared" ca="1" si="0"/>
        <v>69</v>
      </c>
      <c r="B70" s="62">
        <f ca="1">IFERROR(__xludf.DUMMYFUNCTION("""COMPUTED_VALUE"""),10)</f>
        <v>10</v>
      </c>
      <c r="C70" s="62">
        <f ca="1">IFERROR(__xludf.DUMMYFUNCTION("""COMPUTED_VALUE"""),20.4285714285714)</f>
        <v>20.428571428571399</v>
      </c>
      <c r="D70" s="62">
        <f ca="1">IFERROR(__xludf.DUMMYFUNCTION("""COMPUTED_VALUE"""),35.5714285714285)</f>
        <v>35.571428571428498</v>
      </c>
      <c r="E70" s="62">
        <f ca="1">IFERROR(__xludf.DUMMYFUNCTION("""COMPUTED_VALUE"""),1080.57142857142)</f>
        <v>1080.57142857142</v>
      </c>
      <c r="F70" s="21">
        <f ca="1">IFERROR(__xludf.DUMMYFUNCTION("""COMPUTED_VALUE"""),1905)</f>
        <v>1905</v>
      </c>
      <c r="G70" s="21">
        <f ca="1">IFERROR(__xludf.DUMMYFUNCTION("""COMPUTED_VALUE"""),27113)</f>
        <v>27113</v>
      </c>
      <c r="H70" s="63">
        <f ca="1">IFERROR(__xludf.DUMMYFUNCTION("""COMPUTED_VALUE"""),46.8571428571428)</f>
        <v>46.857142857142797</v>
      </c>
      <c r="I70" s="63">
        <f ca="1">IFERROR(__xludf.DUMMYFUNCTION("""COMPUTED_VALUE"""),432.857142857142)</f>
        <v>432.85714285714198</v>
      </c>
      <c r="J70" s="57">
        <f ca="1">IFERROR(__xludf.DUMMYFUNCTION("""COMPUTED_VALUE"""),243.857142857142)</f>
        <v>243.85714285714201</v>
      </c>
      <c r="K70" s="57">
        <f ca="1">IFERROR(__xludf.DUMMYFUNCTION("""COMPUTED_VALUE"""),4922.14285714285)</f>
        <v>4922.1428571428496</v>
      </c>
      <c r="L70">
        <f ca="1">IFERROR(__xludf.DUMMYFUNCTION("""COMPUTED_VALUE"""),267291)</f>
        <v>267291</v>
      </c>
      <c r="M70" s="58">
        <f ca="1">IFERROR(__xludf.DUMMYFUNCTION("""COMPUTED_VALUE"""),1109.28571428571)</f>
        <v>1109.2857142857099</v>
      </c>
      <c r="R70" s="13">
        <f ca="1">IFERROR(__xludf.DUMMYFUNCTION("""COMPUTED_VALUE"""),0.01)</f>
        <v>0.01</v>
      </c>
      <c r="S70" s="13">
        <f ca="1">IFERROR(__xludf.DUMMYFUNCTION("""COMPUTED_VALUE"""),0.110563240862845)</f>
        <v>0.110563240862845</v>
      </c>
      <c r="T70" s="13">
        <f ca="1">IFERROR(__xludf.DUMMYFUNCTION("""COMPUTED_VALUE"""),0.194280308552387)</f>
        <v>0.19428030855238701</v>
      </c>
      <c r="V70">
        <f ca="1">IFERROR(__xludf.DUMMYFUNCTION("""COMPUTED_VALUE"""),782)</f>
        <v>782</v>
      </c>
      <c r="W70">
        <f ca="1">IFERROR(__xludf.DUMMYFUNCTION("""COMPUTED_VALUE"""),1519)</f>
        <v>1519</v>
      </c>
      <c r="X70">
        <f ca="1">IFERROR(__xludf.DUMMYFUNCTION("""COMPUTED_VALUE"""),10921)</f>
        <v>10921</v>
      </c>
      <c r="Z70">
        <f ca="1">IFERROR(__xludf.DUMMYFUNCTION("""COMPUTED_VALUE"""),45)</f>
        <v>45</v>
      </c>
      <c r="AA70">
        <f ca="1">IFERROR(__xludf.DUMMYFUNCTION("""COMPUTED_VALUE"""),160)</f>
        <v>160</v>
      </c>
      <c r="AB70">
        <f ca="1">IFERROR(__xludf.DUMMYFUNCTION("""COMPUTED_VALUE"""),1344)</f>
        <v>1344</v>
      </c>
    </row>
    <row r="71" spans="1:36" ht="13">
      <c r="A71">
        <f t="shared" ca="1" si="0"/>
        <v>70</v>
      </c>
      <c r="B71" s="62">
        <f ca="1">IFERROR(__xludf.DUMMYFUNCTION("""COMPUTED_VALUE"""),8.85714285714285)</f>
        <v>8.8571428571428505</v>
      </c>
      <c r="C71" s="62">
        <f ca="1">IFERROR(__xludf.DUMMYFUNCTION("""COMPUTED_VALUE"""),20.8571428571428)</f>
        <v>20.857142857142801</v>
      </c>
      <c r="D71" s="62">
        <f ca="1">IFERROR(__xludf.DUMMYFUNCTION("""COMPUTED_VALUE"""),35.4285714285714)</f>
        <v>35.428571428571402</v>
      </c>
      <c r="E71" s="62">
        <f ca="1">IFERROR(__xludf.DUMMYFUNCTION("""COMPUTED_VALUE"""),1095.42857142857)</f>
        <v>1095.42857142857</v>
      </c>
      <c r="F71" s="21">
        <f ca="1">IFERROR(__xludf.DUMMYFUNCTION("""COMPUTED_VALUE"""),1881)</f>
        <v>1881</v>
      </c>
      <c r="G71" s="21">
        <f ca="1">IFERROR(__xludf.DUMMYFUNCTION("""COMPUTED_VALUE"""),27595)</f>
        <v>27595</v>
      </c>
      <c r="H71" s="63">
        <f ca="1">IFERROR(__xludf.DUMMYFUNCTION("""COMPUTED_VALUE"""),42.5714285714285)</f>
        <v>42.571428571428498</v>
      </c>
      <c r="I71" s="63">
        <f ca="1">IFERROR(__xludf.DUMMYFUNCTION("""COMPUTED_VALUE"""),430.714285714285)</f>
        <v>430.71428571428498</v>
      </c>
      <c r="J71" s="57">
        <f ca="1">IFERROR(__xludf.DUMMYFUNCTION("""COMPUTED_VALUE"""),243.142857142857)</f>
        <v>243.142857142857</v>
      </c>
      <c r="K71" s="57">
        <f ca="1">IFERROR(__xludf.DUMMYFUNCTION("""COMPUTED_VALUE"""),4883.57142857142)</f>
        <v>4883.5714285714203</v>
      </c>
      <c r="L71">
        <f ca="1">IFERROR(__xludf.DUMMYFUNCTION("""COMPUTED_VALUE"""),270353)</f>
        <v>270353</v>
      </c>
      <c r="M71" s="58">
        <f ca="1">IFERROR(__xludf.DUMMYFUNCTION("""COMPUTED_VALUE"""),1346)</f>
        <v>1346</v>
      </c>
      <c r="R71" s="13">
        <f ca="1">IFERROR(__xludf.DUMMYFUNCTION("""COMPUTED_VALUE"""),0.00894285714285714)</f>
        <v>8.9428571428571395E-3</v>
      </c>
      <c r="S71" s="13">
        <f ca="1">IFERROR(__xludf.DUMMYFUNCTION("""COMPUTED_VALUE"""),0.112185953644198)</f>
        <v>0.11218595364419801</v>
      </c>
      <c r="T71" s="13">
        <f ca="1">IFERROR(__xludf.DUMMYFUNCTION("""COMPUTED_VALUE"""),0.184058658943471)</f>
        <v>0.18405865894347101</v>
      </c>
      <c r="V71">
        <f ca="1">IFERROR(__xludf.DUMMYFUNCTION("""COMPUTED_VALUE"""),746)</f>
        <v>746</v>
      </c>
      <c r="W71">
        <f ca="1">IFERROR(__xludf.DUMMYFUNCTION("""COMPUTED_VALUE"""),1538)</f>
        <v>1538</v>
      </c>
      <c r="X71">
        <f ca="1">IFERROR(__xludf.DUMMYFUNCTION("""COMPUTED_VALUE"""),10484)</f>
        <v>10484</v>
      </c>
      <c r="Z71">
        <f ca="1">IFERROR(__xludf.DUMMYFUNCTION("""COMPUTED_VALUE"""),45)</f>
        <v>45</v>
      </c>
      <c r="AA71">
        <f ca="1">IFERROR(__xludf.DUMMYFUNCTION("""COMPUTED_VALUE"""),156)</f>
        <v>156</v>
      </c>
      <c r="AB71">
        <f ca="1">IFERROR(__xludf.DUMMYFUNCTION("""COMPUTED_VALUE"""),1290)</f>
        <v>1290</v>
      </c>
    </row>
    <row r="72" spans="1:36" ht="13">
      <c r="A72">
        <f t="shared" ca="1" si="0"/>
        <v>71</v>
      </c>
      <c r="B72" s="62">
        <f ca="1">IFERROR(__xludf.DUMMYFUNCTION("""COMPUTED_VALUE"""),8.14285714285714)</f>
        <v>8.1428571428571406</v>
      </c>
      <c r="C72" s="62">
        <f ca="1">IFERROR(__xludf.DUMMYFUNCTION("""COMPUTED_VALUE"""),22)</f>
        <v>22</v>
      </c>
      <c r="D72" s="62">
        <f ca="1">IFERROR(__xludf.DUMMYFUNCTION("""COMPUTED_VALUE"""),32.8571428571428)</f>
        <v>32.857142857142797</v>
      </c>
      <c r="E72" s="62">
        <f ca="1">IFERROR(__xludf.DUMMYFUNCTION("""COMPUTED_VALUE"""),1098)</f>
        <v>1098</v>
      </c>
      <c r="F72" s="21">
        <f ca="1">IFERROR(__xludf.DUMMYFUNCTION("""COMPUTED_VALUE"""),1809)</f>
        <v>1809</v>
      </c>
      <c r="G72" s="21">
        <f ca="1">IFERROR(__xludf.DUMMYFUNCTION("""COMPUTED_VALUE"""),28052)</f>
        <v>28052</v>
      </c>
      <c r="H72" s="63">
        <f ca="1">IFERROR(__xludf.DUMMYFUNCTION("""COMPUTED_VALUE"""),49)</f>
        <v>49</v>
      </c>
      <c r="I72" s="63">
        <f ca="1">IFERROR(__xludf.DUMMYFUNCTION("""COMPUTED_VALUE"""),491.571428571428)</f>
        <v>491.57142857142799</v>
      </c>
      <c r="J72" s="57">
        <f ca="1">IFERROR(__xludf.DUMMYFUNCTION("""COMPUTED_VALUE"""),254.285714285714)</f>
        <v>254.28571428571399</v>
      </c>
      <c r="K72" s="57">
        <f ca="1">IFERROR(__xludf.DUMMYFUNCTION("""COMPUTED_VALUE"""),5055.42857142857)</f>
        <v>5055.4285714285697</v>
      </c>
      <c r="L72">
        <f ca="1">IFERROR(__xludf.DUMMYFUNCTION("""COMPUTED_VALUE"""),272459)</f>
        <v>272459</v>
      </c>
      <c r="M72" s="58">
        <f ca="1">IFERROR(__xludf.DUMMYFUNCTION("""COMPUTED_VALUE"""),1570)</f>
        <v>1570</v>
      </c>
      <c r="N72" s="57">
        <f ca="1">IFERROR(__xludf.DUMMYFUNCTION("""COMPUTED_VALUE"""),14.1428571428571)</f>
        <v>14.1428571428571</v>
      </c>
      <c r="O72" s="57">
        <f ca="1">IFERROR(__xludf.DUMMYFUNCTION("""COMPUTED_VALUE"""),990.428571428571)</f>
        <v>990.42857142857099</v>
      </c>
      <c r="P72">
        <f ca="1">IFERROR(__xludf.DUMMYFUNCTION("""COMPUTED_VALUE"""),13989)</f>
        <v>13989</v>
      </c>
      <c r="Q72" s="58">
        <f ca="1">IFERROR(__xludf.DUMMYFUNCTION("""COMPUTED_VALUE"""),426.857142857142)</f>
        <v>426.85714285714198</v>
      </c>
      <c r="R72" s="13">
        <f ca="1">IFERROR(__xludf.DUMMYFUNCTION("""COMPUTED_VALUE"""),0.00792857142857142)</f>
        <v>7.9285714285714202E-3</v>
      </c>
      <c r="S72" s="13">
        <f ca="1">IFERROR(__xludf.DUMMYFUNCTION("""COMPUTED_VALUE"""),0.113203917266122)</f>
        <v>0.113203917266122</v>
      </c>
      <c r="T72" s="13">
        <f ca="1">IFERROR(__xludf.DUMMYFUNCTION("""COMPUTED_VALUE"""),0.182303745733129)</f>
        <v>0.18230374573312899</v>
      </c>
      <c r="U72" s="13">
        <f ca="1">IFERROR(__xludf.DUMMYFUNCTION("""COMPUTED_VALUE"""),0.0657160325012804)</f>
        <v>6.57160325012804E-2</v>
      </c>
      <c r="V72">
        <f ca="1">IFERROR(__xludf.DUMMYFUNCTION("""COMPUTED_VALUE"""),688)</f>
        <v>688</v>
      </c>
      <c r="W72">
        <f ca="1">IFERROR(__xludf.DUMMYFUNCTION("""COMPUTED_VALUE"""),1555)</f>
        <v>1555</v>
      </c>
      <c r="X72">
        <f ca="1">IFERROR(__xludf.DUMMYFUNCTION("""COMPUTED_VALUE"""),10740)</f>
        <v>10740</v>
      </c>
      <c r="Y72">
        <f ca="1">IFERROR(__xludf.DUMMYFUNCTION("""COMPUTED_VALUE"""),908)</f>
        <v>908</v>
      </c>
      <c r="Z72">
        <f ca="1">IFERROR(__xludf.DUMMYFUNCTION("""COMPUTED_VALUE"""),45)</f>
        <v>45</v>
      </c>
      <c r="AA72">
        <f ca="1">IFERROR(__xludf.DUMMYFUNCTION("""COMPUTED_VALUE"""),167)</f>
        <v>167</v>
      </c>
      <c r="AB72">
        <f ca="1">IFERROR(__xludf.DUMMYFUNCTION("""COMPUTED_VALUE"""),1249)</f>
        <v>1249</v>
      </c>
      <c r="AC72">
        <f ca="1">IFERROR(__xludf.DUMMYFUNCTION("""COMPUTED_VALUE"""),126)</f>
        <v>126</v>
      </c>
      <c r="AD72" s="57">
        <f ca="1">IFERROR(__xludf.DUMMYFUNCTION("""COMPUTED_VALUE"""),40.2857142857142)</f>
        <v>40.285714285714199</v>
      </c>
      <c r="AE72" s="57">
        <f ca="1">IFERROR(__xludf.DUMMYFUNCTION("""COMPUTED_VALUE"""),1335.28571428571)</f>
        <v>1335.2857142857099</v>
      </c>
      <c r="AF72">
        <f ca="1">IFERROR(__xludf.DUMMYFUNCTION("""COMPUTED_VALUE"""),110526)</f>
        <v>110526</v>
      </c>
      <c r="AG72" s="58">
        <f ca="1">IFERROR(__xludf.DUMMYFUNCTION("""COMPUTED_VALUE"""),3235.85714285714)</f>
        <v>3235.8571428571399</v>
      </c>
      <c r="AH72" s="13">
        <f ca="1">IFERROR(__xludf.DUMMYFUNCTION("""COMPUTED_VALUE"""),0.0855359715878758)</f>
        <v>8.5535971587875806E-2</v>
      </c>
      <c r="AI72">
        <f ca="1">IFERROR(__xludf.DUMMYFUNCTION("""COMPUTED_VALUE"""),2259)</f>
        <v>2259</v>
      </c>
      <c r="AJ72">
        <f ca="1">IFERROR(__xludf.DUMMYFUNCTION("""COMPUTED_VALUE"""),101)</f>
        <v>101</v>
      </c>
    </row>
    <row r="73" spans="1:36" ht="13">
      <c r="A73">
        <f t="shared" ca="1" si="0"/>
        <v>72</v>
      </c>
      <c r="B73" s="62">
        <f ca="1">IFERROR(__xludf.DUMMYFUNCTION("""COMPUTED_VALUE"""),7.57142857142857)</f>
        <v>7.5714285714285703</v>
      </c>
      <c r="C73" s="62">
        <f ca="1">IFERROR(__xludf.DUMMYFUNCTION("""COMPUTED_VALUE"""),24.5714285714285)</f>
        <v>24.571428571428498</v>
      </c>
      <c r="D73" s="62">
        <f ca="1">IFERROR(__xludf.DUMMYFUNCTION("""COMPUTED_VALUE"""),32.8571428571428)</f>
        <v>32.857142857142797</v>
      </c>
      <c r="E73" s="62">
        <f ca="1">IFERROR(__xludf.DUMMYFUNCTION("""COMPUTED_VALUE"""),1114.71428571428)</f>
        <v>1114.7142857142801</v>
      </c>
      <c r="F73" s="21">
        <f ca="1">IFERROR(__xludf.DUMMYFUNCTION("""COMPUTED_VALUE"""),1775)</f>
        <v>1775</v>
      </c>
      <c r="G73" s="21">
        <f ca="1">IFERROR(__xludf.DUMMYFUNCTION("""COMPUTED_VALUE"""),28806)</f>
        <v>28806</v>
      </c>
      <c r="H73" s="63">
        <f ca="1">IFERROR(__xludf.DUMMYFUNCTION("""COMPUTED_VALUE"""),52.5714285714285)</f>
        <v>52.571428571428498</v>
      </c>
      <c r="I73" s="63">
        <f ca="1">IFERROR(__xludf.DUMMYFUNCTION("""COMPUTED_VALUE"""),561.714285714285)</f>
        <v>561.71428571428498</v>
      </c>
      <c r="J73" s="57">
        <f ca="1">IFERROR(__xludf.DUMMYFUNCTION("""COMPUTED_VALUE"""),268.857142857142)</f>
        <v>268.85714285714198</v>
      </c>
      <c r="K73" s="57">
        <f ca="1">IFERROR(__xludf.DUMMYFUNCTION("""COMPUTED_VALUE"""),5190.71428571428)</f>
        <v>5190.7142857142799</v>
      </c>
      <c r="L73">
        <f ca="1">IFERROR(__xludf.DUMMYFUNCTION("""COMPUTED_VALUE"""),272974)</f>
        <v>272974</v>
      </c>
      <c r="M73" s="58">
        <f ca="1">IFERROR(__xludf.DUMMYFUNCTION("""COMPUTED_VALUE"""),1793.71428571428)</f>
        <v>1793.7142857142801</v>
      </c>
      <c r="N73" s="57">
        <f ca="1">IFERROR(__xludf.DUMMYFUNCTION("""COMPUTED_VALUE"""),14)</f>
        <v>14</v>
      </c>
      <c r="O73" s="57">
        <f ca="1">IFERROR(__xludf.DUMMYFUNCTION("""COMPUTED_VALUE"""),1048.14285714285)</f>
        <v>1048.1428571428501</v>
      </c>
      <c r="P73">
        <f ca="1">IFERROR(__xludf.DUMMYFUNCTION("""COMPUTED_VALUE"""),14588)</f>
        <v>14588</v>
      </c>
      <c r="Q73" s="58">
        <f ca="1">IFERROR(__xludf.DUMMYFUNCTION("""COMPUTED_VALUE"""),417.142857142857)</f>
        <v>417.142857142857</v>
      </c>
      <c r="R73" s="13">
        <f ca="1">IFERROR(__xludf.DUMMYFUNCTION("""COMPUTED_VALUE"""),0.00804285714285714)</f>
        <v>8.0428571428571398E-3</v>
      </c>
      <c r="S73" s="13">
        <f ca="1">IFERROR(__xludf.DUMMYFUNCTION("""COMPUTED_VALUE"""),0.117008367633927)</f>
        <v>0.117008367633927</v>
      </c>
      <c r="T73" s="13">
        <f ca="1">IFERROR(__xludf.DUMMYFUNCTION("""COMPUTED_VALUE"""),0.184386934421668)</f>
        <v>0.18438693442166801</v>
      </c>
      <c r="U73" s="13">
        <f ca="1">IFERROR(__xludf.DUMMYFUNCTION("""COMPUTED_VALUE"""),0.0721373410474848)</f>
        <v>7.2137341047484801E-2</v>
      </c>
      <c r="V73">
        <f ca="1">IFERROR(__xludf.DUMMYFUNCTION("""COMPUTED_VALUE"""),658)</f>
        <v>658</v>
      </c>
      <c r="W73">
        <f ca="1">IFERROR(__xludf.DUMMYFUNCTION("""COMPUTED_VALUE"""),1642)</f>
        <v>1642</v>
      </c>
      <c r="X73">
        <f ca="1">IFERROR(__xludf.DUMMYFUNCTION("""COMPUTED_VALUE"""),10818)</f>
        <v>10818</v>
      </c>
      <c r="Y73">
        <f ca="1">IFERROR(__xludf.DUMMYFUNCTION("""COMPUTED_VALUE"""),999)</f>
        <v>999</v>
      </c>
      <c r="Z73">
        <f ca="1">IFERROR(__xludf.DUMMYFUNCTION("""COMPUTED_VALUE"""),49)</f>
        <v>49</v>
      </c>
      <c r="AA73">
        <f ca="1">IFERROR(__xludf.DUMMYFUNCTION("""COMPUTED_VALUE"""),171)</f>
        <v>171</v>
      </c>
      <c r="AB73">
        <f ca="1">IFERROR(__xludf.DUMMYFUNCTION("""COMPUTED_VALUE"""),1209)</f>
        <v>1209</v>
      </c>
      <c r="AC73">
        <f ca="1">IFERROR(__xludf.DUMMYFUNCTION("""COMPUTED_VALUE"""),144)</f>
        <v>144</v>
      </c>
      <c r="AD73" s="57">
        <f ca="1">IFERROR(__xludf.DUMMYFUNCTION("""COMPUTED_VALUE"""),41.7142857142857)</f>
        <v>41.714285714285701</v>
      </c>
      <c r="AE73" s="57">
        <f ca="1">IFERROR(__xludf.DUMMYFUNCTION("""COMPUTED_VALUE"""),1210.42857142857)</f>
        <v>1210.42857142857</v>
      </c>
      <c r="AF73">
        <f ca="1">IFERROR(__xludf.DUMMYFUNCTION("""COMPUTED_VALUE"""),108761)</f>
        <v>108761</v>
      </c>
      <c r="AG73" s="58">
        <f ca="1">IFERROR(__xludf.DUMMYFUNCTION("""COMPUTED_VALUE"""),3010.57142857142)</f>
        <v>3010.5714285714198</v>
      </c>
      <c r="AH73" s="13">
        <f ca="1">IFERROR(__xludf.DUMMYFUNCTION("""COMPUTED_VALUE"""),0.133412669628774)</f>
        <v>0.13341266962877399</v>
      </c>
      <c r="AI73">
        <f ca="1">IFERROR(__xludf.DUMMYFUNCTION("""COMPUTED_VALUE"""),2287)</f>
        <v>2287</v>
      </c>
      <c r="AJ73">
        <f ca="1">IFERROR(__xludf.DUMMYFUNCTION("""COMPUTED_VALUE"""),90)</f>
        <v>90</v>
      </c>
    </row>
    <row r="74" spans="1:36" ht="13">
      <c r="A74">
        <f t="shared" ca="1" si="0"/>
        <v>73</v>
      </c>
      <c r="B74" s="62">
        <f ca="1">IFERROR(__xludf.DUMMYFUNCTION("""COMPUTED_VALUE"""),7.14285714285714)</f>
        <v>7.1428571428571397</v>
      </c>
      <c r="C74" s="62">
        <f ca="1">IFERROR(__xludf.DUMMYFUNCTION("""COMPUTED_VALUE"""),25.1428571428571)</f>
        <v>25.1428571428571</v>
      </c>
      <c r="D74" s="62">
        <f ca="1">IFERROR(__xludf.DUMMYFUNCTION("""COMPUTED_VALUE"""),34.1428571428571)</f>
        <v>34.142857142857103</v>
      </c>
      <c r="E74" s="62">
        <f ca="1">IFERROR(__xludf.DUMMYFUNCTION("""COMPUTED_VALUE"""),1174.28571428571)</f>
        <v>1174.2857142857099</v>
      </c>
      <c r="F74" s="21">
        <f ca="1">IFERROR(__xludf.DUMMYFUNCTION("""COMPUTED_VALUE"""),1688)</f>
        <v>1688</v>
      </c>
      <c r="G74" s="21">
        <f ca="1">IFERROR(__xludf.DUMMYFUNCTION("""COMPUTED_VALUE"""),30127)</f>
        <v>30127</v>
      </c>
      <c r="H74" s="63">
        <f ca="1">IFERROR(__xludf.DUMMYFUNCTION("""COMPUTED_VALUE"""),60.2857142857142)</f>
        <v>60.285714285714199</v>
      </c>
      <c r="I74" s="63">
        <f ca="1">IFERROR(__xludf.DUMMYFUNCTION("""COMPUTED_VALUE"""),556.714285714285)</f>
        <v>556.71428571428498</v>
      </c>
      <c r="J74" s="57">
        <f ca="1">IFERROR(__xludf.DUMMYFUNCTION("""COMPUTED_VALUE"""),265.142857142857)</f>
        <v>265.142857142857</v>
      </c>
      <c r="K74" s="57">
        <f ca="1">IFERROR(__xludf.DUMMYFUNCTION("""COMPUTED_VALUE"""),5428.42857142857)</f>
        <v>5428.4285714285697</v>
      </c>
      <c r="L74">
        <f ca="1">IFERROR(__xludf.DUMMYFUNCTION("""COMPUTED_VALUE"""),272066)</f>
        <v>272066</v>
      </c>
      <c r="M74" s="58">
        <f ca="1">IFERROR(__xludf.DUMMYFUNCTION("""COMPUTED_VALUE"""),2313.14285714285)</f>
        <v>2313.1428571428501</v>
      </c>
      <c r="N74" s="57">
        <f ca="1">IFERROR(__xludf.DUMMYFUNCTION("""COMPUTED_VALUE"""),16.8571428571428)</f>
        <v>16.857142857142801</v>
      </c>
      <c r="O74" s="57">
        <f ca="1">IFERROR(__xludf.DUMMYFUNCTION("""COMPUTED_VALUE"""),1170.14285714285)</f>
        <v>1170.1428571428501</v>
      </c>
      <c r="P74">
        <f ca="1">IFERROR(__xludf.DUMMYFUNCTION("""COMPUTED_VALUE"""),15711)</f>
        <v>15711</v>
      </c>
      <c r="Q74" s="58">
        <f ca="1">IFERROR(__xludf.DUMMYFUNCTION("""COMPUTED_VALUE"""),436)</f>
        <v>436</v>
      </c>
      <c r="R74" s="13">
        <f ca="1">IFERROR(__xludf.DUMMYFUNCTION("""COMPUTED_VALUE"""),0.00857142857142857)</f>
        <v>8.5714285714285701E-3</v>
      </c>
      <c r="S74" s="13">
        <f ca="1">IFERROR(__xludf.DUMMYFUNCTION("""COMPUTED_VALUE"""),0.119984331989017)</f>
        <v>0.11998433198901701</v>
      </c>
      <c r="T74" s="13">
        <f ca="1">IFERROR(__xludf.DUMMYFUNCTION("""COMPUTED_VALUE"""),0.176360227407302)</f>
        <v>0.17636022740730201</v>
      </c>
      <c r="U74" s="13">
        <f ca="1">IFERROR(__xludf.DUMMYFUNCTION("""COMPUTED_VALUE"""),0.0820600404671195)</f>
        <v>8.2060040467119497E-2</v>
      </c>
      <c r="V74">
        <f ca="1">IFERROR(__xludf.DUMMYFUNCTION("""COMPUTED_VALUE"""),614)</f>
        <v>614</v>
      </c>
      <c r="W74">
        <f ca="1">IFERROR(__xludf.DUMMYFUNCTION("""COMPUTED_VALUE"""),1693)</f>
        <v>1693</v>
      </c>
      <c r="X74">
        <f ca="1">IFERROR(__xludf.DUMMYFUNCTION("""COMPUTED_VALUE"""),10364)</f>
        <v>10364</v>
      </c>
      <c r="Y74">
        <f ca="1">IFERROR(__xludf.DUMMYFUNCTION("""COMPUTED_VALUE"""),1058)</f>
        <v>1058</v>
      </c>
      <c r="Z74">
        <f ca="1">IFERROR(__xludf.DUMMYFUNCTION("""COMPUTED_VALUE"""),46)</f>
        <v>46</v>
      </c>
      <c r="AA74">
        <f ca="1">IFERROR(__xludf.DUMMYFUNCTION("""COMPUTED_VALUE"""),185)</f>
        <v>185</v>
      </c>
      <c r="AB74">
        <f ca="1">IFERROR(__xludf.DUMMYFUNCTION("""COMPUTED_VALUE"""),1204)</f>
        <v>1204</v>
      </c>
      <c r="AC74">
        <f ca="1">IFERROR(__xludf.DUMMYFUNCTION("""COMPUTED_VALUE"""),145)</f>
        <v>145</v>
      </c>
      <c r="AD74" s="57">
        <f ca="1">IFERROR(__xludf.DUMMYFUNCTION("""COMPUTED_VALUE"""),44)</f>
        <v>44</v>
      </c>
      <c r="AE74" s="57">
        <f ca="1">IFERROR(__xludf.DUMMYFUNCTION("""COMPUTED_VALUE"""),1389.57142857142)</f>
        <v>1389.57142857142</v>
      </c>
      <c r="AF74">
        <f ca="1">IFERROR(__xludf.DUMMYFUNCTION("""COMPUTED_VALUE"""),106429)</f>
        <v>106429</v>
      </c>
      <c r="AG74" s="58">
        <f ca="1">IFERROR(__xludf.DUMMYFUNCTION("""COMPUTED_VALUE"""),3150.85714285714)</f>
        <v>3150.8571428571399</v>
      </c>
      <c r="AH74" s="13">
        <f ca="1">IFERROR(__xludf.DUMMYFUNCTION("""COMPUTED_VALUE"""),0.173467431391108)</f>
        <v>0.17346743139110801</v>
      </c>
      <c r="AI74">
        <f ca="1">IFERROR(__xludf.DUMMYFUNCTION("""COMPUTED_VALUE"""),2205)</f>
        <v>2205</v>
      </c>
      <c r="AJ74">
        <f ca="1">IFERROR(__xludf.DUMMYFUNCTION("""COMPUTED_VALUE"""),90)</f>
        <v>90</v>
      </c>
    </row>
    <row r="75" spans="1:36" ht="13">
      <c r="A75">
        <f t="shared" ca="1" si="0"/>
        <v>74</v>
      </c>
      <c r="B75" s="62">
        <f ca="1">IFERROR(__xludf.DUMMYFUNCTION("""COMPUTED_VALUE"""),6.14285714285714)</f>
        <v>6.1428571428571397</v>
      </c>
      <c r="C75" s="62">
        <f ca="1">IFERROR(__xludf.DUMMYFUNCTION("""COMPUTED_VALUE"""),26.8571428571428)</f>
        <v>26.857142857142801</v>
      </c>
      <c r="D75" s="62">
        <f ca="1">IFERROR(__xludf.DUMMYFUNCTION("""COMPUTED_VALUE"""),37.1428571428571)</f>
        <v>37.142857142857103</v>
      </c>
      <c r="E75" s="62">
        <f ca="1">IFERROR(__xludf.DUMMYFUNCTION("""COMPUTED_VALUE"""),1232.28571428571)</f>
        <v>1232.2857142857099</v>
      </c>
      <c r="F75" s="21">
        <f ca="1">IFERROR(__xludf.DUMMYFUNCTION("""COMPUTED_VALUE"""),1654)</f>
        <v>1654</v>
      </c>
      <c r="G75" s="21">
        <f ca="1">IFERROR(__xludf.DUMMYFUNCTION("""COMPUTED_VALUE"""),31060)</f>
        <v>31060</v>
      </c>
      <c r="H75" s="63">
        <f ca="1">IFERROR(__xludf.DUMMYFUNCTION("""COMPUTED_VALUE"""),66.7142857142857)</f>
        <v>66.714285714285694</v>
      </c>
      <c r="I75" s="63">
        <f ca="1">IFERROR(__xludf.DUMMYFUNCTION("""COMPUTED_VALUE"""),462.857142857142)</f>
        <v>462.85714285714198</v>
      </c>
      <c r="J75" s="57">
        <f ca="1">IFERROR(__xludf.DUMMYFUNCTION("""COMPUTED_VALUE"""),262.857142857142)</f>
        <v>262.85714285714198</v>
      </c>
      <c r="K75" s="57">
        <f ca="1">IFERROR(__xludf.DUMMYFUNCTION("""COMPUTED_VALUE"""),5498.85714285714)</f>
        <v>5498.8571428571404</v>
      </c>
      <c r="L75">
        <f ca="1">IFERROR(__xludf.DUMMYFUNCTION("""COMPUTED_VALUE"""),271963)</f>
        <v>271963</v>
      </c>
      <c r="M75" s="58">
        <f ca="1">IFERROR(__xludf.DUMMYFUNCTION("""COMPUTED_VALUE"""),2961.85714285714)</f>
        <v>2961.8571428571399</v>
      </c>
      <c r="N75" s="57">
        <f ca="1">IFERROR(__xludf.DUMMYFUNCTION("""COMPUTED_VALUE"""),18.1428571428571)</f>
        <v>18.1428571428571</v>
      </c>
      <c r="O75" s="57">
        <f ca="1">IFERROR(__xludf.DUMMYFUNCTION("""COMPUTED_VALUE"""),1344.42857142857)</f>
        <v>1344.42857142857</v>
      </c>
      <c r="P75">
        <f ca="1">IFERROR(__xludf.DUMMYFUNCTION("""COMPUTED_VALUE"""),17521)</f>
        <v>17521</v>
      </c>
      <c r="Q75" s="58">
        <f ca="1">IFERROR(__xludf.DUMMYFUNCTION("""COMPUTED_VALUE"""),451.571428571428)</f>
        <v>451.57142857142799</v>
      </c>
      <c r="R75" s="13">
        <f ca="1">IFERROR(__xludf.DUMMYFUNCTION("""COMPUTED_VALUE"""),0.0093)</f>
        <v>9.2999999999999992E-3</v>
      </c>
      <c r="S75" s="13">
        <f ca="1">IFERROR(__xludf.DUMMYFUNCTION("""COMPUTED_VALUE"""),0.12609420880471)</f>
        <v>0.12609420880471001</v>
      </c>
      <c r="T75" s="13">
        <f ca="1">IFERROR(__xludf.DUMMYFUNCTION("""COMPUTED_VALUE"""),0.188006110282958)</f>
        <v>0.18800611028295799</v>
      </c>
      <c r="U75" s="13">
        <f ca="1">IFERROR(__xludf.DUMMYFUNCTION("""COMPUTED_VALUE"""),0.092263095748159)</f>
        <v>9.2263095748158996E-2</v>
      </c>
      <c r="V75">
        <f ca="1">IFERROR(__xludf.DUMMYFUNCTION("""COMPUTED_VALUE"""),570)</f>
        <v>570</v>
      </c>
      <c r="W75">
        <f ca="1">IFERROR(__xludf.DUMMYFUNCTION("""COMPUTED_VALUE"""),1712)</f>
        <v>1712</v>
      </c>
      <c r="X75">
        <f ca="1">IFERROR(__xludf.DUMMYFUNCTION("""COMPUTED_VALUE"""),9848)</f>
        <v>9848</v>
      </c>
      <c r="Y75">
        <f ca="1">IFERROR(__xludf.DUMMYFUNCTION("""COMPUTED_VALUE"""),1105)</f>
        <v>1105</v>
      </c>
      <c r="Z75">
        <f ca="1">IFERROR(__xludf.DUMMYFUNCTION("""COMPUTED_VALUE"""),45)</f>
        <v>45</v>
      </c>
      <c r="AA75">
        <f ca="1">IFERROR(__xludf.DUMMYFUNCTION("""COMPUTED_VALUE"""),179)</f>
        <v>179</v>
      </c>
      <c r="AB75">
        <f ca="1">IFERROR(__xludf.DUMMYFUNCTION("""COMPUTED_VALUE"""),1156)</f>
        <v>1156</v>
      </c>
      <c r="AC75">
        <f ca="1">IFERROR(__xludf.DUMMYFUNCTION("""COMPUTED_VALUE"""),155)</f>
        <v>155</v>
      </c>
    </row>
    <row r="76" spans="1:36" ht="13">
      <c r="A76">
        <f t="shared" ca="1" si="0"/>
        <v>75</v>
      </c>
      <c r="B76" s="62">
        <f ca="1">IFERROR(__xludf.DUMMYFUNCTION("""COMPUTED_VALUE"""),5.42857142857142)</f>
        <v>5.4285714285714199</v>
      </c>
      <c r="C76" s="62">
        <f ca="1">IFERROR(__xludf.DUMMYFUNCTION("""COMPUTED_VALUE"""),29.2857142857142)</f>
        <v>29.285714285714199</v>
      </c>
      <c r="D76" s="62">
        <f ca="1">IFERROR(__xludf.DUMMYFUNCTION("""COMPUTED_VALUE"""),35.1428571428571)</f>
        <v>35.142857142857103</v>
      </c>
      <c r="E76" s="62">
        <f ca="1">IFERROR(__xludf.DUMMYFUNCTION("""COMPUTED_VALUE"""),1275.85714285714)</f>
        <v>1275.8571428571399</v>
      </c>
      <c r="F76" s="21">
        <f ca="1">IFERROR(__xludf.DUMMYFUNCTION("""COMPUTED_VALUE"""),1662)</f>
        <v>1662</v>
      </c>
      <c r="G76" s="21">
        <f ca="1">IFERROR(__xludf.DUMMYFUNCTION("""COMPUTED_VALUE"""),32283)</f>
        <v>32283</v>
      </c>
      <c r="H76" s="63">
        <f ca="1">IFERROR(__xludf.DUMMYFUNCTION("""COMPUTED_VALUE"""),66.1428571428571)</f>
        <v>66.142857142857096</v>
      </c>
      <c r="I76" s="63">
        <f ca="1">IFERROR(__xludf.DUMMYFUNCTION("""COMPUTED_VALUE"""),467.857142857142)</f>
        <v>467.85714285714198</v>
      </c>
      <c r="J76" s="57">
        <f ca="1">IFERROR(__xludf.DUMMYFUNCTION("""COMPUTED_VALUE"""),256.571428571428)</f>
        <v>256.57142857142799</v>
      </c>
      <c r="K76" s="57">
        <f ca="1">IFERROR(__xludf.DUMMYFUNCTION("""COMPUTED_VALUE"""),5197.57142857142)</f>
        <v>5197.5714285714203</v>
      </c>
      <c r="L76">
        <f ca="1">IFERROR(__xludf.DUMMYFUNCTION("""COMPUTED_VALUE"""),271516)</f>
        <v>271516</v>
      </c>
      <c r="M76" s="58">
        <f ca="1">IFERROR(__xludf.DUMMYFUNCTION("""COMPUTED_VALUE"""),3663.57142857142)</f>
        <v>3663.5714285714198</v>
      </c>
      <c r="N76" s="57">
        <f ca="1">IFERROR(__xludf.DUMMYFUNCTION("""COMPUTED_VALUE"""),20.1428571428571)</f>
        <v>20.1428571428571</v>
      </c>
      <c r="O76" s="57">
        <f ca="1">IFERROR(__xludf.DUMMYFUNCTION("""COMPUTED_VALUE"""),1530)</f>
        <v>1530</v>
      </c>
      <c r="P76">
        <f ca="1">IFERROR(__xludf.DUMMYFUNCTION("""COMPUTED_VALUE"""),19491)</f>
        <v>19491</v>
      </c>
      <c r="Q76" s="58">
        <f ca="1">IFERROR(__xludf.DUMMYFUNCTION("""COMPUTED_VALUE"""),456.571428571428)</f>
        <v>456.57142857142799</v>
      </c>
      <c r="R76" s="13">
        <f ca="1">IFERROR(__xludf.DUMMYFUNCTION("""COMPUTED_VALUE"""),0.00925714285714285)</f>
        <v>9.2571428571428492E-3</v>
      </c>
      <c r="S76" s="13">
        <f ca="1">IFERROR(__xludf.DUMMYFUNCTION("""COMPUTED_VALUE"""),0.128320168343868)</f>
        <v>0.128320168343868</v>
      </c>
      <c r="T76" s="13">
        <f ca="1">IFERROR(__xludf.DUMMYFUNCTION("""COMPUTED_VALUE"""),0.181965838255621)</f>
        <v>0.18196583825562099</v>
      </c>
      <c r="U76" s="13">
        <f ca="1">IFERROR(__xludf.DUMMYFUNCTION("""COMPUTED_VALUE"""),0.10373115761687)</f>
        <v>0.10373115761687</v>
      </c>
      <c r="V76">
        <f ca="1">IFERROR(__xludf.DUMMYFUNCTION("""COMPUTED_VALUE"""),562)</f>
        <v>562</v>
      </c>
      <c r="W76">
        <f ca="1">IFERROR(__xludf.DUMMYFUNCTION("""COMPUTED_VALUE"""),1896)</f>
        <v>1896</v>
      </c>
      <c r="X76">
        <f ca="1">IFERROR(__xludf.DUMMYFUNCTION("""COMPUTED_VALUE"""),9459)</f>
        <v>9459</v>
      </c>
      <c r="Y76">
        <f ca="1">IFERROR(__xludf.DUMMYFUNCTION("""COMPUTED_VALUE"""),1233)</f>
        <v>1233</v>
      </c>
      <c r="Z76">
        <f ca="1">IFERROR(__xludf.DUMMYFUNCTION("""COMPUTED_VALUE"""),47)</f>
        <v>47</v>
      </c>
      <c r="AA76">
        <f ca="1">IFERROR(__xludf.DUMMYFUNCTION("""COMPUTED_VALUE"""),188)</f>
        <v>188</v>
      </c>
      <c r="AB76">
        <f ca="1">IFERROR(__xludf.DUMMYFUNCTION("""COMPUTED_VALUE"""),1117)</f>
        <v>1117</v>
      </c>
      <c r="AC76">
        <f ca="1">IFERROR(__xludf.DUMMYFUNCTION("""COMPUTED_VALUE"""),169)</f>
        <v>169</v>
      </c>
    </row>
    <row r="77" spans="1:36" ht="13">
      <c r="A77">
        <f t="shared" ca="1" si="0"/>
        <v>76</v>
      </c>
      <c r="B77" s="62">
        <f ca="1">IFERROR(__xludf.DUMMYFUNCTION("""COMPUTED_VALUE"""),5.85714285714285)</f>
        <v>5.8571428571428497</v>
      </c>
      <c r="C77" s="62">
        <f ca="1">IFERROR(__xludf.DUMMYFUNCTION("""COMPUTED_VALUE"""),30.7142857142857)</f>
        <v>30.714285714285701</v>
      </c>
      <c r="D77" s="62">
        <f ca="1">IFERROR(__xludf.DUMMYFUNCTION("""COMPUTED_VALUE"""),35.8571428571428)</f>
        <v>35.857142857142797</v>
      </c>
      <c r="E77" s="62">
        <f ca="1">IFERROR(__xludf.DUMMYFUNCTION("""COMPUTED_VALUE"""),1270.71428571428)</f>
        <v>1270.7142857142801</v>
      </c>
      <c r="F77" s="21">
        <f ca="1">IFERROR(__xludf.DUMMYFUNCTION("""COMPUTED_VALUE"""),1673)</f>
        <v>1673</v>
      </c>
      <c r="G77" s="21">
        <f ca="1">IFERROR(__xludf.DUMMYFUNCTION("""COMPUTED_VALUE"""),32909)</f>
        <v>32909</v>
      </c>
      <c r="H77" s="63">
        <f ca="1">IFERROR(__xludf.DUMMYFUNCTION("""COMPUTED_VALUE"""),63.1428571428571)</f>
        <v>63.142857142857103</v>
      </c>
      <c r="I77" s="63">
        <f ca="1">IFERROR(__xludf.DUMMYFUNCTION("""COMPUTED_VALUE"""),412)</f>
        <v>412</v>
      </c>
      <c r="J77" s="57">
        <f ca="1">IFERROR(__xludf.DUMMYFUNCTION("""COMPUTED_VALUE"""),252.571428571428)</f>
        <v>252.57142857142799</v>
      </c>
      <c r="K77" s="57">
        <f ca="1">IFERROR(__xludf.DUMMYFUNCTION("""COMPUTED_VALUE"""),4704.85714285714)</f>
        <v>4704.8571428571404</v>
      </c>
      <c r="L77">
        <f ca="1">IFERROR(__xludf.DUMMYFUNCTION("""COMPUTED_VALUE"""),271032)</f>
        <v>271032</v>
      </c>
      <c r="M77" s="58">
        <f ca="1">IFERROR(__xludf.DUMMYFUNCTION("""COMPUTED_VALUE"""),3917.85714285714)</f>
        <v>3917.8571428571399</v>
      </c>
      <c r="R77" s="13">
        <f ca="1">IFERROR(__xludf.DUMMYFUNCTION("""COMPUTED_VALUE"""),0.0102428571428571)</f>
        <v>1.02428571428571E-2</v>
      </c>
      <c r="S77" s="13">
        <f ca="1">IFERROR(__xludf.DUMMYFUNCTION("""COMPUTED_VALUE"""),0.130075987613667)</f>
        <v>0.13007598761366701</v>
      </c>
      <c r="T77" s="13">
        <f ca="1">IFERROR(__xludf.DUMMYFUNCTION("""COMPUTED_VALUE"""),0.171994135148766)</f>
        <v>0.17199413514876599</v>
      </c>
      <c r="V77">
        <f ca="1">IFERROR(__xludf.DUMMYFUNCTION("""COMPUTED_VALUE"""),568)</f>
        <v>568</v>
      </c>
      <c r="W77">
        <f ca="1">IFERROR(__xludf.DUMMYFUNCTION("""COMPUTED_VALUE"""),1960)</f>
        <v>1960</v>
      </c>
      <c r="X77">
        <f ca="1">IFERROR(__xludf.DUMMYFUNCTION("""COMPUTED_VALUE"""),8947)</f>
        <v>8947</v>
      </c>
      <c r="Z77">
        <f ca="1">IFERROR(__xludf.DUMMYFUNCTION("""COMPUTED_VALUE"""),46)</f>
        <v>46</v>
      </c>
      <c r="AA77">
        <f ca="1">IFERROR(__xludf.DUMMYFUNCTION("""COMPUTED_VALUE"""),197)</f>
        <v>197</v>
      </c>
      <c r="AB77">
        <f ca="1">IFERROR(__xludf.DUMMYFUNCTION("""COMPUTED_VALUE"""),1093)</f>
        <v>1093</v>
      </c>
      <c r="AD77" s="57">
        <f ca="1">IFERROR(__xludf.DUMMYFUNCTION("""COMPUTED_VALUE"""),63.1428571428571)</f>
        <v>63.142857142857103</v>
      </c>
      <c r="AE77" s="57">
        <f ca="1">IFERROR(__xludf.DUMMYFUNCTION("""COMPUTED_VALUE"""),2223.71428571428)</f>
        <v>2223.7142857142799</v>
      </c>
      <c r="AF77">
        <f ca="1">IFERROR(__xludf.DUMMYFUNCTION("""COMPUTED_VALUE"""),103565)</f>
        <v>103565</v>
      </c>
      <c r="AG77" s="58">
        <f ca="1">IFERROR(__xludf.DUMMYFUNCTION("""COMPUTED_VALUE"""),4375)</f>
        <v>4375</v>
      </c>
      <c r="AH77" s="13">
        <f ca="1">IFERROR(__xludf.DUMMYFUNCTION("""COMPUTED_VALUE"""),0.200661619035195)</f>
        <v>0.200661619035195</v>
      </c>
      <c r="AI77">
        <f ca="1">IFERROR(__xludf.DUMMYFUNCTION("""COMPUTED_VALUE"""),2061)</f>
        <v>2061</v>
      </c>
      <c r="AJ77">
        <f ca="1">IFERROR(__xludf.DUMMYFUNCTION("""COMPUTED_VALUE"""),74)</f>
        <v>74</v>
      </c>
    </row>
    <row r="78" spans="1:36" ht="13">
      <c r="A78">
        <f t="shared" ca="1" si="0"/>
        <v>77</v>
      </c>
      <c r="B78" s="62">
        <f ca="1">IFERROR(__xludf.DUMMYFUNCTION("""COMPUTED_VALUE"""),6)</f>
        <v>6</v>
      </c>
      <c r="C78" s="62">
        <f ca="1">IFERROR(__xludf.DUMMYFUNCTION("""COMPUTED_VALUE"""),33.7142857142857)</f>
        <v>33.714285714285701</v>
      </c>
      <c r="D78" s="62">
        <f ca="1">IFERROR(__xludf.DUMMYFUNCTION("""COMPUTED_VALUE"""),34.7142857142857)</f>
        <v>34.714285714285701</v>
      </c>
      <c r="E78" s="62">
        <f ca="1">IFERROR(__xludf.DUMMYFUNCTION("""COMPUTED_VALUE"""),1342.57142857142)</f>
        <v>1342.57142857142</v>
      </c>
      <c r="F78" s="21">
        <f ca="1">IFERROR(__xludf.DUMMYFUNCTION("""COMPUTED_VALUE"""),1677)</f>
        <v>1677</v>
      </c>
      <c r="G78" s="21">
        <f ca="1">IFERROR(__xludf.DUMMYFUNCTION("""COMPUTED_VALUE"""),34016)</f>
        <v>34016</v>
      </c>
      <c r="H78" s="63">
        <f ca="1">IFERROR(__xludf.DUMMYFUNCTION("""COMPUTED_VALUE"""),57.8571428571428)</f>
        <v>57.857142857142797</v>
      </c>
      <c r="I78" s="63">
        <f ca="1">IFERROR(__xludf.DUMMYFUNCTION("""COMPUTED_VALUE"""),391.571428571428)</f>
        <v>391.57142857142799</v>
      </c>
      <c r="J78" s="57">
        <f ca="1">IFERROR(__xludf.DUMMYFUNCTION("""COMPUTED_VALUE"""),252.428571428571)</f>
        <v>252.42857142857099</v>
      </c>
      <c r="K78" s="57">
        <f ca="1">IFERROR(__xludf.DUMMYFUNCTION("""COMPUTED_VALUE"""),4334.85714285714)</f>
        <v>4334.8571428571404</v>
      </c>
      <c r="L78">
        <f ca="1">IFERROR(__xludf.DUMMYFUNCTION("""COMPUTED_VALUE"""),270295)</f>
        <v>270295</v>
      </c>
      <c r="M78" s="58">
        <f ca="1">IFERROR(__xludf.DUMMYFUNCTION("""COMPUTED_VALUE"""),4090.71428571428)</f>
        <v>4090.7142857142799</v>
      </c>
      <c r="R78" s="13">
        <f ca="1">IFERROR(__xludf.DUMMYFUNCTION("""COMPUTED_VALUE"""),0.0106714285714285)</f>
        <v>1.06714285714285E-2</v>
      </c>
      <c r="S78" s="13">
        <f ca="1">IFERROR(__xludf.DUMMYFUNCTION("""COMPUTED_VALUE"""),0.138774950013656)</f>
        <v>0.138774950013656</v>
      </c>
      <c r="T78" s="13">
        <f ca="1">IFERROR(__xludf.DUMMYFUNCTION("""COMPUTED_VALUE"""),0.166296688844947)</f>
        <v>0.166296688844947</v>
      </c>
      <c r="W78">
        <f ca="1">IFERROR(__xludf.DUMMYFUNCTION("""COMPUTED_VALUE"""),2023)</f>
        <v>2023</v>
      </c>
      <c r="X78">
        <f ca="1">IFERROR(__xludf.DUMMYFUNCTION("""COMPUTED_VALUE"""),8445)</f>
        <v>8445</v>
      </c>
      <c r="AA78">
        <f ca="1">IFERROR(__xludf.DUMMYFUNCTION("""COMPUTED_VALUE"""),201)</f>
        <v>201</v>
      </c>
      <c r="AB78">
        <f ca="1">IFERROR(__xludf.DUMMYFUNCTION("""COMPUTED_VALUE"""),1051)</f>
        <v>1051</v>
      </c>
      <c r="AD78" s="57">
        <f ca="1">IFERROR(__xludf.DUMMYFUNCTION("""COMPUTED_VALUE"""),70)</f>
        <v>70</v>
      </c>
      <c r="AE78" s="57">
        <f ca="1">IFERROR(__xludf.DUMMYFUNCTION("""COMPUTED_VALUE"""),2437.28571428571)</f>
        <v>2437.2857142857101</v>
      </c>
      <c r="AF78">
        <f ca="1">IFERROR(__xludf.DUMMYFUNCTION("""COMPUTED_VALUE"""),103266)</f>
        <v>103266</v>
      </c>
      <c r="AG78" s="58">
        <f ca="1">IFERROR(__xludf.DUMMYFUNCTION("""COMPUTED_VALUE"""),4624.42857142857)</f>
        <v>4624.4285714285697</v>
      </c>
      <c r="AH78" s="13">
        <f ca="1">IFERROR(__xludf.DUMMYFUNCTION("""COMPUTED_VALUE"""),0.279057004457324)</f>
        <v>0.27905700445732401</v>
      </c>
      <c r="AI78">
        <f ca="1">IFERROR(__xludf.DUMMYFUNCTION("""COMPUTED_VALUE"""),2062)</f>
        <v>2062</v>
      </c>
      <c r="AJ78">
        <f ca="1">IFERROR(__xludf.DUMMYFUNCTION("""COMPUTED_VALUE"""),78)</f>
        <v>78</v>
      </c>
    </row>
    <row r="79" spans="1:36" ht="13">
      <c r="A79">
        <f t="shared" ca="1" si="0"/>
        <v>78</v>
      </c>
      <c r="B79" s="62">
        <f ca="1">IFERROR(__xludf.DUMMYFUNCTION("""COMPUTED_VALUE"""),5.71428571428571)</f>
        <v>5.71428571428571</v>
      </c>
      <c r="C79" s="62">
        <f ca="1">IFERROR(__xludf.DUMMYFUNCTION("""COMPUTED_VALUE"""),36.1428571428571)</f>
        <v>36.142857142857103</v>
      </c>
      <c r="D79" s="62">
        <f ca="1">IFERROR(__xludf.DUMMYFUNCTION("""COMPUTED_VALUE"""),36.7142857142857)</f>
        <v>36.714285714285701</v>
      </c>
      <c r="E79" s="62">
        <f ca="1">IFERROR(__xludf.DUMMYFUNCTION("""COMPUTED_VALUE"""),1497.14285714285)</f>
        <v>1497.1428571428501</v>
      </c>
      <c r="F79" s="21">
        <f ca="1">IFERROR(__xludf.DUMMYFUNCTION("""COMPUTED_VALUE"""),1674)</f>
        <v>1674</v>
      </c>
      <c r="G79" s="21">
        <f ca="1">IFERROR(__xludf.DUMMYFUNCTION("""COMPUTED_VALUE"""),35653)</f>
        <v>35653</v>
      </c>
      <c r="H79" s="63">
        <f ca="1">IFERROR(__xludf.DUMMYFUNCTION("""COMPUTED_VALUE"""),50.2857142857142)</f>
        <v>50.285714285714199</v>
      </c>
      <c r="I79" s="63">
        <f ca="1">IFERROR(__xludf.DUMMYFUNCTION("""COMPUTED_VALUE"""),375.142857142857)</f>
        <v>375.142857142857</v>
      </c>
      <c r="J79" s="57">
        <f ca="1">IFERROR(__xludf.DUMMYFUNCTION("""COMPUTED_VALUE"""),239)</f>
        <v>239</v>
      </c>
      <c r="K79" s="57">
        <f ca="1">IFERROR(__xludf.DUMMYFUNCTION("""COMPUTED_VALUE"""),3992.42857142857)</f>
        <v>3992.4285714285702</v>
      </c>
      <c r="L79">
        <f ca="1">IFERROR(__xludf.DUMMYFUNCTION("""COMPUTED_VALUE"""),269595)</f>
        <v>269595</v>
      </c>
      <c r="M79" s="58">
        <f ca="1">IFERROR(__xludf.DUMMYFUNCTION("""COMPUTED_VALUE"""),4162.57142857142)</f>
        <v>4162.5714285714203</v>
      </c>
      <c r="N79" s="57">
        <f ca="1">IFERROR(__xludf.DUMMYFUNCTION("""COMPUTED_VALUE"""),23.5714285714285)</f>
        <v>23.571428571428498</v>
      </c>
      <c r="O79" s="57">
        <f ca="1">IFERROR(__xludf.DUMMYFUNCTION("""COMPUTED_VALUE"""),2017.71428571428)</f>
        <v>2017.7142857142801</v>
      </c>
      <c r="P79">
        <f ca="1">IFERROR(__xludf.DUMMYFUNCTION("""COMPUTED_VALUE"""),24384)</f>
        <v>24384</v>
      </c>
      <c r="Q79" s="58">
        <f ca="1">IFERROR(__xludf.DUMMYFUNCTION("""COMPUTED_VALUE"""),509.142857142857)</f>
        <v>509.142857142857</v>
      </c>
      <c r="R79" s="13">
        <f ca="1">IFERROR(__xludf.DUMMYFUNCTION("""COMPUTED_VALUE"""),0.0110999999999999)</f>
        <v>1.10999999999999E-2</v>
      </c>
      <c r="S79" s="13">
        <f ca="1">IFERROR(__xludf.DUMMYFUNCTION("""COMPUTED_VALUE"""),0.14388350431958)</f>
        <v>0.14388350431958</v>
      </c>
      <c r="T79" s="13">
        <f ca="1">IFERROR(__xludf.DUMMYFUNCTION("""COMPUTED_VALUE"""),0.158517977871323)</f>
        <v>0.15851797787132299</v>
      </c>
      <c r="U79" s="13">
        <f ca="1">IFERROR(__xludf.DUMMYFUNCTION("""COMPUTED_VALUE"""),0.114164078622966)</f>
        <v>0.114164078622966</v>
      </c>
      <c r="V79">
        <f ca="1">IFERROR(__xludf.DUMMYFUNCTION("""COMPUTED_VALUE"""),539)</f>
        <v>539</v>
      </c>
      <c r="W79">
        <f ca="1">IFERROR(__xludf.DUMMYFUNCTION("""COMPUTED_VALUE"""),2132)</f>
        <v>2132</v>
      </c>
      <c r="X79">
        <f ca="1">IFERROR(__xludf.DUMMYFUNCTION("""COMPUTED_VALUE"""),8650)</f>
        <v>8650</v>
      </c>
      <c r="Y79">
        <f ca="1">IFERROR(__xludf.DUMMYFUNCTION("""COMPUTED_VALUE"""),1588)</f>
        <v>1588</v>
      </c>
      <c r="Z79">
        <f ca="1">IFERROR(__xludf.DUMMYFUNCTION("""COMPUTED_VALUE"""),29)</f>
        <v>29</v>
      </c>
      <c r="AA79">
        <f ca="1">IFERROR(__xludf.DUMMYFUNCTION("""COMPUTED_VALUE"""),197)</f>
        <v>197</v>
      </c>
      <c r="AB79">
        <f ca="1">IFERROR(__xludf.DUMMYFUNCTION("""COMPUTED_VALUE"""),1052)</f>
        <v>1052</v>
      </c>
      <c r="AC79">
        <f ca="1">IFERROR(__xludf.DUMMYFUNCTION("""COMPUTED_VALUE"""),191)</f>
        <v>191</v>
      </c>
      <c r="AD79" s="57">
        <f ca="1">IFERROR(__xludf.DUMMYFUNCTION("""COMPUTED_VALUE"""),50.5714285714285)</f>
        <v>50.571428571428498</v>
      </c>
      <c r="AE79" s="57">
        <f ca="1">IFERROR(__xludf.DUMMYFUNCTION("""COMPUTED_VALUE"""),2143.42857142857)</f>
        <v>2143.4285714285702</v>
      </c>
      <c r="AF79">
        <f ca="1">IFERROR(__xludf.DUMMYFUNCTION("""COMPUTED_VALUE"""),102764)</f>
        <v>102764</v>
      </c>
      <c r="AG79" s="58">
        <f ca="1">IFERROR(__xludf.DUMMYFUNCTION("""COMPUTED_VALUE"""),3201.71428571428)</f>
        <v>3201.7142857142799</v>
      </c>
      <c r="AH79" s="13">
        <f ca="1">IFERROR(__xludf.DUMMYFUNCTION("""COMPUTED_VALUE"""),0.315753303132421)</f>
        <v>0.315753303132421</v>
      </c>
      <c r="AI79">
        <f ca="1">IFERROR(__xludf.DUMMYFUNCTION("""COMPUTED_VALUE"""),2006)</f>
        <v>2006</v>
      </c>
      <c r="AJ79">
        <f ca="1">IFERROR(__xludf.DUMMYFUNCTION("""COMPUTED_VALUE"""),77)</f>
        <v>77</v>
      </c>
    </row>
    <row r="80" spans="1:36" ht="13">
      <c r="A80">
        <f t="shared" ca="1" si="0"/>
        <v>79</v>
      </c>
      <c r="B80" s="62">
        <f ca="1">IFERROR(__xludf.DUMMYFUNCTION("""COMPUTED_VALUE"""),5.28571428571428)</f>
        <v>5.2857142857142803</v>
      </c>
      <c r="C80" s="62">
        <f ca="1">IFERROR(__xludf.DUMMYFUNCTION("""COMPUTED_VALUE"""),38.1428571428571)</f>
        <v>38.142857142857103</v>
      </c>
      <c r="D80" s="62">
        <f ca="1">IFERROR(__xludf.DUMMYFUNCTION("""COMPUTED_VALUE"""),37.2857142857142)</f>
        <v>37.285714285714199</v>
      </c>
      <c r="E80" s="62">
        <f ca="1">IFERROR(__xludf.DUMMYFUNCTION("""COMPUTED_VALUE"""),1607.57142857142)</f>
        <v>1607.57142857142</v>
      </c>
      <c r="F80" s="21">
        <f ca="1">IFERROR(__xludf.DUMMYFUNCTION("""COMPUTED_VALUE"""),1659)</f>
        <v>1659</v>
      </c>
      <c r="G80" s="21">
        <f ca="1">IFERROR(__xludf.DUMMYFUNCTION("""COMPUTED_VALUE"""),37272)</f>
        <v>37272</v>
      </c>
      <c r="H80" s="63">
        <f ca="1">IFERROR(__xludf.DUMMYFUNCTION("""COMPUTED_VALUE"""),48.5714285714285)</f>
        <v>48.571428571428498</v>
      </c>
      <c r="I80" s="63">
        <f ca="1">IFERROR(__xludf.DUMMYFUNCTION("""COMPUTED_VALUE"""),360.142857142857)</f>
        <v>360.142857142857</v>
      </c>
      <c r="J80" s="57">
        <f ca="1">IFERROR(__xludf.DUMMYFUNCTION("""COMPUTED_VALUE"""),228.571428571428)</f>
        <v>228.57142857142799</v>
      </c>
      <c r="K80" s="57">
        <f ca="1">IFERROR(__xludf.DUMMYFUNCTION("""COMPUTED_VALUE"""),3822.14285714285)</f>
        <v>3822.1428571428501</v>
      </c>
      <c r="L80">
        <f ca="1">IFERROR(__xludf.DUMMYFUNCTION("""COMPUTED_VALUE"""),268072)</f>
        <v>268072</v>
      </c>
      <c r="M80" s="58">
        <f ca="1">IFERROR(__xludf.DUMMYFUNCTION("""COMPUTED_VALUE"""),4293.85714285714)</f>
        <v>4293.8571428571404</v>
      </c>
      <c r="N80" s="57">
        <f ca="1">IFERROR(__xludf.DUMMYFUNCTION("""COMPUTED_VALUE"""),27.5714285714285)</f>
        <v>27.571428571428498</v>
      </c>
      <c r="O80" s="57">
        <f ca="1">IFERROR(__xludf.DUMMYFUNCTION("""COMPUTED_VALUE"""),2138)</f>
        <v>2138</v>
      </c>
      <c r="P80">
        <f ca="1">IFERROR(__xludf.DUMMYFUNCTION("""COMPUTED_VALUE"""),25775)</f>
        <v>25775</v>
      </c>
      <c r="Q80" s="58">
        <f ca="1">IFERROR(__xludf.DUMMYFUNCTION("""COMPUTED_VALUE"""),512.285714285714)</f>
        <v>512.28571428571399</v>
      </c>
      <c r="R80" s="13">
        <f ca="1">IFERROR(__xludf.DUMMYFUNCTION("""COMPUTED_VALUE"""),0.0112142857142857)</f>
        <v>1.1214285714285699E-2</v>
      </c>
      <c r="S80" s="13">
        <f ca="1">IFERROR(__xludf.DUMMYFUNCTION("""COMPUTED_VALUE"""),0.146686428674552)</f>
        <v>0.14668642867455201</v>
      </c>
      <c r="T80" s="13">
        <f ca="1">IFERROR(__xludf.DUMMYFUNCTION("""COMPUTED_VALUE"""),0.150458640860143)</f>
        <v>0.15045864086014299</v>
      </c>
      <c r="U80" s="13">
        <f ca="1">IFERROR(__xludf.DUMMYFUNCTION("""COMPUTED_VALUE"""),0.126807529024807)</f>
        <v>0.12680752902480699</v>
      </c>
      <c r="V80">
        <f ca="1">IFERROR(__xludf.DUMMYFUNCTION("""COMPUTED_VALUE"""),510)</f>
        <v>510</v>
      </c>
      <c r="W80">
        <f ca="1">IFERROR(__xludf.DUMMYFUNCTION("""COMPUTED_VALUE"""),2209)</f>
        <v>2209</v>
      </c>
      <c r="X80">
        <f ca="1">IFERROR(__xludf.DUMMYFUNCTION("""COMPUTED_VALUE"""),8602)</f>
        <v>8602</v>
      </c>
      <c r="Y80">
        <f ca="1">IFERROR(__xludf.DUMMYFUNCTION("""COMPUTED_VALUE"""),1685)</f>
        <v>1685</v>
      </c>
      <c r="Z80">
        <f ca="1">IFERROR(__xludf.DUMMYFUNCTION("""COMPUTED_VALUE"""),27)</f>
        <v>27</v>
      </c>
      <c r="AA80">
        <f ca="1">IFERROR(__xludf.DUMMYFUNCTION("""COMPUTED_VALUE"""),200)</f>
        <v>200</v>
      </c>
      <c r="AB80">
        <f ca="1">IFERROR(__xludf.DUMMYFUNCTION("""COMPUTED_VALUE"""),980)</f>
        <v>980</v>
      </c>
      <c r="AC80">
        <f ca="1">IFERROR(__xludf.DUMMYFUNCTION("""COMPUTED_VALUE"""),197)</f>
        <v>197</v>
      </c>
      <c r="AD80" s="57">
        <f ca="1">IFERROR(__xludf.DUMMYFUNCTION("""COMPUTED_VALUE"""),46.4285714285714)</f>
        <v>46.428571428571402</v>
      </c>
      <c r="AE80" s="57">
        <f ca="1">IFERROR(__xludf.DUMMYFUNCTION("""COMPUTED_VALUE"""),2307.42857142857)</f>
        <v>2307.4285714285702</v>
      </c>
      <c r="AF80">
        <f ca="1">IFERROR(__xludf.DUMMYFUNCTION("""COMPUTED_VALUE"""),102239)</f>
        <v>102239</v>
      </c>
      <c r="AG80" s="58">
        <f ca="1">IFERROR(__xludf.DUMMYFUNCTION("""COMPUTED_VALUE"""),3192.71428571428)</f>
        <v>3192.7142857142799</v>
      </c>
      <c r="AH80" s="13">
        <f ca="1">IFERROR(__xludf.DUMMYFUNCTION("""COMPUTED_VALUE"""),0.296225846095207)</f>
        <v>0.29622584609520702</v>
      </c>
      <c r="AI80">
        <f ca="1">IFERROR(__xludf.DUMMYFUNCTION("""COMPUTED_VALUE"""),1971)</f>
        <v>1971</v>
      </c>
      <c r="AJ80">
        <f ca="1">IFERROR(__xludf.DUMMYFUNCTION("""COMPUTED_VALUE"""),71)</f>
        <v>71</v>
      </c>
    </row>
    <row r="81" spans="1:36" ht="13">
      <c r="A81">
        <f t="shared" ca="1" si="0"/>
        <v>80</v>
      </c>
      <c r="B81" s="62">
        <f ca="1">IFERROR(__xludf.DUMMYFUNCTION("""COMPUTED_VALUE"""),4.85714285714285)</f>
        <v>4.8571428571428497</v>
      </c>
      <c r="C81" s="62">
        <f ca="1">IFERROR(__xludf.DUMMYFUNCTION("""COMPUTED_VALUE"""),40.1428571428571)</f>
        <v>40.142857142857103</v>
      </c>
      <c r="D81" s="62">
        <f ca="1">IFERROR(__xludf.DUMMYFUNCTION("""COMPUTED_VALUE"""),37.2857142857142)</f>
        <v>37.285714285714199</v>
      </c>
      <c r="E81" s="62">
        <f ca="1">IFERROR(__xludf.DUMMYFUNCTION("""COMPUTED_VALUE"""),1611.71428571428)</f>
        <v>1611.7142857142801</v>
      </c>
      <c r="F81" s="21">
        <f ca="1">IFERROR(__xludf.DUMMYFUNCTION("""COMPUTED_VALUE"""),1615)</f>
        <v>1615</v>
      </c>
      <c r="G81" s="21">
        <f ca="1">IFERROR(__xludf.DUMMYFUNCTION("""COMPUTED_VALUE"""),38701)</f>
        <v>38701</v>
      </c>
      <c r="H81" s="63">
        <f ca="1">IFERROR(__xludf.DUMMYFUNCTION("""COMPUTED_VALUE"""),42.8571428571428)</f>
        <v>42.857142857142797</v>
      </c>
      <c r="I81" s="63">
        <f ca="1">IFERROR(__xludf.DUMMYFUNCTION("""COMPUTED_VALUE"""),346.714285714285)</f>
        <v>346.71428571428498</v>
      </c>
      <c r="J81" s="57">
        <f ca="1">IFERROR(__xludf.DUMMYFUNCTION("""COMPUTED_VALUE"""),217.428571428571)</f>
        <v>217.42857142857099</v>
      </c>
      <c r="K81" s="57">
        <f ca="1">IFERROR(__xludf.DUMMYFUNCTION("""COMPUTED_VALUE"""),3669.28571428571)</f>
        <v>3669.2857142857101</v>
      </c>
      <c r="L81">
        <f ca="1">IFERROR(__xludf.DUMMYFUNCTION("""COMPUTED_VALUE"""),266823)</f>
        <v>266823</v>
      </c>
      <c r="M81" s="58">
        <f ca="1">IFERROR(__xludf.DUMMYFUNCTION("""COMPUTED_VALUE"""),4200.85714285714)</f>
        <v>4200.8571428571404</v>
      </c>
      <c r="N81" s="57">
        <f ca="1">IFERROR(__xludf.DUMMYFUNCTION("""COMPUTED_VALUE"""),28.4285714285714)</f>
        <v>28.428571428571399</v>
      </c>
      <c r="O81" s="57">
        <f ca="1">IFERROR(__xludf.DUMMYFUNCTION("""COMPUTED_VALUE"""),2346.14285714285)</f>
        <v>2346.1428571428501</v>
      </c>
      <c r="P81">
        <f ca="1">IFERROR(__xludf.DUMMYFUNCTION("""COMPUTED_VALUE"""),28257)</f>
        <v>28257</v>
      </c>
      <c r="Q81" s="58">
        <f ca="1">IFERROR(__xludf.DUMMYFUNCTION("""COMPUTED_VALUE"""),525.428571428571)</f>
        <v>525.42857142857099</v>
      </c>
      <c r="R81" s="13">
        <f ca="1">IFERROR(__xludf.DUMMYFUNCTION("""COMPUTED_VALUE"""),0.0105285714285714)</f>
        <v>1.0528571428571399E-2</v>
      </c>
      <c r="S81" s="13">
        <f ca="1">IFERROR(__xludf.DUMMYFUNCTION("""COMPUTED_VALUE"""),0.148680261977037)</f>
        <v>0.14868026197703699</v>
      </c>
      <c r="T81" s="13">
        <f ca="1">IFERROR(__xludf.DUMMYFUNCTION("""COMPUTED_VALUE"""),0.151943471952396)</f>
        <v>0.15194347195239599</v>
      </c>
      <c r="U81" s="13">
        <f ca="1">IFERROR(__xludf.DUMMYFUNCTION("""COMPUTED_VALUE"""),0.138348557204856)</f>
        <v>0.138348557204856</v>
      </c>
      <c r="V81">
        <f ca="1">IFERROR(__xludf.DUMMYFUNCTION("""COMPUTED_VALUE"""),483)</f>
        <v>483</v>
      </c>
      <c r="W81">
        <f ca="1">IFERROR(__xludf.DUMMYFUNCTION("""COMPUTED_VALUE"""),2245)</f>
        <v>2245</v>
      </c>
      <c r="X81">
        <f ca="1">IFERROR(__xludf.DUMMYFUNCTION("""COMPUTED_VALUE"""),8097)</f>
        <v>8097</v>
      </c>
      <c r="Y81">
        <f ca="1">IFERROR(__xludf.DUMMYFUNCTION("""COMPUTED_VALUE"""),1798)</f>
        <v>1798</v>
      </c>
      <c r="Z81">
        <f ca="1">IFERROR(__xludf.DUMMYFUNCTION("""COMPUTED_VALUE"""),23)</f>
        <v>23</v>
      </c>
      <c r="AA81">
        <f ca="1">IFERROR(__xludf.DUMMYFUNCTION("""COMPUTED_VALUE"""),205)</f>
        <v>205</v>
      </c>
      <c r="AB81">
        <f ca="1">IFERROR(__xludf.DUMMYFUNCTION("""COMPUTED_VALUE"""),925)</f>
        <v>925</v>
      </c>
      <c r="AC81">
        <f ca="1">IFERROR(__xludf.DUMMYFUNCTION("""COMPUTED_VALUE"""),197)</f>
        <v>197</v>
      </c>
      <c r="AD81" s="57">
        <f ca="1">IFERROR(__xludf.DUMMYFUNCTION("""COMPUTED_VALUE"""),42.4285714285714)</f>
        <v>42.428571428571402</v>
      </c>
      <c r="AE81" s="57">
        <f ca="1">IFERROR(__xludf.DUMMYFUNCTION("""COMPUTED_VALUE"""),2181.28571428571)</f>
        <v>2181.2857142857101</v>
      </c>
      <c r="AF81">
        <f ca="1">IFERROR(__xludf.DUMMYFUNCTION("""COMPUTED_VALUE"""),100707)</f>
        <v>100707</v>
      </c>
      <c r="AG81" s="58">
        <f ca="1">IFERROR(__xludf.DUMMYFUNCTION("""COMPUTED_VALUE"""),2956.28571428571)</f>
        <v>2956.2857142857101</v>
      </c>
      <c r="AH81" s="13">
        <f ca="1">IFERROR(__xludf.DUMMYFUNCTION("""COMPUTED_VALUE"""),0.265512117009198)</f>
        <v>0.26551211700919802</v>
      </c>
      <c r="AI81">
        <f ca="1">IFERROR(__xludf.DUMMYFUNCTION("""COMPUTED_VALUE"""),1953)</f>
        <v>1953</v>
      </c>
      <c r="AJ81">
        <f ca="1">IFERROR(__xludf.DUMMYFUNCTION("""COMPUTED_VALUE"""),70)</f>
        <v>70</v>
      </c>
    </row>
    <row r="82" spans="1:36" ht="13">
      <c r="A82">
        <f t="shared" ca="1" si="0"/>
        <v>81</v>
      </c>
      <c r="B82" s="62">
        <f ca="1">IFERROR(__xludf.DUMMYFUNCTION("""COMPUTED_VALUE"""),4.85714285714285)</f>
        <v>4.8571428571428497</v>
      </c>
      <c r="C82" s="62">
        <f ca="1">IFERROR(__xludf.DUMMYFUNCTION("""COMPUTED_VALUE"""),40.4285714285714)</f>
        <v>40.428571428571402</v>
      </c>
      <c r="D82" s="62">
        <f ca="1">IFERROR(__xludf.DUMMYFUNCTION("""COMPUTED_VALUE"""),34.2857142857142)</f>
        <v>34.285714285714199</v>
      </c>
      <c r="E82" s="62">
        <f ca="1">IFERROR(__xludf.DUMMYFUNCTION("""COMPUTED_VALUE"""),1851)</f>
        <v>1851</v>
      </c>
      <c r="F82" s="21">
        <f ca="1">IFERROR(__xludf.DUMMYFUNCTION("""COMPUTED_VALUE"""),1576)</f>
        <v>1576</v>
      </c>
      <c r="G82" s="21">
        <f ca="1">IFERROR(__xludf.DUMMYFUNCTION("""COMPUTED_VALUE"""),41580)</f>
        <v>41580</v>
      </c>
      <c r="H82" s="63">
        <f ca="1">IFERROR(__xludf.DUMMYFUNCTION("""COMPUTED_VALUE"""),40.5714285714285)</f>
        <v>40.571428571428498</v>
      </c>
      <c r="I82" s="63">
        <f ca="1">IFERROR(__xludf.DUMMYFUNCTION("""COMPUTED_VALUE"""),307.714285714285)</f>
        <v>307.71428571428498</v>
      </c>
      <c r="J82" s="57">
        <f ca="1">IFERROR(__xludf.DUMMYFUNCTION("""COMPUTED_VALUE"""),211.428571428571)</f>
        <v>211.42857142857099</v>
      </c>
      <c r="K82" s="57">
        <f ca="1">IFERROR(__xludf.DUMMYFUNCTION("""COMPUTED_VALUE"""),3426.42857142857)</f>
        <v>3426.4285714285702</v>
      </c>
      <c r="L82">
        <f ca="1">IFERROR(__xludf.DUMMYFUNCTION("""COMPUTED_VALUE"""),265374)</f>
        <v>265374</v>
      </c>
      <c r="M82" s="58">
        <f ca="1">IFERROR(__xludf.DUMMYFUNCTION("""COMPUTED_VALUE"""),4156.28571428571)</f>
        <v>4156.2857142857101</v>
      </c>
      <c r="N82" s="57">
        <f ca="1">IFERROR(__xludf.DUMMYFUNCTION("""COMPUTED_VALUE"""),32)</f>
        <v>32</v>
      </c>
      <c r="O82" s="57">
        <f ca="1">IFERROR(__xludf.DUMMYFUNCTION("""COMPUTED_VALUE"""),2585.85714285714)</f>
        <v>2585.8571428571399</v>
      </c>
      <c r="P82">
        <f ca="1">IFERROR(__xludf.DUMMYFUNCTION("""COMPUTED_VALUE"""),31544)</f>
        <v>31544</v>
      </c>
      <c r="Q82" s="58">
        <f ca="1">IFERROR(__xludf.DUMMYFUNCTION("""COMPUTED_VALUE"""),550.571428571428)</f>
        <v>550.57142857142799</v>
      </c>
      <c r="R82" s="13">
        <f ca="1">IFERROR(__xludf.DUMMYFUNCTION("""COMPUTED_VALUE"""),0.0100571428571428)</f>
        <v>1.0057142857142799E-2</v>
      </c>
      <c r="S82" s="13">
        <f ca="1">IFERROR(__xludf.DUMMYFUNCTION("""COMPUTED_VALUE"""),0.151378533805028)</f>
        <v>0.151378533805028</v>
      </c>
      <c r="T82" s="13">
        <f ca="1">IFERROR(__xludf.DUMMYFUNCTION("""COMPUTED_VALUE"""),0.136905304286526)</f>
        <v>0.136905304286526</v>
      </c>
      <c r="U82" s="13">
        <f ca="1">IFERROR(__xludf.DUMMYFUNCTION("""COMPUTED_VALUE"""),0.143241924714262)</f>
        <v>0.143241924714262</v>
      </c>
      <c r="V82">
        <f ca="1">IFERROR(__xludf.DUMMYFUNCTION("""COMPUTED_VALUE"""),462)</f>
        <v>462</v>
      </c>
      <c r="W82">
        <f ca="1">IFERROR(__xludf.DUMMYFUNCTION("""COMPUTED_VALUE"""),2449)</f>
        <v>2449</v>
      </c>
      <c r="X82">
        <f ca="1">IFERROR(__xludf.DUMMYFUNCTION("""COMPUTED_VALUE"""),7507)</f>
        <v>7507</v>
      </c>
      <c r="Y82">
        <f ca="1">IFERROR(__xludf.DUMMYFUNCTION("""COMPUTED_VALUE"""),1970)</f>
        <v>1970</v>
      </c>
      <c r="Z82">
        <f ca="1">IFERROR(__xludf.DUMMYFUNCTION("""COMPUTED_VALUE"""),21)</f>
        <v>21</v>
      </c>
      <c r="AA82">
        <f ca="1">IFERROR(__xludf.DUMMYFUNCTION("""COMPUTED_VALUE"""),221)</f>
        <v>221</v>
      </c>
      <c r="AB82">
        <f ca="1">IFERROR(__xludf.DUMMYFUNCTION("""COMPUTED_VALUE"""),876)</f>
        <v>876</v>
      </c>
      <c r="AC82">
        <f ca="1">IFERROR(__xludf.DUMMYFUNCTION("""COMPUTED_VALUE"""),204)</f>
        <v>204</v>
      </c>
    </row>
    <row r="83" spans="1:36" ht="13">
      <c r="A83">
        <f t="shared" ca="1" si="0"/>
        <v>82</v>
      </c>
      <c r="B83" s="62">
        <f ca="1">IFERROR(__xludf.DUMMYFUNCTION("""COMPUTED_VALUE"""),5)</f>
        <v>5</v>
      </c>
      <c r="C83" s="62">
        <f ca="1">IFERROR(__xludf.DUMMYFUNCTION("""COMPUTED_VALUE"""),42.7142857142857)</f>
        <v>42.714285714285701</v>
      </c>
      <c r="D83" s="62">
        <f ca="1">IFERROR(__xludf.DUMMYFUNCTION("""COMPUTED_VALUE"""),33.1428571428571)</f>
        <v>33.142857142857103</v>
      </c>
      <c r="E83" s="62">
        <f ca="1">IFERROR(__xludf.DUMMYFUNCTION("""COMPUTED_VALUE"""),1970.71428571428)</f>
        <v>1970.7142857142801</v>
      </c>
      <c r="F83" s="21">
        <f ca="1">IFERROR(__xludf.DUMMYFUNCTION("""COMPUTED_VALUE"""),1565)</f>
        <v>1565</v>
      </c>
      <c r="G83" s="21">
        <f ca="1">IFERROR(__xludf.DUMMYFUNCTION("""COMPUTED_VALUE"""),43600)</f>
        <v>43600</v>
      </c>
      <c r="H83" s="63">
        <f ca="1">IFERROR(__xludf.DUMMYFUNCTION("""COMPUTED_VALUE"""),42)</f>
        <v>42</v>
      </c>
      <c r="I83" s="63">
        <f ca="1">IFERROR(__xludf.DUMMYFUNCTION("""COMPUTED_VALUE"""),311.285714285714)</f>
        <v>311.28571428571399</v>
      </c>
      <c r="J83" s="57">
        <f ca="1">IFERROR(__xludf.DUMMYFUNCTION("""COMPUTED_VALUE"""),206.571428571428)</f>
        <v>206.57142857142799</v>
      </c>
      <c r="K83" s="57">
        <f ca="1">IFERROR(__xludf.DUMMYFUNCTION("""COMPUTED_VALUE"""),3170.85714285714)</f>
        <v>3170.8571428571399</v>
      </c>
      <c r="L83">
        <f ca="1">IFERROR(__xludf.DUMMYFUNCTION("""COMPUTED_VALUE"""),264039)</f>
        <v>264039</v>
      </c>
      <c r="M83" s="58">
        <f ca="1">IFERROR(__xludf.DUMMYFUNCTION("""COMPUTED_VALUE"""),4032.42857142857)</f>
        <v>4032.4285714285702</v>
      </c>
      <c r="N83" s="57">
        <f ca="1">IFERROR(__xludf.DUMMYFUNCTION("""COMPUTED_VALUE"""),33.8571428571428)</f>
        <v>33.857142857142797</v>
      </c>
      <c r="O83" s="57">
        <f ca="1">IFERROR(__xludf.DUMMYFUNCTION("""COMPUTED_VALUE"""),2799.14285714285)</f>
        <v>2799.1428571428501</v>
      </c>
      <c r="P83">
        <f ca="1">IFERROR(__xludf.DUMMYFUNCTION("""COMPUTED_VALUE"""),34780)</f>
        <v>34780</v>
      </c>
      <c r="Q83" s="58">
        <f ca="1">IFERROR(__xludf.DUMMYFUNCTION("""COMPUTED_VALUE"""),581.142857142857)</f>
        <v>581.142857142857</v>
      </c>
      <c r="R83" s="13">
        <f ca="1">IFERROR(__xludf.DUMMYFUNCTION("""COMPUTED_VALUE"""),0.00975714285714285)</f>
        <v>9.7571428571428497E-3</v>
      </c>
      <c r="S83" s="13">
        <f ca="1">IFERROR(__xludf.DUMMYFUNCTION("""COMPUTED_VALUE"""),0.162553373737806)</f>
        <v>0.16255337373780601</v>
      </c>
      <c r="T83" s="13">
        <f ca="1">IFERROR(__xludf.DUMMYFUNCTION("""COMPUTED_VALUE"""),0.131369912173691)</f>
        <v>0.13136991217369101</v>
      </c>
      <c r="U83" s="13">
        <f ca="1">IFERROR(__xludf.DUMMYFUNCTION("""COMPUTED_VALUE"""),0.152577516351943)</f>
        <v>0.152577516351943</v>
      </c>
      <c r="V83">
        <f ca="1">IFERROR(__xludf.DUMMYFUNCTION("""COMPUTED_VALUE"""),442)</f>
        <v>442</v>
      </c>
      <c r="W83">
        <f ca="1">IFERROR(__xludf.DUMMYFUNCTION("""COMPUTED_VALUE"""),2602)</f>
        <v>2602</v>
      </c>
      <c r="X83">
        <f ca="1">IFERROR(__xludf.DUMMYFUNCTION("""COMPUTED_VALUE"""),7177)</f>
        <v>7177</v>
      </c>
      <c r="Y83">
        <f ca="1">IFERROR(__xludf.DUMMYFUNCTION("""COMPUTED_VALUE"""),2130)</f>
        <v>2130</v>
      </c>
      <c r="Z83">
        <f ca="1">IFERROR(__xludf.DUMMYFUNCTION("""COMPUTED_VALUE"""),28)</f>
        <v>28</v>
      </c>
      <c r="AA83">
        <f ca="1">IFERROR(__xludf.DUMMYFUNCTION("""COMPUTED_VALUE"""),233)</f>
        <v>233</v>
      </c>
      <c r="AB83">
        <f ca="1">IFERROR(__xludf.DUMMYFUNCTION("""COMPUTED_VALUE"""),844)</f>
        <v>844</v>
      </c>
      <c r="AC83">
        <f ca="1">IFERROR(__xludf.DUMMYFUNCTION("""COMPUTED_VALUE"""),230)</f>
        <v>230</v>
      </c>
    </row>
    <row r="84" spans="1:36" ht="13">
      <c r="A84">
        <f t="shared" ca="1" si="0"/>
        <v>83</v>
      </c>
      <c r="B84" s="62">
        <f ca="1">IFERROR(__xludf.DUMMYFUNCTION("""COMPUTED_VALUE"""),4.14285714285714)</f>
        <v>4.1428571428571397</v>
      </c>
      <c r="C84" s="62">
        <f ca="1">IFERROR(__xludf.DUMMYFUNCTION("""COMPUTED_VALUE"""),46.2857142857142)</f>
        <v>46.285714285714199</v>
      </c>
      <c r="D84" s="62">
        <f ca="1">IFERROR(__xludf.DUMMYFUNCTION("""COMPUTED_VALUE"""),31.5714285714285)</f>
        <v>31.571428571428498</v>
      </c>
      <c r="E84" s="62">
        <f ca="1">IFERROR(__xludf.DUMMYFUNCTION("""COMPUTED_VALUE"""),2126.42857142857)</f>
        <v>2126.4285714285702</v>
      </c>
      <c r="F84" s="21">
        <f ca="1">IFERROR(__xludf.DUMMYFUNCTION("""COMPUTED_VALUE"""),1554)</f>
        <v>1554</v>
      </c>
      <c r="G84" s="21">
        <f ca="1">IFERROR(__xludf.DUMMYFUNCTION("""COMPUTED_VALUE"""),45461)</f>
        <v>45461</v>
      </c>
      <c r="H84" s="63">
        <f ca="1">IFERROR(__xludf.DUMMYFUNCTION("""COMPUTED_VALUE"""),44.4285714285714)</f>
        <v>44.428571428571402</v>
      </c>
      <c r="I84" s="63">
        <f ca="1">IFERROR(__xludf.DUMMYFUNCTION("""COMPUTED_VALUE"""),287)</f>
        <v>287</v>
      </c>
      <c r="J84" s="57">
        <f ca="1">IFERROR(__xludf.DUMMYFUNCTION("""COMPUTED_VALUE"""),205.857142857142)</f>
        <v>205.85714285714201</v>
      </c>
      <c r="K84" s="57">
        <f ca="1">IFERROR(__xludf.DUMMYFUNCTION("""COMPUTED_VALUE"""),2912.57142857142)</f>
        <v>2912.5714285714198</v>
      </c>
      <c r="L84">
        <f ca="1">IFERROR(__xludf.DUMMYFUNCTION("""COMPUTED_VALUE"""),262447)</f>
        <v>262447</v>
      </c>
      <c r="M84" s="58">
        <f ca="1">IFERROR(__xludf.DUMMYFUNCTION("""COMPUTED_VALUE"""),3933.14285714285)</f>
        <v>3933.1428571428501</v>
      </c>
      <c r="R84" s="13">
        <f ca="1">IFERROR(__xludf.DUMMYFUNCTION("""COMPUTED_VALUE"""),0.00927142857142857)</f>
        <v>9.2714285714285694E-3</v>
      </c>
      <c r="S84" s="13">
        <f ca="1">IFERROR(__xludf.DUMMYFUNCTION("""COMPUTED_VALUE"""),0.165603343254256)</f>
        <v>0.16560334325425599</v>
      </c>
      <c r="T84" s="13">
        <f ca="1">IFERROR(__xludf.DUMMYFUNCTION("""COMPUTED_VALUE"""),0.126669079075738)</f>
        <v>0.12666907907573799</v>
      </c>
      <c r="W84">
        <f ca="1">IFERROR(__xludf.DUMMYFUNCTION("""COMPUTED_VALUE"""),2891)</f>
        <v>2891</v>
      </c>
      <c r="X84">
        <f ca="1">IFERROR(__xludf.DUMMYFUNCTION("""COMPUTED_VALUE"""),6737)</f>
        <v>6737</v>
      </c>
      <c r="AA84">
        <f ca="1">IFERROR(__xludf.DUMMYFUNCTION("""COMPUTED_VALUE"""),243)</f>
        <v>243</v>
      </c>
      <c r="AB84">
        <f ca="1">IFERROR(__xludf.DUMMYFUNCTION("""COMPUTED_VALUE"""),813)</f>
        <v>813</v>
      </c>
      <c r="AD84" s="57">
        <f ca="1">IFERROR(__xludf.DUMMYFUNCTION("""COMPUTED_VALUE"""),35.2857142857142)</f>
        <v>35.285714285714199</v>
      </c>
      <c r="AE84" s="57">
        <f ca="1">IFERROR(__xludf.DUMMYFUNCTION("""COMPUTED_VALUE"""),2093.28571428571)</f>
        <v>2093.2857142857101</v>
      </c>
      <c r="AF84">
        <f ca="1">IFERROR(__xludf.DUMMYFUNCTION("""COMPUTED_VALUE"""),100067)</f>
        <v>100067</v>
      </c>
      <c r="AG84" s="58">
        <f ca="1">IFERROR(__xludf.DUMMYFUNCTION("""COMPUTED_VALUE"""),2557.71428571428)</f>
        <v>2557.7142857142799</v>
      </c>
      <c r="AH84" s="13">
        <f ca="1">IFERROR(__xludf.DUMMYFUNCTION("""COMPUTED_VALUE"""),0.269572791432014)</f>
        <v>0.26957279143201401</v>
      </c>
      <c r="AI84">
        <f ca="1">IFERROR(__xludf.DUMMYFUNCTION("""COMPUTED_VALUE"""),1887)</f>
        <v>1887</v>
      </c>
      <c r="AJ84">
        <f ca="1">IFERROR(__xludf.DUMMYFUNCTION("""COMPUTED_VALUE"""),60)</f>
        <v>60</v>
      </c>
    </row>
    <row r="85" spans="1:36" ht="13">
      <c r="A85">
        <f t="shared" ca="1" si="0"/>
        <v>84</v>
      </c>
      <c r="B85" s="62">
        <f ca="1">IFERROR(__xludf.DUMMYFUNCTION("""COMPUTED_VALUE"""),4.57142857142857)</f>
        <v>4.5714285714285703</v>
      </c>
      <c r="C85" s="62">
        <f ca="1">IFERROR(__xludf.DUMMYFUNCTION("""COMPUTED_VALUE"""),45.5714285714285)</f>
        <v>45.571428571428498</v>
      </c>
      <c r="D85" s="62">
        <f ca="1">IFERROR(__xludf.DUMMYFUNCTION("""COMPUTED_VALUE"""),30.7142857142857)</f>
        <v>30.714285714285701</v>
      </c>
      <c r="E85" s="62">
        <f ca="1">IFERROR(__xludf.DUMMYFUNCTION("""COMPUTED_VALUE"""),2250.42857142857)</f>
        <v>2250.4285714285702</v>
      </c>
      <c r="F85" s="21">
        <f ca="1">IFERROR(__xludf.DUMMYFUNCTION("""COMPUTED_VALUE"""),1436)</f>
        <v>1436</v>
      </c>
      <c r="G85" s="21">
        <f ca="1">IFERROR(__xludf.DUMMYFUNCTION("""COMPUTED_VALUE"""),47257)</f>
        <v>47257</v>
      </c>
      <c r="H85" s="63">
        <f ca="1">IFERROR(__xludf.DUMMYFUNCTION("""COMPUTED_VALUE"""),60.5714285714285)</f>
        <v>60.571428571428498</v>
      </c>
      <c r="I85" s="63">
        <f ca="1">IFERROR(__xludf.DUMMYFUNCTION("""COMPUTED_VALUE"""),313.285714285714)</f>
        <v>313.28571428571399</v>
      </c>
      <c r="J85" s="57">
        <f ca="1">IFERROR(__xludf.DUMMYFUNCTION("""COMPUTED_VALUE"""),205.857142857142)</f>
        <v>205.85714285714201</v>
      </c>
      <c r="K85" s="57">
        <f ca="1">IFERROR(__xludf.DUMMYFUNCTION("""COMPUTED_VALUE"""),2715.71428571428)</f>
        <v>2715.7142857142799</v>
      </c>
      <c r="L85">
        <f ca="1">IFERROR(__xludf.DUMMYFUNCTION("""COMPUTED_VALUE"""),260686)</f>
        <v>260686</v>
      </c>
      <c r="M85" s="58">
        <f ca="1">IFERROR(__xludf.DUMMYFUNCTION("""COMPUTED_VALUE"""),3882.57142857142)</f>
        <v>3882.5714285714198</v>
      </c>
      <c r="R85" s="13">
        <f ca="1">IFERROR(__xludf.DUMMYFUNCTION("""COMPUTED_VALUE"""),0.00851428571428571)</f>
        <v>8.5142857142857103E-3</v>
      </c>
      <c r="S85" s="13">
        <f ca="1">IFERROR(__xludf.DUMMYFUNCTION("""COMPUTED_VALUE"""),0.164281355541504)</f>
        <v>0.164281355541504</v>
      </c>
      <c r="T85" s="13">
        <f ca="1">IFERROR(__xludf.DUMMYFUNCTION("""COMPUTED_VALUE"""),0.122288741918015)</f>
        <v>0.122288741918015</v>
      </c>
      <c r="V85">
        <f ca="1">IFERROR(__xludf.DUMMYFUNCTION("""COMPUTED_VALUE"""),436)</f>
        <v>436</v>
      </c>
      <c r="W85">
        <f ca="1">IFERROR(__xludf.DUMMYFUNCTION("""COMPUTED_VALUE"""),3166)</f>
        <v>3166</v>
      </c>
      <c r="X85">
        <f ca="1">IFERROR(__xludf.DUMMYFUNCTION("""COMPUTED_VALUE"""),6284)</f>
        <v>6284</v>
      </c>
      <c r="Z85">
        <f ca="1">IFERROR(__xludf.DUMMYFUNCTION("""COMPUTED_VALUE"""),27)</f>
        <v>27</v>
      </c>
      <c r="AA85">
        <f ca="1">IFERROR(__xludf.DUMMYFUNCTION("""COMPUTED_VALUE"""),263)</f>
        <v>263</v>
      </c>
      <c r="AB85">
        <f ca="1">IFERROR(__xludf.DUMMYFUNCTION("""COMPUTED_VALUE"""),790)</f>
        <v>790</v>
      </c>
      <c r="AD85" s="57">
        <f ca="1">IFERROR(__xludf.DUMMYFUNCTION("""COMPUTED_VALUE"""),35.2857142857142)</f>
        <v>35.285714285714199</v>
      </c>
      <c r="AE85" s="57">
        <f ca="1">IFERROR(__xludf.DUMMYFUNCTION("""COMPUTED_VALUE"""),2126.85714285714)</f>
        <v>2126.8571428571399</v>
      </c>
      <c r="AF85">
        <f ca="1">IFERROR(__xludf.DUMMYFUNCTION("""COMPUTED_VALUE"""),100193)</f>
        <v>100193</v>
      </c>
      <c r="AG85" s="58">
        <f ca="1">IFERROR(__xludf.DUMMYFUNCTION("""COMPUTED_VALUE"""),2530.57142857142)</f>
        <v>2530.5714285714198</v>
      </c>
      <c r="AH85" s="13">
        <f ca="1">IFERROR(__xludf.DUMMYFUNCTION("""COMPUTED_VALUE"""),0.235891802494765)</f>
        <v>0.23589180249476499</v>
      </c>
      <c r="AI85">
        <f ca="1">IFERROR(__xludf.DUMMYFUNCTION("""COMPUTED_VALUE"""),1896)</f>
        <v>1896</v>
      </c>
      <c r="AJ85">
        <f ca="1">IFERROR(__xludf.DUMMYFUNCTION("""COMPUTED_VALUE"""),55)</f>
        <v>55</v>
      </c>
    </row>
    <row r="86" spans="1:36" ht="13">
      <c r="A86">
        <f t="shared" ca="1" si="0"/>
        <v>85</v>
      </c>
      <c r="B86" s="62">
        <f ca="1">IFERROR(__xludf.DUMMYFUNCTION("""COMPUTED_VALUE"""),5)</f>
        <v>5</v>
      </c>
      <c r="C86" s="62">
        <f ca="1">IFERROR(__xludf.DUMMYFUNCTION("""COMPUTED_VALUE"""),47)</f>
        <v>47</v>
      </c>
      <c r="D86" s="62">
        <f ca="1">IFERROR(__xludf.DUMMYFUNCTION("""COMPUTED_VALUE"""),27.8571428571428)</f>
        <v>27.857142857142801</v>
      </c>
      <c r="E86" s="62">
        <f ca="1">IFERROR(__xludf.DUMMYFUNCTION("""COMPUTED_VALUE"""),2273.57142857142)</f>
        <v>2273.5714285714198</v>
      </c>
      <c r="F86" s="21">
        <f ca="1">IFERROR(__xludf.DUMMYFUNCTION("""COMPUTED_VALUE"""),1432)</f>
        <v>1432</v>
      </c>
      <c r="G86" s="21">
        <f ca="1">IFERROR(__xludf.DUMMYFUNCTION("""COMPUTED_VALUE"""),49024)</f>
        <v>49024</v>
      </c>
      <c r="H86" s="63">
        <f ca="1">IFERROR(__xludf.DUMMYFUNCTION("""COMPUTED_VALUE"""),57.4285714285714)</f>
        <v>57.428571428571402</v>
      </c>
      <c r="I86" s="63">
        <f ca="1">IFERROR(__xludf.DUMMYFUNCTION("""COMPUTED_VALUE"""),316.428571428571)</f>
        <v>316.42857142857099</v>
      </c>
      <c r="J86" s="57">
        <f ca="1">IFERROR(__xludf.DUMMYFUNCTION("""COMPUTED_VALUE"""),202.857142857142)</f>
        <v>202.85714285714201</v>
      </c>
      <c r="K86" s="57">
        <f ca="1">IFERROR(__xludf.DUMMYFUNCTION("""COMPUTED_VALUE"""),2609.42857142857)</f>
        <v>2609.4285714285702</v>
      </c>
      <c r="L86">
        <f ca="1">IFERROR(__xludf.DUMMYFUNCTION("""COMPUTED_VALUE"""),258218)</f>
        <v>258218</v>
      </c>
      <c r="M86" s="58">
        <f ca="1">IFERROR(__xludf.DUMMYFUNCTION("""COMPUTED_VALUE"""),4031.85714285714)</f>
        <v>4031.8571428571399</v>
      </c>
      <c r="N86" s="57">
        <f ca="1">IFERROR(__xludf.DUMMYFUNCTION("""COMPUTED_VALUE"""),44.8571428571428)</f>
        <v>44.857142857142797</v>
      </c>
      <c r="O86" s="57">
        <f ca="1">IFERROR(__xludf.DUMMYFUNCTION("""COMPUTED_VALUE"""),3445.28571428571)</f>
        <v>3445.2857142857101</v>
      </c>
      <c r="P86">
        <f ca="1">IFERROR(__xludf.DUMMYFUNCTION("""COMPUTED_VALUE"""),43542)</f>
        <v>43542</v>
      </c>
      <c r="Q86" s="58">
        <f ca="1">IFERROR(__xludf.DUMMYFUNCTION("""COMPUTED_VALUE"""),663.571428571428)</f>
        <v>663.57142857142799</v>
      </c>
      <c r="R86" s="13">
        <f ca="1">IFERROR(__xludf.DUMMYFUNCTION("""COMPUTED_VALUE"""),0.00788571428571428)</f>
        <v>7.8857142857142806E-3</v>
      </c>
      <c r="S86" s="13">
        <f ca="1">IFERROR(__xludf.DUMMYFUNCTION("""COMPUTED_VALUE"""),0.167087465332204)</f>
        <v>0.167087465332204</v>
      </c>
      <c r="T86" s="13">
        <f ca="1">IFERROR(__xludf.DUMMYFUNCTION("""COMPUTED_VALUE"""),0.119178695208034)</f>
        <v>0.11917869520803399</v>
      </c>
      <c r="U86" s="13">
        <f ca="1">IFERROR(__xludf.DUMMYFUNCTION("""COMPUTED_VALUE"""),0.155101309153435)</f>
        <v>0.15510130915343501</v>
      </c>
      <c r="V86">
        <f ca="1">IFERROR(__xludf.DUMMYFUNCTION("""COMPUTED_VALUE"""),430)</f>
        <v>430</v>
      </c>
      <c r="W86">
        <f ca="1">IFERROR(__xludf.DUMMYFUNCTION("""COMPUTED_VALUE"""),3197)</f>
        <v>3197</v>
      </c>
      <c r="X86">
        <f ca="1">IFERROR(__xludf.DUMMYFUNCTION("""COMPUTED_VALUE"""),6443)</f>
        <v>6443</v>
      </c>
      <c r="Y86">
        <f ca="1">IFERROR(__xludf.DUMMYFUNCTION("""COMPUTED_VALUE"""),2605)</f>
        <v>2605</v>
      </c>
      <c r="Z86">
        <f ca="1">IFERROR(__xludf.DUMMYFUNCTION("""COMPUTED_VALUE"""),25)</f>
        <v>25</v>
      </c>
      <c r="AA86">
        <f ca="1">IFERROR(__xludf.DUMMYFUNCTION("""COMPUTED_VALUE"""),255)</f>
        <v>255</v>
      </c>
      <c r="AB86">
        <f ca="1">IFERROR(__xludf.DUMMYFUNCTION("""COMPUTED_VALUE"""),782)</f>
        <v>782</v>
      </c>
      <c r="AC86">
        <f ca="1">IFERROR(__xludf.DUMMYFUNCTION("""COMPUTED_VALUE"""),299)</f>
        <v>299</v>
      </c>
      <c r="AD86" s="57">
        <f ca="1">IFERROR(__xludf.DUMMYFUNCTION("""COMPUTED_VALUE"""),35)</f>
        <v>35</v>
      </c>
      <c r="AE86" s="57">
        <f ca="1">IFERROR(__xludf.DUMMYFUNCTION("""COMPUTED_VALUE"""),2135.57142857142)</f>
        <v>2135.5714285714198</v>
      </c>
      <c r="AF86">
        <f ca="1">IFERROR(__xludf.DUMMYFUNCTION("""COMPUTED_VALUE"""),99855)</f>
        <v>99855</v>
      </c>
      <c r="AG86" s="58">
        <f ca="1">IFERROR(__xludf.DUMMYFUNCTION("""COMPUTED_VALUE"""),2516.14285714285)</f>
        <v>2516.1428571428501</v>
      </c>
      <c r="AH86" s="13">
        <f ca="1">IFERROR(__xludf.DUMMYFUNCTION("""COMPUTED_VALUE"""),0.241139266508268)</f>
        <v>0.241139266508268</v>
      </c>
      <c r="AI86">
        <f ca="1">IFERROR(__xludf.DUMMYFUNCTION("""COMPUTED_VALUE"""),1873)</f>
        <v>1873</v>
      </c>
      <c r="AJ86">
        <f ca="1">IFERROR(__xludf.DUMMYFUNCTION("""COMPUTED_VALUE"""),55)</f>
        <v>55</v>
      </c>
    </row>
    <row r="87" spans="1:36" ht="13">
      <c r="A87">
        <f t="shared" ca="1" si="0"/>
        <v>86</v>
      </c>
      <c r="B87" s="62">
        <f ca="1">IFERROR(__xludf.DUMMYFUNCTION("""COMPUTED_VALUE"""),5.14285714285714)</f>
        <v>5.1428571428571397</v>
      </c>
      <c r="C87" s="62">
        <f ca="1">IFERROR(__xludf.DUMMYFUNCTION("""COMPUTED_VALUE"""),49.5714285714285)</f>
        <v>49.571428571428498</v>
      </c>
      <c r="D87" s="62">
        <f ca="1">IFERROR(__xludf.DUMMYFUNCTION("""COMPUTED_VALUE"""),25)</f>
        <v>25</v>
      </c>
      <c r="E87" s="62">
        <f ca="1">IFERROR(__xludf.DUMMYFUNCTION("""COMPUTED_VALUE"""),2447.85714285714)</f>
        <v>2447.8571428571399</v>
      </c>
      <c r="F87" s="21">
        <f ca="1">IFERROR(__xludf.DUMMYFUNCTION("""COMPUTED_VALUE"""),1311)</f>
        <v>1311</v>
      </c>
      <c r="G87" s="21">
        <f ca="1">IFERROR(__xludf.DUMMYFUNCTION("""COMPUTED_VALUE"""),51761)</f>
        <v>51761</v>
      </c>
      <c r="H87" s="63">
        <f ca="1">IFERROR(__xludf.DUMMYFUNCTION("""COMPUTED_VALUE"""),69.5714285714285)</f>
        <v>69.571428571428498</v>
      </c>
      <c r="I87" s="63">
        <f ca="1">IFERROR(__xludf.DUMMYFUNCTION("""COMPUTED_VALUE"""),328.285714285714)</f>
        <v>328.28571428571399</v>
      </c>
      <c r="J87" s="57">
        <f ca="1">IFERROR(__xludf.DUMMYFUNCTION("""COMPUTED_VALUE"""),200.571428571428)</f>
        <v>200.57142857142799</v>
      </c>
      <c r="K87" s="57">
        <f ca="1">IFERROR(__xludf.DUMMYFUNCTION("""COMPUTED_VALUE"""),2553.42857142857)</f>
        <v>2553.4285714285702</v>
      </c>
      <c r="L87">
        <f ca="1">IFERROR(__xludf.DUMMYFUNCTION("""COMPUTED_VALUE"""),254103)</f>
        <v>254103</v>
      </c>
      <c r="M87" s="58">
        <f ca="1">IFERROR(__xludf.DUMMYFUNCTION("""COMPUTED_VALUE"""),4348.42857142857)</f>
        <v>4348.4285714285697</v>
      </c>
      <c r="N87" s="57">
        <f ca="1">IFERROR(__xludf.DUMMYFUNCTION("""COMPUTED_VALUE"""),44.1428571428571)</f>
        <v>44.142857142857103</v>
      </c>
      <c r="O87" s="57">
        <f ca="1">IFERROR(__xludf.DUMMYFUNCTION("""COMPUTED_VALUE"""),3469)</f>
        <v>3469</v>
      </c>
      <c r="P87">
        <f ca="1">IFERROR(__xludf.DUMMYFUNCTION("""COMPUTED_VALUE"""),44781)</f>
        <v>44781</v>
      </c>
      <c r="Q87" s="58">
        <f ca="1">IFERROR(__xludf.DUMMYFUNCTION("""COMPUTED_VALUE"""),709.714285714285)</f>
        <v>709.71428571428498</v>
      </c>
      <c r="R87" s="13">
        <f ca="1">IFERROR(__xludf.DUMMYFUNCTION("""COMPUTED_VALUE"""),0.00741428571428571)</f>
        <v>7.4142857142857101E-3</v>
      </c>
      <c r="S87" s="13">
        <f ca="1">IFERROR(__xludf.DUMMYFUNCTION("""COMPUTED_VALUE"""),0.175448826009987)</f>
        <v>0.17544882600998701</v>
      </c>
      <c r="T87" s="13">
        <f ca="1">IFERROR(__xludf.DUMMYFUNCTION("""COMPUTED_VALUE"""),0.116751699045433)</f>
        <v>0.11675169904543301</v>
      </c>
      <c r="U87" s="13">
        <f ca="1">IFERROR(__xludf.DUMMYFUNCTION("""COMPUTED_VALUE"""),0.155582863071116)</f>
        <v>0.15558286307111599</v>
      </c>
      <c r="V87">
        <f ca="1">IFERROR(__xludf.DUMMYFUNCTION("""COMPUTED_VALUE"""),404)</f>
        <v>404</v>
      </c>
      <c r="W87">
        <f ca="1">IFERROR(__xludf.DUMMYFUNCTION("""COMPUTED_VALUE"""),3753)</f>
        <v>3753</v>
      </c>
      <c r="X87">
        <f ca="1">IFERROR(__xludf.DUMMYFUNCTION("""COMPUTED_VALUE"""),6360)</f>
        <v>6360</v>
      </c>
      <c r="Y87">
        <f ca="1">IFERROR(__xludf.DUMMYFUNCTION("""COMPUTED_VALUE"""),2839)</f>
        <v>2839</v>
      </c>
      <c r="Z87">
        <f ca="1">IFERROR(__xludf.DUMMYFUNCTION("""COMPUTED_VALUE"""),24)</f>
        <v>24</v>
      </c>
      <c r="AA87">
        <f ca="1">IFERROR(__xludf.DUMMYFUNCTION("""COMPUTED_VALUE"""),267)</f>
        <v>267</v>
      </c>
      <c r="AB87">
        <f ca="1">IFERROR(__xludf.DUMMYFUNCTION("""COMPUTED_VALUE"""),753)</f>
        <v>753</v>
      </c>
      <c r="AC87">
        <f ca="1">IFERROR(__xludf.DUMMYFUNCTION("""COMPUTED_VALUE"""),312)</f>
        <v>312</v>
      </c>
      <c r="AD87" s="57">
        <f ca="1">IFERROR(__xludf.DUMMYFUNCTION("""COMPUTED_VALUE"""),35.7142857142857)</f>
        <v>35.714285714285701</v>
      </c>
      <c r="AE87" s="57">
        <f ca="1">IFERROR(__xludf.DUMMYFUNCTION("""COMPUTED_VALUE"""),2136)</f>
        <v>2136</v>
      </c>
      <c r="AF87">
        <f ca="1">IFERROR(__xludf.DUMMYFUNCTION("""COMPUTED_VALUE"""),99675)</f>
        <v>99675</v>
      </c>
      <c r="AG87" s="58">
        <f ca="1">IFERROR(__xludf.DUMMYFUNCTION("""COMPUTED_VALUE"""),2466.57142857142)</f>
        <v>2466.5714285714198</v>
      </c>
      <c r="AH87" s="13">
        <f ca="1">IFERROR(__xludf.DUMMYFUNCTION("""COMPUTED_VALUE"""),0.222152068550892)</f>
        <v>0.22215206855089201</v>
      </c>
      <c r="AI87">
        <f ca="1">IFERROR(__xludf.DUMMYFUNCTION("""COMPUTED_VALUE"""),1865)</f>
        <v>1865</v>
      </c>
      <c r="AJ87">
        <f ca="1">IFERROR(__xludf.DUMMYFUNCTION("""COMPUTED_VALUE"""),52)</f>
        <v>52</v>
      </c>
    </row>
    <row r="88" spans="1:36" ht="13">
      <c r="A88">
        <f t="shared" ca="1" si="0"/>
        <v>87</v>
      </c>
      <c r="B88" s="62">
        <f ca="1">IFERROR(__xludf.DUMMYFUNCTION("""COMPUTED_VALUE"""),5.85714285714285)</f>
        <v>5.8571428571428497</v>
      </c>
      <c r="C88" s="62">
        <f ca="1">IFERROR(__xludf.DUMMYFUNCTION("""COMPUTED_VALUE"""),51.4285714285714)</f>
        <v>51.428571428571402</v>
      </c>
      <c r="D88" s="62">
        <f ca="1">IFERROR(__xludf.DUMMYFUNCTION("""COMPUTED_VALUE"""),23.2857142857142)</f>
        <v>23.285714285714199</v>
      </c>
      <c r="E88" s="62">
        <f ca="1">IFERROR(__xludf.DUMMYFUNCTION("""COMPUTED_VALUE"""),2746.14285714285)</f>
        <v>2746.1428571428501</v>
      </c>
      <c r="F88" s="21">
        <f ca="1">IFERROR(__xludf.DUMMYFUNCTION("""COMPUTED_VALUE"""),1300)</f>
        <v>1300</v>
      </c>
      <c r="G88" s="21">
        <f ca="1">IFERROR(__xludf.DUMMYFUNCTION("""COMPUTED_VALUE"""),54539)</f>
        <v>54539</v>
      </c>
      <c r="H88" s="63">
        <f ca="1">IFERROR(__xludf.DUMMYFUNCTION("""COMPUTED_VALUE"""),62.4285714285714)</f>
        <v>62.428571428571402</v>
      </c>
      <c r="I88" s="63">
        <f ca="1">IFERROR(__xludf.DUMMYFUNCTION("""COMPUTED_VALUE"""),432.142857142857)</f>
        <v>432.142857142857</v>
      </c>
      <c r="J88" s="57">
        <f ca="1">IFERROR(__xludf.DUMMYFUNCTION("""COMPUTED_VALUE"""),197.857142857142)</f>
        <v>197.85714285714201</v>
      </c>
      <c r="K88" s="57">
        <f ca="1">IFERROR(__xludf.DUMMYFUNCTION("""COMPUTED_VALUE"""),2434.14285714285)</f>
        <v>2434.1428571428501</v>
      </c>
      <c r="L88">
        <f ca="1">IFERROR(__xludf.DUMMYFUNCTION("""COMPUTED_VALUE"""),250143)</f>
        <v>250143</v>
      </c>
      <c r="M88" s="58">
        <f ca="1">IFERROR(__xludf.DUMMYFUNCTION("""COMPUTED_VALUE"""),4619.14285714285)</f>
        <v>4619.1428571428496</v>
      </c>
      <c r="N88" s="57">
        <f ca="1">IFERROR(__xludf.DUMMYFUNCTION("""COMPUTED_VALUE"""),49.5714285714285)</f>
        <v>49.571428571428498</v>
      </c>
      <c r="O88" s="57">
        <f ca="1">IFERROR(__xludf.DUMMYFUNCTION("""COMPUTED_VALUE"""),3393.28571428571)</f>
        <v>3393.2857142857101</v>
      </c>
      <c r="P88">
        <f ca="1">IFERROR(__xludf.DUMMYFUNCTION("""COMPUTED_VALUE"""),46408)</f>
        <v>46408</v>
      </c>
      <c r="Q88" s="58">
        <f ca="1">IFERROR(__xludf.DUMMYFUNCTION("""COMPUTED_VALUE"""),750.714285714285)</f>
        <v>750.71428571428498</v>
      </c>
      <c r="R88" s="13">
        <f ca="1">IFERROR(__xludf.DUMMYFUNCTION("""COMPUTED_VALUE"""),0.00735714285714285)</f>
        <v>7.3571428571428503E-3</v>
      </c>
      <c r="S88" s="13">
        <f ca="1">IFERROR(__xludf.DUMMYFUNCTION("""COMPUTED_VALUE"""),0.187436470534155)</f>
        <v>0.18743647053415499</v>
      </c>
      <c r="T88" s="13">
        <f ca="1">IFERROR(__xludf.DUMMYFUNCTION("""COMPUTED_VALUE"""),0.113525439751682)</f>
        <v>0.113525439751682</v>
      </c>
      <c r="U88" s="13">
        <f ca="1">IFERROR(__xludf.DUMMYFUNCTION("""COMPUTED_VALUE"""),0.162982535022381)</f>
        <v>0.162982535022381</v>
      </c>
      <c r="V88">
        <f ca="1">IFERROR(__xludf.DUMMYFUNCTION("""COMPUTED_VALUE"""),384)</f>
        <v>384</v>
      </c>
      <c r="W88">
        <f ca="1">IFERROR(__xludf.DUMMYFUNCTION("""COMPUTED_VALUE"""),4048)</f>
        <v>4048</v>
      </c>
      <c r="X88">
        <f ca="1">IFERROR(__xludf.DUMMYFUNCTION("""COMPUTED_VALUE"""),5907)</f>
        <v>5907</v>
      </c>
      <c r="Y88">
        <f ca="1">IFERROR(__xludf.DUMMYFUNCTION("""COMPUTED_VALUE"""),3172)</f>
        <v>3172</v>
      </c>
      <c r="Z88">
        <f ca="1">IFERROR(__xludf.DUMMYFUNCTION("""COMPUTED_VALUE"""),24)</f>
        <v>24</v>
      </c>
      <c r="AA88">
        <f ca="1">IFERROR(__xludf.DUMMYFUNCTION("""COMPUTED_VALUE"""),281)</f>
        <v>281</v>
      </c>
      <c r="AB88">
        <f ca="1">IFERROR(__xludf.DUMMYFUNCTION("""COMPUTED_VALUE"""),702)</f>
        <v>702</v>
      </c>
      <c r="AC88">
        <f ca="1">IFERROR(__xludf.DUMMYFUNCTION("""COMPUTED_VALUE"""),350)</f>
        <v>350</v>
      </c>
      <c r="AD88" s="57">
        <f ca="1">IFERROR(__xludf.DUMMYFUNCTION("""COMPUTED_VALUE"""),36)</f>
        <v>36</v>
      </c>
      <c r="AE88" s="57">
        <f ca="1">IFERROR(__xludf.DUMMYFUNCTION("""COMPUTED_VALUE"""),2120)</f>
        <v>2120</v>
      </c>
      <c r="AF88">
        <f ca="1">IFERROR(__xludf.DUMMYFUNCTION("""COMPUTED_VALUE"""),99318)</f>
        <v>99318</v>
      </c>
      <c r="AG88" s="58">
        <f ca="1">IFERROR(__xludf.DUMMYFUNCTION("""COMPUTED_VALUE"""),2282.42857142857)</f>
        <v>2282.4285714285702</v>
      </c>
      <c r="AH88" s="13">
        <f ca="1">IFERROR(__xludf.DUMMYFUNCTION("""COMPUTED_VALUE"""),0.223936233118918)</f>
        <v>0.223936233118918</v>
      </c>
      <c r="AI88">
        <f ca="1">IFERROR(__xludf.DUMMYFUNCTION("""COMPUTED_VALUE"""),1858)</f>
        <v>1858</v>
      </c>
      <c r="AJ88">
        <f ca="1">IFERROR(__xludf.DUMMYFUNCTION("""COMPUTED_VALUE"""),56)</f>
        <v>56</v>
      </c>
    </row>
    <row r="89" spans="1:36" ht="13">
      <c r="A89">
        <f t="shared" ca="1" si="0"/>
        <v>88</v>
      </c>
      <c r="B89" s="62">
        <f ca="1">IFERROR(__xludf.DUMMYFUNCTION("""COMPUTED_VALUE"""),6)</f>
        <v>6</v>
      </c>
      <c r="C89" s="62">
        <f ca="1">IFERROR(__xludf.DUMMYFUNCTION("""COMPUTED_VALUE"""),56.2857142857142)</f>
        <v>56.285714285714199</v>
      </c>
      <c r="D89" s="62">
        <f ca="1">IFERROR(__xludf.DUMMYFUNCTION("""COMPUTED_VALUE"""),22)</f>
        <v>22</v>
      </c>
      <c r="E89" s="62">
        <f ca="1">IFERROR(__xludf.DUMMYFUNCTION("""COMPUTED_VALUE"""),2850.28571428571)</f>
        <v>2850.2857142857101</v>
      </c>
      <c r="F89" s="21">
        <f ca="1">IFERROR(__xludf.DUMMYFUNCTION("""COMPUTED_VALUE"""),1201)</f>
        <v>1201</v>
      </c>
      <c r="G89" s="21">
        <f ca="1">IFERROR(__xludf.DUMMYFUNCTION("""COMPUTED_VALUE"""),57302)</f>
        <v>57302</v>
      </c>
      <c r="H89" s="63">
        <f ca="1">IFERROR(__xludf.DUMMYFUNCTION("""COMPUTED_VALUE"""),69.5714285714285)</f>
        <v>69.571428571428498</v>
      </c>
      <c r="I89" s="63">
        <f ca="1">IFERROR(__xludf.DUMMYFUNCTION("""COMPUTED_VALUE"""),548)</f>
        <v>548</v>
      </c>
      <c r="J89" s="57">
        <f ca="1">IFERROR(__xludf.DUMMYFUNCTION("""COMPUTED_VALUE"""),193.857142857142)</f>
        <v>193.85714285714201</v>
      </c>
      <c r="K89" s="57">
        <f ca="1">IFERROR(__xludf.DUMMYFUNCTION("""COMPUTED_VALUE"""),2288)</f>
        <v>2288</v>
      </c>
      <c r="L89">
        <f ca="1">IFERROR(__xludf.DUMMYFUNCTION("""COMPUTED_VALUE"""),245928)</f>
        <v>245928</v>
      </c>
      <c r="M89" s="58">
        <f ca="1">IFERROR(__xludf.DUMMYFUNCTION("""COMPUTED_VALUE"""),4872.14285714285)</f>
        <v>4872.1428571428496</v>
      </c>
      <c r="N89" s="57">
        <f ca="1">IFERROR(__xludf.DUMMYFUNCTION("""COMPUTED_VALUE"""),58.4285714285714)</f>
        <v>58.428571428571402</v>
      </c>
      <c r="O89" s="57">
        <f ca="1">IFERROR(__xludf.DUMMYFUNCTION("""COMPUTED_VALUE"""),3711.71428571428)</f>
        <v>3711.7142857142799</v>
      </c>
      <c r="P89">
        <f ca="1">IFERROR(__xludf.DUMMYFUNCTION("""COMPUTED_VALUE"""),51108)</f>
        <v>51108</v>
      </c>
      <c r="Q89" s="58">
        <f ca="1">IFERROR(__xludf.DUMMYFUNCTION("""COMPUTED_VALUE"""),858.428571428571)</f>
        <v>858.42857142857099</v>
      </c>
      <c r="R89" s="13">
        <f ca="1">IFERROR(__xludf.DUMMYFUNCTION("""COMPUTED_VALUE"""),0.007)</f>
        <v>7.0000000000000001E-3</v>
      </c>
      <c r="S89" s="13">
        <f ca="1">IFERROR(__xludf.DUMMYFUNCTION("""COMPUTED_VALUE"""),0.193459683047012)</f>
        <v>0.193459683047012</v>
      </c>
      <c r="T89" s="13">
        <f ca="1">IFERROR(__xludf.DUMMYFUNCTION("""COMPUTED_VALUE"""),0.110506532426627)</f>
        <v>0.110506532426627</v>
      </c>
      <c r="U89" s="13">
        <f ca="1">IFERROR(__xludf.DUMMYFUNCTION("""COMPUTED_VALUE"""),0.192176018539465)</f>
        <v>0.192176018539465</v>
      </c>
      <c r="V89">
        <f ca="1">IFERROR(__xludf.DUMMYFUNCTION("""COMPUTED_VALUE"""),414)</f>
        <v>414</v>
      </c>
      <c r="W89">
        <f ca="1">IFERROR(__xludf.DUMMYFUNCTION("""COMPUTED_VALUE"""),4205)</f>
        <v>4205</v>
      </c>
      <c r="X89">
        <f ca="1">IFERROR(__xludf.DUMMYFUNCTION("""COMPUTED_VALUE"""),5554)</f>
        <v>5554</v>
      </c>
      <c r="Y89">
        <f ca="1">IFERROR(__xludf.DUMMYFUNCTION("""COMPUTED_VALUE"""),3366)</f>
        <v>3366</v>
      </c>
      <c r="Z89">
        <f ca="1">IFERROR(__xludf.DUMMYFUNCTION("""COMPUTED_VALUE"""),22)</f>
        <v>22</v>
      </c>
      <c r="AA89">
        <f ca="1">IFERROR(__xludf.DUMMYFUNCTION("""COMPUTED_VALUE"""),306)</f>
        <v>306</v>
      </c>
      <c r="AB89">
        <f ca="1">IFERROR(__xludf.DUMMYFUNCTION("""COMPUTED_VALUE"""),662)</f>
        <v>662</v>
      </c>
      <c r="AC89">
        <f ca="1">IFERROR(__xludf.DUMMYFUNCTION("""COMPUTED_VALUE"""),349)</f>
        <v>349</v>
      </c>
    </row>
    <row r="90" spans="1:36" ht="13">
      <c r="A90">
        <f t="shared" ca="1" si="0"/>
        <v>89</v>
      </c>
      <c r="B90" s="62">
        <f ca="1">IFERROR(__xludf.DUMMYFUNCTION("""COMPUTED_VALUE"""),5.71428571428571)</f>
        <v>5.71428571428571</v>
      </c>
      <c r="C90" s="62">
        <f ca="1">IFERROR(__xludf.DUMMYFUNCTION("""COMPUTED_VALUE"""),59.5714285714285)</f>
        <v>59.571428571428498</v>
      </c>
      <c r="D90" s="62">
        <f ca="1">IFERROR(__xludf.DUMMYFUNCTION("""COMPUTED_VALUE"""),19.2857142857142)</f>
        <v>19.285714285714199</v>
      </c>
      <c r="E90" s="62">
        <f ca="1">IFERROR(__xludf.DUMMYFUNCTION("""COMPUTED_VALUE"""),3031)</f>
        <v>3031</v>
      </c>
      <c r="F90" s="21">
        <f ca="1">IFERROR(__xludf.DUMMYFUNCTION("""COMPUTED_VALUE"""),1203)</f>
        <v>1203</v>
      </c>
      <c r="G90" s="21">
        <f ca="1">IFERROR(__xludf.DUMMYFUNCTION("""COMPUTED_VALUE"""),60415)</f>
        <v>60415</v>
      </c>
      <c r="H90" s="63">
        <f ca="1">IFERROR(__xludf.DUMMYFUNCTION("""COMPUTED_VALUE"""),65.2857142857142)</f>
        <v>65.285714285714207</v>
      </c>
      <c r="I90" s="63">
        <f ca="1">IFERROR(__xludf.DUMMYFUNCTION("""COMPUTED_VALUE"""),569.285714285714)</f>
        <v>569.28571428571399</v>
      </c>
      <c r="J90" s="57">
        <f ca="1">IFERROR(__xludf.DUMMYFUNCTION("""COMPUTED_VALUE"""),190.285714285714)</f>
        <v>190.28571428571399</v>
      </c>
      <c r="K90" s="57">
        <f ca="1">IFERROR(__xludf.DUMMYFUNCTION("""COMPUTED_VALUE"""),2136.28571428571)</f>
        <v>2136.2857142857101</v>
      </c>
      <c r="L90">
        <f ca="1">IFERROR(__xludf.DUMMYFUNCTION("""COMPUTED_VALUE"""),241429)</f>
        <v>241429</v>
      </c>
      <c r="M90" s="58">
        <f ca="1">IFERROR(__xludf.DUMMYFUNCTION("""COMPUTED_VALUE"""),5176)</f>
        <v>5176</v>
      </c>
      <c r="N90" s="57">
        <f ca="1">IFERROR(__xludf.DUMMYFUNCTION("""COMPUTED_VALUE"""),65)</f>
        <v>65</v>
      </c>
      <c r="O90" s="57">
        <f ca="1">IFERROR(__xludf.DUMMYFUNCTION("""COMPUTED_VALUE"""),4106.42857142857)</f>
        <v>4106.4285714285697</v>
      </c>
      <c r="P90">
        <f ca="1">IFERROR(__xludf.DUMMYFUNCTION("""COMPUTED_VALUE"""),56260)</f>
        <v>56260</v>
      </c>
      <c r="Q90" s="58">
        <f ca="1">IFERROR(__xludf.DUMMYFUNCTION("""COMPUTED_VALUE"""),972.857142857142)</f>
        <v>972.85714285714198</v>
      </c>
      <c r="R90" s="13">
        <f ca="1">IFERROR(__xludf.DUMMYFUNCTION("""COMPUTED_VALUE"""),0.00644285714285714)</f>
        <v>6.4428571428571399E-3</v>
      </c>
      <c r="S90" s="13">
        <f ca="1">IFERROR(__xludf.DUMMYFUNCTION("""COMPUTED_VALUE"""),0.197945282985251)</f>
        <v>0.19794528298525099</v>
      </c>
      <c r="T90" s="13">
        <f ca="1">IFERROR(__xludf.DUMMYFUNCTION("""COMPUTED_VALUE"""),0.10699969679298)</f>
        <v>0.10699969679298001</v>
      </c>
      <c r="U90" s="13">
        <f ca="1">IFERROR(__xludf.DUMMYFUNCTION("""COMPUTED_VALUE"""),0.198775767151641)</f>
        <v>0.198775767151641</v>
      </c>
      <c r="V90">
        <f ca="1">IFERROR(__xludf.DUMMYFUNCTION("""COMPUTED_VALUE"""),419)</f>
        <v>419</v>
      </c>
      <c r="W90">
        <f ca="1">IFERROR(__xludf.DUMMYFUNCTION("""COMPUTED_VALUE"""),4417)</f>
        <v>4417</v>
      </c>
      <c r="X90">
        <f ca="1">IFERROR(__xludf.DUMMYFUNCTION("""COMPUTED_VALUE"""),5937)</f>
        <v>5937</v>
      </c>
      <c r="Y90">
        <f ca="1">IFERROR(__xludf.DUMMYFUNCTION("""COMPUTED_VALUE"""),3629)</f>
        <v>3629</v>
      </c>
      <c r="Z90">
        <f ca="1">IFERROR(__xludf.DUMMYFUNCTION("""COMPUTED_VALUE"""),25)</f>
        <v>25</v>
      </c>
      <c r="AA90">
        <f ca="1">IFERROR(__xludf.DUMMYFUNCTION("""COMPUTED_VALUE"""),313)</f>
        <v>313</v>
      </c>
      <c r="AB90">
        <f ca="1">IFERROR(__xludf.DUMMYFUNCTION("""COMPUTED_VALUE"""),677)</f>
        <v>677</v>
      </c>
      <c r="AC90">
        <f ca="1">IFERROR(__xludf.DUMMYFUNCTION("""COMPUTED_VALUE"""),366)</f>
        <v>366</v>
      </c>
    </row>
    <row r="91" spans="1:36" ht="13">
      <c r="A91">
        <f t="shared" ca="1" si="0"/>
        <v>90</v>
      </c>
      <c r="B91" s="62">
        <f ca="1">IFERROR(__xludf.DUMMYFUNCTION("""COMPUTED_VALUE"""),5.14285714285714)</f>
        <v>5.1428571428571397</v>
      </c>
      <c r="C91" s="62">
        <f ca="1">IFERROR(__xludf.DUMMYFUNCTION("""COMPUTED_VALUE"""),62.5714285714285)</f>
        <v>62.571428571428498</v>
      </c>
      <c r="D91" s="62">
        <f ca="1">IFERROR(__xludf.DUMMYFUNCTION("""COMPUTED_VALUE"""),19.4285714285714)</f>
        <v>19.428571428571399</v>
      </c>
      <c r="E91" s="62">
        <f ca="1">IFERROR(__xludf.DUMMYFUNCTION("""COMPUTED_VALUE"""),3303.85714285714)</f>
        <v>3303.8571428571399</v>
      </c>
      <c r="F91" s="21">
        <f ca="1">IFERROR(__xludf.DUMMYFUNCTION("""COMPUTED_VALUE"""),1209)</f>
        <v>1209</v>
      </c>
      <c r="G91" s="21">
        <f ca="1">IFERROR(__xludf.DUMMYFUNCTION("""COMPUTED_VALUE"""),63940)</f>
        <v>63940</v>
      </c>
      <c r="H91" s="63">
        <f ca="1">IFERROR(__xludf.DUMMYFUNCTION("""COMPUTED_VALUE"""),63.5714285714285)</f>
        <v>63.571428571428498</v>
      </c>
      <c r="I91" s="63">
        <f ca="1">IFERROR(__xludf.DUMMYFUNCTION("""COMPUTED_VALUE"""),601.428571428571)</f>
        <v>601.42857142857099</v>
      </c>
      <c r="J91" s="57">
        <f ca="1">IFERROR(__xludf.DUMMYFUNCTION("""COMPUTED_VALUE"""),183)</f>
        <v>183</v>
      </c>
      <c r="K91" s="57">
        <f ca="1">IFERROR(__xludf.DUMMYFUNCTION("""COMPUTED_VALUE"""),2015.57142857142)</f>
        <v>2015.57142857142</v>
      </c>
      <c r="L91">
        <f ca="1">IFERROR(__xludf.DUMMYFUNCTION("""COMPUTED_VALUE"""),236572)</f>
        <v>236572</v>
      </c>
      <c r="M91" s="58">
        <f ca="1">IFERROR(__xludf.DUMMYFUNCTION("""COMPUTED_VALUE"""),5529)</f>
        <v>5529</v>
      </c>
      <c r="R91" s="13">
        <f ca="1">IFERROR(__xludf.DUMMYFUNCTION("""COMPUTED_VALUE"""),0.00632857142857142)</f>
        <v>6.3285714285714204E-3</v>
      </c>
      <c r="S91" s="13">
        <f ca="1">IFERROR(__xludf.DUMMYFUNCTION("""COMPUTED_VALUE"""),0.211560262073226)</f>
        <v>0.21156026207322601</v>
      </c>
      <c r="T91" s="13">
        <f ca="1">IFERROR(__xludf.DUMMYFUNCTION("""COMPUTED_VALUE"""),0.103451760498213)</f>
        <v>0.103451760498213</v>
      </c>
      <c r="V91">
        <f ca="1">IFERROR(__xludf.DUMMYFUNCTION("""COMPUTED_VALUE"""),417)</f>
        <v>417</v>
      </c>
      <c r="W91">
        <f ca="1">IFERROR(__xludf.DUMMYFUNCTION("""COMPUTED_VALUE"""),4767)</f>
        <v>4767</v>
      </c>
      <c r="X91">
        <f ca="1">IFERROR(__xludf.DUMMYFUNCTION("""COMPUTED_VALUE"""),5191)</f>
        <v>5191</v>
      </c>
      <c r="Z91">
        <f ca="1">IFERROR(__xludf.DUMMYFUNCTION("""COMPUTED_VALUE"""),25)</f>
        <v>25</v>
      </c>
      <c r="AA91">
        <f ca="1">IFERROR(__xludf.DUMMYFUNCTION("""COMPUTED_VALUE"""),348)</f>
        <v>348</v>
      </c>
      <c r="AB91">
        <f ca="1">IFERROR(__xludf.DUMMYFUNCTION("""COMPUTED_VALUE"""),621)</f>
        <v>621</v>
      </c>
    </row>
    <row r="92" spans="1:36" ht="13">
      <c r="A92">
        <f t="shared" ca="1" si="0"/>
        <v>91</v>
      </c>
      <c r="B92" s="62">
        <f ca="1">IFERROR(__xludf.DUMMYFUNCTION("""COMPUTED_VALUE"""),4.71428571428571)</f>
        <v>4.71428571428571</v>
      </c>
      <c r="C92" s="62">
        <f ca="1">IFERROR(__xludf.DUMMYFUNCTION("""COMPUTED_VALUE"""),69.2857142857142)</f>
        <v>69.285714285714207</v>
      </c>
      <c r="D92" s="62">
        <f ca="1">IFERROR(__xludf.DUMMYFUNCTION("""COMPUTED_VALUE"""),21.4285714285714)</f>
        <v>21.428571428571399</v>
      </c>
      <c r="E92" s="62">
        <f ca="1">IFERROR(__xludf.DUMMYFUNCTION("""COMPUTED_VALUE"""),3579.28571428571)</f>
        <v>3579.2857142857101</v>
      </c>
      <c r="F92" s="21">
        <f ca="1">IFERROR(__xludf.DUMMYFUNCTION("""COMPUTED_VALUE"""),1229)</f>
        <v>1229</v>
      </c>
      <c r="G92" s="21">
        <f ca="1">IFERROR(__xludf.DUMMYFUNCTION("""COMPUTED_VALUE"""),67693)</f>
        <v>67693</v>
      </c>
      <c r="H92" s="63">
        <f ca="1">IFERROR(__xludf.DUMMYFUNCTION("""COMPUTED_VALUE"""),46.2857142857142)</f>
        <v>46.285714285714199</v>
      </c>
      <c r="I92" s="63">
        <f ca="1">IFERROR(__xludf.DUMMYFUNCTION("""COMPUTED_VALUE"""),590.571428571428)</f>
        <v>590.57142857142799</v>
      </c>
      <c r="J92" s="57">
        <f ca="1">IFERROR(__xludf.DUMMYFUNCTION("""COMPUTED_VALUE"""),168.142857142857)</f>
        <v>168.142857142857</v>
      </c>
      <c r="K92" s="57">
        <f ca="1">IFERROR(__xludf.DUMMYFUNCTION("""COMPUTED_VALUE"""),1910.57142857142)</f>
        <v>1910.57142857142</v>
      </c>
      <c r="L92">
        <f ca="1">IFERROR(__xludf.DUMMYFUNCTION("""COMPUTED_VALUE"""),231580)</f>
        <v>231580</v>
      </c>
      <c r="M92" s="58">
        <f ca="1">IFERROR(__xludf.DUMMYFUNCTION("""COMPUTED_VALUE"""),5900.42857142857)</f>
        <v>5900.4285714285697</v>
      </c>
      <c r="R92" s="13">
        <f ca="1">IFERROR(__xludf.DUMMYFUNCTION("""COMPUTED_VALUE"""),0.00709999999999999)</f>
        <v>7.09999999999999E-3</v>
      </c>
      <c r="S92" s="13">
        <f ca="1">IFERROR(__xludf.DUMMYFUNCTION("""COMPUTED_VALUE"""),0.224709608140927)</f>
        <v>0.224709608140927</v>
      </c>
      <c r="T92" s="13">
        <f ca="1">IFERROR(__xludf.DUMMYFUNCTION("""COMPUTED_VALUE"""),0.0997995600417778)</f>
        <v>9.9799560041777799E-2</v>
      </c>
      <c r="V92">
        <f ca="1">IFERROR(__xludf.DUMMYFUNCTION("""COMPUTED_VALUE"""),427)</f>
        <v>427</v>
      </c>
      <c r="W92">
        <f ca="1">IFERROR(__xludf.DUMMYFUNCTION("""COMPUTED_VALUE"""),4871)</f>
        <v>4871</v>
      </c>
      <c r="X92">
        <f ca="1">IFERROR(__xludf.DUMMYFUNCTION("""COMPUTED_VALUE"""),5031)</f>
        <v>5031</v>
      </c>
      <c r="Z92">
        <f ca="1">IFERROR(__xludf.DUMMYFUNCTION("""COMPUTED_VALUE"""),24)</f>
        <v>24</v>
      </c>
      <c r="AA92">
        <f ca="1">IFERROR(__xludf.DUMMYFUNCTION("""COMPUTED_VALUE"""),355)</f>
        <v>355</v>
      </c>
      <c r="AB92">
        <f ca="1">IFERROR(__xludf.DUMMYFUNCTION("""COMPUTED_VALUE"""),587)</f>
        <v>587</v>
      </c>
      <c r="AD92" s="57">
        <f ca="1">IFERROR(__xludf.DUMMYFUNCTION("""COMPUTED_VALUE"""),31.5714285714285)</f>
        <v>31.571428571428498</v>
      </c>
      <c r="AE92" s="57">
        <f ca="1">IFERROR(__xludf.DUMMYFUNCTION("""COMPUTED_VALUE"""),1978.28571428571)</f>
        <v>1978.2857142857099</v>
      </c>
      <c r="AF92">
        <f ca="1">IFERROR(__xludf.DUMMYFUNCTION("""COMPUTED_VALUE"""),97280)</f>
        <v>97280</v>
      </c>
      <c r="AG92" s="58">
        <f ca="1">IFERROR(__xludf.DUMMYFUNCTION("""COMPUTED_VALUE"""),2362.85714285714)</f>
        <v>2362.8571428571399</v>
      </c>
      <c r="AH92" s="13">
        <f ca="1">IFERROR(__xludf.DUMMYFUNCTION("""COMPUTED_VALUE"""),0.185757008800685)</f>
        <v>0.18575700880068499</v>
      </c>
      <c r="AI92">
        <f ca="1">IFERROR(__xludf.DUMMYFUNCTION("""COMPUTED_VALUE"""),1833)</f>
        <v>1833</v>
      </c>
      <c r="AJ92">
        <f ca="1">IFERROR(__xludf.DUMMYFUNCTION("""COMPUTED_VALUE"""),49)</f>
        <v>49</v>
      </c>
    </row>
    <row r="93" spans="1:36" ht="13">
      <c r="A93">
        <f t="shared" ca="1" si="0"/>
        <v>92</v>
      </c>
      <c r="B93" s="62">
        <f ca="1">IFERROR(__xludf.DUMMYFUNCTION("""COMPUTED_VALUE"""),4.14285714285714)</f>
        <v>4.1428571428571397</v>
      </c>
      <c r="C93" s="62">
        <f ca="1">IFERROR(__xludf.DUMMYFUNCTION("""COMPUTED_VALUE"""),73.2857142857142)</f>
        <v>73.285714285714207</v>
      </c>
      <c r="D93" s="62">
        <f ca="1">IFERROR(__xludf.DUMMYFUNCTION("""COMPUTED_VALUE"""),19.7142857142857)</f>
        <v>19.714285714285701</v>
      </c>
      <c r="E93" s="62">
        <f ca="1">IFERROR(__xludf.DUMMYFUNCTION("""COMPUTED_VALUE"""),3827)</f>
        <v>3827</v>
      </c>
      <c r="F93" s="21">
        <f ca="1">IFERROR(__xludf.DUMMYFUNCTION("""COMPUTED_VALUE"""),1207)</f>
        <v>1207</v>
      </c>
      <c r="G93" s="21">
        <f ca="1">IFERROR(__xludf.DUMMYFUNCTION("""COMPUTED_VALUE"""),69946)</f>
        <v>69946</v>
      </c>
      <c r="H93" s="63">
        <f ca="1">IFERROR(__xludf.DUMMYFUNCTION("""COMPUTED_VALUE"""),47.7142857142857)</f>
        <v>47.714285714285701</v>
      </c>
      <c r="I93" s="63">
        <f ca="1">IFERROR(__xludf.DUMMYFUNCTION("""COMPUTED_VALUE"""),764.857142857142)</f>
        <v>764.85714285714198</v>
      </c>
      <c r="J93" s="57">
        <f ca="1">IFERROR(__xludf.DUMMYFUNCTION("""COMPUTED_VALUE"""),158.142857142857)</f>
        <v>158.142857142857</v>
      </c>
      <c r="K93" s="57">
        <f ca="1">IFERROR(__xludf.DUMMYFUNCTION("""COMPUTED_VALUE"""),1808.14285714285)</f>
        <v>1808.1428571428501</v>
      </c>
      <c r="L93">
        <f ca="1">IFERROR(__xludf.DUMMYFUNCTION("""COMPUTED_VALUE"""),228002)</f>
        <v>228002</v>
      </c>
      <c r="M93" s="58">
        <f ca="1">IFERROR(__xludf.DUMMYFUNCTION("""COMPUTED_VALUE"""),5966.57142857142)</f>
        <v>5966.5714285714203</v>
      </c>
      <c r="N93" s="57">
        <f ca="1">IFERROR(__xludf.DUMMYFUNCTION("""COMPUTED_VALUE"""),73.8571428571428)</f>
        <v>73.857142857142804</v>
      </c>
      <c r="O93" s="57">
        <f ca="1">IFERROR(__xludf.DUMMYFUNCTION("""COMPUTED_VALUE"""),5052.57142857142)</f>
        <v>5052.5714285714203</v>
      </c>
      <c r="P93">
        <f ca="1">IFERROR(__xludf.DUMMYFUNCTION("""COMPUTED_VALUE"""),68586)</f>
        <v>68586</v>
      </c>
      <c r="Q93" s="58">
        <f ca="1">IFERROR(__xludf.DUMMYFUNCTION("""COMPUTED_VALUE"""),1401)</f>
        <v>1401</v>
      </c>
      <c r="R93" s="13">
        <f ca="1">IFERROR(__xludf.DUMMYFUNCTION("""COMPUTED_VALUE"""),0.00712857142857142)</f>
        <v>7.1285714285714199E-3</v>
      </c>
      <c r="S93" s="13">
        <f ca="1">IFERROR(__xludf.DUMMYFUNCTION("""COMPUTED_VALUE"""),0.23539108068401)</f>
        <v>0.23539108068400999</v>
      </c>
      <c r="T93" s="13">
        <f ca="1">IFERROR(__xludf.DUMMYFUNCTION("""COMPUTED_VALUE"""),0.0958349369569132)</f>
        <v>9.5834936956913197E-2</v>
      </c>
      <c r="U93" s="13">
        <f ca="1">IFERROR(__xludf.DUMMYFUNCTION("""COMPUTED_VALUE"""),0.208105962318737)</f>
        <v>0.20810596231873699</v>
      </c>
      <c r="V93">
        <f ca="1">IFERROR(__xludf.DUMMYFUNCTION("""COMPUTED_VALUE"""),414)</f>
        <v>414</v>
      </c>
      <c r="W93">
        <f ca="1">IFERROR(__xludf.DUMMYFUNCTION("""COMPUTED_VALUE"""),5183)</f>
        <v>5183</v>
      </c>
      <c r="X93">
        <f ca="1">IFERROR(__xludf.DUMMYFUNCTION("""COMPUTED_VALUE"""),4872)</f>
        <v>4872</v>
      </c>
      <c r="Y93">
        <f ca="1">IFERROR(__xludf.DUMMYFUNCTION("""COMPUTED_VALUE"""),3980)</f>
        <v>3980</v>
      </c>
      <c r="Z93">
        <f ca="1">IFERROR(__xludf.DUMMYFUNCTION("""COMPUTED_VALUE"""),24)</f>
        <v>24</v>
      </c>
      <c r="AA93">
        <f ca="1">IFERROR(__xludf.DUMMYFUNCTION("""COMPUTED_VALUE"""),378)</f>
        <v>378</v>
      </c>
      <c r="AB93">
        <f ca="1">IFERROR(__xludf.DUMMYFUNCTION("""COMPUTED_VALUE"""),572)</f>
        <v>572</v>
      </c>
      <c r="AC93">
        <f ca="1">IFERROR(__xludf.DUMMYFUNCTION("""COMPUTED_VALUE"""),434)</f>
        <v>434</v>
      </c>
      <c r="AD93" s="57">
        <f ca="1">IFERROR(__xludf.DUMMYFUNCTION("""COMPUTED_VALUE"""),31)</f>
        <v>31</v>
      </c>
      <c r="AE93" s="57">
        <f ca="1">IFERROR(__xludf.DUMMYFUNCTION("""COMPUTED_VALUE"""),1974.57142857142)</f>
        <v>1974.57142857142</v>
      </c>
      <c r="AF93">
        <f ca="1">IFERROR(__xludf.DUMMYFUNCTION("""COMPUTED_VALUE"""),96895)</f>
        <v>96895</v>
      </c>
      <c r="AG93" s="58">
        <f ca="1">IFERROR(__xludf.DUMMYFUNCTION("""COMPUTED_VALUE"""),2366.42857142857)</f>
        <v>2366.4285714285702</v>
      </c>
      <c r="AH93" s="13">
        <f ca="1">IFERROR(__xludf.DUMMYFUNCTION("""COMPUTED_VALUE"""),0.178734669784875)</f>
        <v>0.17873466978487501</v>
      </c>
      <c r="AI93">
        <f ca="1">IFERROR(__xludf.DUMMYFUNCTION("""COMPUTED_VALUE"""),1785)</f>
        <v>1785</v>
      </c>
      <c r="AJ93">
        <f ca="1">IFERROR(__xludf.DUMMYFUNCTION("""COMPUTED_VALUE"""),49)</f>
        <v>49</v>
      </c>
    </row>
    <row r="94" spans="1:36" ht="13">
      <c r="A94">
        <f t="shared" ca="1" si="0"/>
        <v>93</v>
      </c>
      <c r="B94" s="62">
        <f ca="1">IFERROR(__xludf.DUMMYFUNCTION("""COMPUTED_VALUE"""),4.28571428571428)</f>
        <v>4.2857142857142803</v>
      </c>
      <c r="C94" s="62">
        <f ca="1">IFERROR(__xludf.DUMMYFUNCTION("""COMPUTED_VALUE"""),78.7142857142857)</f>
        <v>78.714285714285694</v>
      </c>
      <c r="D94" s="62">
        <f ca="1">IFERROR(__xludf.DUMMYFUNCTION("""COMPUTED_VALUE"""),19.7142857142857)</f>
        <v>19.714285714285701</v>
      </c>
      <c r="E94" s="62">
        <f ca="1">IFERROR(__xludf.DUMMYFUNCTION("""COMPUTED_VALUE"""),4030.28571428571)</f>
        <v>4030.2857142857101</v>
      </c>
      <c r="F94" s="21">
        <f ca="1">IFERROR(__xludf.DUMMYFUNCTION("""COMPUTED_VALUE"""),1210)</f>
        <v>1210</v>
      </c>
      <c r="G94" s="21">
        <f ca="1">IFERROR(__xludf.DUMMYFUNCTION("""COMPUTED_VALUE"""),74162)</f>
        <v>74162</v>
      </c>
      <c r="H94" s="63">
        <f ca="1">IFERROR(__xludf.DUMMYFUNCTION("""COMPUTED_VALUE"""),29.8571428571428)</f>
        <v>29.857142857142801</v>
      </c>
      <c r="I94" s="63">
        <f ca="1">IFERROR(__xludf.DUMMYFUNCTION("""COMPUTED_VALUE"""),751.428571428571)</f>
        <v>751.42857142857099</v>
      </c>
      <c r="J94" s="57">
        <f ca="1">IFERROR(__xludf.DUMMYFUNCTION("""COMPUTED_VALUE"""),151.571428571428)</f>
        <v>151.57142857142799</v>
      </c>
      <c r="K94" s="57">
        <f ca="1">IFERROR(__xludf.DUMMYFUNCTION("""COMPUTED_VALUE"""),1732.85714285714)</f>
        <v>1732.8571428571399</v>
      </c>
      <c r="L94">
        <f ca="1">IFERROR(__xludf.DUMMYFUNCTION("""COMPUTED_VALUE"""),223802)</f>
        <v>223802</v>
      </c>
      <c r="M94" s="58">
        <f ca="1">IFERROR(__xludf.DUMMYFUNCTION("""COMPUTED_VALUE"""),5910)</f>
        <v>5910</v>
      </c>
      <c r="N94" s="57">
        <f ca="1">IFERROR(__xludf.DUMMYFUNCTION("""COMPUTED_VALUE"""),85.8571428571428)</f>
        <v>85.857142857142804</v>
      </c>
      <c r="O94" s="57">
        <f ca="1">IFERROR(__xludf.DUMMYFUNCTION("""COMPUTED_VALUE"""),5441.28571428571)</f>
        <v>5441.2857142857101</v>
      </c>
      <c r="P94">
        <f ca="1">IFERROR(__xludf.DUMMYFUNCTION("""COMPUTED_VALUE"""),71799)</f>
        <v>71799</v>
      </c>
      <c r="Q94" s="58">
        <f ca="1">IFERROR(__xludf.DUMMYFUNCTION("""COMPUTED_VALUE"""),1495.71428571428)</f>
        <v>1495.7142857142801</v>
      </c>
      <c r="R94" s="13">
        <f ca="1">IFERROR(__xludf.DUMMYFUNCTION("""COMPUTED_VALUE"""),0.00707142857142857)</f>
        <v>7.0714285714285697E-3</v>
      </c>
      <c r="S94" s="13">
        <f ca="1">IFERROR(__xludf.DUMMYFUNCTION("""COMPUTED_VALUE"""),0.238966349598707)</f>
        <v>0.238966349598707</v>
      </c>
      <c r="T94" s="13">
        <f ca="1">IFERROR(__xludf.DUMMYFUNCTION("""COMPUTED_VALUE"""),0.0924532080965668)</f>
        <v>9.2453208096566805E-2</v>
      </c>
      <c r="U94" s="13">
        <f ca="1">IFERROR(__xludf.DUMMYFUNCTION("""COMPUTED_VALUE"""),0.223505701948283)</f>
        <v>0.22350570194828301</v>
      </c>
      <c r="V94">
        <f ca="1">IFERROR(__xludf.DUMMYFUNCTION("""COMPUTED_VALUE"""),406)</f>
        <v>406</v>
      </c>
      <c r="W94">
        <f ca="1">IFERROR(__xludf.DUMMYFUNCTION("""COMPUTED_VALUE"""),5489)</f>
        <v>5489</v>
      </c>
      <c r="X94">
        <f ca="1">IFERROR(__xludf.DUMMYFUNCTION("""COMPUTED_VALUE"""),4739)</f>
        <v>4739</v>
      </c>
      <c r="Y94">
        <f ca="1">IFERROR(__xludf.DUMMYFUNCTION("""COMPUTED_VALUE"""),4522)</f>
        <v>4522</v>
      </c>
      <c r="Z94">
        <f ca="1">IFERROR(__xludf.DUMMYFUNCTION("""COMPUTED_VALUE"""),24)</f>
        <v>24</v>
      </c>
      <c r="AA94">
        <f ca="1">IFERROR(__xludf.DUMMYFUNCTION("""COMPUTED_VALUE"""),391)</f>
        <v>391</v>
      </c>
      <c r="AB94">
        <f ca="1">IFERROR(__xludf.DUMMYFUNCTION("""COMPUTED_VALUE"""),549)</f>
        <v>549</v>
      </c>
      <c r="AC94">
        <f ca="1">IFERROR(__xludf.DUMMYFUNCTION("""COMPUTED_VALUE"""),452)</f>
        <v>452</v>
      </c>
      <c r="AD94" s="57">
        <f ca="1">IFERROR(__xludf.DUMMYFUNCTION("""COMPUTED_VALUE"""),30.5714285714285)</f>
        <v>30.571428571428498</v>
      </c>
      <c r="AE94" s="57">
        <f ca="1">IFERROR(__xludf.DUMMYFUNCTION("""COMPUTED_VALUE"""),1962.28571428571)</f>
        <v>1962.2857142857099</v>
      </c>
      <c r="AF94">
        <f ca="1">IFERROR(__xludf.DUMMYFUNCTION("""COMPUTED_VALUE"""),96903)</f>
        <v>96903</v>
      </c>
      <c r="AG94" s="58">
        <f ca="1">IFERROR(__xludf.DUMMYFUNCTION("""COMPUTED_VALUE"""),2327.71428571428)</f>
        <v>2327.7142857142799</v>
      </c>
      <c r="AH94" s="13">
        <f ca="1">IFERROR(__xludf.DUMMYFUNCTION("""COMPUTED_VALUE"""),0.18172584149885)</f>
        <v>0.18172584149884999</v>
      </c>
      <c r="AI94">
        <f ca="1">IFERROR(__xludf.DUMMYFUNCTION("""COMPUTED_VALUE"""),1724)</f>
        <v>1724</v>
      </c>
      <c r="AJ94">
        <f ca="1">IFERROR(__xludf.DUMMYFUNCTION("""COMPUTED_VALUE"""),51)</f>
        <v>51</v>
      </c>
    </row>
    <row r="95" spans="1:36" ht="13">
      <c r="A95">
        <f t="shared" ca="1" si="0"/>
        <v>94</v>
      </c>
      <c r="B95" s="62">
        <f ca="1">IFERROR(__xludf.DUMMYFUNCTION("""COMPUTED_VALUE"""),3.57142857142857)</f>
        <v>3.5714285714285698</v>
      </c>
      <c r="C95" s="62">
        <f ca="1">IFERROR(__xludf.DUMMYFUNCTION("""COMPUTED_VALUE"""),86.7142857142857)</f>
        <v>86.714285714285694</v>
      </c>
      <c r="D95" s="62">
        <f ca="1">IFERROR(__xludf.DUMMYFUNCTION("""COMPUTED_VALUE"""),18.4285714285714)</f>
        <v>18.428571428571399</v>
      </c>
      <c r="E95" s="62">
        <f ca="1">IFERROR(__xludf.DUMMYFUNCTION("""COMPUTED_VALUE"""),4231.71428571428)</f>
        <v>4231.7142857142799</v>
      </c>
      <c r="F95" s="21">
        <f ca="1">IFERROR(__xludf.DUMMYFUNCTION("""COMPUTED_VALUE"""),1183)</f>
        <v>1183</v>
      </c>
      <c r="G95" s="21">
        <f ca="1">IFERROR(__xludf.DUMMYFUNCTION("""COMPUTED_VALUE"""),77739)</f>
        <v>77739</v>
      </c>
      <c r="H95" s="63">
        <f ca="1">IFERROR(__xludf.DUMMYFUNCTION("""COMPUTED_VALUE"""),31.5714285714285)</f>
        <v>31.571428571428498</v>
      </c>
      <c r="I95" s="63">
        <f ca="1">IFERROR(__xludf.DUMMYFUNCTION("""COMPUTED_VALUE"""),830.714285714285)</f>
        <v>830.71428571428498</v>
      </c>
      <c r="J95" s="57">
        <f ca="1">IFERROR(__xludf.DUMMYFUNCTION("""COMPUTED_VALUE"""),143)</f>
        <v>143</v>
      </c>
      <c r="K95" s="57">
        <f ca="1">IFERROR(__xludf.DUMMYFUNCTION("""COMPUTED_VALUE"""),1652.57142857142)</f>
        <v>1652.57142857142</v>
      </c>
      <c r="L95">
        <f ca="1">IFERROR(__xludf.DUMMYFUNCTION("""COMPUTED_VALUE"""),218829)</f>
        <v>218829</v>
      </c>
      <c r="M95" s="58">
        <f ca="1">IFERROR(__xludf.DUMMYFUNCTION("""COMPUTED_VALUE"""),5983)</f>
        <v>5983</v>
      </c>
      <c r="N95" s="57">
        <f ca="1">IFERROR(__xludf.DUMMYFUNCTION("""COMPUTED_VALUE"""),89.2857142857142)</f>
        <v>89.285714285714207</v>
      </c>
      <c r="O95" s="57">
        <f ca="1">IFERROR(__xludf.DUMMYFUNCTION("""COMPUTED_VALUE"""),6275.42857142857)</f>
        <v>6275.4285714285697</v>
      </c>
      <c r="P95">
        <f ca="1">IFERROR(__xludf.DUMMYFUNCTION("""COMPUTED_VALUE"""),78025)</f>
        <v>78025</v>
      </c>
      <c r="Q95" s="58">
        <f ca="1">IFERROR(__xludf.DUMMYFUNCTION("""COMPUTED_VALUE"""),1669.42857142857)</f>
        <v>1669.42857142857</v>
      </c>
      <c r="R95" s="13">
        <f ca="1">IFERROR(__xludf.DUMMYFUNCTION("""COMPUTED_VALUE"""),0.00682857142857142)</f>
        <v>6.82857142857142E-3</v>
      </c>
      <c r="S95" s="13">
        <f ca="1">IFERROR(__xludf.DUMMYFUNCTION("""COMPUTED_VALUE"""),0.239295403939252)</f>
        <v>0.239295403939252</v>
      </c>
      <c r="T95" s="13">
        <f ca="1">IFERROR(__xludf.DUMMYFUNCTION("""COMPUTED_VALUE"""),0.0893626099345093)</f>
        <v>8.9362609934509299E-2</v>
      </c>
      <c r="U95" s="13">
        <f ca="1">IFERROR(__xludf.DUMMYFUNCTION("""COMPUTED_VALUE"""),0.239921986178494)</f>
        <v>0.239921986178494</v>
      </c>
      <c r="V95">
        <f ca="1">IFERROR(__xludf.DUMMYFUNCTION("""COMPUTED_VALUE"""),397)</f>
        <v>397</v>
      </c>
      <c r="W95">
        <f ca="1">IFERROR(__xludf.DUMMYFUNCTION("""COMPUTED_VALUE"""),5612)</f>
        <v>5612</v>
      </c>
      <c r="X95">
        <f ca="1">IFERROR(__xludf.DUMMYFUNCTION("""COMPUTED_VALUE"""),4374)</f>
        <v>4374</v>
      </c>
      <c r="Y95">
        <f ca="1">IFERROR(__xludf.DUMMYFUNCTION("""COMPUTED_VALUE"""),4830)</f>
        <v>4830</v>
      </c>
      <c r="Z95">
        <f ca="1">IFERROR(__xludf.DUMMYFUNCTION("""COMPUTED_VALUE"""),21)</f>
        <v>21</v>
      </c>
      <c r="AA95">
        <f ca="1">IFERROR(__xludf.DUMMYFUNCTION("""COMPUTED_VALUE"""),405)</f>
        <v>405</v>
      </c>
      <c r="AB95">
        <f ca="1">IFERROR(__xludf.DUMMYFUNCTION("""COMPUTED_VALUE"""),511)</f>
        <v>511</v>
      </c>
      <c r="AC95">
        <f ca="1">IFERROR(__xludf.DUMMYFUNCTION("""COMPUTED_VALUE"""),463)</f>
        <v>463</v>
      </c>
      <c r="AD95" s="57">
        <f ca="1">IFERROR(__xludf.DUMMYFUNCTION("""COMPUTED_VALUE"""),30.1428571428571)</f>
        <v>30.1428571428571</v>
      </c>
      <c r="AE95" s="57">
        <f ca="1">IFERROR(__xludf.DUMMYFUNCTION("""COMPUTED_VALUE"""),1972.71428571428)</f>
        <v>1972.7142857142801</v>
      </c>
      <c r="AF95">
        <f ca="1">IFERROR(__xludf.DUMMYFUNCTION("""COMPUTED_VALUE"""),96962)</f>
        <v>96962</v>
      </c>
      <c r="AG95" s="58">
        <f ca="1">IFERROR(__xludf.DUMMYFUNCTION("""COMPUTED_VALUE"""),2279.14285714285)</f>
        <v>2279.1428571428501</v>
      </c>
      <c r="AH95" s="13">
        <f ca="1">IFERROR(__xludf.DUMMYFUNCTION("""COMPUTED_VALUE"""),0.182567510281113)</f>
        <v>0.18256751028111301</v>
      </c>
      <c r="AI95">
        <f ca="1">IFERROR(__xludf.DUMMYFUNCTION("""COMPUTED_VALUE"""),1688)</f>
        <v>1688</v>
      </c>
      <c r="AJ95">
        <f ca="1">IFERROR(__xludf.DUMMYFUNCTION("""COMPUTED_VALUE"""),50)</f>
        <v>50</v>
      </c>
    </row>
    <row r="96" spans="1:36" ht="13">
      <c r="A96">
        <f t="shared" ca="1" si="0"/>
        <v>95</v>
      </c>
      <c r="B96" s="62">
        <f ca="1">IFERROR(__xludf.DUMMYFUNCTION("""COMPUTED_VALUE"""),3)</f>
        <v>3</v>
      </c>
      <c r="C96" s="62">
        <f ca="1">IFERROR(__xludf.DUMMYFUNCTION("""COMPUTED_VALUE"""),88.4285714285714)</f>
        <v>88.428571428571402</v>
      </c>
      <c r="D96" s="62">
        <f ca="1">IFERROR(__xludf.DUMMYFUNCTION("""COMPUTED_VALUE"""),17.5714285714285)</f>
        <v>17.571428571428498</v>
      </c>
      <c r="E96" s="62">
        <f ca="1">IFERROR(__xludf.DUMMYFUNCTION("""COMPUTED_VALUE"""),4345.28571428571)</f>
        <v>4345.2857142857101</v>
      </c>
      <c r="F96" s="21">
        <f ca="1">IFERROR(__xludf.DUMMYFUNCTION("""COMPUTED_VALUE"""),1166)</f>
        <v>1166</v>
      </c>
      <c r="G96" s="21">
        <f ca="1">IFERROR(__xludf.DUMMYFUNCTION("""COMPUTED_VALUE"""),82108)</f>
        <v>82108</v>
      </c>
      <c r="H96" s="63">
        <f ca="1">IFERROR(__xludf.DUMMYFUNCTION("""COMPUTED_VALUE"""),19.5714285714285)</f>
        <v>19.571428571428498</v>
      </c>
      <c r="I96" s="63">
        <f ca="1">IFERROR(__xludf.DUMMYFUNCTION("""COMPUTED_VALUE"""),713.142857142857)</f>
        <v>713.142857142857</v>
      </c>
      <c r="J96" s="57">
        <f ca="1">IFERROR(__xludf.DUMMYFUNCTION("""COMPUTED_VALUE"""),134.142857142857)</f>
        <v>134.142857142857</v>
      </c>
      <c r="K96" s="57">
        <f ca="1">IFERROR(__xludf.DUMMYFUNCTION("""COMPUTED_VALUE"""),1523.42857142857)</f>
        <v>1523.42857142857</v>
      </c>
      <c r="L96">
        <f ca="1">IFERROR(__xludf.DUMMYFUNCTION("""COMPUTED_VALUE"""),213104)</f>
        <v>213104</v>
      </c>
      <c r="M96" s="58">
        <f ca="1">IFERROR(__xludf.DUMMYFUNCTION("""COMPUTED_VALUE"""),6078.42857142857)</f>
        <v>6078.4285714285697</v>
      </c>
      <c r="N96" s="57">
        <f ca="1">IFERROR(__xludf.DUMMYFUNCTION("""COMPUTED_VALUE"""),92.8571428571428)</f>
        <v>92.857142857142804</v>
      </c>
      <c r="O96" s="57">
        <f ca="1">IFERROR(__xludf.DUMMYFUNCTION("""COMPUTED_VALUE"""),6579.14285714285)</f>
        <v>6579.1428571428496</v>
      </c>
      <c r="P96">
        <f ca="1">IFERROR(__xludf.DUMMYFUNCTION("""COMPUTED_VALUE"""),83818)</f>
        <v>83818</v>
      </c>
      <c r="Q96" s="58">
        <f ca="1">IFERROR(__xludf.DUMMYFUNCTION("""COMPUTED_VALUE"""),1813.42857142857)</f>
        <v>1813.42857142857</v>
      </c>
      <c r="R96" s="13">
        <f ca="1">IFERROR(__xludf.DUMMYFUNCTION("""COMPUTED_VALUE"""),0.00641428571428571)</f>
        <v>6.41428571428571E-3</v>
      </c>
      <c r="S96" s="13">
        <f ca="1">IFERROR(__xludf.DUMMYFUNCTION("""COMPUTED_VALUE"""),0.24429973429717)</f>
        <v>0.24429973429717</v>
      </c>
      <c r="T96" s="13">
        <f ca="1">IFERROR(__xludf.DUMMYFUNCTION("""COMPUTED_VALUE"""),0.0843563045811923)</f>
        <v>8.4356304581192296E-2</v>
      </c>
      <c r="U96" s="13">
        <f ca="1">IFERROR(__xludf.DUMMYFUNCTION("""COMPUTED_VALUE"""),0.226232752384464)</f>
        <v>0.226232752384464</v>
      </c>
      <c r="V96">
        <f ca="1">IFERROR(__xludf.DUMMYFUNCTION("""COMPUTED_VALUE"""),387)</f>
        <v>387</v>
      </c>
      <c r="W96">
        <f ca="1">IFERROR(__xludf.DUMMYFUNCTION("""COMPUTED_VALUE"""),5803)</f>
        <v>5803</v>
      </c>
      <c r="X96">
        <f ca="1">IFERROR(__xludf.DUMMYFUNCTION("""COMPUTED_VALUE"""),4104)</f>
        <v>4104</v>
      </c>
      <c r="Y96">
        <f ca="1">IFERROR(__xludf.DUMMYFUNCTION("""COMPUTED_VALUE"""),4990)</f>
        <v>4990</v>
      </c>
      <c r="Z96">
        <f ca="1">IFERROR(__xludf.DUMMYFUNCTION("""COMPUTED_VALUE"""),21)</f>
        <v>21</v>
      </c>
      <c r="AA96">
        <f ca="1">IFERROR(__xludf.DUMMYFUNCTION("""COMPUTED_VALUE"""),417)</f>
        <v>417</v>
      </c>
      <c r="AB96">
        <f ca="1">IFERROR(__xludf.DUMMYFUNCTION("""COMPUTED_VALUE"""),485)</f>
        <v>485</v>
      </c>
      <c r="AC96">
        <f ca="1">IFERROR(__xludf.DUMMYFUNCTION("""COMPUTED_VALUE"""),488)</f>
        <v>488</v>
      </c>
    </row>
    <row r="97" spans="1:36" ht="13">
      <c r="A97">
        <f t="shared" ca="1" si="0"/>
        <v>96</v>
      </c>
      <c r="B97" s="62">
        <f ca="1">IFERROR(__xludf.DUMMYFUNCTION("""COMPUTED_VALUE"""),2.85714285714285)</f>
        <v>2.8571428571428501</v>
      </c>
      <c r="C97" s="62">
        <f ca="1">IFERROR(__xludf.DUMMYFUNCTION("""COMPUTED_VALUE"""),86.2857142857142)</f>
        <v>86.285714285714207</v>
      </c>
      <c r="D97" s="62">
        <f ca="1">IFERROR(__xludf.DUMMYFUNCTION("""COMPUTED_VALUE"""),18.8571428571428)</f>
        <v>18.857142857142801</v>
      </c>
      <c r="E97" s="62">
        <f ca="1">IFERROR(__xludf.DUMMYFUNCTION("""COMPUTED_VALUE"""),4571.14285714285)</f>
        <v>4571.1428571428496</v>
      </c>
      <c r="F97" s="21">
        <f ca="1">IFERROR(__xludf.DUMMYFUNCTION("""COMPUTED_VALUE"""),1183)</f>
        <v>1183</v>
      </c>
      <c r="G97" s="21">
        <f ca="1">IFERROR(__xludf.DUMMYFUNCTION("""COMPUTED_VALUE"""),86134)</f>
        <v>86134</v>
      </c>
      <c r="H97" s="63">
        <f ca="1">IFERROR(__xludf.DUMMYFUNCTION("""COMPUTED_VALUE"""),18.8571428571428)</f>
        <v>18.857142857142801</v>
      </c>
      <c r="I97" s="63">
        <f ca="1">IFERROR(__xludf.DUMMYFUNCTION("""COMPUTED_VALUE"""),812.142857142857)</f>
        <v>812.142857142857</v>
      </c>
      <c r="J97" s="57">
        <f ca="1">IFERROR(__xludf.DUMMYFUNCTION("""COMPUTED_VALUE"""),123.285714285714)</f>
        <v>123.28571428571399</v>
      </c>
      <c r="K97" s="57">
        <f ca="1">IFERROR(__xludf.DUMMYFUNCTION("""COMPUTED_VALUE"""),1405.71428571428)</f>
        <v>1405.7142857142801</v>
      </c>
      <c r="L97">
        <f ca="1">IFERROR(__xludf.DUMMYFUNCTION("""COMPUTED_VALUE"""),206949)</f>
        <v>206949</v>
      </c>
      <c r="M97" s="58">
        <f ca="1">IFERROR(__xludf.DUMMYFUNCTION("""COMPUTED_VALUE"""),6208.14285714285)</f>
        <v>6208.1428571428496</v>
      </c>
      <c r="N97" s="57">
        <f ca="1">IFERROR(__xludf.DUMMYFUNCTION("""COMPUTED_VALUE"""),97.5714285714285)</f>
        <v>97.571428571428498</v>
      </c>
      <c r="O97" s="57">
        <f ca="1">IFERROR(__xludf.DUMMYFUNCTION("""COMPUTED_VALUE"""),6802.85714285714)</f>
        <v>6802.8571428571404</v>
      </c>
      <c r="P97">
        <f ca="1">IFERROR(__xludf.DUMMYFUNCTION("""COMPUTED_VALUE"""),89581)</f>
        <v>89581</v>
      </c>
      <c r="Q97" s="58">
        <f ca="1">IFERROR(__xludf.DUMMYFUNCTION("""COMPUTED_VALUE"""),1945.14285714285)</f>
        <v>1945.1428571428501</v>
      </c>
      <c r="R97" s="13">
        <f ca="1">IFERROR(__xludf.DUMMYFUNCTION("""COMPUTED_VALUE"""),0.00665714285714285)</f>
        <v>6.6571428571428502E-3</v>
      </c>
      <c r="S97" s="13">
        <f ca="1">IFERROR(__xludf.DUMMYFUNCTION("""COMPUTED_VALUE"""),0.252147278460381)</f>
        <v>0.25214727846038099</v>
      </c>
      <c r="T97" s="13">
        <f ca="1">IFERROR(__xludf.DUMMYFUNCTION("""COMPUTED_VALUE"""),0.081935348234723)</f>
        <v>8.1935348234722996E-2</v>
      </c>
      <c r="U97" s="13">
        <f ca="1">IFERROR(__xludf.DUMMYFUNCTION("""COMPUTED_VALUE"""),0.229449473761425)</f>
        <v>0.22944947376142499</v>
      </c>
      <c r="V97">
        <f ca="1">IFERROR(__xludf.DUMMYFUNCTION("""COMPUTED_VALUE"""),386)</f>
        <v>386</v>
      </c>
      <c r="W97">
        <f ca="1">IFERROR(__xludf.DUMMYFUNCTION("""COMPUTED_VALUE"""),6061)</f>
        <v>6061</v>
      </c>
      <c r="X97">
        <f ca="1">IFERROR(__xludf.DUMMYFUNCTION("""COMPUTED_VALUE"""),3855)</f>
        <v>3855</v>
      </c>
      <c r="Y97">
        <f ca="1">IFERROR(__xludf.DUMMYFUNCTION("""COMPUTED_VALUE"""),5147)</f>
        <v>5147</v>
      </c>
      <c r="Z97">
        <f ca="1">IFERROR(__xludf.DUMMYFUNCTION("""COMPUTED_VALUE"""),21)</f>
        <v>21</v>
      </c>
      <c r="AA97">
        <f ca="1">IFERROR(__xludf.DUMMYFUNCTION("""COMPUTED_VALUE"""),415)</f>
        <v>415</v>
      </c>
      <c r="AB97">
        <f ca="1">IFERROR(__xludf.DUMMYFUNCTION("""COMPUTED_VALUE"""),445)</f>
        <v>445</v>
      </c>
      <c r="AC97">
        <f ca="1">IFERROR(__xludf.DUMMYFUNCTION("""COMPUTED_VALUE"""),509)</f>
        <v>509</v>
      </c>
    </row>
    <row r="98" spans="1:36" ht="13">
      <c r="A98">
        <f t="shared" ca="1" si="0"/>
        <v>97</v>
      </c>
      <c r="B98" s="62">
        <f ca="1">IFERROR(__xludf.DUMMYFUNCTION("""COMPUTED_VALUE"""),2.85714285714285)</f>
        <v>2.8571428571428501</v>
      </c>
      <c r="C98" s="62">
        <f ca="1">IFERROR(__xludf.DUMMYFUNCTION("""COMPUTED_VALUE"""),89)</f>
        <v>89</v>
      </c>
      <c r="D98" s="62">
        <f ca="1">IFERROR(__xludf.DUMMYFUNCTION("""COMPUTED_VALUE"""),17.4285714285714)</f>
        <v>17.428571428571399</v>
      </c>
      <c r="E98" s="62">
        <f ca="1">IFERROR(__xludf.DUMMYFUNCTION("""COMPUTED_VALUE"""),4592.71428571428)</f>
        <v>4592.7142857142799</v>
      </c>
      <c r="F98" s="21">
        <f ca="1">IFERROR(__xludf.DUMMYFUNCTION("""COMPUTED_VALUE"""),1182)</f>
        <v>1182</v>
      </c>
      <c r="G98" s="21">
        <f ca="1">IFERROR(__xludf.DUMMYFUNCTION("""COMPUTED_VALUE"""),88737)</f>
        <v>88737</v>
      </c>
      <c r="H98" s="63">
        <f ca="1">IFERROR(__xludf.DUMMYFUNCTION("""COMPUTED_VALUE"""),18.2857142857142)</f>
        <v>18.285714285714199</v>
      </c>
      <c r="I98" s="63">
        <f ca="1">IFERROR(__xludf.DUMMYFUNCTION("""COMPUTED_VALUE"""),961.285714285714)</f>
        <v>961.28571428571399</v>
      </c>
      <c r="J98" s="57">
        <f ca="1">IFERROR(__xludf.DUMMYFUNCTION("""COMPUTED_VALUE"""),114.714285714285)</f>
        <v>114.714285714285</v>
      </c>
      <c r="K98" s="57">
        <f ca="1">IFERROR(__xludf.DUMMYFUNCTION("""COMPUTED_VALUE"""),1323.57142857142)</f>
        <v>1323.57142857142</v>
      </c>
      <c r="L98">
        <f ca="1">IFERROR(__xludf.DUMMYFUNCTION("""COMPUTED_VALUE"""),200941)</f>
        <v>200941</v>
      </c>
      <c r="M98" s="58">
        <f ca="1">IFERROR(__xludf.DUMMYFUNCTION("""COMPUTED_VALUE"""),6299)</f>
        <v>6299</v>
      </c>
      <c r="R98" s="13">
        <f ca="1">IFERROR(__xludf.DUMMYFUNCTION("""COMPUTED_VALUE"""),0.00707142857142857)</f>
        <v>7.0714285714285697E-3</v>
      </c>
      <c r="S98" s="13">
        <f ca="1">IFERROR(__xludf.DUMMYFUNCTION("""COMPUTED_VALUE"""),0.258427134242786)</f>
        <v>0.25842713424278602</v>
      </c>
      <c r="T98" s="13">
        <f ca="1">IFERROR(__xludf.DUMMYFUNCTION("""COMPUTED_VALUE"""),0.0802824075525753)</f>
        <v>8.0282407552575305E-2</v>
      </c>
      <c r="V98">
        <f ca="1">IFERROR(__xludf.DUMMYFUNCTION("""COMPUTED_VALUE"""),385)</f>
        <v>385</v>
      </c>
      <c r="W98">
        <f ca="1">IFERROR(__xludf.DUMMYFUNCTION("""COMPUTED_VALUE"""),6153)</f>
        <v>6153</v>
      </c>
      <c r="X98">
        <f ca="1">IFERROR(__xludf.DUMMYFUNCTION("""COMPUTED_VALUE"""),3633)</f>
        <v>3633</v>
      </c>
      <c r="Z98">
        <f ca="1">IFERROR(__xludf.DUMMYFUNCTION("""COMPUTED_VALUE"""),21)</f>
        <v>21</v>
      </c>
      <c r="AA98">
        <f ca="1">IFERROR(__xludf.DUMMYFUNCTION("""COMPUTED_VALUE"""),461)</f>
        <v>461</v>
      </c>
      <c r="AB98">
        <f ca="1">IFERROR(__xludf.DUMMYFUNCTION("""COMPUTED_VALUE"""),420)</f>
        <v>420</v>
      </c>
      <c r="AD98" s="57">
        <f ca="1">IFERROR(__xludf.DUMMYFUNCTION("""COMPUTED_VALUE"""),38.7142857142857)</f>
        <v>38.714285714285701</v>
      </c>
      <c r="AE98" s="57">
        <f ca="1">IFERROR(__xludf.DUMMYFUNCTION("""COMPUTED_VALUE"""),2638)</f>
        <v>2638</v>
      </c>
      <c r="AF98">
        <f ca="1">IFERROR(__xludf.DUMMYFUNCTION("""COMPUTED_VALUE"""),95067)</f>
        <v>95067</v>
      </c>
      <c r="AG98" s="58">
        <f ca="1">IFERROR(__xludf.DUMMYFUNCTION("""COMPUTED_VALUE"""),3206.57142857142)</f>
        <v>3206.5714285714198</v>
      </c>
      <c r="AH98" s="13">
        <f ca="1">IFERROR(__xludf.DUMMYFUNCTION("""COMPUTED_VALUE"""),0.214533738787823)</f>
        <v>0.214533738787823</v>
      </c>
      <c r="AI98">
        <f ca="1">IFERROR(__xludf.DUMMYFUNCTION("""COMPUTED_VALUE"""),1755)</f>
        <v>1755</v>
      </c>
      <c r="AJ98">
        <f ca="1">IFERROR(__xludf.DUMMYFUNCTION("""COMPUTED_VALUE"""),48)</f>
        <v>48</v>
      </c>
    </row>
    <row r="99" spans="1:36" ht="13">
      <c r="A99">
        <f t="shared" ca="1" si="0"/>
        <v>98</v>
      </c>
      <c r="B99" s="62">
        <f ca="1">IFERROR(__xludf.DUMMYFUNCTION("""COMPUTED_VALUE"""),2.42857142857142)</f>
        <v>2.4285714285714199</v>
      </c>
      <c r="C99" s="62">
        <f ca="1">IFERROR(__xludf.DUMMYFUNCTION("""COMPUTED_VALUE"""),90.5714285714285)</f>
        <v>90.571428571428498</v>
      </c>
      <c r="D99" s="62">
        <f ca="1">IFERROR(__xludf.DUMMYFUNCTION("""COMPUTED_VALUE"""),13.7142857142857)</f>
        <v>13.714285714285699</v>
      </c>
      <c r="E99" s="62">
        <f ca="1">IFERROR(__xludf.DUMMYFUNCTION("""COMPUTED_VALUE"""),4553.57142857142)</f>
        <v>4553.5714285714203</v>
      </c>
      <c r="F99" s="21">
        <f ca="1">IFERROR(__xludf.DUMMYFUNCTION("""COMPUTED_VALUE"""),1143)</f>
        <v>1143</v>
      </c>
      <c r="G99" s="21">
        <f ca="1">IFERROR(__xludf.DUMMYFUNCTION("""COMPUTED_VALUE"""),91358)</f>
        <v>91358</v>
      </c>
      <c r="H99" s="63">
        <f ca="1">IFERROR(__xludf.DUMMYFUNCTION("""COMPUTED_VALUE"""),23.4285714285714)</f>
        <v>23.428571428571399</v>
      </c>
      <c r="I99" s="63">
        <f ca="1">IFERROR(__xludf.DUMMYFUNCTION("""COMPUTED_VALUE"""),1082.28571428571)</f>
        <v>1082.2857142857099</v>
      </c>
      <c r="J99" s="57">
        <f ca="1">IFERROR(__xludf.DUMMYFUNCTION("""COMPUTED_VALUE"""),114.285714285714)</f>
        <v>114.28571428571399</v>
      </c>
      <c r="K99" s="57">
        <f ca="1">IFERROR(__xludf.DUMMYFUNCTION("""COMPUTED_VALUE"""),1259.57142857142)</f>
        <v>1259.57142857142</v>
      </c>
      <c r="L99">
        <f ca="1">IFERROR(__xludf.DUMMYFUNCTION("""COMPUTED_VALUE"""),194778)</f>
        <v>194778</v>
      </c>
      <c r="M99" s="58">
        <f ca="1">IFERROR(__xludf.DUMMYFUNCTION("""COMPUTED_VALUE"""),6402.71428571428)</f>
        <v>6402.7142857142799</v>
      </c>
      <c r="R99" s="13">
        <f ca="1">IFERROR(__xludf.DUMMYFUNCTION("""COMPUTED_VALUE"""),0.00511428571428571)</f>
        <v>5.1142857142857101E-3</v>
      </c>
      <c r="S99" s="13">
        <f ca="1">IFERROR(__xludf.DUMMYFUNCTION("""COMPUTED_VALUE"""),0.251145912067257)</f>
        <v>0.251145912067257</v>
      </c>
      <c r="T99" s="13">
        <f ca="1">IFERROR(__xludf.DUMMYFUNCTION("""COMPUTED_VALUE"""),0.0792238075533229)</f>
        <v>7.9223807553322895E-2</v>
      </c>
      <c r="V99">
        <f ca="1">IFERROR(__xludf.DUMMYFUNCTION("""COMPUTED_VALUE"""),365)</f>
        <v>365</v>
      </c>
      <c r="W99">
        <f ca="1">IFERROR(__xludf.DUMMYFUNCTION("""COMPUTED_VALUE"""),6352)</f>
        <v>6352</v>
      </c>
      <c r="X99">
        <f ca="1">IFERROR(__xludf.DUMMYFUNCTION("""COMPUTED_VALUE"""),3353)</f>
        <v>3353</v>
      </c>
      <c r="Z99">
        <f ca="1">IFERROR(__xludf.DUMMYFUNCTION("""COMPUTED_VALUE"""),20)</f>
        <v>20</v>
      </c>
      <c r="AA99">
        <f ca="1">IFERROR(__xludf.DUMMYFUNCTION("""COMPUTED_VALUE"""),473)</f>
        <v>473</v>
      </c>
      <c r="AB99">
        <f ca="1">IFERROR(__xludf.DUMMYFUNCTION("""COMPUTED_VALUE"""),403)</f>
        <v>403</v>
      </c>
      <c r="AD99" s="57">
        <f ca="1">IFERROR(__xludf.DUMMYFUNCTION("""COMPUTED_VALUE"""),28.7142857142857)</f>
        <v>28.714285714285701</v>
      </c>
      <c r="AE99" s="57">
        <f ca="1">IFERROR(__xludf.DUMMYFUNCTION("""COMPUTED_VALUE"""),2006.71428571428)</f>
        <v>2006.7142857142801</v>
      </c>
      <c r="AF99">
        <f ca="1">IFERROR(__xludf.DUMMYFUNCTION("""COMPUTED_VALUE"""),92465)</f>
        <v>92465</v>
      </c>
      <c r="AG99" s="58">
        <f ca="1">IFERROR(__xludf.DUMMYFUNCTION("""COMPUTED_VALUE"""),2665.85714285714)</f>
        <v>2665.8571428571399</v>
      </c>
      <c r="AH99" s="13">
        <f ca="1">IFERROR(__xludf.DUMMYFUNCTION("""COMPUTED_VALUE"""),0.254036937636981)</f>
        <v>0.25403693763698099</v>
      </c>
      <c r="AI99">
        <f ca="1">IFERROR(__xludf.DUMMYFUNCTION("""COMPUTED_VALUE"""),1800)</f>
        <v>1800</v>
      </c>
      <c r="AJ99">
        <f ca="1">IFERROR(__xludf.DUMMYFUNCTION("""COMPUTED_VALUE"""),51)</f>
        <v>51</v>
      </c>
    </row>
    <row r="100" spans="1:36" ht="13">
      <c r="A100">
        <f t="shared" ca="1" si="0"/>
        <v>99</v>
      </c>
      <c r="B100" s="62">
        <f ca="1">IFERROR(__xludf.DUMMYFUNCTION("""COMPUTED_VALUE"""),2.28571428571428)</f>
        <v>2.2857142857142798</v>
      </c>
      <c r="C100" s="62">
        <f ca="1">IFERROR(__xludf.DUMMYFUNCTION("""COMPUTED_VALUE"""),91)</f>
        <v>91</v>
      </c>
      <c r="D100" s="62">
        <f ca="1">IFERROR(__xludf.DUMMYFUNCTION("""COMPUTED_VALUE"""),13.7142857142857)</f>
        <v>13.714285714285699</v>
      </c>
      <c r="E100" s="62">
        <f ca="1">IFERROR(__xludf.DUMMYFUNCTION("""COMPUTED_VALUE"""),4553.42857142857)</f>
        <v>4553.4285714285697</v>
      </c>
      <c r="F100" s="21">
        <f ca="1">IFERROR(__xludf.DUMMYFUNCTION("""COMPUTED_VALUE"""),1121)</f>
        <v>1121</v>
      </c>
      <c r="G100" s="21">
        <f ca="1">IFERROR(__xludf.DUMMYFUNCTION("""COMPUTED_VALUE"""),94704)</f>
        <v>94704</v>
      </c>
      <c r="H100" s="63">
        <f ca="1">IFERROR(__xludf.DUMMYFUNCTION("""COMPUTED_VALUE"""),23.5714285714285)</f>
        <v>23.571428571428498</v>
      </c>
      <c r="I100" s="63">
        <f ca="1">IFERROR(__xludf.DUMMYFUNCTION("""COMPUTED_VALUE"""),925.571428571428)</f>
        <v>925.57142857142799</v>
      </c>
      <c r="J100" s="57">
        <f ca="1">IFERROR(__xludf.DUMMYFUNCTION("""COMPUTED_VALUE"""),112.142857142857)</f>
        <v>112.142857142857</v>
      </c>
      <c r="K100" s="57">
        <f ca="1">IFERROR(__xludf.DUMMYFUNCTION("""COMPUTED_VALUE"""),1182.14285714285)</f>
        <v>1182.1428571428501</v>
      </c>
      <c r="L100">
        <f ca="1">IFERROR(__xludf.DUMMYFUNCTION("""COMPUTED_VALUE"""),188083)</f>
        <v>188083</v>
      </c>
      <c r="M100" s="58">
        <f ca="1">IFERROR(__xludf.DUMMYFUNCTION("""COMPUTED_VALUE"""),6772.71428571428)</f>
        <v>6772.7142857142799</v>
      </c>
      <c r="N100" s="57">
        <f ca="1">IFERROR(__xludf.DUMMYFUNCTION("""COMPUTED_VALUE"""),110.428571428571)</f>
        <v>110.428571428571</v>
      </c>
      <c r="O100" s="57">
        <f ca="1">IFERROR(__xludf.DUMMYFUNCTION("""COMPUTED_VALUE"""),7263.71428571428)</f>
        <v>7263.7142857142799</v>
      </c>
      <c r="P100">
        <f ca="1">IFERROR(__xludf.DUMMYFUNCTION("""COMPUTED_VALUE"""),102898)</f>
        <v>102898</v>
      </c>
      <c r="Q100" s="58">
        <f ca="1">IFERROR(__xludf.DUMMYFUNCTION("""COMPUTED_VALUE"""),2251.57142857142)</f>
        <v>2251.5714285714198</v>
      </c>
      <c r="R100" s="13">
        <f ca="1">IFERROR(__xludf.DUMMYFUNCTION("""COMPUTED_VALUE"""),0.00467142857142857)</f>
        <v>4.6714285714285703E-3</v>
      </c>
      <c r="S100" s="13">
        <f ca="1">IFERROR(__xludf.DUMMYFUNCTION("""COMPUTED_VALUE"""),0.243766815415347)</f>
        <v>0.243766815415347</v>
      </c>
      <c r="T100" s="13">
        <f ca="1">IFERROR(__xludf.DUMMYFUNCTION("""COMPUTED_VALUE"""),0.0757280491007461)</f>
        <v>7.5728049100746098E-2</v>
      </c>
      <c r="U100" s="13">
        <f ca="1">IFERROR(__xludf.DUMMYFUNCTION("""COMPUTED_VALUE"""),0.233609033565755)</f>
        <v>0.23360903356575499</v>
      </c>
      <c r="V100">
        <f ca="1">IFERROR(__xludf.DUMMYFUNCTION("""COMPUTED_VALUE"""),344)</f>
        <v>344</v>
      </c>
      <c r="W100">
        <f ca="1">IFERROR(__xludf.DUMMYFUNCTION("""COMPUTED_VALUE"""),6426)</f>
        <v>6426</v>
      </c>
      <c r="X100">
        <f ca="1">IFERROR(__xludf.DUMMYFUNCTION("""COMPUTED_VALUE"""),3384)</f>
        <v>3384</v>
      </c>
      <c r="Y100">
        <f ca="1">IFERROR(__xludf.DUMMYFUNCTION("""COMPUTED_VALUE"""),5286)</f>
        <v>5286</v>
      </c>
      <c r="Z100">
        <f ca="1">IFERROR(__xludf.DUMMYFUNCTION("""COMPUTED_VALUE"""),20)</f>
        <v>20</v>
      </c>
      <c r="AA100">
        <f ca="1">IFERROR(__xludf.DUMMYFUNCTION("""COMPUTED_VALUE"""),486)</f>
        <v>486</v>
      </c>
      <c r="AB100">
        <f ca="1">IFERROR(__xludf.DUMMYFUNCTION("""COMPUTED_VALUE"""),394)</f>
        <v>394</v>
      </c>
      <c r="AC100">
        <f ca="1">IFERROR(__xludf.DUMMYFUNCTION("""COMPUTED_VALUE"""),519)</f>
        <v>519</v>
      </c>
      <c r="AD100" s="57">
        <f ca="1">IFERROR(__xludf.DUMMYFUNCTION("""COMPUTED_VALUE"""),27.2857142857142)</f>
        <v>27.285714285714199</v>
      </c>
      <c r="AE100" s="57">
        <f ca="1">IFERROR(__xludf.DUMMYFUNCTION("""COMPUTED_VALUE"""),1986.71428571428)</f>
        <v>1986.7142857142801</v>
      </c>
      <c r="AF100">
        <f ca="1">IFERROR(__xludf.DUMMYFUNCTION("""COMPUTED_VALUE"""),89057)</f>
        <v>89057</v>
      </c>
      <c r="AG100" s="58">
        <f ca="1">IFERROR(__xludf.DUMMYFUNCTION("""COMPUTED_VALUE"""),3079.14285714285)</f>
        <v>3079.1428571428501</v>
      </c>
      <c r="AH100" s="13">
        <f ca="1">IFERROR(__xludf.DUMMYFUNCTION("""COMPUTED_VALUE"""),0.260615317796492)</f>
        <v>0.260615317796492</v>
      </c>
      <c r="AI100">
        <f ca="1">IFERROR(__xludf.DUMMYFUNCTION("""COMPUTED_VALUE"""),1717)</f>
        <v>1717</v>
      </c>
      <c r="AJ100">
        <f ca="1">IFERROR(__xludf.DUMMYFUNCTION("""COMPUTED_VALUE"""),47)</f>
        <v>47</v>
      </c>
    </row>
    <row r="101" spans="1:36" ht="13">
      <c r="A101">
        <f t="shared" ca="1" si="0"/>
        <v>100</v>
      </c>
      <c r="B101" s="62">
        <f ca="1">IFERROR(__xludf.DUMMYFUNCTION("""COMPUTED_VALUE"""),1.85714285714285)</f>
        <v>1.8571428571428501</v>
      </c>
      <c r="C101" s="62">
        <f ca="1">IFERROR(__xludf.DUMMYFUNCTION("""COMPUTED_VALUE"""),90.4285714285714)</f>
        <v>90.428571428571402</v>
      </c>
      <c r="D101" s="62">
        <f ca="1">IFERROR(__xludf.DUMMYFUNCTION("""COMPUTED_VALUE"""),12.1428571428571)</f>
        <v>12.1428571428571</v>
      </c>
      <c r="E101" s="62">
        <f ca="1">IFERROR(__xludf.DUMMYFUNCTION("""COMPUTED_VALUE"""),4608.85714285714)</f>
        <v>4608.8571428571404</v>
      </c>
      <c r="F101" s="21">
        <f ca="1">IFERROR(__xludf.DUMMYFUNCTION("""COMPUTED_VALUE"""),1095)</f>
        <v>1095</v>
      </c>
      <c r="G101" s="21">
        <f ca="1">IFERROR(__xludf.DUMMYFUNCTION("""COMPUTED_VALUE"""),99202)</f>
        <v>99202</v>
      </c>
      <c r="H101" s="63">
        <f ca="1">IFERROR(__xludf.DUMMYFUNCTION("""COMPUTED_VALUE"""),26.5714285714285)</f>
        <v>26.571428571428498</v>
      </c>
      <c r="I101" s="63">
        <f ca="1">IFERROR(__xludf.DUMMYFUNCTION("""COMPUTED_VALUE"""),941.285714285714)</f>
        <v>941.28571428571399</v>
      </c>
      <c r="J101" s="57">
        <f ca="1">IFERROR(__xludf.DUMMYFUNCTION("""COMPUTED_VALUE"""),106.714285714285)</f>
        <v>106.714285714285</v>
      </c>
      <c r="K101" s="57">
        <f ca="1">IFERROR(__xludf.DUMMYFUNCTION("""COMPUTED_VALUE"""),1148.85714285714)</f>
        <v>1148.8571428571399</v>
      </c>
      <c r="L101">
        <f ca="1">IFERROR(__xludf.DUMMYFUNCTION("""COMPUTED_VALUE"""),180285)</f>
        <v>180285</v>
      </c>
      <c r="M101" s="58">
        <f ca="1">IFERROR(__xludf.DUMMYFUNCTION("""COMPUTED_VALUE"""),7258.85714285714)</f>
        <v>7258.8571428571404</v>
      </c>
      <c r="N101" s="57">
        <f ca="1">IFERROR(__xludf.DUMMYFUNCTION("""COMPUTED_VALUE"""),116.428571428571)</f>
        <v>116.428571428571</v>
      </c>
      <c r="O101" s="57">
        <f ca="1">IFERROR(__xludf.DUMMYFUNCTION("""COMPUTED_VALUE"""),7368.71428571428)</f>
        <v>7368.7142857142799</v>
      </c>
      <c r="P101">
        <f ca="1">IFERROR(__xludf.DUMMYFUNCTION("""COMPUTED_VALUE"""),106594)</f>
        <v>106594</v>
      </c>
      <c r="Q101" s="58">
        <f ca="1">IFERROR(__xludf.DUMMYFUNCTION("""COMPUTED_VALUE"""),2281.57142857142)</f>
        <v>2281.5714285714198</v>
      </c>
      <c r="R101" s="13">
        <f ca="1">IFERROR(__xludf.DUMMYFUNCTION("""COMPUTED_VALUE"""),0.00428571428571428)</f>
        <v>4.2857142857142799E-3</v>
      </c>
      <c r="S101" s="13">
        <f ca="1">IFERROR(__xludf.DUMMYFUNCTION("""COMPUTED_VALUE"""),0.240624032440164)</f>
        <v>0.240624032440164</v>
      </c>
      <c r="T101" s="13">
        <f ca="1">IFERROR(__xludf.DUMMYFUNCTION("""COMPUTED_VALUE"""),0.0742063958858096)</f>
        <v>7.4206395885809601E-2</v>
      </c>
      <c r="U101" s="13">
        <f ca="1">IFERROR(__xludf.DUMMYFUNCTION("""COMPUTED_VALUE"""),0.236968201946728)</f>
        <v>0.23696820194672799</v>
      </c>
      <c r="V101">
        <f ca="1">IFERROR(__xludf.DUMMYFUNCTION("""COMPUTED_VALUE"""),321)</f>
        <v>321</v>
      </c>
      <c r="W101">
        <f ca="1">IFERROR(__xludf.DUMMYFUNCTION("""COMPUTED_VALUE"""),6690)</f>
        <v>6690</v>
      </c>
      <c r="X101">
        <f ca="1">IFERROR(__xludf.DUMMYFUNCTION("""COMPUTED_VALUE"""),3282)</f>
        <v>3282</v>
      </c>
      <c r="Y101">
        <f ca="1">IFERROR(__xludf.DUMMYFUNCTION("""COMPUTED_VALUE"""),5811)</f>
        <v>5811</v>
      </c>
      <c r="Z101">
        <f ca="1">IFERROR(__xludf.DUMMYFUNCTION("""COMPUTED_VALUE"""),19)</f>
        <v>19</v>
      </c>
      <c r="AA101">
        <f ca="1">IFERROR(__xludf.DUMMYFUNCTION("""COMPUTED_VALUE"""),518)</f>
        <v>518</v>
      </c>
      <c r="AB101">
        <f ca="1">IFERROR(__xludf.DUMMYFUNCTION("""COMPUTED_VALUE"""),379)</f>
        <v>379</v>
      </c>
      <c r="AC101">
        <f ca="1">IFERROR(__xludf.DUMMYFUNCTION("""COMPUTED_VALUE"""),545)</f>
        <v>545</v>
      </c>
      <c r="AD101" s="57">
        <f ca="1">IFERROR(__xludf.DUMMYFUNCTION("""COMPUTED_VALUE"""),25.8571428571428)</f>
        <v>25.857142857142801</v>
      </c>
      <c r="AE101" s="57">
        <f ca="1">IFERROR(__xludf.DUMMYFUNCTION("""COMPUTED_VALUE"""),1981.85714285714)</f>
        <v>1981.8571428571399</v>
      </c>
      <c r="AF101">
        <f ca="1">IFERROR(__xludf.DUMMYFUNCTION("""COMPUTED_VALUE"""),84908)</f>
        <v>84908</v>
      </c>
      <c r="AG101" s="58">
        <f ca="1">IFERROR(__xludf.DUMMYFUNCTION("""COMPUTED_VALUE"""),3669.57142857142)</f>
        <v>3669.5714285714198</v>
      </c>
      <c r="AH101" s="13">
        <f ca="1">IFERROR(__xludf.DUMMYFUNCTION("""COMPUTED_VALUE"""),0.260776190442824)</f>
        <v>0.26077619044282402</v>
      </c>
      <c r="AI101">
        <f ca="1">IFERROR(__xludf.DUMMYFUNCTION("""COMPUTED_VALUE"""),1648)</f>
        <v>1648</v>
      </c>
      <c r="AJ101">
        <f ca="1">IFERROR(__xludf.DUMMYFUNCTION("""COMPUTED_VALUE"""),50)</f>
        <v>50</v>
      </c>
    </row>
    <row r="102" spans="1:36" ht="13">
      <c r="A102">
        <f t="shared" ca="1" si="0"/>
        <v>101</v>
      </c>
      <c r="B102" s="62">
        <f ca="1">IFERROR(__xludf.DUMMYFUNCTION("""COMPUTED_VALUE"""),1.71428571428571)</f>
        <v>1.71428571428571</v>
      </c>
      <c r="C102" s="62">
        <f ca="1">IFERROR(__xludf.DUMMYFUNCTION("""COMPUTED_VALUE"""),90.4285714285714)</f>
        <v>90.428571428571402</v>
      </c>
      <c r="D102" s="62">
        <f ca="1">IFERROR(__xludf.DUMMYFUNCTION("""COMPUTED_VALUE"""),11.8571428571428)</f>
        <v>11.857142857142801</v>
      </c>
      <c r="E102" s="62">
        <f ca="1">IFERROR(__xludf.DUMMYFUNCTION("""COMPUTED_VALUE"""),4540)</f>
        <v>4540</v>
      </c>
      <c r="F102" s="21">
        <f ca="1">IFERROR(__xludf.DUMMYFUNCTION("""COMPUTED_VALUE"""),1051)</f>
        <v>1051</v>
      </c>
      <c r="G102" s="21">
        <f ca="1">IFERROR(__xludf.DUMMYFUNCTION("""COMPUTED_VALUE"""),102607)</f>
        <v>102607</v>
      </c>
      <c r="H102" s="63">
        <f ca="1">IFERROR(__xludf.DUMMYFUNCTION("""COMPUTED_VALUE"""),28.8571428571428)</f>
        <v>28.857142857142801</v>
      </c>
      <c r="I102" s="63">
        <f ca="1">IFERROR(__xludf.DUMMYFUNCTION("""COMPUTED_VALUE"""),897)</f>
        <v>897</v>
      </c>
      <c r="J102" s="57">
        <f ca="1">IFERROR(__xludf.DUMMYFUNCTION("""COMPUTED_VALUE"""),102.142857142857)</f>
        <v>102.142857142857</v>
      </c>
      <c r="K102" s="57">
        <f ca="1">IFERROR(__xludf.DUMMYFUNCTION("""COMPUTED_VALUE"""),1116.71428571428)</f>
        <v>1116.7142857142801</v>
      </c>
      <c r="L102">
        <f ca="1">IFERROR(__xludf.DUMMYFUNCTION("""COMPUTED_VALUE"""),172456)</f>
        <v>172456</v>
      </c>
      <c r="M102" s="58">
        <f ca="1">IFERROR(__xludf.DUMMYFUNCTION("""COMPUTED_VALUE"""),7639.28571428571)</f>
        <v>7639.2857142857101</v>
      </c>
      <c r="N102" s="57">
        <f ca="1">IFERROR(__xludf.DUMMYFUNCTION("""COMPUTED_VALUE"""),127.857142857142)</f>
        <v>127.85714285714199</v>
      </c>
      <c r="O102" s="57">
        <f ca="1">IFERROR(__xludf.DUMMYFUNCTION("""COMPUTED_VALUE"""),7630.28571428571)</f>
        <v>7630.2857142857101</v>
      </c>
      <c r="P102">
        <f ca="1">IFERROR(__xludf.DUMMYFUNCTION("""COMPUTED_VALUE"""),115383)</f>
        <v>115383</v>
      </c>
      <c r="Q102" s="58">
        <f ca="1">IFERROR(__xludf.DUMMYFUNCTION("""COMPUTED_VALUE"""),2165.57142857142)</f>
        <v>2165.5714285714198</v>
      </c>
      <c r="R102" s="13">
        <f ca="1">IFERROR(__xludf.DUMMYFUNCTION("""COMPUTED_VALUE"""),0.0044)</f>
        <v>4.4000000000000003E-3</v>
      </c>
      <c r="S102" s="13">
        <f ca="1">IFERROR(__xludf.DUMMYFUNCTION("""COMPUTED_VALUE"""),0.242683118494992)</f>
        <v>0.242683118494992</v>
      </c>
      <c r="T102" s="13">
        <f ca="1">IFERROR(__xludf.DUMMYFUNCTION("""COMPUTED_VALUE"""),0.0728757483818589)</f>
        <v>7.2875748381858896E-2</v>
      </c>
      <c r="U102" s="13">
        <f ca="1">IFERROR(__xludf.DUMMYFUNCTION("""COMPUTED_VALUE"""),0.24172731205587)</f>
        <v>0.24172731205587</v>
      </c>
      <c r="V102">
        <f ca="1">IFERROR(__xludf.DUMMYFUNCTION("""COMPUTED_VALUE"""),290)</f>
        <v>290</v>
      </c>
      <c r="W102">
        <f ca="1">IFERROR(__xludf.DUMMYFUNCTION("""COMPUTED_VALUE"""),7029)</f>
        <v>7029</v>
      </c>
      <c r="X102">
        <f ca="1">IFERROR(__xludf.DUMMYFUNCTION("""COMPUTED_VALUE"""),2974)</f>
        <v>2974</v>
      </c>
      <c r="Y102">
        <f ca="1">IFERROR(__xludf.DUMMYFUNCTION("""COMPUTED_VALUE"""),5852)</f>
        <v>5852</v>
      </c>
      <c r="Z102">
        <f ca="1">IFERROR(__xludf.DUMMYFUNCTION("""COMPUTED_VALUE"""),20)</f>
        <v>20</v>
      </c>
      <c r="AA102">
        <f ca="1">IFERROR(__xludf.DUMMYFUNCTION("""COMPUTED_VALUE"""),531)</f>
        <v>531</v>
      </c>
      <c r="AB102">
        <f ca="1">IFERROR(__xludf.DUMMYFUNCTION("""COMPUTED_VALUE"""),361)</f>
        <v>361</v>
      </c>
      <c r="AC102">
        <f ca="1">IFERROR(__xludf.DUMMYFUNCTION("""COMPUTED_VALUE"""),565)</f>
        <v>565</v>
      </c>
    </row>
    <row r="103" spans="1:36" ht="13">
      <c r="A103">
        <f t="shared" ca="1" si="0"/>
        <v>102</v>
      </c>
      <c r="B103" s="62">
        <f ca="1">IFERROR(__xludf.DUMMYFUNCTION("""COMPUTED_VALUE"""),1.85714285714285)</f>
        <v>1.8571428571428501</v>
      </c>
      <c r="C103" s="62">
        <f ca="1">IFERROR(__xludf.DUMMYFUNCTION("""COMPUTED_VALUE"""),94.1428571428571)</f>
        <v>94.142857142857096</v>
      </c>
      <c r="D103" s="62">
        <f ca="1">IFERROR(__xludf.DUMMYFUNCTION("""COMPUTED_VALUE"""),10.5714285714285)</f>
        <v>10.5714285714285</v>
      </c>
      <c r="E103" s="62">
        <f ca="1">IFERROR(__xludf.DUMMYFUNCTION("""COMPUTED_VALUE"""),4477.85714285714)</f>
        <v>4477.8571428571404</v>
      </c>
      <c r="F103" s="21">
        <f ca="1">IFERROR(__xludf.DUMMYFUNCTION("""COMPUTED_VALUE"""),1029)</f>
        <v>1029</v>
      </c>
      <c r="G103" s="21">
        <f ca="1">IFERROR(__xludf.DUMMYFUNCTION("""COMPUTED_VALUE"""),106265)</f>
        <v>106265</v>
      </c>
      <c r="H103" s="63">
        <f ca="1">IFERROR(__xludf.DUMMYFUNCTION("""COMPUTED_VALUE"""),28.1428571428571)</f>
        <v>28.1428571428571</v>
      </c>
      <c r="I103" s="63">
        <f ca="1">IFERROR(__xludf.DUMMYFUNCTION("""COMPUTED_VALUE"""),932.714285714285)</f>
        <v>932.71428571428498</v>
      </c>
      <c r="J103" s="57">
        <f ca="1">IFERROR(__xludf.DUMMYFUNCTION("""COMPUTED_VALUE"""),96.1428571428571)</f>
        <v>96.142857142857096</v>
      </c>
      <c r="K103" s="57">
        <f ca="1">IFERROR(__xludf.DUMMYFUNCTION("""COMPUTED_VALUE"""),1079)</f>
        <v>1079</v>
      </c>
      <c r="L103">
        <f ca="1">IFERROR(__xludf.DUMMYFUNCTION("""COMPUTED_VALUE"""),165769)</f>
        <v>165769</v>
      </c>
      <c r="M103" s="58">
        <f ca="1">IFERROR(__xludf.DUMMYFUNCTION("""COMPUTED_VALUE"""),7745)</f>
        <v>7745</v>
      </c>
      <c r="N103" s="57">
        <f ca="1">IFERROR(__xludf.DUMMYFUNCTION("""COMPUTED_VALUE"""),127.714285714285)</f>
        <v>127.714285714285</v>
      </c>
      <c r="O103" s="57">
        <f ca="1">IFERROR(__xludf.DUMMYFUNCTION("""COMPUTED_VALUE"""),7969.28571428571)</f>
        <v>7969.2857142857101</v>
      </c>
      <c r="P103">
        <f ca="1">IFERROR(__xludf.DUMMYFUNCTION("""COMPUTED_VALUE"""),121138)</f>
        <v>121138</v>
      </c>
      <c r="Q103" s="58">
        <f ca="1">IFERROR(__xludf.DUMMYFUNCTION("""COMPUTED_VALUE"""),2510.14285714285)</f>
        <v>2510.1428571428501</v>
      </c>
      <c r="R103" s="13">
        <f ca="1">IFERROR(__xludf.DUMMYFUNCTION("""COMPUTED_VALUE"""),0.00417142857142857)</f>
        <v>4.1714285714285699E-3</v>
      </c>
      <c r="S103" s="13">
        <f ca="1">IFERROR(__xludf.DUMMYFUNCTION("""COMPUTED_VALUE"""),0.228977894536022)</f>
        <v>0.22897789453602199</v>
      </c>
      <c r="T103" s="13">
        <f ca="1">IFERROR(__xludf.DUMMYFUNCTION("""COMPUTED_VALUE"""),0.0686587539947782)</f>
        <v>6.8658753994778193E-2</v>
      </c>
      <c r="U103" s="13">
        <f ca="1">IFERROR(__xludf.DUMMYFUNCTION("""COMPUTED_VALUE"""),0.245096694787907)</f>
        <v>0.24509669478790699</v>
      </c>
      <c r="V103">
        <f ca="1">IFERROR(__xludf.DUMMYFUNCTION("""COMPUTED_VALUE"""),283)</f>
        <v>283</v>
      </c>
      <c r="W103">
        <f ca="1">IFERROR(__xludf.DUMMYFUNCTION("""COMPUTED_VALUE"""),7013)</f>
        <v>7013</v>
      </c>
      <c r="X103">
        <f ca="1">IFERROR(__xludf.DUMMYFUNCTION("""COMPUTED_VALUE"""),2782)</f>
        <v>2782</v>
      </c>
      <c r="Y103">
        <f ca="1">IFERROR(__xludf.DUMMYFUNCTION("""COMPUTED_VALUE"""),5969)</f>
        <v>5969</v>
      </c>
      <c r="Z103">
        <f ca="1">IFERROR(__xludf.DUMMYFUNCTION("""COMPUTED_VALUE"""),20)</f>
        <v>20</v>
      </c>
      <c r="AA103">
        <f ca="1">IFERROR(__xludf.DUMMYFUNCTION("""COMPUTED_VALUE"""),569)</f>
        <v>569</v>
      </c>
      <c r="AB103">
        <f ca="1">IFERROR(__xludf.DUMMYFUNCTION("""COMPUTED_VALUE"""),354)</f>
        <v>354</v>
      </c>
      <c r="AC103">
        <f ca="1">IFERROR(__xludf.DUMMYFUNCTION("""COMPUTED_VALUE"""),606)</f>
        <v>606</v>
      </c>
    </row>
    <row r="104" spans="1:36" ht="13">
      <c r="A104">
        <f t="shared" ca="1" si="0"/>
        <v>103</v>
      </c>
      <c r="B104" s="62">
        <f ca="1">IFERROR(__xludf.DUMMYFUNCTION("""COMPUTED_VALUE"""),2.14285714285714)</f>
        <v>2.1428571428571401</v>
      </c>
      <c r="C104" s="62">
        <f ca="1">IFERROR(__xludf.DUMMYFUNCTION("""COMPUTED_VALUE"""),99.5714285714285)</f>
        <v>99.571428571428498</v>
      </c>
      <c r="D104" s="62">
        <f ca="1">IFERROR(__xludf.DUMMYFUNCTION("""COMPUTED_VALUE"""),8.71428571428571)</f>
        <v>8.71428571428571</v>
      </c>
      <c r="E104" s="62">
        <f ca="1">IFERROR(__xludf.DUMMYFUNCTION("""COMPUTED_VALUE"""),4668.28571428571)</f>
        <v>4668.2857142857101</v>
      </c>
      <c r="F104" s="21">
        <f ca="1">IFERROR(__xludf.DUMMYFUNCTION("""COMPUTED_VALUE"""),1025)</f>
        <v>1025</v>
      </c>
      <c r="G104" s="21">
        <f ca="1">IFERROR(__xludf.DUMMYFUNCTION("""COMPUTED_VALUE"""),110256)</f>
        <v>110256</v>
      </c>
      <c r="H104" s="63">
        <f ca="1">IFERROR(__xludf.DUMMYFUNCTION("""COMPUTED_VALUE"""),29)</f>
        <v>29</v>
      </c>
      <c r="I104" s="63">
        <f ca="1">IFERROR(__xludf.DUMMYFUNCTION("""COMPUTED_VALUE"""),1121.28571428571)</f>
        <v>1121.2857142857099</v>
      </c>
      <c r="J104" s="57">
        <f ca="1">IFERROR(__xludf.DUMMYFUNCTION("""COMPUTED_VALUE"""),91.1428571428571)</f>
        <v>91.142857142857096</v>
      </c>
      <c r="K104" s="57">
        <f ca="1">IFERROR(__xludf.DUMMYFUNCTION("""COMPUTED_VALUE"""),1028.85714285714)</f>
        <v>1028.8571428571399</v>
      </c>
      <c r="L104">
        <f ca="1">IFERROR(__xludf.DUMMYFUNCTION("""COMPUTED_VALUE"""),158458)</f>
        <v>158458</v>
      </c>
      <c r="M104" s="58">
        <f ca="1">IFERROR(__xludf.DUMMYFUNCTION("""COMPUTED_VALUE"""),7865)</f>
        <v>7865</v>
      </c>
      <c r="N104" s="57">
        <f ca="1">IFERROR(__xludf.DUMMYFUNCTION("""COMPUTED_VALUE"""),130.428571428571)</f>
        <v>130.42857142857099</v>
      </c>
      <c r="O104" s="57">
        <f ca="1">IFERROR(__xludf.DUMMYFUNCTION("""COMPUTED_VALUE"""),8386.28571428571)</f>
        <v>8386.2857142857101</v>
      </c>
      <c r="P104">
        <f ca="1">IFERROR(__xludf.DUMMYFUNCTION("""COMPUTED_VALUE"""),128124)</f>
        <v>128124</v>
      </c>
      <c r="Q104" s="58">
        <f ca="1">IFERROR(__xludf.DUMMYFUNCTION("""COMPUTED_VALUE"""),2749.71428571428)</f>
        <v>2749.7142857142799</v>
      </c>
      <c r="R104" s="13">
        <f ca="1">IFERROR(__xludf.DUMMYFUNCTION("""COMPUTED_VALUE"""),0.0036)</f>
        <v>3.5999999999999999E-3</v>
      </c>
      <c r="S104" s="13">
        <f ca="1">IFERROR(__xludf.DUMMYFUNCTION("""COMPUTED_VALUE"""),0.183592088810482)</f>
        <v>0.183592088810482</v>
      </c>
      <c r="T104" s="13">
        <f ca="1">IFERROR(__xludf.DUMMYFUNCTION("""COMPUTED_VALUE"""),0.0658471814977205)</f>
        <v>6.5847181497720494E-2</v>
      </c>
      <c r="U104" s="13">
        <f ca="1">IFERROR(__xludf.DUMMYFUNCTION("""COMPUTED_VALUE"""),0.243726466828608)</f>
        <v>0.24372646682860799</v>
      </c>
      <c r="V104">
        <f ca="1">IFERROR(__xludf.DUMMYFUNCTION("""COMPUTED_VALUE"""),275)</f>
        <v>275</v>
      </c>
      <c r="W104">
        <f ca="1">IFERROR(__xludf.DUMMYFUNCTION("""COMPUTED_VALUE"""),7236)</f>
        <v>7236</v>
      </c>
      <c r="X104">
        <f ca="1">IFERROR(__xludf.DUMMYFUNCTION("""COMPUTED_VALUE"""),2612)</f>
        <v>2612</v>
      </c>
      <c r="Y104">
        <f ca="1">IFERROR(__xludf.DUMMYFUNCTION("""COMPUTED_VALUE"""),6122)</f>
        <v>6122</v>
      </c>
      <c r="Z104">
        <f ca="1">IFERROR(__xludf.DUMMYFUNCTION("""COMPUTED_VALUE"""),20)</f>
        <v>20</v>
      </c>
      <c r="AA104">
        <f ca="1">IFERROR(__xludf.DUMMYFUNCTION("""COMPUTED_VALUE"""),582)</f>
        <v>582</v>
      </c>
      <c r="AB104">
        <f ca="1">IFERROR(__xludf.DUMMYFUNCTION("""COMPUTED_VALUE"""),338)</f>
        <v>338</v>
      </c>
      <c r="AC104">
        <f ca="1">IFERROR(__xludf.DUMMYFUNCTION("""COMPUTED_VALUE"""),613)</f>
        <v>613</v>
      </c>
    </row>
    <row r="105" spans="1:36" ht="13">
      <c r="A105">
        <f t="shared" ca="1" si="0"/>
        <v>104</v>
      </c>
      <c r="B105" s="62">
        <f ca="1">IFERROR(__xludf.DUMMYFUNCTION("""COMPUTED_VALUE"""),2.14285714285714)</f>
        <v>2.1428571428571401</v>
      </c>
      <c r="C105" s="62">
        <f ca="1">IFERROR(__xludf.DUMMYFUNCTION("""COMPUTED_VALUE"""),97.8571428571428)</f>
        <v>97.857142857142804</v>
      </c>
      <c r="D105" s="62">
        <f ca="1">IFERROR(__xludf.DUMMYFUNCTION("""COMPUTED_VALUE"""),8.85714285714285)</f>
        <v>8.8571428571428505</v>
      </c>
      <c r="E105" s="62">
        <f ca="1">IFERROR(__xludf.DUMMYFUNCTION("""COMPUTED_VALUE"""),4820.14285714285)</f>
        <v>4820.1428571428496</v>
      </c>
      <c r="F105" s="21">
        <f ca="1">IFERROR(__xludf.DUMMYFUNCTION("""COMPUTED_VALUE"""),1028)</f>
        <v>1028</v>
      </c>
      <c r="G105" s="21">
        <f ca="1">IFERROR(__xludf.DUMMYFUNCTION("""COMPUTED_VALUE"""),115193)</f>
        <v>115193</v>
      </c>
      <c r="H105" s="63">
        <f ca="1">IFERROR(__xludf.DUMMYFUNCTION("""COMPUTED_VALUE"""),28.7142857142857)</f>
        <v>28.714285714285701</v>
      </c>
      <c r="I105" s="63">
        <f ca="1">IFERROR(__xludf.DUMMYFUNCTION("""COMPUTED_VALUE"""),942.857142857142)</f>
        <v>942.85714285714198</v>
      </c>
      <c r="J105" s="57">
        <f ca="1">IFERROR(__xludf.DUMMYFUNCTION("""COMPUTED_VALUE"""),87.1428571428571)</f>
        <v>87.142857142857096</v>
      </c>
      <c r="K105" s="57">
        <f ca="1">IFERROR(__xludf.DUMMYFUNCTION("""COMPUTED_VALUE"""),980.714285714285)</f>
        <v>980.71428571428498</v>
      </c>
      <c r="L105">
        <f ca="1">IFERROR(__xludf.DUMMYFUNCTION("""COMPUTED_VALUE"""),149707)</f>
        <v>149707</v>
      </c>
      <c r="M105" s="58">
        <f ca="1">IFERROR(__xludf.DUMMYFUNCTION("""COMPUTED_VALUE"""),8212.71428571428)</f>
        <v>8212.7142857142808</v>
      </c>
      <c r="R105" s="13">
        <f ca="1">IFERROR(__xludf.DUMMYFUNCTION("""COMPUTED_VALUE"""),0.00264285714285714)</f>
        <v>2.6428571428571399E-3</v>
      </c>
      <c r="S105" s="13">
        <f ca="1">IFERROR(__xludf.DUMMYFUNCTION("""COMPUTED_VALUE"""),0.165568880045397)</f>
        <v>0.16556888004539699</v>
      </c>
      <c r="T105" s="13">
        <f ca="1">IFERROR(__xludf.DUMMYFUNCTION("""COMPUTED_VALUE"""),0.0638744592681733)</f>
        <v>6.3874459268173298E-2</v>
      </c>
      <c r="V105">
        <f ca="1">IFERROR(__xludf.DUMMYFUNCTION("""COMPUTED_VALUE"""),275)</f>
        <v>275</v>
      </c>
      <c r="W105">
        <f ca="1">IFERROR(__xludf.DUMMYFUNCTION("""COMPUTED_VALUE"""),7477)</f>
        <v>7477</v>
      </c>
      <c r="X105">
        <f ca="1">IFERROR(__xludf.DUMMYFUNCTION("""COMPUTED_VALUE"""),2453)</f>
        <v>2453</v>
      </c>
      <c r="Z105">
        <f ca="1">IFERROR(__xludf.DUMMYFUNCTION("""COMPUTED_VALUE"""),19)</f>
        <v>19</v>
      </c>
      <c r="AA105">
        <f ca="1">IFERROR(__xludf.DUMMYFUNCTION("""COMPUTED_VALUE"""),576)</f>
        <v>576</v>
      </c>
      <c r="AB105">
        <f ca="1">IFERROR(__xludf.DUMMYFUNCTION("""COMPUTED_VALUE"""),308)</f>
        <v>308</v>
      </c>
    </row>
    <row r="106" spans="1:36" ht="13">
      <c r="A106">
        <f t="shared" ca="1" si="0"/>
        <v>105</v>
      </c>
      <c r="B106" s="62">
        <f ca="1">IFERROR(__xludf.DUMMYFUNCTION("""COMPUTED_VALUE"""),2.14285714285714)</f>
        <v>2.1428571428571401</v>
      </c>
      <c r="C106" s="62">
        <f ca="1">IFERROR(__xludf.DUMMYFUNCTION("""COMPUTED_VALUE"""),97.5714285714285)</f>
        <v>97.571428571428498</v>
      </c>
      <c r="D106" s="62">
        <f ca="1">IFERROR(__xludf.DUMMYFUNCTION("""COMPUTED_VALUE"""),8.57142857142857)</f>
        <v>8.5714285714285694</v>
      </c>
      <c r="E106" s="62">
        <f ca="1">IFERROR(__xludf.DUMMYFUNCTION("""COMPUTED_VALUE"""),4869.42857142857)</f>
        <v>4869.4285714285697</v>
      </c>
      <c r="F106" s="21">
        <f ca="1">IFERROR(__xludf.DUMMYFUNCTION("""COMPUTED_VALUE"""),996)</f>
        <v>996</v>
      </c>
      <c r="G106" s="21">
        <f ca="1">IFERROR(__xludf.DUMMYFUNCTION("""COMPUTED_VALUE"""),118723)</f>
        <v>118723</v>
      </c>
      <c r="H106" s="63">
        <f ca="1">IFERROR(__xludf.DUMMYFUNCTION("""COMPUTED_VALUE"""),27.4285714285714)</f>
        <v>27.428571428571399</v>
      </c>
      <c r="I106" s="63">
        <f ca="1">IFERROR(__xludf.DUMMYFUNCTION("""COMPUTED_VALUE"""),862.571428571428)</f>
        <v>862.57142857142799</v>
      </c>
      <c r="J106" s="57">
        <f ca="1">IFERROR(__xludf.DUMMYFUNCTION("""COMPUTED_VALUE"""),81.8571428571428)</f>
        <v>81.857142857142804</v>
      </c>
      <c r="K106" s="57">
        <f ca="1">IFERROR(__xludf.DUMMYFUNCTION("""COMPUTED_VALUE"""),919.714285714285)</f>
        <v>919.71428571428498</v>
      </c>
      <c r="L106">
        <f ca="1">IFERROR(__xludf.DUMMYFUNCTION("""COMPUTED_VALUE"""),143884)</f>
        <v>143884</v>
      </c>
      <c r="M106" s="58">
        <f ca="1">IFERROR(__xludf.DUMMYFUNCTION("""COMPUTED_VALUE"""),8108.42857142857)</f>
        <v>8108.4285714285697</v>
      </c>
      <c r="R106" s="13">
        <f ca="1">IFERROR(__xludf.DUMMYFUNCTION("""COMPUTED_VALUE"""),0.00262857142857142)</f>
        <v>2.6285714285714198E-3</v>
      </c>
      <c r="S106" s="13">
        <f ca="1">IFERROR(__xludf.DUMMYFUNCTION("""COMPUTED_VALUE"""),0.167195337024002)</f>
        <v>0.16719533702400199</v>
      </c>
      <c r="T106" s="13">
        <f ca="1">IFERROR(__xludf.DUMMYFUNCTION("""COMPUTED_VALUE"""),0.0607456789838876)</f>
        <v>6.0745678983887601E-2</v>
      </c>
      <c r="V106">
        <f ca="1">IFERROR(__xludf.DUMMYFUNCTION("""COMPUTED_VALUE"""),255)</f>
        <v>255</v>
      </c>
      <c r="W106">
        <f ca="1">IFERROR(__xludf.DUMMYFUNCTION("""COMPUTED_VALUE"""),7499)</f>
        <v>7499</v>
      </c>
      <c r="X106">
        <f ca="1">IFERROR(__xludf.DUMMYFUNCTION("""COMPUTED_VALUE"""),2270)</f>
        <v>2270</v>
      </c>
      <c r="Z106">
        <f ca="1">IFERROR(__xludf.DUMMYFUNCTION("""COMPUTED_VALUE"""),17)</f>
        <v>17</v>
      </c>
      <c r="AA106">
        <f ca="1">IFERROR(__xludf.DUMMYFUNCTION("""COMPUTED_VALUE"""),581)</f>
        <v>581</v>
      </c>
      <c r="AB106">
        <f ca="1">IFERROR(__xludf.DUMMYFUNCTION("""COMPUTED_VALUE"""),261)</f>
        <v>261</v>
      </c>
      <c r="AD106" s="57">
        <f ca="1">IFERROR(__xludf.DUMMYFUNCTION("""COMPUTED_VALUE"""),22.7142857142857)</f>
        <v>22.714285714285701</v>
      </c>
      <c r="AE106" s="57">
        <f ca="1">IFERROR(__xludf.DUMMYFUNCTION("""COMPUTED_VALUE"""),1464.57142857142)</f>
        <v>1464.57142857142</v>
      </c>
      <c r="AF106">
        <f ca="1">IFERROR(__xludf.DUMMYFUNCTION("""COMPUTED_VALUE"""),77710)</f>
        <v>77710</v>
      </c>
      <c r="AG106" s="58">
        <f ca="1">IFERROR(__xludf.DUMMYFUNCTION("""COMPUTED_VALUE"""),3549.71428571428)</f>
        <v>3549.7142857142799</v>
      </c>
      <c r="AH106" s="13">
        <f ca="1">IFERROR(__xludf.DUMMYFUNCTION("""COMPUTED_VALUE"""),0.143329362559182)</f>
        <v>0.14332936255918199</v>
      </c>
      <c r="AI106">
        <f ca="1">IFERROR(__xludf.DUMMYFUNCTION("""COMPUTED_VALUE"""),1560)</f>
        <v>1560</v>
      </c>
      <c r="AJ106">
        <f ca="1">IFERROR(__xludf.DUMMYFUNCTION("""COMPUTED_VALUE"""),49)</f>
        <v>49</v>
      </c>
    </row>
    <row r="107" spans="1:36" ht="13">
      <c r="A107">
        <f t="shared" ca="1" si="0"/>
        <v>106</v>
      </c>
      <c r="B107" s="62">
        <f ca="1">IFERROR(__xludf.DUMMYFUNCTION("""COMPUTED_VALUE"""),2.28571428571428)</f>
        <v>2.2857142857142798</v>
      </c>
      <c r="C107" s="62">
        <f ca="1">IFERROR(__xludf.DUMMYFUNCTION("""COMPUTED_VALUE"""),98.2857142857142)</f>
        <v>98.285714285714207</v>
      </c>
      <c r="D107" s="62">
        <f ca="1">IFERROR(__xludf.DUMMYFUNCTION("""COMPUTED_VALUE"""),7.28571428571428)</f>
        <v>7.2857142857142803</v>
      </c>
      <c r="E107" s="62">
        <f ca="1">IFERROR(__xludf.DUMMYFUNCTION("""COMPUTED_VALUE"""),4953)</f>
        <v>4953</v>
      </c>
      <c r="F107" s="21">
        <f ca="1">IFERROR(__xludf.DUMMYFUNCTION("""COMPUTED_VALUE"""),964)</f>
        <v>964</v>
      </c>
      <c r="G107" s="21">
        <f ca="1">IFERROR(__xludf.DUMMYFUNCTION("""COMPUTED_VALUE"""),121644)</f>
        <v>121644</v>
      </c>
      <c r="H107" s="63">
        <f ca="1">IFERROR(__xludf.DUMMYFUNCTION("""COMPUTED_VALUE"""),27.4285714285714)</f>
        <v>27.428571428571399</v>
      </c>
      <c r="I107" s="63">
        <f ca="1">IFERROR(__xludf.DUMMYFUNCTION("""COMPUTED_VALUE"""),1006.14285714285)</f>
        <v>1006.1428571428499</v>
      </c>
      <c r="J107" s="57">
        <f ca="1">IFERROR(__xludf.DUMMYFUNCTION("""COMPUTED_VALUE"""),74.2857142857142)</f>
        <v>74.285714285714207</v>
      </c>
      <c r="K107" s="57">
        <f ca="1">IFERROR(__xludf.DUMMYFUNCTION("""COMPUTED_VALUE"""),883.857142857142)</f>
        <v>883.85714285714198</v>
      </c>
      <c r="L107">
        <f ca="1">IFERROR(__xludf.DUMMYFUNCTION("""COMPUTED_VALUE"""),138384)</f>
        <v>138384</v>
      </c>
      <c r="M107" s="58">
        <f ca="1">IFERROR(__xludf.DUMMYFUNCTION("""COMPUTED_VALUE"""),7909.42857142857)</f>
        <v>7909.4285714285697</v>
      </c>
      <c r="N107" s="57">
        <f ca="1">IFERROR(__xludf.DUMMYFUNCTION("""COMPUTED_VALUE"""),143)</f>
        <v>143</v>
      </c>
      <c r="O107" s="57">
        <f ca="1">IFERROR(__xludf.DUMMYFUNCTION("""COMPUTED_VALUE"""),9264.71428571428)</f>
        <v>9264.7142857142808</v>
      </c>
      <c r="P107">
        <f ca="1">IFERROR(__xludf.DUMMYFUNCTION("""COMPUTED_VALUE"""),144533)</f>
        <v>144533</v>
      </c>
      <c r="Q107" s="58">
        <f ca="1">IFERROR(__xludf.DUMMYFUNCTION("""COMPUTED_VALUE"""),3173.85714285714)</f>
        <v>3173.8571428571399</v>
      </c>
      <c r="R107" s="13">
        <f ca="1">IFERROR(__xludf.DUMMYFUNCTION("""COMPUTED_VALUE"""),0.00221428571428571)</f>
        <v>2.2142857142857099E-3</v>
      </c>
      <c r="S107" s="13">
        <f ca="1">IFERROR(__xludf.DUMMYFUNCTION("""COMPUTED_VALUE"""),0.170940809343098)</f>
        <v>0.17094080934309799</v>
      </c>
      <c r="T107" s="13">
        <f ca="1">IFERROR(__xludf.DUMMYFUNCTION("""COMPUTED_VALUE"""),0.057451593542235)</f>
        <v>5.7451593542235002E-2</v>
      </c>
      <c r="U107" s="13">
        <f ca="1">IFERROR(__xludf.DUMMYFUNCTION("""COMPUTED_VALUE"""),0.245216788700092)</f>
        <v>0.245216788700092</v>
      </c>
      <c r="V107">
        <f ca="1">IFERROR(__xludf.DUMMYFUNCTION("""COMPUTED_VALUE"""),210)</f>
        <v>210</v>
      </c>
      <c r="W107">
        <f ca="1">IFERROR(__xludf.DUMMYFUNCTION("""COMPUTED_VALUE"""),7532)</f>
        <v>7532</v>
      </c>
      <c r="X107">
        <f ca="1">IFERROR(__xludf.DUMMYFUNCTION("""COMPUTED_VALUE"""),2259)</f>
        <v>2259</v>
      </c>
      <c r="Y107">
        <f ca="1">IFERROR(__xludf.DUMMYFUNCTION("""COMPUTED_VALUE"""),6451)</f>
        <v>6451</v>
      </c>
      <c r="Z107">
        <f ca="1">IFERROR(__xludf.DUMMYFUNCTION("""COMPUTED_VALUE"""),16)</f>
        <v>16</v>
      </c>
      <c r="AA107">
        <f ca="1">IFERROR(__xludf.DUMMYFUNCTION("""COMPUTED_VALUE"""),580)</f>
        <v>580</v>
      </c>
      <c r="AB107">
        <f ca="1">IFERROR(__xludf.DUMMYFUNCTION("""COMPUTED_VALUE"""),258)</f>
        <v>258</v>
      </c>
      <c r="AC107">
        <f ca="1">IFERROR(__xludf.DUMMYFUNCTION("""COMPUTED_VALUE"""),649)</f>
        <v>649</v>
      </c>
      <c r="AD107" s="57">
        <f ca="1">IFERROR(__xludf.DUMMYFUNCTION("""COMPUTED_VALUE"""),23.1428571428571)</f>
        <v>23.1428571428571</v>
      </c>
      <c r="AE107" s="57">
        <f ca="1">IFERROR(__xludf.DUMMYFUNCTION("""COMPUTED_VALUE"""),1274.14285714285)</f>
        <v>1274.1428571428501</v>
      </c>
      <c r="AF107">
        <f ca="1">IFERROR(__xludf.DUMMYFUNCTION("""COMPUTED_VALUE"""),75954)</f>
        <v>75954</v>
      </c>
      <c r="AG107" s="58">
        <f ca="1">IFERROR(__xludf.DUMMYFUNCTION("""COMPUTED_VALUE"""),3122.85714285714)</f>
        <v>3122.8571428571399</v>
      </c>
      <c r="AH107" s="13">
        <f ca="1">IFERROR(__xludf.DUMMYFUNCTION("""COMPUTED_VALUE"""),0.155308120769881)</f>
        <v>0.15530812076988099</v>
      </c>
      <c r="AI107">
        <f ca="1">IFERROR(__xludf.DUMMYFUNCTION("""COMPUTED_VALUE"""),1603)</f>
        <v>1603</v>
      </c>
      <c r="AJ107">
        <f ca="1">IFERROR(__xludf.DUMMYFUNCTION("""COMPUTED_VALUE"""),47)</f>
        <v>47</v>
      </c>
    </row>
    <row r="108" spans="1:36" ht="13">
      <c r="A108">
        <f t="shared" ca="1" si="0"/>
        <v>107</v>
      </c>
      <c r="B108" s="62">
        <f ca="1">IFERROR(__xludf.DUMMYFUNCTION("""COMPUTED_VALUE"""),2.14285714285714)</f>
        <v>2.1428571428571401</v>
      </c>
      <c r="C108" s="62">
        <f ca="1">IFERROR(__xludf.DUMMYFUNCTION("""COMPUTED_VALUE"""),97.8571428571428)</f>
        <v>97.857142857142804</v>
      </c>
      <c r="D108" s="62">
        <f ca="1">IFERROR(__xludf.DUMMYFUNCTION("""COMPUTED_VALUE"""),5.71428571428571)</f>
        <v>5.71428571428571</v>
      </c>
      <c r="E108" s="62">
        <f ca="1">IFERROR(__xludf.DUMMYFUNCTION("""COMPUTED_VALUE"""),4859.14285714285)</f>
        <v>4859.1428571428496</v>
      </c>
      <c r="F108" s="21">
        <f ca="1">IFERROR(__xludf.DUMMYFUNCTION("""COMPUTED_VALUE"""),947)</f>
        <v>947</v>
      </c>
      <c r="G108" s="21">
        <f ca="1">IFERROR(__xludf.DUMMYFUNCTION("""COMPUTED_VALUE"""),124259)</f>
        <v>124259</v>
      </c>
      <c r="H108" s="63">
        <f ca="1">IFERROR(__xludf.DUMMYFUNCTION("""COMPUTED_VALUE"""),24.7142857142857)</f>
        <v>24.714285714285701</v>
      </c>
      <c r="I108" s="63">
        <f ca="1">IFERROR(__xludf.DUMMYFUNCTION("""COMPUTED_VALUE"""),1181.71428571428)</f>
        <v>1181.7142857142801</v>
      </c>
      <c r="J108" s="57">
        <f ca="1">IFERROR(__xludf.DUMMYFUNCTION("""COMPUTED_VALUE"""),69.2857142857142)</f>
        <v>69.285714285714207</v>
      </c>
      <c r="K108" s="57">
        <f ca="1">IFERROR(__xludf.DUMMYFUNCTION("""COMPUTED_VALUE"""),868)</f>
        <v>868</v>
      </c>
      <c r="L108">
        <f ca="1">IFERROR(__xludf.DUMMYFUNCTION("""COMPUTED_VALUE"""),128714)</f>
        <v>128714</v>
      </c>
      <c r="M108" s="58">
        <f ca="1">IFERROR(__xludf.DUMMYFUNCTION("""COMPUTED_VALUE"""),8166)</f>
        <v>8166</v>
      </c>
      <c r="N108" s="57">
        <f ca="1">IFERROR(__xludf.DUMMYFUNCTION("""COMPUTED_VALUE"""),143.857142857142)</f>
        <v>143.85714285714201</v>
      </c>
      <c r="O108" s="57">
        <f ca="1">IFERROR(__xludf.DUMMYFUNCTION("""COMPUTED_VALUE"""),9435.42857142857)</f>
        <v>9435.4285714285706</v>
      </c>
      <c r="P108">
        <f ca="1">IFERROR(__xludf.DUMMYFUNCTION("""COMPUTED_VALUE"""),147558)</f>
        <v>147558</v>
      </c>
      <c r="Q108" s="58">
        <f ca="1">IFERROR(__xludf.DUMMYFUNCTION("""COMPUTED_VALUE"""),3439.57142857142)</f>
        <v>3439.5714285714198</v>
      </c>
      <c r="R108" s="13">
        <f ca="1">IFERROR(__xludf.DUMMYFUNCTION("""COMPUTED_VALUE"""),0.00188571428571428)</f>
        <v>1.8857142857142801E-3</v>
      </c>
      <c r="S108" s="13">
        <f ca="1">IFERROR(__xludf.DUMMYFUNCTION("""COMPUTED_VALUE"""),0.168236401868773)</f>
        <v>0.16823640186877301</v>
      </c>
      <c r="T108" s="13">
        <f ca="1">IFERROR(__xludf.DUMMYFUNCTION("""COMPUTED_VALUE"""),0.0543198447143784)</f>
        <v>5.4319844714378403E-2</v>
      </c>
      <c r="U108" s="13">
        <f ca="1">IFERROR(__xludf.DUMMYFUNCTION("""COMPUTED_VALUE"""),0.250999102719343)</f>
        <v>0.250999102719343</v>
      </c>
      <c r="V108">
        <f ca="1">IFERROR(__xludf.DUMMYFUNCTION("""COMPUTED_VALUE"""),199)</f>
        <v>199</v>
      </c>
      <c r="W108">
        <f ca="1">IFERROR(__xludf.DUMMYFUNCTION("""COMPUTED_VALUE"""),7512)</f>
        <v>7512</v>
      </c>
      <c r="X108">
        <f ca="1">IFERROR(__xludf.DUMMYFUNCTION("""COMPUTED_VALUE"""),2197)</f>
        <v>2197</v>
      </c>
      <c r="Y108">
        <f ca="1">IFERROR(__xludf.DUMMYFUNCTION("""COMPUTED_VALUE"""),6830)</f>
        <v>6830</v>
      </c>
      <c r="Z108">
        <f ca="1">IFERROR(__xludf.DUMMYFUNCTION("""COMPUTED_VALUE"""),15)</f>
        <v>15</v>
      </c>
      <c r="AA108">
        <f ca="1">IFERROR(__xludf.DUMMYFUNCTION("""COMPUTED_VALUE"""),604)</f>
        <v>604</v>
      </c>
      <c r="AB108">
        <f ca="1">IFERROR(__xludf.DUMMYFUNCTION("""COMPUTED_VALUE"""),251)</f>
        <v>251</v>
      </c>
      <c r="AC108">
        <f ca="1">IFERROR(__xludf.DUMMYFUNCTION("""COMPUTED_VALUE"""),663)</f>
        <v>663</v>
      </c>
      <c r="AD108" s="57">
        <f ca="1">IFERROR(__xludf.DUMMYFUNCTION("""COMPUTED_VALUE"""),22.7142857142857)</f>
        <v>22.714285714285701</v>
      </c>
      <c r="AE108" s="57">
        <f ca="1">IFERROR(__xludf.DUMMYFUNCTION("""COMPUTED_VALUE"""),1346.57142857142)</f>
        <v>1346.57142857142</v>
      </c>
      <c r="AF108">
        <f ca="1">IFERROR(__xludf.DUMMYFUNCTION("""COMPUTED_VALUE"""),72816)</f>
        <v>72816</v>
      </c>
      <c r="AG108" s="58">
        <f ca="1">IFERROR(__xludf.DUMMYFUNCTION("""COMPUTED_VALUE"""),3051.28571428571)</f>
        <v>3051.2857142857101</v>
      </c>
      <c r="AH108" s="13">
        <f ca="1">IFERROR(__xludf.DUMMYFUNCTION("""COMPUTED_VALUE"""),0.201795569030641)</f>
        <v>0.201795569030641</v>
      </c>
      <c r="AI108">
        <f ca="1">IFERROR(__xludf.DUMMYFUNCTION("""COMPUTED_VALUE"""),1500)</f>
        <v>1500</v>
      </c>
      <c r="AJ108">
        <f ca="1">IFERROR(__xludf.DUMMYFUNCTION("""COMPUTED_VALUE"""),48)</f>
        <v>48</v>
      </c>
    </row>
    <row r="109" spans="1:36" ht="13">
      <c r="A109">
        <f t="shared" ca="1" si="0"/>
        <v>108</v>
      </c>
      <c r="B109" s="62">
        <f ca="1">IFERROR(__xludf.DUMMYFUNCTION("""COMPUTED_VALUE"""),1.85714285714285)</f>
        <v>1.8571428571428501</v>
      </c>
      <c r="C109" s="62">
        <f ca="1">IFERROR(__xludf.DUMMYFUNCTION("""COMPUTED_VALUE"""),99.8571428571428)</f>
        <v>99.857142857142804</v>
      </c>
      <c r="D109" s="62">
        <f ca="1">IFERROR(__xludf.DUMMYFUNCTION("""COMPUTED_VALUE"""),4)</f>
        <v>4</v>
      </c>
      <c r="E109" s="62">
        <f ca="1">IFERROR(__xludf.DUMMYFUNCTION("""COMPUTED_VALUE"""),4796.42857142857)</f>
        <v>4796.4285714285697</v>
      </c>
      <c r="F109" s="21">
        <f ca="1">IFERROR(__xludf.DUMMYFUNCTION("""COMPUTED_VALUE"""),932)</f>
        <v>932</v>
      </c>
      <c r="G109" s="21">
        <f ca="1">IFERROR(__xludf.DUMMYFUNCTION("""COMPUTED_VALUE"""),125789)</f>
        <v>125789</v>
      </c>
      <c r="H109" s="63">
        <f ca="1">IFERROR(__xludf.DUMMYFUNCTION("""COMPUTED_VALUE"""),19.1428571428571)</f>
        <v>19.1428571428571</v>
      </c>
      <c r="I109" s="63">
        <f ca="1">IFERROR(__xludf.DUMMYFUNCTION("""COMPUTED_VALUE"""),1384.85714285714)</f>
        <v>1384.8571428571399</v>
      </c>
      <c r="J109" s="57">
        <f ca="1">IFERROR(__xludf.DUMMYFUNCTION("""COMPUTED_VALUE"""),63)</f>
        <v>63</v>
      </c>
      <c r="K109" s="57">
        <f ca="1">IFERROR(__xludf.DUMMYFUNCTION("""COMPUTED_VALUE"""),829.142857142857)</f>
        <v>829.142857142857</v>
      </c>
      <c r="L109">
        <f ca="1">IFERROR(__xludf.DUMMYFUNCTION("""COMPUTED_VALUE"""),121746)</f>
        <v>121746</v>
      </c>
      <c r="M109" s="58">
        <f ca="1">IFERROR(__xludf.DUMMYFUNCTION("""COMPUTED_VALUE"""),8010.42857142857)</f>
        <v>8010.4285714285697</v>
      </c>
      <c r="N109" s="57">
        <f ca="1">IFERROR(__xludf.DUMMYFUNCTION("""COMPUTED_VALUE"""),143.571428571428)</f>
        <v>143.57142857142799</v>
      </c>
      <c r="O109" s="57">
        <f ca="1">IFERROR(__xludf.DUMMYFUNCTION("""COMPUTED_VALUE"""),9774.28571428571)</f>
        <v>9774.2857142857101</v>
      </c>
      <c r="P109">
        <f ca="1">IFERROR(__xludf.DUMMYFUNCTION("""COMPUTED_VALUE"""),155003)</f>
        <v>155003</v>
      </c>
      <c r="Q109" s="58">
        <f ca="1">IFERROR(__xludf.DUMMYFUNCTION("""COMPUTED_VALUE"""),3970.71428571428)</f>
        <v>3970.7142857142799</v>
      </c>
      <c r="R109" s="13">
        <f ca="1">IFERROR(__xludf.DUMMYFUNCTION("""COMPUTED_VALUE"""),0.00149999999999999)</f>
        <v>1.4999999999999901E-3</v>
      </c>
      <c r="S109" s="13">
        <f ca="1">IFERROR(__xludf.DUMMYFUNCTION("""COMPUTED_VALUE"""),0.157463676997124)</f>
        <v>0.15746367699712399</v>
      </c>
      <c r="T109" s="13">
        <f ca="1">IFERROR(__xludf.DUMMYFUNCTION("""COMPUTED_VALUE"""),0.0520439671395224)</f>
        <v>5.2043967139522397E-2</v>
      </c>
      <c r="U109" s="13">
        <f ca="1">IFERROR(__xludf.DUMMYFUNCTION("""COMPUTED_VALUE"""),0.254450716993603)</f>
        <v>0.254450716993603</v>
      </c>
      <c r="V109">
        <f ca="1">IFERROR(__xludf.DUMMYFUNCTION("""COMPUTED_VALUE"""),192)</f>
        <v>192</v>
      </c>
      <c r="W109">
        <f ca="1">IFERROR(__xludf.DUMMYFUNCTION("""COMPUTED_VALUE"""),7358)</f>
        <v>7358</v>
      </c>
      <c r="X109">
        <f ca="1">IFERROR(__xludf.DUMMYFUNCTION("""COMPUTED_VALUE"""),1908)</f>
        <v>1908</v>
      </c>
      <c r="Y109">
        <f ca="1">IFERROR(__xludf.DUMMYFUNCTION("""COMPUTED_VALUE"""),6840)</f>
        <v>6840</v>
      </c>
      <c r="Z109">
        <f ca="1">IFERROR(__xludf.DUMMYFUNCTION("""COMPUTED_VALUE"""),15)</f>
        <v>15</v>
      </c>
      <c r="AA109">
        <f ca="1">IFERROR(__xludf.DUMMYFUNCTION("""COMPUTED_VALUE"""),599)</f>
        <v>599</v>
      </c>
      <c r="AB109">
        <f ca="1">IFERROR(__xludf.DUMMYFUNCTION("""COMPUTED_VALUE"""),224)</f>
        <v>224</v>
      </c>
      <c r="AC109">
        <f ca="1">IFERROR(__xludf.DUMMYFUNCTION("""COMPUTED_VALUE"""),664)</f>
        <v>664</v>
      </c>
      <c r="AD109" s="57">
        <f ca="1">IFERROR(__xludf.DUMMYFUNCTION("""COMPUTED_VALUE"""),26.1428571428571)</f>
        <v>26.1428571428571</v>
      </c>
      <c r="AE109" s="57">
        <f ca="1">IFERROR(__xludf.DUMMYFUNCTION("""COMPUTED_VALUE"""),1639)</f>
        <v>1639</v>
      </c>
      <c r="AF109">
        <f ca="1">IFERROR(__xludf.DUMMYFUNCTION("""COMPUTED_VALUE"""),68288)</f>
        <v>68288</v>
      </c>
      <c r="AG109" s="58">
        <f ca="1">IFERROR(__xludf.DUMMYFUNCTION("""COMPUTED_VALUE"""),3987.14285714285)</f>
        <v>3987.1428571428501</v>
      </c>
      <c r="AH109" s="13">
        <f ca="1">IFERROR(__xludf.DUMMYFUNCTION("""COMPUTED_VALUE"""),0.244476970198281)</f>
        <v>0.24447697019828099</v>
      </c>
      <c r="AI109">
        <f ca="1">IFERROR(__xludf.DUMMYFUNCTION("""COMPUTED_VALUE"""),1449)</f>
        <v>1449</v>
      </c>
      <c r="AJ109">
        <f ca="1">IFERROR(__xludf.DUMMYFUNCTION("""COMPUTED_VALUE"""),45)</f>
        <v>45</v>
      </c>
    </row>
    <row r="110" spans="1:36" ht="13">
      <c r="A110">
        <f t="shared" ca="1" si="0"/>
        <v>109</v>
      </c>
      <c r="B110" s="62">
        <f ca="1">IFERROR(__xludf.DUMMYFUNCTION("""COMPUTED_VALUE"""),1.57142857142857)</f>
        <v>1.5714285714285701</v>
      </c>
      <c r="C110" s="62">
        <f ca="1">IFERROR(__xludf.DUMMYFUNCTION("""COMPUTED_VALUE"""),100.428571428571)</f>
        <v>100.428571428571</v>
      </c>
      <c r="D110" s="62">
        <f ca="1">IFERROR(__xludf.DUMMYFUNCTION("""COMPUTED_VALUE"""),3.14285714285714)</f>
        <v>3.1428571428571401</v>
      </c>
      <c r="E110" s="62">
        <f ca="1">IFERROR(__xludf.DUMMYFUNCTION("""COMPUTED_VALUE"""),4808.14285714285)</f>
        <v>4808.1428571428496</v>
      </c>
      <c r="F110" s="21">
        <f ca="1">IFERROR(__xludf.DUMMYFUNCTION("""COMPUTED_VALUE"""),931)</f>
        <v>931</v>
      </c>
      <c r="G110" s="21">
        <f ca="1">IFERROR(__xludf.DUMMYFUNCTION("""COMPUTED_VALUE"""),127903)</f>
        <v>127903</v>
      </c>
      <c r="H110" s="63">
        <f ca="1">IFERROR(__xludf.DUMMYFUNCTION("""COMPUTED_VALUE"""),15.5714285714285)</f>
        <v>15.5714285714285</v>
      </c>
      <c r="I110" s="63">
        <f ca="1">IFERROR(__xludf.DUMMYFUNCTION("""COMPUTED_VALUE"""),1616.57142857142)</f>
        <v>1616.57142857142</v>
      </c>
      <c r="J110" s="57">
        <f ca="1">IFERROR(__xludf.DUMMYFUNCTION("""COMPUTED_VALUE"""),58.5714285714285)</f>
        <v>58.571428571428498</v>
      </c>
      <c r="K110" s="57">
        <f ca="1">IFERROR(__xludf.DUMMYFUNCTION("""COMPUTED_VALUE"""),738.285714285714)</f>
        <v>738.28571428571399</v>
      </c>
      <c r="L110">
        <f ca="1">IFERROR(__xludf.DUMMYFUNCTION("""COMPUTED_VALUE"""),115029)</f>
        <v>115029</v>
      </c>
      <c r="M110" s="58">
        <f ca="1">IFERROR(__xludf.DUMMYFUNCTION("""COMPUTED_VALUE"""),7928.28571428571)</f>
        <v>7928.2857142857101</v>
      </c>
      <c r="N110" s="57">
        <f ca="1">IFERROR(__xludf.DUMMYFUNCTION("""COMPUTED_VALUE"""),151.285714285714)</f>
        <v>151.28571428571399</v>
      </c>
      <c r="O110" s="57">
        <f ca="1">IFERROR(__xludf.DUMMYFUNCTION("""COMPUTED_VALUE"""),9974)</f>
        <v>9974</v>
      </c>
      <c r="P110">
        <f ca="1">IFERROR(__xludf.DUMMYFUNCTION("""COMPUTED_VALUE"""),165862)</f>
        <v>165862</v>
      </c>
      <c r="Q110" s="58">
        <f ca="1">IFERROR(__xludf.DUMMYFUNCTION("""COMPUTED_VALUE"""),3433.57142857142)</f>
        <v>3433.5714285714198</v>
      </c>
      <c r="R110" s="13">
        <f ca="1">IFERROR(__xludf.DUMMYFUNCTION("""COMPUTED_VALUE"""),0.00124285714285714)</f>
        <v>1.24285714285714E-3</v>
      </c>
      <c r="S110" s="13">
        <f ca="1">IFERROR(__xludf.DUMMYFUNCTION("""COMPUTED_VALUE"""),0.164212703202679)</f>
        <v>0.164212703202679</v>
      </c>
      <c r="T110" s="13">
        <f ca="1">IFERROR(__xludf.DUMMYFUNCTION("""COMPUTED_VALUE"""),0.0515982689672267)</f>
        <v>5.1598268967226697E-2</v>
      </c>
      <c r="U110" s="13">
        <f ca="1">IFERROR(__xludf.DUMMYFUNCTION("""COMPUTED_VALUE"""),0.252540424687407)</f>
        <v>0.25254042468740701</v>
      </c>
      <c r="V110">
        <f ca="1">IFERROR(__xludf.DUMMYFUNCTION("""COMPUTED_VALUE"""),186)</f>
        <v>186</v>
      </c>
      <c r="W110">
        <f ca="1">IFERROR(__xludf.DUMMYFUNCTION("""COMPUTED_VALUE"""),7278)</f>
        <v>7278</v>
      </c>
      <c r="X110">
        <f ca="1">IFERROR(__xludf.DUMMYFUNCTION("""COMPUTED_VALUE"""),1836)</f>
        <v>1836</v>
      </c>
      <c r="Y110">
        <f ca="1">IFERROR(__xludf.DUMMYFUNCTION("""COMPUTED_VALUE"""),6858)</f>
        <v>6858</v>
      </c>
      <c r="Z110">
        <f ca="1">IFERROR(__xludf.DUMMYFUNCTION("""COMPUTED_VALUE"""),15)</f>
        <v>15</v>
      </c>
      <c r="AA110">
        <f ca="1">IFERROR(__xludf.DUMMYFUNCTION("""COMPUTED_VALUE"""),618)</f>
        <v>618</v>
      </c>
      <c r="AB110">
        <f ca="1">IFERROR(__xludf.DUMMYFUNCTION("""COMPUTED_VALUE"""),212)</f>
        <v>212</v>
      </c>
      <c r="AC110">
        <f ca="1">IFERROR(__xludf.DUMMYFUNCTION("""COMPUTED_VALUE"""),680)</f>
        <v>680</v>
      </c>
    </row>
    <row r="111" spans="1:36" ht="13">
      <c r="A111">
        <f t="shared" ca="1" si="0"/>
        <v>110</v>
      </c>
      <c r="B111" s="62">
        <f ca="1">IFERROR(__xludf.DUMMYFUNCTION("""COMPUTED_VALUE"""),1.14285714285714)</f>
        <v>1.1428571428571399</v>
      </c>
      <c r="C111" s="62">
        <f ca="1">IFERROR(__xludf.DUMMYFUNCTION("""COMPUTED_VALUE"""),100.142857142857)</f>
        <v>100.142857142857</v>
      </c>
      <c r="D111" s="62">
        <f ca="1">IFERROR(__xludf.DUMMYFUNCTION("""COMPUTED_VALUE"""),3.57142857142857)</f>
        <v>3.5714285714285698</v>
      </c>
      <c r="E111" s="62">
        <f ca="1">IFERROR(__xludf.DUMMYFUNCTION("""COMPUTED_VALUE"""),4356.57142857142)</f>
        <v>4356.5714285714203</v>
      </c>
      <c r="F111" s="21">
        <f ca="1">IFERROR(__xludf.DUMMYFUNCTION("""COMPUTED_VALUE"""),935)</f>
        <v>935</v>
      </c>
      <c r="G111" s="21">
        <f ca="1">IFERROR(__xludf.DUMMYFUNCTION("""COMPUTED_VALUE"""),130722)</f>
        <v>130722</v>
      </c>
      <c r="H111" s="63">
        <f ca="1">IFERROR(__xludf.DUMMYFUNCTION("""COMPUTED_VALUE"""),15.2857142857142)</f>
        <v>15.285714285714199</v>
      </c>
      <c r="I111" s="63">
        <f ca="1">IFERROR(__xludf.DUMMYFUNCTION("""COMPUTED_VALUE"""),1332.71428571428)</f>
        <v>1332.7142857142801</v>
      </c>
      <c r="J111" s="57">
        <f ca="1">IFERROR(__xludf.DUMMYFUNCTION("""COMPUTED_VALUE"""),55.1428571428571)</f>
        <v>55.142857142857103</v>
      </c>
      <c r="K111" s="57">
        <f ca="1">IFERROR(__xludf.DUMMYFUNCTION("""COMPUTED_VALUE"""),662.142857142857)</f>
        <v>662.142857142857</v>
      </c>
      <c r="L111">
        <f ca="1">IFERROR(__xludf.DUMMYFUNCTION("""COMPUTED_VALUE"""),110034)</f>
        <v>110034</v>
      </c>
      <c r="M111" s="58">
        <f ca="1">IFERROR(__xludf.DUMMYFUNCTION("""COMPUTED_VALUE"""),7524.71428571428)</f>
        <v>7524.7142857142799</v>
      </c>
      <c r="N111" s="57">
        <f ca="1">IFERROR(__xludf.DUMMYFUNCTION("""COMPUTED_VALUE"""),155.142857142857)</f>
        <v>155.142857142857</v>
      </c>
      <c r="O111" s="57">
        <f ca="1">IFERROR(__xludf.DUMMYFUNCTION("""COMPUTED_VALUE"""),10057.1428571428)</f>
        <v>10057.1428571428</v>
      </c>
      <c r="P111">
        <f ca="1">IFERROR(__xludf.DUMMYFUNCTION("""COMPUTED_VALUE"""),172488)</f>
        <v>172488</v>
      </c>
      <c r="Q111" s="58">
        <f ca="1">IFERROR(__xludf.DUMMYFUNCTION("""COMPUTED_VALUE"""),3564.28571428571)</f>
        <v>3564.2857142857101</v>
      </c>
      <c r="R111" s="13">
        <f ca="1">IFERROR(__xludf.DUMMYFUNCTION("""COMPUTED_VALUE"""),0.0014)</f>
        <v>1.4E-3</v>
      </c>
      <c r="S111" s="13">
        <f ca="1">IFERROR(__xludf.DUMMYFUNCTION("""COMPUTED_VALUE"""),0.195320123638033)</f>
        <v>0.195320123638033</v>
      </c>
      <c r="T111" s="13">
        <f ca="1">IFERROR(__xludf.DUMMYFUNCTION("""COMPUTED_VALUE"""),0.0514326637251558)</f>
        <v>5.14326637251558E-2</v>
      </c>
      <c r="U111" s="13">
        <f ca="1">IFERROR(__xludf.DUMMYFUNCTION("""COMPUTED_VALUE"""),0.257222276995275)</f>
        <v>0.257222276995275</v>
      </c>
      <c r="V111">
        <f ca="1">IFERROR(__xludf.DUMMYFUNCTION("""COMPUTED_VALUE"""),185)</f>
        <v>185</v>
      </c>
      <c r="W111">
        <f ca="1">IFERROR(__xludf.DUMMYFUNCTION("""COMPUTED_VALUE"""),7461)</f>
        <v>7461</v>
      </c>
      <c r="X111">
        <f ca="1">IFERROR(__xludf.DUMMYFUNCTION("""COMPUTED_VALUE"""),1645)</f>
        <v>1645</v>
      </c>
      <c r="Y111">
        <f ca="1">IFERROR(__xludf.DUMMYFUNCTION("""COMPUTED_VALUE"""),6913)</f>
        <v>6913</v>
      </c>
      <c r="Z111">
        <f ca="1">IFERROR(__xludf.DUMMYFUNCTION("""COMPUTED_VALUE"""),15)</f>
        <v>15</v>
      </c>
      <c r="AA111">
        <f ca="1">IFERROR(__xludf.DUMMYFUNCTION("""COMPUTED_VALUE"""),627)</f>
        <v>627</v>
      </c>
      <c r="AB111">
        <f ca="1">IFERROR(__xludf.DUMMYFUNCTION("""COMPUTED_VALUE"""),195)</f>
        <v>195</v>
      </c>
      <c r="AC111">
        <f ca="1">IFERROR(__xludf.DUMMYFUNCTION("""COMPUTED_VALUE"""),695)</f>
        <v>695</v>
      </c>
    </row>
    <row r="112" spans="1:36" ht="13">
      <c r="A112">
        <f t="shared" ca="1" si="0"/>
        <v>111</v>
      </c>
      <c r="B112" s="62">
        <f ca="1">IFERROR(__xludf.DUMMYFUNCTION("""COMPUTED_VALUE"""),1.28571428571428)</f>
        <v>1.28571428571428</v>
      </c>
      <c r="C112" s="62">
        <f ca="1">IFERROR(__xludf.DUMMYFUNCTION("""COMPUTED_VALUE"""),103.857142857142)</f>
        <v>103.85714285714199</v>
      </c>
      <c r="D112" s="62">
        <f ca="1">IFERROR(__xludf.DUMMYFUNCTION("""COMPUTED_VALUE"""),3.71428571428571)</f>
        <v>3.71428571428571</v>
      </c>
      <c r="E112" s="62">
        <f ca="1">IFERROR(__xludf.DUMMYFUNCTION("""COMPUTED_VALUE"""),4174.57142857142)</f>
        <v>4174.5714285714203</v>
      </c>
      <c r="F112" s="21">
        <f ca="1">IFERROR(__xludf.DUMMYFUNCTION("""COMPUTED_VALUE"""),940)</f>
        <v>940</v>
      </c>
      <c r="G112" s="21">
        <f ca="1">IFERROR(__xludf.DUMMYFUNCTION("""COMPUTED_VALUE"""),133853)</f>
        <v>133853</v>
      </c>
      <c r="H112" s="63">
        <f ca="1">IFERROR(__xludf.DUMMYFUNCTION("""COMPUTED_VALUE"""),15)</f>
        <v>15</v>
      </c>
      <c r="I112" s="63">
        <f ca="1">IFERROR(__xludf.DUMMYFUNCTION("""COMPUTED_VALUE"""),1405)</f>
        <v>1405</v>
      </c>
      <c r="J112" s="57">
        <f ca="1">IFERROR(__xludf.DUMMYFUNCTION("""COMPUTED_VALUE"""),51.5714285714285)</f>
        <v>51.571428571428498</v>
      </c>
      <c r="K112" s="57">
        <f ca="1">IFERROR(__xludf.DUMMYFUNCTION("""COMPUTED_VALUE"""),606.142857142857)</f>
        <v>606.142857142857</v>
      </c>
      <c r="L112">
        <f ca="1">IFERROR(__xludf.DUMMYFUNCTION("""COMPUTED_VALUE"""),106645)</f>
        <v>106645</v>
      </c>
      <c r="M112" s="58">
        <f ca="1">IFERROR(__xludf.DUMMYFUNCTION("""COMPUTED_VALUE"""),6706.28571428571)</f>
        <v>6706.2857142857101</v>
      </c>
      <c r="R112" s="13">
        <f ca="1">IFERROR(__xludf.DUMMYFUNCTION("""COMPUTED_VALUE"""),0.00142857142857142)</f>
        <v>1.4285714285714199E-3</v>
      </c>
      <c r="S112" s="13">
        <f ca="1">IFERROR(__xludf.DUMMYFUNCTION("""COMPUTED_VALUE"""),0.223417353473339)</f>
        <v>0.22341735347333899</v>
      </c>
      <c r="T112" s="13">
        <f ca="1">IFERROR(__xludf.DUMMYFUNCTION("""COMPUTED_VALUE"""),0.0459373584891969)</f>
        <v>4.5937358489196903E-2</v>
      </c>
      <c r="V112">
        <f ca="1">IFERROR(__xludf.DUMMYFUNCTION("""COMPUTED_VALUE"""),184)</f>
        <v>184</v>
      </c>
      <c r="W112">
        <f ca="1">IFERROR(__xludf.DUMMYFUNCTION("""COMPUTED_VALUE"""),7598)</f>
        <v>7598</v>
      </c>
      <c r="X112">
        <f ca="1">IFERROR(__xludf.DUMMYFUNCTION("""COMPUTED_VALUE"""),1500)</f>
        <v>1500</v>
      </c>
      <c r="Z112">
        <f ca="1">IFERROR(__xludf.DUMMYFUNCTION("""COMPUTED_VALUE"""),14)</f>
        <v>14</v>
      </c>
      <c r="AA112">
        <f ca="1">IFERROR(__xludf.DUMMYFUNCTION("""COMPUTED_VALUE"""),638)</f>
        <v>638</v>
      </c>
      <c r="AB112">
        <f ca="1">IFERROR(__xludf.DUMMYFUNCTION("""COMPUTED_VALUE"""),183)</f>
        <v>183</v>
      </c>
      <c r="AD112" s="57">
        <f ca="1">IFERROR(__xludf.DUMMYFUNCTION("""COMPUTED_VALUE"""),33.7142857142857)</f>
        <v>33.714285714285701</v>
      </c>
      <c r="AE112" s="57">
        <f ca="1">IFERROR(__xludf.DUMMYFUNCTION("""COMPUTED_VALUE"""),2114)</f>
        <v>2114</v>
      </c>
      <c r="AF112">
        <f ca="1">IFERROR(__xludf.DUMMYFUNCTION("""COMPUTED_VALUE"""),59986)</f>
        <v>59986</v>
      </c>
      <c r="AG112" s="58">
        <f ca="1">IFERROR(__xludf.DUMMYFUNCTION("""COMPUTED_VALUE"""),5640.57142857142)</f>
        <v>5640.5714285714203</v>
      </c>
      <c r="AH112" s="13">
        <f ca="1">IFERROR(__xludf.DUMMYFUNCTION("""COMPUTED_VALUE"""),0.27762917120531)</f>
        <v>0.27762917120531</v>
      </c>
      <c r="AI112">
        <f ca="1">IFERROR(__xludf.DUMMYFUNCTION("""COMPUTED_VALUE"""),1460)</f>
        <v>1460</v>
      </c>
      <c r="AJ112">
        <f ca="1">IFERROR(__xludf.DUMMYFUNCTION("""COMPUTED_VALUE"""),40)</f>
        <v>40</v>
      </c>
    </row>
    <row r="113" spans="1:36" ht="13">
      <c r="A113">
        <f t="shared" ca="1" si="0"/>
        <v>112</v>
      </c>
      <c r="B113" s="62">
        <f ca="1">IFERROR(__xludf.DUMMYFUNCTION("""COMPUTED_VALUE"""),1.14285714285714)</f>
        <v>1.1428571428571399</v>
      </c>
      <c r="C113" s="62">
        <f ca="1">IFERROR(__xludf.DUMMYFUNCTION("""COMPUTED_VALUE"""),104.857142857142)</f>
        <v>104.85714285714199</v>
      </c>
      <c r="D113" s="62">
        <f ca="1">IFERROR(__xludf.DUMMYFUNCTION("""COMPUTED_VALUE"""),4.28571428571428)</f>
        <v>4.2857142857142803</v>
      </c>
      <c r="E113" s="62">
        <f ca="1">IFERROR(__xludf.DUMMYFUNCTION("""COMPUTED_VALUE"""),4105.42857142857)</f>
        <v>4105.4285714285697</v>
      </c>
      <c r="F113" s="21">
        <f ca="1">IFERROR(__xludf.DUMMYFUNCTION("""COMPUTED_VALUE"""),934)</f>
        <v>934</v>
      </c>
      <c r="G113" s="21">
        <f ca="1">IFERROR(__xludf.DUMMYFUNCTION("""COMPUTED_VALUE"""),137553)</f>
        <v>137553</v>
      </c>
      <c r="H113" s="63">
        <f ca="1">IFERROR(__xludf.DUMMYFUNCTION("""COMPUTED_VALUE"""),12)</f>
        <v>12</v>
      </c>
      <c r="I113" s="63">
        <f ca="1">IFERROR(__xludf.DUMMYFUNCTION("""COMPUTED_VALUE"""),1710.28571428571)</f>
        <v>1710.2857142857099</v>
      </c>
      <c r="J113" s="57">
        <f ca="1">IFERROR(__xludf.DUMMYFUNCTION("""COMPUTED_VALUE"""),49.1428571428571)</f>
        <v>49.142857142857103</v>
      </c>
      <c r="K113" s="57">
        <f ca="1">IFERROR(__xludf.DUMMYFUNCTION("""COMPUTED_VALUE"""),563)</f>
        <v>563</v>
      </c>
      <c r="L113">
        <f ca="1">IFERROR(__xludf.DUMMYFUNCTION("""COMPUTED_VALUE"""),103749)</f>
        <v>103749</v>
      </c>
      <c r="M113" s="58">
        <f ca="1">IFERROR(__xludf.DUMMYFUNCTION("""COMPUTED_VALUE"""),6247.42857142857)</f>
        <v>6247.4285714285697</v>
      </c>
      <c r="R113" s="13">
        <f ca="1">IFERROR(__xludf.DUMMYFUNCTION("""COMPUTED_VALUE"""),0.00228571428571428)</f>
        <v>2.2857142857142798E-3</v>
      </c>
      <c r="S113" s="13">
        <f ca="1">IFERROR(__xludf.DUMMYFUNCTION("""COMPUTED_VALUE"""),0.222101521392633)</f>
        <v>0.22210152139263301</v>
      </c>
      <c r="T113" s="13">
        <f ca="1">IFERROR(__xludf.DUMMYFUNCTION("""COMPUTED_VALUE"""),0.0436862538177366)</f>
        <v>4.3686253817736602E-2</v>
      </c>
      <c r="V113">
        <f ca="1">IFERROR(__xludf.DUMMYFUNCTION("""COMPUTED_VALUE"""),183)</f>
        <v>183</v>
      </c>
      <c r="W113">
        <f ca="1">IFERROR(__xludf.DUMMYFUNCTION("""COMPUTED_VALUE"""),7718)</f>
        <v>7718</v>
      </c>
      <c r="X113">
        <f ca="1">IFERROR(__xludf.DUMMYFUNCTION("""COMPUTED_VALUE"""),1399)</f>
        <v>1399</v>
      </c>
      <c r="Z113">
        <f ca="1">IFERROR(__xludf.DUMMYFUNCTION("""COMPUTED_VALUE"""),14)</f>
        <v>14</v>
      </c>
      <c r="AA113">
        <f ca="1">IFERROR(__xludf.DUMMYFUNCTION("""COMPUTED_VALUE"""),656)</f>
        <v>656</v>
      </c>
      <c r="AB113">
        <f ca="1">IFERROR(__xludf.DUMMYFUNCTION("""COMPUTED_VALUE"""),185)</f>
        <v>185</v>
      </c>
      <c r="AD113" s="57">
        <f ca="1">IFERROR(__xludf.DUMMYFUNCTION("""COMPUTED_VALUE"""),23.1428571428571)</f>
        <v>23.1428571428571</v>
      </c>
      <c r="AE113" s="57">
        <f ca="1">IFERROR(__xludf.DUMMYFUNCTION("""COMPUTED_VALUE"""),1602.71428571428)</f>
        <v>1602.7142857142801</v>
      </c>
      <c r="AF113">
        <f ca="1">IFERROR(__xludf.DUMMYFUNCTION("""COMPUTED_VALUE"""),56928)</f>
        <v>56928</v>
      </c>
      <c r="AG113" s="58">
        <f ca="1">IFERROR(__xludf.DUMMYFUNCTION("""COMPUTED_VALUE"""),4548.42857142857)</f>
        <v>4548.4285714285697</v>
      </c>
      <c r="AH113" s="13">
        <f ca="1">IFERROR(__xludf.DUMMYFUNCTION("""COMPUTED_VALUE"""),0.351625390673234)</f>
        <v>0.35162539067323401</v>
      </c>
      <c r="AI113">
        <f ca="1">IFERROR(__xludf.DUMMYFUNCTION("""COMPUTED_VALUE"""),1499)</f>
        <v>1499</v>
      </c>
      <c r="AJ113">
        <f ca="1">IFERROR(__xludf.DUMMYFUNCTION("""COMPUTED_VALUE"""),37)</f>
        <v>37</v>
      </c>
    </row>
    <row r="114" spans="1:36" ht="13">
      <c r="A114">
        <f t="shared" ca="1" si="0"/>
        <v>113</v>
      </c>
      <c r="B114" s="62">
        <f ca="1">IFERROR(__xludf.DUMMYFUNCTION("""COMPUTED_VALUE"""),1.28571428571428)</f>
        <v>1.28571428571428</v>
      </c>
      <c r="C114" s="62">
        <f ca="1">IFERROR(__xludf.DUMMYFUNCTION("""COMPUTED_VALUE"""),108.142857142857)</f>
        <v>108.142857142857</v>
      </c>
      <c r="D114" s="62">
        <f ca="1">IFERROR(__xludf.DUMMYFUNCTION("""COMPUTED_VALUE"""),5.14285714285714)</f>
        <v>5.1428571428571397</v>
      </c>
      <c r="E114" s="62">
        <f ca="1">IFERROR(__xludf.DUMMYFUNCTION("""COMPUTED_VALUE"""),4369.42857142857)</f>
        <v>4369.4285714285697</v>
      </c>
      <c r="F114" s="21">
        <f ca="1">IFERROR(__xludf.DUMMYFUNCTION("""COMPUTED_VALUE"""),920)</f>
        <v>920</v>
      </c>
      <c r="G114" s="21">
        <f ca="1">IFERROR(__xludf.DUMMYFUNCTION("""COMPUTED_VALUE"""),138202)</f>
        <v>138202</v>
      </c>
      <c r="H114" s="63">
        <f ca="1">IFERROR(__xludf.DUMMYFUNCTION("""COMPUTED_VALUE"""),10.1428571428571)</f>
        <v>10.1428571428571</v>
      </c>
      <c r="I114" s="63">
        <f ca="1">IFERROR(__xludf.DUMMYFUNCTION("""COMPUTED_VALUE"""),1895.85714285714)</f>
        <v>1895.8571428571399</v>
      </c>
      <c r="J114" s="57">
        <f ca="1">IFERROR(__xludf.DUMMYFUNCTION("""COMPUTED_VALUE"""),49.5714285714285)</f>
        <v>49.571428571428498</v>
      </c>
      <c r="K114" s="57">
        <f ca="1">IFERROR(__xludf.DUMMYFUNCTION("""COMPUTED_VALUE"""),539)</f>
        <v>539</v>
      </c>
      <c r="L114">
        <f ca="1">IFERROR(__xludf.DUMMYFUNCTION("""COMPUTED_VALUE"""),102581)</f>
        <v>102581</v>
      </c>
      <c r="M114" s="58">
        <f ca="1">IFERROR(__xludf.DUMMYFUNCTION("""COMPUTED_VALUE"""),5604.14285714285)</f>
        <v>5604.1428571428496</v>
      </c>
      <c r="N114" s="57">
        <f ca="1">IFERROR(__xludf.DUMMYFUNCTION("""COMPUTED_VALUE"""),164.857142857142)</f>
        <v>164.85714285714201</v>
      </c>
      <c r="O114" s="57">
        <f ca="1">IFERROR(__xludf.DUMMYFUNCTION("""COMPUTED_VALUE"""),10145.8571428571)</f>
        <v>10145.857142857099</v>
      </c>
      <c r="P114">
        <f ca="1">IFERROR(__xludf.DUMMYFUNCTION("""COMPUTED_VALUE"""),185141)</f>
        <v>185141</v>
      </c>
      <c r="Q114" s="58">
        <f ca="1">IFERROR(__xludf.DUMMYFUNCTION("""COMPUTED_VALUE"""),4179.85714285714)</f>
        <v>4179.8571428571404</v>
      </c>
      <c r="R114" s="13">
        <f ca="1">IFERROR(__xludf.DUMMYFUNCTION("""COMPUTED_VALUE"""),0.00264285714285714)</f>
        <v>2.6428571428571399E-3</v>
      </c>
      <c r="S114" s="13">
        <f ca="1">IFERROR(__xludf.DUMMYFUNCTION("""COMPUTED_VALUE"""),0.223005647463113)</f>
        <v>0.22300564746311299</v>
      </c>
      <c r="T114" s="13">
        <f ca="1">IFERROR(__xludf.DUMMYFUNCTION("""COMPUTED_VALUE"""),0.0416766588768116)</f>
        <v>4.1676658876811601E-2</v>
      </c>
      <c r="U114" s="13">
        <f ca="1">IFERROR(__xludf.DUMMYFUNCTION("""COMPUTED_VALUE"""),0.259283583236155)</f>
        <v>0.25928358323615502</v>
      </c>
      <c r="V114">
        <f ca="1">IFERROR(__xludf.DUMMYFUNCTION("""COMPUTED_VALUE"""),183)</f>
        <v>183</v>
      </c>
      <c r="W114">
        <f ca="1">IFERROR(__xludf.DUMMYFUNCTION("""COMPUTED_VALUE"""),7537)</f>
        <v>7537</v>
      </c>
      <c r="X114">
        <f ca="1">IFERROR(__xludf.DUMMYFUNCTION("""COMPUTED_VALUE"""),1420)</f>
        <v>1420</v>
      </c>
      <c r="Y114">
        <f ca="1">IFERROR(__xludf.DUMMYFUNCTION("""COMPUTED_VALUE"""),7438)</f>
        <v>7438</v>
      </c>
      <c r="Z114">
        <f ca="1">IFERROR(__xludf.DUMMYFUNCTION("""COMPUTED_VALUE"""),13)</f>
        <v>13</v>
      </c>
      <c r="AA114">
        <f ca="1">IFERROR(__xludf.DUMMYFUNCTION("""COMPUTED_VALUE"""),640)</f>
        <v>640</v>
      </c>
      <c r="AB114">
        <f ca="1">IFERROR(__xludf.DUMMYFUNCTION("""COMPUTED_VALUE"""),169)</f>
        <v>169</v>
      </c>
      <c r="AC114">
        <f ca="1">IFERROR(__xludf.DUMMYFUNCTION("""COMPUTED_VALUE"""),538)</f>
        <v>538</v>
      </c>
      <c r="AD114" s="57">
        <f ca="1">IFERROR(__xludf.DUMMYFUNCTION("""COMPUTED_VALUE"""),23.1428571428571)</f>
        <v>23.1428571428571</v>
      </c>
      <c r="AE114" s="57">
        <f ca="1">IFERROR(__xludf.DUMMYFUNCTION("""COMPUTED_VALUE"""),1718.85714285714)</f>
        <v>1718.8571428571399</v>
      </c>
      <c r="AF114">
        <f ca="1">IFERROR(__xludf.DUMMYFUNCTION("""COMPUTED_VALUE"""),54591)</f>
        <v>54591</v>
      </c>
      <c r="AG114" s="58">
        <f ca="1">IFERROR(__xludf.DUMMYFUNCTION("""COMPUTED_VALUE"""),4747.57142857142)</f>
        <v>4747.5714285714203</v>
      </c>
      <c r="AH114" s="13">
        <f ca="1">IFERROR(__xludf.DUMMYFUNCTION("""COMPUTED_VALUE"""),0.342760158690933)</f>
        <v>0.34276015869093301</v>
      </c>
      <c r="AI114">
        <f ca="1">IFERROR(__xludf.DUMMYFUNCTION("""COMPUTED_VALUE"""),1451)</f>
        <v>1451</v>
      </c>
      <c r="AJ114">
        <f ca="1">IFERROR(__xludf.DUMMYFUNCTION("""COMPUTED_VALUE"""),38)</f>
        <v>38</v>
      </c>
    </row>
    <row r="115" spans="1:36" ht="13">
      <c r="A115">
        <f t="shared" ca="1" si="0"/>
        <v>114</v>
      </c>
      <c r="B115" s="62">
        <f ca="1">IFERROR(__xludf.DUMMYFUNCTION("""COMPUTED_VALUE"""),1.28571428571428)</f>
        <v>1.28571428571428</v>
      </c>
      <c r="C115" s="62">
        <f ca="1">IFERROR(__xludf.DUMMYFUNCTION("""COMPUTED_VALUE"""),113.714285714285)</f>
        <v>113.714285714285</v>
      </c>
      <c r="D115" s="62">
        <f ca="1">IFERROR(__xludf.DUMMYFUNCTION("""COMPUTED_VALUE"""),6.28571428571428)</f>
        <v>6.2857142857142803</v>
      </c>
      <c r="E115" s="62">
        <f ca="1">IFERROR(__xludf.DUMMYFUNCTION("""COMPUTED_VALUE"""),4648.42857142857)</f>
        <v>4648.4285714285697</v>
      </c>
      <c r="F115" s="21">
        <f ca="1">IFERROR(__xludf.DUMMYFUNCTION("""COMPUTED_VALUE"""),906)</f>
        <v>906</v>
      </c>
      <c r="G115" s="21">
        <f ca="1">IFERROR(__xludf.DUMMYFUNCTION("""COMPUTED_VALUE"""),141950)</f>
        <v>141950</v>
      </c>
      <c r="H115" s="63">
        <f ca="1">IFERROR(__xludf.DUMMYFUNCTION("""COMPUTED_VALUE"""),10.8571428571428)</f>
        <v>10.857142857142801</v>
      </c>
      <c r="I115" s="63">
        <f ca="1">IFERROR(__xludf.DUMMYFUNCTION("""COMPUTED_VALUE"""),2007.42857142857)</f>
        <v>2007.42857142857</v>
      </c>
      <c r="J115" s="57">
        <f ca="1">IFERROR(__xludf.DUMMYFUNCTION("""COMPUTED_VALUE"""),43.4285714285714)</f>
        <v>43.428571428571402</v>
      </c>
      <c r="K115" s="57">
        <f ca="1">IFERROR(__xludf.DUMMYFUNCTION("""COMPUTED_VALUE"""),507.857142857142)</f>
        <v>507.85714285714198</v>
      </c>
      <c r="L115">
        <f ca="1">IFERROR(__xludf.DUMMYFUNCTION("""COMPUTED_VALUE"""),101537)</f>
        <v>101537</v>
      </c>
      <c r="M115" s="58">
        <f ca="1">IFERROR(__xludf.DUMMYFUNCTION("""COMPUTED_VALUE"""),4346.85714285714)</f>
        <v>4346.8571428571404</v>
      </c>
      <c r="N115" s="57">
        <f ca="1">IFERROR(__xludf.DUMMYFUNCTION("""COMPUTED_VALUE"""),168.285714285714)</f>
        <v>168.28571428571399</v>
      </c>
      <c r="O115" s="57">
        <f ca="1">IFERROR(__xludf.DUMMYFUNCTION("""COMPUTED_VALUE"""),10127.5714285714)</f>
        <v>10127.5714285714</v>
      </c>
      <c r="P115">
        <f ca="1">IFERROR(__xludf.DUMMYFUNCTION("""COMPUTED_VALUE"""),185928)</f>
        <v>185928</v>
      </c>
      <c r="Q115" s="58">
        <f ca="1">IFERROR(__xludf.DUMMYFUNCTION("""COMPUTED_VALUE"""),4477.85714285714)</f>
        <v>4477.8571428571404</v>
      </c>
      <c r="R115" s="13">
        <f ca="1">IFERROR(__xludf.DUMMYFUNCTION("""COMPUTED_VALUE"""),0.00294285714285714)</f>
        <v>2.9428571428571399E-3</v>
      </c>
      <c r="S115" s="13">
        <f ca="1">IFERROR(__xludf.DUMMYFUNCTION("""COMPUTED_VALUE"""),0.238736489591137)</f>
        <v>0.238736489591137</v>
      </c>
      <c r="T115" s="13">
        <f ca="1">IFERROR(__xludf.DUMMYFUNCTION("""COMPUTED_VALUE"""),0.0376739797799114)</f>
        <v>3.7673979779911403E-2</v>
      </c>
      <c r="U115" s="13">
        <f ca="1">IFERROR(__xludf.DUMMYFUNCTION("""COMPUTED_VALUE"""),0.266892019737112)</f>
        <v>0.26689201973711202</v>
      </c>
      <c r="V115">
        <f ca="1">IFERROR(__xludf.DUMMYFUNCTION("""COMPUTED_VALUE"""),182)</f>
        <v>182</v>
      </c>
      <c r="W115">
        <f ca="1">IFERROR(__xludf.DUMMYFUNCTION("""COMPUTED_VALUE"""),7591)</f>
        <v>7591</v>
      </c>
      <c r="X115">
        <f ca="1">IFERROR(__xludf.DUMMYFUNCTION("""COMPUTED_VALUE"""),1417)</f>
        <v>1417</v>
      </c>
      <c r="Y115">
        <f ca="1">IFERROR(__xludf.DUMMYFUNCTION("""COMPUTED_VALUE"""),7596)</f>
        <v>7596</v>
      </c>
      <c r="Z115">
        <f ca="1">IFERROR(__xludf.DUMMYFUNCTION("""COMPUTED_VALUE"""),13)</f>
        <v>13</v>
      </c>
      <c r="AA115">
        <f ca="1">IFERROR(__xludf.DUMMYFUNCTION("""COMPUTED_VALUE"""),647)</f>
        <v>647</v>
      </c>
      <c r="AB115">
        <f ca="1">IFERROR(__xludf.DUMMYFUNCTION("""COMPUTED_VALUE"""),159)</f>
        <v>159</v>
      </c>
      <c r="AC115">
        <f ca="1">IFERROR(__xludf.DUMMYFUNCTION("""COMPUTED_VALUE"""),513)</f>
        <v>513</v>
      </c>
      <c r="AD115" s="57">
        <f ca="1">IFERROR(__xludf.DUMMYFUNCTION("""COMPUTED_VALUE"""),23.5714285714285)</f>
        <v>23.571428571428498</v>
      </c>
      <c r="AE115" s="57">
        <f ca="1">IFERROR(__xludf.DUMMYFUNCTION("""COMPUTED_VALUE"""),1532.42857142857)</f>
        <v>1532.42857142857</v>
      </c>
      <c r="AF115">
        <f ca="1">IFERROR(__xludf.DUMMYFUNCTION("""COMPUTED_VALUE"""),51631)</f>
        <v>51631</v>
      </c>
      <c r="AG115" s="58">
        <f ca="1">IFERROR(__xludf.DUMMYFUNCTION("""COMPUTED_VALUE"""),4535.28571428571)</f>
        <v>4535.2857142857101</v>
      </c>
      <c r="AH115" s="13">
        <f ca="1">IFERROR(__xludf.DUMMYFUNCTION("""COMPUTED_VALUE"""),0.299349684230452)</f>
        <v>0.299349684230452</v>
      </c>
      <c r="AI115">
        <f ca="1">IFERROR(__xludf.DUMMYFUNCTION("""COMPUTED_VALUE"""),1437)</f>
        <v>1437</v>
      </c>
      <c r="AJ115">
        <f ca="1">IFERROR(__xludf.DUMMYFUNCTION("""COMPUTED_VALUE"""),36)</f>
        <v>36</v>
      </c>
    </row>
    <row r="116" spans="1:36" ht="13">
      <c r="A116">
        <f t="shared" ca="1" si="0"/>
        <v>115</v>
      </c>
      <c r="B116" s="62">
        <f ca="1">IFERROR(__xludf.DUMMYFUNCTION("""COMPUTED_VALUE"""),1.42857142857142)</f>
        <v>1.4285714285714199</v>
      </c>
      <c r="C116" s="62">
        <f ca="1">IFERROR(__xludf.DUMMYFUNCTION("""COMPUTED_VALUE"""),118.142857142857)</f>
        <v>118.142857142857</v>
      </c>
      <c r="D116" s="62">
        <f ca="1">IFERROR(__xludf.DUMMYFUNCTION("""COMPUTED_VALUE"""),6.57142857142857)</f>
        <v>6.5714285714285703</v>
      </c>
      <c r="E116" s="62">
        <f ca="1">IFERROR(__xludf.DUMMYFUNCTION("""COMPUTED_VALUE"""),4915.71428571428)</f>
        <v>4915.7142857142799</v>
      </c>
      <c r="F116" s="21">
        <f ca="1">IFERROR(__xludf.DUMMYFUNCTION("""COMPUTED_VALUE"""),886)</f>
        <v>886</v>
      </c>
      <c r="G116" s="21">
        <f ca="1">IFERROR(__xludf.DUMMYFUNCTION("""COMPUTED_VALUE"""),146171)</f>
        <v>146171</v>
      </c>
      <c r="H116" s="63">
        <f ca="1">IFERROR(__xludf.DUMMYFUNCTION("""COMPUTED_VALUE"""),11.7142857142857)</f>
        <v>11.714285714285699</v>
      </c>
      <c r="I116" s="63">
        <f ca="1">IFERROR(__xludf.DUMMYFUNCTION("""COMPUTED_VALUE"""),1885.85714285714)</f>
        <v>1885.8571428571399</v>
      </c>
      <c r="J116" s="57">
        <f ca="1">IFERROR(__xludf.DUMMYFUNCTION("""COMPUTED_VALUE"""),41.8571428571428)</f>
        <v>41.857142857142797</v>
      </c>
      <c r="K116" s="57">
        <f ca="1">IFERROR(__xludf.DUMMYFUNCTION("""COMPUTED_VALUE"""),447.857142857142)</f>
        <v>447.85714285714198</v>
      </c>
      <c r="L116">
        <f ca="1">IFERROR(__xludf.DUMMYFUNCTION("""COMPUTED_VALUE"""),98019)</f>
        <v>98019</v>
      </c>
      <c r="M116" s="58">
        <f ca="1">IFERROR(__xludf.DUMMYFUNCTION("""COMPUTED_VALUE"""),3795.57142857142)</f>
        <v>3795.5714285714198</v>
      </c>
      <c r="N116" s="57">
        <f ca="1">IFERROR(__xludf.DUMMYFUNCTION("""COMPUTED_VALUE"""),170.571428571428)</f>
        <v>170.57142857142799</v>
      </c>
      <c r="O116" s="57">
        <f ca="1">IFERROR(__xludf.DUMMYFUNCTION("""COMPUTED_VALUE"""),9915.42857142857)</f>
        <v>9915.4285714285706</v>
      </c>
      <c r="P116">
        <f ca="1">IFERROR(__xludf.DUMMYFUNCTION("""COMPUTED_VALUE"""),187856)</f>
        <v>187856</v>
      </c>
      <c r="Q116" s="58">
        <f ca="1">IFERROR(__xludf.DUMMYFUNCTION("""COMPUTED_VALUE"""),5051.57142857142)</f>
        <v>5051.5714285714203</v>
      </c>
      <c r="R116" s="13">
        <f ca="1">IFERROR(__xludf.DUMMYFUNCTION("""COMPUTED_VALUE"""),0.00317142857142857)</f>
        <v>3.1714285714285698E-3</v>
      </c>
      <c r="S116" s="13">
        <f ca="1">IFERROR(__xludf.DUMMYFUNCTION("""COMPUTED_VALUE"""),0.254942360042871)</f>
        <v>0.25494236004287102</v>
      </c>
      <c r="T116" s="13">
        <f ca="1">IFERROR(__xludf.DUMMYFUNCTION("""COMPUTED_VALUE"""),0.0363828065894407)</f>
        <v>3.6382806589440701E-2</v>
      </c>
      <c r="U116" s="13">
        <f ca="1">IFERROR(__xludf.DUMMYFUNCTION("""COMPUTED_VALUE"""),0.273969544862838)</f>
        <v>0.27396954486283798</v>
      </c>
      <c r="V116">
        <f ca="1">IFERROR(__xludf.DUMMYFUNCTION("""COMPUTED_VALUE"""),179)</f>
        <v>179</v>
      </c>
      <c r="W116">
        <f ca="1">IFERROR(__xludf.DUMMYFUNCTION("""COMPUTED_VALUE"""),7536)</f>
        <v>7536</v>
      </c>
      <c r="X116">
        <f ca="1">IFERROR(__xludf.DUMMYFUNCTION("""COMPUTED_VALUE"""),1373)</f>
        <v>1373</v>
      </c>
      <c r="Y116">
        <f ca="1">IFERROR(__xludf.DUMMYFUNCTION("""COMPUTED_VALUE"""),7546)</f>
        <v>7546</v>
      </c>
      <c r="Z116">
        <f ca="1">IFERROR(__xludf.DUMMYFUNCTION("""COMPUTED_VALUE"""),13)</f>
        <v>13</v>
      </c>
      <c r="AA116">
        <f ca="1">IFERROR(__xludf.DUMMYFUNCTION("""COMPUTED_VALUE"""),644)</f>
        <v>644</v>
      </c>
      <c r="AB116">
        <f ca="1">IFERROR(__xludf.DUMMYFUNCTION("""COMPUTED_VALUE"""),148)</f>
        <v>148</v>
      </c>
      <c r="AC116">
        <f ca="1">IFERROR(__xludf.DUMMYFUNCTION("""COMPUTED_VALUE"""),562)</f>
        <v>562</v>
      </c>
      <c r="AD116" s="57">
        <f ca="1">IFERROR(__xludf.DUMMYFUNCTION("""COMPUTED_VALUE"""),21.8571428571428)</f>
        <v>21.857142857142801</v>
      </c>
      <c r="AE116" s="57">
        <f ca="1">IFERROR(__xludf.DUMMYFUNCTION("""COMPUTED_VALUE"""),1437.71428571428)</f>
        <v>1437.7142857142801</v>
      </c>
      <c r="AF116">
        <f ca="1">IFERROR(__xludf.DUMMYFUNCTION("""COMPUTED_VALUE"""),50521)</f>
        <v>50521</v>
      </c>
      <c r="AG116" s="58">
        <f ca="1">IFERROR(__xludf.DUMMYFUNCTION("""COMPUTED_VALUE"""),3954)</f>
        <v>3954</v>
      </c>
      <c r="AH116" s="13">
        <f ca="1">IFERROR(__xludf.DUMMYFUNCTION("""COMPUTED_VALUE"""),0.29128992158689)</f>
        <v>0.29128992158688999</v>
      </c>
      <c r="AI116">
        <f ca="1">IFERROR(__xludf.DUMMYFUNCTION("""COMPUTED_VALUE"""),1427)</f>
        <v>1427</v>
      </c>
      <c r="AJ116">
        <f ca="1">IFERROR(__xludf.DUMMYFUNCTION("""COMPUTED_VALUE"""),41)</f>
        <v>41</v>
      </c>
    </row>
    <row r="117" spans="1:36" ht="13">
      <c r="A117">
        <f t="shared" ca="1" si="0"/>
        <v>116</v>
      </c>
      <c r="B117" s="62">
        <f ca="1">IFERROR(__xludf.DUMMYFUNCTION("""COMPUTED_VALUE"""),1.14285714285714)</f>
        <v>1.1428571428571399</v>
      </c>
      <c r="C117" s="62">
        <f ca="1">IFERROR(__xludf.DUMMYFUNCTION("""COMPUTED_VALUE"""),124.571428571428)</f>
        <v>124.571428571428</v>
      </c>
      <c r="D117" s="62">
        <f ca="1">IFERROR(__xludf.DUMMYFUNCTION("""COMPUTED_VALUE"""),7.42857142857142)</f>
        <v>7.4285714285714199</v>
      </c>
      <c r="E117" s="62">
        <f ca="1">IFERROR(__xludf.DUMMYFUNCTION("""COMPUTED_VALUE"""),5272.71428571428)</f>
        <v>5272.7142857142799</v>
      </c>
      <c r="F117" s="21">
        <f ca="1">IFERROR(__xludf.DUMMYFUNCTION("""COMPUTED_VALUE"""),879)</f>
        <v>879</v>
      </c>
      <c r="G117" s="21">
        <f ca="1">IFERROR(__xludf.DUMMYFUNCTION("""COMPUTED_VALUE"""),151218)</f>
        <v>151218</v>
      </c>
      <c r="H117" s="63">
        <f ca="1">IFERROR(__xludf.DUMMYFUNCTION("""COMPUTED_VALUE"""),13.7142857142857)</f>
        <v>13.714285714285699</v>
      </c>
      <c r="I117" s="63">
        <f ca="1">IFERROR(__xludf.DUMMYFUNCTION("""COMPUTED_VALUE"""),1817.42857142857)</f>
        <v>1817.42857142857</v>
      </c>
      <c r="J117" s="57">
        <f ca="1">IFERROR(__xludf.DUMMYFUNCTION("""COMPUTED_VALUE"""),39.1428571428571)</f>
        <v>39.142857142857103</v>
      </c>
      <c r="K117" s="57">
        <f ca="1">IFERROR(__xludf.DUMMYFUNCTION("""COMPUTED_VALUE"""),393)</f>
        <v>393</v>
      </c>
      <c r="L117">
        <f ca="1">IFERROR(__xludf.DUMMYFUNCTION("""COMPUTED_VALUE"""),91164)</f>
        <v>91164</v>
      </c>
      <c r="M117" s="58">
        <f ca="1">IFERROR(__xludf.DUMMYFUNCTION("""COMPUTED_VALUE"""),3763.14285714285)</f>
        <v>3763.1428571428501</v>
      </c>
      <c r="N117" s="57">
        <f ca="1">IFERROR(__xludf.DUMMYFUNCTION("""COMPUTED_VALUE"""),175.285714285714)</f>
        <v>175.28571428571399</v>
      </c>
      <c r="O117" s="57">
        <f ca="1">IFERROR(__xludf.DUMMYFUNCTION("""COMPUTED_VALUE"""),9672.71428571428)</f>
        <v>9672.7142857142808</v>
      </c>
      <c r="P117">
        <f ca="1">IFERROR(__xludf.DUMMYFUNCTION("""COMPUTED_VALUE"""),187795)</f>
        <v>187795</v>
      </c>
      <c r="Q117" s="58">
        <f ca="1">IFERROR(__xludf.DUMMYFUNCTION("""COMPUTED_VALUE"""),6364.14285714285)</f>
        <v>6364.1428571428496</v>
      </c>
      <c r="R117" s="13">
        <f ca="1">IFERROR(__xludf.DUMMYFUNCTION("""COMPUTED_VALUE"""),0.00347142857142857)</f>
        <v>3.4714285714285702E-3</v>
      </c>
      <c r="S117" s="13">
        <f ca="1">IFERROR(__xludf.DUMMYFUNCTION("""COMPUTED_VALUE"""),0.28683234276412)</f>
        <v>0.28683234276412001</v>
      </c>
      <c r="T117" s="13">
        <f ca="1">IFERROR(__xludf.DUMMYFUNCTION("""COMPUTED_VALUE"""),0.0334692894295807)</f>
        <v>3.3469289429580697E-2</v>
      </c>
      <c r="U117" s="13">
        <f ca="1">IFERROR(__xludf.DUMMYFUNCTION("""COMPUTED_VALUE"""),0.277686597481326)</f>
        <v>0.27768659748132601</v>
      </c>
      <c r="V117">
        <f ca="1">IFERROR(__xludf.DUMMYFUNCTION("""COMPUTED_VALUE"""),174)</f>
        <v>174</v>
      </c>
      <c r="W117">
        <f ca="1">IFERROR(__xludf.DUMMYFUNCTION("""COMPUTED_VALUE"""),7590)</f>
        <v>7590</v>
      </c>
      <c r="X117">
        <f ca="1">IFERROR(__xludf.DUMMYFUNCTION("""COMPUTED_VALUE"""),1215)</f>
        <v>1215</v>
      </c>
      <c r="Y117">
        <f ca="1">IFERROR(__xludf.DUMMYFUNCTION("""COMPUTED_VALUE"""),7450)</f>
        <v>7450</v>
      </c>
      <c r="Z117">
        <f ca="1">IFERROR(__xludf.DUMMYFUNCTION("""COMPUTED_VALUE"""),11)</f>
        <v>11</v>
      </c>
      <c r="AA117">
        <f ca="1">IFERROR(__xludf.DUMMYFUNCTION("""COMPUTED_VALUE"""),657)</f>
        <v>657</v>
      </c>
      <c r="AB117">
        <f ca="1">IFERROR(__xludf.DUMMYFUNCTION("""COMPUTED_VALUE"""),136)</f>
        <v>136</v>
      </c>
      <c r="AC117">
        <f ca="1">IFERROR(__xludf.DUMMYFUNCTION("""COMPUTED_VALUE"""),550)</f>
        <v>550</v>
      </c>
    </row>
    <row r="118" spans="1:36" ht="13">
      <c r="A118">
        <f t="shared" ca="1" si="0"/>
        <v>117</v>
      </c>
      <c r="B118" s="62">
        <f ca="1">IFERROR(__xludf.DUMMYFUNCTION("""COMPUTED_VALUE"""),1.57142857142857)</f>
        <v>1.5714285714285701</v>
      </c>
      <c r="C118" s="62">
        <f ca="1">IFERROR(__xludf.DUMMYFUNCTION("""COMPUTED_VALUE"""),133.142857142857)</f>
        <v>133.142857142857</v>
      </c>
      <c r="D118" s="62">
        <f ca="1">IFERROR(__xludf.DUMMYFUNCTION("""COMPUTED_VALUE"""),6.85714285714285)</f>
        <v>6.8571428571428497</v>
      </c>
      <c r="E118" s="62">
        <f ca="1">IFERROR(__xludf.DUMMYFUNCTION("""COMPUTED_VALUE"""),5595.71428571428)</f>
        <v>5595.7142857142799</v>
      </c>
      <c r="F118" s="21">
        <f ca="1">IFERROR(__xludf.DUMMYFUNCTION("""COMPUTED_VALUE"""),876)</f>
        <v>876</v>
      </c>
      <c r="G118" s="21">
        <f ca="1">IFERROR(__xludf.DUMMYFUNCTION("""COMPUTED_VALUE"""),148439)</f>
        <v>148439</v>
      </c>
      <c r="H118" s="63">
        <f ca="1">IFERROR(__xludf.DUMMYFUNCTION("""COMPUTED_VALUE"""),13.7142857142857)</f>
        <v>13.714285714285699</v>
      </c>
      <c r="I118" s="63">
        <f ca="1">IFERROR(__xludf.DUMMYFUNCTION("""COMPUTED_VALUE"""),2931.57142857142)</f>
        <v>2931.5714285714198</v>
      </c>
      <c r="J118" s="57">
        <f ca="1">IFERROR(__xludf.DUMMYFUNCTION("""COMPUTED_VALUE"""),36.4285714285714)</f>
        <v>36.428571428571402</v>
      </c>
      <c r="K118" s="57">
        <f ca="1">IFERROR(__xludf.DUMMYFUNCTION("""COMPUTED_VALUE"""),363.142857142857)</f>
        <v>363.142857142857</v>
      </c>
      <c r="L118">
        <f ca="1">IFERROR(__xludf.DUMMYFUNCTION("""COMPUTED_VALUE"""),84719)</f>
        <v>84719</v>
      </c>
      <c r="M118" s="58">
        <f ca="1">IFERROR(__xludf.DUMMYFUNCTION("""COMPUTED_VALUE"""),3943.14285714285)</f>
        <v>3943.1428571428501</v>
      </c>
      <c r="N118" s="57">
        <f ca="1">IFERROR(__xludf.DUMMYFUNCTION("""COMPUTED_VALUE"""),179.428571428571)</f>
        <v>179.42857142857099</v>
      </c>
      <c r="O118" s="57">
        <f ca="1">IFERROR(__xludf.DUMMYFUNCTION("""COMPUTED_VALUE"""),9425.85714285714)</f>
        <v>9425.8571428571395</v>
      </c>
      <c r="P118">
        <f ca="1">IFERROR(__xludf.DUMMYFUNCTION("""COMPUTED_VALUE"""),189002)</f>
        <v>189002</v>
      </c>
      <c r="Q118" s="58">
        <f ca="1">IFERROR(__xludf.DUMMYFUNCTION("""COMPUTED_VALUE"""),6887.28571428571)</f>
        <v>6887.2857142857101</v>
      </c>
      <c r="R118" s="13">
        <f ca="1">IFERROR(__xludf.DUMMYFUNCTION("""COMPUTED_VALUE"""),0.00372857142857142)</f>
        <v>3.7285714285714201E-3</v>
      </c>
      <c r="S118" s="13">
        <f ca="1">IFERROR(__xludf.DUMMYFUNCTION("""COMPUTED_VALUE"""),0.345070519722653)</f>
        <v>0.34507051972265301</v>
      </c>
      <c r="T118" s="13">
        <f ca="1">IFERROR(__xludf.DUMMYFUNCTION("""COMPUTED_VALUE"""),0.0287561525275036)</f>
        <v>2.87561525275036E-2</v>
      </c>
      <c r="U118" s="13">
        <f ca="1">IFERROR(__xludf.DUMMYFUNCTION("""COMPUTED_VALUE"""),0.27640034132499)</f>
        <v>0.27640034132498997</v>
      </c>
      <c r="V118">
        <f ca="1">IFERROR(__xludf.DUMMYFUNCTION("""COMPUTED_VALUE"""),172)</f>
        <v>172</v>
      </c>
      <c r="W118">
        <f ca="1">IFERROR(__xludf.DUMMYFUNCTION("""COMPUTED_VALUE"""),7734)</f>
        <v>7734</v>
      </c>
      <c r="X118">
        <f ca="1">IFERROR(__xludf.DUMMYFUNCTION("""COMPUTED_VALUE"""),1120)</f>
        <v>1120</v>
      </c>
      <c r="Y118">
        <f ca="1">IFERROR(__xludf.DUMMYFUNCTION("""COMPUTED_VALUE"""),7463)</f>
        <v>7463</v>
      </c>
      <c r="Z118">
        <f ca="1">IFERROR(__xludf.DUMMYFUNCTION("""COMPUTED_VALUE"""),9)</f>
        <v>9</v>
      </c>
      <c r="AA118">
        <f ca="1">IFERROR(__xludf.DUMMYFUNCTION("""COMPUTED_VALUE"""),666)</f>
        <v>666</v>
      </c>
      <c r="AB118">
        <f ca="1">IFERROR(__xludf.DUMMYFUNCTION("""COMPUTED_VALUE"""),121)</f>
        <v>121</v>
      </c>
      <c r="AC118">
        <f ca="1">IFERROR(__xludf.DUMMYFUNCTION("""COMPUTED_VALUE"""),566)</f>
        <v>566</v>
      </c>
    </row>
    <row r="119" spans="1:36" ht="13">
      <c r="A119">
        <f t="shared" ca="1" si="0"/>
        <v>118</v>
      </c>
      <c r="B119" s="62">
        <f ca="1">IFERROR(__xludf.DUMMYFUNCTION("""COMPUTED_VALUE"""),1.85714285714285)</f>
        <v>1.8571428571428501</v>
      </c>
      <c r="C119" s="62">
        <f ca="1">IFERROR(__xludf.DUMMYFUNCTION("""COMPUTED_VALUE"""),138.428571428571)</f>
        <v>138.42857142857099</v>
      </c>
      <c r="D119" s="62">
        <f ca="1">IFERROR(__xludf.DUMMYFUNCTION("""COMPUTED_VALUE"""),6.14285714285714)</f>
        <v>6.1428571428571397</v>
      </c>
      <c r="E119" s="62">
        <f ca="1">IFERROR(__xludf.DUMMYFUNCTION("""COMPUTED_VALUE"""),5598.85714285714)</f>
        <v>5598.8571428571404</v>
      </c>
      <c r="F119" s="21">
        <f ca="1">IFERROR(__xludf.DUMMYFUNCTION("""COMPUTED_VALUE"""),875)</f>
        <v>875</v>
      </c>
      <c r="G119" s="21">
        <f ca="1">IFERROR(__xludf.DUMMYFUNCTION("""COMPUTED_VALUE"""),151294)</f>
        <v>151294</v>
      </c>
      <c r="H119" s="63">
        <f ca="1">IFERROR(__xludf.DUMMYFUNCTION("""COMPUTED_VALUE"""),13.5714285714285)</f>
        <v>13.5714285714285</v>
      </c>
      <c r="I119" s="63">
        <f ca="1">IFERROR(__xludf.DUMMYFUNCTION("""COMPUTED_VALUE"""),2968.85714285714)</f>
        <v>2968.8571428571399</v>
      </c>
      <c r="J119" s="57">
        <f ca="1">IFERROR(__xludf.DUMMYFUNCTION("""COMPUTED_VALUE"""),33.4285714285714)</f>
        <v>33.428571428571402</v>
      </c>
      <c r="K119" s="57">
        <f ca="1">IFERROR(__xludf.DUMMYFUNCTION("""COMPUTED_VALUE"""),337.142857142857)</f>
        <v>337.142857142857</v>
      </c>
      <c r="L119">
        <f ca="1">IFERROR(__xludf.DUMMYFUNCTION("""COMPUTED_VALUE"""),82075)</f>
        <v>82075</v>
      </c>
      <c r="M119" s="58">
        <f ca="1">IFERROR(__xludf.DUMMYFUNCTION("""COMPUTED_VALUE"""),3813.71428571428)</f>
        <v>3813.7142857142799</v>
      </c>
      <c r="R119" s="13">
        <f ca="1">IFERROR(__xludf.DUMMYFUNCTION("""COMPUTED_VALUE"""),0.00324285714285714)</f>
        <v>3.2428571428571402E-3</v>
      </c>
      <c r="S119" s="13">
        <f ca="1">IFERROR(__xludf.DUMMYFUNCTION("""COMPUTED_VALUE"""),0.38776383404631)</f>
        <v>0.38776383404630999</v>
      </c>
      <c r="T119" s="13">
        <f ca="1">IFERROR(__xludf.DUMMYFUNCTION("""COMPUTED_VALUE"""),0.0291202901797107)</f>
        <v>2.9120290179710701E-2</v>
      </c>
      <c r="V119">
        <f ca="1">IFERROR(__xludf.DUMMYFUNCTION("""COMPUTED_VALUE"""),170)</f>
        <v>170</v>
      </c>
      <c r="W119">
        <f ca="1">IFERROR(__xludf.DUMMYFUNCTION("""COMPUTED_VALUE"""),7884)</f>
        <v>7884</v>
      </c>
      <c r="X119">
        <f ca="1">IFERROR(__xludf.DUMMYFUNCTION("""COMPUTED_VALUE"""),1024)</f>
        <v>1024</v>
      </c>
      <c r="Z119">
        <f ca="1">IFERROR(__xludf.DUMMYFUNCTION("""COMPUTED_VALUE"""),9)</f>
        <v>9</v>
      </c>
      <c r="AA119">
        <f ca="1">IFERROR(__xludf.DUMMYFUNCTION("""COMPUTED_VALUE"""),662)</f>
        <v>662</v>
      </c>
      <c r="AB119">
        <f ca="1">IFERROR(__xludf.DUMMYFUNCTION("""COMPUTED_VALUE"""),114)</f>
        <v>114</v>
      </c>
      <c r="AD119" s="57">
        <f ca="1">IFERROR(__xludf.DUMMYFUNCTION("""COMPUTED_VALUE"""),23.5714285714285)</f>
        <v>23.571428571428498</v>
      </c>
      <c r="AE119" s="57">
        <f ca="1">IFERROR(__xludf.DUMMYFUNCTION("""COMPUTED_VALUE"""),1274.57142857142)</f>
        <v>1274.57142857142</v>
      </c>
      <c r="AF119">
        <f ca="1">IFERROR(__xludf.DUMMYFUNCTION("""COMPUTED_VALUE"""),48873)</f>
        <v>48873</v>
      </c>
      <c r="AG119" s="58">
        <f ca="1">IFERROR(__xludf.DUMMYFUNCTION("""COMPUTED_VALUE"""),2838.57142857142)</f>
        <v>2838.5714285714198</v>
      </c>
      <c r="AH119" s="13">
        <f ca="1">IFERROR(__xludf.DUMMYFUNCTION("""COMPUTED_VALUE"""),0.285397960340101)</f>
        <v>0.28539796034010101</v>
      </c>
      <c r="AI119">
        <f ca="1">IFERROR(__xludf.DUMMYFUNCTION("""COMPUTED_VALUE"""),1310)</f>
        <v>1310</v>
      </c>
      <c r="AJ119">
        <f ca="1">IFERROR(__xludf.DUMMYFUNCTION("""COMPUTED_VALUE"""),40)</f>
        <v>40</v>
      </c>
    </row>
    <row r="120" spans="1:36" ht="13">
      <c r="A120">
        <f t="shared" ca="1" si="0"/>
        <v>119</v>
      </c>
      <c r="B120" s="62">
        <f ca="1">IFERROR(__xludf.DUMMYFUNCTION("""COMPUTED_VALUE"""),1.71428571428571)</f>
        <v>1.71428571428571</v>
      </c>
      <c r="C120" s="62">
        <f ca="1">IFERROR(__xludf.DUMMYFUNCTION("""COMPUTED_VALUE"""),146.857142857142)</f>
        <v>146.85714285714201</v>
      </c>
      <c r="D120" s="62">
        <f ca="1">IFERROR(__xludf.DUMMYFUNCTION("""COMPUTED_VALUE"""),6.85714285714285)</f>
        <v>6.8571428571428497</v>
      </c>
      <c r="E120" s="62">
        <f ca="1">IFERROR(__xludf.DUMMYFUNCTION("""COMPUTED_VALUE"""),5646)</f>
        <v>5646</v>
      </c>
      <c r="F120" s="21">
        <f ca="1">IFERROR(__xludf.DUMMYFUNCTION("""COMPUTED_VALUE"""),878)</f>
        <v>878</v>
      </c>
      <c r="G120" s="21">
        <f ca="1">IFERROR(__xludf.DUMMYFUNCTION("""COMPUTED_VALUE"""),154179)</f>
        <v>154179</v>
      </c>
      <c r="H120" s="63">
        <f ca="1">IFERROR(__xludf.DUMMYFUNCTION("""COMPUTED_VALUE"""),13.1428571428571)</f>
        <v>13.1428571428571</v>
      </c>
      <c r="I120" s="63">
        <f ca="1">IFERROR(__xludf.DUMMYFUNCTION("""COMPUTED_VALUE"""),2724.28571428571)</f>
        <v>2724.2857142857101</v>
      </c>
      <c r="J120" s="57">
        <f ca="1">IFERROR(__xludf.DUMMYFUNCTION("""COMPUTED_VALUE"""),29.8571428571428)</f>
        <v>29.857142857142801</v>
      </c>
      <c r="K120" s="57">
        <f ca="1">IFERROR(__xludf.DUMMYFUNCTION("""COMPUTED_VALUE"""),327.714285714285)</f>
        <v>327.71428571428498</v>
      </c>
      <c r="L120">
        <f ca="1">IFERROR(__xludf.DUMMYFUNCTION("""COMPUTED_VALUE"""),78625)</f>
        <v>78625</v>
      </c>
      <c r="M120" s="58">
        <f ca="1">IFERROR(__xludf.DUMMYFUNCTION("""COMPUTED_VALUE"""),3887)</f>
        <v>3887</v>
      </c>
      <c r="R120" s="13">
        <f ca="1">IFERROR(__xludf.DUMMYFUNCTION("""COMPUTED_VALUE"""),0.00362857142857142)</f>
        <v>3.6285714285714198E-3</v>
      </c>
      <c r="S120" s="13">
        <f ca="1">IFERROR(__xludf.DUMMYFUNCTION("""COMPUTED_VALUE"""),0.400137935988372)</f>
        <v>0.400137935988372</v>
      </c>
      <c r="T120" s="13">
        <f ca="1">IFERROR(__xludf.DUMMYFUNCTION("""COMPUTED_VALUE"""),0.0281706069398419)</f>
        <v>2.81706069398419E-2</v>
      </c>
      <c r="V120">
        <f ca="1">IFERROR(__xludf.DUMMYFUNCTION("""COMPUTED_VALUE"""),169)</f>
        <v>169</v>
      </c>
      <c r="W120">
        <f ca="1">IFERROR(__xludf.DUMMYFUNCTION("""COMPUTED_VALUE"""),7732)</f>
        <v>7732</v>
      </c>
      <c r="X120">
        <f ca="1">IFERROR(__xludf.DUMMYFUNCTION("""COMPUTED_VALUE"""),965)</f>
        <v>965</v>
      </c>
      <c r="Z120">
        <f ca="1">IFERROR(__xludf.DUMMYFUNCTION("""COMPUTED_VALUE"""),9)</f>
        <v>9</v>
      </c>
      <c r="AA120">
        <f ca="1">IFERROR(__xludf.DUMMYFUNCTION("""COMPUTED_VALUE"""),649)</f>
        <v>649</v>
      </c>
      <c r="AB120">
        <f ca="1">IFERROR(__xludf.DUMMYFUNCTION("""COMPUTED_VALUE"""),114)</f>
        <v>114</v>
      </c>
    </row>
    <row r="121" spans="1:36" ht="13">
      <c r="A121">
        <f t="shared" ca="1" si="0"/>
        <v>120</v>
      </c>
      <c r="B121" s="62">
        <f ca="1">IFERROR(__xludf.DUMMYFUNCTION("""COMPUTED_VALUE"""),1.42857142857142)</f>
        <v>1.4285714285714199</v>
      </c>
      <c r="C121" s="62">
        <f ca="1">IFERROR(__xludf.DUMMYFUNCTION("""COMPUTED_VALUE"""),156.428571428571)</f>
        <v>156.42857142857099</v>
      </c>
      <c r="D121" s="62">
        <f ca="1">IFERROR(__xludf.DUMMYFUNCTION("""COMPUTED_VALUE"""),6.14285714285714)</f>
        <v>6.1428571428571397</v>
      </c>
      <c r="E121" s="62">
        <f ca="1">IFERROR(__xludf.DUMMYFUNCTION("""COMPUTED_VALUE"""),5685.28571428571)</f>
        <v>5685.2857142857101</v>
      </c>
      <c r="F121" s="21">
        <f ca="1">IFERROR(__xludf.DUMMYFUNCTION("""COMPUTED_VALUE"""),857)</f>
        <v>857</v>
      </c>
      <c r="G121" s="21">
        <f ca="1">IFERROR(__xludf.DUMMYFUNCTION("""COMPUTED_VALUE"""),159487)</f>
        <v>159487</v>
      </c>
      <c r="H121" s="63">
        <f ca="1">IFERROR(__xludf.DUMMYFUNCTION("""COMPUTED_VALUE"""),13.7142857142857)</f>
        <v>13.714285714285699</v>
      </c>
      <c r="I121" s="63">
        <f ca="1">IFERROR(__xludf.DUMMYFUNCTION("""COMPUTED_VALUE"""),2488.14285714285)</f>
        <v>2488.1428571428501</v>
      </c>
      <c r="J121" s="57">
        <f ca="1">IFERROR(__xludf.DUMMYFUNCTION("""COMPUTED_VALUE"""),24.7142857142857)</f>
        <v>24.714285714285701</v>
      </c>
      <c r="K121" s="57">
        <f ca="1">IFERROR(__xludf.DUMMYFUNCTION("""COMPUTED_VALUE"""),313.142857142857)</f>
        <v>313.142857142857</v>
      </c>
      <c r="L121">
        <f ca="1">IFERROR(__xludf.DUMMYFUNCTION("""COMPUTED_VALUE"""),74569)</f>
        <v>74569</v>
      </c>
      <c r="M121" s="58">
        <f ca="1">IFERROR(__xludf.DUMMYFUNCTION("""COMPUTED_VALUE"""),4290.14285714285)</f>
        <v>4290.1428571428496</v>
      </c>
      <c r="N121" s="57">
        <f ca="1">IFERROR(__xludf.DUMMYFUNCTION("""COMPUTED_VALUE"""),183.571428571428)</f>
        <v>183.57142857142799</v>
      </c>
      <c r="O121" s="57">
        <f ca="1">IFERROR(__xludf.DUMMYFUNCTION("""COMPUTED_VALUE"""),8692.85714285714)</f>
        <v>8692.8571428571395</v>
      </c>
      <c r="P121">
        <f ca="1">IFERROR(__xludf.DUMMYFUNCTION("""COMPUTED_VALUE"""),189753)</f>
        <v>189753</v>
      </c>
      <c r="Q121" s="58">
        <f ca="1">IFERROR(__xludf.DUMMYFUNCTION("""COMPUTED_VALUE"""),7850.42857142857)</f>
        <v>7850.4285714285697</v>
      </c>
      <c r="R121" s="13">
        <f ca="1">IFERROR(__xludf.DUMMYFUNCTION("""COMPUTED_VALUE"""),0.00334285714285714)</f>
        <v>3.34285714285714E-3</v>
      </c>
      <c r="S121" s="13">
        <f ca="1">IFERROR(__xludf.DUMMYFUNCTION("""COMPUTED_VALUE"""),0.408031764199431)</f>
        <v>0.40803176419943099</v>
      </c>
      <c r="T121" s="13">
        <f ca="1">IFERROR(__xludf.DUMMYFUNCTION("""COMPUTED_VALUE"""),0.0270765180625093)</f>
        <v>2.7076518062509301E-2</v>
      </c>
      <c r="U121" s="13">
        <f ca="1">IFERROR(__xludf.DUMMYFUNCTION("""COMPUTED_VALUE"""),0.274256595205277)</f>
        <v>0.27425659520527701</v>
      </c>
      <c r="V121">
        <f ca="1">IFERROR(__xludf.DUMMYFUNCTION("""COMPUTED_VALUE"""),169)</f>
        <v>169</v>
      </c>
      <c r="W121">
        <f ca="1">IFERROR(__xludf.DUMMYFUNCTION("""COMPUTED_VALUE"""),7693)</f>
        <v>7693</v>
      </c>
      <c r="X121">
        <f ca="1">IFERROR(__xludf.DUMMYFUNCTION("""COMPUTED_VALUE"""),981)</f>
        <v>981</v>
      </c>
      <c r="Y121">
        <f ca="1">IFERROR(__xludf.DUMMYFUNCTION("""COMPUTED_VALUE"""),7440)</f>
        <v>7440</v>
      </c>
      <c r="Z121">
        <f ca="1">IFERROR(__xludf.DUMMYFUNCTION("""COMPUTED_VALUE"""),8)</f>
        <v>8</v>
      </c>
      <c r="AA121">
        <f ca="1">IFERROR(__xludf.DUMMYFUNCTION("""COMPUTED_VALUE"""),663)</f>
        <v>663</v>
      </c>
      <c r="AB121">
        <f ca="1">IFERROR(__xludf.DUMMYFUNCTION("""COMPUTED_VALUE"""),110)</f>
        <v>110</v>
      </c>
      <c r="AC121">
        <f ca="1">IFERROR(__xludf.DUMMYFUNCTION("""COMPUTED_VALUE"""),586)</f>
        <v>586</v>
      </c>
    </row>
    <row r="122" spans="1:36" ht="13">
      <c r="A122">
        <f t="shared" ca="1" si="0"/>
        <v>121</v>
      </c>
      <c r="B122" s="62">
        <f ca="1">IFERROR(__xludf.DUMMYFUNCTION("""COMPUTED_VALUE"""),1.42857142857142)</f>
        <v>1.4285714285714199</v>
      </c>
      <c r="C122" s="62">
        <f ca="1">IFERROR(__xludf.DUMMYFUNCTION("""COMPUTED_VALUE"""),164.142857142857)</f>
        <v>164.142857142857</v>
      </c>
      <c r="D122" s="62">
        <f ca="1">IFERROR(__xludf.DUMMYFUNCTION("""COMPUTED_VALUE"""),6.14285714285714)</f>
        <v>6.1428571428571397</v>
      </c>
      <c r="E122" s="62">
        <f ca="1">IFERROR(__xludf.DUMMYFUNCTION("""COMPUTED_VALUE"""),5659.42857142857)</f>
        <v>5659.4285714285697</v>
      </c>
      <c r="F122" s="21">
        <f ca="1">IFERROR(__xludf.DUMMYFUNCTION("""COMPUTED_VALUE"""),858)</f>
        <v>858</v>
      </c>
      <c r="G122" s="21">
        <f ca="1">IFERROR(__xludf.DUMMYFUNCTION("""COMPUTED_VALUE"""),164018)</f>
        <v>164018</v>
      </c>
      <c r="H122" s="63">
        <f ca="1">IFERROR(__xludf.DUMMYFUNCTION("""COMPUTED_VALUE"""),11.5714285714285)</f>
        <v>11.5714285714285</v>
      </c>
      <c r="I122" s="63">
        <f ca="1">IFERROR(__xludf.DUMMYFUNCTION("""COMPUTED_VALUE"""),2342.71428571428)</f>
        <v>2342.7142857142799</v>
      </c>
      <c r="J122" s="57">
        <f ca="1">IFERROR(__xludf.DUMMYFUNCTION("""COMPUTED_VALUE"""),25.7142857142857)</f>
        <v>25.714285714285701</v>
      </c>
      <c r="K122" s="57">
        <f ca="1">IFERROR(__xludf.DUMMYFUNCTION("""COMPUTED_VALUE"""),314.571428571428)</f>
        <v>314.57142857142799</v>
      </c>
      <c r="L122">
        <f ca="1">IFERROR(__xludf.DUMMYFUNCTION("""COMPUTED_VALUE"""),71599)</f>
        <v>71599</v>
      </c>
      <c r="M122" s="58">
        <f ca="1">IFERROR(__xludf.DUMMYFUNCTION("""COMPUTED_VALUE"""),4565.71428571428)</f>
        <v>4565.7142857142799</v>
      </c>
      <c r="N122" s="57">
        <f ca="1">IFERROR(__xludf.DUMMYFUNCTION("""COMPUTED_VALUE"""),187.714285714285)</f>
        <v>187.71428571428501</v>
      </c>
      <c r="O122" s="57">
        <f ca="1">IFERROR(__xludf.DUMMYFUNCTION("""COMPUTED_VALUE"""),8395.85714285714)</f>
        <v>8395.8571428571395</v>
      </c>
      <c r="P122">
        <f ca="1">IFERROR(__xludf.DUMMYFUNCTION("""COMPUTED_VALUE"""),187208)</f>
        <v>187208</v>
      </c>
      <c r="Q122" s="58">
        <f ca="1">IFERROR(__xludf.DUMMYFUNCTION("""COMPUTED_VALUE"""),8025.28571428571)</f>
        <v>8025.2857142857101</v>
      </c>
      <c r="R122" s="13">
        <f ca="1">IFERROR(__xludf.DUMMYFUNCTION("""COMPUTED_VALUE"""),0.00365714285714285)</f>
        <v>3.6571428571428501E-3</v>
      </c>
      <c r="S122" s="13">
        <f ca="1">IFERROR(__xludf.DUMMYFUNCTION("""COMPUTED_VALUE"""),0.412578015661344)</f>
        <v>0.412578015661344</v>
      </c>
      <c r="T122" s="13">
        <f ca="1">IFERROR(__xludf.DUMMYFUNCTION("""COMPUTED_VALUE"""),0.0253421072463299)</f>
        <v>2.53421072463299E-2</v>
      </c>
      <c r="U122" s="13">
        <f ca="1">IFERROR(__xludf.DUMMYFUNCTION("""COMPUTED_VALUE"""),0.278264626100388)</f>
        <v>0.27826462610038799</v>
      </c>
      <c r="V122">
        <f ca="1">IFERROR(__xludf.DUMMYFUNCTION("""COMPUTED_VALUE"""),157)</f>
        <v>157</v>
      </c>
      <c r="W122">
        <f ca="1">IFERROR(__xludf.DUMMYFUNCTION("""COMPUTED_VALUE"""),7812)</f>
        <v>7812</v>
      </c>
      <c r="X122">
        <f ca="1">IFERROR(__xludf.DUMMYFUNCTION("""COMPUTED_VALUE"""),947)</f>
        <v>947</v>
      </c>
      <c r="Y122">
        <f ca="1">IFERROR(__xludf.DUMMYFUNCTION("""COMPUTED_VALUE"""),7568)</f>
        <v>7568</v>
      </c>
      <c r="Z122">
        <f ca="1">IFERROR(__xludf.DUMMYFUNCTION("""COMPUTED_VALUE"""),8)</f>
        <v>8</v>
      </c>
      <c r="AA122">
        <f ca="1">IFERROR(__xludf.DUMMYFUNCTION("""COMPUTED_VALUE"""),639)</f>
        <v>639</v>
      </c>
      <c r="AB122">
        <f ca="1">IFERROR(__xludf.DUMMYFUNCTION("""COMPUTED_VALUE"""),100)</f>
        <v>100</v>
      </c>
      <c r="AC122">
        <f ca="1">IFERROR(__xludf.DUMMYFUNCTION("""COMPUTED_VALUE"""),618)</f>
        <v>618</v>
      </c>
    </row>
    <row r="123" spans="1:36" ht="13">
      <c r="A123">
        <f t="shared" ca="1" si="0"/>
        <v>122</v>
      </c>
      <c r="B123" s="62">
        <f ca="1">IFERROR(__xludf.DUMMYFUNCTION("""COMPUTED_VALUE"""),1.42857142857142)</f>
        <v>1.4285714285714199</v>
      </c>
      <c r="C123" s="62">
        <f ca="1">IFERROR(__xludf.DUMMYFUNCTION("""COMPUTED_VALUE"""),170)</f>
        <v>170</v>
      </c>
      <c r="D123" s="62">
        <f ca="1">IFERROR(__xludf.DUMMYFUNCTION("""COMPUTED_VALUE"""),6.42857142857142)</f>
        <v>6.4285714285714199</v>
      </c>
      <c r="E123" s="62">
        <f ca="1">IFERROR(__xludf.DUMMYFUNCTION("""COMPUTED_VALUE"""),5553.28571428571)</f>
        <v>5553.2857142857101</v>
      </c>
      <c r="F123" s="21">
        <f ca="1">IFERROR(__xludf.DUMMYFUNCTION("""COMPUTED_VALUE"""),832)</f>
        <v>832</v>
      </c>
      <c r="G123" s="21">
        <f ca="1">IFERROR(__xludf.DUMMYFUNCTION("""COMPUTED_VALUE"""),167749)</f>
        <v>167749</v>
      </c>
      <c r="H123" s="63">
        <f ca="1">IFERROR(__xludf.DUMMYFUNCTION("""COMPUTED_VALUE"""),12.7142857142857)</f>
        <v>12.714285714285699</v>
      </c>
      <c r="I123" s="63">
        <f ca="1">IFERROR(__xludf.DUMMYFUNCTION("""COMPUTED_VALUE"""),2339.28571428571)</f>
        <v>2339.2857142857101</v>
      </c>
      <c r="J123" s="57">
        <f ca="1">IFERROR(__xludf.DUMMYFUNCTION("""COMPUTED_VALUE"""),21.7142857142857)</f>
        <v>21.714285714285701</v>
      </c>
      <c r="K123" s="57">
        <f ca="1">IFERROR(__xludf.DUMMYFUNCTION("""COMPUTED_VALUE"""),323.428571428571)</f>
        <v>323.42857142857099</v>
      </c>
      <c r="L123">
        <f ca="1">IFERROR(__xludf.DUMMYFUNCTION("""COMPUTED_VALUE"""),69835)</f>
        <v>69835</v>
      </c>
      <c r="M123" s="58">
        <f ca="1">IFERROR(__xludf.DUMMYFUNCTION("""COMPUTED_VALUE"""),4328)</f>
        <v>4328</v>
      </c>
      <c r="N123" s="57">
        <f ca="1">IFERROR(__xludf.DUMMYFUNCTION("""COMPUTED_VALUE"""),190.714285714285)</f>
        <v>190.71428571428501</v>
      </c>
      <c r="O123" s="57">
        <f ca="1">IFERROR(__xludf.DUMMYFUNCTION("""COMPUTED_VALUE"""),7781.14285714285)</f>
        <v>7781.1428571428496</v>
      </c>
      <c r="P123">
        <f ca="1">IFERROR(__xludf.DUMMYFUNCTION("""COMPUTED_VALUE"""),184295)</f>
        <v>184295</v>
      </c>
      <c r="Q123" s="58">
        <f ca="1">IFERROR(__xludf.DUMMYFUNCTION("""COMPUTED_VALUE"""),8099.14285714285)</f>
        <v>8099.1428571428496</v>
      </c>
      <c r="R123" s="13">
        <f ca="1">IFERROR(__xludf.DUMMYFUNCTION("""COMPUTED_VALUE"""),0.0038)</f>
        <v>3.8E-3</v>
      </c>
      <c r="S123" s="13">
        <f ca="1">IFERROR(__xludf.DUMMYFUNCTION("""COMPUTED_VALUE"""),0.404939398734082)</f>
        <v>0.40493939873408202</v>
      </c>
      <c r="T123" s="13">
        <f ca="1">IFERROR(__xludf.DUMMYFUNCTION("""COMPUTED_VALUE"""),0.0220279140830434)</f>
        <v>2.2027914083043401E-2</v>
      </c>
      <c r="U123" s="13">
        <f ca="1">IFERROR(__xludf.DUMMYFUNCTION("""COMPUTED_VALUE"""),0.267955324562919)</f>
        <v>0.26795532456291898</v>
      </c>
      <c r="V123">
        <f ca="1">IFERROR(__xludf.DUMMYFUNCTION("""COMPUTED_VALUE"""),150)</f>
        <v>150</v>
      </c>
      <c r="W123">
        <f ca="1">IFERROR(__xludf.DUMMYFUNCTION("""COMPUTED_VALUE"""),7695)</f>
        <v>7695</v>
      </c>
      <c r="X123">
        <f ca="1">IFERROR(__xludf.DUMMYFUNCTION("""COMPUTED_VALUE"""),837)</f>
        <v>837</v>
      </c>
      <c r="Y123">
        <f ca="1">IFERROR(__xludf.DUMMYFUNCTION("""COMPUTED_VALUE"""),7206)</f>
        <v>7206</v>
      </c>
      <c r="Z123">
        <f ca="1">IFERROR(__xludf.DUMMYFUNCTION("""COMPUTED_VALUE"""),9)</f>
        <v>9</v>
      </c>
      <c r="AA123">
        <f ca="1">IFERROR(__xludf.DUMMYFUNCTION("""COMPUTED_VALUE"""),637)</f>
        <v>637</v>
      </c>
      <c r="AB123">
        <f ca="1">IFERROR(__xludf.DUMMYFUNCTION("""COMPUTED_VALUE"""),90)</f>
        <v>90</v>
      </c>
      <c r="AC123">
        <f ca="1">IFERROR(__xludf.DUMMYFUNCTION("""COMPUTED_VALUE"""),607)</f>
        <v>607</v>
      </c>
    </row>
    <row r="124" spans="1:36" ht="13">
      <c r="A124">
        <f t="shared" ca="1" si="0"/>
        <v>123</v>
      </c>
      <c r="B124" s="62">
        <f ca="1">IFERROR(__xludf.DUMMYFUNCTION("""COMPUTED_VALUE"""),1.57142857142857)</f>
        <v>1.5714285714285701</v>
      </c>
      <c r="C124" s="62">
        <f ca="1">IFERROR(__xludf.DUMMYFUNCTION("""COMPUTED_VALUE"""),170.857142857142)</f>
        <v>170.85714285714201</v>
      </c>
      <c r="D124" s="62">
        <f ca="1">IFERROR(__xludf.DUMMYFUNCTION("""COMPUTED_VALUE"""),5.14285714285714)</f>
        <v>5.1428571428571397</v>
      </c>
      <c r="E124" s="62">
        <f ca="1">IFERROR(__xludf.DUMMYFUNCTION("""COMPUTED_VALUE"""),5535.85714285714)</f>
        <v>5535.8571428571404</v>
      </c>
      <c r="F124" s="21">
        <f ca="1">IFERROR(__xludf.DUMMYFUNCTION("""COMPUTED_VALUE"""),801)</f>
        <v>801</v>
      </c>
      <c r="G124" s="21">
        <f ca="1">IFERROR(__xludf.DUMMYFUNCTION("""COMPUTED_VALUE"""),172728)</f>
        <v>172728</v>
      </c>
      <c r="H124" s="63">
        <f ca="1">IFERROR(__xludf.DUMMYFUNCTION("""COMPUTED_VALUE"""),14.7142857142857)</f>
        <v>14.714285714285699</v>
      </c>
      <c r="I124" s="63">
        <f ca="1">IFERROR(__xludf.DUMMYFUNCTION("""COMPUTED_VALUE"""),2292.14285714285)</f>
        <v>2292.1428571428501</v>
      </c>
      <c r="J124" s="57">
        <f ca="1">IFERROR(__xludf.DUMMYFUNCTION("""COMPUTED_VALUE"""),19.7142857142857)</f>
        <v>19.714285714285701</v>
      </c>
      <c r="K124" s="57">
        <f ca="1">IFERROR(__xludf.DUMMYFUNCTION("""COMPUTED_VALUE"""),311.857142857142)</f>
        <v>311.85714285714198</v>
      </c>
      <c r="L124">
        <f ca="1">IFERROR(__xludf.DUMMYFUNCTION("""COMPUTED_VALUE"""),67312)</f>
        <v>67312</v>
      </c>
      <c r="M124" s="58">
        <f ca="1">IFERROR(__xludf.DUMMYFUNCTION("""COMPUTED_VALUE"""),3699.57142857142)</f>
        <v>3699.5714285714198</v>
      </c>
      <c r="N124" s="57">
        <f ca="1">IFERROR(__xludf.DUMMYFUNCTION("""COMPUTED_VALUE"""),190.285714285714)</f>
        <v>190.28571428571399</v>
      </c>
      <c r="O124" s="57">
        <f ca="1">IFERROR(__xludf.DUMMYFUNCTION("""COMPUTED_VALUE"""),7330.28571428571)</f>
        <v>7330.2857142857101</v>
      </c>
      <c r="P124">
        <f ca="1">IFERROR(__xludf.DUMMYFUNCTION("""COMPUTED_VALUE"""),184527)</f>
        <v>184527</v>
      </c>
      <c r="Q124" s="58">
        <f ca="1">IFERROR(__xludf.DUMMYFUNCTION("""COMPUTED_VALUE"""),7606.85714285714)</f>
        <v>7606.8571428571404</v>
      </c>
      <c r="R124" s="13">
        <f ca="1">IFERROR(__xludf.DUMMYFUNCTION("""COMPUTED_VALUE"""),0.00347142857142857)</f>
        <v>3.4714285714285702E-3</v>
      </c>
      <c r="S124" s="13">
        <f ca="1">IFERROR(__xludf.DUMMYFUNCTION("""COMPUTED_VALUE"""),0.385616416801613)</f>
        <v>0.38561641680161302</v>
      </c>
      <c r="T124" s="13">
        <f ca="1">IFERROR(__xludf.DUMMYFUNCTION("""COMPUTED_VALUE"""),0.031211997185281)</f>
        <v>3.1211997185281001E-2</v>
      </c>
      <c r="U124" s="13">
        <f ca="1">IFERROR(__xludf.DUMMYFUNCTION("""COMPUTED_VALUE"""),0.262245331640358)</f>
        <v>0.26224533164035801</v>
      </c>
      <c r="V124">
        <f ca="1">IFERROR(__xludf.DUMMYFUNCTION("""COMPUTED_VALUE"""),140)</f>
        <v>140</v>
      </c>
      <c r="W124">
        <f ca="1">IFERROR(__xludf.DUMMYFUNCTION("""COMPUTED_VALUE"""),7709)</f>
        <v>7709</v>
      </c>
      <c r="X124">
        <f ca="1">IFERROR(__xludf.DUMMYFUNCTION("""COMPUTED_VALUE"""),739)</f>
        <v>739</v>
      </c>
      <c r="Y124">
        <f ca="1">IFERROR(__xludf.DUMMYFUNCTION("""COMPUTED_VALUE"""),7119)</f>
        <v>7119</v>
      </c>
      <c r="Z124">
        <f ca="1">IFERROR(__xludf.DUMMYFUNCTION("""COMPUTED_VALUE"""),8)</f>
        <v>8</v>
      </c>
      <c r="AA124">
        <f ca="1">IFERROR(__xludf.DUMMYFUNCTION("""COMPUTED_VALUE"""),656)</f>
        <v>656</v>
      </c>
      <c r="AB124">
        <f ca="1">IFERROR(__xludf.DUMMYFUNCTION("""COMPUTED_VALUE"""),77)</f>
        <v>77</v>
      </c>
      <c r="AC124">
        <f ca="1">IFERROR(__xludf.DUMMYFUNCTION("""COMPUTED_VALUE"""),579)</f>
        <v>579</v>
      </c>
    </row>
    <row r="125" spans="1:36" ht="13">
      <c r="A125">
        <f t="shared" ca="1" si="0"/>
        <v>124</v>
      </c>
      <c r="B125" s="62">
        <f ca="1">IFERROR(__xludf.DUMMYFUNCTION("""COMPUTED_VALUE"""),1.14285714285714)</f>
        <v>1.1428571428571399</v>
      </c>
      <c r="C125" s="62">
        <f ca="1">IFERROR(__xludf.DUMMYFUNCTION("""COMPUTED_VALUE"""),165.857142857142)</f>
        <v>165.85714285714201</v>
      </c>
      <c r="D125" s="62">
        <f ca="1">IFERROR(__xludf.DUMMYFUNCTION("""COMPUTED_VALUE"""),5.85714285714285)</f>
        <v>5.8571428571428497</v>
      </c>
      <c r="E125" s="62">
        <f ca="1">IFERROR(__xludf.DUMMYFUNCTION("""COMPUTED_VALUE"""),5289.42857142857)</f>
        <v>5289.4285714285697</v>
      </c>
      <c r="F125" s="21">
        <f ca="1">IFERROR(__xludf.DUMMYFUNCTION("""COMPUTED_VALUE"""),783)</f>
        <v>783</v>
      </c>
      <c r="G125" s="21">
        <f ca="1">IFERROR(__xludf.DUMMYFUNCTION("""COMPUTED_VALUE"""),173881)</f>
        <v>173881</v>
      </c>
      <c r="H125" s="63">
        <f ca="1">IFERROR(__xludf.DUMMYFUNCTION("""COMPUTED_VALUE"""),18)</f>
        <v>18</v>
      </c>
      <c r="I125" s="63">
        <f ca="1">IFERROR(__xludf.DUMMYFUNCTION("""COMPUTED_VALUE"""),1489)</f>
        <v>1489</v>
      </c>
      <c r="J125" s="57">
        <f ca="1">IFERROR(__xludf.DUMMYFUNCTION("""COMPUTED_VALUE"""),19.4285714285714)</f>
        <v>19.428571428571399</v>
      </c>
      <c r="K125" s="57">
        <f ca="1">IFERROR(__xludf.DUMMYFUNCTION("""COMPUTED_VALUE"""),286.285714285714)</f>
        <v>286.28571428571399</v>
      </c>
      <c r="L125">
        <f ca="1">IFERROR(__xludf.DUMMYFUNCTION("""COMPUTED_VALUE"""),64648)</f>
        <v>64648</v>
      </c>
      <c r="M125" s="58">
        <f ca="1">IFERROR(__xludf.DUMMYFUNCTION("""COMPUTED_VALUE"""),3134.14285714285)</f>
        <v>3134.1428571428501</v>
      </c>
      <c r="N125" s="57">
        <f ca="1">IFERROR(__xludf.DUMMYFUNCTION("""COMPUTED_VALUE"""),186.714285714285)</f>
        <v>186.71428571428501</v>
      </c>
      <c r="O125" s="57">
        <f ca="1">IFERROR(__xludf.DUMMYFUNCTION("""COMPUTED_VALUE"""),6864.71428571428)</f>
        <v>6864.7142857142799</v>
      </c>
      <c r="P125">
        <f ca="1">IFERROR(__xludf.DUMMYFUNCTION("""COMPUTED_VALUE"""),177596)</f>
        <v>177596</v>
      </c>
      <c r="Q125" s="58">
        <f ca="1">IFERROR(__xludf.DUMMYFUNCTION("""COMPUTED_VALUE"""),8307.42857142857)</f>
        <v>8307.4285714285706</v>
      </c>
      <c r="R125" s="13">
        <f ca="1">IFERROR(__xludf.DUMMYFUNCTION("""COMPUTED_VALUE"""),0.00347142857142857)</f>
        <v>3.4714285714285702E-3</v>
      </c>
      <c r="S125" s="13">
        <f ca="1">IFERROR(__xludf.DUMMYFUNCTION("""COMPUTED_VALUE"""),0.322076324582163)</f>
        <v>0.32207632458216301</v>
      </c>
      <c r="T125" s="13">
        <f ca="1">IFERROR(__xludf.DUMMYFUNCTION("""COMPUTED_VALUE"""),0.0291544814478623)</f>
        <v>2.9154481447862299E-2</v>
      </c>
      <c r="U125" s="13">
        <f ca="1">IFERROR(__xludf.DUMMYFUNCTION("""COMPUTED_VALUE"""),0.255931583955556)</f>
        <v>0.25593158395555599</v>
      </c>
      <c r="V125">
        <f ca="1">IFERROR(__xludf.DUMMYFUNCTION("""COMPUTED_VALUE"""),144)</f>
        <v>144</v>
      </c>
      <c r="W125">
        <f ca="1">IFERROR(__xludf.DUMMYFUNCTION("""COMPUTED_VALUE"""),7932)</f>
        <v>7932</v>
      </c>
      <c r="X125">
        <f ca="1">IFERROR(__xludf.DUMMYFUNCTION("""COMPUTED_VALUE"""),702)</f>
        <v>702</v>
      </c>
      <c r="Y125">
        <f ca="1">IFERROR(__xludf.DUMMYFUNCTION("""COMPUTED_VALUE"""),6939)</f>
        <v>6939</v>
      </c>
      <c r="Z125">
        <f ca="1">IFERROR(__xludf.DUMMYFUNCTION("""COMPUTED_VALUE"""),8)</f>
        <v>8</v>
      </c>
      <c r="AA125">
        <f ca="1">IFERROR(__xludf.DUMMYFUNCTION("""COMPUTED_VALUE"""),674)</f>
        <v>674</v>
      </c>
      <c r="AB125">
        <f ca="1">IFERROR(__xludf.DUMMYFUNCTION("""COMPUTED_VALUE"""),78)</f>
        <v>78</v>
      </c>
      <c r="AC125">
        <f ca="1">IFERROR(__xludf.DUMMYFUNCTION("""COMPUTED_VALUE"""),573)</f>
        <v>573</v>
      </c>
    </row>
    <row r="126" spans="1:36" ht="13">
      <c r="A126">
        <f t="shared" ca="1" si="0"/>
        <v>125</v>
      </c>
      <c r="B126" s="62">
        <f ca="1">IFERROR(__xludf.DUMMYFUNCTION("""COMPUTED_VALUE"""),0.571428571428571)</f>
        <v>0.57142857142857095</v>
      </c>
      <c r="C126" s="62">
        <f ca="1">IFERROR(__xludf.DUMMYFUNCTION("""COMPUTED_VALUE"""),163.285714285714)</f>
        <v>163.28571428571399</v>
      </c>
      <c r="D126" s="62">
        <f ca="1">IFERROR(__xludf.DUMMYFUNCTION("""COMPUTED_VALUE"""),6.28571428571428)</f>
        <v>6.2857142857142803</v>
      </c>
      <c r="E126" s="62">
        <f ca="1">IFERROR(__xludf.DUMMYFUNCTION("""COMPUTED_VALUE"""),5042)</f>
        <v>5042</v>
      </c>
      <c r="F126" s="21">
        <f ca="1">IFERROR(__xludf.DUMMYFUNCTION("""COMPUTED_VALUE"""),740)</f>
        <v>740</v>
      </c>
      <c r="G126" s="21">
        <f ca="1">IFERROR(__xludf.DUMMYFUNCTION("""COMPUTED_VALUE"""),174966)</f>
        <v>174966</v>
      </c>
      <c r="H126" s="63">
        <f ca="1">IFERROR(__xludf.DUMMYFUNCTION("""COMPUTED_VALUE"""),25)</f>
        <v>25</v>
      </c>
      <c r="I126" s="63">
        <f ca="1">IFERROR(__xludf.DUMMYFUNCTION("""COMPUTED_VALUE"""),1497)</f>
        <v>1497</v>
      </c>
      <c r="J126" s="57">
        <f ca="1">IFERROR(__xludf.DUMMYFUNCTION("""COMPUTED_VALUE"""),19)</f>
        <v>19</v>
      </c>
      <c r="K126" s="57">
        <f ca="1">IFERROR(__xludf.DUMMYFUNCTION("""COMPUTED_VALUE"""),262.714285714285)</f>
        <v>262.71428571428498</v>
      </c>
      <c r="L126">
        <f ca="1">IFERROR(__xludf.DUMMYFUNCTION("""COMPUTED_VALUE"""),61700)</f>
        <v>61700</v>
      </c>
      <c r="M126" s="58">
        <f ca="1">IFERROR(__xludf.DUMMYFUNCTION("""COMPUTED_VALUE"""),3154.42857142857)</f>
        <v>3154.4285714285702</v>
      </c>
      <c r="R126" s="13">
        <f ca="1">IFERROR(__xludf.DUMMYFUNCTION("""COMPUTED_VALUE"""),0.00505714285714285)</f>
        <v>5.0571428571428503E-3</v>
      </c>
      <c r="S126" s="13">
        <f ca="1">IFERROR(__xludf.DUMMYFUNCTION("""COMPUTED_VALUE"""),0.257325069916943)</f>
        <v>0.25732506991694298</v>
      </c>
      <c r="T126" s="13">
        <f ca="1">IFERROR(__xludf.DUMMYFUNCTION("""COMPUTED_VALUE"""),0.0281185481227112)</f>
        <v>2.8118548122711199E-2</v>
      </c>
      <c r="V126">
        <f ca="1">IFERROR(__xludf.DUMMYFUNCTION("""COMPUTED_VALUE"""),140)</f>
        <v>140</v>
      </c>
      <c r="W126">
        <f ca="1">IFERROR(__xludf.DUMMYFUNCTION("""COMPUTED_VALUE"""),8045)</f>
        <v>8045</v>
      </c>
      <c r="X126">
        <f ca="1">IFERROR(__xludf.DUMMYFUNCTION("""COMPUTED_VALUE"""),622)</f>
        <v>622</v>
      </c>
      <c r="Z126">
        <f ca="1">IFERROR(__xludf.DUMMYFUNCTION("""COMPUTED_VALUE"""),8)</f>
        <v>8</v>
      </c>
      <c r="AA126">
        <f ca="1">IFERROR(__xludf.DUMMYFUNCTION("""COMPUTED_VALUE"""),656)</f>
        <v>656</v>
      </c>
      <c r="AB126">
        <f ca="1">IFERROR(__xludf.DUMMYFUNCTION("""COMPUTED_VALUE"""),70)</f>
        <v>70</v>
      </c>
    </row>
    <row r="127" spans="1:36" ht="13">
      <c r="A127">
        <f t="shared" ca="1" si="0"/>
        <v>126</v>
      </c>
      <c r="B127" s="62">
        <f ca="1">IFERROR(__xludf.DUMMYFUNCTION("""COMPUTED_VALUE"""),0.571428571428571)</f>
        <v>0.57142857142857095</v>
      </c>
      <c r="C127" s="62">
        <f ca="1">IFERROR(__xludf.DUMMYFUNCTION("""COMPUTED_VALUE"""),162.571428571428)</f>
        <v>162.57142857142799</v>
      </c>
      <c r="D127" s="62">
        <f ca="1">IFERROR(__xludf.DUMMYFUNCTION("""COMPUTED_VALUE"""),7.14285714285714)</f>
        <v>7.1428571428571397</v>
      </c>
      <c r="E127" s="62">
        <f ca="1">IFERROR(__xludf.DUMMYFUNCTION("""COMPUTED_VALUE"""),4911.28571428571)</f>
        <v>4911.2857142857101</v>
      </c>
      <c r="F127" s="21">
        <f ca="1">IFERROR(__xludf.DUMMYFUNCTION("""COMPUTED_VALUE"""),742)</f>
        <v>742</v>
      </c>
      <c r="G127" s="21">
        <f ca="1">IFERROR(__xludf.DUMMYFUNCTION("""COMPUTED_VALUE"""),177038)</f>
        <v>177038</v>
      </c>
      <c r="H127" s="63">
        <f ca="1">IFERROR(__xludf.DUMMYFUNCTION("""COMPUTED_VALUE"""),26)</f>
        <v>26</v>
      </c>
      <c r="I127" s="63">
        <f ca="1">IFERROR(__xludf.DUMMYFUNCTION("""COMPUTED_VALUE"""),1483.14285714285)</f>
        <v>1483.1428571428501</v>
      </c>
      <c r="J127" s="57">
        <f ca="1">IFERROR(__xludf.DUMMYFUNCTION("""COMPUTED_VALUE"""),18)</f>
        <v>18</v>
      </c>
      <c r="K127" s="57">
        <f ca="1">IFERROR(__xludf.DUMMYFUNCTION("""COMPUTED_VALUE"""),232.285714285714)</f>
        <v>232.28571428571399</v>
      </c>
      <c r="L127">
        <f ca="1">IFERROR(__xludf.DUMMYFUNCTION("""COMPUTED_VALUE"""),59991)</f>
        <v>59991</v>
      </c>
      <c r="M127" s="58">
        <f ca="1">IFERROR(__xludf.DUMMYFUNCTION("""COMPUTED_VALUE"""),2876.28571428571)</f>
        <v>2876.2857142857101</v>
      </c>
      <c r="R127" s="13">
        <f ca="1">IFERROR(__xludf.DUMMYFUNCTION("""COMPUTED_VALUE"""),0.00625714285714285)</f>
        <v>6.25714285714285E-3</v>
      </c>
      <c r="S127" s="13">
        <f ca="1">IFERROR(__xludf.DUMMYFUNCTION("""COMPUTED_VALUE"""),0.233799194123057)</f>
        <v>0.233799194123057</v>
      </c>
      <c r="T127" s="13">
        <f ca="1">IFERROR(__xludf.DUMMYFUNCTION("""COMPUTED_VALUE"""),0.0263684717146723)</f>
        <v>2.6368471714672301E-2</v>
      </c>
      <c r="V127">
        <f ca="1">IFERROR(__xludf.DUMMYFUNCTION("""COMPUTED_VALUE"""),142)</f>
        <v>142</v>
      </c>
      <c r="W127">
        <f ca="1">IFERROR(__xludf.DUMMYFUNCTION("""COMPUTED_VALUE"""),7945)</f>
        <v>7945</v>
      </c>
      <c r="X127">
        <f ca="1">IFERROR(__xludf.DUMMYFUNCTION("""COMPUTED_VALUE"""),602)</f>
        <v>602</v>
      </c>
      <c r="Z127">
        <f ca="1">IFERROR(__xludf.DUMMYFUNCTION("""COMPUTED_VALUE"""),7)</f>
        <v>7</v>
      </c>
      <c r="AA127">
        <f ca="1">IFERROR(__xludf.DUMMYFUNCTION("""COMPUTED_VALUE"""),661)</f>
        <v>661</v>
      </c>
      <c r="AB127">
        <f ca="1">IFERROR(__xludf.DUMMYFUNCTION("""COMPUTED_VALUE"""),68)</f>
        <v>68</v>
      </c>
    </row>
    <row r="128" spans="1:36" ht="13">
      <c r="A128">
        <f t="shared" ca="1" si="0"/>
        <v>127</v>
      </c>
      <c r="B128" s="62">
        <f ca="1">IFERROR(__xludf.DUMMYFUNCTION("""COMPUTED_VALUE"""),0.428571428571428)</f>
        <v>0.42857142857142799</v>
      </c>
      <c r="C128" s="62">
        <f ca="1">IFERROR(__xludf.DUMMYFUNCTION("""COMPUTED_VALUE"""),161)</f>
        <v>161</v>
      </c>
      <c r="D128" s="62">
        <f ca="1">IFERROR(__xludf.DUMMYFUNCTION("""COMPUTED_VALUE"""),7.57142857142857)</f>
        <v>7.5714285714285703</v>
      </c>
      <c r="E128" s="62">
        <f ca="1">IFERROR(__xludf.DUMMYFUNCTION("""COMPUTED_VALUE"""),4737)</f>
        <v>4737</v>
      </c>
      <c r="F128" s="21">
        <f ca="1">IFERROR(__xludf.DUMMYFUNCTION("""COMPUTED_VALUE"""),736)</f>
        <v>736</v>
      </c>
      <c r="G128" s="21">
        <f ca="1">IFERROR(__xludf.DUMMYFUNCTION("""COMPUTED_VALUE"""),181190)</f>
        <v>181190</v>
      </c>
      <c r="H128" s="63">
        <f ca="1">IFERROR(__xludf.DUMMYFUNCTION("""COMPUTED_VALUE"""),24.4285714285714)</f>
        <v>24.428571428571399</v>
      </c>
      <c r="I128" s="63">
        <f ca="1">IFERROR(__xludf.DUMMYFUNCTION("""COMPUTED_VALUE"""),1475.57142857142)</f>
        <v>1475.57142857142</v>
      </c>
      <c r="J128" s="57">
        <f ca="1">IFERROR(__xludf.DUMMYFUNCTION("""COMPUTED_VALUE"""),19)</f>
        <v>19</v>
      </c>
      <c r="K128" s="57">
        <f ca="1">IFERROR(__xludf.DUMMYFUNCTION("""COMPUTED_VALUE"""),221.571428571428)</f>
        <v>221.57142857142799</v>
      </c>
      <c r="L128">
        <f ca="1">IFERROR(__xludf.DUMMYFUNCTION("""COMPUTED_VALUE"""),58969)</f>
        <v>58969</v>
      </c>
      <c r="M128" s="58">
        <f ca="1">IFERROR(__xludf.DUMMYFUNCTION("""COMPUTED_VALUE"""),2431.14285714285)</f>
        <v>2431.1428571428501</v>
      </c>
      <c r="N128" s="57">
        <f ca="1">IFERROR(__xludf.DUMMYFUNCTION("""COMPUTED_VALUE"""),181.857142857142)</f>
        <v>181.85714285714201</v>
      </c>
      <c r="O128" s="57">
        <f ca="1">IFERROR(__xludf.DUMMYFUNCTION("""COMPUTED_VALUE"""),5910.14285714285)</f>
        <v>5910.1428571428496</v>
      </c>
      <c r="P128">
        <f ca="1">IFERROR(__xludf.DUMMYFUNCTION("""COMPUTED_VALUE"""),170416)</f>
        <v>170416</v>
      </c>
      <c r="Q128" s="58">
        <f ca="1">IFERROR(__xludf.DUMMYFUNCTION("""COMPUTED_VALUE"""),8490.71428571428)</f>
        <v>8490.7142857142808</v>
      </c>
      <c r="R128" s="13">
        <f ca="1">IFERROR(__xludf.DUMMYFUNCTION("""COMPUTED_VALUE"""),0.00657142857142857)</f>
        <v>6.5714285714285701E-3</v>
      </c>
      <c r="S128" s="13">
        <f ca="1">IFERROR(__xludf.DUMMYFUNCTION("""COMPUTED_VALUE"""),0.223783988131476)</f>
        <v>0.22378398813147601</v>
      </c>
      <c r="T128" s="13">
        <f ca="1">IFERROR(__xludf.DUMMYFUNCTION("""COMPUTED_VALUE"""),0.0253492258118748)</f>
        <v>2.53492258118748E-2</v>
      </c>
      <c r="U128" s="13">
        <f ca="1">IFERROR(__xludf.DUMMYFUNCTION("""COMPUTED_VALUE"""),0.251078649243876)</f>
        <v>0.25107864924387602</v>
      </c>
      <c r="V128">
        <f ca="1">IFERROR(__xludf.DUMMYFUNCTION("""COMPUTED_VALUE"""),132)</f>
        <v>132</v>
      </c>
      <c r="W128">
        <f ca="1">IFERROR(__xludf.DUMMYFUNCTION("""COMPUTED_VALUE"""),7869)</f>
        <v>7869</v>
      </c>
      <c r="X128">
        <f ca="1">IFERROR(__xludf.DUMMYFUNCTION("""COMPUTED_VALUE"""),599)</f>
        <v>599</v>
      </c>
      <c r="Y128">
        <f ca="1">IFERROR(__xludf.DUMMYFUNCTION("""COMPUTED_VALUE"""),6531)</f>
        <v>6531</v>
      </c>
      <c r="Z128">
        <f ca="1">IFERROR(__xludf.DUMMYFUNCTION("""COMPUTED_VALUE"""),6)</f>
        <v>6</v>
      </c>
      <c r="AA128">
        <f ca="1">IFERROR(__xludf.DUMMYFUNCTION("""COMPUTED_VALUE"""),645)</f>
        <v>645</v>
      </c>
      <c r="AB128">
        <f ca="1">IFERROR(__xludf.DUMMYFUNCTION("""COMPUTED_VALUE"""),67)</f>
        <v>67</v>
      </c>
      <c r="AC128">
        <f ca="1">IFERROR(__xludf.DUMMYFUNCTION("""COMPUTED_VALUE"""),565)</f>
        <v>565</v>
      </c>
      <c r="AD128" s="57">
        <f ca="1">IFERROR(__xludf.DUMMYFUNCTION("""COMPUTED_VALUE"""),11)</f>
        <v>11</v>
      </c>
      <c r="AE128" s="57">
        <f ca="1">IFERROR(__xludf.DUMMYFUNCTION("""COMPUTED_VALUE"""),964)</f>
        <v>964</v>
      </c>
      <c r="AF128">
        <f ca="1">IFERROR(__xludf.DUMMYFUNCTION("""COMPUTED_VALUE"""),42170)</f>
        <v>42170</v>
      </c>
      <c r="AG128" s="58">
        <f ca="1">IFERROR(__xludf.DUMMYFUNCTION("""COMPUTED_VALUE"""),1910.57142857142)</f>
        <v>1910.57142857142</v>
      </c>
      <c r="AH128" s="13">
        <f ca="1">IFERROR(__xludf.DUMMYFUNCTION("""COMPUTED_VALUE"""),0.024658515373203)</f>
        <v>2.4658515373202999E-2</v>
      </c>
      <c r="AI128">
        <f ca="1">IFERROR(__xludf.DUMMYFUNCTION("""COMPUTED_VALUE"""),1015)</f>
        <v>1015</v>
      </c>
      <c r="AJ128">
        <f ca="1">IFERROR(__xludf.DUMMYFUNCTION("""COMPUTED_VALUE"""),29)</f>
        <v>29</v>
      </c>
    </row>
    <row r="129" spans="1:36" ht="13">
      <c r="A129">
        <f t="shared" ca="1" si="0"/>
        <v>128</v>
      </c>
      <c r="B129" s="62">
        <f ca="1">IFERROR(__xludf.DUMMYFUNCTION("""COMPUTED_VALUE"""),0.571428571428571)</f>
        <v>0.57142857142857095</v>
      </c>
      <c r="C129" s="62">
        <f ca="1">IFERROR(__xludf.DUMMYFUNCTION("""COMPUTED_VALUE"""),158.428571428571)</f>
        <v>158.42857142857099</v>
      </c>
      <c r="D129" s="62">
        <f ca="1">IFERROR(__xludf.DUMMYFUNCTION("""COMPUTED_VALUE"""),7.71428571428571)</f>
        <v>7.71428571428571</v>
      </c>
      <c r="E129" s="62">
        <f ca="1">IFERROR(__xludf.DUMMYFUNCTION("""COMPUTED_VALUE"""),4734.85714285714)</f>
        <v>4734.8571428571404</v>
      </c>
      <c r="F129" s="21">
        <f ca="1">IFERROR(__xludf.DUMMYFUNCTION("""COMPUTED_VALUE"""),742)</f>
        <v>742</v>
      </c>
      <c r="G129" s="21">
        <f ca="1">IFERROR(__xludf.DUMMYFUNCTION("""COMPUTED_VALUE"""),185878)</f>
        <v>185878</v>
      </c>
      <c r="H129" s="63">
        <f ca="1">IFERROR(__xludf.DUMMYFUNCTION("""COMPUTED_VALUE"""),23.7142857142857)</f>
        <v>23.714285714285701</v>
      </c>
      <c r="I129" s="63">
        <f ca="1">IFERROR(__xludf.DUMMYFUNCTION("""COMPUTED_VALUE"""),1453.57142857142)</f>
        <v>1453.57142857142</v>
      </c>
      <c r="J129" s="57">
        <f ca="1">IFERROR(__xludf.DUMMYFUNCTION("""COMPUTED_VALUE"""),17.4285714285714)</f>
        <v>17.428571428571399</v>
      </c>
      <c r="K129" s="57">
        <f ca="1">IFERROR(__xludf.DUMMYFUNCTION("""COMPUTED_VALUE"""),213.428571428571)</f>
        <v>213.42857142857099</v>
      </c>
      <c r="L129">
        <f ca="1">IFERROR(__xludf.DUMMYFUNCTION("""COMPUTED_VALUE"""),57746)</f>
        <v>57746</v>
      </c>
      <c r="M129" s="58">
        <f ca="1">IFERROR(__xludf.DUMMYFUNCTION("""COMPUTED_VALUE"""),2175)</f>
        <v>2175</v>
      </c>
      <c r="N129" s="57">
        <f ca="1">IFERROR(__xludf.DUMMYFUNCTION("""COMPUTED_VALUE"""),177.714285714285)</f>
        <v>177.71428571428501</v>
      </c>
      <c r="O129" s="57">
        <f ca="1">IFERROR(__xludf.DUMMYFUNCTION("""COMPUTED_VALUE"""),5805)</f>
        <v>5805</v>
      </c>
      <c r="P129">
        <f ca="1">IFERROR(__xludf.DUMMYFUNCTION("""COMPUTED_VALUE"""),168918)</f>
        <v>168918</v>
      </c>
      <c r="Q129" s="58">
        <f ca="1">IFERROR(__xludf.DUMMYFUNCTION("""COMPUTED_VALUE"""),8240.14285714285)</f>
        <v>8240.1428571428496</v>
      </c>
      <c r="R129" s="13">
        <f ca="1">IFERROR(__xludf.DUMMYFUNCTION("""COMPUTED_VALUE"""),0.00748571428571428)</f>
        <v>7.4857142857142796E-3</v>
      </c>
      <c r="S129" s="13">
        <f ca="1">IFERROR(__xludf.DUMMYFUNCTION("""COMPUTED_VALUE"""),0.2067111622247)</f>
        <v>0.20671116222470001</v>
      </c>
      <c r="T129" s="13">
        <f ca="1">IFERROR(__xludf.DUMMYFUNCTION("""COMPUTED_VALUE"""),0.0262480595788554)</f>
        <v>2.6248059578855398E-2</v>
      </c>
      <c r="U129" s="13">
        <f ca="1">IFERROR(__xludf.DUMMYFUNCTION("""COMPUTED_VALUE"""),0.231685907058081)</f>
        <v>0.23168590705808101</v>
      </c>
      <c r="V129">
        <f ca="1">IFERROR(__xludf.DUMMYFUNCTION("""COMPUTED_VALUE"""),131)</f>
        <v>131</v>
      </c>
      <c r="W129">
        <f ca="1">IFERROR(__xludf.DUMMYFUNCTION("""COMPUTED_VALUE"""),7871)</f>
        <v>7871</v>
      </c>
      <c r="X129">
        <f ca="1">IFERROR(__xludf.DUMMYFUNCTION("""COMPUTED_VALUE"""),591)</f>
        <v>591</v>
      </c>
      <c r="Y129">
        <f ca="1">IFERROR(__xludf.DUMMYFUNCTION("""COMPUTED_VALUE"""),6507)</f>
        <v>6507</v>
      </c>
      <c r="Z129">
        <f ca="1">IFERROR(__xludf.DUMMYFUNCTION("""COMPUTED_VALUE"""),6)</f>
        <v>6</v>
      </c>
      <c r="AA129">
        <f ca="1">IFERROR(__xludf.DUMMYFUNCTION("""COMPUTED_VALUE"""),610)</f>
        <v>610</v>
      </c>
      <c r="AB129">
        <f ca="1">IFERROR(__xludf.DUMMYFUNCTION("""COMPUTED_VALUE"""),63)</f>
        <v>63</v>
      </c>
      <c r="AC129">
        <f ca="1">IFERROR(__xludf.DUMMYFUNCTION("""COMPUTED_VALUE"""),563)</f>
        <v>563</v>
      </c>
    </row>
    <row r="130" spans="1:36" ht="13">
      <c r="A130">
        <f t="shared" ca="1" si="0"/>
        <v>129</v>
      </c>
      <c r="B130" s="62">
        <f ca="1">IFERROR(__xludf.DUMMYFUNCTION("""COMPUTED_VALUE"""),0.714285714285714)</f>
        <v>0.71428571428571397</v>
      </c>
      <c r="C130" s="62">
        <f ca="1">IFERROR(__xludf.DUMMYFUNCTION("""COMPUTED_VALUE"""),154)</f>
        <v>154</v>
      </c>
      <c r="D130" s="62">
        <f ca="1">IFERROR(__xludf.DUMMYFUNCTION("""COMPUTED_VALUE"""),7.28571428571428)</f>
        <v>7.2857142857142803</v>
      </c>
      <c r="E130" s="62">
        <f ca="1">IFERROR(__xludf.DUMMYFUNCTION("""COMPUTED_VALUE"""),4666.57142857142)</f>
        <v>4666.5714285714203</v>
      </c>
      <c r="F130" s="21">
        <f ca="1">IFERROR(__xludf.DUMMYFUNCTION("""COMPUTED_VALUE"""),689)</f>
        <v>689</v>
      </c>
      <c r="G130" s="21">
        <f ca="1">IFERROR(__xludf.DUMMYFUNCTION("""COMPUTED_VALUE"""),189694)</f>
        <v>189694</v>
      </c>
      <c r="H130" s="63">
        <f ca="1">IFERROR(__xludf.DUMMYFUNCTION("""COMPUTED_VALUE"""),27)</f>
        <v>27</v>
      </c>
      <c r="I130" s="63">
        <f ca="1">IFERROR(__xludf.DUMMYFUNCTION("""COMPUTED_VALUE"""),1339)</f>
        <v>1339</v>
      </c>
      <c r="J130" s="57">
        <f ca="1">IFERROR(__xludf.DUMMYFUNCTION("""COMPUTED_VALUE"""),16.4285714285714)</f>
        <v>16.428571428571399</v>
      </c>
      <c r="K130" s="57">
        <f ca="1">IFERROR(__xludf.DUMMYFUNCTION("""COMPUTED_VALUE"""),199.714285714285)</f>
        <v>199.71428571428501</v>
      </c>
      <c r="L130">
        <f ca="1">IFERROR(__xludf.DUMMYFUNCTION("""COMPUTED_VALUE"""),56096)</f>
        <v>56096</v>
      </c>
      <c r="M130" s="58">
        <f ca="1">IFERROR(__xludf.DUMMYFUNCTION("""COMPUTED_VALUE"""),2146)</f>
        <v>2146</v>
      </c>
      <c r="N130" s="57">
        <f ca="1">IFERROR(__xludf.DUMMYFUNCTION("""COMPUTED_VALUE"""),169.142857142857)</f>
        <v>169.142857142857</v>
      </c>
      <c r="O130" s="57">
        <f ca="1">IFERROR(__xludf.DUMMYFUNCTION("""COMPUTED_VALUE"""),5613.14285714285)</f>
        <v>5613.1428571428496</v>
      </c>
      <c r="P130">
        <f ca="1">IFERROR(__xludf.DUMMYFUNCTION("""COMPUTED_VALUE"""),165202)</f>
        <v>165202</v>
      </c>
      <c r="Q130" s="58">
        <f ca="1">IFERROR(__xludf.DUMMYFUNCTION("""COMPUTED_VALUE"""),8171.57142857142)</f>
        <v>8171.5714285714203</v>
      </c>
      <c r="R130" s="13">
        <f ca="1">IFERROR(__xludf.DUMMYFUNCTION("""COMPUTED_VALUE"""),0.00721428571428571)</f>
        <v>7.2142857142857104E-3</v>
      </c>
      <c r="S130" s="13">
        <f ca="1">IFERROR(__xludf.DUMMYFUNCTION("""COMPUTED_VALUE"""),0.196498299834521)</f>
        <v>0.196498299834521</v>
      </c>
      <c r="T130" s="13">
        <f ca="1">IFERROR(__xludf.DUMMYFUNCTION("""COMPUTED_VALUE"""),0.0265716776829828)</f>
        <v>2.6571677682982801E-2</v>
      </c>
      <c r="U130" s="13">
        <f ca="1">IFERROR(__xludf.DUMMYFUNCTION("""COMPUTED_VALUE"""),0.222144401583713)</f>
        <v>0.22214440158371301</v>
      </c>
      <c r="V130">
        <f ca="1">IFERROR(__xludf.DUMMYFUNCTION("""COMPUTED_VALUE"""),133)</f>
        <v>133</v>
      </c>
      <c r="W130">
        <f ca="1">IFERROR(__xludf.DUMMYFUNCTION("""COMPUTED_VALUE"""),7807)</f>
        <v>7807</v>
      </c>
      <c r="X130">
        <f ca="1">IFERROR(__xludf.DUMMYFUNCTION("""COMPUTED_VALUE"""),549)</f>
        <v>549</v>
      </c>
      <c r="Y130">
        <f ca="1">IFERROR(__xludf.DUMMYFUNCTION("""COMPUTED_VALUE"""),6337)</f>
        <v>6337</v>
      </c>
      <c r="Z130">
        <f ca="1">IFERROR(__xludf.DUMMYFUNCTION("""COMPUTED_VALUE"""),6)</f>
        <v>6</v>
      </c>
      <c r="AA130">
        <f ca="1">IFERROR(__xludf.DUMMYFUNCTION("""COMPUTED_VALUE"""),610)</f>
        <v>610</v>
      </c>
      <c r="AB130">
        <f ca="1">IFERROR(__xludf.DUMMYFUNCTION("""COMPUTED_VALUE"""),58)</f>
        <v>58</v>
      </c>
      <c r="AC130">
        <f ca="1">IFERROR(__xludf.DUMMYFUNCTION("""COMPUTED_VALUE"""),540)</f>
        <v>540</v>
      </c>
    </row>
    <row r="131" spans="1:36" ht="13">
      <c r="A131">
        <f t="shared" ca="1" si="0"/>
        <v>130</v>
      </c>
      <c r="B131" s="62">
        <f ca="1">IFERROR(__xludf.DUMMYFUNCTION("""COMPUTED_VALUE"""),0.857142857142857)</f>
        <v>0.85714285714285698</v>
      </c>
      <c r="C131" s="62">
        <f ca="1">IFERROR(__xludf.DUMMYFUNCTION("""COMPUTED_VALUE"""),156.714285714285)</f>
        <v>156.71428571428501</v>
      </c>
      <c r="D131" s="62">
        <f ca="1">IFERROR(__xludf.DUMMYFUNCTION("""COMPUTED_VALUE"""),7.85714285714285)</f>
        <v>7.8571428571428497</v>
      </c>
      <c r="E131" s="62">
        <f ca="1">IFERROR(__xludf.DUMMYFUNCTION("""COMPUTED_VALUE"""),4303.14285714285)</f>
        <v>4303.1428571428496</v>
      </c>
      <c r="F131" s="21">
        <f ca="1">IFERROR(__xludf.DUMMYFUNCTION("""COMPUTED_VALUE"""),660)</f>
        <v>660</v>
      </c>
      <c r="G131" s="21">
        <f ca="1">IFERROR(__xludf.DUMMYFUNCTION("""COMPUTED_VALUE"""),192683)</f>
        <v>192683</v>
      </c>
      <c r="H131" s="63">
        <f ca="1">IFERROR(__xludf.DUMMYFUNCTION("""COMPUTED_VALUE"""),27.1428571428571)</f>
        <v>27.1428571428571</v>
      </c>
      <c r="I131" s="63">
        <f ca="1">IFERROR(__xludf.DUMMYFUNCTION("""COMPUTED_VALUE"""),1295.71428571428)</f>
        <v>1295.7142857142801</v>
      </c>
      <c r="J131" s="57">
        <f ca="1">IFERROR(__xludf.DUMMYFUNCTION("""COMPUTED_VALUE"""),14.8571428571428)</f>
        <v>14.857142857142801</v>
      </c>
      <c r="K131" s="57">
        <f ca="1">IFERROR(__xludf.DUMMYFUNCTION("""COMPUTED_VALUE"""),184.142857142857)</f>
        <v>184.142857142857</v>
      </c>
      <c r="L131">
        <f ca="1">IFERROR(__xludf.DUMMYFUNCTION("""COMPUTED_VALUE"""),54399)</f>
        <v>54399</v>
      </c>
      <c r="M131" s="58">
        <f ca="1">IFERROR(__xludf.DUMMYFUNCTION("""COMPUTED_VALUE"""),2014)</f>
        <v>2014</v>
      </c>
      <c r="N131" s="57">
        <f ca="1">IFERROR(__xludf.DUMMYFUNCTION("""COMPUTED_VALUE"""),159)</f>
        <v>159</v>
      </c>
      <c r="O131" s="57">
        <f ca="1">IFERROR(__xludf.DUMMYFUNCTION("""COMPUTED_VALUE"""),5325.71428571428)</f>
        <v>5325.7142857142799</v>
      </c>
      <c r="P131">
        <f ca="1">IFERROR(__xludf.DUMMYFUNCTION("""COMPUTED_VALUE"""),159853)</f>
        <v>159853</v>
      </c>
      <c r="Q131" s="58">
        <f ca="1">IFERROR(__xludf.DUMMYFUNCTION("""COMPUTED_VALUE"""),8691.57142857143)</f>
        <v>8691.5714285714294</v>
      </c>
      <c r="R131" s="13">
        <f ca="1">IFERROR(__xludf.DUMMYFUNCTION("""COMPUTED_VALUE"""),0.00778571428571428)</f>
        <v>7.7857142857142804E-3</v>
      </c>
      <c r="S131" s="13">
        <f ca="1">IFERROR(__xludf.DUMMYFUNCTION("""COMPUTED_VALUE"""),0.179604924681311)</f>
        <v>0.17960492468131101</v>
      </c>
      <c r="T131" s="13">
        <f ca="1">IFERROR(__xludf.DUMMYFUNCTION("""COMPUTED_VALUE"""),0.0158162288351471)</f>
        <v>1.5816228835147099E-2</v>
      </c>
      <c r="U131" s="13">
        <f ca="1">IFERROR(__xludf.DUMMYFUNCTION("""COMPUTED_VALUE"""),0.213672208909712)</f>
        <v>0.213672208909712</v>
      </c>
      <c r="V131">
        <f ca="1">IFERROR(__xludf.DUMMYFUNCTION("""COMPUTED_VALUE"""),129)</f>
        <v>129</v>
      </c>
      <c r="W131">
        <f ca="1">IFERROR(__xludf.DUMMYFUNCTION("""COMPUTED_VALUE"""),7646)</f>
        <v>7646</v>
      </c>
      <c r="X131">
        <f ca="1">IFERROR(__xludf.DUMMYFUNCTION("""COMPUTED_VALUE"""),481)</f>
        <v>481</v>
      </c>
      <c r="Y131">
        <f ca="1">IFERROR(__xludf.DUMMYFUNCTION("""COMPUTED_VALUE"""),6109)</f>
        <v>6109</v>
      </c>
      <c r="Z131">
        <f ca="1">IFERROR(__xludf.DUMMYFUNCTION("""COMPUTED_VALUE"""),5)</f>
        <v>5</v>
      </c>
      <c r="AA131">
        <f ca="1">IFERROR(__xludf.DUMMYFUNCTION("""COMPUTED_VALUE"""),606)</f>
        <v>606</v>
      </c>
      <c r="AB131">
        <f ca="1">IFERROR(__xludf.DUMMYFUNCTION("""COMPUTED_VALUE"""),57)</f>
        <v>57</v>
      </c>
      <c r="AC131">
        <f ca="1">IFERROR(__xludf.DUMMYFUNCTION("""COMPUTED_VALUE"""),542)</f>
        <v>542</v>
      </c>
    </row>
    <row r="132" spans="1:36" ht="13">
      <c r="A132">
        <f t="shared" ca="1" si="0"/>
        <v>131</v>
      </c>
      <c r="B132" s="62">
        <f ca="1">IFERROR(__xludf.DUMMYFUNCTION("""COMPUTED_VALUE"""),0.857142857142857)</f>
        <v>0.85714285714285698</v>
      </c>
      <c r="C132" s="62">
        <f ca="1">IFERROR(__xludf.DUMMYFUNCTION("""COMPUTED_VALUE"""),163.714285714285)</f>
        <v>163.71428571428501</v>
      </c>
      <c r="D132" s="62">
        <f ca="1">IFERROR(__xludf.DUMMYFUNCTION("""COMPUTED_VALUE"""),7.28571428571428)</f>
        <v>7.2857142857142803</v>
      </c>
      <c r="E132" s="62">
        <f ca="1">IFERROR(__xludf.DUMMYFUNCTION("""COMPUTED_VALUE"""),4246)</f>
        <v>4246</v>
      </c>
      <c r="F132" s="21">
        <f ca="1">IFERROR(__xludf.DUMMYFUNCTION("""COMPUTED_VALUE"""),603)</f>
        <v>603</v>
      </c>
      <c r="G132" s="21">
        <f ca="1">IFERROR(__xludf.DUMMYFUNCTION("""COMPUTED_VALUE"""),194194)</f>
        <v>194194</v>
      </c>
      <c r="H132" s="63">
        <f ca="1">IFERROR(__xludf.DUMMYFUNCTION("""COMPUTED_VALUE"""),32.1428571428571)</f>
        <v>32.142857142857103</v>
      </c>
      <c r="I132" s="63">
        <f ca="1">IFERROR(__xludf.DUMMYFUNCTION("""COMPUTED_VALUE"""),1180.42857142857)</f>
        <v>1180.42857142857</v>
      </c>
      <c r="J132" s="57">
        <f ca="1">IFERROR(__xludf.DUMMYFUNCTION("""COMPUTED_VALUE"""),12.2857142857142)</f>
        <v>12.285714285714199</v>
      </c>
      <c r="K132" s="57">
        <f ca="1">IFERROR(__xludf.DUMMYFUNCTION("""COMPUTED_VALUE"""),174.142857142857)</f>
        <v>174.142857142857</v>
      </c>
      <c r="L132">
        <f ca="1">IFERROR(__xludf.DUMMYFUNCTION("""COMPUTED_VALUE"""),52272)</f>
        <v>52272</v>
      </c>
      <c r="M132" s="58">
        <f ca="1">IFERROR(__xludf.DUMMYFUNCTION("""COMPUTED_VALUE"""),1929.85714285714)</f>
        <v>1929.8571428571399</v>
      </c>
      <c r="N132" s="57">
        <f ca="1">IFERROR(__xludf.DUMMYFUNCTION("""COMPUTED_VALUE"""),157.285714285714)</f>
        <v>157.28571428571399</v>
      </c>
      <c r="O132" s="57">
        <f ca="1">IFERROR(__xludf.DUMMYFUNCTION("""COMPUTED_VALUE"""),5053.28571428571)</f>
        <v>5053.2857142857101</v>
      </c>
      <c r="P132">
        <f ca="1">IFERROR(__xludf.DUMMYFUNCTION("""COMPUTED_VALUE"""),154511)</f>
        <v>154511</v>
      </c>
      <c r="Q132" s="58">
        <f ca="1">IFERROR(__xludf.DUMMYFUNCTION("""COMPUTED_VALUE"""),8193.85714285714)</f>
        <v>8193.8571428571395</v>
      </c>
      <c r="R132" s="13">
        <f ca="1">IFERROR(__xludf.DUMMYFUNCTION("""COMPUTED_VALUE"""),0.00775714285714285)</f>
        <v>7.7571428571428496E-3</v>
      </c>
      <c r="S132" s="13">
        <f ca="1">IFERROR(__xludf.DUMMYFUNCTION("""COMPUTED_VALUE"""),0.179557501383428)</f>
        <v>0.17955750138342799</v>
      </c>
      <c r="T132" s="13">
        <f ca="1">IFERROR(__xludf.DUMMYFUNCTION("""COMPUTED_VALUE"""),0.015786982033)</f>
        <v>1.5786982033E-2</v>
      </c>
      <c r="U132" s="13">
        <f ca="1">IFERROR(__xludf.DUMMYFUNCTION("""COMPUTED_VALUE"""),0.208571436696827)</f>
        <v>0.20857143669682701</v>
      </c>
      <c r="V132">
        <f ca="1">IFERROR(__xludf.DUMMYFUNCTION("""COMPUTED_VALUE"""),128)</f>
        <v>128</v>
      </c>
      <c r="W132">
        <f ca="1">IFERROR(__xludf.DUMMYFUNCTION("""COMPUTED_VALUE"""),7667)</f>
        <v>7667</v>
      </c>
      <c r="X132">
        <f ca="1">IFERROR(__xludf.DUMMYFUNCTION("""COMPUTED_VALUE"""),442)</f>
        <v>442</v>
      </c>
      <c r="Y132">
        <f ca="1">IFERROR(__xludf.DUMMYFUNCTION("""COMPUTED_VALUE"""),5856)</f>
        <v>5856</v>
      </c>
      <c r="Z132">
        <f ca="1">IFERROR(__xludf.DUMMYFUNCTION("""COMPUTED_VALUE"""),5)</f>
        <v>5</v>
      </c>
      <c r="AA132">
        <f ca="1">IFERROR(__xludf.DUMMYFUNCTION("""COMPUTED_VALUE"""),605)</f>
        <v>605</v>
      </c>
      <c r="AB132">
        <f ca="1">IFERROR(__xludf.DUMMYFUNCTION("""COMPUTED_VALUE"""),51)</f>
        <v>51</v>
      </c>
      <c r="AC132">
        <f ca="1">IFERROR(__xludf.DUMMYFUNCTION("""COMPUTED_VALUE"""),519)</f>
        <v>519</v>
      </c>
    </row>
    <row r="133" spans="1:36" ht="13">
      <c r="A133">
        <f t="shared" ca="1" si="0"/>
        <v>132</v>
      </c>
      <c r="B133" s="62">
        <f ca="1">IFERROR(__xludf.DUMMYFUNCTION("""COMPUTED_VALUE"""),0.857142857142857)</f>
        <v>0.85714285714285698</v>
      </c>
      <c r="C133" s="62">
        <f ca="1">IFERROR(__xludf.DUMMYFUNCTION("""COMPUTED_VALUE"""),159.571428571428)</f>
        <v>159.57142857142799</v>
      </c>
      <c r="D133" s="62">
        <f ca="1">IFERROR(__xludf.DUMMYFUNCTION("""COMPUTED_VALUE"""),8.28571428571428)</f>
        <v>8.2857142857142794</v>
      </c>
      <c r="E133" s="62">
        <f ca="1">IFERROR(__xludf.DUMMYFUNCTION("""COMPUTED_VALUE"""),4199.42857142857)</f>
        <v>4199.4285714285697</v>
      </c>
      <c r="F133" s="21">
        <f ca="1">IFERROR(__xludf.DUMMYFUNCTION("""COMPUTED_VALUE"""),579)</f>
        <v>579</v>
      </c>
      <c r="G133" s="21">
        <f ca="1">IFERROR(__xludf.DUMMYFUNCTION("""COMPUTED_VALUE"""),195411)</f>
        <v>195411</v>
      </c>
      <c r="H133" s="63">
        <f ca="1">IFERROR(__xludf.DUMMYFUNCTION("""COMPUTED_VALUE"""),30.4285714285714)</f>
        <v>30.428571428571399</v>
      </c>
      <c r="I133" s="63">
        <f ca="1">IFERROR(__xludf.DUMMYFUNCTION("""COMPUTED_VALUE"""),1119.14285714285)</f>
        <v>1119.1428571428501</v>
      </c>
      <c r="R133" s="13">
        <f ca="1">IFERROR(__xludf.DUMMYFUNCTION("""COMPUTED_VALUE"""),0.00764285714285714)</f>
        <v>7.6428571428571396E-3</v>
      </c>
      <c r="S133" s="13">
        <f ca="1">IFERROR(__xludf.DUMMYFUNCTION("""COMPUTED_VALUE"""),0.171086782255112)</f>
        <v>0.17108678225511201</v>
      </c>
      <c r="V133">
        <f ca="1">IFERROR(__xludf.DUMMYFUNCTION("""COMPUTED_VALUE"""),127)</f>
        <v>127</v>
      </c>
      <c r="W133">
        <f ca="1">IFERROR(__xludf.DUMMYFUNCTION("""COMPUTED_VALUE"""),7845)</f>
        <v>7845</v>
      </c>
      <c r="Z133">
        <f ca="1">IFERROR(__xludf.DUMMYFUNCTION("""COMPUTED_VALUE"""),5)</f>
        <v>5</v>
      </c>
      <c r="AA133">
        <f ca="1">IFERROR(__xludf.DUMMYFUNCTION("""COMPUTED_VALUE"""),597)</f>
        <v>597</v>
      </c>
    </row>
    <row r="134" spans="1:36" ht="13">
      <c r="A134">
        <f t="shared" ca="1" si="0"/>
        <v>133</v>
      </c>
      <c r="B134" s="62">
        <f ca="1">IFERROR(__xludf.DUMMYFUNCTION("""COMPUTED_VALUE"""),0.857142857142857)</f>
        <v>0.85714285714285698</v>
      </c>
      <c r="C134" s="62">
        <f ca="1">IFERROR(__xludf.DUMMYFUNCTION("""COMPUTED_VALUE"""),157.285714285714)</f>
        <v>157.28571428571399</v>
      </c>
      <c r="D134" s="62">
        <f ca="1">IFERROR(__xludf.DUMMYFUNCTION("""COMPUTED_VALUE"""),7.57142857142857)</f>
        <v>7.5714285714285703</v>
      </c>
      <c r="E134" s="62">
        <f ca="1">IFERROR(__xludf.DUMMYFUNCTION("""COMPUTED_VALUE"""),4139.85714285714)</f>
        <v>4139.8571428571404</v>
      </c>
      <c r="F134" s="21">
        <f ca="1">IFERROR(__xludf.DUMMYFUNCTION("""COMPUTED_VALUE"""),557)</f>
        <v>557</v>
      </c>
      <c r="G134" s="21">
        <f ca="1">IFERROR(__xludf.DUMMYFUNCTION("""COMPUTED_VALUE"""),197246)</f>
        <v>197246</v>
      </c>
      <c r="H134" s="63">
        <f ca="1">IFERROR(__xludf.DUMMYFUNCTION("""COMPUTED_VALUE"""),33.1428571428571)</f>
        <v>33.142857142857103</v>
      </c>
      <c r="I134" s="63">
        <f ca="1">IFERROR(__xludf.DUMMYFUNCTION("""COMPUTED_VALUE"""),1095.71428571428)</f>
        <v>1095.7142857142801</v>
      </c>
      <c r="R134" s="13">
        <f ca="1">IFERROR(__xludf.DUMMYFUNCTION("""COMPUTED_VALUE"""),0.00707142857142857)</f>
        <v>7.0714285714285697E-3</v>
      </c>
      <c r="S134" s="13">
        <f ca="1">IFERROR(__xludf.DUMMYFUNCTION("""COMPUTED_VALUE"""),0.186775382486288)</f>
        <v>0.186775382486288</v>
      </c>
      <c r="V134">
        <f ca="1">IFERROR(__xludf.DUMMYFUNCTION("""COMPUTED_VALUE"""),131)</f>
        <v>131</v>
      </c>
      <c r="W134">
        <f ca="1">IFERROR(__xludf.DUMMYFUNCTION("""COMPUTED_VALUE"""),7639)</f>
        <v>7639</v>
      </c>
      <c r="Z134">
        <f ca="1">IFERROR(__xludf.DUMMYFUNCTION("""COMPUTED_VALUE"""),5)</f>
        <v>5</v>
      </c>
      <c r="AA134">
        <f ca="1">IFERROR(__xludf.DUMMYFUNCTION("""COMPUTED_VALUE"""),574)</f>
        <v>574</v>
      </c>
    </row>
    <row r="135" spans="1:36" ht="13">
      <c r="A135">
        <f t="shared" ca="1" si="0"/>
        <v>134</v>
      </c>
      <c r="B135" s="62">
        <f ca="1">IFERROR(__xludf.DUMMYFUNCTION("""COMPUTED_VALUE"""),0.857142857142857)</f>
        <v>0.85714285714285698</v>
      </c>
      <c r="C135" s="62">
        <f ca="1">IFERROR(__xludf.DUMMYFUNCTION("""COMPUTED_VALUE"""),155.285714285714)</f>
        <v>155.28571428571399</v>
      </c>
      <c r="D135" s="62">
        <f ca="1">IFERROR(__xludf.DUMMYFUNCTION("""COMPUTED_VALUE"""),7.57142857142857)</f>
        <v>7.5714285714285703</v>
      </c>
      <c r="E135" s="62">
        <f ca="1">IFERROR(__xludf.DUMMYFUNCTION("""COMPUTED_VALUE"""),3792.28571428571)</f>
        <v>3792.2857142857101</v>
      </c>
      <c r="F135" s="21">
        <f ca="1">IFERROR(__xludf.DUMMYFUNCTION("""COMPUTED_VALUE"""),541)</f>
        <v>541</v>
      </c>
      <c r="G135" s="21">
        <f ca="1">IFERROR(__xludf.DUMMYFUNCTION("""COMPUTED_VALUE"""),197057)</f>
        <v>197057</v>
      </c>
      <c r="H135" s="63">
        <f ca="1">IFERROR(__xludf.DUMMYFUNCTION("""COMPUTED_VALUE"""),34.5714285714285)</f>
        <v>34.571428571428498</v>
      </c>
      <c r="I135" s="63">
        <f ca="1">IFERROR(__xludf.DUMMYFUNCTION("""COMPUTED_VALUE"""),1370.28571428571)</f>
        <v>1370.2857142857099</v>
      </c>
      <c r="J135" s="57">
        <f ca="1">IFERROR(__xludf.DUMMYFUNCTION("""COMPUTED_VALUE"""),8.42857142857142)</f>
        <v>8.4285714285714199</v>
      </c>
      <c r="K135" s="57">
        <f ca="1">IFERROR(__xludf.DUMMYFUNCTION("""COMPUTED_VALUE"""),136.571428571428)</f>
        <v>136.57142857142799</v>
      </c>
      <c r="L135">
        <f ca="1">IFERROR(__xludf.DUMMYFUNCTION("""COMPUTED_VALUE"""),46532)</f>
        <v>46532</v>
      </c>
      <c r="M135" s="58">
        <f ca="1">IFERROR(__xludf.DUMMYFUNCTION("""COMPUTED_VALUE"""),1904.85714285714)</f>
        <v>1904.8571428571399</v>
      </c>
      <c r="N135" s="57">
        <f ca="1">IFERROR(__xludf.DUMMYFUNCTION("""COMPUTED_VALUE"""),144.571428571428)</f>
        <v>144.57142857142799</v>
      </c>
      <c r="O135" s="57">
        <f ca="1">IFERROR(__xludf.DUMMYFUNCTION("""COMPUTED_VALUE"""),4208.71428571428)</f>
        <v>4208.7142857142799</v>
      </c>
      <c r="P135">
        <f ca="1">IFERROR(__xludf.DUMMYFUNCTION("""COMPUTED_VALUE"""),141871)</f>
        <v>141871</v>
      </c>
      <c r="Q135" s="58">
        <f ca="1">IFERROR(__xludf.DUMMYFUNCTION("""COMPUTED_VALUE"""),8142)</f>
        <v>8142</v>
      </c>
      <c r="R135" s="13">
        <f ca="1">IFERROR(__xludf.DUMMYFUNCTION("""COMPUTED_VALUE"""),0.00691428571428571)</f>
        <v>6.9142857142857096E-3</v>
      </c>
      <c r="S135" s="13">
        <f ca="1">IFERROR(__xludf.DUMMYFUNCTION("""COMPUTED_VALUE"""),0.183596222271651)</f>
        <v>0.18359622227165101</v>
      </c>
      <c r="T135" s="13">
        <f ca="1">IFERROR(__xludf.DUMMYFUNCTION("""COMPUTED_VALUE"""),0.0145421322146171)</f>
        <v>1.4542132214617099E-2</v>
      </c>
      <c r="U135" s="13">
        <f ca="1">IFERROR(__xludf.DUMMYFUNCTION("""COMPUTED_VALUE"""),0.201254728995)</f>
        <v>0.20125472899499999</v>
      </c>
      <c r="V135">
        <f ca="1">IFERROR(__xludf.DUMMYFUNCTION("""COMPUTED_VALUE"""),125)</f>
        <v>125</v>
      </c>
      <c r="W135">
        <f ca="1">IFERROR(__xludf.DUMMYFUNCTION("""COMPUTED_VALUE"""),7522)</f>
        <v>7522</v>
      </c>
      <c r="X135">
        <f ca="1">IFERROR(__xludf.DUMMYFUNCTION("""COMPUTED_VALUE"""),406)</f>
        <v>406</v>
      </c>
      <c r="Y135">
        <f ca="1">IFERROR(__xludf.DUMMYFUNCTION("""COMPUTED_VALUE"""),5537)</f>
        <v>5537</v>
      </c>
      <c r="Z135">
        <f ca="1">IFERROR(__xludf.DUMMYFUNCTION("""COMPUTED_VALUE"""),5)</f>
        <v>5</v>
      </c>
      <c r="AA135">
        <f ca="1">IFERROR(__xludf.DUMMYFUNCTION("""COMPUTED_VALUE"""),573)</f>
        <v>573</v>
      </c>
      <c r="AB135">
        <f ca="1">IFERROR(__xludf.DUMMYFUNCTION("""COMPUTED_VALUE"""),47)</f>
        <v>47</v>
      </c>
      <c r="AC135">
        <f ca="1">IFERROR(__xludf.DUMMYFUNCTION("""COMPUTED_VALUE"""),503)</f>
        <v>503</v>
      </c>
      <c r="AD135" s="57">
        <f ca="1">IFERROR(__xludf.DUMMYFUNCTION("""COMPUTED_VALUE"""),14.7142857142857)</f>
        <v>14.714285714285699</v>
      </c>
      <c r="AE135" s="57">
        <f ca="1">IFERROR(__xludf.DUMMYFUNCTION("""COMPUTED_VALUE"""),678.428571428571)</f>
        <v>678.42857142857099</v>
      </c>
      <c r="AF135">
        <f ca="1">IFERROR(__xludf.DUMMYFUNCTION("""COMPUTED_VALUE"""),37448)</f>
        <v>37448</v>
      </c>
      <c r="AG135" s="58">
        <f ca="1">IFERROR(__xludf.DUMMYFUNCTION("""COMPUTED_VALUE"""),1338.28571428571)</f>
        <v>1338.2857142857099</v>
      </c>
      <c r="AH135" s="13">
        <f ca="1">IFERROR(__xludf.DUMMYFUNCTION("""COMPUTED_VALUE"""),0)</f>
        <v>0</v>
      </c>
      <c r="AI135">
        <f ca="1">IFERROR(__xludf.DUMMYFUNCTION("""COMPUTED_VALUE"""),742)</f>
        <v>742</v>
      </c>
      <c r="AJ135">
        <f ca="1">IFERROR(__xludf.DUMMYFUNCTION("""COMPUTED_VALUE"""),21)</f>
        <v>21</v>
      </c>
    </row>
    <row r="136" spans="1:36" ht="13">
      <c r="A136">
        <f t="shared" ca="1" si="0"/>
        <v>135</v>
      </c>
      <c r="B136" s="62">
        <f ca="1">IFERROR(__xludf.DUMMYFUNCTION("""COMPUTED_VALUE"""),0.571428571428571)</f>
        <v>0.57142857142857095</v>
      </c>
      <c r="C136" s="62">
        <f ca="1">IFERROR(__xludf.DUMMYFUNCTION("""COMPUTED_VALUE"""),157.571428571428)</f>
        <v>157.57142857142799</v>
      </c>
      <c r="D136" s="62">
        <f ca="1">IFERROR(__xludf.DUMMYFUNCTION("""COMPUTED_VALUE"""),8.42857142857142)</f>
        <v>8.4285714285714199</v>
      </c>
      <c r="E136" s="62">
        <f ca="1">IFERROR(__xludf.DUMMYFUNCTION("""COMPUTED_VALUE"""),3539.57142857142)</f>
        <v>3539.5714285714198</v>
      </c>
      <c r="F136" s="21">
        <f ca="1">IFERROR(__xludf.DUMMYFUNCTION("""COMPUTED_VALUE"""),528)</f>
        <v>528</v>
      </c>
      <c r="G136" s="21">
        <f ca="1">IFERROR(__xludf.DUMMYFUNCTION("""COMPUTED_VALUE"""),198438)</f>
        <v>198438</v>
      </c>
      <c r="H136" s="63">
        <f ca="1">IFERROR(__xludf.DUMMYFUNCTION("""COMPUTED_VALUE"""),38.4285714285714)</f>
        <v>38.428571428571402</v>
      </c>
      <c r="I136" s="63">
        <f ca="1">IFERROR(__xludf.DUMMYFUNCTION("""COMPUTED_VALUE"""),1587.71428571428)</f>
        <v>1587.7142857142801</v>
      </c>
      <c r="J136" s="57">
        <f ca="1">IFERROR(__xludf.DUMMYFUNCTION("""COMPUTED_VALUE"""),7.42857142857142)</f>
        <v>7.4285714285714199</v>
      </c>
      <c r="K136" s="57">
        <f ca="1">IFERROR(__xludf.DUMMYFUNCTION("""COMPUTED_VALUE"""),128)</f>
        <v>128</v>
      </c>
      <c r="L136">
        <f ca="1">IFERROR(__xludf.DUMMYFUNCTION("""COMPUTED_VALUE"""),45541)</f>
        <v>45541</v>
      </c>
      <c r="M136" s="58">
        <f ca="1">IFERROR(__xludf.DUMMYFUNCTION("""COMPUTED_VALUE"""),1864.14285714285)</f>
        <v>1864.1428571428501</v>
      </c>
      <c r="N136" s="57">
        <f ca="1">IFERROR(__xludf.DUMMYFUNCTION("""COMPUTED_VALUE"""),135.571428571428)</f>
        <v>135.57142857142799</v>
      </c>
      <c r="O136" s="57">
        <f ca="1">IFERROR(__xludf.DUMMYFUNCTION("""COMPUTED_VALUE"""),3981.57142857142)</f>
        <v>3981.5714285714198</v>
      </c>
      <c r="P136">
        <f ca="1">IFERROR(__xludf.DUMMYFUNCTION("""COMPUTED_VALUE"""),138069)</f>
        <v>138069</v>
      </c>
      <c r="Q136" s="58">
        <f ca="1">IFERROR(__xludf.DUMMYFUNCTION("""COMPUTED_VALUE"""),8253)</f>
        <v>8253</v>
      </c>
      <c r="R136" s="13">
        <f ca="1">IFERROR(__xludf.DUMMYFUNCTION("""COMPUTED_VALUE"""),0.00692857142857142)</f>
        <v>6.9285714285714202E-3</v>
      </c>
      <c r="S136" s="13">
        <f ca="1">IFERROR(__xludf.DUMMYFUNCTION("""COMPUTED_VALUE"""),0.17237197757397)</f>
        <v>0.17237197757396999</v>
      </c>
      <c r="T136" s="13">
        <f ca="1">IFERROR(__xludf.DUMMYFUNCTION("""COMPUTED_VALUE"""),0.0129136419481633)</f>
        <v>1.29136419481633E-2</v>
      </c>
      <c r="U136" s="13">
        <f ca="1">IFERROR(__xludf.DUMMYFUNCTION("""COMPUTED_VALUE"""),0.207158093225921)</f>
        <v>0.20715809322592099</v>
      </c>
      <c r="V136">
        <f ca="1">IFERROR(__xludf.DUMMYFUNCTION("""COMPUTED_VALUE"""),109)</f>
        <v>109</v>
      </c>
      <c r="W136">
        <f ca="1">IFERROR(__xludf.DUMMYFUNCTION("""COMPUTED_VALUE"""),7335)</f>
        <v>7335</v>
      </c>
      <c r="X136">
        <f ca="1">IFERROR(__xludf.DUMMYFUNCTION("""COMPUTED_VALUE"""),391)</f>
        <v>391</v>
      </c>
      <c r="Y136">
        <f ca="1">IFERROR(__xludf.DUMMYFUNCTION("""COMPUTED_VALUE"""),5527)</f>
        <v>5527</v>
      </c>
      <c r="Z136">
        <f ca="1">IFERROR(__xludf.DUMMYFUNCTION("""COMPUTED_VALUE"""),5)</f>
        <v>5</v>
      </c>
      <c r="AA136">
        <f ca="1">IFERROR(__xludf.DUMMYFUNCTION("""COMPUTED_VALUE"""),564)</f>
        <v>564</v>
      </c>
      <c r="AB136">
        <f ca="1">IFERROR(__xludf.DUMMYFUNCTION("""COMPUTED_VALUE"""),44)</f>
        <v>44</v>
      </c>
      <c r="AC136">
        <f ca="1">IFERROR(__xludf.DUMMYFUNCTION("""COMPUTED_VALUE"""),501)</f>
        <v>501</v>
      </c>
    </row>
    <row r="137" spans="1:36" ht="13">
      <c r="A137">
        <f t="shared" ca="1" si="0"/>
        <v>136</v>
      </c>
      <c r="B137" s="62">
        <f ca="1">IFERROR(__xludf.DUMMYFUNCTION("""COMPUTED_VALUE"""),0.285714285714285)</f>
        <v>0.28571428571428498</v>
      </c>
      <c r="C137" s="62">
        <f ca="1">IFERROR(__xludf.DUMMYFUNCTION("""COMPUTED_VALUE"""),161.428571428571)</f>
        <v>161.42857142857099</v>
      </c>
      <c r="D137" s="62">
        <f ca="1">IFERROR(__xludf.DUMMYFUNCTION("""COMPUTED_VALUE"""),10)</f>
        <v>10</v>
      </c>
      <c r="E137" s="62">
        <f ca="1">IFERROR(__xludf.DUMMYFUNCTION("""COMPUTED_VALUE"""),3396.42857142857)</f>
        <v>3396.4285714285702</v>
      </c>
      <c r="F137" s="21">
        <f ca="1">IFERROR(__xludf.DUMMYFUNCTION("""COMPUTED_VALUE"""),478)</f>
        <v>478</v>
      </c>
      <c r="G137" s="21">
        <f ca="1">IFERROR(__xludf.DUMMYFUNCTION("""COMPUTED_VALUE"""),198785)</f>
        <v>198785</v>
      </c>
      <c r="H137" s="63">
        <f ca="1">IFERROR(__xludf.DUMMYFUNCTION("""COMPUTED_VALUE"""),39.8571428571428)</f>
        <v>39.857142857142797</v>
      </c>
      <c r="I137" s="63">
        <f ca="1">IFERROR(__xludf.DUMMYFUNCTION("""COMPUTED_VALUE"""),1936.28571428571)</f>
        <v>1936.2857142857099</v>
      </c>
      <c r="J137" s="57">
        <f ca="1">IFERROR(__xludf.DUMMYFUNCTION("""COMPUTED_VALUE"""),7.85714285714285)</f>
        <v>7.8571428571428497</v>
      </c>
      <c r="K137" s="57">
        <f ca="1">IFERROR(__xludf.DUMMYFUNCTION("""COMPUTED_VALUE"""),117.714285714285)</f>
        <v>117.714285714285</v>
      </c>
      <c r="L137">
        <f ca="1">IFERROR(__xludf.DUMMYFUNCTION("""COMPUTED_VALUE"""),44364)</f>
        <v>44364</v>
      </c>
      <c r="M137" s="58">
        <f ca="1">IFERROR(__xludf.DUMMYFUNCTION("""COMPUTED_VALUE"""),1785.85714285714)</f>
        <v>1785.8571428571399</v>
      </c>
      <c r="N137" s="57">
        <f ca="1">IFERROR(__xludf.DUMMYFUNCTION("""COMPUTED_VALUE"""),133.571428571428)</f>
        <v>133.57142857142799</v>
      </c>
      <c r="O137" s="57">
        <f ca="1">IFERROR(__xludf.DUMMYFUNCTION("""COMPUTED_VALUE"""),3674.85714285714)</f>
        <v>3674.8571428571399</v>
      </c>
      <c r="P137">
        <f ca="1">IFERROR(__xludf.DUMMYFUNCTION("""COMPUTED_VALUE"""),135217)</f>
        <v>135217</v>
      </c>
      <c r="Q137" s="58">
        <f ca="1">IFERROR(__xludf.DUMMYFUNCTION("""COMPUTED_VALUE"""),7824.85714285714)</f>
        <v>7824.8571428571404</v>
      </c>
      <c r="R137" s="13">
        <f ca="1">IFERROR(__xludf.DUMMYFUNCTION("""COMPUTED_VALUE"""),0.0077)</f>
        <v>7.7000000000000002E-3</v>
      </c>
      <c r="S137" s="13">
        <f ca="1">IFERROR(__xludf.DUMMYFUNCTION("""COMPUTED_VALUE"""),0.172569819911275)</f>
        <v>0.17256981991127501</v>
      </c>
      <c r="T137" s="13">
        <f ca="1">IFERROR(__xludf.DUMMYFUNCTION("""COMPUTED_VALUE"""),0.0119061147383169)</f>
        <v>1.19061147383169E-2</v>
      </c>
      <c r="U137" s="13">
        <f ca="1">IFERROR(__xludf.DUMMYFUNCTION("""COMPUTED_VALUE"""),0.199173733044968)</f>
        <v>0.19917373304496799</v>
      </c>
      <c r="V137">
        <f ca="1">IFERROR(__xludf.DUMMYFUNCTION("""COMPUTED_VALUE"""),83)</f>
        <v>83</v>
      </c>
      <c r="W137">
        <f ca="1">IFERROR(__xludf.DUMMYFUNCTION("""COMPUTED_VALUE"""),7295)</f>
        <v>7295</v>
      </c>
      <c r="X137">
        <f ca="1">IFERROR(__xludf.DUMMYFUNCTION("""COMPUTED_VALUE"""),349)</f>
        <v>349</v>
      </c>
      <c r="Y137">
        <f ca="1">IFERROR(__xludf.DUMMYFUNCTION("""COMPUTED_VALUE"""),5159)</f>
        <v>5159</v>
      </c>
      <c r="Z137">
        <f ca="1">IFERROR(__xludf.DUMMYFUNCTION("""COMPUTED_VALUE"""),4)</f>
        <v>4</v>
      </c>
      <c r="AA137">
        <f ca="1">IFERROR(__xludf.DUMMYFUNCTION("""COMPUTED_VALUE"""),538)</f>
        <v>538</v>
      </c>
      <c r="AB137">
        <f ca="1">IFERROR(__xludf.DUMMYFUNCTION("""COMPUTED_VALUE"""),53)</f>
        <v>53</v>
      </c>
      <c r="AC137">
        <f ca="1">IFERROR(__xludf.DUMMYFUNCTION("""COMPUTED_VALUE"""),464)</f>
        <v>464</v>
      </c>
    </row>
    <row r="138" spans="1:36" ht="13">
      <c r="A138">
        <f t="shared" ca="1" si="0"/>
        <v>137</v>
      </c>
      <c r="B138" s="62">
        <f ca="1">IFERROR(__xludf.DUMMYFUNCTION("""COMPUTED_VALUE"""),0.142857142857142)</f>
        <v>0.14285714285714199</v>
      </c>
      <c r="C138" s="62">
        <f ca="1">IFERROR(__xludf.DUMMYFUNCTION("""COMPUTED_VALUE"""),162)</f>
        <v>162</v>
      </c>
      <c r="D138" s="62">
        <f ca="1">IFERROR(__xludf.DUMMYFUNCTION("""COMPUTED_VALUE"""),12.2857142857142)</f>
        <v>12.285714285714199</v>
      </c>
      <c r="E138" s="62">
        <f ca="1">IFERROR(__xludf.DUMMYFUNCTION("""COMPUTED_VALUE"""),3227)</f>
        <v>3227</v>
      </c>
      <c r="F138" s="21">
        <f ca="1">IFERROR(__xludf.DUMMYFUNCTION("""COMPUTED_VALUE"""),497)</f>
        <v>497</v>
      </c>
      <c r="G138" s="21">
        <f ca="1">IFERROR(__xludf.DUMMYFUNCTION("""COMPUTED_VALUE"""),197447)</f>
        <v>197447</v>
      </c>
      <c r="H138" s="63">
        <f ca="1">IFERROR(__xludf.DUMMYFUNCTION("""COMPUTED_VALUE"""),35.4285714285714)</f>
        <v>35.428571428571402</v>
      </c>
      <c r="I138" s="63">
        <f ca="1">IFERROR(__xludf.DUMMYFUNCTION("""COMPUTED_VALUE"""),2384.42857142857)</f>
        <v>2384.4285714285702</v>
      </c>
      <c r="J138" s="57">
        <f ca="1">IFERROR(__xludf.DUMMYFUNCTION("""COMPUTED_VALUE"""),7.42857142857142)</f>
        <v>7.4285714285714199</v>
      </c>
      <c r="K138" s="57">
        <f ca="1">IFERROR(__xludf.DUMMYFUNCTION("""COMPUTED_VALUE"""),104.428571428571)</f>
        <v>104.428571428571</v>
      </c>
      <c r="L138">
        <f ca="1">IFERROR(__xludf.DUMMYFUNCTION("""COMPUTED_VALUE"""),43467)</f>
        <v>43467</v>
      </c>
      <c r="M138" s="58">
        <f ca="1">IFERROR(__xludf.DUMMYFUNCTION("""COMPUTED_VALUE"""),1658.71428571428)</f>
        <v>1658.7142857142801</v>
      </c>
      <c r="N138" s="57">
        <f ca="1">IFERROR(__xludf.DUMMYFUNCTION("""COMPUTED_VALUE"""),133)</f>
        <v>133</v>
      </c>
      <c r="O138" s="57">
        <f ca="1">IFERROR(__xludf.DUMMYFUNCTION("""COMPUTED_VALUE"""),3430.28571428571)</f>
        <v>3430.2857142857101</v>
      </c>
      <c r="P138">
        <f ca="1">IFERROR(__xludf.DUMMYFUNCTION("""COMPUTED_VALUE"""),127251)</f>
        <v>127251</v>
      </c>
      <c r="Q138" s="58">
        <f ca="1">IFERROR(__xludf.DUMMYFUNCTION("""COMPUTED_VALUE"""),7954.71428571428)</f>
        <v>7954.7142857142799</v>
      </c>
      <c r="R138" s="13">
        <f ca="1">IFERROR(__xludf.DUMMYFUNCTION("""COMPUTED_VALUE"""),0.00828571428571428)</f>
        <v>8.2857142857142799E-3</v>
      </c>
      <c r="S138" s="13">
        <f ca="1">IFERROR(__xludf.DUMMYFUNCTION("""COMPUTED_VALUE"""),0.166699579582155)</f>
        <v>0.16669957958215501</v>
      </c>
      <c r="T138" s="13">
        <f ca="1">IFERROR(__xludf.DUMMYFUNCTION("""COMPUTED_VALUE"""),0.0107012935447602)</f>
        <v>1.0701293544760199E-2</v>
      </c>
      <c r="U138" s="13">
        <f ca="1">IFERROR(__xludf.DUMMYFUNCTION("""COMPUTED_VALUE"""),0.196693993703169)</f>
        <v>0.19669399370316901</v>
      </c>
      <c r="V138">
        <f ca="1">IFERROR(__xludf.DUMMYFUNCTION("""COMPUTED_VALUE"""),83)</f>
        <v>83</v>
      </c>
      <c r="W138">
        <f ca="1">IFERROR(__xludf.DUMMYFUNCTION("""COMPUTED_VALUE"""),7022)</f>
        <v>7022</v>
      </c>
      <c r="X138">
        <f ca="1">IFERROR(__xludf.DUMMYFUNCTION("""COMPUTED_VALUE"""),320)</f>
        <v>320</v>
      </c>
      <c r="Y138">
        <f ca="1">IFERROR(__xludf.DUMMYFUNCTION("""COMPUTED_VALUE"""),4827)</f>
        <v>4827</v>
      </c>
      <c r="Z138">
        <f ca="1">IFERROR(__xludf.DUMMYFUNCTION("""COMPUTED_VALUE"""),3)</f>
        <v>3</v>
      </c>
      <c r="AA138">
        <f ca="1">IFERROR(__xludf.DUMMYFUNCTION("""COMPUTED_VALUE"""),520)</f>
        <v>520</v>
      </c>
      <c r="AB138">
        <f ca="1">IFERROR(__xludf.DUMMYFUNCTION("""COMPUTED_VALUE"""),45)</f>
        <v>45</v>
      </c>
      <c r="AC138">
        <f ca="1">IFERROR(__xludf.DUMMYFUNCTION("""COMPUTED_VALUE"""),454)</f>
        <v>454</v>
      </c>
    </row>
    <row r="139" spans="1:36" ht="13">
      <c r="A139">
        <f t="shared" ca="1" si="0"/>
        <v>138</v>
      </c>
      <c r="B139" s="62">
        <f ca="1">IFERROR(__xludf.DUMMYFUNCTION("""COMPUTED_VALUE"""),0.142857142857142)</f>
        <v>0.14285714285714199</v>
      </c>
      <c r="C139" s="62">
        <f ca="1">IFERROR(__xludf.DUMMYFUNCTION("""COMPUTED_VALUE"""),164.571428571428)</f>
        <v>164.57142857142799</v>
      </c>
      <c r="D139" s="62">
        <f ca="1">IFERROR(__xludf.DUMMYFUNCTION("""COMPUTED_VALUE"""),14.1428571428571)</f>
        <v>14.1428571428571</v>
      </c>
      <c r="E139" s="62">
        <f ca="1">IFERROR(__xludf.DUMMYFUNCTION("""COMPUTED_VALUE"""),3037.14285714285)</f>
        <v>3037.1428571428501</v>
      </c>
      <c r="F139" s="21">
        <f ca="1">IFERROR(__xludf.DUMMYFUNCTION("""COMPUTED_VALUE"""),514)</f>
        <v>514</v>
      </c>
      <c r="G139" s="21">
        <f ca="1">IFERROR(__xludf.DUMMYFUNCTION("""COMPUTED_VALUE"""),193886)</f>
        <v>193886</v>
      </c>
      <c r="H139" s="63">
        <f ca="1">IFERROR(__xludf.DUMMYFUNCTION("""COMPUTED_VALUE"""),26.7142857142857)</f>
        <v>26.714285714285701</v>
      </c>
      <c r="I139" s="63">
        <f ca="1">IFERROR(__xludf.DUMMYFUNCTION("""COMPUTED_VALUE"""),2916.57142857142)</f>
        <v>2916.5714285714198</v>
      </c>
      <c r="J139" s="57">
        <f ca="1">IFERROR(__xludf.DUMMYFUNCTION("""COMPUTED_VALUE"""),6.57142857142857)</f>
        <v>6.5714285714285703</v>
      </c>
      <c r="K139" s="57">
        <f ca="1">IFERROR(__xludf.DUMMYFUNCTION("""COMPUTED_VALUE"""),91.1428571428571)</f>
        <v>91.142857142857096</v>
      </c>
      <c r="L139">
        <f ca="1">IFERROR(__xludf.DUMMYFUNCTION("""COMPUTED_VALUE"""),42851)</f>
        <v>42851</v>
      </c>
      <c r="M139" s="58">
        <f ca="1">IFERROR(__xludf.DUMMYFUNCTION("""COMPUTED_VALUE"""),1430.42857142857)</f>
        <v>1430.42857142857</v>
      </c>
      <c r="R139" s="13">
        <f ca="1">IFERROR(__xludf.DUMMYFUNCTION("""COMPUTED_VALUE"""),0.00864285714285714)</f>
        <v>8.6428571428571396E-3</v>
      </c>
      <c r="S139" s="13">
        <f ca="1">IFERROR(__xludf.DUMMYFUNCTION("""COMPUTED_VALUE"""),0.160736795282272)</f>
        <v>0.160736795282272</v>
      </c>
      <c r="T139" s="13">
        <f ca="1">IFERROR(__xludf.DUMMYFUNCTION("""COMPUTED_VALUE"""),0.00943237526086351)</f>
        <v>9.4323752608635094E-3</v>
      </c>
      <c r="V139">
        <f ca="1">IFERROR(__xludf.DUMMYFUNCTION("""COMPUTED_VALUE"""),82)</f>
        <v>82</v>
      </c>
      <c r="W139">
        <f ca="1">IFERROR(__xludf.DUMMYFUNCTION("""COMPUTED_VALUE"""),7097)</f>
        <v>7097</v>
      </c>
      <c r="X139">
        <f ca="1">IFERROR(__xludf.DUMMYFUNCTION("""COMPUTED_VALUE"""),289)</f>
        <v>289</v>
      </c>
      <c r="Z139">
        <f ca="1">IFERROR(__xludf.DUMMYFUNCTION("""COMPUTED_VALUE"""),3)</f>
        <v>3</v>
      </c>
      <c r="AA139">
        <f ca="1">IFERROR(__xludf.DUMMYFUNCTION("""COMPUTED_VALUE"""),517)</f>
        <v>517</v>
      </c>
      <c r="AB139">
        <f ca="1">IFERROR(__xludf.DUMMYFUNCTION("""COMPUTED_VALUE"""),43)</f>
        <v>43</v>
      </c>
    </row>
    <row r="140" spans="1:36" ht="13">
      <c r="A140">
        <f t="shared" ca="1" si="0"/>
        <v>139</v>
      </c>
      <c r="B140" s="62">
        <f ca="1">IFERROR(__xludf.DUMMYFUNCTION("""COMPUTED_VALUE"""),0.142857142857142)</f>
        <v>0.14285714285714199</v>
      </c>
      <c r="C140" s="62">
        <f ca="1">IFERROR(__xludf.DUMMYFUNCTION("""COMPUTED_VALUE"""),175)</f>
        <v>175</v>
      </c>
      <c r="D140" s="62">
        <f ca="1">IFERROR(__xludf.DUMMYFUNCTION("""COMPUTED_VALUE"""),13.1428571428571)</f>
        <v>13.1428571428571</v>
      </c>
      <c r="E140" s="62">
        <f ca="1">IFERROR(__xludf.DUMMYFUNCTION("""COMPUTED_VALUE"""),2943.57142857142)</f>
        <v>2943.5714285714198</v>
      </c>
      <c r="F140" s="21">
        <f ca="1">IFERROR(__xludf.DUMMYFUNCTION("""COMPUTED_VALUE"""),511)</f>
        <v>511</v>
      </c>
      <c r="G140" s="21">
        <f ca="1">IFERROR(__xludf.DUMMYFUNCTION("""COMPUTED_VALUE"""),189230)</f>
        <v>189230</v>
      </c>
      <c r="H140" s="63">
        <f ca="1">IFERROR(__xludf.DUMMYFUNCTION("""COMPUTED_VALUE"""),22.7142857142857)</f>
        <v>22.714285714285701</v>
      </c>
      <c r="I140" s="63">
        <f ca="1">IFERROR(__xludf.DUMMYFUNCTION("""COMPUTED_VALUE"""),3651.57142857142)</f>
        <v>3651.5714285714198</v>
      </c>
      <c r="R140" s="13">
        <f ca="1">IFERROR(__xludf.DUMMYFUNCTION("""COMPUTED_VALUE"""),0.0074)</f>
        <v>7.4000000000000003E-3</v>
      </c>
      <c r="S140" s="13">
        <f ca="1">IFERROR(__xludf.DUMMYFUNCTION("""COMPUTED_VALUE"""),0.158216279629084)</f>
        <v>0.15821627962908399</v>
      </c>
      <c r="V140">
        <f ca="1">IFERROR(__xludf.DUMMYFUNCTION("""COMPUTED_VALUE"""),83)</f>
        <v>83</v>
      </c>
      <c r="W140">
        <f ca="1">IFERROR(__xludf.DUMMYFUNCTION("""COMPUTED_VALUE"""),7124)</f>
        <v>7124</v>
      </c>
      <c r="Z140">
        <f ca="1">IFERROR(__xludf.DUMMYFUNCTION("""COMPUTED_VALUE"""),5)</f>
        <v>5</v>
      </c>
      <c r="AA140">
        <f ca="1">IFERROR(__xludf.DUMMYFUNCTION("""COMPUTED_VALUE"""),522)</f>
        <v>522</v>
      </c>
    </row>
    <row r="141" spans="1:36" ht="13">
      <c r="A141">
        <f t="shared" ca="1" si="0"/>
        <v>140</v>
      </c>
      <c r="B141" s="62">
        <f ca="1">IFERROR(__xludf.DUMMYFUNCTION("""COMPUTED_VALUE"""),0.142857142857142)</f>
        <v>0.14285714285714199</v>
      </c>
      <c r="C141" s="62">
        <f ca="1">IFERROR(__xludf.DUMMYFUNCTION("""COMPUTED_VALUE"""),176.428571428571)</f>
        <v>176.42857142857099</v>
      </c>
      <c r="D141" s="62">
        <f ca="1">IFERROR(__xludf.DUMMYFUNCTION("""COMPUTED_VALUE"""),12.7142857142857)</f>
        <v>12.714285714285699</v>
      </c>
      <c r="E141" s="62">
        <f ca="1">IFERROR(__xludf.DUMMYFUNCTION("""COMPUTED_VALUE"""),2813.57142857142)</f>
        <v>2813.5714285714198</v>
      </c>
      <c r="F141" s="21">
        <f ca="1">IFERROR(__xludf.DUMMYFUNCTION("""COMPUTED_VALUE"""),494)</f>
        <v>494</v>
      </c>
      <c r="G141" s="21">
        <f ca="1">IFERROR(__xludf.DUMMYFUNCTION("""COMPUTED_VALUE"""),185015)</f>
        <v>185015</v>
      </c>
      <c r="H141" s="63">
        <f ca="1">IFERROR(__xludf.DUMMYFUNCTION("""COMPUTED_VALUE"""),21.5714285714285)</f>
        <v>21.571428571428498</v>
      </c>
      <c r="I141" s="63">
        <f ca="1">IFERROR(__xludf.DUMMYFUNCTION("""COMPUTED_VALUE"""),4384.42857142857)</f>
        <v>4384.4285714285697</v>
      </c>
      <c r="R141" s="13">
        <f ca="1">IFERROR(__xludf.DUMMYFUNCTION("""COMPUTED_VALUE"""),0.00692857142857142)</f>
        <v>6.9285714285714202E-3</v>
      </c>
      <c r="S141" s="13">
        <f ca="1">IFERROR(__xludf.DUMMYFUNCTION("""COMPUTED_VALUE"""),0.139254837755913)</f>
        <v>0.13925483775591299</v>
      </c>
      <c r="V141">
        <f ca="1">IFERROR(__xludf.DUMMYFUNCTION("""COMPUTED_VALUE"""),78)</f>
        <v>78</v>
      </c>
      <c r="W141">
        <f ca="1">IFERROR(__xludf.DUMMYFUNCTION("""COMPUTED_VALUE"""),6727)</f>
        <v>6727</v>
      </c>
      <c r="Z141">
        <f ca="1">IFERROR(__xludf.DUMMYFUNCTION("""COMPUTED_VALUE"""),4)</f>
        <v>4</v>
      </c>
      <c r="AA141">
        <f ca="1">IFERROR(__xludf.DUMMYFUNCTION("""COMPUTED_VALUE"""),495)</f>
        <v>495</v>
      </c>
    </row>
    <row r="142" spans="1:36" ht="13">
      <c r="A142">
        <f t="shared" ca="1" si="0"/>
        <v>141</v>
      </c>
      <c r="B142" s="62">
        <f ca="1">IFERROR(__xludf.DUMMYFUNCTION("""COMPUTED_VALUE"""),0.142857142857142)</f>
        <v>0.14285714285714199</v>
      </c>
      <c r="C142" s="62">
        <f ca="1">IFERROR(__xludf.DUMMYFUNCTION("""COMPUTED_VALUE"""),170.142857142857)</f>
        <v>170.142857142857</v>
      </c>
      <c r="D142" s="62">
        <f ca="1">IFERROR(__xludf.DUMMYFUNCTION("""COMPUTED_VALUE"""),14.7142857142857)</f>
        <v>14.714285714285699</v>
      </c>
      <c r="E142" s="62">
        <f ca="1">IFERROR(__xludf.DUMMYFUNCTION("""COMPUTED_VALUE"""),2857.85714285714)</f>
        <v>2857.8571428571399</v>
      </c>
      <c r="F142" s="21">
        <f ca="1">IFERROR(__xludf.DUMMYFUNCTION("""COMPUTED_VALUE"""),487)</f>
        <v>487</v>
      </c>
      <c r="G142" s="21">
        <f ca="1">IFERROR(__xludf.DUMMYFUNCTION("""COMPUTED_VALUE"""),182296)</f>
        <v>182296</v>
      </c>
      <c r="H142" s="63">
        <f ca="1">IFERROR(__xludf.DUMMYFUNCTION("""COMPUTED_VALUE"""),22.2857142857142)</f>
        <v>22.285714285714199</v>
      </c>
      <c r="I142" s="63">
        <f ca="1">IFERROR(__xludf.DUMMYFUNCTION("""COMPUTED_VALUE"""),4796.42857142857)</f>
        <v>4796.4285714285697</v>
      </c>
      <c r="J142" s="57">
        <f ca="1">IFERROR(__xludf.DUMMYFUNCTION("""COMPUTED_VALUE"""),4.85714285714285)</f>
        <v>4.8571428571428497</v>
      </c>
      <c r="K142" s="57">
        <f ca="1">IFERROR(__xludf.DUMMYFUNCTION("""COMPUTED_VALUE"""),83.5714285714285)</f>
        <v>83.571428571428498</v>
      </c>
      <c r="L142">
        <f ca="1">IFERROR(__xludf.DUMMYFUNCTION("""COMPUTED_VALUE"""),42097)</f>
        <v>42097</v>
      </c>
      <c r="M142" s="58">
        <f ca="1">IFERROR(__xludf.DUMMYFUNCTION("""COMPUTED_VALUE"""),712.285714285714)</f>
        <v>712.28571428571399</v>
      </c>
      <c r="N142" s="57">
        <f ca="1">IFERROR(__xludf.DUMMYFUNCTION("""COMPUTED_VALUE"""),121)</f>
        <v>121</v>
      </c>
      <c r="O142" s="57">
        <f ca="1">IFERROR(__xludf.DUMMYFUNCTION("""COMPUTED_VALUE"""),2417)</f>
        <v>2417</v>
      </c>
      <c r="P142">
        <f ca="1">IFERROR(__xludf.DUMMYFUNCTION("""COMPUTED_VALUE"""),118633)</f>
        <v>118633</v>
      </c>
      <c r="R142" s="13">
        <f ca="1">IFERROR(__xludf.DUMMYFUNCTION("""COMPUTED_VALUE"""),0.00792857142857142)</f>
        <v>7.9285714285714202E-3</v>
      </c>
      <c r="S142" s="13">
        <f ca="1">IFERROR(__xludf.DUMMYFUNCTION("""COMPUTED_VALUE"""),0.134014183686177)</f>
        <v>0.13401418368617701</v>
      </c>
      <c r="T142" s="13">
        <f ca="1">IFERROR(__xludf.DUMMYFUNCTION("""COMPUTED_VALUE"""),0.00924717825101602)</f>
        <v>9.2471782510160205E-3</v>
      </c>
      <c r="U142" s="13">
        <f ca="1">IFERROR(__xludf.DUMMYFUNCTION("""COMPUTED_VALUE"""),0.159270153108643)</f>
        <v>0.15927015310864301</v>
      </c>
      <c r="V142">
        <f ca="1">IFERROR(__xludf.DUMMYFUNCTION("""COMPUTED_VALUE"""),78)</f>
        <v>78</v>
      </c>
      <c r="W142">
        <f ca="1">IFERROR(__xludf.DUMMYFUNCTION("""COMPUTED_VALUE"""),6382)</f>
        <v>6382</v>
      </c>
      <c r="X142">
        <f ca="1">IFERROR(__xludf.DUMMYFUNCTION("""COMPUTED_VALUE"""),275)</f>
        <v>275</v>
      </c>
      <c r="Y142">
        <f ca="1">IFERROR(__xludf.DUMMYFUNCTION("""COMPUTED_VALUE"""),4063)</f>
        <v>4063</v>
      </c>
      <c r="Z142">
        <f ca="1">IFERROR(__xludf.DUMMYFUNCTION("""COMPUTED_VALUE"""),4)</f>
        <v>4</v>
      </c>
      <c r="AA142">
        <f ca="1">IFERROR(__xludf.DUMMYFUNCTION("""COMPUTED_VALUE"""),491)</f>
        <v>491</v>
      </c>
      <c r="AB142">
        <f ca="1">IFERROR(__xludf.DUMMYFUNCTION("""COMPUTED_VALUE"""),37)</f>
        <v>37</v>
      </c>
      <c r="AC142">
        <f ca="1">IFERROR(__xludf.DUMMYFUNCTION("""COMPUTED_VALUE"""),409)</f>
        <v>409</v>
      </c>
      <c r="AD142" s="57">
        <f ca="1">IFERROR(__xludf.DUMMYFUNCTION("""COMPUTED_VALUE"""),8.71428571428571)</f>
        <v>8.71428571428571</v>
      </c>
      <c r="AE142" s="57">
        <f ca="1">IFERROR(__xludf.DUMMYFUNCTION("""COMPUTED_VALUE"""),440)</f>
        <v>440</v>
      </c>
      <c r="AF142">
        <f ca="1">IFERROR(__xludf.DUMMYFUNCTION("""COMPUTED_VALUE"""),29539)</f>
        <v>29539</v>
      </c>
      <c r="AG142" s="58">
        <f ca="1">IFERROR(__xludf.DUMMYFUNCTION("""COMPUTED_VALUE"""),1561.14285714285)</f>
        <v>1561.1428571428501</v>
      </c>
      <c r="AH142" s="13">
        <f ca="1">IFERROR(__xludf.DUMMYFUNCTION("""COMPUTED_VALUE"""),0)</f>
        <v>0</v>
      </c>
      <c r="AI142">
        <f ca="1">IFERROR(__xludf.DUMMYFUNCTION("""COMPUTED_VALUE"""),483)</f>
        <v>483</v>
      </c>
      <c r="AJ142">
        <f ca="1">IFERROR(__xludf.DUMMYFUNCTION("""COMPUTED_VALUE"""),18)</f>
        <v>18</v>
      </c>
    </row>
    <row r="143" spans="1:36" ht="13">
      <c r="A143">
        <f t="shared" ca="1" si="0"/>
        <v>142</v>
      </c>
      <c r="B143" s="62">
        <f ca="1">IFERROR(__xludf.DUMMYFUNCTION("""COMPUTED_VALUE"""),0.142857142857142)</f>
        <v>0.14285714285714199</v>
      </c>
      <c r="C143" s="62">
        <f ca="1">IFERROR(__xludf.DUMMYFUNCTION("""COMPUTED_VALUE"""),158.285714285714)</f>
        <v>158.28571428571399</v>
      </c>
      <c r="D143" s="62">
        <f ca="1">IFERROR(__xludf.DUMMYFUNCTION("""COMPUTED_VALUE"""),14.4285714285714)</f>
        <v>14.4285714285714</v>
      </c>
      <c r="E143" s="62">
        <f ca="1">IFERROR(__xludf.DUMMYFUNCTION("""COMPUTED_VALUE"""),2598.14285714285)</f>
        <v>2598.1428571428501</v>
      </c>
      <c r="F143" s="21">
        <f ca="1">IFERROR(__xludf.DUMMYFUNCTION("""COMPUTED_VALUE"""),484)</f>
        <v>484</v>
      </c>
      <c r="G143" s="21">
        <f ca="1">IFERROR(__xludf.DUMMYFUNCTION("""COMPUTED_VALUE"""),181342)</f>
        <v>181342</v>
      </c>
      <c r="H143" s="63">
        <f ca="1">IFERROR(__xludf.DUMMYFUNCTION("""COMPUTED_VALUE"""),20.5714285714285)</f>
        <v>20.571428571428498</v>
      </c>
      <c r="I143" s="63">
        <f ca="1">IFERROR(__xludf.DUMMYFUNCTION("""COMPUTED_VALUE"""),4882.14285714285)</f>
        <v>4882.1428571428496</v>
      </c>
      <c r="J143" s="57">
        <f ca="1">IFERROR(__xludf.DUMMYFUNCTION("""COMPUTED_VALUE"""),4)</f>
        <v>4</v>
      </c>
      <c r="K143" s="57">
        <f ca="1">IFERROR(__xludf.DUMMYFUNCTION("""COMPUTED_VALUE"""),83.1428571428571)</f>
        <v>83.142857142857096</v>
      </c>
      <c r="L143">
        <f ca="1">IFERROR(__xludf.DUMMYFUNCTION("""COMPUTED_VALUE"""),41784)</f>
        <v>41784</v>
      </c>
      <c r="M143" s="58">
        <f ca="1">IFERROR(__xludf.DUMMYFUNCTION("""COMPUTED_VALUE"""),615.857142857142)</f>
        <v>615.85714285714198</v>
      </c>
      <c r="N143" s="57">
        <f ca="1">IFERROR(__xludf.DUMMYFUNCTION("""COMPUTED_VALUE"""),123.714285714285)</f>
        <v>123.714285714285</v>
      </c>
      <c r="O143" s="57">
        <f ca="1">IFERROR(__xludf.DUMMYFUNCTION("""COMPUTED_VALUE"""),2329.14285714285)</f>
        <v>2329.1428571428501</v>
      </c>
      <c r="P143">
        <f ca="1">IFERROR(__xludf.DUMMYFUNCTION("""COMPUTED_VALUE"""),116778)</f>
        <v>116778</v>
      </c>
      <c r="Q143" s="58">
        <f ca="1">IFERROR(__xludf.DUMMYFUNCTION("""COMPUTED_VALUE"""),5247)</f>
        <v>5247</v>
      </c>
      <c r="R143" s="13">
        <f ca="1">IFERROR(__xludf.DUMMYFUNCTION("""COMPUTED_VALUE"""),0.00698571428571428)</f>
        <v>6.98571428571428E-3</v>
      </c>
      <c r="S143" s="13">
        <f ca="1">IFERROR(__xludf.DUMMYFUNCTION("""COMPUTED_VALUE"""),0.131117869283347)</f>
        <v>0.13111786928334701</v>
      </c>
      <c r="T143" s="13">
        <f ca="1">IFERROR(__xludf.DUMMYFUNCTION("""COMPUTED_VALUE"""),0.0093958805609962)</f>
        <v>9.3958805609961997E-3</v>
      </c>
      <c r="U143" s="13">
        <f ca="1">IFERROR(__xludf.DUMMYFUNCTION("""COMPUTED_VALUE"""),0.165964208253427)</f>
        <v>0.165964208253427</v>
      </c>
      <c r="V143">
        <f ca="1">IFERROR(__xludf.DUMMYFUNCTION("""COMPUTED_VALUE"""),76)</f>
        <v>76</v>
      </c>
      <c r="W143">
        <f ca="1">IFERROR(__xludf.DUMMYFUNCTION("""COMPUTED_VALUE"""),6006)</f>
        <v>6006</v>
      </c>
      <c r="X143">
        <f ca="1">IFERROR(__xludf.DUMMYFUNCTION("""COMPUTED_VALUE"""),281)</f>
        <v>281</v>
      </c>
      <c r="Y143">
        <f ca="1">IFERROR(__xludf.DUMMYFUNCTION("""COMPUTED_VALUE"""),4019)</f>
        <v>4019</v>
      </c>
      <c r="Z143">
        <f ca="1">IFERROR(__xludf.DUMMYFUNCTION("""COMPUTED_VALUE"""),4)</f>
        <v>4</v>
      </c>
      <c r="AA143">
        <f ca="1">IFERROR(__xludf.DUMMYFUNCTION("""COMPUTED_VALUE"""),489)</f>
        <v>489</v>
      </c>
      <c r="AB143">
        <f ca="1">IFERROR(__xludf.DUMMYFUNCTION("""COMPUTED_VALUE"""),32)</f>
        <v>32</v>
      </c>
      <c r="AC143">
        <f ca="1">IFERROR(__xludf.DUMMYFUNCTION("""COMPUTED_VALUE"""),374)</f>
        <v>374</v>
      </c>
    </row>
    <row r="144" spans="1:36" ht="13">
      <c r="A144">
        <f t="shared" ca="1" si="0"/>
        <v>143</v>
      </c>
      <c r="B144" s="62">
        <f ca="1">IFERROR(__xludf.DUMMYFUNCTION("""COMPUTED_VALUE"""),0.142857142857142)</f>
        <v>0.14285714285714199</v>
      </c>
      <c r="C144" s="62">
        <f ca="1">IFERROR(__xludf.DUMMYFUNCTION("""COMPUTED_VALUE"""),148.142857142857)</f>
        <v>148.142857142857</v>
      </c>
      <c r="D144" s="62">
        <f ca="1">IFERROR(__xludf.DUMMYFUNCTION("""COMPUTED_VALUE"""),15)</f>
        <v>15</v>
      </c>
      <c r="E144" s="62">
        <f ca="1">IFERROR(__xludf.DUMMYFUNCTION("""COMPUTED_VALUE"""),2191.42857142857)</f>
        <v>2191.4285714285702</v>
      </c>
      <c r="F144" s="21">
        <f ca="1">IFERROR(__xludf.DUMMYFUNCTION("""COMPUTED_VALUE"""),490)</f>
        <v>490</v>
      </c>
      <c r="G144" s="21">
        <f ca="1">IFERROR(__xludf.DUMMYFUNCTION("""COMPUTED_VALUE"""),179929)</f>
        <v>179929</v>
      </c>
      <c r="H144" s="63">
        <f ca="1">IFERROR(__xludf.DUMMYFUNCTION("""COMPUTED_VALUE"""),13.1428571428571)</f>
        <v>13.1428571428571</v>
      </c>
      <c r="I144" s="63">
        <f ca="1">IFERROR(__xludf.DUMMYFUNCTION("""COMPUTED_VALUE"""),4737)</f>
        <v>4737</v>
      </c>
      <c r="J144" s="57">
        <f ca="1">IFERROR(__xludf.DUMMYFUNCTION("""COMPUTED_VALUE"""),3.85714285714285)</f>
        <v>3.8571428571428501</v>
      </c>
      <c r="K144" s="57">
        <f ca="1">IFERROR(__xludf.DUMMYFUNCTION("""COMPUTED_VALUE"""),80.8571428571428)</f>
        <v>80.857142857142804</v>
      </c>
      <c r="L144">
        <f ca="1">IFERROR(__xludf.DUMMYFUNCTION("""COMPUTED_VALUE"""),41417)</f>
        <v>41417</v>
      </c>
      <c r="M144" s="58">
        <f ca="1">IFERROR(__xludf.DUMMYFUNCTION("""COMPUTED_VALUE"""),498)</f>
        <v>498</v>
      </c>
      <c r="N144" s="57">
        <f ca="1">IFERROR(__xludf.DUMMYFUNCTION("""COMPUTED_VALUE"""),120.285714285714)</f>
        <v>120.28571428571399</v>
      </c>
      <c r="O144" s="57">
        <f ca="1">IFERROR(__xludf.DUMMYFUNCTION("""COMPUTED_VALUE"""),2278.57142857142)</f>
        <v>2278.5714285714198</v>
      </c>
      <c r="P144">
        <f ca="1">IFERROR(__xludf.DUMMYFUNCTION("""COMPUTED_VALUE"""),113057)</f>
        <v>113057</v>
      </c>
      <c r="Q144" s="58">
        <f ca="1">IFERROR(__xludf.DUMMYFUNCTION("""COMPUTED_VALUE"""),5324)</f>
        <v>5324</v>
      </c>
      <c r="R144" s="13">
        <f ca="1">IFERROR(__xludf.DUMMYFUNCTION("""COMPUTED_VALUE"""),0.00672857142857142)</f>
        <v>6.7285714285714197E-3</v>
      </c>
      <c r="S144" s="13">
        <f ca="1">IFERROR(__xludf.DUMMYFUNCTION("""COMPUTED_VALUE"""),0.125269843843244)</f>
        <v>0.12526984384324399</v>
      </c>
      <c r="T144" s="13">
        <f ca="1">IFERROR(__xludf.DUMMYFUNCTION("""COMPUTED_VALUE"""),0.00946263618197107)</f>
        <v>9.4626361819710701E-3</v>
      </c>
      <c r="U144" s="13">
        <f ca="1">IFERROR(__xludf.DUMMYFUNCTION("""COMPUTED_VALUE"""),0.16031186704108)</f>
        <v>0.16031186704108</v>
      </c>
      <c r="V144">
        <f ca="1">IFERROR(__xludf.DUMMYFUNCTION("""COMPUTED_VALUE"""),70)</f>
        <v>70</v>
      </c>
      <c r="W144">
        <f ca="1">IFERROR(__xludf.DUMMYFUNCTION("""COMPUTED_VALUE"""),6003)</f>
        <v>6003</v>
      </c>
      <c r="X144">
        <f ca="1">IFERROR(__xludf.DUMMYFUNCTION("""COMPUTED_VALUE"""),241)</f>
        <v>241</v>
      </c>
      <c r="Y144">
        <f ca="1">IFERROR(__xludf.DUMMYFUNCTION("""COMPUTED_VALUE"""),3854)</f>
        <v>3854</v>
      </c>
      <c r="Z144">
        <f ca="1">IFERROR(__xludf.DUMMYFUNCTION("""COMPUTED_VALUE"""),4)</f>
        <v>4</v>
      </c>
      <c r="AA144">
        <f ca="1">IFERROR(__xludf.DUMMYFUNCTION("""COMPUTED_VALUE"""),468)</f>
        <v>468</v>
      </c>
      <c r="AB144">
        <f ca="1">IFERROR(__xludf.DUMMYFUNCTION("""COMPUTED_VALUE"""),32)</f>
        <v>32</v>
      </c>
      <c r="AC144">
        <f ca="1">IFERROR(__xludf.DUMMYFUNCTION("""COMPUTED_VALUE"""),357)</f>
        <v>357</v>
      </c>
    </row>
    <row r="145" spans="1:36" ht="13">
      <c r="A145">
        <f t="shared" ca="1" si="0"/>
        <v>144</v>
      </c>
      <c r="B145" s="62">
        <f ca="1">IFERROR(__xludf.DUMMYFUNCTION("""COMPUTED_VALUE"""),0)</f>
        <v>0</v>
      </c>
      <c r="C145" s="62">
        <f ca="1">IFERROR(__xludf.DUMMYFUNCTION("""COMPUTED_VALUE"""),135.428571428571)</f>
        <v>135.42857142857099</v>
      </c>
      <c r="D145" s="62">
        <f ca="1">IFERROR(__xludf.DUMMYFUNCTION("""COMPUTED_VALUE"""),15.5714285714285)</f>
        <v>15.5714285714285</v>
      </c>
      <c r="E145" s="62">
        <f ca="1">IFERROR(__xludf.DUMMYFUNCTION("""COMPUTED_VALUE"""),1867.28571428571)</f>
        <v>1867.2857142857099</v>
      </c>
      <c r="F145" s="21">
        <f ca="1">IFERROR(__xludf.DUMMYFUNCTION("""COMPUTED_VALUE"""),504)</f>
        <v>504</v>
      </c>
      <c r="G145" s="21">
        <f ca="1">IFERROR(__xludf.DUMMYFUNCTION("""COMPUTED_VALUE"""),176593)</f>
        <v>176593</v>
      </c>
      <c r="H145" s="63">
        <f ca="1">IFERROR(__xludf.DUMMYFUNCTION("""COMPUTED_VALUE"""),14.5714285714285)</f>
        <v>14.5714285714285</v>
      </c>
      <c r="I145" s="63">
        <f ca="1">IFERROR(__xludf.DUMMYFUNCTION("""COMPUTED_VALUE"""),4711)</f>
        <v>4711</v>
      </c>
      <c r="J145" s="57">
        <f ca="1">IFERROR(__xludf.DUMMYFUNCTION("""COMPUTED_VALUE"""),3.42857142857142)</f>
        <v>3.4285714285714199</v>
      </c>
      <c r="K145" s="57">
        <f ca="1">IFERROR(__xludf.DUMMYFUNCTION("""COMPUTED_VALUE"""),74.5714285714285)</f>
        <v>74.571428571428498</v>
      </c>
      <c r="L145">
        <f ca="1">IFERROR(__xludf.DUMMYFUNCTION("""COMPUTED_VALUE"""),41018)</f>
        <v>41018</v>
      </c>
      <c r="M145" s="58">
        <f ca="1">IFERROR(__xludf.DUMMYFUNCTION("""COMPUTED_VALUE"""),421)</f>
        <v>421</v>
      </c>
      <c r="N145" s="57">
        <f ca="1">IFERROR(__xludf.DUMMYFUNCTION("""COMPUTED_VALUE"""),113.857142857142)</f>
        <v>113.85714285714199</v>
      </c>
      <c r="O145" s="57">
        <f ca="1">IFERROR(__xludf.DUMMYFUNCTION("""COMPUTED_VALUE"""),2246.42857142857)</f>
        <v>2246.4285714285702</v>
      </c>
      <c r="P145">
        <f ca="1">IFERROR(__xludf.DUMMYFUNCTION("""COMPUTED_VALUE"""),107420)</f>
        <v>107420</v>
      </c>
      <c r="Q145" s="58">
        <f ca="1">IFERROR(__xludf.DUMMYFUNCTION("""COMPUTED_VALUE"""),4965.57142857142)</f>
        <v>4965.5714285714203</v>
      </c>
      <c r="R145" s="13">
        <f ca="1">IFERROR(__xludf.DUMMYFUNCTION("""COMPUTED_VALUE"""),0.00638571428571428)</f>
        <v>6.3857142857142802E-3</v>
      </c>
      <c r="S145" s="13">
        <f ca="1">IFERROR(__xludf.DUMMYFUNCTION("""COMPUTED_VALUE"""),0.137923259924859)</f>
        <v>0.13792325992485899</v>
      </c>
      <c r="T145" s="13">
        <f ca="1">IFERROR(__xludf.DUMMYFUNCTION("""COMPUTED_VALUE"""),0.008807814654666)</f>
        <v>8.8078146546660008E-3</v>
      </c>
      <c r="U145" s="13">
        <f ca="1">IFERROR(__xludf.DUMMYFUNCTION("""COMPUTED_VALUE"""),0.165288090833496)</f>
        <v>0.16528809083349599</v>
      </c>
      <c r="V145">
        <f ca="1">IFERROR(__xludf.DUMMYFUNCTION("""COMPUTED_VALUE"""),68)</f>
        <v>68</v>
      </c>
      <c r="W145">
        <f ca="1">IFERROR(__xludf.DUMMYFUNCTION("""COMPUTED_VALUE"""),6072)</f>
        <v>6072</v>
      </c>
      <c r="X145">
        <f ca="1">IFERROR(__xludf.DUMMYFUNCTION("""COMPUTED_VALUE"""),215)</f>
        <v>215</v>
      </c>
      <c r="Y145">
        <f ca="1">IFERROR(__xludf.DUMMYFUNCTION("""COMPUTED_VALUE"""),3697)</f>
        <v>3697</v>
      </c>
      <c r="Z145">
        <f ca="1">IFERROR(__xludf.DUMMYFUNCTION("""COMPUTED_VALUE"""),5)</f>
        <v>5</v>
      </c>
      <c r="AA145">
        <f ca="1">IFERROR(__xludf.DUMMYFUNCTION("""COMPUTED_VALUE"""),467)</f>
        <v>467</v>
      </c>
      <c r="AB145">
        <f ca="1">IFERROR(__xludf.DUMMYFUNCTION("""COMPUTED_VALUE"""),30)</f>
        <v>30</v>
      </c>
      <c r="AC145">
        <f ca="1">IFERROR(__xludf.DUMMYFUNCTION("""COMPUTED_VALUE"""),342)</f>
        <v>342</v>
      </c>
    </row>
    <row r="146" spans="1:36" ht="13">
      <c r="A146">
        <f t="shared" ca="1" si="0"/>
        <v>145</v>
      </c>
      <c r="B146" s="62">
        <f ca="1">IFERROR(__xludf.DUMMYFUNCTION("""COMPUTED_VALUE"""),0)</f>
        <v>0</v>
      </c>
      <c r="C146" s="62">
        <f ca="1">IFERROR(__xludf.DUMMYFUNCTION("""COMPUTED_VALUE"""),125.571428571428)</f>
        <v>125.571428571428</v>
      </c>
      <c r="D146" s="62">
        <f ca="1">IFERROR(__xludf.DUMMYFUNCTION("""COMPUTED_VALUE"""),14.5714285714285)</f>
        <v>14.5714285714285</v>
      </c>
      <c r="E146" s="62">
        <f ca="1">IFERROR(__xludf.DUMMYFUNCTION("""COMPUTED_VALUE"""),1648.42857142857)</f>
        <v>1648.42857142857</v>
      </c>
      <c r="F146" s="21">
        <f ca="1">IFERROR(__xludf.DUMMYFUNCTION("""COMPUTED_VALUE"""),510)</f>
        <v>510</v>
      </c>
      <c r="G146" s="21">
        <f ca="1">IFERROR(__xludf.DUMMYFUNCTION("""COMPUTED_VALUE"""),173164)</f>
        <v>173164</v>
      </c>
      <c r="H146" s="63">
        <f ca="1">IFERROR(__xludf.DUMMYFUNCTION("""COMPUTED_VALUE"""),15.1428571428571)</f>
        <v>15.1428571428571</v>
      </c>
      <c r="I146" s="63">
        <f ca="1">IFERROR(__xludf.DUMMYFUNCTION("""COMPUTED_VALUE"""),4483.14285714285)</f>
        <v>4483.1428571428496</v>
      </c>
      <c r="J146" s="57">
        <f ca="1">IFERROR(__xludf.DUMMYFUNCTION("""COMPUTED_VALUE"""),4.28571428571428)</f>
        <v>4.2857142857142803</v>
      </c>
      <c r="K146" s="57">
        <f ca="1">IFERROR(__xludf.DUMMYFUNCTION("""COMPUTED_VALUE"""),68.8571428571428)</f>
        <v>68.857142857142804</v>
      </c>
      <c r="L146">
        <f ca="1">IFERROR(__xludf.DUMMYFUNCTION("""COMPUTED_VALUE"""),40697)</f>
        <v>40697</v>
      </c>
      <c r="M146" s="58">
        <f ca="1">IFERROR(__xludf.DUMMYFUNCTION("""COMPUTED_VALUE"""),372.285714285714)</f>
        <v>372.28571428571399</v>
      </c>
      <c r="N146" s="57">
        <f ca="1">IFERROR(__xludf.DUMMYFUNCTION("""COMPUTED_VALUE"""),125.571428571428)</f>
        <v>125.571428571428</v>
      </c>
      <c r="O146" s="57">
        <f ca="1">IFERROR(__xludf.DUMMYFUNCTION("""COMPUTED_VALUE"""),2726.42857142857)</f>
        <v>2726.4285714285702</v>
      </c>
      <c r="P146">
        <f ca="1">IFERROR(__xludf.DUMMYFUNCTION("""COMPUTED_VALUE"""),105553)</f>
        <v>105553</v>
      </c>
      <c r="Q146" s="58">
        <f ca="1">IFERROR(__xludf.DUMMYFUNCTION("""COMPUTED_VALUE"""),5700.57142857142)</f>
        <v>5700.5714285714203</v>
      </c>
      <c r="R146" s="13">
        <f ca="1">IFERROR(__xludf.DUMMYFUNCTION("""COMPUTED_VALUE"""),0.00598571428571428)</f>
        <v>5.98571428571428E-3</v>
      </c>
      <c r="S146" s="13">
        <f ca="1">IFERROR(__xludf.DUMMYFUNCTION("""COMPUTED_VALUE"""),0.136849718319783)</f>
        <v>0.13684971831978299</v>
      </c>
      <c r="T146" s="13">
        <f ca="1">IFERROR(__xludf.DUMMYFUNCTION("""COMPUTED_VALUE"""),0.00841856740969569)</f>
        <v>8.4185674096956906E-3</v>
      </c>
      <c r="U146" s="13">
        <f ca="1">IFERROR(__xludf.DUMMYFUNCTION("""COMPUTED_VALUE"""),0.205621804296073)</f>
        <v>0.20562180429607299</v>
      </c>
      <c r="V146">
        <f ca="1">IFERROR(__xludf.DUMMYFUNCTION("""COMPUTED_VALUE"""),69)</f>
        <v>69</v>
      </c>
      <c r="W146">
        <f ca="1">IFERROR(__xludf.DUMMYFUNCTION("""COMPUTED_VALUE"""),6261)</f>
        <v>6261</v>
      </c>
      <c r="X146">
        <f ca="1">IFERROR(__xludf.DUMMYFUNCTION("""COMPUTED_VALUE"""),182)</f>
        <v>182</v>
      </c>
      <c r="Y146">
        <f ca="1">IFERROR(__xludf.DUMMYFUNCTION("""COMPUTED_VALUE"""),3492)</f>
        <v>3492</v>
      </c>
      <c r="Z146">
        <f ca="1">IFERROR(__xludf.DUMMYFUNCTION("""COMPUTED_VALUE"""),6)</f>
        <v>6</v>
      </c>
      <c r="AA146">
        <f ca="1">IFERROR(__xludf.DUMMYFUNCTION("""COMPUTED_VALUE"""),448)</f>
        <v>448</v>
      </c>
      <c r="AB146">
        <f ca="1">IFERROR(__xludf.DUMMYFUNCTION("""COMPUTED_VALUE"""),22)</f>
        <v>22</v>
      </c>
      <c r="AC146">
        <f ca="1">IFERROR(__xludf.DUMMYFUNCTION("""COMPUTED_VALUE"""),334)</f>
        <v>334</v>
      </c>
    </row>
    <row r="147" spans="1:36" ht="13">
      <c r="A147">
        <f t="shared" ca="1" si="0"/>
        <v>146</v>
      </c>
      <c r="B147" s="62">
        <f ca="1">IFERROR(__xludf.DUMMYFUNCTION("""COMPUTED_VALUE"""),0)</f>
        <v>0</v>
      </c>
      <c r="C147" s="62">
        <f ca="1">IFERROR(__xludf.DUMMYFUNCTION("""COMPUTED_VALUE"""),118.571428571428)</f>
        <v>118.571428571428</v>
      </c>
      <c r="D147" s="62">
        <f ca="1">IFERROR(__xludf.DUMMYFUNCTION("""COMPUTED_VALUE"""),15.5714285714285)</f>
        <v>15.5714285714285</v>
      </c>
      <c r="E147" s="62">
        <f ca="1">IFERROR(__xludf.DUMMYFUNCTION("""COMPUTED_VALUE"""),1600.42857142857)</f>
        <v>1600.42857142857</v>
      </c>
      <c r="F147" s="21">
        <f ca="1">IFERROR(__xludf.DUMMYFUNCTION("""COMPUTED_VALUE"""),523)</f>
        <v>523</v>
      </c>
      <c r="G147" s="21">
        <f ca="1">IFERROR(__xludf.DUMMYFUNCTION("""COMPUTED_VALUE"""),169914)</f>
        <v>169914</v>
      </c>
      <c r="H147" s="63">
        <f ca="1">IFERROR(__xludf.DUMMYFUNCTION("""COMPUTED_VALUE"""),13.8571428571428)</f>
        <v>13.857142857142801</v>
      </c>
      <c r="I147" s="63">
        <f ca="1">IFERROR(__xludf.DUMMYFUNCTION("""COMPUTED_VALUE"""),4241.28571428571)</f>
        <v>4241.2857142857101</v>
      </c>
      <c r="R147" s="13">
        <f ca="1">IFERROR(__xludf.DUMMYFUNCTION("""COMPUTED_VALUE"""),0.00651428571428571)</f>
        <v>6.5142857142857103E-3</v>
      </c>
      <c r="S147" s="13">
        <f ca="1">IFERROR(__xludf.DUMMYFUNCTION("""COMPUTED_VALUE"""),0.135384085764122)</f>
        <v>0.135384085764122</v>
      </c>
      <c r="V147">
        <f ca="1">IFERROR(__xludf.DUMMYFUNCTION("""COMPUTED_VALUE"""),71)</f>
        <v>71</v>
      </c>
      <c r="W147">
        <f ca="1">IFERROR(__xludf.DUMMYFUNCTION("""COMPUTED_VALUE"""),6298)</f>
        <v>6298</v>
      </c>
      <c r="Z147">
        <f ca="1">IFERROR(__xludf.DUMMYFUNCTION("""COMPUTED_VALUE"""),6)</f>
        <v>6</v>
      </c>
      <c r="AA147">
        <f ca="1">IFERROR(__xludf.DUMMYFUNCTION("""COMPUTED_VALUE"""),444)</f>
        <v>444</v>
      </c>
    </row>
    <row r="148" spans="1:36" ht="13">
      <c r="A148">
        <f t="shared" ca="1" si="0"/>
        <v>147</v>
      </c>
      <c r="B148" s="62">
        <f ca="1">IFERROR(__xludf.DUMMYFUNCTION("""COMPUTED_VALUE"""),0)</f>
        <v>0</v>
      </c>
      <c r="C148" s="62">
        <f ca="1">IFERROR(__xludf.DUMMYFUNCTION("""COMPUTED_VALUE"""),116.142857142857)</f>
        <v>116.142857142857</v>
      </c>
      <c r="D148" s="62">
        <f ca="1">IFERROR(__xludf.DUMMYFUNCTION("""COMPUTED_VALUE"""),15.5714285714285)</f>
        <v>15.5714285714285</v>
      </c>
      <c r="E148" s="62">
        <f ca="1">IFERROR(__xludf.DUMMYFUNCTION("""COMPUTED_VALUE"""),1611.57142857142)</f>
        <v>1611.57142857142</v>
      </c>
      <c r="F148" s="21">
        <f ca="1">IFERROR(__xludf.DUMMYFUNCTION("""COMPUTED_VALUE"""),529)</f>
        <v>529</v>
      </c>
      <c r="G148" s="21">
        <f ca="1">IFERROR(__xludf.DUMMYFUNCTION("""COMPUTED_VALUE"""),165880)</f>
        <v>165880</v>
      </c>
      <c r="H148" s="63">
        <f ca="1">IFERROR(__xludf.DUMMYFUNCTION("""COMPUTED_VALUE"""),10.5714285714285)</f>
        <v>10.5714285714285</v>
      </c>
      <c r="I148" s="63">
        <f ca="1">IFERROR(__xludf.DUMMYFUNCTION("""COMPUTED_VALUE"""),4229)</f>
        <v>4229</v>
      </c>
      <c r="R148" s="13">
        <f ca="1">IFERROR(__xludf.DUMMYFUNCTION("""COMPUTED_VALUE"""),0.00569999999999999)</f>
        <v>5.6999999999999898E-3</v>
      </c>
      <c r="S148" s="13">
        <f ca="1">IFERROR(__xludf.DUMMYFUNCTION("""COMPUTED_VALUE"""),0.138037259176862)</f>
        <v>0.13803725917686199</v>
      </c>
      <c r="V148">
        <f ca="1">IFERROR(__xludf.DUMMYFUNCTION("""COMPUTED_VALUE"""),76)</f>
        <v>76</v>
      </c>
      <c r="W148">
        <f ca="1">IFERROR(__xludf.DUMMYFUNCTION("""COMPUTED_VALUE"""),6155)</f>
        <v>6155</v>
      </c>
      <c r="Z148">
        <f ca="1">IFERROR(__xludf.DUMMYFUNCTION("""COMPUTED_VALUE"""),6)</f>
        <v>6</v>
      </c>
      <c r="AA148">
        <f ca="1">IFERROR(__xludf.DUMMYFUNCTION("""COMPUTED_VALUE"""),425)</f>
        <v>425</v>
      </c>
    </row>
    <row r="149" spans="1:36" ht="13">
      <c r="A149">
        <f t="shared" ca="1" si="0"/>
        <v>148</v>
      </c>
      <c r="B149" s="62">
        <f ca="1">IFERROR(__xludf.DUMMYFUNCTION("""COMPUTED_VALUE"""),0)</f>
        <v>0</v>
      </c>
      <c r="C149" s="62">
        <f ca="1">IFERROR(__xludf.DUMMYFUNCTION("""COMPUTED_VALUE"""),115.428571428571)</f>
        <v>115.428571428571</v>
      </c>
      <c r="D149" s="62">
        <f ca="1">IFERROR(__xludf.DUMMYFUNCTION("""COMPUTED_VALUE"""),14.1428571428571)</f>
        <v>14.1428571428571</v>
      </c>
      <c r="E149" s="62">
        <f ca="1">IFERROR(__xludf.DUMMYFUNCTION("""COMPUTED_VALUE"""),1565.71428571428)</f>
        <v>1565.7142857142801</v>
      </c>
      <c r="F149" s="21">
        <f ca="1">IFERROR(__xludf.DUMMYFUNCTION("""COMPUTED_VALUE"""),530)</f>
        <v>530</v>
      </c>
      <c r="G149" s="21">
        <f ca="1">IFERROR(__xludf.DUMMYFUNCTION("""COMPUTED_VALUE"""),162875)</f>
        <v>162875</v>
      </c>
      <c r="H149" s="63">
        <f ca="1">IFERROR(__xludf.DUMMYFUNCTION("""COMPUTED_VALUE"""),8)</f>
        <v>8</v>
      </c>
      <c r="I149" s="63">
        <f ca="1">IFERROR(__xludf.DUMMYFUNCTION("""COMPUTED_VALUE"""),4224.71428571428)</f>
        <v>4224.7142857142799</v>
      </c>
      <c r="J149" s="57">
        <f ca="1">IFERROR(__xludf.DUMMYFUNCTION("""COMPUTED_VALUE"""),4.28571428571428)</f>
        <v>4.2857142857142803</v>
      </c>
      <c r="K149" s="57">
        <f ca="1">IFERROR(__xludf.DUMMYFUNCTION("""COMPUTED_VALUE"""),58.8571428571428)</f>
        <v>58.857142857142797</v>
      </c>
      <c r="L149">
        <f ca="1">IFERROR(__xludf.DUMMYFUNCTION("""COMPUTED_VALUE"""),39662)</f>
        <v>39662</v>
      </c>
      <c r="M149" s="58">
        <f ca="1">IFERROR(__xludf.DUMMYFUNCTION("""COMPUTED_VALUE"""),402.428571428571)</f>
        <v>402.42857142857099</v>
      </c>
      <c r="N149" s="57">
        <f ca="1">IFERROR(__xludf.DUMMYFUNCTION("""COMPUTED_VALUE"""),98.7142857142857)</f>
        <v>98.714285714285694</v>
      </c>
      <c r="O149" s="57">
        <f ca="1">IFERROR(__xludf.DUMMYFUNCTION("""COMPUTED_VALUE"""),2423)</f>
        <v>2423</v>
      </c>
      <c r="P149">
        <f ca="1">IFERROR(__xludf.DUMMYFUNCTION("""COMPUTED_VALUE"""),101023)</f>
        <v>101023</v>
      </c>
      <c r="Q149" s="58">
        <f ca="1">IFERROR(__xludf.DUMMYFUNCTION("""COMPUTED_VALUE"""),4840)</f>
        <v>4840</v>
      </c>
      <c r="R149" s="13">
        <f ca="1">IFERROR(__xludf.DUMMYFUNCTION("""COMPUTED_VALUE"""),0.00484285714285714)</f>
        <v>4.8428571428571401E-3</v>
      </c>
      <c r="S149" s="13">
        <f ca="1">IFERROR(__xludf.DUMMYFUNCTION("""COMPUTED_VALUE"""),0.144484299452763)</f>
        <v>0.144484299452763</v>
      </c>
      <c r="T149" s="13">
        <f ca="1">IFERROR(__xludf.DUMMYFUNCTION("""COMPUTED_VALUE"""),0.00799367356885599)</f>
        <v>7.9936735688559898E-3</v>
      </c>
      <c r="U149" s="13">
        <f ca="1">IFERROR(__xludf.DUMMYFUNCTION("""COMPUTED_VALUE"""),0.211504307567133)</f>
        <v>0.21150430756713301</v>
      </c>
      <c r="V149">
        <f ca="1">IFERROR(__xludf.DUMMYFUNCTION("""COMPUTED_VALUE"""),76)</f>
        <v>76</v>
      </c>
      <c r="W149">
        <f ca="1">IFERROR(__xludf.DUMMYFUNCTION("""COMPUTED_VALUE"""),5856)</f>
        <v>5856</v>
      </c>
      <c r="X149">
        <f ca="1">IFERROR(__xludf.DUMMYFUNCTION("""COMPUTED_VALUE"""),157)</f>
        <v>157</v>
      </c>
      <c r="Y149">
        <f ca="1">IFERROR(__xludf.DUMMYFUNCTION("""COMPUTED_VALUE"""),3313)</f>
        <v>3313</v>
      </c>
      <c r="Z149">
        <f ca="1">IFERROR(__xludf.DUMMYFUNCTION("""COMPUTED_VALUE"""),6)</f>
        <v>6</v>
      </c>
      <c r="AA149">
        <f ca="1">IFERROR(__xludf.DUMMYFUNCTION("""COMPUTED_VALUE"""),402)</f>
        <v>402</v>
      </c>
      <c r="AB149">
        <f ca="1">IFERROR(__xludf.DUMMYFUNCTION("""COMPUTED_VALUE"""),24)</f>
        <v>24</v>
      </c>
      <c r="AC149">
        <f ca="1">IFERROR(__xludf.DUMMYFUNCTION("""COMPUTED_VALUE"""),318)</f>
        <v>318</v>
      </c>
      <c r="AD149" s="57">
        <f ca="1">IFERROR(__xludf.DUMMYFUNCTION("""COMPUTED_VALUE"""),5.71428571428571)</f>
        <v>5.71428571428571</v>
      </c>
      <c r="AE149" s="57">
        <f ca="1">IFERROR(__xludf.DUMMYFUNCTION("""COMPUTED_VALUE"""),294.714285714285)</f>
        <v>294.71428571428498</v>
      </c>
      <c r="AF149">
        <f ca="1">IFERROR(__xludf.DUMMYFUNCTION("""COMPUTED_VALUE"""),25547)</f>
        <v>25547</v>
      </c>
      <c r="AG149" s="58">
        <f ca="1">IFERROR(__xludf.DUMMYFUNCTION("""COMPUTED_VALUE"""),859.285714285714)</f>
        <v>859.28571428571399</v>
      </c>
      <c r="AH149" s="13">
        <f ca="1">IFERROR(__xludf.DUMMYFUNCTION("""COMPUTED_VALUE"""),0)</f>
        <v>0</v>
      </c>
      <c r="AI149">
        <f ca="1">IFERROR(__xludf.DUMMYFUNCTION("""COMPUTED_VALUE"""),362)</f>
        <v>362</v>
      </c>
      <c r="AJ149">
        <f ca="1">IFERROR(__xludf.DUMMYFUNCTION("""COMPUTED_VALUE"""),13)</f>
        <v>13</v>
      </c>
    </row>
    <row r="150" spans="1:36" ht="13">
      <c r="A150">
        <f t="shared" ca="1" si="0"/>
        <v>149</v>
      </c>
      <c r="B150" s="62">
        <f ca="1">IFERROR(__xludf.DUMMYFUNCTION("""COMPUTED_VALUE"""),0)</f>
        <v>0</v>
      </c>
      <c r="C150" s="62">
        <f ca="1">IFERROR(__xludf.DUMMYFUNCTION("""COMPUTED_VALUE"""),119.142857142857)</f>
        <v>119.142857142857</v>
      </c>
      <c r="D150" s="62">
        <f ca="1">IFERROR(__xludf.DUMMYFUNCTION("""COMPUTED_VALUE"""),14.8571428571428)</f>
        <v>14.857142857142801</v>
      </c>
      <c r="E150" s="62">
        <f ca="1">IFERROR(__xludf.DUMMYFUNCTION("""COMPUTED_VALUE"""),1587.71428571428)</f>
        <v>1587.7142857142801</v>
      </c>
      <c r="F150" s="21">
        <f ca="1">IFERROR(__xludf.DUMMYFUNCTION("""COMPUTED_VALUE"""),542)</f>
        <v>542</v>
      </c>
      <c r="G150" s="21">
        <f ca="1">IFERROR(__xludf.DUMMYFUNCTION("""COMPUTED_VALUE"""),158548)</f>
        <v>158548</v>
      </c>
      <c r="H150" s="63">
        <f ca="1">IFERROR(__xludf.DUMMYFUNCTION("""COMPUTED_VALUE"""),6.57142857142857)</f>
        <v>6.5714285714285703</v>
      </c>
      <c r="I150" s="63">
        <f ca="1">IFERROR(__xludf.DUMMYFUNCTION("""COMPUTED_VALUE"""),4724.85714285714)</f>
        <v>4724.8571428571404</v>
      </c>
      <c r="J150" s="57">
        <f ca="1">IFERROR(__xludf.DUMMYFUNCTION("""COMPUTED_VALUE"""),4)</f>
        <v>4</v>
      </c>
      <c r="K150" s="57">
        <f ca="1">IFERROR(__xludf.DUMMYFUNCTION("""COMPUTED_VALUE"""),56)</f>
        <v>56</v>
      </c>
      <c r="L150">
        <f ca="1">IFERROR(__xludf.DUMMYFUNCTION("""COMPUTED_VALUE"""),39543)</f>
        <v>39543</v>
      </c>
      <c r="M150" s="58">
        <f ca="1">IFERROR(__xludf.DUMMYFUNCTION("""COMPUTED_VALUE"""),372.142857142857)</f>
        <v>372.142857142857</v>
      </c>
      <c r="N150" s="57">
        <f ca="1">IFERROR(__xludf.DUMMYFUNCTION("""COMPUTED_VALUE"""),89)</f>
        <v>89</v>
      </c>
      <c r="O150" s="57">
        <f ca="1">IFERROR(__xludf.DUMMYFUNCTION("""COMPUTED_VALUE"""),2574.28571428571)</f>
        <v>2574.2857142857101</v>
      </c>
      <c r="P150">
        <f ca="1">IFERROR(__xludf.DUMMYFUNCTION("""COMPUTED_VALUE"""),100247)</f>
        <v>100247</v>
      </c>
      <c r="Q150" s="58">
        <f ca="1">IFERROR(__xludf.DUMMYFUNCTION("""COMPUTED_VALUE"""),4846.85714285714)</f>
        <v>4846.8571428571404</v>
      </c>
      <c r="R150" s="13">
        <f ca="1">IFERROR(__xludf.DUMMYFUNCTION("""COMPUTED_VALUE"""),0.00509999999999999)</f>
        <v>5.09999999999999E-3</v>
      </c>
      <c r="S150" s="13">
        <f ca="1">IFERROR(__xludf.DUMMYFUNCTION("""COMPUTED_VALUE"""),0.149435675628385)</f>
        <v>0.149435675628385</v>
      </c>
      <c r="T150" s="13">
        <f ca="1">IFERROR(__xludf.DUMMYFUNCTION("""COMPUTED_VALUE"""),0.00707538340934873)</f>
        <v>7.0753834093487296E-3</v>
      </c>
      <c r="U150" s="13">
        <f ca="1">IFERROR(__xludf.DUMMYFUNCTION("""COMPUTED_VALUE"""),0.21328862632874)</f>
        <v>0.21328862632873999</v>
      </c>
      <c r="V150">
        <f ca="1">IFERROR(__xludf.DUMMYFUNCTION("""COMPUTED_VALUE"""),76)</f>
        <v>76</v>
      </c>
      <c r="W150">
        <f ca="1">IFERROR(__xludf.DUMMYFUNCTION("""COMPUTED_VALUE"""),5648)</f>
        <v>5648</v>
      </c>
      <c r="X150">
        <f ca="1">IFERROR(__xludf.DUMMYFUNCTION("""COMPUTED_VALUE"""),150)</f>
        <v>150</v>
      </c>
      <c r="Y150">
        <f ca="1">IFERROR(__xludf.DUMMYFUNCTION("""COMPUTED_VALUE"""),3335)</f>
        <v>3335</v>
      </c>
      <c r="Z150">
        <f ca="1">IFERROR(__xludf.DUMMYFUNCTION("""COMPUTED_VALUE"""),6)</f>
        <v>6</v>
      </c>
      <c r="AA150">
        <f ca="1">IFERROR(__xludf.DUMMYFUNCTION("""COMPUTED_VALUE"""),401)</f>
        <v>401</v>
      </c>
      <c r="AB150">
        <f ca="1">IFERROR(__xludf.DUMMYFUNCTION("""COMPUTED_VALUE"""),22)</f>
        <v>22</v>
      </c>
      <c r="AC150">
        <f ca="1">IFERROR(__xludf.DUMMYFUNCTION("""COMPUTED_VALUE"""),316)</f>
        <v>316</v>
      </c>
    </row>
    <row r="151" spans="1:36" ht="13">
      <c r="A151">
        <f t="shared" ca="1" si="0"/>
        <v>150</v>
      </c>
      <c r="B151" s="62">
        <f ca="1">IFERROR(__xludf.DUMMYFUNCTION("""COMPUTED_VALUE"""),0)</f>
        <v>0</v>
      </c>
      <c r="C151" s="62">
        <f ca="1">IFERROR(__xludf.DUMMYFUNCTION("""COMPUTED_VALUE"""),118.571428571428)</f>
        <v>118.571428571428</v>
      </c>
      <c r="D151" s="62">
        <f ca="1">IFERROR(__xludf.DUMMYFUNCTION("""COMPUTED_VALUE"""),15.2857142857142)</f>
        <v>15.285714285714199</v>
      </c>
      <c r="E151" s="62">
        <f ca="1">IFERROR(__xludf.DUMMYFUNCTION("""COMPUTED_VALUE"""),1618)</f>
        <v>1618</v>
      </c>
      <c r="F151" s="21">
        <f ca="1">IFERROR(__xludf.DUMMYFUNCTION("""COMPUTED_VALUE"""),556)</f>
        <v>556</v>
      </c>
      <c r="G151" s="21">
        <f ca="1">IFERROR(__xludf.DUMMYFUNCTION("""COMPUTED_VALUE"""),153504)</f>
        <v>153504</v>
      </c>
      <c r="H151" s="63">
        <f ca="1">IFERROR(__xludf.DUMMYFUNCTION("""COMPUTED_VALUE"""),5.85714285714285)</f>
        <v>5.8571428571428497</v>
      </c>
      <c r="I151" s="63">
        <f ca="1">IFERROR(__xludf.DUMMYFUNCTION("""COMPUTED_VALUE"""),5274.42857142857)</f>
        <v>5274.4285714285697</v>
      </c>
      <c r="J151" s="57">
        <f ca="1">IFERROR(__xludf.DUMMYFUNCTION("""COMPUTED_VALUE"""),3)</f>
        <v>3</v>
      </c>
      <c r="K151" s="57">
        <f ca="1">IFERROR(__xludf.DUMMYFUNCTION("""COMPUTED_VALUE"""),50.4285714285714)</f>
        <v>50.428571428571402</v>
      </c>
      <c r="L151">
        <f ca="1">IFERROR(__xludf.DUMMYFUNCTION("""COMPUTED_VALUE"""),39354)</f>
        <v>39354</v>
      </c>
      <c r="M151" s="58">
        <f ca="1">IFERROR(__xludf.DUMMYFUNCTION("""COMPUTED_VALUE"""),342.142857142857)</f>
        <v>342.142857142857</v>
      </c>
      <c r="R151" s="13">
        <f ca="1">IFERROR(__xludf.DUMMYFUNCTION("""COMPUTED_VALUE"""),0.00552857142857142)</f>
        <v>5.52857142857142E-3</v>
      </c>
      <c r="S151" s="13">
        <f ca="1">IFERROR(__xludf.DUMMYFUNCTION("""COMPUTED_VALUE"""),0.150239632604541)</f>
        <v>0.15023963260454101</v>
      </c>
      <c r="T151" s="13">
        <f ca="1">IFERROR(__xludf.DUMMYFUNCTION("""COMPUTED_VALUE"""),0.00647575150131782)</f>
        <v>6.4757515013178198E-3</v>
      </c>
      <c r="V151">
        <f ca="1">IFERROR(__xludf.DUMMYFUNCTION("""COMPUTED_VALUE"""),73)</f>
        <v>73</v>
      </c>
      <c r="W151">
        <f ca="1">IFERROR(__xludf.DUMMYFUNCTION("""COMPUTED_VALUE"""),5529)</f>
        <v>5529</v>
      </c>
      <c r="X151">
        <f ca="1">IFERROR(__xludf.DUMMYFUNCTION("""COMPUTED_VALUE"""),126)</f>
        <v>126</v>
      </c>
      <c r="Z151">
        <f ca="1">IFERROR(__xludf.DUMMYFUNCTION("""COMPUTED_VALUE"""),6)</f>
        <v>6</v>
      </c>
      <c r="AA151">
        <f ca="1">IFERROR(__xludf.DUMMYFUNCTION("""COMPUTED_VALUE"""),402)</f>
        <v>402</v>
      </c>
      <c r="AB151">
        <f ca="1">IFERROR(__xludf.DUMMYFUNCTION("""COMPUTED_VALUE"""),23)</f>
        <v>23</v>
      </c>
    </row>
    <row r="152" spans="1:36" ht="13">
      <c r="A152">
        <f t="shared" ca="1" si="0"/>
        <v>151</v>
      </c>
      <c r="B152" s="62">
        <f ca="1">IFERROR(__xludf.DUMMYFUNCTION("""COMPUTED_VALUE"""),0.142857142857142)</f>
        <v>0.14285714285714199</v>
      </c>
      <c r="C152" s="62">
        <f ca="1">IFERROR(__xludf.DUMMYFUNCTION("""COMPUTED_VALUE"""),119.571428571428)</f>
        <v>119.571428571428</v>
      </c>
      <c r="D152" s="62">
        <f ca="1">IFERROR(__xludf.DUMMYFUNCTION("""COMPUTED_VALUE"""),14.5714285714285)</f>
        <v>14.5714285714285</v>
      </c>
      <c r="E152" s="62">
        <f ca="1">IFERROR(__xludf.DUMMYFUNCTION("""COMPUTED_VALUE"""),1705)</f>
        <v>1705</v>
      </c>
      <c r="F152" s="21">
        <f ca="1">IFERROR(__xludf.DUMMYFUNCTION("""COMPUTED_VALUE"""),565)</f>
        <v>565</v>
      </c>
      <c r="G152" s="21">
        <f ca="1">IFERROR(__xludf.DUMMYFUNCTION("""COMPUTED_VALUE"""),149730)</f>
        <v>149730</v>
      </c>
      <c r="H152" s="63">
        <f ca="1">IFERROR(__xludf.DUMMYFUNCTION("""COMPUTED_VALUE"""),5.71428571428571)</f>
        <v>5.71428571428571</v>
      </c>
      <c r="I152" s="63">
        <f ca="1">IFERROR(__xludf.DUMMYFUNCTION("""COMPUTED_VALUE"""),5423)</f>
        <v>5423</v>
      </c>
      <c r="J152" s="57">
        <f ca="1">IFERROR(__xludf.DUMMYFUNCTION("""COMPUTED_VALUE"""),2.85714285714285)</f>
        <v>2.8571428571428501</v>
      </c>
      <c r="K152" s="57">
        <f ca="1">IFERROR(__xludf.DUMMYFUNCTION("""COMPUTED_VALUE"""),45.1428571428571)</f>
        <v>45.142857142857103</v>
      </c>
      <c r="L152">
        <f ca="1">IFERROR(__xludf.DUMMYFUNCTION("""COMPUTED_VALUE"""),38964)</f>
        <v>38964</v>
      </c>
      <c r="M152" s="58">
        <f ca="1">IFERROR(__xludf.DUMMYFUNCTION("""COMPUTED_VALUE"""),335.714285714285)</f>
        <v>335.71428571428498</v>
      </c>
      <c r="R152" s="13">
        <f ca="1">IFERROR(__xludf.DUMMYFUNCTION("""COMPUTED_VALUE"""),0.00535714285714285)</f>
        <v>5.3571428571428503E-3</v>
      </c>
      <c r="S152" s="13">
        <f ca="1">IFERROR(__xludf.DUMMYFUNCTION("""COMPUTED_VALUE"""),0.151277652663046)</f>
        <v>0.15127765266304599</v>
      </c>
      <c r="T152" s="13">
        <f ca="1">IFERROR(__xludf.DUMMYFUNCTION("""COMPUTED_VALUE"""),0.00583501403401209)</f>
        <v>5.8350140340120904E-3</v>
      </c>
      <c r="V152">
        <f ca="1">IFERROR(__xludf.DUMMYFUNCTION("""COMPUTED_VALUE"""),73)</f>
        <v>73</v>
      </c>
      <c r="W152">
        <f ca="1">IFERROR(__xludf.DUMMYFUNCTION("""COMPUTED_VALUE"""),5619)</f>
        <v>5619</v>
      </c>
      <c r="X152">
        <f ca="1">IFERROR(__xludf.DUMMYFUNCTION("""COMPUTED_VALUE"""),116)</f>
        <v>116</v>
      </c>
      <c r="Z152">
        <f ca="1">IFERROR(__xludf.DUMMYFUNCTION("""COMPUTED_VALUE"""),6)</f>
        <v>6</v>
      </c>
      <c r="AA152">
        <f ca="1">IFERROR(__xludf.DUMMYFUNCTION("""COMPUTED_VALUE"""),403)</f>
        <v>403</v>
      </c>
      <c r="AB152">
        <f ca="1">IFERROR(__xludf.DUMMYFUNCTION("""COMPUTED_VALUE"""),20)</f>
        <v>20</v>
      </c>
    </row>
    <row r="153" spans="1:36" ht="13">
      <c r="A153">
        <f t="shared" ca="1" si="0"/>
        <v>152</v>
      </c>
      <c r="B153" s="62">
        <f ca="1">IFERROR(__xludf.DUMMYFUNCTION("""COMPUTED_VALUE"""),0.142857142857142)</f>
        <v>0.14285714285714199</v>
      </c>
      <c r="C153" s="62">
        <f ca="1">IFERROR(__xludf.DUMMYFUNCTION("""COMPUTED_VALUE"""),116.571428571428)</f>
        <v>116.571428571428</v>
      </c>
      <c r="D153" s="62">
        <f ca="1">IFERROR(__xludf.DUMMYFUNCTION("""COMPUTED_VALUE"""),14.2857142857142)</f>
        <v>14.285714285714199</v>
      </c>
      <c r="E153" s="62">
        <f ca="1">IFERROR(__xludf.DUMMYFUNCTION("""COMPUTED_VALUE"""),1740.28571428571)</f>
        <v>1740.2857142857099</v>
      </c>
      <c r="F153" s="21">
        <f ca="1">IFERROR(__xludf.DUMMYFUNCTION("""COMPUTED_VALUE"""),549)</f>
        <v>549</v>
      </c>
      <c r="G153" s="21">
        <f ca="1">IFERROR(__xludf.DUMMYFUNCTION("""COMPUTED_VALUE"""),144804)</f>
        <v>144804</v>
      </c>
      <c r="H153" s="63">
        <f ca="1">IFERROR(__xludf.DUMMYFUNCTION("""COMPUTED_VALUE"""),8.57142857142857)</f>
        <v>8.5714285714285694</v>
      </c>
      <c r="I153" s="63">
        <f ca="1">IFERROR(__xludf.DUMMYFUNCTION("""COMPUTED_VALUE"""),5675.14285714285)</f>
        <v>5675.1428571428496</v>
      </c>
      <c r="J153" s="57">
        <f ca="1">IFERROR(__xludf.DUMMYFUNCTION("""COMPUTED_VALUE"""),1.71428571428571)</f>
        <v>1.71428571428571</v>
      </c>
      <c r="K153" s="57">
        <f ca="1">IFERROR(__xludf.DUMMYFUNCTION("""COMPUTED_VALUE"""),41)</f>
        <v>41</v>
      </c>
      <c r="L153">
        <f ca="1">IFERROR(__xludf.DUMMYFUNCTION("""COMPUTED_VALUE"""),38644)</f>
        <v>38644</v>
      </c>
      <c r="M153" s="58">
        <f ca="1">IFERROR(__xludf.DUMMYFUNCTION("""COMPUTED_VALUE"""),332.571428571428)</f>
        <v>332.57142857142799</v>
      </c>
      <c r="R153" s="13">
        <f ca="1">IFERROR(__xludf.DUMMYFUNCTION("""COMPUTED_VALUE"""),0.00542857142857142)</f>
        <v>5.4285714285714198E-3</v>
      </c>
      <c r="S153" s="13">
        <f ca="1">IFERROR(__xludf.DUMMYFUNCTION("""COMPUTED_VALUE"""),0.146568239339064)</f>
        <v>0.14656823933906399</v>
      </c>
      <c r="T153" s="13">
        <f ca="1">IFERROR(__xludf.DUMMYFUNCTION("""COMPUTED_VALUE"""),0.00565417746417458)</f>
        <v>5.6541774641745797E-3</v>
      </c>
      <c r="V153">
        <f ca="1">IFERROR(__xludf.DUMMYFUNCTION("""COMPUTED_VALUE"""),71)</f>
        <v>71</v>
      </c>
      <c r="W153">
        <f ca="1">IFERROR(__xludf.DUMMYFUNCTION("""COMPUTED_VALUE"""),5667)</f>
        <v>5667</v>
      </c>
      <c r="X153">
        <f ca="1">IFERROR(__xludf.DUMMYFUNCTION("""COMPUTED_VALUE"""),98)</f>
        <v>98</v>
      </c>
      <c r="Z153">
        <f ca="1">IFERROR(__xludf.DUMMYFUNCTION("""COMPUTED_VALUE"""),7)</f>
        <v>7</v>
      </c>
      <c r="AA153">
        <f ca="1">IFERROR(__xludf.DUMMYFUNCTION("""COMPUTED_VALUE"""),400)</f>
        <v>400</v>
      </c>
      <c r="AB153">
        <f ca="1">IFERROR(__xludf.DUMMYFUNCTION("""COMPUTED_VALUE"""),22)</f>
        <v>22</v>
      </c>
    </row>
    <row r="154" spans="1:36" ht="13">
      <c r="A154">
        <f t="shared" ca="1" si="0"/>
        <v>153</v>
      </c>
      <c r="B154" s="62">
        <f ca="1">IFERROR(__xludf.DUMMYFUNCTION("""COMPUTED_VALUE"""),0.142857142857142)</f>
        <v>0.14285714285714199</v>
      </c>
      <c r="C154" s="62">
        <f ca="1">IFERROR(__xludf.DUMMYFUNCTION("""COMPUTED_VALUE"""),112.571428571428)</f>
        <v>112.571428571428</v>
      </c>
      <c r="D154" s="62">
        <f ca="1">IFERROR(__xludf.DUMMYFUNCTION("""COMPUTED_VALUE"""),13.7142857142857)</f>
        <v>13.714285714285699</v>
      </c>
      <c r="E154" s="62">
        <f ca="1">IFERROR(__xludf.DUMMYFUNCTION("""COMPUTED_VALUE"""),1735.71428571428)</f>
        <v>1735.7142857142801</v>
      </c>
      <c r="F154" s="21">
        <f ca="1">IFERROR(__xludf.DUMMYFUNCTION("""COMPUTED_VALUE"""),534)</f>
        <v>534</v>
      </c>
      <c r="G154" s="21">
        <f ca="1">IFERROR(__xludf.DUMMYFUNCTION("""COMPUTED_VALUE"""),143065)</f>
        <v>143065</v>
      </c>
      <c r="H154" s="63">
        <f ca="1">IFERROR(__xludf.DUMMYFUNCTION("""COMPUTED_VALUE"""),12)</f>
        <v>12</v>
      </c>
      <c r="I154" s="63">
        <f ca="1">IFERROR(__xludf.DUMMYFUNCTION("""COMPUTED_VALUE"""),5458.71428571428)</f>
        <v>5458.7142857142799</v>
      </c>
      <c r="R154" s="13">
        <f ca="1">IFERROR(__xludf.DUMMYFUNCTION("""COMPUTED_VALUE"""),0.00517142857142857)</f>
        <v>5.1714285714285699E-3</v>
      </c>
      <c r="S154" s="13">
        <f ca="1">IFERROR(__xludf.DUMMYFUNCTION("""COMPUTED_VALUE"""),0.144810556328542)</f>
        <v>0.14481055632854201</v>
      </c>
      <c r="V154">
        <f ca="1">IFERROR(__xludf.DUMMYFUNCTION("""COMPUTED_VALUE"""),74)</f>
        <v>74</v>
      </c>
      <c r="W154">
        <f ca="1">IFERROR(__xludf.DUMMYFUNCTION("""COMPUTED_VALUE"""),5760)</f>
        <v>5760</v>
      </c>
      <c r="Z154">
        <f ca="1">IFERROR(__xludf.DUMMYFUNCTION("""COMPUTED_VALUE"""),7)</f>
        <v>7</v>
      </c>
      <c r="AA154">
        <f ca="1">IFERROR(__xludf.DUMMYFUNCTION("""COMPUTED_VALUE"""),394)</f>
        <v>394</v>
      </c>
    </row>
    <row r="155" spans="1:36" ht="13">
      <c r="A155">
        <f t="shared" ca="1" si="0"/>
        <v>154</v>
      </c>
      <c r="B155" s="62">
        <f ca="1">IFERROR(__xludf.DUMMYFUNCTION("""COMPUTED_VALUE"""),0.285714285714285)</f>
        <v>0.28571428571428498</v>
      </c>
      <c r="C155" s="62">
        <f ca="1">IFERROR(__xludf.DUMMYFUNCTION("""COMPUTED_VALUE"""),109.857142857142)</f>
        <v>109.85714285714199</v>
      </c>
      <c r="D155" s="62">
        <f ca="1">IFERROR(__xludf.DUMMYFUNCTION("""COMPUTED_VALUE"""),13.8571428571428)</f>
        <v>13.857142857142801</v>
      </c>
      <c r="E155" s="62">
        <f ca="1">IFERROR(__xludf.DUMMYFUNCTION("""COMPUTED_VALUE"""),1746.42857142857)</f>
        <v>1746.42857142857</v>
      </c>
      <c r="F155" s="21">
        <f ca="1">IFERROR(__xludf.DUMMYFUNCTION("""COMPUTED_VALUE"""),540)</f>
        <v>540</v>
      </c>
      <c r="G155" s="20">
        <f ca="1">IFERROR(__xludf.DUMMYFUNCTION("""COMPUTED_VALUE"""),142029)</f>
        <v>142029</v>
      </c>
      <c r="H155" s="63">
        <f ca="1">IFERROR(__xludf.DUMMYFUNCTION("""COMPUTED_VALUE"""),12)</f>
        <v>12</v>
      </c>
      <c r="I155" s="63">
        <f ca="1">IFERROR(__xludf.DUMMYFUNCTION("""COMPUTED_VALUE"""),5043.85714285714)</f>
        <v>5043.8571428571404</v>
      </c>
      <c r="R155" s="13">
        <f ca="1">IFERROR(__xludf.DUMMYFUNCTION("""COMPUTED_VALUE"""),0.00558571428571428)</f>
        <v>5.5857142857142798E-3</v>
      </c>
      <c r="S155" s="13">
        <f ca="1">IFERROR(__xludf.DUMMYFUNCTION("""COMPUTED_VALUE"""),0.142283894646414)</f>
        <v>0.142283894646414</v>
      </c>
      <c r="V155">
        <f ca="1">IFERROR(__xludf.DUMMYFUNCTION("""COMPUTED_VALUE"""),74)</f>
        <v>74</v>
      </c>
      <c r="W155">
        <f ca="1">IFERROR(__xludf.DUMMYFUNCTION("""COMPUTED_VALUE"""),5646)</f>
        <v>5646</v>
      </c>
      <c r="Z155">
        <f ca="1">IFERROR(__xludf.DUMMYFUNCTION("""COMPUTED_VALUE"""),7)</f>
        <v>7</v>
      </c>
      <c r="AA155">
        <f ca="1">IFERROR(__xludf.DUMMYFUNCTION("""COMPUTED_VALUE"""),396)</f>
        <v>396</v>
      </c>
    </row>
    <row r="156" spans="1:36" ht="13">
      <c r="A156">
        <f t="shared" ca="1" si="0"/>
        <v>155</v>
      </c>
      <c r="B156" s="62">
        <f ca="1">IFERROR(__xludf.DUMMYFUNCTION("""COMPUTED_VALUE"""),0.428571428571428)</f>
        <v>0.42857142857142799</v>
      </c>
      <c r="C156" s="57">
        <f ca="1">IFERROR(__xludf.DUMMYFUNCTION("""COMPUTED_VALUE"""),112.571428571428)</f>
        <v>112.571428571428</v>
      </c>
      <c r="D156" s="62">
        <f ca="1">IFERROR(__xludf.DUMMYFUNCTION("""COMPUTED_VALUE"""),14.1428571428571)</f>
        <v>14.1428571428571</v>
      </c>
      <c r="E156" s="57">
        <f ca="1">IFERROR(__xludf.DUMMYFUNCTION("""COMPUTED_VALUE"""),1760.28571428571)</f>
        <v>1760.2857142857099</v>
      </c>
      <c r="F156" s="21">
        <f ca="1">IFERROR(__xludf.DUMMYFUNCTION("""COMPUTED_VALUE"""),534)</f>
        <v>534</v>
      </c>
      <c r="G156">
        <f ca="1">IFERROR(__xludf.DUMMYFUNCTION("""COMPUTED_VALUE"""),144970)</f>
        <v>144970</v>
      </c>
      <c r="H156" s="63">
        <f ca="1">IFERROR(__xludf.DUMMYFUNCTION("""COMPUTED_VALUE"""),13.1428571428571)</f>
        <v>13.1428571428571</v>
      </c>
      <c r="I156" s="58">
        <f ca="1">IFERROR(__xludf.DUMMYFUNCTION("""COMPUTED_VALUE"""),4699)</f>
        <v>4699</v>
      </c>
      <c r="J156" s="57">
        <f ca="1">IFERROR(__xludf.DUMMYFUNCTION("""COMPUTED_VALUE"""),1)</f>
        <v>1</v>
      </c>
      <c r="K156" s="57">
        <f ca="1">IFERROR(__xludf.DUMMYFUNCTION("""COMPUTED_VALUE"""),31.4285714285714)</f>
        <v>31.428571428571399</v>
      </c>
      <c r="L156">
        <f ca="1">IFERROR(__xludf.DUMMYFUNCTION("""COMPUTED_VALUE"""),38071)</f>
        <v>38071</v>
      </c>
      <c r="M156" s="58">
        <f ca="1">IFERROR(__xludf.DUMMYFUNCTION("""COMPUTED_VALUE"""),257.714285714285)</f>
        <v>257.71428571428498</v>
      </c>
      <c r="R156" s="13">
        <f ca="1">IFERROR(__xludf.DUMMYFUNCTION("""COMPUTED_VALUE"""),0.00598571428571428)</f>
        <v>5.98571428571428E-3</v>
      </c>
      <c r="S156" s="13">
        <f ca="1">IFERROR(__xludf.DUMMYFUNCTION("""COMPUTED_VALUE"""),0.135921295914134)</f>
        <v>0.13592129591413399</v>
      </c>
      <c r="T156" s="13">
        <f ca="1">IFERROR(__xludf.DUMMYFUNCTION("""COMPUTED_VALUE"""),0.00517351085868253)</f>
        <v>5.1735108586825297E-3</v>
      </c>
      <c r="V156">
        <f ca="1">IFERROR(__xludf.DUMMYFUNCTION("""COMPUTED_VALUE"""),72)</f>
        <v>72</v>
      </c>
      <c r="W156">
        <f ca="1">IFERROR(__xludf.DUMMYFUNCTION("""COMPUTED_VALUE"""),5387)</f>
        <v>5387</v>
      </c>
      <c r="X156">
        <f ca="1">IFERROR(__xludf.DUMMYFUNCTION("""COMPUTED_VALUE"""),82)</f>
        <v>82</v>
      </c>
      <c r="Z156">
        <f ca="1">IFERROR(__xludf.DUMMYFUNCTION("""COMPUTED_VALUE"""),7)</f>
        <v>7</v>
      </c>
      <c r="AA156">
        <f ca="1">IFERROR(__xludf.DUMMYFUNCTION("""COMPUTED_VALUE"""),367)</f>
        <v>367</v>
      </c>
      <c r="AB156">
        <f ca="1">IFERROR(__xludf.DUMMYFUNCTION("""COMPUTED_VALUE"""),18)</f>
        <v>18</v>
      </c>
      <c r="AD156" s="57">
        <f ca="1">IFERROR(__xludf.DUMMYFUNCTION("""COMPUTED_VALUE"""),3.42857142857142)</f>
        <v>3.4285714285714199</v>
      </c>
      <c r="AE156" s="57">
        <f ca="1">IFERROR(__xludf.DUMMYFUNCTION("""COMPUTED_VALUE"""),235.142857142857)</f>
        <v>235.142857142857</v>
      </c>
      <c r="AF156">
        <f ca="1">IFERROR(__xludf.DUMMYFUNCTION("""COMPUTED_VALUE"""),21821)</f>
        <v>21821</v>
      </c>
      <c r="AG156" s="58">
        <f ca="1">IFERROR(__xludf.DUMMYFUNCTION("""COMPUTED_VALUE"""),764)</f>
        <v>764</v>
      </c>
      <c r="AH156" s="13">
        <f ca="1">IFERROR(__xludf.DUMMYFUNCTION("""COMPUTED_VALUE"""),0)</f>
        <v>0</v>
      </c>
      <c r="AI156">
        <f ca="1">IFERROR(__xludf.DUMMYFUNCTION("""COMPUTED_VALUE"""),292)</f>
        <v>292</v>
      </c>
      <c r="AJ156">
        <f ca="1">IFERROR(__xludf.DUMMYFUNCTION("""COMPUTED_VALUE"""),8)</f>
        <v>8</v>
      </c>
    </row>
    <row r="157" spans="1:36" ht="13">
      <c r="A157">
        <f t="shared" ca="1" si="0"/>
        <v>156</v>
      </c>
      <c r="C157" s="57">
        <f ca="1">IFERROR(__xludf.DUMMYFUNCTION("""COMPUTED_VALUE"""),110.428571428571)</f>
        <v>110.428571428571</v>
      </c>
      <c r="E157" s="57">
        <f ca="1">IFERROR(__xludf.DUMMYFUNCTION("""COMPUTED_VALUE"""),1780.71428571428)</f>
        <v>1780.7142857142801</v>
      </c>
      <c r="G157">
        <f ca="1">IFERROR(__xludf.DUMMYFUNCTION("""COMPUTED_VALUE"""),140854)</f>
        <v>140854</v>
      </c>
      <c r="I157" s="58">
        <f ca="1">IFERROR(__xludf.DUMMYFUNCTION("""COMPUTED_VALUE"""),4198)</f>
        <v>4198</v>
      </c>
      <c r="J157" s="57">
        <f ca="1">IFERROR(__xludf.DUMMYFUNCTION("""COMPUTED_VALUE"""),1)</f>
        <v>1</v>
      </c>
      <c r="K157" s="57">
        <f ca="1">IFERROR(__xludf.DUMMYFUNCTION("""COMPUTED_VALUE"""),31.1428571428571)</f>
        <v>31.1428571428571</v>
      </c>
      <c r="L157">
        <f ca="1">IFERROR(__xludf.DUMMYFUNCTION("""COMPUTED_VALUE"""),37969)</f>
        <v>37969</v>
      </c>
      <c r="M157" s="58">
        <f ca="1">IFERROR(__xludf.DUMMYFUNCTION("""COMPUTED_VALUE"""),255)</f>
        <v>255</v>
      </c>
      <c r="S157" s="13">
        <f ca="1">IFERROR(__xludf.DUMMYFUNCTION("""COMPUTED_VALUE"""),0.131425964615751)</f>
        <v>0.13142596461575101</v>
      </c>
      <c r="T157" s="13">
        <f ca="1">IFERROR(__xludf.DUMMYFUNCTION("""COMPUTED_VALUE"""),0.00512615171193351)</f>
        <v>5.1261517119335102E-3</v>
      </c>
      <c r="W157">
        <f ca="1">IFERROR(__xludf.DUMMYFUNCTION("""COMPUTED_VALUE"""),5297)</f>
        <v>5297</v>
      </c>
      <c r="X157">
        <f ca="1">IFERROR(__xludf.DUMMYFUNCTION("""COMPUTED_VALUE"""),88)</f>
        <v>88</v>
      </c>
      <c r="AA157">
        <f ca="1">IFERROR(__xludf.DUMMYFUNCTION("""COMPUTED_VALUE"""),372)</f>
        <v>372</v>
      </c>
      <c r="AB157">
        <f ca="1">IFERROR(__xludf.DUMMYFUNCTION("""COMPUTED_VALUE"""),21)</f>
        <v>21</v>
      </c>
    </row>
    <row r="158" spans="1:36" ht="13">
      <c r="A158">
        <f t="shared" ca="1" si="0"/>
        <v>157</v>
      </c>
      <c r="C158" s="57">
        <f ca="1">IFERROR(__xludf.DUMMYFUNCTION("""COMPUTED_VALUE"""),110.428571428571)</f>
        <v>110.428571428571</v>
      </c>
      <c r="E158" s="57">
        <f ca="1">IFERROR(__xludf.DUMMYFUNCTION("""COMPUTED_VALUE"""),1967.28571428571)</f>
        <v>1967.2857142857099</v>
      </c>
      <c r="G158">
        <f ca="1">IFERROR(__xludf.DUMMYFUNCTION("""COMPUTED_VALUE"""),136733)</f>
        <v>136733</v>
      </c>
      <c r="I158" s="58">
        <f ca="1">IFERROR(__xludf.DUMMYFUNCTION("""COMPUTED_VALUE"""),4252.71428571428)</f>
        <v>4252.7142857142799</v>
      </c>
      <c r="J158" s="57">
        <f ca="1">IFERROR(__xludf.DUMMYFUNCTION("""COMPUTED_VALUE"""),1)</f>
        <v>1</v>
      </c>
      <c r="K158" s="57">
        <f ca="1">IFERROR(__xludf.DUMMYFUNCTION("""COMPUTED_VALUE"""),30)</f>
        <v>30</v>
      </c>
      <c r="L158">
        <f ca="1">IFERROR(__xludf.DUMMYFUNCTION("""COMPUTED_VALUE"""),37804)</f>
        <v>37804</v>
      </c>
      <c r="M158" s="58">
        <f ca="1">IFERROR(__xludf.DUMMYFUNCTION("""COMPUTED_VALUE"""),250.428571428571)</f>
        <v>250.42857142857099</v>
      </c>
      <c r="S158" s="13">
        <f ca="1">IFERROR(__xludf.DUMMYFUNCTION("""COMPUTED_VALUE"""),0.130374991984145)</f>
        <v>0.13037499198414501</v>
      </c>
      <c r="T158" s="13">
        <f ca="1">IFERROR(__xludf.DUMMYFUNCTION("""COMPUTED_VALUE"""),0.0057563369591823)</f>
        <v>5.7563369591823003E-3</v>
      </c>
      <c r="W158">
        <f ca="1">IFERROR(__xludf.DUMMYFUNCTION("""COMPUTED_VALUE"""),5126)</f>
        <v>5126</v>
      </c>
      <c r="X158">
        <f ca="1">IFERROR(__xludf.DUMMYFUNCTION("""COMPUTED_VALUE"""),80)</f>
        <v>80</v>
      </c>
      <c r="AA158">
        <f ca="1">IFERROR(__xludf.DUMMYFUNCTION("""COMPUTED_VALUE"""),365)</f>
        <v>365</v>
      </c>
      <c r="AB158">
        <f ca="1">IFERROR(__xludf.DUMMYFUNCTION("""COMPUTED_VALUE"""),17)</f>
        <v>17</v>
      </c>
    </row>
    <row r="159" spans="1:36" ht="13">
      <c r="A159">
        <f t="shared" ca="1" si="0"/>
        <v>158</v>
      </c>
      <c r="C159" s="57">
        <f ca="1">IFERROR(__xludf.DUMMYFUNCTION("""COMPUTED_VALUE"""),109.142857142857)</f>
        <v>109.142857142857</v>
      </c>
      <c r="E159" s="57">
        <f ca="1">IFERROR(__xludf.DUMMYFUNCTION("""COMPUTED_VALUE"""),2034.57142857142)</f>
        <v>2034.57142857142</v>
      </c>
      <c r="G159">
        <f ca="1">IFERROR(__xludf.DUMMYFUNCTION("""COMPUTED_VALUE"""),133653)</f>
        <v>133653</v>
      </c>
      <c r="I159" s="58">
        <f ca="1">IFERROR(__xludf.DUMMYFUNCTION("""COMPUTED_VALUE"""),4222.14285714285)</f>
        <v>4222.1428571428496</v>
      </c>
      <c r="J159" s="57">
        <f ca="1">IFERROR(__xludf.DUMMYFUNCTION("""COMPUTED_VALUE"""),1.71428571428571)</f>
        <v>1.71428571428571</v>
      </c>
      <c r="K159" s="57">
        <f ca="1">IFERROR(__xludf.DUMMYFUNCTION("""COMPUTED_VALUE"""),33.2857142857142)</f>
        <v>33.285714285714199</v>
      </c>
      <c r="L159">
        <f ca="1">IFERROR(__xludf.DUMMYFUNCTION("""COMPUTED_VALUE"""),37599)</f>
        <v>37599</v>
      </c>
      <c r="M159" s="58">
        <f ca="1">IFERROR(__xludf.DUMMYFUNCTION("""COMPUTED_VALUE"""),226.571428571428)</f>
        <v>226.57142857142799</v>
      </c>
      <c r="S159" s="13">
        <f ca="1">IFERROR(__xludf.DUMMYFUNCTION("""COMPUTED_VALUE"""),0.112233676682496)</f>
        <v>0.11223367668249599</v>
      </c>
      <c r="T159" s="13">
        <f ca="1">IFERROR(__xludf.DUMMYFUNCTION("""COMPUTED_VALUE"""),0.00688713787540111)</f>
        <v>6.8871378754011099E-3</v>
      </c>
      <c r="W159">
        <f ca="1">IFERROR(__xludf.DUMMYFUNCTION("""COMPUTED_VALUE"""),4980)</f>
        <v>4980</v>
      </c>
      <c r="X159">
        <f ca="1">IFERROR(__xludf.DUMMYFUNCTION("""COMPUTED_VALUE"""),72)</f>
        <v>72</v>
      </c>
      <c r="AA159">
        <f ca="1">IFERROR(__xludf.DUMMYFUNCTION("""COMPUTED_VALUE"""),357)</f>
        <v>357</v>
      </c>
      <c r="AB159">
        <f ca="1">IFERROR(__xludf.DUMMYFUNCTION("""COMPUTED_VALUE"""),13)</f>
        <v>13</v>
      </c>
    </row>
    <row r="160" spans="1:36" ht="13">
      <c r="A160">
        <f t="shared" ca="1" si="0"/>
        <v>159</v>
      </c>
      <c r="C160" s="57">
        <f ca="1">IFERROR(__xludf.DUMMYFUNCTION("""COMPUTED_VALUE"""),106.857142857142)</f>
        <v>106.85714285714199</v>
      </c>
      <c r="E160" s="57">
        <f ca="1">IFERROR(__xludf.DUMMYFUNCTION("""COMPUTED_VALUE"""),2115)</f>
        <v>2115</v>
      </c>
      <c r="G160" s="20">
        <f ca="1">IFERROR(__xludf.DUMMYFUNCTION("""COMPUTED_VALUE"""),128959)</f>
        <v>128959</v>
      </c>
      <c r="I160" s="58">
        <f ca="1">IFERROR(__xludf.DUMMYFUNCTION("""COMPUTED_VALUE"""),4271.71428571428)</f>
        <v>4271.7142857142799</v>
      </c>
      <c r="J160" s="57">
        <f ca="1">IFERROR(__xludf.DUMMYFUNCTION("""COMPUTED_VALUE"""),1.71428571428571)</f>
        <v>1.71428571428571</v>
      </c>
      <c r="K160" s="57">
        <f ca="1">IFERROR(__xludf.DUMMYFUNCTION("""COMPUTED_VALUE"""),34.2857142857142)</f>
        <v>34.285714285714199</v>
      </c>
      <c r="L160">
        <f ca="1">IFERROR(__xludf.DUMMYFUNCTION("""COMPUTED_VALUE"""),37350)</f>
        <v>37350</v>
      </c>
      <c r="M160" s="58">
        <f ca="1">IFERROR(__xludf.DUMMYFUNCTION("""COMPUTED_VALUE"""),217.428571428571)</f>
        <v>217.42857142857099</v>
      </c>
      <c r="S160" s="13">
        <f ca="1">IFERROR(__xludf.DUMMYFUNCTION("""COMPUTED_VALUE"""),0.114352016434366)</f>
        <v>0.114352016434366</v>
      </c>
      <c r="T160" s="13">
        <f ca="1">IFERROR(__xludf.DUMMYFUNCTION("""COMPUTED_VALUE"""),0.00655253634364383)</f>
        <v>6.5525363436438298E-3</v>
      </c>
      <c r="W160">
        <f ca="1">IFERROR(__xludf.DUMMYFUNCTION("""COMPUTED_VALUE"""),5065)</f>
        <v>5065</v>
      </c>
      <c r="X160">
        <f ca="1">IFERROR(__xludf.DUMMYFUNCTION("""COMPUTED_VALUE"""),87)</f>
        <v>87</v>
      </c>
      <c r="AA160">
        <f ca="1">IFERROR(__xludf.DUMMYFUNCTION("""COMPUTED_VALUE"""),367)</f>
        <v>367</v>
      </c>
      <c r="AB160">
        <f ca="1">IFERROR(__xludf.DUMMYFUNCTION("""COMPUTED_VALUE"""),13)</f>
        <v>13</v>
      </c>
    </row>
    <row r="161" spans="1:36" ht="13">
      <c r="A161">
        <f t="shared" ca="1" si="0"/>
        <v>160</v>
      </c>
      <c r="C161" s="57">
        <f ca="1">IFERROR(__xludf.DUMMYFUNCTION("""COMPUTED_VALUE"""),110.428571428571)</f>
        <v>110.428571428571</v>
      </c>
      <c r="E161" s="57">
        <f ca="1">IFERROR(__xludf.DUMMYFUNCTION("""COMPUTED_VALUE"""),2090.14285714285)</f>
        <v>2090.1428571428501</v>
      </c>
      <c r="G161" s="20">
        <f ca="1">IFERROR(__xludf.DUMMYFUNCTION("""COMPUTED_VALUE"""),123647)</f>
        <v>123647</v>
      </c>
      <c r="I161" s="58">
        <f ca="1">IFERROR(__xludf.DUMMYFUNCTION("""COMPUTED_VALUE"""),4753.71428571428)</f>
        <v>4753.7142857142799</v>
      </c>
      <c r="S161" s="13">
        <f ca="1">IFERROR(__xludf.DUMMYFUNCTION("""COMPUTED_VALUE"""),0.107384233823096)</f>
        <v>0.107384233823096</v>
      </c>
      <c r="W161">
        <f ca="1">IFERROR(__xludf.DUMMYFUNCTION("""COMPUTED_VALUE"""),5005)</f>
        <v>5005</v>
      </c>
      <c r="AA161">
        <f ca="1">IFERROR(__xludf.DUMMYFUNCTION("""COMPUTED_VALUE"""),356)</f>
        <v>356</v>
      </c>
    </row>
    <row r="162" spans="1:36" ht="13">
      <c r="A162">
        <f t="shared" ca="1" si="0"/>
        <v>161</v>
      </c>
      <c r="C162" s="57">
        <f ca="1">IFERROR(__xludf.DUMMYFUNCTION("""COMPUTED_VALUE"""),107.142857142857)</f>
        <v>107.142857142857</v>
      </c>
      <c r="E162" s="57">
        <f ca="1">IFERROR(__xludf.DUMMYFUNCTION("""COMPUTED_VALUE"""),1991.71428571428)</f>
        <v>1991.7142857142801</v>
      </c>
      <c r="G162">
        <f ca="1">IFERROR(__xludf.DUMMYFUNCTION("""COMPUTED_VALUE"""),119309)</f>
        <v>119309</v>
      </c>
      <c r="I162" s="58">
        <f ca="1">IFERROR(__xludf.DUMMYFUNCTION("""COMPUTED_VALUE"""),5130.28571428571)</f>
        <v>5130.2857142857101</v>
      </c>
      <c r="S162" s="13">
        <f ca="1">IFERROR(__xludf.DUMMYFUNCTION("""COMPUTED_VALUE"""),0.104976575511327)</f>
        <v>0.104976575511327</v>
      </c>
      <c r="W162">
        <f ca="1">IFERROR(__xludf.DUMMYFUNCTION("""COMPUTED_VALUE"""),4870)</f>
        <v>4870</v>
      </c>
      <c r="AA162">
        <f ca="1">IFERROR(__xludf.DUMMYFUNCTION("""COMPUTED_VALUE"""),339)</f>
        <v>339</v>
      </c>
    </row>
    <row r="163" spans="1:36" ht="13">
      <c r="A163">
        <f t="shared" ca="1" si="0"/>
        <v>162</v>
      </c>
      <c r="C163" s="57">
        <f ca="1">IFERROR(__xludf.DUMMYFUNCTION("""COMPUTED_VALUE"""),105.857142857142)</f>
        <v>105.85714285714199</v>
      </c>
      <c r="E163" s="57">
        <f ca="1">IFERROR(__xludf.DUMMYFUNCTION("""COMPUTED_VALUE"""),1828.57142857142)</f>
        <v>1828.57142857142</v>
      </c>
      <c r="G163">
        <f ca="1">IFERROR(__xludf.DUMMYFUNCTION("""COMPUTED_VALUE"""),116266)</f>
        <v>116266</v>
      </c>
      <c r="I163" s="58">
        <f ca="1">IFERROR(__xludf.DUMMYFUNCTION("""COMPUTED_VALUE"""),5329.85714285714)</f>
        <v>5329.8571428571404</v>
      </c>
      <c r="J163" s="57">
        <f ca="1">IFERROR(__xludf.DUMMYFUNCTION("""COMPUTED_VALUE"""),1.57142857142857)</f>
        <v>1.5714285714285701</v>
      </c>
      <c r="K163" s="57">
        <f ca="1">IFERROR(__xludf.DUMMYFUNCTION("""COMPUTED_VALUE"""),39.5714285714285)</f>
        <v>39.571428571428498</v>
      </c>
      <c r="L163">
        <f ca="1">IFERROR(__xludf.DUMMYFUNCTION("""COMPUTED_VALUE"""),37023)</f>
        <v>37023</v>
      </c>
      <c r="M163" s="58">
        <f ca="1">IFERROR(__xludf.DUMMYFUNCTION("""COMPUTED_VALUE"""),187.714285714285)</f>
        <v>187.71428571428501</v>
      </c>
      <c r="S163" s="13">
        <f ca="1">IFERROR(__xludf.DUMMYFUNCTION("""COMPUTED_VALUE"""),0.100946292484078)</f>
        <v>0.10094629248407801</v>
      </c>
      <c r="T163" s="13">
        <f ca="1">IFERROR(__xludf.DUMMYFUNCTION("""COMPUTED_VALUE"""),0.00694434509025507)</f>
        <v>6.9443450902550701E-3</v>
      </c>
      <c r="W163">
        <f ca="1">IFERROR(__xludf.DUMMYFUNCTION("""COMPUTED_VALUE"""),4689)</f>
        <v>4689</v>
      </c>
      <c r="X163">
        <f ca="1">IFERROR(__xludf.DUMMYFUNCTION("""COMPUTED_VALUE"""),73)</f>
        <v>73</v>
      </c>
      <c r="AA163">
        <f ca="1">IFERROR(__xludf.DUMMYFUNCTION("""COMPUTED_VALUE"""),344)</f>
        <v>344</v>
      </c>
      <c r="AB163">
        <f ca="1">IFERROR(__xludf.DUMMYFUNCTION("""COMPUTED_VALUE"""),12)</f>
        <v>12</v>
      </c>
      <c r="AD163" s="57">
        <f ca="1">IFERROR(__xludf.DUMMYFUNCTION("""COMPUTED_VALUE"""),3.28571428571428)</f>
        <v>3.2857142857142798</v>
      </c>
      <c r="AE163" s="57">
        <f ca="1">IFERROR(__xludf.DUMMYFUNCTION("""COMPUTED_VALUE"""),233.714285714285)</f>
        <v>233.71428571428501</v>
      </c>
      <c r="AF163">
        <f ca="1">IFERROR(__xludf.DUMMYFUNCTION("""COMPUTED_VALUE"""),14194)</f>
        <v>14194</v>
      </c>
      <c r="AG163" s="58">
        <f ca="1">IFERROR(__xludf.DUMMYFUNCTION("""COMPUTED_VALUE"""),1320)</f>
        <v>1320</v>
      </c>
      <c r="AH163" s="13">
        <f ca="1">IFERROR(__xludf.DUMMYFUNCTION("""COMPUTED_VALUE"""),0)</f>
        <v>0</v>
      </c>
      <c r="AI163">
        <f ca="1">IFERROR(__xludf.DUMMYFUNCTION("""COMPUTED_VALUE"""),232)</f>
        <v>232</v>
      </c>
      <c r="AJ163">
        <f ca="1">IFERROR(__xludf.DUMMYFUNCTION("""COMPUTED_VALUE"""),7)</f>
        <v>7</v>
      </c>
    </row>
    <row r="164" spans="1:36" ht="13">
      <c r="A164">
        <f t="shared" ca="1" si="0"/>
        <v>163</v>
      </c>
      <c r="C164" s="57">
        <f ca="1">IFERROR(__xludf.DUMMYFUNCTION("""COMPUTED_VALUE"""),105.285714285714)</f>
        <v>105.28571428571399</v>
      </c>
      <c r="E164" s="57">
        <f ca="1">IFERROR(__xludf.DUMMYFUNCTION("""COMPUTED_VALUE"""),1629.42857142857)</f>
        <v>1629.42857142857</v>
      </c>
      <c r="G164">
        <f ca="1">IFERROR(__xludf.DUMMYFUNCTION("""COMPUTED_VALUE"""),112951)</f>
        <v>112951</v>
      </c>
      <c r="I164" s="58">
        <f ca="1">IFERROR(__xludf.DUMMYFUNCTION("""COMPUTED_VALUE"""),5510.28571428571)</f>
        <v>5510.2857142857101</v>
      </c>
      <c r="J164" s="57">
        <f ca="1">IFERROR(__xludf.DUMMYFUNCTION("""COMPUTED_VALUE"""),1.71428571428571)</f>
        <v>1.71428571428571</v>
      </c>
      <c r="K164" s="57">
        <f ca="1">IFERROR(__xludf.DUMMYFUNCTION("""COMPUTED_VALUE"""),37.4285714285714)</f>
        <v>37.428571428571402</v>
      </c>
      <c r="L164">
        <f ca="1">IFERROR(__xludf.DUMMYFUNCTION("""COMPUTED_VALUE"""),36883)</f>
        <v>36883</v>
      </c>
      <c r="M164" s="58">
        <f ca="1">IFERROR(__xludf.DUMMYFUNCTION("""COMPUTED_VALUE"""),190.857142857142)</f>
        <v>190.85714285714201</v>
      </c>
      <c r="S164" s="13">
        <f ca="1">IFERROR(__xludf.DUMMYFUNCTION("""COMPUTED_VALUE"""),0.0949775723811185)</f>
        <v>9.4977572381118494E-2</v>
      </c>
      <c r="T164" s="13">
        <f ca="1">IFERROR(__xludf.DUMMYFUNCTION("""COMPUTED_VALUE"""),0.00625968730386984)</f>
        <v>6.2596873038698398E-3</v>
      </c>
      <c r="W164">
        <f ca="1">IFERROR(__xludf.DUMMYFUNCTION("""COMPUTED_VALUE"""),4600)</f>
        <v>4600</v>
      </c>
      <c r="X164">
        <f ca="1">IFERROR(__xludf.DUMMYFUNCTION("""COMPUTED_VALUE"""),86)</f>
        <v>86</v>
      </c>
      <c r="AA164">
        <f ca="1">IFERROR(__xludf.DUMMYFUNCTION("""COMPUTED_VALUE"""),337)</f>
        <v>337</v>
      </c>
      <c r="AB164">
        <f ca="1">IFERROR(__xludf.DUMMYFUNCTION("""COMPUTED_VALUE"""),12)</f>
        <v>12</v>
      </c>
    </row>
    <row r="165" spans="1:36" ht="13">
      <c r="A165">
        <f t="shared" ca="1" si="0"/>
        <v>164</v>
      </c>
      <c r="C165" s="57">
        <f ca="1">IFERROR(__xludf.DUMMYFUNCTION("""COMPUTED_VALUE"""),101.428571428571)</f>
        <v>101.428571428571</v>
      </c>
      <c r="E165" s="57">
        <f ca="1">IFERROR(__xludf.DUMMYFUNCTION("""COMPUTED_VALUE"""),1446.85714285714)</f>
        <v>1446.8571428571399</v>
      </c>
      <c r="G165">
        <f ca="1">IFERROR(__xludf.DUMMYFUNCTION("""COMPUTED_VALUE"""),111998)</f>
        <v>111998</v>
      </c>
      <c r="I165" s="58">
        <f ca="1">IFERROR(__xludf.DUMMYFUNCTION("""COMPUTED_VALUE"""),4879)</f>
        <v>4879</v>
      </c>
      <c r="J165" s="57">
        <f ca="1">IFERROR(__xludf.DUMMYFUNCTION("""COMPUTED_VALUE"""),2)</f>
        <v>2</v>
      </c>
      <c r="K165" s="57">
        <f ca="1">IFERROR(__xludf.DUMMYFUNCTION("""COMPUTED_VALUE"""),39.1428571428571)</f>
        <v>39.142857142857103</v>
      </c>
      <c r="L165">
        <f ca="1">IFERROR(__xludf.DUMMYFUNCTION("""COMPUTED_VALUE"""),36703)</f>
        <v>36703</v>
      </c>
      <c r="M165" s="58">
        <f ca="1">IFERROR(__xludf.DUMMYFUNCTION("""COMPUTED_VALUE"""),194.428571428571)</f>
        <v>194.42857142857099</v>
      </c>
      <c r="S165" s="13">
        <f ca="1">IFERROR(__xludf.DUMMYFUNCTION("""COMPUTED_VALUE"""),0.0883998977850362)</f>
        <v>8.8399897785036194E-2</v>
      </c>
      <c r="T165" s="13">
        <f ca="1">IFERROR(__xludf.DUMMYFUNCTION("""COMPUTED_VALUE"""),0.00608664049242293)</f>
        <v>6.0866404924229296E-3</v>
      </c>
      <c r="W165">
        <f ca="1">IFERROR(__xludf.DUMMYFUNCTION("""COMPUTED_VALUE"""),4408)</f>
        <v>4408</v>
      </c>
      <c r="X165">
        <f ca="1">IFERROR(__xludf.DUMMYFUNCTION("""COMPUTED_VALUE"""),84)</f>
        <v>84</v>
      </c>
      <c r="AA165">
        <f ca="1">IFERROR(__xludf.DUMMYFUNCTION("""COMPUTED_VALUE"""),328)</f>
        <v>328</v>
      </c>
      <c r="AB165">
        <f ca="1">IFERROR(__xludf.DUMMYFUNCTION("""COMPUTED_VALUE"""),11)</f>
        <v>11</v>
      </c>
    </row>
    <row r="166" spans="1:36" ht="13">
      <c r="A166">
        <f t="shared" ca="1" si="0"/>
        <v>165</v>
      </c>
      <c r="C166" s="57">
        <f ca="1">IFERROR(__xludf.DUMMYFUNCTION("""COMPUTED_VALUE"""),99)</f>
        <v>99</v>
      </c>
      <c r="E166" s="57">
        <f ca="1">IFERROR(__xludf.DUMMYFUNCTION("""COMPUTED_VALUE"""),1370.14285714285)</f>
        <v>1370.1428571428501</v>
      </c>
      <c r="G166">
        <f ca="1">IFERROR(__xludf.DUMMYFUNCTION("""COMPUTED_VALUE"""),111872)</f>
        <v>111872</v>
      </c>
      <c r="I166" s="58">
        <f ca="1">IFERROR(__xludf.DUMMYFUNCTION("""COMPUTED_VALUE"""),4382.71428571428)</f>
        <v>4382.7142857142799</v>
      </c>
      <c r="J166" s="57">
        <f ca="1">IFERROR(__xludf.DUMMYFUNCTION("""COMPUTED_VALUE"""),1.28571428571428)</f>
        <v>1.28571428571428</v>
      </c>
      <c r="K166" s="57">
        <f ca="1">IFERROR(__xludf.DUMMYFUNCTION("""COMPUTED_VALUE"""),38.2857142857142)</f>
        <v>38.285714285714199</v>
      </c>
      <c r="L166">
        <f ca="1">IFERROR(__xludf.DUMMYFUNCTION("""COMPUTED_VALUE"""),36378)</f>
        <v>36378</v>
      </c>
      <c r="M166" s="58">
        <f ca="1">IFERROR(__xludf.DUMMYFUNCTION("""COMPUTED_VALUE"""),211.428571428571)</f>
        <v>211.42857142857099</v>
      </c>
      <c r="S166" s="13">
        <f ca="1">IFERROR(__xludf.DUMMYFUNCTION("""COMPUTED_VALUE"""),0.0854758722367214)</f>
        <v>8.5475872236721401E-2</v>
      </c>
      <c r="T166" s="13">
        <f ca="1">IFERROR(__xludf.DUMMYFUNCTION("""COMPUTED_VALUE"""),0.00549295225982203)</f>
        <v>5.4929522598220299E-3</v>
      </c>
      <c r="W166">
        <f ca="1">IFERROR(__xludf.DUMMYFUNCTION("""COMPUTED_VALUE"""),4345)</f>
        <v>4345</v>
      </c>
      <c r="X166">
        <f ca="1">IFERROR(__xludf.DUMMYFUNCTION("""COMPUTED_VALUE"""),83)</f>
        <v>83</v>
      </c>
      <c r="AA166">
        <f ca="1">IFERROR(__xludf.DUMMYFUNCTION("""COMPUTED_VALUE"""),329)</f>
        <v>329</v>
      </c>
      <c r="AB166">
        <f ca="1">IFERROR(__xludf.DUMMYFUNCTION("""COMPUTED_VALUE"""),9)</f>
        <v>9</v>
      </c>
    </row>
    <row r="167" spans="1:36" ht="13">
      <c r="A167">
        <f t="shared" ca="1" si="0"/>
        <v>166</v>
      </c>
      <c r="C167" s="57">
        <f ca="1">IFERROR(__xludf.DUMMYFUNCTION("""COMPUTED_VALUE"""),97.7142857142857)</f>
        <v>97.714285714285694</v>
      </c>
      <c r="E167" s="57">
        <f ca="1">IFERROR(__xludf.DUMMYFUNCTION("""COMPUTED_VALUE"""),1292.42857142857)</f>
        <v>1292.42857142857</v>
      </c>
      <c r="G167">
        <f ca="1">IFERROR(__xludf.DUMMYFUNCTION("""COMPUTED_VALUE"""),110853)</f>
        <v>110853</v>
      </c>
      <c r="I167" s="58">
        <f ca="1">IFERROR(__xludf.DUMMYFUNCTION("""COMPUTED_VALUE"""),3781.28571428571)</f>
        <v>3781.2857142857101</v>
      </c>
      <c r="J167" s="57">
        <f ca="1">IFERROR(__xludf.DUMMYFUNCTION("""COMPUTED_VALUE"""),1.57142857142857)</f>
        <v>1.5714285714285701</v>
      </c>
      <c r="K167" s="57">
        <f ca="1">IFERROR(__xludf.DUMMYFUNCTION("""COMPUTED_VALUE"""),41.1428571428571)</f>
        <v>41.142857142857103</v>
      </c>
      <c r="L167">
        <f ca="1">IFERROR(__xludf.DUMMYFUNCTION("""COMPUTED_VALUE"""),36078)</f>
        <v>36078</v>
      </c>
      <c r="M167" s="58">
        <f ca="1">IFERROR(__xludf.DUMMYFUNCTION("""COMPUTED_VALUE"""),221.285714285714)</f>
        <v>221.28571428571399</v>
      </c>
      <c r="S167" s="13">
        <f ca="1">IFERROR(__xludf.DUMMYFUNCTION("""COMPUTED_VALUE"""),0.0819676274823978)</f>
        <v>8.1967627482397803E-2</v>
      </c>
      <c r="T167" s="13">
        <f ca="1">IFERROR(__xludf.DUMMYFUNCTION("""COMPUTED_VALUE"""),0.00628635662591874)</f>
        <v>6.2863566259187403E-3</v>
      </c>
      <c r="W167">
        <f ca="1">IFERROR(__xludf.DUMMYFUNCTION("""COMPUTED_VALUE"""),4445)</f>
        <v>4445</v>
      </c>
      <c r="X167">
        <f ca="1">IFERROR(__xludf.DUMMYFUNCTION("""COMPUTED_VALUE"""),86)</f>
        <v>86</v>
      </c>
      <c r="AA167">
        <f ca="1">IFERROR(__xludf.DUMMYFUNCTION("""COMPUTED_VALUE"""),330)</f>
        <v>330</v>
      </c>
      <c r="AB167">
        <f ca="1">IFERROR(__xludf.DUMMYFUNCTION("""COMPUTED_VALUE"""),10)</f>
        <v>10</v>
      </c>
    </row>
    <row r="168" spans="1:36" ht="13">
      <c r="A168">
        <f t="shared" ca="1" si="0"/>
        <v>167</v>
      </c>
      <c r="C168" s="57">
        <f ca="1">IFERROR(__xludf.DUMMYFUNCTION("""COMPUTED_VALUE"""),95.2857142857142)</f>
        <v>95.285714285714207</v>
      </c>
      <c r="E168" s="57">
        <f ca="1">IFERROR(__xludf.DUMMYFUNCTION("""COMPUTED_VALUE"""),1274.85714285714)</f>
        <v>1274.8571428571399</v>
      </c>
      <c r="G168">
        <f ca="1">IFERROR(__xludf.DUMMYFUNCTION("""COMPUTED_VALUE"""),109841)</f>
        <v>109841</v>
      </c>
      <c r="I168" s="58">
        <f ca="1">IFERROR(__xludf.DUMMYFUNCTION("""COMPUTED_VALUE"""),3151.85714285714)</f>
        <v>3151.8571428571399</v>
      </c>
      <c r="S168" s="13">
        <f ca="1">IFERROR(__xludf.DUMMYFUNCTION("""COMPUTED_VALUE"""),0.0858326652440157)</f>
        <v>8.5832665244015699E-2</v>
      </c>
      <c r="W168">
        <f ca="1">IFERROR(__xludf.DUMMYFUNCTION("""COMPUTED_VALUE"""),4445)</f>
        <v>4445</v>
      </c>
      <c r="AA168">
        <f ca="1">IFERROR(__xludf.DUMMYFUNCTION("""COMPUTED_VALUE"""),309)</f>
        <v>309</v>
      </c>
    </row>
    <row r="169" spans="1:36" ht="13">
      <c r="A169">
        <f t="shared" ca="1" si="0"/>
        <v>168</v>
      </c>
      <c r="C169" s="57">
        <f ca="1">IFERROR(__xludf.DUMMYFUNCTION("""COMPUTED_VALUE"""),95.2857142857142)</f>
        <v>95.285714285714207</v>
      </c>
      <c r="E169" s="57">
        <f ca="1">IFERROR(__xludf.DUMMYFUNCTION("""COMPUTED_VALUE"""),1220.28571428571)</f>
        <v>1220.2857142857099</v>
      </c>
      <c r="G169">
        <f ca="1">IFERROR(__xludf.DUMMYFUNCTION("""COMPUTED_VALUE"""),109405)</f>
        <v>109405</v>
      </c>
      <c r="I169" s="58">
        <f ca="1">IFERROR(__xludf.DUMMYFUNCTION("""COMPUTED_VALUE"""),2539.85714285714)</f>
        <v>2539.8571428571399</v>
      </c>
      <c r="S169" s="13">
        <f ca="1">IFERROR(__xludf.DUMMYFUNCTION("""COMPUTED_VALUE"""),0.0840860075704956)</f>
        <v>8.4086007570495599E-2</v>
      </c>
      <c r="W169">
        <f ca="1">IFERROR(__xludf.DUMMYFUNCTION("""COMPUTED_VALUE"""),4218)</f>
        <v>4218</v>
      </c>
      <c r="AA169">
        <f ca="1">IFERROR(__xludf.DUMMYFUNCTION("""COMPUTED_VALUE"""),294)</f>
        <v>294</v>
      </c>
    </row>
    <row r="170" spans="1:36" ht="13">
      <c r="A170">
        <f t="shared" ca="1" si="0"/>
        <v>169</v>
      </c>
      <c r="C170" s="57">
        <f ca="1">IFERROR(__xludf.DUMMYFUNCTION("""COMPUTED_VALUE"""),92.4285714285714)</f>
        <v>92.428571428571402</v>
      </c>
      <c r="E170" s="57">
        <f ca="1">IFERROR(__xludf.DUMMYFUNCTION("""COMPUTED_VALUE"""),1146.57142857142)</f>
        <v>1146.57142857142</v>
      </c>
      <c r="G170">
        <f ca="1">IFERROR(__xludf.DUMMYFUNCTION("""COMPUTED_VALUE"""),108673)</f>
        <v>108673</v>
      </c>
      <c r="I170" s="58">
        <f ca="1">IFERROR(__xludf.DUMMYFUNCTION("""COMPUTED_VALUE"""),2138.85714285714)</f>
        <v>2138.8571428571399</v>
      </c>
      <c r="J170" s="57">
        <f ca="1">IFERROR(__xludf.DUMMYFUNCTION("""COMPUTED_VALUE"""),1.42857142857142)</f>
        <v>1.4285714285714199</v>
      </c>
      <c r="K170" s="57">
        <f ca="1">IFERROR(__xludf.DUMMYFUNCTION("""COMPUTED_VALUE"""),46.4285714285714)</f>
        <v>46.428571428571402</v>
      </c>
      <c r="L170">
        <f ca="1">IFERROR(__xludf.DUMMYFUNCTION("""COMPUTED_VALUE"""),35602)</f>
        <v>35602</v>
      </c>
      <c r="M170" s="58">
        <f ca="1">IFERROR(__xludf.DUMMYFUNCTION("""COMPUTED_VALUE"""),248)</f>
        <v>248</v>
      </c>
      <c r="S170" s="13">
        <f ca="1">IFERROR(__xludf.DUMMYFUNCTION("""COMPUTED_VALUE"""),0.0830035690610526)</f>
        <v>8.3003569061052607E-2</v>
      </c>
      <c r="T170" s="13">
        <f ca="1">IFERROR(__xludf.DUMMYFUNCTION("""COMPUTED_VALUE"""),0.00664610747464775)</f>
        <v>6.64610747464775E-3</v>
      </c>
      <c r="W170">
        <f ca="1">IFERROR(__xludf.DUMMYFUNCTION("""COMPUTED_VALUE"""),4049)</f>
        <v>4049</v>
      </c>
      <c r="X170">
        <f ca="1">IFERROR(__xludf.DUMMYFUNCTION("""COMPUTED_VALUE"""),76)</f>
        <v>76</v>
      </c>
      <c r="AA170">
        <f ca="1">IFERROR(__xludf.DUMMYFUNCTION("""COMPUTED_VALUE"""),286)</f>
        <v>286</v>
      </c>
      <c r="AB170">
        <f ca="1">IFERROR(__xludf.DUMMYFUNCTION("""COMPUTED_VALUE"""),11)</f>
        <v>11</v>
      </c>
      <c r="AD170" s="57">
        <f ca="1">IFERROR(__xludf.DUMMYFUNCTION("""COMPUTED_VALUE"""),4.57142857142857)</f>
        <v>4.5714285714285703</v>
      </c>
      <c r="AE170" s="57">
        <f ca="1">IFERROR(__xludf.DUMMYFUNCTION("""COMPUTED_VALUE"""),280.142857142857)</f>
        <v>280.142857142857</v>
      </c>
      <c r="AF170">
        <f ca="1">IFERROR(__xludf.DUMMYFUNCTION("""COMPUTED_VALUE"""),9213)</f>
        <v>9213</v>
      </c>
      <c r="AG170" s="58">
        <f ca="1">IFERROR(__xludf.DUMMYFUNCTION("""COMPUTED_VALUE"""),987.142857142857)</f>
        <v>987.142857142857</v>
      </c>
      <c r="AH170" s="13">
        <f ca="1">IFERROR(__xludf.DUMMYFUNCTION("""COMPUTED_VALUE"""),0)</f>
        <v>0</v>
      </c>
      <c r="AI170">
        <f ca="1">IFERROR(__xludf.DUMMYFUNCTION("""COMPUTED_VALUE"""),197)</f>
        <v>197</v>
      </c>
      <c r="AJ170">
        <f ca="1">IFERROR(__xludf.DUMMYFUNCTION("""COMPUTED_VALUE"""),6)</f>
        <v>6</v>
      </c>
    </row>
    <row r="171" spans="1:36" ht="13">
      <c r="A171">
        <f t="shared" ca="1" si="0"/>
        <v>170</v>
      </c>
      <c r="C171" s="57">
        <f ca="1">IFERROR(__xludf.DUMMYFUNCTION("""COMPUTED_VALUE"""),90.5714285714285)</f>
        <v>90.571428571428498</v>
      </c>
      <c r="E171" s="57">
        <f ca="1">IFERROR(__xludf.DUMMYFUNCTION("""COMPUTED_VALUE"""),1117.71428571428)</f>
        <v>1117.7142857142801</v>
      </c>
      <c r="G171">
        <f ca="1">IFERROR(__xludf.DUMMYFUNCTION("""COMPUTED_VALUE"""),107800)</f>
        <v>107800</v>
      </c>
      <c r="I171" s="58">
        <f ca="1">IFERROR(__xludf.DUMMYFUNCTION("""COMPUTED_VALUE"""),1763)</f>
        <v>1763</v>
      </c>
      <c r="J171" s="57">
        <f ca="1">IFERROR(__xludf.DUMMYFUNCTION("""COMPUTED_VALUE"""),1.28571428571428)</f>
        <v>1.28571428571428</v>
      </c>
      <c r="K171" s="57">
        <f ca="1">IFERROR(__xludf.DUMMYFUNCTION("""COMPUTED_VALUE"""),47.5714285714285)</f>
        <v>47.571428571428498</v>
      </c>
      <c r="L171">
        <f ca="1">IFERROR(__xludf.DUMMYFUNCTION("""COMPUTED_VALUE"""),35421)</f>
        <v>35421</v>
      </c>
      <c r="M171" s="58">
        <f ca="1">IFERROR(__xludf.DUMMYFUNCTION("""COMPUTED_VALUE"""),255.142857142857)</f>
        <v>255.142857142857</v>
      </c>
      <c r="S171" s="13">
        <f ca="1">IFERROR(__xludf.DUMMYFUNCTION("""COMPUTED_VALUE"""),0.0820539022870657)</f>
        <v>8.2053902287065703E-2</v>
      </c>
      <c r="T171" s="13">
        <f ca="1">IFERROR(__xludf.DUMMYFUNCTION("""COMPUTED_VALUE"""),0.00694257190603646)</f>
        <v>6.9425719060364601E-3</v>
      </c>
      <c r="W171">
        <f ca="1">IFERROR(__xludf.DUMMYFUNCTION("""COMPUTED_VALUE"""),3959)</f>
        <v>3959</v>
      </c>
      <c r="X171">
        <f ca="1">IFERROR(__xludf.DUMMYFUNCTION("""COMPUTED_VALUE"""),77)</f>
        <v>77</v>
      </c>
      <c r="AA171">
        <f ca="1">IFERROR(__xludf.DUMMYFUNCTION("""COMPUTED_VALUE"""),274)</f>
        <v>274</v>
      </c>
      <c r="AB171">
        <f ca="1">IFERROR(__xludf.DUMMYFUNCTION("""COMPUTED_VALUE"""),11)</f>
        <v>11</v>
      </c>
    </row>
    <row r="172" spans="1:36" ht="13">
      <c r="A172">
        <f t="shared" ca="1" si="0"/>
        <v>171</v>
      </c>
      <c r="C172" s="57">
        <f ca="1">IFERROR(__xludf.DUMMYFUNCTION("""COMPUTED_VALUE"""),91.4285714285714)</f>
        <v>91.428571428571402</v>
      </c>
      <c r="E172" s="57">
        <f ca="1">IFERROR(__xludf.DUMMYFUNCTION("""COMPUTED_VALUE"""),1104.28571428571)</f>
        <v>1104.2857142857099</v>
      </c>
      <c r="G172">
        <f ca="1">IFERROR(__xludf.DUMMYFUNCTION("""COMPUTED_VALUE"""),106533)</f>
        <v>106533</v>
      </c>
      <c r="I172" s="58">
        <f ca="1">IFERROR(__xludf.DUMMYFUNCTION("""COMPUTED_VALUE"""),1793.57142857142)</f>
        <v>1793.57142857142</v>
      </c>
      <c r="J172" s="57">
        <f ca="1">IFERROR(__xludf.DUMMYFUNCTION("""COMPUTED_VALUE"""),0.857142857142857)</f>
        <v>0.85714285714285698</v>
      </c>
      <c r="K172" s="57">
        <f ca="1">IFERROR(__xludf.DUMMYFUNCTION("""COMPUTED_VALUE"""),47.5714285714285)</f>
        <v>47.571428571428498</v>
      </c>
      <c r="L172">
        <f ca="1">IFERROR(__xludf.DUMMYFUNCTION("""COMPUTED_VALUE"""),34875)</f>
        <v>34875</v>
      </c>
      <c r="M172" s="58">
        <f ca="1">IFERROR(__xludf.DUMMYFUNCTION("""COMPUTED_VALUE"""),307.857142857142)</f>
        <v>307.85714285714198</v>
      </c>
      <c r="S172" s="13">
        <f ca="1">IFERROR(__xludf.DUMMYFUNCTION("""COMPUTED_VALUE"""),0.0819903529194222)</f>
        <v>8.1990352919422194E-2</v>
      </c>
      <c r="T172" s="13">
        <f ca="1">IFERROR(__xludf.DUMMYFUNCTION("""COMPUTED_VALUE"""),0.00709799538337155)</f>
        <v>7.09799538337155E-3</v>
      </c>
      <c r="W172">
        <f ca="1">IFERROR(__xludf.DUMMYFUNCTION("""COMPUTED_VALUE"""),3854)</f>
        <v>3854</v>
      </c>
      <c r="X172">
        <f ca="1">IFERROR(__xludf.DUMMYFUNCTION("""COMPUTED_VALUE"""),76)</f>
        <v>76</v>
      </c>
      <c r="AA172">
        <f ca="1">IFERROR(__xludf.DUMMYFUNCTION("""COMPUTED_VALUE"""),259)</f>
        <v>259</v>
      </c>
      <c r="AB172">
        <f ca="1">IFERROR(__xludf.DUMMYFUNCTION("""COMPUTED_VALUE"""),10)</f>
        <v>10</v>
      </c>
    </row>
    <row r="173" spans="1:36" ht="13">
      <c r="A173">
        <f t="shared" ca="1" si="0"/>
        <v>172</v>
      </c>
      <c r="C173" s="57">
        <f ca="1">IFERROR(__xludf.DUMMYFUNCTION("""COMPUTED_VALUE"""),89.5714285714285)</f>
        <v>89.571428571428498</v>
      </c>
      <c r="E173" s="57">
        <f ca="1">IFERROR(__xludf.DUMMYFUNCTION("""COMPUTED_VALUE"""),1106.57142857142)</f>
        <v>1106.57142857142</v>
      </c>
      <c r="G173">
        <f ca="1">IFERROR(__xludf.DUMMYFUNCTION("""COMPUTED_VALUE"""),106134)</f>
        <v>106134</v>
      </c>
      <c r="I173" s="58">
        <f ca="1">IFERROR(__xludf.DUMMYFUNCTION("""COMPUTED_VALUE"""),1836.71428571428)</f>
        <v>1836.7142857142801</v>
      </c>
      <c r="J173" s="57">
        <f ca="1">IFERROR(__xludf.DUMMYFUNCTION("""COMPUTED_VALUE"""),1)</f>
        <v>1</v>
      </c>
      <c r="K173" s="57">
        <f ca="1">IFERROR(__xludf.DUMMYFUNCTION("""COMPUTED_VALUE"""),50.7142857142857)</f>
        <v>50.714285714285701</v>
      </c>
      <c r="L173">
        <f ca="1">IFERROR(__xludf.DUMMYFUNCTION("""COMPUTED_VALUE"""),34282)</f>
        <v>34282</v>
      </c>
      <c r="M173" s="58">
        <f ca="1">IFERROR(__xludf.DUMMYFUNCTION("""COMPUTED_VALUE"""),349.142857142857)</f>
        <v>349.142857142857</v>
      </c>
      <c r="S173" s="13">
        <f ca="1">IFERROR(__xludf.DUMMYFUNCTION("""COMPUTED_VALUE"""),0.0826499654038653)</f>
        <v>8.2649965403865294E-2</v>
      </c>
      <c r="T173" s="13">
        <f ca="1">IFERROR(__xludf.DUMMYFUNCTION("""COMPUTED_VALUE"""),0.00792184989491481)</f>
        <v>7.9218498949148106E-3</v>
      </c>
      <c r="W173">
        <f ca="1">IFERROR(__xludf.DUMMYFUNCTION("""COMPUTED_VALUE"""),3793)</f>
        <v>3793</v>
      </c>
      <c r="X173">
        <f ca="1">IFERROR(__xludf.DUMMYFUNCTION("""COMPUTED_VALUE"""),62)</f>
        <v>62</v>
      </c>
      <c r="AA173">
        <f ca="1">IFERROR(__xludf.DUMMYFUNCTION("""COMPUTED_VALUE"""),254)</f>
        <v>254</v>
      </c>
      <c r="AB173">
        <f ca="1">IFERROR(__xludf.DUMMYFUNCTION("""COMPUTED_VALUE"""),10)</f>
        <v>10</v>
      </c>
    </row>
    <row r="174" spans="1:36" ht="13">
      <c r="A174">
        <f t="shared" ca="1" si="0"/>
        <v>173</v>
      </c>
      <c r="C174" s="57">
        <f ca="1">IFERROR(__xludf.DUMMYFUNCTION("""COMPUTED_VALUE"""),87.8571428571428)</f>
        <v>87.857142857142804</v>
      </c>
      <c r="E174" s="57">
        <f ca="1">IFERROR(__xludf.DUMMYFUNCTION("""COMPUTED_VALUE"""),1102.14285714285)</f>
        <v>1102.1428571428501</v>
      </c>
      <c r="G174">
        <f ca="1">IFERROR(__xludf.DUMMYFUNCTION("""COMPUTED_VALUE"""),105302)</f>
        <v>105302</v>
      </c>
      <c r="I174" s="58">
        <f ca="1">IFERROR(__xludf.DUMMYFUNCTION("""COMPUTED_VALUE"""),1807.28571428571)</f>
        <v>1807.2857142857099</v>
      </c>
      <c r="J174" s="57">
        <f ca="1">IFERROR(__xludf.DUMMYFUNCTION("""COMPUTED_VALUE"""),0.714285714285714)</f>
        <v>0.71428571428571397</v>
      </c>
      <c r="K174" s="57">
        <f ca="1">IFERROR(__xludf.DUMMYFUNCTION("""COMPUTED_VALUE"""),53.7142857142857)</f>
        <v>53.714285714285701</v>
      </c>
      <c r="L174">
        <f ca="1">IFERROR(__xludf.DUMMYFUNCTION("""COMPUTED_VALUE"""),33804)</f>
        <v>33804</v>
      </c>
      <c r="M174" s="58">
        <f ca="1">IFERROR(__xludf.DUMMYFUNCTION("""COMPUTED_VALUE"""),377.857142857142)</f>
        <v>377.85714285714198</v>
      </c>
      <c r="S174" s="13">
        <f ca="1">IFERROR(__xludf.DUMMYFUNCTION("""COMPUTED_VALUE"""),0.0820079956215281)</f>
        <v>8.2007995621528093E-2</v>
      </c>
      <c r="T174" s="13">
        <f ca="1">IFERROR(__xludf.DUMMYFUNCTION("""COMPUTED_VALUE"""),0.00816064019579339)</f>
        <v>8.1606401957933904E-3</v>
      </c>
      <c r="W174">
        <f ca="1">IFERROR(__xludf.DUMMYFUNCTION("""COMPUTED_VALUE"""),3814)</f>
        <v>3814</v>
      </c>
      <c r="X174">
        <f ca="1">IFERROR(__xludf.DUMMYFUNCTION("""COMPUTED_VALUE"""),67)</f>
        <v>67</v>
      </c>
      <c r="AA174">
        <f ca="1">IFERROR(__xludf.DUMMYFUNCTION("""COMPUTED_VALUE"""),247)</f>
        <v>247</v>
      </c>
      <c r="AB174">
        <f ca="1">IFERROR(__xludf.DUMMYFUNCTION("""COMPUTED_VALUE"""),9)</f>
        <v>9</v>
      </c>
    </row>
    <row r="175" spans="1:36" ht="13">
      <c r="A175">
        <f t="shared" ca="1" si="0"/>
        <v>174</v>
      </c>
      <c r="C175" s="57">
        <f ca="1">IFERROR(__xludf.DUMMYFUNCTION("""COMPUTED_VALUE"""),84.7142857142857)</f>
        <v>84.714285714285694</v>
      </c>
      <c r="E175" s="57">
        <f ca="1">IFERROR(__xludf.DUMMYFUNCTION("""COMPUTED_VALUE"""),1085.85714285714)</f>
        <v>1085.8571428571399</v>
      </c>
      <c r="G175">
        <f ca="1">IFERROR(__xludf.DUMMYFUNCTION("""COMPUTED_VALUE"""),104083)</f>
        <v>104083</v>
      </c>
      <c r="I175" s="58">
        <f ca="1">IFERROR(__xludf.DUMMYFUNCTION("""COMPUTED_VALUE"""),1823.71428571428)</f>
        <v>1823.7142857142801</v>
      </c>
      <c r="S175" s="13">
        <f ca="1">IFERROR(__xludf.DUMMYFUNCTION("""COMPUTED_VALUE"""),0.0779066949401857)</f>
        <v>7.7906694940185706E-2</v>
      </c>
      <c r="W175">
        <f ca="1">IFERROR(__xludf.DUMMYFUNCTION("""COMPUTED_VALUE"""),3815)</f>
        <v>3815</v>
      </c>
      <c r="AA175">
        <f ca="1">IFERROR(__xludf.DUMMYFUNCTION("""COMPUTED_VALUE"""),263)</f>
        <v>263</v>
      </c>
    </row>
    <row r="176" spans="1:36" ht="13">
      <c r="A176">
        <f t="shared" ca="1" si="0"/>
        <v>175</v>
      </c>
      <c r="C176" s="57">
        <f ca="1">IFERROR(__xludf.DUMMYFUNCTION("""COMPUTED_VALUE"""),83.2857142857142)</f>
        <v>83.285714285714207</v>
      </c>
      <c r="E176" s="57">
        <f ca="1">IFERROR(__xludf.DUMMYFUNCTION("""COMPUTED_VALUE"""),1089.85714285714)</f>
        <v>1089.8571428571399</v>
      </c>
      <c r="G176">
        <f ca="1">IFERROR(__xludf.DUMMYFUNCTION("""COMPUTED_VALUE"""),103087)</f>
        <v>103087</v>
      </c>
      <c r="I176" s="58">
        <f ca="1">IFERROR(__xludf.DUMMYFUNCTION("""COMPUTED_VALUE"""),1909.14285714285)</f>
        <v>1909.1428571428501</v>
      </c>
      <c r="S176" s="13">
        <f ca="1">IFERROR(__xludf.DUMMYFUNCTION("""COMPUTED_VALUE"""),0.0776058846199152)</f>
        <v>7.7605884619915202E-2</v>
      </c>
      <c r="W176">
        <f ca="1">IFERROR(__xludf.DUMMYFUNCTION("""COMPUTED_VALUE"""),3809)</f>
        <v>3809</v>
      </c>
      <c r="AA176">
        <f ca="1">IFERROR(__xludf.DUMMYFUNCTION("""COMPUTED_VALUE"""),255)</f>
        <v>255</v>
      </c>
    </row>
    <row r="177" spans="1:36" ht="13">
      <c r="A177">
        <f t="shared" ca="1" si="0"/>
        <v>176</v>
      </c>
      <c r="C177" s="57">
        <f ca="1">IFERROR(__xludf.DUMMYFUNCTION("""COMPUTED_VALUE"""),82.5714285714285)</f>
        <v>82.571428571428498</v>
      </c>
      <c r="E177" s="57">
        <f ca="1">IFERROR(__xludf.DUMMYFUNCTION("""COMPUTED_VALUE"""),1112.57142857142)</f>
        <v>1112.57142857142</v>
      </c>
      <c r="G177">
        <f ca="1">IFERROR(__xludf.DUMMYFUNCTION("""COMPUTED_VALUE"""),102156)</f>
        <v>102156</v>
      </c>
      <c r="I177" s="58">
        <f ca="1">IFERROR(__xludf.DUMMYFUNCTION("""COMPUTED_VALUE"""),1961)</f>
        <v>1961</v>
      </c>
      <c r="J177" s="57">
        <f ca="1">IFERROR(__xludf.DUMMYFUNCTION("""COMPUTED_VALUE"""),0.428571428571428)</f>
        <v>0.42857142857142799</v>
      </c>
      <c r="K177" s="57">
        <f ca="1">IFERROR(__xludf.DUMMYFUNCTION("""COMPUTED_VALUE"""),56.8571428571428)</f>
        <v>56.857142857142797</v>
      </c>
      <c r="L177">
        <f ca="1">IFERROR(__xludf.DUMMYFUNCTION("""COMPUTED_VALUE"""),33394)</f>
        <v>33394</v>
      </c>
      <c r="M177" s="58">
        <f ca="1">IFERROR(__xludf.DUMMYFUNCTION("""COMPUTED_VALUE"""),371.857142857142)</f>
        <v>371.85714285714198</v>
      </c>
      <c r="S177" s="13">
        <f ca="1">IFERROR(__xludf.DUMMYFUNCTION("""COMPUTED_VALUE"""),0.0817940210248097)</f>
        <v>8.1794021024809704E-2</v>
      </c>
      <c r="T177" s="13">
        <f ca="1">IFERROR(__xludf.DUMMYFUNCTION("""COMPUTED_VALUE"""),0.00837994278522516)</f>
        <v>8.3799427852251605E-3</v>
      </c>
      <c r="W177">
        <f ca="1">IFERROR(__xludf.DUMMYFUNCTION("""COMPUTED_VALUE"""),3669)</f>
        <v>3669</v>
      </c>
      <c r="X177">
        <f ca="1">IFERROR(__xludf.DUMMYFUNCTION("""COMPUTED_VALUE"""),55)</f>
        <v>55</v>
      </c>
      <c r="AA177">
        <f ca="1">IFERROR(__xludf.DUMMYFUNCTION("""COMPUTED_VALUE"""),255)</f>
        <v>255</v>
      </c>
      <c r="AB177">
        <f ca="1">IFERROR(__xludf.DUMMYFUNCTION("""COMPUTED_VALUE"""),9)</f>
        <v>9</v>
      </c>
      <c r="AD177" s="57">
        <f ca="1">IFERROR(__xludf.DUMMYFUNCTION("""COMPUTED_VALUE"""),3)</f>
        <v>3</v>
      </c>
      <c r="AE177" s="57">
        <f ca="1">IFERROR(__xludf.DUMMYFUNCTION("""COMPUTED_VALUE"""),434.571428571428)</f>
        <v>434.57142857142799</v>
      </c>
      <c r="AF177">
        <f ca="1">IFERROR(__xludf.DUMMYFUNCTION("""COMPUTED_VALUE"""),9548)</f>
        <v>9548</v>
      </c>
      <c r="AG177" s="58">
        <f ca="1">IFERROR(__xludf.DUMMYFUNCTION("""COMPUTED_VALUE"""),383.714285714285)</f>
        <v>383.71428571428498</v>
      </c>
      <c r="AH177" s="13">
        <f ca="1">IFERROR(__xludf.DUMMYFUNCTION("""COMPUTED_VALUE"""),0)</f>
        <v>0</v>
      </c>
      <c r="AI177">
        <f ca="1">IFERROR(__xludf.DUMMYFUNCTION("""COMPUTED_VALUE"""),233)</f>
        <v>233</v>
      </c>
      <c r="AJ177">
        <f ca="1">IFERROR(__xludf.DUMMYFUNCTION("""COMPUTED_VALUE"""),5)</f>
        <v>5</v>
      </c>
    </row>
    <row r="178" spans="1:36" ht="13">
      <c r="A178">
        <f t="shared" ca="1" si="0"/>
        <v>177</v>
      </c>
      <c r="C178" s="57">
        <f ca="1">IFERROR(__xludf.DUMMYFUNCTION("""COMPUTED_VALUE"""),80.4285714285714)</f>
        <v>80.428571428571402</v>
      </c>
      <c r="E178" s="57">
        <f ca="1">IFERROR(__xludf.DUMMYFUNCTION("""COMPUTED_VALUE"""),1133.71428571428)</f>
        <v>1133.7142857142801</v>
      </c>
      <c r="G178">
        <f ca="1">IFERROR(__xludf.DUMMYFUNCTION("""COMPUTED_VALUE"""),97752)</f>
        <v>97752</v>
      </c>
      <c r="I178" s="58">
        <f ca="1">IFERROR(__xludf.DUMMYFUNCTION("""COMPUTED_VALUE"""),2488.71428571428)</f>
        <v>2488.7142857142799</v>
      </c>
      <c r="J178" s="57">
        <f ca="1">IFERROR(__xludf.DUMMYFUNCTION("""COMPUTED_VALUE"""),0.285714285714285)</f>
        <v>0.28571428571428498</v>
      </c>
      <c r="K178" s="57">
        <f ca="1">IFERROR(__xludf.DUMMYFUNCTION("""COMPUTED_VALUE"""),57)</f>
        <v>57</v>
      </c>
      <c r="L178">
        <f ca="1">IFERROR(__xludf.DUMMYFUNCTION("""COMPUTED_VALUE"""),33048)</f>
        <v>33048</v>
      </c>
      <c r="M178" s="58">
        <f ca="1">IFERROR(__xludf.DUMMYFUNCTION("""COMPUTED_VALUE"""),395.714285714285)</f>
        <v>395.71428571428498</v>
      </c>
      <c r="S178" s="13">
        <f ca="1">IFERROR(__xludf.DUMMYFUNCTION("""COMPUTED_VALUE"""),0.0824105006992283)</f>
        <v>8.2410500699228298E-2</v>
      </c>
      <c r="T178" s="13">
        <f ca="1">IFERROR(__xludf.DUMMYFUNCTION("""COMPUTED_VALUE"""),0.00842775505986908)</f>
        <v>8.4277550598690805E-3</v>
      </c>
      <c r="W178">
        <f ca="1">IFERROR(__xludf.DUMMYFUNCTION("""COMPUTED_VALUE"""),3649)</f>
        <v>3649</v>
      </c>
      <c r="X178">
        <f ca="1">IFERROR(__xludf.DUMMYFUNCTION("""COMPUTED_VALUE"""),73)</f>
        <v>73</v>
      </c>
      <c r="AA178">
        <f ca="1">IFERROR(__xludf.DUMMYFUNCTION("""COMPUTED_VALUE"""),258)</f>
        <v>258</v>
      </c>
      <c r="AB178">
        <f ca="1">IFERROR(__xludf.DUMMYFUNCTION("""COMPUTED_VALUE"""),11)</f>
        <v>11</v>
      </c>
    </row>
    <row r="179" spans="1:36" ht="13">
      <c r="A179">
        <f t="shared" ca="1" si="0"/>
        <v>178</v>
      </c>
      <c r="C179" s="57">
        <f ca="1">IFERROR(__xludf.DUMMYFUNCTION("""COMPUTED_VALUE"""),79.8571428571428)</f>
        <v>79.857142857142804</v>
      </c>
      <c r="E179" s="57">
        <f ca="1">IFERROR(__xludf.DUMMYFUNCTION("""COMPUTED_VALUE"""),1137.42857142857)</f>
        <v>1137.42857142857</v>
      </c>
      <c r="G179">
        <f ca="1">IFERROR(__xludf.DUMMYFUNCTION("""COMPUTED_VALUE"""),94261)</f>
        <v>94261</v>
      </c>
      <c r="I179" s="58">
        <f ca="1">IFERROR(__xludf.DUMMYFUNCTION("""COMPUTED_VALUE"""),2810.71428571428)</f>
        <v>2810.7142857142799</v>
      </c>
      <c r="J179" s="57">
        <f ca="1">IFERROR(__xludf.DUMMYFUNCTION("""COMPUTED_VALUE"""),0.857142857142857)</f>
        <v>0.85714285714285698</v>
      </c>
      <c r="K179" s="57">
        <f ca="1">IFERROR(__xludf.DUMMYFUNCTION("""COMPUTED_VALUE"""),59.5714285714285)</f>
        <v>59.571428571428498</v>
      </c>
      <c r="L179">
        <f ca="1">IFERROR(__xludf.DUMMYFUNCTION("""COMPUTED_VALUE"""),32356)</f>
        <v>32356</v>
      </c>
      <c r="M179" s="58">
        <f ca="1">IFERROR(__xludf.DUMMYFUNCTION("""COMPUTED_VALUE"""),418.571428571428)</f>
        <v>418.57142857142799</v>
      </c>
      <c r="S179" s="13">
        <f ca="1">IFERROR(__xludf.DUMMYFUNCTION("""COMPUTED_VALUE"""),0.0804341135948535)</f>
        <v>8.0434113594853501E-2</v>
      </c>
      <c r="T179" s="13">
        <f ca="1">IFERROR(__xludf.DUMMYFUNCTION("""COMPUTED_VALUE"""),0.00849048464617614)</f>
        <v>8.4904846461761399E-3</v>
      </c>
      <c r="W179">
        <f ca="1">IFERROR(__xludf.DUMMYFUNCTION("""COMPUTED_VALUE"""),3582)</f>
        <v>3582</v>
      </c>
      <c r="X179">
        <f ca="1">IFERROR(__xludf.DUMMYFUNCTION("""COMPUTED_VALUE"""),70)</f>
        <v>70</v>
      </c>
      <c r="AA179">
        <f ca="1">IFERROR(__xludf.DUMMYFUNCTION("""COMPUTED_VALUE"""),264)</f>
        <v>264</v>
      </c>
      <c r="AB179">
        <f ca="1">IFERROR(__xludf.DUMMYFUNCTION("""COMPUTED_VALUE"""),11)</f>
        <v>11</v>
      </c>
    </row>
    <row r="180" spans="1:36" ht="13">
      <c r="A180">
        <f t="shared" ca="1" si="0"/>
        <v>179</v>
      </c>
      <c r="C180" s="57">
        <f ca="1">IFERROR(__xludf.DUMMYFUNCTION("""COMPUTED_VALUE"""),79.4285714285714)</f>
        <v>79.428571428571402</v>
      </c>
      <c r="E180" s="57">
        <f ca="1">IFERROR(__xludf.DUMMYFUNCTION("""COMPUTED_VALUE"""),1144.57142857142)</f>
        <v>1144.57142857142</v>
      </c>
      <c r="G180">
        <f ca="1">IFERROR(__xludf.DUMMYFUNCTION("""COMPUTED_VALUE"""),92094)</f>
        <v>92094</v>
      </c>
      <c r="I180" s="58">
        <f ca="1">IFERROR(__xludf.DUMMYFUNCTION("""COMPUTED_VALUE"""),3070.85714285714)</f>
        <v>3070.8571428571399</v>
      </c>
      <c r="J180" s="57">
        <f ca="1">IFERROR(__xludf.DUMMYFUNCTION("""COMPUTED_VALUE"""),0.714285714285714)</f>
        <v>0.71428571428571397</v>
      </c>
      <c r="K180" s="57">
        <f ca="1">IFERROR(__xludf.DUMMYFUNCTION("""COMPUTED_VALUE"""),58.7142857142857)</f>
        <v>58.714285714285701</v>
      </c>
      <c r="L180">
        <f ca="1">IFERROR(__xludf.DUMMYFUNCTION("""COMPUTED_VALUE"""),31890)</f>
        <v>31890</v>
      </c>
      <c r="M180" s="58">
        <f ca="1">IFERROR(__xludf.DUMMYFUNCTION("""COMPUTED_VALUE"""),399.714285714285)</f>
        <v>399.71428571428498</v>
      </c>
      <c r="S180" s="13">
        <f ca="1">IFERROR(__xludf.DUMMYFUNCTION("""COMPUTED_VALUE"""),0.0787818396825868)</f>
        <v>7.8781839682586799E-2</v>
      </c>
      <c r="T180" s="13">
        <f ca="1">IFERROR(__xludf.DUMMYFUNCTION("""COMPUTED_VALUE"""),0.00816688115128026)</f>
        <v>8.16688115128026E-3</v>
      </c>
      <c r="W180">
        <f ca="1">IFERROR(__xludf.DUMMYFUNCTION("""COMPUTED_VALUE"""),3562)</f>
        <v>3562</v>
      </c>
      <c r="X180">
        <f ca="1">IFERROR(__xludf.DUMMYFUNCTION("""COMPUTED_VALUE"""),79)</f>
        <v>79</v>
      </c>
      <c r="AA180">
        <f ca="1">IFERROR(__xludf.DUMMYFUNCTION("""COMPUTED_VALUE"""),268)</f>
        <v>268</v>
      </c>
      <c r="AB180">
        <f ca="1">IFERROR(__xludf.DUMMYFUNCTION("""COMPUTED_VALUE"""),13)</f>
        <v>13</v>
      </c>
    </row>
    <row r="181" spans="1:36" ht="13">
      <c r="A181" s="16">
        <v>180</v>
      </c>
      <c r="J181" s="57">
        <f ca="1">IFERROR(__xludf.DUMMYFUNCTION("""COMPUTED_VALUE"""),0.857142857142857)</f>
        <v>0.85714285714285698</v>
      </c>
      <c r="K181" s="57">
        <f ca="1">IFERROR(__xludf.DUMMYFUNCTION("""COMPUTED_VALUE"""),55.7142857142857)</f>
        <v>55.714285714285701</v>
      </c>
      <c r="L181">
        <f ca="1">IFERROR(__xludf.DUMMYFUNCTION("""COMPUTED_VALUE"""),31308)</f>
        <v>31308</v>
      </c>
      <c r="M181" s="58">
        <f ca="1">IFERROR(__xludf.DUMMYFUNCTION("""COMPUTED_VALUE"""),411.428571428571)</f>
        <v>411.42857142857099</v>
      </c>
      <c r="T181" s="13">
        <f ca="1">IFERROR(__xludf.DUMMYFUNCTION("""COMPUTED_VALUE"""),0.00926283014419046)</f>
        <v>9.2628301441904596E-3</v>
      </c>
      <c r="X181">
        <f ca="1">IFERROR(__xludf.DUMMYFUNCTION("""COMPUTED_VALUE"""),78)</f>
        <v>78</v>
      </c>
      <c r="AB181">
        <f ca="1">IFERROR(__xludf.DUMMYFUNCTION("""COMPUTED_VALUE"""),11)</f>
        <v>11</v>
      </c>
    </row>
    <row r="182" spans="1:36" ht="13">
      <c r="A182" s="16">
        <v>181</v>
      </c>
    </row>
    <row r="183" spans="1:36" ht="13">
      <c r="A183" s="16">
        <v>182</v>
      </c>
    </row>
    <row r="184" spans="1:36" ht="13">
      <c r="A184" s="16">
        <v>183</v>
      </c>
      <c r="J184" s="57">
        <f ca="1">IFERROR(__xludf.DUMMYFUNCTION("""COMPUTED_VALUE"""),1)</f>
        <v>1</v>
      </c>
      <c r="K184" s="57">
        <f ca="1">IFERROR(__xludf.DUMMYFUNCTION("""COMPUTED_VALUE"""),54.8571428571428)</f>
        <v>54.857142857142797</v>
      </c>
      <c r="L184">
        <f ca="1">IFERROR(__xludf.DUMMYFUNCTION("""COMPUTED_VALUE"""),30434)</f>
        <v>30434</v>
      </c>
      <c r="M184" s="58">
        <f ca="1">IFERROR(__xludf.DUMMYFUNCTION("""COMPUTED_VALUE"""),476.714285714285)</f>
        <v>476.71428571428498</v>
      </c>
      <c r="T184" s="13">
        <f ca="1">IFERROR(__xludf.DUMMYFUNCTION("""COMPUTED_VALUE"""),0.00914715798182276)</f>
        <v>9.1471579818227598E-3</v>
      </c>
      <c r="X184">
        <f ca="1">IFERROR(__xludf.DUMMYFUNCTION("""COMPUTED_VALUE"""),76)</f>
        <v>76</v>
      </c>
      <c r="AB184">
        <f ca="1">IFERROR(__xludf.DUMMYFUNCTION("""COMPUTED_VALUE"""),11)</f>
        <v>11</v>
      </c>
      <c r="AD184" s="57">
        <f ca="1">IFERROR(__xludf.DUMMYFUNCTION("""COMPUTED_VALUE"""),2)</f>
        <v>2</v>
      </c>
      <c r="AE184" s="57">
        <f ca="1">IFERROR(__xludf.DUMMYFUNCTION("""COMPUTED_VALUE"""),666.142857142857)</f>
        <v>666.142857142857</v>
      </c>
      <c r="AF184">
        <f ca="1">IFERROR(__xludf.DUMMYFUNCTION("""COMPUTED_VALUE"""),11195)</f>
        <v>11195</v>
      </c>
      <c r="AG184" s="58">
        <f ca="1">IFERROR(__xludf.DUMMYFUNCTION("""COMPUTED_VALUE"""),428.857142857142)</f>
        <v>428.85714285714198</v>
      </c>
      <c r="AH184" s="13">
        <f ca="1">IFERROR(__xludf.DUMMYFUNCTION("""COMPUTED_VALUE"""),0)</f>
        <v>0</v>
      </c>
      <c r="AI184">
        <f ca="1">IFERROR(__xludf.DUMMYFUNCTION("""COMPUTED_VALUE"""),488)</f>
        <v>488</v>
      </c>
      <c r="AJ184">
        <f ca="1">IFERROR(__xludf.DUMMYFUNCTION("""COMPUTED_VALUE"""),10)</f>
        <v>10</v>
      </c>
    </row>
    <row r="185" spans="1:36" ht="13">
      <c r="A185" s="16">
        <v>184</v>
      </c>
      <c r="J185" s="57">
        <f ca="1">IFERROR(__xludf.DUMMYFUNCTION("""COMPUTED_VALUE"""),1.14285714285714)</f>
        <v>1.1428571428571399</v>
      </c>
      <c r="K185" s="57">
        <f ca="1">IFERROR(__xludf.DUMMYFUNCTION("""COMPUTED_VALUE"""),54.8571428571428)</f>
        <v>54.857142857142797</v>
      </c>
      <c r="L185">
        <f ca="1">IFERROR(__xludf.DUMMYFUNCTION("""COMPUTED_VALUE"""),30182)</f>
        <v>30182</v>
      </c>
      <c r="M185" s="58">
        <f ca="1">IFERROR(__xludf.DUMMYFUNCTION("""COMPUTED_VALUE"""),463.142857142857)</f>
        <v>463.142857142857</v>
      </c>
      <c r="T185" s="13">
        <f ca="1">IFERROR(__xludf.DUMMYFUNCTION("""COMPUTED_VALUE"""),0.00923061414758497)</f>
        <v>9.2306141475849701E-3</v>
      </c>
      <c r="X185">
        <f ca="1">IFERROR(__xludf.DUMMYFUNCTION("""COMPUTED_VALUE"""),77)</f>
        <v>77</v>
      </c>
      <c r="AB185">
        <f ca="1">IFERROR(__xludf.DUMMYFUNCTION("""COMPUTED_VALUE"""),10)</f>
        <v>10</v>
      </c>
    </row>
    <row r="186" spans="1:36" ht="13">
      <c r="A186" s="16">
        <v>185</v>
      </c>
      <c r="J186" s="57">
        <f ca="1">IFERROR(__xludf.DUMMYFUNCTION("""COMPUTED_VALUE"""),1)</f>
        <v>1</v>
      </c>
      <c r="K186" s="57">
        <f ca="1">IFERROR(__xludf.DUMMYFUNCTION("""COMPUTED_VALUE"""),52.7142857142857)</f>
        <v>52.714285714285701</v>
      </c>
      <c r="L186">
        <f ca="1">IFERROR(__xludf.DUMMYFUNCTION("""COMPUTED_VALUE"""),29926)</f>
        <v>29926</v>
      </c>
      <c r="M186" s="58">
        <f ca="1">IFERROR(__xludf.DUMMYFUNCTION("""COMPUTED_VALUE"""),398.857142857142)</f>
        <v>398.85714285714198</v>
      </c>
      <c r="T186" s="13">
        <f ca="1">IFERROR(__xludf.DUMMYFUNCTION("""COMPUTED_VALUE"""),0.00891437932166877)</f>
        <v>8.9143793216687698E-3</v>
      </c>
      <c r="X186">
        <f ca="1">IFERROR(__xludf.DUMMYFUNCTION("""COMPUTED_VALUE"""),82)</f>
        <v>82</v>
      </c>
      <c r="AB186">
        <f ca="1">IFERROR(__xludf.DUMMYFUNCTION("""COMPUTED_VALUE"""),8)</f>
        <v>8</v>
      </c>
    </row>
    <row r="187" spans="1:36" ht="13">
      <c r="A187" s="16">
        <v>186</v>
      </c>
      <c r="J187" s="57">
        <f ca="1">IFERROR(__xludf.DUMMYFUNCTION("""COMPUTED_VALUE"""),1)</f>
        <v>1</v>
      </c>
      <c r="K187" s="57">
        <f ca="1">IFERROR(__xludf.DUMMYFUNCTION("""COMPUTED_VALUE"""),53.7142857142857)</f>
        <v>53.714285714285701</v>
      </c>
      <c r="L187">
        <f ca="1">IFERROR(__xludf.DUMMYFUNCTION("""COMPUTED_VALUE"""),28816)</f>
        <v>28816</v>
      </c>
      <c r="M187" s="58">
        <f ca="1">IFERROR(__xludf.DUMMYFUNCTION("""COMPUTED_VALUE"""),491.857142857142)</f>
        <v>491.85714285714198</v>
      </c>
      <c r="T187" s="13">
        <f ca="1">IFERROR(__xludf.DUMMYFUNCTION("""COMPUTED_VALUE"""),0.00911712243545068)</f>
        <v>9.1171224354506808E-3</v>
      </c>
      <c r="X187">
        <f ca="1">IFERROR(__xludf.DUMMYFUNCTION("""COMPUTED_VALUE"""),79)</f>
        <v>79</v>
      </c>
      <c r="AB187">
        <f ca="1">IFERROR(__xludf.DUMMYFUNCTION("""COMPUTED_VALUE"""),11)</f>
        <v>11</v>
      </c>
    </row>
    <row r="188" spans="1:36" ht="13">
      <c r="A188" s="16">
        <v>187</v>
      </c>
      <c r="J188" s="57">
        <f ca="1">IFERROR(__xludf.DUMMYFUNCTION("""COMPUTED_VALUE"""),1)</f>
        <v>1</v>
      </c>
      <c r="K188" s="57">
        <f ca="1">IFERROR(__xludf.DUMMYFUNCTION("""COMPUTED_VALUE"""),52)</f>
        <v>52</v>
      </c>
      <c r="L188">
        <f ca="1">IFERROR(__xludf.DUMMYFUNCTION("""COMPUTED_VALUE"""),27113)</f>
        <v>27113</v>
      </c>
      <c r="M188" s="58">
        <f ca="1">IFERROR(__xludf.DUMMYFUNCTION("""COMPUTED_VALUE"""),650.285714285714)</f>
        <v>650.28571428571399</v>
      </c>
      <c r="T188" s="13">
        <f ca="1">IFERROR(__xludf.DUMMYFUNCTION("""COMPUTED_VALUE"""),0.00758664658775507)</f>
        <v>7.5866465877550701E-3</v>
      </c>
      <c r="X188">
        <f ca="1">IFERROR(__xludf.DUMMYFUNCTION("""COMPUTED_VALUE"""),76)</f>
        <v>76</v>
      </c>
      <c r="AB188">
        <f ca="1">IFERROR(__xludf.DUMMYFUNCTION("""COMPUTED_VALUE"""),12)</f>
        <v>12</v>
      </c>
    </row>
    <row r="189" spans="1:36" ht="13">
      <c r="A189" t="str">
        <f t="shared" ref="A189:A443" si="1">IF(G189&gt;0,1+A188," ")</f>
        <v xml:space="preserve"> </v>
      </c>
    </row>
    <row r="190" spans="1:36" ht="13">
      <c r="A190" t="str">
        <f t="shared" si="1"/>
        <v xml:space="preserve"> </v>
      </c>
    </row>
    <row r="191" spans="1:36" ht="13">
      <c r="A191" t="str">
        <f t="shared" si="1"/>
        <v xml:space="preserve"> </v>
      </c>
      <c r="AD191" s="57">
        <f ca="1">IFERROR(__xludf.DUMMYFUNCTION("""COMPUTED_VALUE"""),5)</f>
        <v>5</v>
      </c>
      <c r="AE191" s="57">
        <f ca="1">IFERROR(__xludf.DUMMYFUNCTION("""COMPUTED_VALUE"""),1148)</f>
        <v>1148</v>
      </c>
      <c r="AF191">
        <f ca="1">IFERROR(__xludf.DUMMYFUNCTION("""COMPUTED_VALUE"""),15907)</f>
        <v>15907</v>
      </c>
      <c r="AG191" s="58">
        <f ca="1">IFERROR(__xludf.DUMMYFUNCTION("""COMPUTED_VALUE"""),469.857142857142)</f>
        <v>469.85714285714198</v>
      </c>
      <c r="AH191" s="13">
        <f ca="1">IFERROR(__xludf.DUMMYFUNCTION("""COMPUTED_VALUE"""),0)</f>
        <v>0</v>
      </c>
      <c r="AI191">
        <f ca="1">IFERROR(__xludf.DUMMYFUNCTION("""COMPUTED_VALUE"""),628)</f>
        <v>628</v>
      </c>
      <c r="AJ191">
        <f ca="1">IFERROR(__xludf.DUMMYFUNCTION("""COMPUTED_VALUE"""),16)</f>
        <v>16</v>
      </c>
    </row>
    <row r="192" spans="1:36" ht="13">
      <c r="A192" t="str">
        <f t="shared" si="1"/>
        <v xml:space="preserve"> </v>
      </c>
    </row>
    <row r="193" spans="1:36" ht="13">
      <c r="A193" t="str">
        <f t="shared" si="1"/>
        <v xml:space="preserve"> </v>
      </c>
    </row>
    <row r="194" spans="1:36" ht="13">
      <c r="A194" t="str">
        <f t="shared" si="1"/>
        <v xml:space="preserve"> </v>
      </c>
    </row>
    <row r="195" spans="1:36" ht="13">
      <c r="A195" t="str">
        <f t="shared" si="1"/>
        <v xml:space="preserve"> </v>
      </c>
    </row>
    <row r="196" spans="1:36" ht="13">
      <c r="A196" t="str">
        <f t="shared" si="1"/>
        <v xml:space="preserve"> </v>
      </c>
    </row>
    <row r="197" spans="1:36" ht="13">
      <c r="A197" t="str">
        <f t="shared" si="1"/>
        <v xml:space="preserve"> </v>
      </c>
    </row>
    <row r="198" spans="1:36" ht="13">
      <c r="A198" t="str">
        <f t="shared" si="1"/>
        <v xml:space="preserve"> </v>
      </c>
      <c r="AD198" s="57">
        <f ca="1">IFERROR(__xludf.DUMMYFUNCTION("""COMPUTED_VALUE"""),5.71428571428571)</f>
        <v>5.71428571428571</v>
      </c>
      <c r="AE198" s="57">
        <f ca="1">IFERROR(__xludf.DUMMYFUNCTION("""COMPUTED_VALUE"""),1465)</f>
        <v>1465</v>
      </c>
      <c r="AF198">
        <f ca="1">IFERROR(__xludf.DUMMYFUNCTION("""COMPUTED_VALUE"""),21258)</f>
        <v>21258</v>
      </c>
      <c r="AG198" s="58">
        <f ca="1">IFERROR(__xludf.DUMMYFUNCTION("""COMPUTED_VALUE"""),694.857142857142)</f>
        <v>694.85714285714198</v>
      </c>
      <c r="AH198" s="13">
        <f ca="1">IFERROR(__xludf.DUMMYFUNCTION("""COMPUTED_VALUE"""),0)</f>
        <v>0</v>
      </c>
      <c r="AI198">
        <f ca="1">IFERROR(__xludf.DUMMYFUNCTION("""COMPUTED_VALUE"""),866)</f>
        <v>866</v>
      </c>
      <c r="AJ198">
        <f ca="1">IFERROR(__xludf.DUMMYFUNCTION("""COMPUTED_VALUE"""),17)</f>
        <v>17</v>
      </c>
    </row>
    <row r="199" spans="1:36" ht="13">
      <c r="A199" t="str">
        <f t="shared" si="1"/>
        <v xml:space="preserve"> </v>
      </c>
    </row>
    <row r="200" spans="1:36" ht="13">
      <c r="A200" t="str">
        <f t="shared" si="1"/>
        <v xml:space="preserve"> </v>
      </c>
    </row>
    <row r="201" spans="1:36" ht="13">
      <c r="A201" t="str">
        <f t="shared" si="1"/>
        <v xml:space="preserve"> </v>
      </c>
    </row>
    <row r="202" spans="1:36" ht="13">
      <c r="A202" t="str">
        <f t="shared" si="1"/>
        <v xml:space="preserve"> </v>
      </c>
    </row>
    <row r="203" spans="1:36" ht="13">
      <c r="A203" t="str">
        <f t="shared" si="1"/>
        <v xml:space="preserve"> </v>
      </c>
    </row>
    <row r="204" spans="1:36" ht="13">
      <c r="A204" t="str">
        <f t="shared" si="1"/>
        <v xml:space="preserve"> </v>
      </c>
    </row>
    <row r="205" spans="1:36" ht="13">
      <c r="A205" t="str">
        <f t="shared" si="1"/>
        <v xml:space="preserve"> </v>
      </c>
      <c r="AD205" s="57">
        <f ca="1">IFERROR(__xludf.DUMMYFUNCTION("""COMPUTED_VALUE"""),7.71428571428571)</f>
        <v>7.71428571428571</v>
      </c>
      <c r="AE205" s="57">
        <f ca="1">IFERROR(__xludf.DUMMYFUNCTION("""COMPUTED_VALUE"""),2057.42857142857)</f>
        <v>2057.4285714285702</v>
      </c>
      <c r="AF205">
        <f ca="1">IFERROR(__xludf.DUMMYFUNCTION("""COMPUTED_VALUE"""),28510)</f>
        <v>28510</v>
      </c>
      <c r="AG205" s="58">
        <f ca="1">IFERROR(__xludf.DUMMYFUNCTION("""COMPUTED_VALUE"""),1013.71428571428)</f>
        <v>1013.71428571428</v>
      </c>
      <c r="AH205" s="13">
        <f ca="1">IFERROR(__xludf.DUMMYFUNCTION("""COMPUTED_VALUE"""),0)</f>
        <v>0</v>
      </c>
      <c r="AI205">
        <f ca="1">IFERROR(__xludf.DUMMYFUNCTION("""COMPUTED_VALUE"""),866)</f>
        <v>866</v>
      </c>
      <c r="AJ205">
        <f ca="1">IFERROR(__xludf.DUMMYFUNCTION("""COMPUTED_VALUE"""),17)</f>
        <v>17</v>
      </c>
    </row>
    <row r="206" spans="1:36" ht="13">
      <c r="A206" t="str">
        <f t="shared" si="1"/>
        <v xml:space="preserve"> </v>
      </c>
    </row>
    <row r="207" spans="1:36" ht="13">
      <c r="A207" t="str">
        <f t="shared" si="1"/>
        <v xml:space="preserve"> </v>
      </c>
    </row>
    <row r="208" spans="1:36" ht="13">
      <c r="A208" t="str">
        <f t="shared" si="1"/>
        <v xml:space="preserve"> </v>
      </c>
    </row>
    <row r="209" spans="1:36" ht="13">
      <c r="A209" t="str">
        <f t="shared" si="1"/>
        <v xml:space="preserve"> </v>
      </c>
    </row>
    <row r="210" spans="1:36" ht="13">
      <c r="A210" t="str">
        <f t="shared" si="1"/>
        <v xml:space="preserve"> </v>
      </c>
    </row>
    <row r="211" spans="1:36" ht="13">
      <c r="A211" t="str">
        <f t="shared" si="1"/>
        <v xml:space="preserve"> </v>
      </c>
    </row>
    <row r="212" spans="1:36" ht="13">
      <c r="A212" t="str">
        <f t="shared" si="1"/>
        <v xml:space="preserve"> </v>
      </c>
      <c r="AD212" s="57">
        <f ca="1">IFERROR(__xludf.DUMMYFUNCTION("""COMPUTED_VALUE"""),13.7142857142857)</f>
        <v>13.714285714285699</v>
      </c>
      <c r="AE212" s="57">
        <f ca="1">IFERROR(__xludf.DUMMYFUNCTION("""COMPUTED_VALUE"""),3120)</f>
        <v>3120</v>
      </c>
      <c r="AF212">
        <f ca="1">IFERROR(__xludf.DUMMYFUNCTION("""COMPUTED_VALUE"""),42061)</f>
        <v>42061</v>
      </c>
      <c r="AG212" s="58">
        <f ca="1">IFERROR(__xludf.DUMMYFUNCTION("""COMPUTED_VALUE"""),1170.42857142857)</f>
        <v>1170.42857142857</v>
      </c>
      <c r="AH212" s="13">
        <f ca="1">IFERROR(__xludf.DUMMYFUNCTION("""COMPUTED_VALUE"""),0)</f>
        <v>0</v>
      </c>
      <c r="AI212">
        <f ca="1">IFERROR(__xludf.DUMMYFUNCTION("""COMPUTED_VALUE"""),1593)</f>
        <v>1593</v>
      </c>
      <c r="AJ212">
        <f ca="1">IFERROR(__xludf.DUMMYFUNCTION("""COMPUTED_VALUE"""),19)</f>
        <v>19</v>
      </c>
    </row>
    <row r="213" spans="1:36" ht="13">
      <c r="A213" t="str">
        <f t="shared" si="1"/>
        <v xml:space="preserve"> </v>
      </c>
    </row>
    <row r="214" spans="1:36" ht="13">
      <c r="A214" t="str">
        <f t="shared" si="1"/>
        <v xml:space="preserve"> </v>
      </c>
    </row>
    <row r="215" spans="1:36" ht="13">
      <c r="A215" t="str">
        <f t="shared" si="1"/>
        <v xml:space="preserve"> </v>
      </c>
    </row>
    <row r="216" spans="1:36" ht="13">
      <c r="A216" t="str">
        <f t="shared" si="1"/>
        <v xml:space="preserve"> </v>
      </c>
    </row>
    <row r="217" spans="1:36" ht="13">
      <c r="A217" t="str">
        <f t="shared" si="1"/>
        <v xml:space="preserve"> </v>
      </c>
    </row>
    <row r="218" spans="1:36" ht="13">
      <c r="A218" t="str">
        <f t="shared" si="1"/>
        <v xml:space="preserve"> </v>
      </c>
    </row>
    <row r="219" spans="1:36" ht="13">
      <c r="A219" t="str">
        <f t="shared" si="1"/>
        <v xml:space="preserve"> </v>
      </c>
      <c r="AD219" s="57">
        <f ca="1">IFERROR(__xludf.DUMMYFUNCTION("""COMPUTED_VALUE"""),11.4285714285714)</f>
        <v>11.4285714285714</v>
      </c>
      <c r="AE219" s="57">
        <f ca="1">IFERROR(__xludf.DUMMYFUNCTION("""COMPUTED_VALUE"""),2582.57142857142)</f>
        <v>2582.5714285714198</v>
      </c>
      <c r="AF219">
        <f ca="1">IFERROR(__xludf.DUMMYFUNCTION("""COMPUTED_VALUE"""),49526)</f>
        <v>49526</v>
      </c>
      <c r="AG219" s="58">
        <f ca="1">IFERROR(__xludf.DUMMYFUNCTION("""COMPUTED_VALUE"""),1504.71428571428)</f>
        <v>1504.7142857142801</v>
      </c>
      <c r="AH219" s="13">
        <f ca="1">IFERROR(__xludf.DUMMYFUNCTION("""COMPUTED_VALUE"""),0)</f>
        <v>0</v>
      </c>
      <c r="AI219">
        <f ca="1">IFERROR(__xludf.DUMMYFUNCTION("""COMPUTED_VALUE"""),1501)</f>
        <v>1501</v>
      </c>
      <c r="AJ219">
        <f ca="1">IFERROR(__xludf.DUMMYFUNCTION("""COMPUTED_VALUE"""),22)</f>
        <v>22</v>
      </c>
    </row>
    <row r="220" spans="1:36" ht="13">
      <c r="A220" t="str">
        <f t="shared" si="1"/>
        <v xml:space="preserve"> </v>
      </c>
    </row>
    <row r="221" spans="1:36" ht="13">
      <c r="A221" t="str">
        <f t="shared" si="1"/>
        <v xml:space="preserve"> </v>
      </c>
    </row>
    <row r="222" spans="1:36" ht="13">
      <c r="A222" t="str">
        <f t="shared" si="1"/>
        <v xml:space="preserve"> </v>
      </c>
    </row>
    <row r="223" spans="1:36" ht="13">
      <c r="A223" t="str">
        <f t="shared" si="1"/>
        <v xml:space="preserve"> </v>
      </c>
    </row>
    <row r="224" spans="1:36" ht="13">
      <c r="A224" t="str">
        <f t="shared" si="1"/>
        <v xml:space="preserve"> </v>
      </c>
    </row>
    <row r="225" spans="1:36" ht="13">
      <c r="A225" t="str">
        <f t="shared" si="1"/>
        <v xml:space="preserve"> </v>
      </c>
    </row>
    <row r="226" spans="1:36" ht="13">
      <c r="A226" t="str">
        <f t="shared" si="1"/>
        <v xml:space="preserve"> </v>
      </c>
      <c r="AD226" s="57">
        <f ca="1">IFERROR(__xludf.DUMMYFUNCTION("""COMPUTED_VALUE"""),16.7142857142857)</f>
        <v>16.714285714285701</v>
      </c>
      <c r="AE226" s="57">
        <f ca="1">IFERROR(__xludf.DUMMYFUNCTION("""COMPUTED_VALUE"""),2321.28571428571)</f>
        <v>2321.2857142857101</v>
      </c>
      <c r="AF226">
        <f ca="1">IFERROR(__xludf.DUMMYFUNCTION("""COMPUTED_VALUE"""),50543)</f>
        <v>50543</v>
      </c>
      <c r="AG226" s="58">
        <f ca="1">IFERROR(__xludf.DUMMYFUNCTION("""COMPUTED_VALUE"""),2159.28571428571)</f>
        <v>2159.2857142857101</v>
      </c>
      <c r="AH226" s="13">
        <f ca="1">IFERROR(__xludf.DUMMYFUNCTION("""COMPUTED_VALUE"""),0)</f>
        <v>0</v>
      </c>
      <c r="AI226">
        <f ca="1">IFERROR(__xludf.DUMMYFUNCTION("""COMPUTED_VALUE"""),570)</f>
        <v>570</v>
      </c>
      <c r="AJ226">
        <f ca="1">IFERROR(__xludf.DUMMYFUNCTION("""COMPUTED_VALUE"""),9)</f>
        <v>9</v>
      </c>
    </row>
    <row r="227" spans="1:36" ht="13">
      <c r="A227" t="str">
        <f t="shared" si="1"/>
        <v xml:space="preserve"> </v>
      </c>
    </row>
    <row r="228" spans="1:36" ht="13">
      <c r="A228" t="str">
        <f t="shared" si="1"/>
        <v xml:space="preserve"> </v>
      </c>
    </row>
    <row r="229" spans="1:36" ht="13">
      <c r="A229" t="str">
        <f t="shared" si="1"/>
        <v xml:space="preserve"> </v>
      </c>
    </row>
    <row r="230" spans="1:36" ht="13">
      <c r="A230" t="str">
        <f t="shared" si="1"/>
        <v xml:space="preserve"> </v>
      </c>
    </row>
    <row r="231" spans="1:36" ht="13">
      <c r="A231" t="str">
        <f t="shared" si="1"/>
        <v xml:space="preserve"> </v>
      </c>
    </row>
    <row r="232" spans="1:36" ht="13">
      <c r="A232" t="str">
        <f t="shared" si="1"/>
        <v xml:space="preserve"> </v>
      </c>
    </row>
    <row r="233" spans="1:36" ht="13">
      <c r="A233" t="str">
        <f t="shared" si="1"/>
        <v xml:space="preserve"> </v>
      </c>
      <c r="AD233" s="57">
        <f ca="1">IFERROR(__xludf.DUMMYFUNCTION("""COMPUTED_VALUE"""),15.4285714285714)</f>
        <v>15.4285714285714</v>
      </c>
      <c r="AE233" s="57">
        <f ca="1">IFERROR(__xludf.DUMMYFUNCTION("""COMPUTED_VALUE"""),2106)</f>
        <v>2106</v>
      </c>
      <c r="AF233">
        <f ca="1">IFERROR(__xludf.DUMMYFUNCTION("""COMPUTED_VALUE"""),43289)</f>
        <v>43289</v>
      </c>
      <c r="AG233" s="58">
        <f ca="1">IFERROR(__xludf.DUMMYFUNCTION("""COMPUTED_VALUE"""),3126.85714285714)</f>
        <v>3126.8571428571399</v>
      </c>
      <c r="AH233" s="13">
        <f ca="1">IFERROR(__xludf.DUMMYFUNCTION("""COMPUTED_VALUE"""),0)</f>
        <v>0</v>
      </c>
      <c r="AI233">
        <f ca="1">IFERROR(__xludf.DUMMYFUNCTION("""COMPUTED_VALUE"""),1251)</f>
        <v>1251</v>
      </c>
      <c r="AJ233">
        <f ca="1">IFERROR(__xludf.DUMMYFUNCTION("""COMPUTED_VALUE"""),27)</f>
        <v>27</v>
      </c>
    </row>
    <row r="234" spans="1:36" ht="13">
      <c r="A234" t="str">
        <f t="shared" si="1"/>
        <v xml:space="preserve"> </v>
      </c>
    </row>
    <row r="235" spans="1:36" ht="13">
      <c r="A235" t="str">
        <f t="shared" si="1"/>
        <v xml:space="preserve"> </v>
      </c>
    </row>
    <row r="236" spans="1:36" ht="13">
      <c r="A236" t="str">
        <f t="shared" si="1"/>
        <v xml:space="preserve"> </v>
      </c>
    </row>
    <row r="237" spans="1:36" ht="13">
      <c r="A237" t="str">
        <f t="shared" si="1"/>
        <v xml:space="preserve"> </v>
      </c>
    </row>
    <row r="238" spans="1:36" ht="13">
      <c r="A238" t="str">
        <f t="shared" si="1"/>
        <v xml:space="preserve"> </v>
      </c>
    </row>
    <row r="239" spans="1:36" ht="13">
      <c r="A239" t="str">
        <f t="shared" si="1"/>
        <v xml:space="preserve"> </v>
      </c>
    </row>
    <row r="240" spans="1:36" ht="13">
      <c r="A240" t="str">
        <f t="shared" si="1"/>
        <v xml:space="preserve"> </v>
      </c>
      <c r="AD240" s="57">
        <f ca="1">IFERROR(__xludf.DUMMYFUNCTION("""COMPUTED_VALUE"""),14.2857142857142)</f>
        <v>14.285714285714199</v>
      </c>
      <c r="AE240" s="57">
        <f ca="1">IFERROR(__xludf.DUMMYFUNCTION("""COMPUTED_VALUE"""),1736.71428571428)</f>
        <v>1736.7142857142801</v>
      </c>
      <c r="AF240">
        <f ca="1">IFERROR(__xludf.DUMMYFUNCTION("""COMPUTED_VALUE"""),38558)</f>
        <v>38558</v>
      </c>
      <c r="AG240" s="58">
        <f ca="1">IFERROR(__xludf.DUMMYFUNCTION("""COMPUTED_VALUE"""),2398.28571428571)</f>
        <v>2398.2857142857101</v>
      </c>
      <c r="AH240" s="13">
        <f ca="1">IFERROR(__xludf.DUMMYFUNCTION("""COMPUTED_VALUE"""),0)</f>
        <v>0</v>
      </c>
      <c r="AI240">
        <f ca="1">IFERROR(__xludf.DUMMYFUNCTION("""COMPUTED_VALUE"""),978)</f>
        <v>978</v>
      </c>
      <c r="AJ240">
        <f ca="1">IFERROR(__xludf.DUMMYFUNCTION("""COMPUTED_VALUE"""),23)</f>
        <v>23</v>
      </c>
    </row>
    <row r="241" spans="1:36" ht="13">
      <c r="A241" t="str">
        <f t="shared" si="1"/>
        <v xml:space="preserve"> </v>
      </c>
    </row>
    <row r="242" spans="1:36" ht="13">
      <c r="A242" t="str">
        <f t="shared" si="1"/>
        <v xml:space="preserve"> </v>
      </c>
    </row>
    <row r="243" spans="1:36" ht="13">
      <c r="A243" t="str">
        <f t="shared" si="1"/>
        <v xml:space="preserve"> </v>
      </c>
    </row>
    <row r="244" spans="1:36" ht="13">
      <c r="A244" t="str">
        <f t="shared" si="1"/>
        <v xml:space="preserve"> </v>
      </c>
    </row>
    <row r="245" spans="1:36" ht="13">
      <c r="A245" t="str">
        <f t="shared" si="1"/>
        <v xml:space="preserve"> </v>
      </c>
    </row>
    <row r="246" spans="1:36" ht="13">
      <c r="A246" t="str">
        <f t="shared" si="1"/>
        <v xml:space="preserve"> </v>
      </c>
    </row>
    <row r="247" spans="1:36" ht="13">
      <c r="A247" t="str">
        <f t="shared" si="1"/>
        <v xml:space="preserve"> </v>
      </c>
      <c r="AD247" s="57">
        <f ca="1">IFERROR(__xludf.DUMMYFUNCTION("""COMPUTED_VALUE"""),10.8571428571428)</f>
        <v>10.857142857142801</v>
      </c>
      <c r="AE247" s="57">
        <f ca="1">IFERROR(__xludf.DUMMYFUNCTION("""COMPUTED_VALUE"""),1471.42857142857)</f>
        <v>1471.42857142857</v>
      </c>
      <c r="AF247">
        <f ca="1">IFERROR(__xludf.DUMMYFUNCTION("""COMPUTED_VALUE"""),34672)</f>
        <v>34672</v>
      </c>
      <c r="AG247" s="58">
        <f ca="1">IFERROR(__xludf.DUMMYFUNCTION("""COMPUTED_VALUE"""),2015.71428571428)</f>
        <v>2015.7142857142801</v>
      </c>
      <c r="AH247" s="13">
        <f ca="1">IFERROR(__xludf.DUMMYFUNCTION("""COMPUTED_VALUE"""),0)</f>
        <v>0</v>
      </c>
      <c r="AI247">
        <f ca="1">IFERROR(__xludf.DUMMYFUNCTION("""COMPUTED_VALUE"""),832)</f>
        <v>832</v>
      </c>
      <c r="AJ247">
        <f ca="1">IFERROR(__xludf.DUMMYFUNCTION("""COMPUTED_VALUE"""),17)</f>
        <v>17</v>
      </c>
    </row>
    <row r="248" spans="1:36" ht="13">
      <c r="A248" t="str">
        <f t="shared" si="1"/>
        <v xml:space="preserve"> </v>
      </c>
    </row>
    <row r="249" spans="1:36" ht="13">
      <c r="A249" t="str">
        <f t="shared" si="1"/>
        <v xml:space="preserve"> </v>
      </c>
    </row>
    <row r="250" spans="1:36" ht="13">
      <c r="A250" t="str">
        <f t="shared" si="1"/>
        <v xml:space="preserve"> </v>
      </c>
    </row>
    <row r="251" spans="1:36" ht="13">
      <c r="A251" t="str">
        <f t="shared" si="1"/>
        <v xml:space="preserve"> </v>
      </c>
    </row>
    <row r="252" spans="1:36" ht="13">
      <c r="A252" t="str">
        <f t="shared" si="1"/>
        <v xml:space="preserve"> </v>
      </c>
    </row>
    <row r="253" spans="1:36" ht="13">
      <c r="A253" t="str">
        <f t="shared" si="1"/>
        <v xml:space="preserve"> </v>
      </c>
    </row>
    <row r="254" spans="1:36" ht="13">
      <c r="A254" t="str">
        <f t="shared" si="1"/>
        <v xml:space="preserve"> </v>
      </c>
      <c r="AD254" s="57">
        <f ca="1">IFERROR(__xludf.DUMMYFUNCTION("""COMPUTED_VALUE"""),6)</f>
        <v>6</v>
      </c>
      <c r="AE254" s="57">
        <f ca="1">IFERROR(__xludf.DUMMYFUNCTION("""COMPUTED_VALUE"""),1656.57142857142)</f>
        <v>1656.57142857142</v>
      </c>
      <c r="AF254">
        <f ca="1">IFERROR(__xludf.DUMMYFUNCTION("""COMPUTED_VALUE"""),34275)</f>
        <v>34275</v>
      </c>
      <c r="AG254" s="58">
        <f ca="1">IFERROR(__xludf.DUMMYFUNCTION("""COMPUTED_VALUE"""),1707.28571428571)</f>
        <v>1707.2857142857099</v>
      </c>
      <c r="AH254" s="13">
        <f ca="1">IFERROR(__xludf.DUMMYFUNCTION("""COMPUTED_VALUE"""),0)</f>
        <v>0</v>
      </c>
      <c r="AI254">
        <f ca="1">IFERROR(__xludf.DUMMYFUNCTION("""COMPUTED_VALUE"""),831)</f>
        <v>831</v>
      </c>
      <c r="AJ254">
        <f ca="1">IFERROR(__xludf.DUMMYFUNCTION("""COMPUTED_VALUE"""),10)</f>
        <v>10</v>
      </c>
    </row>
    <row r="255" spans="1:36" ht="13">
      <c r="A255" t="str">
        <f t="shared" si="1"/>
        <v xml:space="preserve"> </v>
      </c>
    </row>
    <row r="256" spans="1:36" ht="13">
      <c r="A256" t="str">
        <f t="shared" si="1"/>
        <v xml:space="preserve"> </v>
      </c>
    </row>
    <row r="257" spans="1:36" ht="13">
      <c r="A257" t="str">
        <f t="shared" si="1"/>
        <v xml:space="preserve"> </v>
      </c>
    </row>
    <row r="258" spans="1:36" ht="13">
      <c r="A258" t="str">
        <f t="shared" si="1"/>
        <v xml:space="preserve"> </v>
      </c>
    </row>
    <row r="259" spans="1:36" ht="13">
      <c r="A259" t="str">
        <f t="shared" si="1"/>
        <v xml:space="preserve"> </v>
      </c>
    </row>
    <row r="260" spans="1:36" ht="13">
      <c r="A260" t="str">
        <f t="shared" si="1"/>
        <v xml:space="preserve"> </v>
      </c>
    </row>
    <row r="261" spans="1:36" ht="13">
      <c r="A261" t="str">
        <f t="shared" si="1"/>
        <v xml:space="preserve"> </v>
      </c>
      <c r="AD261" s="57">
        <f ca="1">IFERROR(__xludf.DUMMYFUNCTION("""COMPUTED_VALUE"""),6.85714285714285)</f>
        <v>6.8571428571428497</v>
      </c>
      <c r="AE261" s="57">
        <f ca="1">IFERROR(__xludf.DUMMYFUNCTION("""COMPUTED_VALUE"""),1758.14285714285)</f>
        <v>1758.1428571428501</v>
      </c>
      <c r="AF261">
        <f ca="1">IFERROR(__xludf.DUMMYFUNCTION("""COMPUTED_VALUE"""),33564)</f>
        <v>33564</v>
      </c>
      <c r="AG261" s="58">
        <f ca="1">IFERROR(__xludf.DUMMYFUNCTION("""COMPUTED_VALUE"""),1852.85714285714)</f>
        <v>1852.8571428571399</v>
      </c>
      <c r="AH261" s="13">
        <f ca="1">IFERROR(__xludf.DUMMYFUNCTION("""COMPUTED_VALUE"""),0)</f>
        <v>0</v>
      </c>
      <c r="AI261">
        <f ca="1">IFERROR(__xludf.DUMMYFUNCTION("""COMPUTED_VALUE"""),923)</f>
        <v>923</v>
      </c>
      <c r="AJ261">
        <f ca="1">IFERROR(__xludf.DUMMYFUNCTION("""COMPUTED_VALUE"""),14)</f>
        <v>14</v>
      </c>
    </row>
    <row r="262" spans="1:36" ht="13">
      <c r="A262" t="str">
        <f t="shared" si="1"/>
        <v xml:space="preserve"> </v>
      </c>
    </row>
    <row r="263" spans="1:36" ht="13">
      <c r="A263" t="str">
        <f t="shared" si="1"/>
        <v xml:space="preserve"> </v>
      </c>
    </row>
    <row r="264" spans="1:36" ht="13">
      <c r="A264" t="str">
        <f t="shared" si="1"/>
        <v xml:space="preserve"> </v>
      </c>
    </row>
    <row r="265" spans="1:36" ht="13">
      <c r="A265" t="str">
        <f t="shared" si="1"/>
        <v xml:space="preserve"> </v>
      </c>
    </row>
    <row r="266" spans="1:36" ht="13">
      <c r="A266" t="str">
        <f t="shared" si="1"/>
        <v xml:space="preserve"> </v>
      </c>
    </row>
    <row r="267" spans="1:36" ht="13">
      <c r="A267" t="str">
        <f t="shared" si="1"/>
        <v xml:space="preserve"> </v>
      </c>
    </row>
    <row r="268" spans="1:36" ht="13">
      <c r="A268" t="str">
        <f t="shared" si="1"/>
        <v xml:space="preserve"> </v>
      </c>
      <c r="AD268" s="57">
        <f ca="1">IFERROR(__xludf.DUMMYFUNCTION("""COMPUTED_VALUE"""),6.57142857142857)</f>
        <v>6.5714285714285703</v>
      </c>
      <c r="AE268" s="57">
        <f ca="1">IFERROR(__xludf.DUMMYFUNCTION("""COMPUTED_VALUE"""),1627.42857142857)</f>
        <v>1627.42857142857</v>
      </c>
      <c r="AF268">
        <f ca="1">IFERROR(__xludf.DUMMYFUNCTION("""COMPUTED_VALUE"""),32464)</f>
        <v>32464</v>
      </c>
      <c r="AG268" s="58">
        <f ca="1">IFERROR(__xludf.DUMMYFUNCTION("""COMPUTED_VALUE"""),1778)</f>
        <v>1778</v>
      </c>
      <c r="AH268" s="13">
        <f ca="1">IFERROR(__xludf.DUMMYFUNCTION("""COMPUTED_VALUE"""),0)</f>
        <v>0</v>
      </c>
      <c r="AI268">
        <f ca="1">IFERROR(__xludf.DUMMYFUNCTION("""COMPUTED_VALUE"""),1166)</f>
        <v>1166</v>
      </c>
      <c r="AJ268">
        <f ca="1">IFERROR(__xludf.DUMMYFUNCTION("""COMPUTED_VALUE"""),18)</f>
        <v>18</v>
      </c>
    </row>
    <row r="269" spans="1:36" ht="13">
      <c r="A269" t="str">
        <f t="shared" si="1"/>
        <v xml:space="preserve"> </v>
      </c>
    </row>
    <row r="270" spans="1:36" ht="13">
      <c r="A270" t="str">
        <f t="shared" si="1"/>
        <v xml:space="preserve"> </v>
      </c>
    </row>
    <row r="271" spans="1:36" ht="13">
      <c r="A271" t="str">
        <f t="shared" si="1"/>
        <v xml:space="preserve"> </v>
      </c>
    </row>
    <row r="272" spans="1:36" ht="13">
      <c r="A272" t="str">
        <f t="shared" si="1"/>
        <v xml:space="preserve"> </v>
      </c>
    </row>
    <row r="273" spans="1:36" ht="13">
      <c r="A273" t="str">
        <f t="shared" si="1"/>
        <v xml:space="preserve"> </v>
      </c>
    </row>
    <row r="274" spans="1:36" ht="13">
      <c r="A274" t="str">
        <f t="shared" si="1"/>
        <v xml:space="preserve"> </v>
      </c>
    </row>
    <row r="275" spans="1:36" ht="13">
      <c r="A275" t="str">
        <f t="shared" si="1"/>
        <v xml:space="preserve"> </v>
      </c>
      <c r="AD275" s="57">
        <f ca="1">IFERROR(__xludf.DUMMYFUNCTION("""COMPUTED_VALUE"""),10.4285714285714)</f>
        <v>10.4285714285714</v>
      </c>
      <c r="AE275" s="57">
        <f ca="1">IFERROR(__xludf.DUMMYFUNCTION("""COMPUTED_VALUE"""),1966.42857142857)</f>
        <v>1966.42857142857</v>
      </c>
      <c r="AF275">
        <f ca="1">IFERROR(__xludf.DUMMYFUNCTION("""COMPUTED_VALUE"""),35039)</f>
        <v>35039</v>
      </c>
      <c r="AG275" s="58">
        <f ca="1">IFERROR(__xludf.DUMMYFUNCTION("""COMPUTED_VALUE"""),1588.14285714285)</f>
        <v>1588.1428571428501</v>
      </c>
      <c r="AH275" s="13">
        <f ca="1">IFERROR(__xludf.DUMMYFUNCTION("""COMPUTED_VALUE"""),0)</f>
        <v>0</v>
      </c>
      <c r="AI275">
        <f ca="1">IFERROR(__xludf.DUMMYFUNCTION("""COMPUTED_VALUE"""),1752)</f>
        <v>1752</v>
      </c>
      <c r="AJ275">
        <f ca="1">IFERROR(__xludf.DUMMYFUNCTION("""COMPUTED_VALUE"""),32)</f>
        <v>32</v>
      </c>
    </row>
    <row r="276" spans="1:36" ht="13">
      <c r="A276" t="str">
        <f t="shared" si="1"/>
        <v xml:space="preserve"> </v>
      </c>
    </row>
    <row r="277" spans="1:36" ht="13">
      <c r="A277" t="str">
        <f t="shared" si="1"/>
        <v xml:space="preserve"> </v>
      </c>
    </row>
    <row r="278" spans="1:36" ht="13">
      <c r="A278" t="str">
        <f t="shared" si="1"/>
        <v xml:space="preserve"> </v>
      </c>
    </row>
    <row r="279" spans="1:36" ht="13">
      <c r="A279" t="str">
        <f t="shared" si="1"/>
        <v xml:space="preserve"> </v>
      </c>
    </row>
    <row r="280" spans="1:36" ht="13">
      <c r="A280" t="str">
        <f t="shared" si="1"/>
        <v xml:space="preserve"> </v>
      </c>
    </row>
    <row r="281" spans="1:36" ht="13">
      <c r="A281" t="str">
        <f t="shared" si="1"/>
        <v xml:space="preserve"> </v>
      </c>
    </row>
    <row r="282" spans="1:36" ht="13">
      <c r="A282" t="str">
        <f t="shared" si="1"/>
        <v xml:space="preserve"> </v>
      </c>
      <c r="AD282" s="57">
        <f ca="1">IFERROR(__xludf.DUMMYFUNCTION("""COMPUTED_VALUE"""),14.8571428571428)</f>
        <v>14.857142857142801</v>
      </c>
      <c r="AE282" s="57">
        <f ca="1">IFERROR(__xludf.DUMMYFUNCTION("""COMPUTED_VALUE"""),1805.14285714285)</f>
        <v>1805.1428571428501</v>
      </c>
      <c r="AF282">
        <f ca="1">IFERROR(__xludf.DUMMYFUNCTION("""COMPUTED_VALUE"""),36163)</f>
        <v>36163</v>
      </c>
      <c r="AG282" s="58">
        <f ca="1">IFERROR(__xludf.DUMMYFUNCTION("""COMPUTED_VALUE"""),1629.71428571428)</f>
        <v>1629.7142857142801</v>
      </c>
      <c r="AH282" s="13">
        <f ca="1">IFERROR(__xludf.DUMMYFUNCTION("""COMPUTED_VALUE"""),0)</f>
        <v>0</v>
      </c>
      <c r="AI282">
        <f ca="1">IFERROR(__xludf.DUMMYFUNCTION("""COMPUTED_VALUE"""),1700)</f>
        <v>1700</v>
      </c>
      <c r="AJ282">
        <f ca="1">IFERROR(__xludf.DUMMYFUNCTION("""COMPUTED_VALUE"""),32)</f>
        <v>32</v>
      </c>
    </row>
    <row r="283" spans="1:36" ht="13">
      <c r="A283" t="str">
        <f t="shared" si="1"/>
        <v xml:space="preserve"> </v>
      </c>
    </row>
    <row r="284" spans="1:36" ht="13">
      <c r="A284" t="str">
        <f t="shared" si="1"/>
        <v xml:space="preserve"> </v>
      </c>
    </row>
    <row r="285" spans="1:36" ht="13">
      <c r="A285" t="str">
        <f t="shared" si="1"/>
        <v xml:space="preserve"> </v>
      </c>
    </row>
    <row r="286" spans="1:36" ht="13">
      <c r="A286" t="str">
        <f t="shared" si="1"/>
        <v xml:space="preserve"> </v>
      </c>
    </row>
    <row r="287" spans="1:36" ht="13">
      <c r="A287" t="str">
        <f t="shared" si="1"/>
        <v xml:space="preserve"> </v>
      </c>
    </row>
    <row r="288" spans="1:36" ht="13">
      <c r="A288" t="str">
        <f t="shared" si="1"/>
        <v xml:space="preserve"> </v>
      </c>
    </row>
    <row r="289" spans="1:36" ht="13">
      <c r="A289" t="str">
        <f t="shared" si="1"/>
        <v xml:space="preserve"> </v>
      </c>
      <c r="AD289" s="57">
        <f ca="1">IFERROR(__xludf.DUMMYFUNCTION("""COMPUTED_VALUE"""),16.8571428571428)</f>
        <v>16.857142857142801</v>
      </c>
      <c r="AE289" s="57">
        <f ca="1">IFERROR(__xludf.DUMMYFUNCTION("""COMPUTED_VALUE"""),1706.71428571428)</f>
        <v>1706.7142857142801</v>
      </c>
      <c r="AF289">
        <f ca="1">IFERROR(__xludf.DUMMYFUNCTION("""COMPUTED_VALUE"""),35043)</f>
        <v>35043</v>
      </c>
      <c r="AG289" s="58">
        <f ca="1">IFERROR(__xludf.DUMMYFUNCTION("""COMPUTED_VALUE"""),1849.85714285714)</f>
        <v>1849.8571428571399</v>
      </c>
      <c r="AH289" s="13">
        <f ca="1">IFERROR(__xludf.DUMMYFUNCTION("""COMPUTED_VALUE"""),0)</f>
        <v>0</v>
      </c>
      <c r="AI289">
        <f ca="1">IFERROR(__xludf.DUMMYFUNCTION("""COMPUTED_VALUE"""),1597)</f>
        <v>1597</v>
      </c>
      <c r="AJ289">
        <f ca="1">IFERROR(__xludf.DUMMYFUNCTION("""COMPUTED_VALUE"""),18)</f>
        <v>18</v>
      </c>
    </row>
    <row r="290" spans="1:36" ht="13">
      <c r="A290" t="str">
        <f t="shared" si="1"/>
        <v xml:space="preserve"> </v>
      </c>
    </row>
    <row r="291" spans="1:36" ht="13">
      <c r="A291" t="str">
        <f t="shared" si="1"/>
        <v xml:space="preserve"> </v>
      </c>
    </row>
    <row r="292" spans="1:36" ht="13">
      <c r="A292" t="str">
        <f t="shared" si="1"/>
        <v xml:space="preserve"> </v>
      </c>
    </row>
    <row r="293" spans="1:36" ht="13">
      <c r="A293" t="str">
        <f t="shared" si="1"/>
        <v xml:space="preserve"> </v>
      </c>
    </row>
    <row r="294" spans="1:36" ht="13">
      <c r="A294" t="str">
        <f t="shared" si="1"/>
        <v xml:space="preserve"> </v>
      </c>
    </row>
    <row r="295" spans="1:36" ht="13">
      <c r="A295" t="str">
        <f t="shared" si="1"/>
        <v xml:space="preserve"> </v>
      </c>
    </row>
    <row r="296" spans="1:36" ht="13">
      <c r="A296" t="str">
        <f t="shared" si="1"/>
        <v xml:space="preserve"> </v>
      </c>
      <c r="AD296" s="57">
        <f ca="1">IFERROR(__xludf.DUMMYFUNCTION("""COMPUTED_VALUE"""),20)</f>
        <v>20</v>
      </c>
      <c r="AE296" s="57">
        <f ca="1">IFERROR(__xludf.DUMMYFUNCTION("""COMPUTED_VALUE"""),1289)</f>
        <v>1289</v>
      </c>
      <c r="AF296">
        <f ca="1">IFERROR(__xludf.DUMMYFUNCTION("""COMPUTED_VALUE"""),31576)</f>
        <v>31576</v>
      </c>
      <c r="AG296" s="58">
        <f ca="1">IFERROR(__xludf.DUMMYFUNCTION("""COMPUTED_VALUE"""),1764.28571428571)</f>
        <v>1764.2857142857099</v>
      </c>
      <c r="AH296" s="13">
        <f ca="1">IFERROR(__xludf.DUMMYFUNCTION("""COMPUTED_VALUE"""),0)</f>
        <v>0</v>
      </c>
      <c r="AI296">
        <f ca="1">IFERROR(__xludf.DUMMYFUNCTION("""COMPUTED_VALUE"""),1371)</f>
        <v>1371</v>
      </c>
      <c r="AJ296">
        <f ca="1">IFERROR(__xludf.DUMMYFUNCTION("""COMPUTED_VALUE"""),25)</f>
        <v>25</v>
      </c>
    </row>
    <row r="297" spans="1:36" ht="13">
      <c r="A297" t="str">
        <f t="shared" si="1"/>
        <v xml:space="preserve"> </v>
      </c>
    </row>
    <row r="298" spans="1:36" ht="13">
      <c r="A298" t="str">
        <f t="shared" si="1"/>
        <v xml:space="preserve"> </v>
      </c>
    </row>
    <row r="299" spans="1:36" ht="13">
      <c r="A299" t="str">
        <f t="shared" si="1"/>
        <v xml:space="preserve"> </v>
      </c>
    </row>
    <row r="300" spans="1:36" ht="13">
      <c r="A300" t="str">
        <f t="shared" si="1"/>
        <v xml:space="preserve"> </v>
      </c>
    </row>
    <row r="301" spans="1:36" ht="13">
      <c r="A301" t="str">
        <f t="shared" si="1"/>
        <v xml:space="preserve"> </v>
      </c>
    </row>
    <row r="302" spans="1:36" ht="13">
      <c r="A302" t="str">
        <f t="shared" si="1"/>
        <v xml:space="preserve"> </v>
      </c>
    </row>
    <row r="303" spans="1:36" ht="13">
      <c r="A303" t="str">
        <f t="shared" si="1"/>
        <v xml:space="preserve"> </v>
      </c>
      <c r="AE303" s="57">
        <f ca="1">IFERROR(__xludf.DUMMYFUNCTION("""COMPUTED_VALUE"""),1070.71428571428)</f>
        <v>1070.7142857142801</v>
      </c>
    </row>
    <row r="304" spans="1:36" ht="13">
      <c r="A304" t="str">
        <f t="shared" si="1"/>
        <v xml:space="preserve"> </v>
      </c>
    </row>
    <row r="305" spans="1:36" ht="13">
      <c r="A305" t="str">
        <f t="shared" si="1"/>
        <v xml:space="preserve"> </v>
      </c>
    </row>
    <row r="306" spans="1:36" ht="13">
      <c r="A306" t="str">
        <f t="shared" si="1"/>
        <v xml:space="preserve"> </v>
      </c>
    </row>
    <row r="307" spans="1:36" ht="13">
      <c r="A307" t="str">
        <f t="shared" si="1"/>
        <v xml:space="preserve"> </v>
      </c>
    </row>
    <row r="308" spans="1:36" ht="13">
      <c r="A308" t="str">
        <f t="shared" si="1"/>
        <v xml:space="preserve"> </v>
      </c>
    </row>
    <row r="309" spans="1:36" ht="13">
      <c r="A309" t="str">
        <f t="shared" si="1"/>
        <v xml:space="preserve"> </v>
      </c>
    </row>
    <row r="310" spans="1:36" ht="13">
      <c r="A310" t="str">
        <f t="shared" si="1"/>
        <v xml:space="preserve"> </v>
      </c>
      <c r="AD310" s="57">
        <f ca="1">IFERROR(__xludf.DUMMYFUNCTION("""COMPUTED_VALUE"""),12.3571428571428)</f>
        <v>12.357142857142801</v>
      </c>
      <c r="AE310" s="57">
        <f ca="1">IFERROR(__xludf.DUMMYFUNCTION("""COMPUTED_VALUE"""),650.857142857142)</f>
        <v>650.85714285714198</v>
      </c>
      <c r="AF310">
        <f ca="1">IFERROR(__xludf.DUMMYFUNCTION("""COMPUTED_VALUE"""),22928)</f>
        <v>22928</v>
      </c>
      <c r="AG310" s="58">
        <f ca="1">IFERROR(__xludf.DUMMYFUNCTION("""COMPUTED_VALUE"""),1466.14285714285)</f>
        <v>1466.1428571428501</v>
      </c>
      <c r="AH310" s="13">
        <f ca="1">IFERROR(__xludf.DUMMYFUNCTION("""COMPUTED_VALUE"""),0)</f>
        <v>0</v>
      </c>
      <c r="AI310">
        <f ca="1">IFERROR(__xludf.DUMMYFUNCTION("""COMPUTED_VALUE"""),985)</f>
        <v>985</v>
      </c>
      <c r="AJ310">
        <f ca="1">IFERROR(__xludf.DUMMYFUNCTION("""COMPUTED_VALUE"""),18)</f>
        <v>18</v>
      </c>
    </row>
    <row r="311" spans="1:36" ht="13">
      <c r="A311" t="str">
        <f t="shared" si="1"/>
        <v xml:space="preserve"> </v>
      </c>
    </row>
    <row r="312" spans="1:36" ht="13">
      <c r="A312" t="str">
        <f t="shared" si="1"/>
        <v xml:space="preserve"> </v>
      </c>
    </row>
    <row r="313" spans="1:36" ht="13">
      <c r="A313" t="str">
        <f t="shared" si="1"/>
        <v xml:space="preserve"> </v>
      </c>
    </row>
    <row r="314" spans="1:36" ht="13">
      <c r="A314" t="str">
        <f t="shared" si="1"/>
        <v xml:space="preserve"> </v>
      </c>
    </row>
    <row r="315" spans="1:36" ht="13">
      <c r="A315" t="str">
        <f t="shared" si="1"/>
        <v xml:space="preserve"> </v>
      </c>
    </row>
    <row r="316" spans="1:36" ht="13">
      <c r="A316" t="str">
        <f t="shared" si="1"/>
        <v xml:space="preserve"> </v>
      </c>
    </row>
    <row r="317" spans="1:36" ht="13">
      <c r="A317" t="str">
        <f t="shared" si="1"/>
        <v xml:space="preserve"> </v>
      </c>
      <c r="AD317" s="57">
        <f ca="1">IFERROR(__xludf.DUMMYFUNCTION("""COMPUTED_VALUE"""),10.4285714285714)</f>
        <v>10.4285714285714</v>
      </c>
      <c r="AE317" s="57">
        <f ca="1">IFERROR(__xludf.DUMMYFUNCTION("""COMPUTED_VALUE"""),633)</f>
        <v>633</v>
      </c>
      <c r="AF317">
        <f ca="1">IFERROR(__xludf.DUMMYFUNCTION("""COMPUTED_VALUE"""),18533)</f>
        <v>18533</v>
      </c>
      <c r="AG317" s="58">
        <f ca="1">IFERROR(__xludf.DUMMYFUNCTION("""COMPUTED_VALUE"""),1250.42857142857)</f>
        <v>1250.42857142857</v>
      </c>
      <c r="AH317" s="13">
        <f ca="1">IFERROR(__xludf.DUMMYFUNCTION("""COMPUTED_VALUE"""),0)</f>
        <v>0</v>
      </c>
      <c r="AI317">
        <f ca="1">IFERROR(__xludf.DUMMYFUNCTION("""COMPUTED_VALUE"""),749)</f>
        <v>749</v>
      </c>
      <c r="AJ317">
        <f ca="1">IFERROR(__xludf.DUMMYFUNCTION("""COMPUTED_VALUE"""),10)</f>
        <v>10</v>
      </c>
    </row>
    <row r="318" spans="1:36" ht="13">
      <c r="A318" t="str">
        <f t="shared" si="1"/>
        <v xml:space="preserve"> </v>
      </c>
    </row>
    <row r="319" spans="1:36" ht="13">
      <c r="A319" t="str">
        <f t="shared" si="1"/>
        <v xml:space="preserve"> </v>
      </c>
    </row>
    <row r="320" spans="1:36" ht="13">
      <c r="A320" t="str">
        <f t="shared" si="1"/>
        <v xml:space="preserve"> </v>
      </c>
    </row>
    <row r="321" spans="1:36" ht="13">
      <c r="A321" t="str">
        <f t="shared" si="1"/>
        <v xml:space="preserve"> </v>
      </c>
    </row>
    <row r="322" spans="1:36" ht="13">
      <c r="A322" t="str">
        <f t="shared" si="1"/>
        <v xml:space="preserve"> </v>
      </c>
    </row>
    <row r="323" spans="1:36" ht="13">
      <c r="A323" t="str">
        <f t="shared" si="1"/>
        <v xml:space="preserve"> </v>
      </c>
    </row>
    <row r="324" spans="1:36" ht="13">
      <c r="A324" t="str">
        <f t="shared" si="1"/>
        <v xml:space="preserve"> </v>
      </c>
      <c r="AD324" s="57">
        <f ca="1">IFERROR(__xludf.DUMMYFUNCTION("""COMPUTED_VALUE"""),8.71428571428571)</f>
        <v>8.71428571428571</v>
      </c>
      <c r="AE324" s="57">
        <f ca="1">IFERROR(__xludf.DUMMYFUNCTION("""COMPUTED_VALUE"""),585.428571428571)</f>
        <v>585.42857142857099</v>
      </c>
      <c r="AF324">
        <f ca="1">IFERROR(__xludf.DUMMYFUNCTION("""COMPUTED_VALUE"""),15608)</f>
        <v>15608</v>
      </c>
      <c r="AG324" s="58">
        <f ca="1">IFERROR(__xludf.DUMMYFUNCTION("""COMPUTED_VALUE"""),994.571428571428)</f>
        <v>994.57142857142799</v>
      </c>
      <c r="AH324" s="13">
        <f ca="1">IFERROR(__xludf.DUMMYFUNCTION("""COMPUTED_VALUE"""),0)</f>
        <v>0</v>
      </c>
      <c r="AI324">
        <f ca="1">IFERROR(__xludf.DUMMYFUNCTION("""COMPUTED_VALUE"""),770)</f>
        <v>770</v>
      </c>
      <c r="AJ324">
        <f ca="1">IFERROR(__xludf.DUMMYFUNCTION("""COMPUTED_VALUE"""),11)</f>
        <v>11</v>
      </c>
    </row>
    <row r="325" spans="1:36" ht="13">
      <c r="A325" t="str">
        <f t="shared" si="1"/>
        <v xml:space="preserve"> </v>
      </c>
    </row>
    <row r="326" spans="1:36" ht="13">
      <c r="A326" t="str">
        <f t="shared" si="1"/>
        <v xml:space="preserve"> </v>
      </c>
    </row>
    <row r="327" spans="1:36" ht="13">
      <c r="A327" t="str">
        <f t="shared" si="1"/>
        <v xml:space="preserve"> </v>
      </c>
    </row>
    <row r="328" spans="1:36" ht="13">
      <c r="A328" t="str">
        <f t="shared" si="1"/>
        <v xml:space="preserve"> </v>
      </c>
    </row>
    <row r="329" spans="1:36" ht="13">
      <c r="A329" t="str">
        <f t="shared" si="1"/>
        <v xml:space="preserve"> </v>
      </c>
    </row>
    <row r="330" spans="1:36" ht="13">
      <c r="A330" t="str">
        <f t="shared" si="1"/>
        <v xml:space="preserve"> </v>
      </c>
    </row>
    <row r="331" spans="1:36" ht="13">
      <c r="A331" t="str">
        <f t="shared" si="1"/>
        <v xml:space="preserve"> </v>
      </c>
    </row>
    <row r="332" spans="1:36" ht="13">
      <c r="A332" t="str">
        <f t="shared" si="1"/>
        <v xml:space="preserve"> </v>
      </c>
    </row>
    <row r="333" spans="1:36" ht="13">
      <c r="A333" t="str">
        <f t="shared" si="1"/>
        <v xml:space="preserve"> </v>
      </c>
    </row>
    <row r="334" spans="1:36" ht="13">
      <c r="A334" t="str">
        <f t="shared" si="1"/>
        <v xml:space="preserve"> </v>
      </c>
    </row>
    <row r="335" spans="1:36" ht="13">
      <c r="A335" t="str">
        <f t="shared" si="1"/>
        <v xml:space="preserve"> </v>
      </c>
    </row>
    <row r="336" spans="1:36" ht="13">
      <c r="A336" t="str">
        <f t="shared" si="1"/>
        <v xml:space="preserve"> </v>
      </c>
    </row>
    <row r="337" spans="1:1" ht="13">
      <c r="A337" t="str">
        <f t="shared" si="1"/>
        <v xml:space="preserve"> </v>
      </c>
    </row>
    <row r="338" spans="1:1" ht="13">
      <c r="A338" t="str">
        <f t="shared" si="1"/>
        <v xml:space="preserve"> </v>
      </c>
    </row>
    <row r="339" spans="1:1" ht="13">
      <c r="A339" t="str">
        <f t="shared" si="1"/>
        <v xml:space="preserve"> </v>
      </c>
    </row>
    <row r="340" spans="1:1" ht="13">
      <c r="A340" t="str">
        <f t="shared" si="1"/>
        <v xml:space="preserve"> </v>
      </c>
    </row>
    <row r="341" spans="1:1" ht="13">
      <c r="A341" t="str">
        <f t="shared" si="1"/>
        <v xml:space="preserve"> </v>
      </c>
    </row>
    <row r="342" spans="1:1" ht="13">
      <c r="A342" t="str">
        <f t="shared" si="1"/>
        <v xml:space="preserve"> </v>
      </c>
    </row>
    <row r="343" spans="1:1" ht="13">
      <c r="A343" t="str">
        <f t="shared" si="1"/>
        <v xml:space="preserve"> </v>
      </c>
    </row>
    <row r="344" spans="1:1" ht="13">
      <c r="A344" t="str">
        <f t="shared" si="1"/>
        <v xml:space="preserve"> </v>
      </c>
    </row>
    <row r="345" spans="1:1" ht="13">
      <c r="A345" t="str">
        <f t="shared" si="1"/>
        <v xml:space="preserve"> </v>
      </c>
    </row>
    <row r="346" spans="1:1" ht="13">
      <c r="A346" t="str">
        <f t="shared" si="1"/>
        <v xml:space="preserve"> </v>
      </c>
    </row>
    <row r="347" spans="1:1" ht="13">
      <c r="A347" t="str">
        <f t="shared" si="1"/>
        <v xml:space="preserve"> </v>
      </c>
    </row>
    <row r="348" spans="1:1" ht="13">
      <c r="A348" t="str">
        <f t="shared" si="1"/>
        <v xml:space="preserve"> </v>
      </c>
    </row>
    <row r="349" spans="1:1" ht="13">
      <c r="A349" t="str">
        <f t="shared" si="1"/>
        <v xml:space="preserve"> </v>
      </c>
    </row>
    <row r="350" spans="1:1" ht="13">
      <c r="A350" t="str">
        <f t="shared" si="1"/>
        <v xml:space="preserve"> </v>
      </c>
    </row>
    <row r="351" spans="1:1" ht="13">
      <c r="A351" t="str">
        <f t="shared" si="1"/>
        <v xml:space="preserve"> </v>
      </c>
    </row>
    <row r="352" spans="1:1" ht="13">
      <c r="A352" t="str">
        <f t="shared" si="1"/>
        <v xml:space="preserve"> </v>
      </c>
    </row>
    <row r="353" spans="1:1" ht="13">
      <c r="A353" t="str">
        <f t="shared" si="1"/>
        <v xml:space="preserve"> </v>
      </c>
    </row>
    <row r="354" spans="1:1" ht="13">
      <c r="A354" t="str">
        <f t="shared" si="1"/>
        <v xml:space="preserve"> </v>
      </c>
    </row>
    <row r="355" spans="1:1" ht="13">
      <c r="A355" t="str">
        <f t="shared" si="1"/>
        <v xml:space="preserve"> </v>
      </c>
    </row>
    <row r="356" spans="1:1" ht="13">
      <c r="A356" t="str">
        <f t="shared" si="1"/>
        <v xml:space="preserve"> </v>
      </c>
    </row>
    <row r="357" spans="1:1" ht="13">
      <c r="A357" t="str">
        <f t="shared" si="1"/>
        <v xml:space="preserve"> </v>
      </c>
    </row>
    <row r="358" spans="1:1" ht="13">
      <c r="A358" t="str">
        <f t="shared" si="1"/>
        <v xml:space="preserve"> </v>
      </c>
    </row>
    <row r="359" spans="1:1" ht="13">
      <c r="A359" t="str">
        <f t="shared" si="1"/>
        <v xml:space="preserve"> </v>
      </c>
    </row>
    <row r="360" spans="1:1" ht="13">
      <c r="A360" t="str">
        <f t="shared" si="1"/>
        <v xml:space="preserve"> </v>
      </c>
    </row>
    <row r="361" spans="1:1" ht="13">
      <c r="A361" t="str">
        <f t="shared" si="1"/>
        <v xml:space="preserve"> </v>
      </c>
    </row>
    <row r="362" spans="1:1" ht="13">
      <c r="A362" t="str">
        <f t="shared" si="1"/>
        <v xml:space="preserve"> </v>
      </c>
    </row>
    <row r="363" spans="1:1" ht="13">
      <c r="A363" t="str">
        <f t="shared" si="1"/>
        <v xml:space="preserve"> </v>
      </c>
    </row>
    <row r="364" spans="1:1" ht="13">
      <c r="A364" t="str">
        <f t="shared" si="1"/>
        <v xml:space="preserve"> </v>
      </c>
    </row>
    <row r="365" spans="1:1" ht="13">
      <c r="A365" t="str">
        <f t="shared" si="1"/>
        <v xml:space="preserve"> </v>
      </c>
    </row>
    <row r="366" spans="1:1" ht="13">
      <c r="A366" t="str">
        <f t="shared" si="1"/>
        <v xml:space="preserve"> </v>
      </c>
    </row>
    <row r="367" spans="1:1" ht="13">
      <c r="A367" t="str">
        <f t="shared" si="1"/>
        <v xml:space="preserve"> </v>
      </c>
    </row>
    <row r="368" spans="1:1" ht="13">
      <c r="A368" t="str">
        <f t="shared" si="1"/>
        <v xml:space="preserve"> </v>
      </c>
    </row>
    <row r="369" spans="1:1" ht="13">
      <c r="A369" t="str">
        <f t="shared" si="1"/>
        <v xml:space="preserve"> </v>
      </c>
    </row>
    <row r="370" spans="1:1" ht="13">
      <c r="A370" t="str">
        <f t="shared" si="1"/>
        <v xml:space="preserve"> </v>
      </c>
    </row>
    <row r="371" spans="1:1" ht="13">
      <c r="A371" t="str">
        <f t="shared" si="1"/>
        <v xml:space="preserve"> </v>
      </c>
    </row>
    <row r="372" spans="1:1" ht="13">
      <c r="A372" t="str">
        <f t="shared" si="1"/>
        <v xml:space="preserve"> </v>
      </c>
    </row>
    <row r="373" spans="1:1" ht="13">
      <c r="A373" t="str">
        <f t="shared" si="1"/>
        <v xml:space="preserve"> </v>
      </c>
    </row>
    <row r="374" spans="1:1" ht="13">
      <c r="A374" t="str">
        <f t="shared" si="1"/>
        <v xml:space="preserve"> </v>
      </c>
    </row>
    <row r="375" spans="1:1" ht="13">
      <c r="A375" t="str">
        <f t="shared" si="1"/>
        <v xml:space="preserve"> </v>
      </c>
    </row>
    <row r="376" spans="1:1" ht="13">
      <c r="A376" t="str">
        <f t="shared" si="1"/>
        <v xml:space="preserve"> </v>
      </c>
    </row>
    <row r="377" spans="1:1" ht="13">
      <c r="A377" t="str">
        <f t="shared" si="1"/>
        <v xml:space="preserve"> </v>
      </c>
    </row>
    <row r="378" spans="1:1" ht="13">
      <c r="A378" t="str">
        <f t="shared" si="1"/>
        <v xml:space="preserve"> </v>
      </c>
    </row>
    <row r="379" spans="1:1" ht="13">
      <c r="A379" t="str">
        <f t="shared" si="1"/>
        <v xml:space="preserve"> </v>
      </c>
    </row>
    <row r="380" spans="1:1" ht="13">
      <c r="A380" t="str">
        <f t="shared" si="1"/>
        <v xml:space="preserve"> </v>
      </c>
    </row>
    <row r="381" spans="1:1" ht="13">
      <c r="A381" t="str">
        <f t="shared" si="1"/>
        <v xml:space="preserve"> </v>
      </c>
    </row>
    <row r="382" spans="1:1" ht="13">
      <c r="A382" t="str">
        <f t="shared" si="1"/>
        <v xml:space="preserve"> </v>
      </c>
    </row>
    <row r="383" spans="1:1" ht="13">
      <c r="A383" t="str">
        <f t="shared" si="1"/>
        <v xml:space="preserve"> </v>
      </c>
    </row>
    <row r="384" spans="1:1" ht="13">
      <c r="A384" t="str">
        <f t="shared" si="1"/>
        <v xml:space="preserve"> </v>
      </c>
    </row>
    <row r="385" spans="1:1" ht="13">
      <c r="A385" t="str">
        <f t="shared" si="1"/>
        <v xml:space="preserve"> </v>
      </c>
    </row>
    <row r="386" spans="1:1" ht="13">
      <c r="A386" t="str">
        <f t="shared" si="1"/>
        <v xml:space="preserve"> </v>
      </c>
    </row>
    <row r="387" spans="1:1" ht="13">
      <c r="A387" t="str">
        <f t="shared" si="1"/>
        <v xml:space="preserve"> </v>
      </c>
    </row>
    <row r="388" spans="1:1" ht="13">
      <c r="A388" t="str">
        <f t="shared" si="1"/>
        <v xml:space="preserve"> </v>
      </c>
    </row>
    <row r="389" spans="1:1" ht="13">
      <c r="A389" t="str">
        <f t="shared" si="1"/>
        <v xml:space="preserve"> </v>
      </c>
    </row>
    <row r="390" spans="1:1" ht="13">
      <c r="A390" t="str">
        <f t="shared" si="1"/>
        <v xml:space="preserve"> </v>
      </c>
    </row>
    <row r="391" spans="1:1" ht="13">
      <c r="A391" t="str">
        <f t="shared" si="1"/>
        <v xml:space="preserve"> </v>
      </c>
    </row>
    <row r="392" spans="1:1" ht="13">
      <c r="A392" t="str">
        <f t="shared" si="1"/>
        <v xml:space="preserve"> </v>
      </c>
    </row>
    <row r="393" spans="1:1" ht="13">
      <c r="A393" t="str">
        <f t="shared" si="1"/>
        <v xml:space="preserve"> </v>
      </c>
    </row>
    <row r="394" spans="1:1" ht="13">
      <c r="A394" t="str">
        <f t="shared" si="1"/>
        <v xml:space="preserve"> </v>
      </c>
    </row>
    <row r="395" spans="1:1" ht="13">
      <c r="A395" t="str">
        <f t="shared" si="1"/>
        <v xml:space="preserve"> </v>
      </c>
    </row>
    <row r="396" spans="1:1" ht="13">
      <c r="A396" t="str">
        <f t="shared" si="1"/>
        <v xml:space="preserve"> </v>
      </c>
    </row>
    <row r="397" spans="1:1" ht="13">
      <c r="A397" t="str">
        <f t="shared" si="1"/>
        <v xml:space="preserve"> </v>
      </c>
    </row>
    <row r="398" spans="1:1" ht="13">
      <c r="A398" t="str">
        <f t="shared" si="1"/>
        <v xml:space="preserve"> </v>
      </c>
    </row>
    <row r="399" spans="1:1" ht="13">
      <c r="A399" t="str">
        <f t="shared" si="1"/>
        <v xml:space="preserve"> </v>
      </c>
    </row>
    <row r="400" spans="1:1" ht="13">
      <c r="A400" t="str">
        <f t="shared" si="1"/>
        <v xml:space="preserve"> </v>
      </c>
    </row>
    <row r="401" spans="1:1" ht="13">
      <c r="A401" t="str">
        <f t="shared" si="1"/>
        <v xml:space="preserve"> </v>
      </c>
    </row>
    <row r="402" spans="1:1" ht="13">
      <c r="A402" t="str">
        <f t="shared" si="1"/>
        <v xml:space="preserve"> </v>
      </c>
    </row>
    <row r="403" spans="1:1" ht="13">
      <c r="A403" t="str">
        <f t="shared" si="1"/>
        <v xml:space="preserve"> </v>
      </c>
    </row>
    <row r="404" spans="1:1" ht="13">
      <c r="A404" t="str">
        <f t="shared" si="1"/>
        <v xml:space="preserve"> </v>
      </c>
    </row>
    <row r="405" spans="1:1" ht="13">
      <c r="A405" t="str">
        <f t="shared" si="1"/>
        <v xml:space="preserve"> </v>
      </c>
    </row>
    <row r="406" spans="1:1" ht="13">
      <c r="A406" t="str">
        <f t="shared" si="1"/>
        <v xml:space="preserve"> </v>
      </c>
    </row>
    <row r="407" spans="1:1" ht="13">
      <c r="A407" t="str">
        <f t="shared" si="1"/>
        <v xml:space="preserve"> </v>
      </c>
    </row>
    <row r="408" spans="1:1" ht="13">
      <c r="A408" t="str">
        <f t="shared" si="1"/>
        <v xml:space="preserve"> </v>
      </c>
    </row>
    <row r="409" spans="1:1" ht="13">
      <c r="A409" t="str">
        <f t="shared" si="1"/>
        <v xml:space="preserve"> </v>
      </c>
    </row>
    <row r="410" spans="1:1" ht="13">
      <c r="A410" t="str">
        <f t="shared" si="1"/>
        <v xml:space="preserve"> </v>
      </c>
    </row>
    <row r="411" spans="1:1" ht="13">
      <c r="A411" t="str">
        <f t="shared" si="1"/>
        <v xml:space="preserve"> </v>
      </c>
    </row>
    <row r="412" spans="1:1" ht="13">
      <c r="A412" t="str">
        <f t="shared" si="1"/>
        <v xml:space="preserve"> </v>
      </c>
    </row>
    <row r="413" spans="1:1" ht="13">
      <c r="A413" t="str">
        <f t="shared" si="1"/>
        <v xml:space="preserve"> </v>
      </c>
    </row>
    <row r="414" spans="1:1" ht="13">
      <c r="A414" t="str">
        <f t="shared" si="1"/>
        <v xml:space="preserve"> </v>
      </c>
    </row>
    <row r="415" spans="1:1" ht="13">
      <c r="A415" t="str">
        <f t="shared" si="1"/>
        <v xml:space="preserve"> </v>
      </c>
    </row>
    <row r="416" spans="1:1" ht="13">
      <c r="A416" t="str">
        <f t="shared" si="1"/>
        <v xml:space="preserve"> </v>
      </c>
    </row>
    <row r="417" spans="1:1" ht="13">
      <c r="A417" t="str">
        <f t="shared" si="1"/>
        <v xml:space="preserve"> </v>
      </c>
    </row>
    <row r="418" spans="1:1" ht="13">
      <c r="A418" t="str">
        <f t="shared" si="1"/>
        <v xml:space="preserve"> </v>
      </c>
    </row>
    <row r="419" spans="1:1" ht="13">
      <c r="A419" t="str">
        <f t="shared" si="1"/>
        <v xml:space="preserve"> </v>
      </c>
    </row>
    <row r="420" spans="1:1" ht="13">
      <c r="A420" t="str">
        <f t="shared" si="1"/>
        <v xml:space="preserve"> </v>
      </c>
    </row>
    <row r="421" spans="1:1" ht="13">
      <c r="A421" t="str">
        <f t="shared" si="1"/>
        <v xml:space="preserve"> </v>
      </c>
    </row>
    <row r="422" spans="1:1" ht="13">
      <c r="A422" t="str">
        <f t="shared" si="1"/>
        <v xml:space="preserve"> </v>
      </c>
    </row>
    <row r="423" spans="1:1" ht="13">
      <c r="A423" t="str">
        <f t="shared" si="1"/>
        <v xml:space="preserve"> </v>
      </c>
    </row>
    <row r="424" spans="1:1" ht="13">
      <c r="A424" t="str">
        <f t="shared" si="1"/>
        <v xml:space="preserve"> </v>
      </c>
    </row>
    <row r="425" spans="1:1" ht="13">
      <c r="A425" t="str">
        <f t="shared" si="1"/>
        <v xml:space="preserve"> </v>
      </c>
    </row>
    <row r="426" spans="1:1" ht="13">
      <c r="A426" t="str">
        <f t="shared" si="1"/>
        <v xml:space="preserve"> </v>
      </c>
    </row>
    <row r="427" spans="1:1" ht="13">
      <c r="A427" t="str">
        <f t="shared" si="1"/>
        <v xml:space="preserve"> </v>
      </c>
    </row>
    <row r="428" spans="1:1" ht="13">
      <c r="A428" t="str">
        <f t="shared" si="1"/>
        <v xml:space="preserve"> </v>
      </c>
    </row>
    <row r="429" spans="1:1" ht="13">
      <c r="A429" t="str">
        <f t="shared" si="1"/>
        <v xml:space="preserve"> </v>
      </c>
    </row>
    <row r="430" spans="1:1" ht="13">
      <c r="A430" t="str">
        <f t="shared" si="1"/>
        <v xml:space="preserve"> </v>
      </c>
    </row>
    <row r="431" spans="1:1" ht="13">
      <c r="A431" t="str">
        <f t="shared" si="1"/>
        <v xml:space="preserve"> </v>
      </c>
    </row>
    <row r="432" spans="1:1" ht="13">
      <c r="A432" t="str">
        <f t="shared" si="1"/>
        <v xml:space="preserve"> </v>
      </c>
    </row>
    <row r="433" spans="1:1" ht="13">
      <c r="A433" t="str">
        <f t="shared" si="1"/>
        <v xml:space="preserve"> </v>
      </c>
    </row>
    <row r="434" spans="1:1" ht="13">
      <c r="A434" t="str">
        <f t="shared" si="1"/>
        <v xml:space="preserve"> </v>
      </c>
    </row>
    <row r="435" spans="1:1" ht="13">
      <c r="A435" t="str">
        <f t="shared" si="1"/>
        <v xml:space="preserve"> </v>
      </c>
    </row>
    <row r="436" spans="1:1" ht="13">
      <c r="A436" t="str">
        <f t="shared" si="1"/>
        <v xml:space="preserve"> </v>
      </c>
    </row>
    <row r="437" spans="1:1" ht="13">
      <c r="A437" t="str">
        <f t="shared" si="1"/>
        <v xml:space="preserve"> </v>
      </c>
    </row>
    <row r="438" spans="1:1" ht="13">
      <c r="A438" t="str">
        <f t="shared" si="1"/>
        <v xml:space="preserve"> </v>
      </c>
    </row>
    <row r="439" spans="1:1" ht="13">
      <c r="A439" t="str">
        <f t="shared" si="1"/>
        <v xml:space="preserve"> </v>
      </c>
    </row>
    <row r="440" spans="1:1" ht="13">
      <c r="A440" t="str">
        <f t="shared" si="1"/>
        <v xml:space="preserve"> </v>
      </c>
    </row>
    <row r="441" spans="1:1" ht="13">
      <c r="A441" t="str">
        <f t="shared" si="1"/>
        <v xml:space="preserve"> </v>
      </c>
    </row>
    <row r="442" spans="1:1" ht="13">
      <c r="A442" t="str">
        <f t="shared" si="1"/>
        <v xml:space="preserve"> </v>
      </c>
    </row>
    <row r="443" spans="1:1" ht="13">
      <c r="A443" t="str">
        <f t="shared" si="1"/>
        <v xml:space="preserve"> </v>
      </c>
    </row>
    <row r="444" spans="1:1" ht="13">
      <c r="A444" t="str">
        <f t="shared" ref="A444:A698" si="2">IF(G444&gt;0,1+A443," ")</f>
        <v xml:space="preserve"> </v>
      </c>
    </row>
    <row r="445" spans="1:1" ht="13">
      <c r="A445" t="str">
        <f t="shared" si="2"/>
        <v xml:space="preserve"> </v>
      </c>
    </row>
    <row r="446" spans="1:1" ht="13">
      <c r="A446" t="str">
        <f t="shared" si="2"/>
        <v xml:space="preserve"> </v>
      </c>
    </row>
    <row r="447" spans="1:1" ht="13">
      <c r="A447" t="str">
        <f t="shared" si="2"/>
        <v xml:space="preserve"> </v>
      </c>
    </row>
    <row r="448" spans="1:1" ht="13">
      <c r="A448" t="str">
        <f t="shared" si="2"/>
        <v xml:space="preserve"> </v>
      </c>
    </row>
    <row r="449" spans="1:1" ht="13">
      <c r="A449" t="str">
        <f t="shared" si="2"/>
        <v xml:space="preserve"> </v>
      </c>
    </row>
    <row r="450" spans="1:1" ht="13">
      <c r="A450" t="str">
        <f t="shared" si="2"/>
        <v xml:space="preserve"> </v>
      </c>
    </row>
    <row r="451" spans="1:1" ht="13">
      <c r="A451" t="str">
        <f t="shared" si="2"/>
        <v xml:space="preserve"> </v>
      </c>
    </row>
    <row r="452" spans="1:1" ht="13">
      <c r="A452" t="str">
        <f t="shared" si="2"/>
        <v xml:space="preserve"> </v>
      </c>
    </row>
    <row r="453" spans="1:1" ht="13">
      <c r="A453" t="str">
        <f t="shared" si="2"/>
        <v xml:space="preserve"> </v>
      </c>
    </row>
    <row r="454" spans="1:1" ht="13">
      <c r="A454" t="str">
        <f t="shared" si="2"/>
        <v xml:space="preserve"> </v>
      </c>
    </row>
    <row r="455" spans="1:1" ht="13">
      <c r="A455" t="str">
        <f t="shared" si="2"/>
        <v xml:space="preserve"> </v>
      </c>
    </row>
    <row r="456" spans="1:1" ht="13">
      <c r="A456" t="str">
        <f t="shared" si="2"/>
        <v xml:space="preserve"> </v>
      </c>
    </row>
    <row r="457" spans="1:1" ht="13">
      <c r="A457" t="str">
        <f t="shared" si="2"/>
        <v xml:space="preserve"> </v>
      </c>
    </row>
    <row r="458" spans="1:1" ht="13">
      <c r="A458" t="str">
        <f t="shared" si="2"/>
        <v xml:space="preserve"> </v>
      </c>
    </row>
    <row r="459" spans="1:1" ht="13">
      <c r="A459" t="str">
        <f t="shared" si="2"/>
        <v xml:space="preserve"> </v>
      </c>
    </row>
    <row r="460" spans="1:1" ht="13">
      <c r="A460" t="str">
        <f t="shared" si="2"/>
        <v xml:space="preserve"> </v>
      </c>
    </row>
    <row r="461" spans="1:1" ht="13">
      <c r="A461" t="str">
        <f t="shared" si="2"/>
        <v xml:space="preserve"> </v>
      </c>
    </row>
    <row r="462" spans="1:1" ht="13">
      <c r="A462" t="str">
        <f t="shared" si="2"/>
        <v xml:space="preserve"> </v>
      </c>
    </row>
    <row r="463" spans="1:1" ht="13">
      <c r="A463" t="str">
        <f t="shared" si="2"/>
        <v xml:space="preserve"> </v>
      </c>
    </row>
    <row r="464" spans="1:1" ht="13">
      <c r="A464" t="str">
        <f t="shared" si="2"/>
        <v xml:space="preserve"> </v>
      </c>
    </row>
    <row r="465" spans="1:1" ht="13">
      <c r="A465" t="str">
        <f t="shared" si="2"/>
        <v xml:space="preserve"> </v>
      </c>
    </row>
    <row r="466" spans="1:1" ht="13">
      <c r="A466" t="str">
        <f t="shared" si="2"/>
        <v xml:space="preserve"> </v>
      </c>
    </row>
    <row r="467" spans="1:1" ht="13">
      <c r="A467" t="str">
        <f t="shared" si="2"/>
        <v xml:space="preserve"> </v>
      </c>
    </row>
    <row r="468" spans="1:1" ht="13">
      <c r="A468" t="str">
        <f t="shared" si="2"/>
        <v xml:space="preserve"> </v>
      </c>
    </row>
    <row r="469" spans="1:1" ht="13">
      <c r="A469" t="str">
        <f t="shared" si="2"/>
        <v xml:space="preserve"> </v>
      </c>
    </row>
    <row r="470" spans="1:1" ht="13">
      <c r="A470" t="str">
        <f t="shared" si="2"/>
        <v xml:space="preserve"> </v>
      </c>
    </row>
    <row r="471" spans="1:1" ht="13">
      <c r="A471" t="str">
        <f t="shared" si="2"/>
        <v xml:space="preserve"> </v>
      </c>
    </row>
    <row r="472" spans="1:1" ht="13">
      <c r="A472" t="str">
        <f t="shared" si="2"/>
        <v xml:space="preserve"> </v>
      </c>
    </row>
    <row r="473" spans="1:1" ht="13">
      <c r="A473" t="str">
        <f t="shared" si="2"/>
        <v xml:space="preserve"> </v>
      </c>
    </row>
    <row r="474" spans="1:1" ht="13">
      <c r="A474" t="str">
        <f t="shared" si="2"/>
        <v xml:space="preserve"> </v>
      </c>
    </row>
    <row r="475" spans="1:1" ht="13">
      <c r="A475" t="str">
        <f t="shared" si="2"/>
        <v xml:space="preserve"> </v>
      </c>
    </row>
    <row r="476" spans="1:1" ht="13">
      <c r="A476" t="str">
        <f t="shared" si="2"/>
        <v xml:space="preserve"> </v>
      </c>
    </row>
    <row r="477" spans="1:1" ht="13">
      <c r="A477" t="str">
        <f t="shared" si="2"/>
        <v xml:space="preserve"> </v>
      </c>
    </row>
    <row r="478" spans="1:1" ht="13">
      <c r="A478" t="str">
        <f t="shared" si="2"/>
        <v xml:space="preserve"> </v>
      </c>
    </row>
    <row r="479" spans="1:1" ht="13">
      <c r="A479" t="str">
        <f t="shared" si="2"/>
        <v xml:space="preserve"> </v>
      </c>
    </row>
    <row r="480" spans="1:1" ht="13">
      <c r="A480" t="str">
        <f t="shared" si="2"/>
        <v xml:space="preserve"> </v>
      </c>
    </row>
    <row r="481" spans="1:1" ht="13">
      <c r="A481" t="str">
        <f t="shared" si="2"/>
        <v xml:space="preserve"> </v>
      </c>
    </row>
    <row r="482" spans="1:1" ht="13">
      <c r="A482" t="str">
        <f t="shared" si="2"/>
        <v xml:space="preserve"> </v>
      </c>
    </row>
    <row r="483" spans="1:1" ht="13">
      <c r="A483" t="str">
        <f t="shared" si="2"/>
        <v xml:space="preserve"> </v>
      </c>
    </row>
    <row r="484" spans="1:1" ht="13">
      <c r="A484" t="str">
        <f t="shared" si="2"/>
        <v xml:space="preserve"> </v>
      </c>
    </row>
    <row r="485" spans="1:1" ht="13">
      <c r="A485" t="str">
        <f t="shared" si="2"/>
        <v xml:space="preserve"> </v>
      </c>
    </row>
    <row r="486" spans="1:1" ht="13">
      <c r="A486" t="str">
        <f t="shared" si="2"/>
        <v xml:space="preserve"> </v>
      </c>
    </row>
    <row r="487" spans="1:1" ht="13">
      <c r="A487" t="str">
        <f t="shared" si="2"/>
        <v xml:space="preserve"> </v>
      </c>
    </row>
    <row r="488" spans="1:1" ht="13">
      <c r="A488" t="str">
        <f t="shared" si="2"/>
        <v xml:space="preserve"> </v>
      </c>
    </row>
    <row r="489" spans="1:1" ht="13">
      <c r="A489" t="str">
        <f t="shared" si="2"/>
        <v xml:space="preserve"> </v>
      </c>
    </row>
    <row r="490" spans="1:1" ht="13">
      <c r="A490" t="str">
        <f t="shared" si="2"/>
        <v xml:space="preserve"> </v>
      </c>
    </row>
    <row r="491" spans="1:1" ht="13">
      <c r="A491" t="str">
        <f t="shared" si="2"/>
        <v xml:space="preserve"> </v>
      </c>
    </row>
    <row r="492" spans="1:1" ht="13">
      <c r="A492" t="str">
        <f t="shared" si="2"/>
        <v xml:space="preserve"> </v>
      </c>
    </row>
    <row r="493" spans="1:1" ht="13">
      <c r="A493" t="str">
        <f t="shared" si="2"/>
        <v xml:space="preserve"> </v>
      </c>
    </row>
    <row r="494" spans="1:1" ht="13">
      <c r="A494" t="str">
        <f t="shared" si="2"/>
        <v xml:space="preserve"> </v>
      </c>
    </row>
    <row r="495" spans="1:1" ht="13">
      <c r="A495" t="str">
        <f t="shared" si="2"/>
        <v xml:space="preserve"> </v>
      </c>
    </row>
    <row r="496" spans="1:1" ht="13">
      <c r="A496" t="str">
        <f t="shared" si="2"/>
        <v xml:space="preserve"> </v>
      </c>
    </row>
    <row r="497" spans="1:1" ht="13">
      <c r="A497" t="str">
        <f t="shared" si="2"/>
        <v xml:space="preserve"> </v>
      </c>
    </row>
    <row r="498" spans="1:1" ht="13">
      <c r="A498" t="str">
        <f t="shared" si="2"/>
        <v xml:space="preserve"> </v>
      </c>
    </row>
    <row r="499" spans="1:1" ht="13">
      <c r="A499" t="str">
        <f t="shared" si="2"/>
        <v xml:space="preserve"> </v>
      </c>
    </row>
    <row r="500" spans="1:1" ht="13">
      <c r="A500" t="str">
        <f t="shared" si="2"/>
        <v xml:space="preserve"> </v>
      </c>
    </row>
    <row r="501" spans="1:1" ht="13">
      <c r="A501" t="str">
        <f t="shared" si="2"/>
        <v xml:space="preserve"> </v>
      </c>
    </row>
    <row r="502" spans="1:1" ht="13">
      <c r="A502" t="str">
        <f t="shared" si="2"/>
        <v xml:space="preserve"> </v>
      </c>
    </row>
    <row r="503" spans="1:1" ht="13">
      <c r="A503" t="str">
        <f t="shared" si="2"/>
        <v xml:space="preserve"> </v>
      </c>
    </row>
    <row r="504" spans="1:1" ht="13">
      <c r="A504" t="str">
        <f t="shared" si="2"/>
        <v xml:space="preserve"> </v>
      </c>
    </row>
    <row r="505" spans="1:1" ht="13">
      <c r="A505" t="str">
        <f t="shared" si="2"/>
        <v xml:space="preserve"> </v>
      </c>
    </row>
    <row r="506" spans="1:1" ht="13">
      <c r="A506" t="str">
        <f t="shared" si="2"/>
        <v xml:space="preserve"> </v>
      </c>
    </row>
    <row r="507" spans="1:1" ht="13">
      <c r="A507" t="str">
        <f t="shared" si="2"/>
        <v xml:space="preserve"> </v>
      </c>
    </row>
    <row r="508" spans="1:1" ht="13">
      <c r="A508" t="str">
        <f t="shared" si="2"/>
        <v xml:space="preserve"> </v>
      </c>
    </row>
    <row r="509" spans="1:1" ht="13">
      <c r="A509" t="str">
        <f t="shared" si="2"/>
        <v xml:space="preserve"> </v>
      </c>
    </row>
    <row r="510" spans="1:1" ht="13">
      <c r="A510" t="str">
        <f t="shared" si="2"/>
        <v xml:space="preserve"> </v>
      </c>
    </row>
    <row r="511" spans="1:1" ht="13">
      <c r="A511" t="str">
        <f t="shared" si="2"/>
        <v xml:space="preserve"> </v>
      </c>
    </row>
    <row r="512" spans="1:1" ht="13">
      <c r="A512" t="str">
        <f t="shared" si="2"/>
        <v xml:space="preserve"> </v>
      </c>
    </row>
    <row r="513" spans="1:1" ht="13">
      <c r="A513" t="str">
        <f t="shared" si="2"/>
        <v xml:space="preserve"> </v>
      </c>
    </row>
    <row r="514" spans="1:1" ht="13">
      <c r="A514" t="str">
        <f t="shared" si="2"/>
        <v xml:space="preserve"> </v>
      </c>
    </row>
    <row r="515" spans="1:1" ht="13">
      <c r="A515" t="str">
        <f t="shared" si="2"/>
        <v xml:space="preserve"> </v>
      </c>
    </row>
    <row r="516" spans="1:1" ht="13">
      <c r="A516" t="str">
        <f t="shared" si="2"/>
        <v xml:space="preserve"> </v>
      </c>
    </row>
    <row r="517" spans="1:1" ht="13">
      <c r="A517" t="str">
        <f t="shared" si="2"/>
        <v xml:space="preserve"> </v>
      </c>
    </row>
    <row r="518" spans="1:1" ht="13">
      <c r="A518" t="str">
        <f t="shared" si="2"/>
        <v xml:space="preserve"> </v>
      </c>
    </row>
    <row r="519" spans="1:1" ht="13">
      <c r="A519" t="str">
        <f t="shared" si="2"/>
        <v xml:space="preserve"> </v>
      </c>
    </row>
    <row r="520" spans="1:1" ht="13">
      <c r="A520" t="str">
        <f t="shared" si="2"/>
        <v xml:space="preserve"> </v>
      </c>
    </row>
    <row r="521" spans="1:1" ht="13">
      <c r="A521" t="str">
        <f t="shared" si="2"/>
        <v xml:space="preserve"> </v>
      </c>
    </row>
    <row r="522" spans="1:1" ht="13">
      <c r="A522" t="str">
        <f t="shared" si="2"/>
        <v xml:space="preserve"> </v>
      </c>
    </row>
    <row r="523" spans="1:1" ht="13">
      <c r="A523" t="str">
        <f t="shared" si="2"/>
        <v xml:space="preserve"> </v>
      </c>
    </row>
    <row r="524" spans="1:1" ht="13">
      <c r="A524" t="str">
        <f t="shared" si="2"/>
        <v xml:space="preserve"> </v>
      </c>
    </row>
    <row r="525" spans="1:1" ht="13">
      <c r="A525" t="str">
        <f t="shared" si="2"/>
        <v xml:space="preserve"> </v>
      </c>
    </row>
    <row r="526" spans="1:1" ht="13">
      <c r="A526" t="str">
        <f t="shared" si="2"/>
        <v xml:space="preserve"> </v>
      </c>
    </row>
    <row r="527" spans="1:1" ht="13">
      <c r="A527" t="str">
        <f t="shared" si="2"/>
        <v xml:space="preserve"> </v>
      </c>
    </row>
    <row r="528" spans="1:1" ht="13">
      <c r="A528" t="str">
        <f t="shared" si="2"/>
        <v xml:space="preserve"> </v>
      </c>
    </row>
    <row r="529" spans="1:1" ht="13">
      <c r="A529" t="str">
        <f t="shared" si="2"/>
        <v xml:space="preserve"> </v>
      </c>
    </row>
    <row r="530" spans="1:1" ht="13">
      <c r="A530" t="str">
        <f t="shared" si="2"/>
        <v xml:space="preserve"> </v>
      </c>
    </row>
    <row r="531" spans="1:1" ht="13">
      <c r="A531" t="str">
        <f t="shared" si="2"/>
        <v xml:space="preserve"> </v>
      </c>
    </row>
    <row r="532" spans="1:1" ht="13">
      <c r="A532" t="str">
        <f t="shared" si="2"/>
        <v xml:space="preserve"> </v>
      </c>
    </row>
    <row r="533" spans="1:1" ht="13">
      <c r="A533" t="str">
        <f t="shared" si="2"/>
        <v xml:space="preserve"> </v>
      </c>
    </row>
    <row r="534" spans="1:1" ht="13">
      <c r="A534" t="str">
        <f t="shared" si="2"/>
        <v xml:space="preserve"> </v>
      </c>
    </row>
    <row r="535" spans="1:1" ht="13">
      <c r="A535" t="str">
        <f t="shared" si="2"/>
        <v xml:space="preserve"> </v>
      </c>
    </row>
    <row r="536" spans="1:1" ht="13">
      <c r="A536" t="str">
        <f t="shared" si="2"/>
        <v xml:space="preserve"> </v>
      </c>
    </row>
    <row r="537" spans="1:1" ht="13">
      <c r="A537" t="str">
        <f t="shared" si="2"/>
        <v xml:space="preserve"> </v>
      </c>
    </row>
    <row r="538" spans="1:1" ht="13">
      <c r="A538" t="str">
        <f t="shared" si="2"/>
        <v xml:space="preserve"> </v>
      </c>
    </row>
    <row r="539" spans="1:1" ht="13">
      <c r="A539" t="str">
        <f t="shared" si="2"/>
        <v xml:space="preserve"> </v>
      </c>
    </row>
    <row r="540" spans="1:1" ht="13">
      <c r="A540" t="str">
        <f t="shared" si="2"/>
        <v xml:space="preserve"> </v>
      </c>
    </row>
    <row r="541" spans="1:1" ht="13">
      <c r="A541" t="str">
        <f t="shared" si="2"/>
        <v xml:space="preserve"> </v>
      </c>
    </row>
    <row r="542" spans="1:1" ht="13">
      <c r="A542" t="str">
        <f t="shared" si="2"/>
        <v xml:space="preserve"> </v>
      </c>
    </row>
    <row r="543" spans="1:1" ht="13">
      <c r="A543" t="str">
        <f t="shared" si="2"/>
        <v xml:space="preserve"> </v>
      </c>
    </row>
    <row r="544" spans="1:1" ht="13">
      <c r="A544" t="str">
        <f t="shared" si="2"/>
        <v xml:space="preserve"> </v>
      </c>
    </row>
    <row r="545" spans="1:1" ht="13">
      <c r="A545" t="str">
        <f t="shared" si="2"/>
        <v xml:space="preserve"> </v>
      </c>
    </row>
    <row r="546" spans="1:1" ht="13">
      <c r="A546" t="str">
        <f t="shared" si="2"/>
        <v xml:space="preserve"> </v>
      </c>
    </row>
    <row r="547" spans="1:1" ht="13">
      <c r="A547" t="str">
        <f t="shared" si="2"/>
        <v xml:space="preserve"> </v>
      </c>
    </row>
    <row r="548" spans="1:1" ht="13">
      <c r="A548" t="str">
        <f t="shared" si="2"/>
        <v xml:space="preserve"> </v>
      </c>
    </row>
    <row r="549" spans="1:1" ht="13">
      <c r="A549" t="str">
        <f t="shared" si="2"/>
        <v xml:space="preserve"> </v>
      </c>
    </row>
    <row r="550" spans="1:1" ht="13">
      <c r="A550" t="str">
        <f t="shared" si="2"/>
        <v xml:space="preserve"> </v>
      </c>
    </row>
    <row r="551" spans="1:1" ht="13">
      <c r="A551" t="str">
        <f t="shared" si="2"/>
        <v xml:space="preserve"> </v>
      </c>
    </row>
    <row r="552" spans="1:1" ht="13">
      <c r="A552" t="str">
        <f t="shared" si="2"/>
        <v xml:space="preserve"> </v>
      </c>
    </row>
    <row r="553" spans="1:1" ht="13">
      <c r="A553" t="str">
        <f t="shared" si="2"/>
        <v xml:space="preserve"> </v>
      </c>
    </row>
    <row r="554" spans="1:1" ht="13">
      <c r="A554" t="str">
        <f t="shared" si="2"/>
        <v xml:space="preserve"> </v>
      </c>
    </row>
    <row r="555" spans="1:1" ht="13">
      <c r="A555" t="str">
        <f t="shared" si="2"/>
        <v xml:space="preserve"> </v>
      </c>
    </row>
    <row r="556" spans="1:1" ht="13">
      <c r="A556" t="str">
        <f t="shared" si="2"/>
        <v xml:space="preserve"> </v>
      </c>
    </row>
    <row r="557" spans="1:1" ht="13">
      <c r="A557" t="str">
        <f t="shared" si="2"/>
        <v xml:space="preserve"> </v>
      </c>
    </row>
    <row r="558" spans="1:1" ht="13">
      <c r="A558" t="str">
        <f t="shared" si="2"/>
        <v xml:space="preserve"> </v>
      </c>
    </row>
    <row r="559" spans="1:1" ht="13">
      <c r="A559" t="str">
        <f t="shared" si="2"/>
        <v xml:space="preserve"> </v>
      </c>
    </row>
    <row r="560" spans="1:1" ht="13">
      <c r="A560" t="str">
        <f t="shared" si="2"/>
        <v xml:space="preserve"> </v>
      </c>
    </row>
    <row r="561" spans="1:1" ht="13">
      <c r="A561" t="str">
        <f t="shared" si="2"/>
        <v xml:space="preserve"> </v>
      </c>
    </row>
    <row r="562" spans="1:1" ht="13">
      <c r="A562" t="str">
        <f t="shared" si="2"/>
        <v xml:space="preserve"> </v>
      </c>
    </row>
    <row r="563" spans="1:1" ht="13">
      <c r="A563" t="str">
        <f t="shared" si="2"/>
        <v xml:space="preserve"> </v>
      </c>
    </row>
    <row r="564" spans="1:1" ht="13">
      <c r="A564" t="str">
        <f t="shared" si="2"/>
        <v xml:space="preserve"> </v>
      </c>
    </row>
    <row r="565" spans="1:1" ht="13">
      <c r="A565" t="str">
        <f t="shared" si="2"/>
        <v xml:space="preserve"> </v>
      </c>
    </row>
    <row r="566" spans="1:1" ht="13">
      <c r="A566" t="str">
        <f t="shared" si="2"/>
        <v xml:space="preserve"> </v>
      </c>
    </row>
    <row r="567" spans="1:1" ht="13">
      <c r="A567" t="str">
        <f t="shared" si="2"/>
        <v xml:space="preserve"> </v>
      </c>
    </row>
    <row r="568" spans="1:1" ht="13">
      <c r="A568" t="str">
        <f t="shared" si="2"/>
        <v xml:space="preserve"> </v>
      </c>
    </row>
    <row r="569" spans="1:1" ht="13">
      <c r="A569" t="str">
        <f t="shared" si="2"/>
        <v xml:space="preserve"> </v>
      </c>
    </row>
    <row r="570" spans="1:1" ht="13">
      <c r="A570" t="str">
        <f t="shared" si="2"/>
        <v xml:space="preserve"> </v>
      </c>
    </row>
    <row r="571" spans="1:1" ht="13">
      <c r="A571" t="str">
        <f t="shared" si="2"/>
        <v xml:space="preserve"> </v>
      </c>
    </row>
    <row r="572" spans="1:1" ht="13">
      <c r="A572" t="str">
        <f t="shared" si="2"/>
        <v xml:space="preserve"> </v>
      </c>
    </row>
    <row r="573" spans="1:1" ht="13">
      <c r="A573" t="str">
        <f t="shared" si="2"/>
        <v xml:space="preserve"> </v>
      </c>
    </row>
    <row r="574" spans="1:1" ht="13">
      <c r="A574" t="str">
        <f t="shared" si="2"/>
        <v xml:space="preserve"> </v>
      </c>
    </row>
    <row r="575" spans="1:1" ht="13">
      <c r="A575" t="str">
        <f t="shared" si="2"/>
        <v xml:space="preserve"> </v>
      </c>
    </row>
    <row r="576" spans="1:1" ht="13">
      <c r="A576" t="str">
        <f t="shared" si="2"/>
        <v xml:space="preserve"> </v>
      </c>
    </row>
    <row r="577" spans="1:1" ht="13">
      <c r="A577" t="str">
        <f t="shared" si="2"/>
        <v xml:space="preserve"> </v>
      </c>
    </row>
    <row r="578" spans="1:1" ht="13">
      <c r="A578" t="str">
        <f t="shared" si="2"/>
        <v xml:space="preserve"> </v>
      </c>
    </row>
    <row r="579" spans="1:1" ht="13">
      <c r="A579" t="str">
        <f t="shared" si="2"/>
        <v xml:space="preserve"> </v>
      </c>
    </row>
    <row r="580" spans="1:1" ht="13">
      <c r="A580" t="str">
        <f t="shared" si="2"/>
        <v xml:space="preserve"> </v>
      </c>
    </row>
    <row r="581" spans="1:1" ht="13">
      <c r="A581" t="str">
        <f t="shared" si="2"/>
        <v xml:space="preserve"> </v>
      </c>
    </row>
    <row r="582" spans="1:1" ht="13">
      <c r="A582" t="str">
        <f t="shared" si="2"/>
        <v xml:space="preserve"> </v>
      </c>
    </row>
    <row r="583" spans="1:1" ht="13">
      <c r="A583" t="str">
        <f t="shared" si="2"/>
        <v xml:space="preserve"> </v>
      </c>
    </row>
    <row r="584" spans="1:1" ht="13">
      <c r="A584" t="str">
        <f t="shared" si="2"/>
        <v xml:space="preserve"> </v>
      </c>
    </row>
    <row r="585" spans="1:1" ht="13">
      <c r="A585" t="str">
        <f t="shared" si="2"/>
        <v xml:space="preserve"> </v>
      </c>
    </row>
    <row r="586" spans="1:1" ht="13">
      <c r="A586" t="str">
        <f t="shared" si="2"/>
        <v xml:space="preserve"> </v>
      </c>
    </row>
    <row r="587" spans="1:1" ht="13">
      <c r="A587" t="str">
        <f t="shared" si="2"/>
        <v xml:space="preserve"> </v>
      </c>
    </row>
    <row r="588" spans="1:1" ht="13">
      <c r="A588" t="str">
        <f t="shared" si="2"/>
        <v xml:space="preserve"> </v>
      </c>
    </row>
    <row r="589" spans="1:1" ht="13">
      <c r="A589" t="str">
        <f t="shared" si="2"/>
        <v xml:space="preserve"> </v>
      </c>
    </row>
    <row r="590" spans="1:1" ht="13">
      <c r="A590" t="str">
        <f t="shared" si="2"/>
        <v xml:space="preserve"> </v>
      </c>
    </row>
    <row r="591" spans="1:1" ht="13">
      <c r="A591" t="str">
        <f t="shared" si="2"/>
        <v xml:space="preserve"> </v>
      </c>
    </row>
    <row r="592" spans="1:1" ht="13">
      <c r="A592" t="str">
        <f t="shared" si="2"/>
        <v xml:space="preserve"> </v>
      </c>
    </row>
    <row r="593" spans="1:1" ht="13">
      <c r="A593" t="str">
        <f t="shared" si="2"/>
        <v xml:space="preserve"> </v>
      </c>
    </row>
    <row r="594" spans="1:1" ht="13">
      <c r="A594" t="str">
        <f t="shared" si="2"/>
        <v xml:space="preserve"> </v>
      </c>
    </row>
    <row r="595" spans="1:1" ht="13">
      <c r="A595" t="str">
        <f t="shared" si="2"/>
        <v xml:space="preserve"> </v>
      </c>
    </row>
    <row r="596" spans="1:1" ht="13">
      <c r="A596" t="str">
        <f t="shared" si="2"/>
        <v xml:space="preserve"> </v>
      </c>
    </row>
    <row r="597" spans="1:1" ht="13">
      <c r="A597" t="str">
        <f t="shared" si="2"/>
        <v xml:space="preserve"> </v>
      </c>
    </row>
    <row r="598" spans="1:1" ht="13">
      <c r="A598" t="str">
        <f t="shared" si="2"/>
        <v xml:space="preserve"> </v>
      </c>
    </row>
    <row r="599" spans="1:1" ht="13">
      <c r="A599" t="str">
        <f t="shared" si="2"/>
        <v xml:space="preserve"> </v>
      </c>
    </row>
    <row r="600" spans="1:1" ht="13">
      <c r="A600" t="str">
        <f t="shared" si="2"/>
        <v xml:space="preserve"> </v>
      </c>
    </row>
    <row r="601" spans="1:1" ht="13">
      <c r="A601" t="str">
        <f t="shared" si="2"/>
        <v xml:space="preserve"> </v>
      </c>
    </row>
    <row r="602" spans="1:1" ht="13">
      <c r="A602" t="str">
        <f t="shared" si="2"/>
        <v xml:space="preserve"> </v>
      </c>
    </row>
    <row r="603" spans="1:1" ht="13">
      <c r="A603" t="str">
        <f t="shared" si="2"/>
        <v xml:space="preserve"> </v>
      </c>
    </row>
    <row r="604" spans="1:1" ht="13">
      <c r="A604" t="str">
        <f t="shared" si="2"/>
        <v xml:space="preserve"> </v>
      </c>
    </row>
    <row r="605" spans="1:1" ht="13">
      <c r="A605" t="str">
        <f t="shared" si="2"/>
        <v xml:space="preserve"> </v>
      </c>
    </row>
    <row r="606" spans="1:1" ht="13">
      <c r="A606" t="str">
        <f t="shared" si="2"/>
        <v xml:space="preserve"> </v>
      </c>
    </row>
    <row r="607" spans="1:1" ht="13">
      <c r="A607" t="str">
        <f t="shared" si="2"/>
        <v xml:space="preserve"> </v>
      </c>
    </row>
    <row r="608" spans="1:1" ht="13">
      <c r="A608" t="str">
        <f t="shared" si="2"/>
        <v xml:space="preserve"> </v>
      </c>
    </row>
    <row r="609" spans="1:1" ht="13">
      <c r="A609" t="str">
        <f t="shared" si="2"/>
        <v xml:space="preserve"> </v>
      </c>
    </row>
    <row r="610" spans="1:1" ht="13">
      <c r="A610" t="str">
        <f t="shared" si="2"/>
        <v xml:space="preserve"> </v>
      </c>
    </row>
    <row r="611" spans="1:1" ht="13">
      <c r="A611" t="str">
        <f t="shared" si="2"/>
        <v xml:space="preserve"> </v>
      </c>
    </row>
    <row r="612" spans="1:1" ht="13">
      <c r="A612" t="str">
        <f t="shared" si="2"/>
        <v xml:space="preserve"> </v>
      </c>
    </row>
    <row r="613" spans="1:1" ht="13">
      <c r="A613" t="str">
        <f t="shared" si="2"/>
        <v xml:space="preserve"> </v>
      </c>
    </row>
    <row r="614" spans="1:1" ht="13">
      <c r="A614" t="str">
        <f t="shared" si="2"/>
        <v xml:space="preserve"> </v>
      </c>
    </row>
    <row r="615" spans="1:1" ht="13">
      <c r="A615" t="str">
        <f t="shared" si="2"/>
        <v xml:space="preserve"> </v>
      </c>
    </row>
    <row r="616" spans="1:1" ht="13">
      <c r="A616" t="str">
        <f t="shared" si="2"/>
        <v xml:space="preserve"> </v>
      </c>
    </row>
    <row r="617" spans="1:1" ht="13">
      <c r="A617" t="str">
        <f t="shared" si="2"/>
        <v xml:space="preserve"> </v>
      </c>
    </row>
    <row r="618" spans="1:1" ht="13">
      <c r="A618" t="str">
        <f t="shared" si="2"/>
        <v xml:space="preserve"> </v>
      </c>
    </row>
    <row r="619" spans="1:1" ht="13">
      <c r="A619" t="str">
        <f t="shared" si="2"/>
        <v xml:space="preserve"> </v>
      </c>
    </row>
    <row r="620" spans="1:1" ht="13">
      <c r="A620" t="str">
        <f t="shared" si="2"/>
        <v xml:space="preserve"> </v>
      </c>
    </row>
    <row r="621" spans="1:1" ht="13">
      <c r="A621" t="str">
        <f t="shared" si="2"/>
        <v xml:space="preserve"> </v>
      </c>
    </row>
    <row r="622" spans="1:1" ht="13">
      <c r="A622" t="str">
        <f t="shared" si="2"/>
        <v xml:space="preserve"> </v>
      </c>
    </row>
    <row r="623" spans="1:1" ht="13">
      <c r="A623" t="str">
        <f t="shared" si="2"/>
        <v xml:space="preserve"> </v>
      </c>
    </row>
    <row r="624" spans="1:1" ht="13">
      <c r="A624" t="str">
        <f t="shared" si="2"/>
        <v xml:space="preserve"> </v>
      </c>
    </row>
    <row r="625" spans="1:1" ht="13">
      <c r="A625" t="str">
        <f t="shared" si="2"/>
        <v xml:space="preserve"> </v>
      </c>
    </row>
    <row r="626" spans="1:1" ht="13">
      <c r="A626" t="str">
        <f t="shared" si="2"/>
        <v xml:space="preserve"> </v>
      </c>
    </row>
    <row r="627" spans="1:1" ht="13">
      <c r="A627" t="str">
        <f t="shared" si="2"/>
        <v xml:space="preserve"> </v>
      </c>
    </row>
    <row r="628" spans="1:1" ht="13">
      <c r="A628" t="str">
        <f t="shared" si="2"/>
        <v xml:space="preserve"> </v>
      </c>
    </row>
    <row r="629" spans="1:1" ht="13">
      <c r="A629" t="str">
        <f t="shared" si="2"/>
        <v xml:space="preserve"> </v>
      </c>
    </row>
    <row r="630" spans="1:1" ht="13">
      <c r="A630" t="str">
        <f t="shared" si="2"/>
        <v xml:space="preserve"> </v>
      </c>
    </row>
    <row r="631" spans="1:1" ht="13">
      <c r="A631" t="str">
        <f t="shared" si="2"/>
        <v xml:space="preserve"> </v>
      </c>
    </row>
    <row r="632" spans="1:1" ht="13">
      <c r="A632" t="str">
        <f t="shared" si="2"/>
        <v xml:space="preserve"> </v>
      </c>
    </row>
    <row r="633" spans="1:1" ht="13">
      <c r="A633" t="str">
        <f t="shared" si="2"/>
        <v xml:space="preserve"> </v>
      </c>
    </row>
    <row r="634" spans="1:1" ht="13">
      <c r="A634" t="str">
        <f t="shared" si="2"/>
        <v xml:space="preserve"> </v>
      </c>
    </row>
    <row r="635" spans="1:1" ht="13">
      <c r="A635" t="str">
        <f t="shared" si="2"/>
        <v xml:space="preserve"> </v>
      </c>
    </row>
    <row r="636" spans="1:1" ht="13">
      <c r="A636" t="str">
        <f t="shared" si="2"/>
        <v xml:space="preserve"> </v>
      </c>
    </row>
    <row r="637" spans="1:1" ht="13">
      <c r="A637" t="str">
        <f t="shared" si="2"/>
        <v xml:space="preserve"> </v>
      </c>
    </row>
    <row r="638" spans="1:1" ht="13">
      <c r="A638" t="str">
        <f t="shared" si="2"/>
        <v xml:space="preserve"> </v>
      </c>
    </row>
    <row r="639" spans="1:1" ht="13">
      <c r="A639" t="str">
        <f t="shared" si="2"/>
        <v xml:space="preserve"> </v>
      </c>
    </row>
    <row r="640" spans="1:1" ht="13">
      <c r="A640" t="str">
        <f t="shared" si="2"/>
        <v xml:space="preserve"> </v>
      </c>
    </row>
    <row r="641" spans="1:1" ht="13">
      <c r="A641" t="str">
        <f t="shared" si="2"/>
        <v xml:space="preserve"> </v>
      </c>
    </row>
    <row r="642" spans="1:1" ht="13">
      <c r="A642" t="str">
        <f t="shared" si="2"/>
        <v xml:space="preserve"> </v>
      </c>
    </row>
    <row r="643" spans="1:1" ht="13">
      <c r="A643" t="str">
        <f t="shared" si="2"/>
        <v xml:space="preserve"> </v>
      </c>
    </row>
    <row r="644" spans="1:1" ht="13">
      <c r="A644" t="str">
        <f t="shared" si="2"/>
        <v xml:space="preserve"> </v>
      </c>
    </row>
    <row r="645" spans="1:1" ht="13">
      <c r="A645" t="str">
        <f t="shared" si="2"/>
        <v xml:space="preserve"> </v>
      </c>
    </row>
    <row r="646" spans="1:1" ht="13">
      <c r="A646" t="str">
        <f t="shared" si="2"/>
        <v xml:space="preserve"> </v>
      </c>
    </row>
    <row r="647" spans="1:1" ht="13">
      <c r="A647" t="str">
        <f t="shared" si="2"/>
        <v xml:space="preserve"> </v>
      </c>
    </row>
    <row r="648" spans="1:1" ht="13">
      <c r="A648" t="str">
        <f t="shared" si="2"/>
        <v xml:space="preserve"> </v>
      </c>
    </row>
    <row r="649" spans="1:1" ht="13">
      <c r="A649" t="str">
        <f t="shared" si="2"/>
        <v xml:space="preserve"> </v>
      </c>
    </row>
    <row r="650" spans="1:1" ht="13">
      <c r="A650" t="str">
        <f t="shared" si="2"/>
        <v xml:space="preserve"> </v>
      </c>
    </row>
    <row r="651" spans="1:1" ht="13">
      <c r="A651" t="str">
        <f t="shared" si="2"/>
        <v xml:space="preserve"> </v>
      </c>
    </row>
    <row r="652" spans="1:1" ht="13">
      <c r="A652" t="str">
        <f t="shared" si="2"/>
        <v xml:space="preserve"> </v>
      </c>
    </row>
    <row r="653" spans="1:1" ht="13">
      <c r="A653" t="str">
        <f t="shared" si="2"/>
        <v xml:space="preserve"> </v>
      </c>
    </row>
    <row r="654" spans="1:1" ht="13">
      <c r="A654" t="str">
        <f t="shared" si="2"/>
        <v xml:space="preserve"> </v>
      </c>
    </row>
    <row r="655" spans="1:1" ht="13">
      <c r="A655" t="str">
        <f t="shared" si="2"/>
        <v xml:space="preserve"> </v>
      </c>
    </row>
    <row r="656" spans="1:1" ht="13">
      <c r="A656" t="str">
        <f t="shared" si="2"/>
        <v xml:space="preserve"> </v>
      </c>
    </row>
    <row r="657" spans="1:1" ht="13">
      <c r="A657" t="str">
        <f t="shared" si="2"/>
        <v xml:space="preserve"> </v>
      </c>
    </row>
    <row r="658" spans="1:1" ht="13">
      <c r="A658" t="str">
        <f t="shared" si="2"/>
        <v xml:space="preserve"> </v>
      </c>
    </row>
    <row r="659" spans="1:1" ht="13">
      <c r="A659" t="str">
        <f t="shared" si="2"/>
        <v xml:space="preserve"> </v>
      </c>
    </row>
    <row r="660" spans="1:1" ht="13">
      <c r="A660" t="str">
        <f t="shared" si="2"/>
        <v xml:space="preserve"> </v>
      </c>
    </row>
    <row r="661" spans="1:1" ht="13">
      <c r="A661" t="str">
        <f t="shared" si="2"/>
        <v xml:space="preserve"> </v>
      </c>
    </row>
    <row r="662" spans="1:1" ht="13">
      <c r="A662" t="str">
        <f t="shared" si="2"/>
        <v xml:space="preserve"> </v>
      </c>
    </row>
    <row r="663" spans="1:1" ht="13">
      <c r="A663" t="str">
        <f t="shared" si="2"/>
        <v xml:space="preserve"> </v>
      </c>
    </row>
    <row r="664" spans="1:1" ht="13">
      <c r="A664" t="str">
        <f t="shared" si="2"/>
        <v xml:space="preserve"> </v>
      </c>
    </row>
    <row r="665" spans="1:1" ht="13">
      <c r="A665" t="str">
        <f t="shared" si="2"/>
        <v xml:space="preserve"> </v>
      </c>
    </row>
    <row r="666" spans="1:1" ht="13">
      <c r="A666" t="str">
        <f t="shared" si="2"/>
        <v xml:space="preserve"> </v>
      </c>
    </row>
    <row r="667" spans="1:1" ht="13">
      <c r="A667" t="str">
        <f t="shared" si="2"/>
        <v xml:space="preserve"> </v>
      </c>
    </row>
    <row r="668" spans="1:1" ht="13">
      <c r="A668" t="str">
        <f t="shared" si="2"/>
        <v xml:space="preserve"> </v>
      </c>
    </row>
    <row r="669" spans="1:1" ht="13">
      <c r="A669" t="str">
        <f t="shared" si="2"/>
        <v xml:space="preserve"> </v>
      </c>
    </row>
    <row r="670" spans="1:1" ht="13">
      <c r="A670" t="str">
        <f t="shared" si="2"/>
        <v xml:space="preserve"> </v>
      </c>
    </row>
    <row r="671" spans="1:1" ht="13">
      <c r="A671" t="str">
        <f t="shared" si="2"/>
        <v xml:space="preserve"> </v>
      </c>
    </row>
    <row r="672" spans="1:1" ht="13">
      <c r="A672" t="str">
        <f t="shared" si="2"/>
        <v xml:space="preserve"> </v>
      </c>
    </row>
    <row r="673" spans="1:1" ht="13">
      <c r="A673" t="str">
        <f t="shared" si="2"/>
        <v xml:space="preserve"> </v>
      </c>
    </row>
    <row r="674" spans="1:1" ht="13">
      <c r="A674" t="str">
        <f t="shared" si="2"/>
        <v xml:space="preserve"> </v>
      </c>
    </row>
    <row r="675" spans="1:1" ht="13">
      <c r="A675" t="str">
        <f t="shared" si="2"/>
        <v xml:space="preserve"> </v>
      </c>
    </row>
    <row r="676" spans="1:1" ht="13">
      <c r="A676" t="str">
        <f t="shared" si="2"/>
        <v xml:space="preserve"> </v>
      </c>
    </row>
    <row r="677" spans="1:1" ht="13">
      <c r="A677" t="str">
        <f t="shared" si="2"/>
        <v xml:space="preserve"> </v>
      </c>
    </row>
    <row r="678" spans="1:1" ht="13">
      <c r="A678" t="str">
        <f t="shared" si="2"/>
        <v xml:space="preserve"> </v>
      </c>
    </row>
    <row r="679" spans="1:1" ht="13">
      <c r="A679" t="str">
        <f t="shared" si="2"/>
        <v xml:space="preserve"> </v>
      </c>
    </row>
    <row r="680" spans="1:1" ht="13">
      <c r="A680" t="str">
        <f t="shared" si="2"/>
        <v xml:space="preserve"> </v>
      </c>
    </row>
    <row r="681" spans="1:1" ht="13">
      <c r="A681" t="str">
        <f t="shared" si="2"/>
        <v xml:space="preserve"> </v>
      </c>
    </row>
    <row r="682" spans="1:1" ht="13">
      <c r="A682" t="str">
        <f t="shared" si="2"/>
        <v xml:space="preserve"> </v>
      </c>
    </row>
    <row r="683" spans="1:1" ht="13">
      <c r="A683" t="str">
        <f t="shared" si="2"/>
        <v xml:space="preserve"> </v>
      </c>
    </row>
    <row r="684" spans="1:1" ht="13">
      <c r="A684" t="str">
        <f t="shared" si="2"/>
        <v xml:space="preserve"> </v>
      </c>
    </row>
    <row r="685" spans="1:1" ht="13">
      <c r="A685" t="str">
        <f t="shared" si="2"/>
        <v xml:space="preserve"> </v>
      </c>
    </row>
    <row r="686" spans="1:1" ht="13">
      <c r="A686" t="str">
        <f t="shared" si="2"/>
        <v xml:space="preserve"> </v>
      </c>
    </row>
    <row r="687" spans="1:1" ht="13">
      <c r="A687" t="str">
        <f t="shared" si="2"/>
        <v xml:space="preserve"> </v>
      </c>
    </row>
    <row r="688" spans="1:1" ht="13">
      <c r="A688" t="str">
        <f t="shared" si="2"/>
        <v xml:space="preserve"> </v>
      </c>
    </row>
    <row r="689" spans="1:1" ht="13">
      <c r="A689" t="str">
        <f t="shared" si="2"/>
        <v xml:space="preserve"> </v>
      </c>
    </row>
    <row r="690" spans="1:1" ht="13">
      <c r="A690" t="str">
        <f t="shared" si="2"/>
        <v xml:space="preserve"> </v>
      </c>
    </row>
    <row r="691" spans="1:1" ht="13">
      <c r="A691" t="str">
        <f t="shared" si="2"/>
        <v xml:space="preserve"> </v>
      </c>
    </row>
    <row r="692" spans="1:1" ht="13">
      <c r="A692" t="str">
        <f t="shared" si="2"/>
        <v xml:space="preserve"> </v>
      </c>
    </row>
    <row r="693" spans="1:1" ht="13">
      <c r="A693" t="str">
        <f t="shared" si="2"/>
        <v xml:space="preserve"> </v>
      </c>
    </row>
    <row r="694" spans="1:1" ht="13">
      <c r="A694" t="str">
        <f t="shared" si="2"/>
        <v xml:space="preserve"> </v>
      </c>
    </row>
    <row r="695" spans="1:1" ht="13">
      <c r="A695" t="str">
        <f t="shared" si="2"/>
        <v xml:space="preserve"> </v>
      </c>
    </row>
    <row r="696" spans="1:1" ht="13">
      <c r="A696" t="str">
        <f t="shared" si="2"/>
        <v xml:space="preserve"> </v>
      </c>
    </row>
    <row r="697" spans="1:1" ht="13">
      <c r="A697" t="str">
        <f t="shared" si="2"/>
        <v xml:space="preserve"> </v>
      </c>
    </row>
    <row r="698" spans="1:1" ht="13">
      <c r="A698" t="str">
        <f t="shared" si="2"/>
        <v xml:space="preserve"> </v>
      </c>
    </row>
    <row r="699" spans="1:1" ht="13">
      <c r="A699" t="str">
        <f t="shared" ref="A699:A953" si="3">IF(G699&gt;0,1+A698," ")</f>
        <v xml:space="preserve"> </v>
      </c>
    </row>
    <row r="700" spans="1:1" ht="13">
      <c r="A700" t="str">
        <f t="shared" si="3"/>
        <v xml:space="preserve"> </v>
      </c>
    </row>
    <row r="701" spans="1:1" ht="13">
      <c r="A701" t="str">
        <f t="shared" si="3"/>
        <v xml:space="preserve"> </v>
      </c>
    </row>
    <row r="702" spans="1:1" ht="13">
      <c r="A702" t="str">
        <f t="shared" si="3"/>
        <v xml:space="preserve"> </v>
      </c>
    </row>
    <row r="703" spans="1:1" ht="13">
      <c r="A703" t="str">
        <f t="shared" si="3"/>
        <v xml:space="preserve"> </v>
      </c>
    </row>
    <row r="704" spans="1:1" ht="13">
      <c r="A704" t="str">
        <f t="shared" si="3"/>
        <v xml:space="preserve"> </v>
      </c>
    </row>
    <row r="705" spans="1:1" ht="13">
      <c r="A705" t="str">
        <f t="shared" si="3"/>
        <v xml:space="preserve"> </v>
      </c>
    </row>
    <row r="706" spans="1:1" ht="13">
      <c r="A706" t="str">
        <f t="shared" si="3"/>
        <v xml:space="preserve"> </v>
      </c>
    </row>
    <row r="707" spans="1:1" ht="13">
      <c r="A707" t="str">
        <f t="shared" si="3"/>
        <v xml:space="preserve"> </v>
      </c>
    </row>
    <row r="708" spans="1:1" ht="13">
      <c r="A708" t="str">
        <f t="shared" si="3"/>
        <v xml:space="preserve"> </v>
      </c>
    </row>
    <row r="709" spans="1:1" ht="13">
      <c r="A709" t="str">
        <f t="shared" si="3"/>
        <v xml:space="preserve"> </v>
      </c>
    </row>
    <row r="710" spans="1:1" ht="13">
      <c r="A710" t="str">
        <f t="shared" si="3"/>
        <v xml:space="preserve"> </v>
      </c>
    </row>
    <row r="711" spans="1:1" ht="13">
      <c r="A711" t="str">
        <f t="shared" si="3"/>
        <v xml:space="preserve"> </v>
      </c>
    </row>
    <row r="712" spans="1:1" ht="13">
      <c r="A712" t="str">
        <f t="shared" si="3"/>
        <v xml:space="preserve"> </v>
      </c>
    </row>
    <row r="713" spans="1:1" ht="13">
      <c r="A713" t="str">
        <f t="shared" si="3"/>
        <v xml:space="preserve"> </v>
      </c>
    </row>
    <row r="714" spans="1:1" ht="13">
      <c r="A714" t="str">
        <f t="shared" si="3"/>
        <v xml:space="preserve"> </v>
      </c>
    </row>
    <row r="715" spans="1:1" ht="13">
      <c r="A715" t="str">
        <f t="shared" si="3"/>
        <v xml:space="preserve"> </v>
      </c>
    </row>
    <row r="716" spans="1:1" ht="13">
      <c r="A716" t="str">
        <f t="shared" si="3"/>
        <v xml:space="preserve"> </v>
      </c>
    </row>
    <row r="717" spans="1:1" ht="13">
      <c r="A717" t="str">
        <f t="shared" si="3"/>
        <v xml:space="preserve"> </v>
      </c>
    </row>
    <row r="718" spans="1:1" ht="13">
      <c r="A718" t="str">
        <f t="shared" si="3"/>
        <v xml:space="preserve"> </v>
      </c>
    </row>
    <row r="719" spans="1:1" ht="13">
      <c r="A719" t="str">
        <f t="shared" si="3"/>
        <v xml:space="preserve"> </v>
      </c>
    </row>
    <row r="720" spans="1:1" ht="13">
      <c r="A720" t="str">
        <f t="shared" si="3"/>
        <v xml:space="preserve"> </v>
      </c>
    </row>
    <row r="721" spans="1:1" ht="13">
      <c r="A721" t="str">
        <f t="shared" si="3"/>
        <v xml:space="preserve"> </v>
      </c>
    </row>
    <row r="722" spans="1:1" ht="13">
      <c r="A722" t="str">
        <f t="shared" si="3"/>
        <v xml:space="preserve"> </v>
      </c>
    </row>
    <row r="723" spans="1:1" ht="13">
      <c r="A723" t="str">
        <f t="shared" si="3"/>
        <v xml:space="preserve"> </v>
      </c>
    </row>
    <row r="724" spans="1:1" ht="13">
      <c r="A724" t="str">
        <f t="shared" si="3"/>
        <v xml:space="preserve"> </v>
      </c>
    </row>
    <row r="725" spans="1:1" ht="13">
      <c r="A725" t="str">
        <f t="shared" si="3"/>
        <v xml:space="preserve"> </v>
      </c>
    </row>
    <row r="726" spans="1:1" ht="13">
      <c r="A726" t="str">
        <f t="shared" si="3"/>
        <v xml:space="preserve"> </v>
      </c>
    </row>
    <row r="727" spans="1:1" ht="13">
      <c r="A727" t="str">
        <f t="shared" si="3"/>
        <v xml:space="preserve"> </v>
      </c>
    </row>
    <row r="728" spans="1:1" ht="13">
      <c r="A728" t="str">
        <f t="shared" si="3"/>
        <v xml:space="preserve"> </v>
      </c>
    </row>
    <row r="729" spans="1:1" ht="13">
      <c r="A729" t="str">
        <f t="shared" si="3"/>
        <v xml:space="preserve"> </v>
      </c>
    </row>
    <row r="730" spans="1:1" ht="13">
      <c r="A730" t="str">
        <f t="shared" si="3"/>
        <v xml:space="preserve"> </v>
      </c>
    </row>
    <row r="731" spans="1:1" ht="13">
      <c r="A731" t="str">
        <f t="shared" si="3"/>
        <v xml:space="preserve"> </v>
      </c>
    </row>
    <row r="732" spans="1:1" ht="13">
      <c r="A732" t="str">
        <f t="shared" si="3"/>
        <v xml:space="preserve"> </v>
      </c>
    </row>
    <row r="733" spans="1:1" ht="13">
      <c r="A733" t="str">
        <f t="shared" si="3"/>
        <v xml:space="preserve"> </v>
      </c>
    </row>
    <row r="734" spans="1:1" ht="13">
      <c r="A734" t="str">
        <f t="shared" si="3"/>
        <v xml:space="preserve"> </v>
      </c>
    </row>
    <row r="735" spans="1:1" ht="13">
      <c r="A735" t="str">
        <f t="shared" si="3"/>
        <v xml:space="preserve"> </v>
      </c>
    </row>
    <row r="736" spans="1:1" ht="13">
      <c r="A736" t="str">
        <f t="shared" si="3"/>
        <v xml:space="preserve"> </v>
      </c>
    </row>
    <row r="737" spans="1:1" ht="13">
      <c r="A737" t="str">
        <f t="shared" si="3"/>
        <v xml:space="preserve"> </v>
      </c>
    </row>
    <row r="738" spans="1:1" ht="13">
      <c r="A738" t="str">
        <f t="shared" si="3"/>
        <v xml:space="preserve"> </v>
      </c>
    </row>
    <row r="739" spans="1:1" ht="13">
      <c r="A739" t="str">
        <f t="shared" si="3"/>
        <v xml:space="preserve"> </v>
      </c>
    </row>
    <row r="740" spans="1:1" ht="13">
      <c r="A740" t="str">
        <f t="shared" si="3"/>
        <v xml:space="preserve"> </v>
      </c>
    </row>
    <row r="741" spans="1:1" ht="13">
      <c r="A741" t="str">
        <f t="shared" si="3"/>
        <v xml:space="preserve"> </v>
      </c>
    </row>
    <row r="742" spans="1:1" ht="13">
      <c r="A742" t="str">
        <f t="shared" si="3"/>
        <v xml:space="preserve"> </v>
      </c>
    </row>
    <row r="743" spans="1:1" ht="13">
      <c r="A743" t="str">
        <f t="shared" si="3"/>
        <v xml:space="preserve"> </v>
      </c>
    </row>
    <row r="744" spans="1:1" ht="13">
      <c r="A744" t="str">
        <f t="shared" si="3"/>
        <v xml:space="preserve"> </v>
      </c>
    </row>
    <row r="745" spans="1:1" ht="13">
      <c r="A745" t="str">
        <f t="shared" si="3"/>
        <v xml:space="preserve"> </v>
      </c>
    </row>
    <row r="746" spans="1:1" ht="13">
      <c r="A746" t="str">
        <f t="shared" si="3"/>
        <v xml:space="preserve"> </v>
      </c>
    </row>
    <row r="747" spans="1:1" ht="13">
      <c r="A747" t="str">
        <f t="shared" si="3"/>
        <v xml:space="preserve"> </v>
      </c>
    </row>
    <row r="748" spans="1:1" ht="13">
      <c r="A748" t="str">
        <f t="shared" si="3"/>
        <v xml:space="preserve"> </v>
      </c>
    </row>
    <row r="749" spans="1:1" ht="13">
      <c r="A749" t="str">
        <f t="shared" si="3"/>
        <v xml:space="preserve"> </v>
      </c>
    </row>
    <row r="750" spans="1:1" ht="13">
      <c r="A750" t="str">
        <f t="shared" si="3"/>
        <v xml:space="preserve"> </v>
      </c>
    </row>
    <row r="751" spans="1:1" ht="13">
      <c r="A751" t="str">
        <f t="shared" si="3"/>
        <v xml:space="preserve"> </v>
      </c>
    </row>
    <row r="752" spans="1:1" ht="13">
      <c r="A752" t="str">
        <f t="shared" si="3"/>
        <v xml:space="preserve"> </v>
      </c>
    </row>
    <row r="753" spans="1:1" ht="13">
      <c r="A753" t="str">
        <f t="shared" si="3"/>
        <v xml:space="preserve"> </v>
      </c>
    </row>
    <row r="754" spans="1:1" ht="13">
      <c r="A754" t="str">
        <f t="shared" si="3"/>
        <v xml:space="preserve"> </v>
      </c>
    </row>
    <row r="755" spans="1:1" ht="13">
      <c r="A755" t="str">
        <f t="shared" si="3"/>
        <v xml:space="preserve"> </v>
      </c>
    </row>
    <row r="756" spans="1:1" ht="13">
      <c r="A756" t="str">
        <f t="shared" si="3"/>
        <v xml:space="preserve"> </v>
      </c>
    </row>
    <row r="757" spans="1:1" ht="13">
      <c r="A757" t="str">
        <f t="shared" si="3"/>
        <v xml:space="preserve"> </v>
      </c>
    </row>
    <row r="758" spans="1:1" ht="13">
      <c r="A758" t="str">
        <f t="shared" si="3"/>
        <v xml:space="preserve"> </v>
      </c>
    </row>
    <row r="759" spans="1:1" ht="13">
      <c r="A759" t="str">
        <f t="shared" si="3"/>
        <v xml:space="preserve"> </v>
      </c>
    </row>
    <row r="760" spans="1:1" ht="13">
      <c r="A760" t="str">
        <f t="shared" si="3"/>
        <v xml:space="preserve"> </v>
      </c>
    </row>
    <row r="761" spans="1:1" ht="13">
      <c r="A761" t="str">
        <f t="shared" si="3"/>
        <v xml:space="preserve"> </v>
      </c>
    </row>
    <row r="762" spans="1:1" ht="13">
      <c r="A762" t="str">
        <f t="shared" si="3"/>
        <v xml:space="preserve"> </v>
      </c>
    </row>
    <row r="763" spans="1:1" ht="13">
      <c r="A763" t="str">
        <f t="shared" si="3"/>
        <v xml:space="preserve"> </v>
      </c>
    </row>
    <row r="764" spans="1:1" ht="13">
      <c r="A764" t="str">
        <f t="shared" si="3"/>
        <v xml:space="preserve"> </v>
      </c>
    </row>
    <row r="765" spans="1:1" ht="13">
      <c r="A765" t="str">
        <f t="shared" si="3"/>
        <v xml:space="preserve"> </v>
      </c>
    </row>
    <row r="766" spans="1:1" ht="13">
      <c r="A766" t="str">
        <f t="shared" si="3"/>
        <v xml:space="preserve"> </v>
      </c>
    </row>
    <row r="767" spans="1:1" ht="13">
      <c r="A767" t="str">
        <f t="shared" si="3"/>
        <v xml:space="preserve"> </v>
      </c>
    </row>
    <row r="768" spans="1:1" ht="13">
      <c r="A768" t="str">
        <f t="shared" si="3"/>
        <v xml:space="preserve"> </v>
      </c>
    </row>
    <row r="769" spans="1:1" ht="13">
      <c r="A769" t="str">
        <f t="shared" si="3"/>
        <v xml:space="preserve"> </v>
      </c>
    </row>
    <row r="770" spans="1:1" ht="13">
      <c r="A770" t="str">
        <f t="shared" si="3"/>
        <v xml:space="preserve"> </v>
      </c>
    </row>
    <row r="771" spans="1:1" ht="13">
      <c r="A771" t="str">
        <f t="shared" si="3"/>
        <v xml:space="preserve"> </v>
      </c>
    </row>
    <row r="772" spans="1:1" ht="13">
      <c r="A772" t="str">
        <f t="shared" si="3"/>
        <v xml:space="preserve"> </v>
      </c>
    </row>
    <row r="773" spans="1:1" ht="13">
      <c r="A773" t="str">
        <f t="shared" si="3"/>
        <v xml:space="preserve"> </v>
      </c>
    </row>
    <row r="774" spans="1:1" ht="13">
      <c r="A774" t="str">
        <f t="shared" si="3"/>
        <v xml:space="preserve"> </v>
      </c>
    </row>
    <row r="775" spans="1:1" ht="13">
      <c r="A775" t="str">
        <f t="shared" si="3"/>
        <v xml:space="preserve"> </v>
      </c>
    </row>
    <row r="776" spans="1:1" ht="13">
      <c r="A776" t="str">
        <f t="shared" si="3"/>
        <v xml:space="preserve"> </v>
      </c>
    </row>
    <row r="777" spans="1:1" ht="13">
      <c r="A777" t="str">
        <f t="shared" si="3"/>
        <v xml:space="preserve"> </v>
      </c>
    </row>
    <row r="778" spans="1:1" ht="13">
      <c r="A778" t="str">
        <f t="shared" si="3"/>
        <v xml:space="preserve"> </v>
      </c>
    </row>
    <row r="779" spans="1:1" ht="13">
      <c r="A779" t="str">
        <f t="shared" si="3"/>
        <v xml:space="preserve"> </v>
      </c>
    </row>
    <row r="780" spans="1:1" ht="13">
      <c r="A780" t="str">
        <f t="shared" si="3"/>
        <v xml:space="preserve"> </v>
      </c>
    </row>
    <row r="781" spans="1:1" ht="13">
      <c r="A781" t="str">
        <f t="shared" si="3"/>
        <v xml:space="preserve"> </v>
      </c>
    </row>
    <row r="782" spans="1:1" ht="13">
      <c r="A782" t="str">
        <f t="shared" si="3"/>
        <v xml:space="preserve"> </v>
      </c>
    </row>
    <row r="783" spans="1:1" ht="13">
      <c r="A783" t="str">
        <f t="shared" si="3"/>
        <v xml:space="preserve"> </v>
      </c>
    </row>
    <row r="784" spans="1:1" ht="13">
      <c r="A784" t="str">
        <f t="shared" si="3"/>
        <v xml:space="preserve"> </v>
      </c>
    </row>
    <row r="785" spans="1:1" ht="13">
      <c r="A785" t="str">
        <f t="shared" si="3"/>
        <v xml:space="preserve"> </v>
      </c>
    </row>
    <row r="786" spans="1:1" ht="13">
      <c r="A786" t="str">
        <f t="shared" si="3"/>
        <v xml:space="preserve"> </v>
      </c>
    </row>
    <row r="787" spans="1:1" ht="13">
      <c r="A787" t="str">
        <f t="shared" si="3"/>
        <v xml:space="preserve"> </v>
      </c>
    </row>
    <row r="788" spans="1:1" ht="13">
      <c r="A788" t="str">
        <f t="shared" si="3"/>
        <v xml:space="preserve"> </v>
      </c>
    </row>
    <row r="789" spans="1:1" ht="13">
      <c r="A789" t="str">
        <f t="shared" si="3"/>
        <v xml:space="preserve"> </v>
      </c>
    </row>
    <row r="790" spans="1:1" ht="13">
      <c r="A790" t="str">
        <f t="shared" si="3"/>
        <v xml:space="preserve"> </v>
      </c>
    </row>
    <row r="791" spans="1:1" ht="13">
      <c r="A791" t="str">
        <f t="shared" si="3"/>
        <v xml:space="preserve"> </v>
      </c>
    </row>
    <row r="792" spans="1:1" ht="13">
      <c r="A792" t="str">
        <f t="shared" si="3"/>
        <v xml:space="preserve"> </v>
      </c>
    </row>
    <row r="793" spans="1:1" ht="13">
      <c r="A793" t="str">
        <f t="shared" si="3"/>
        <v xml:space="preserve"> </v>
      </c>
    </row>
    <row r="794" spans="1:1" ht="13">
      <c r="A794" t="str">
        <f t="shared" si="3"/>
        <v xml:space="preserve"> </v>
      </c>
    </row>
    <row r="795" spans="1:1" ht="13">
      <c r="A795" t="str">
        <f t="shared" si="3"/>
        <v xml:space="preserve"> </v>
      </c>
    </row>
    <row r="796" spans="1:1" ht="13">
      <c r="A796" t="str">
        <f t="shared" si="3"/>
        <v xml:space="preserve"> </v>
      </c>
    </row>
    <row r="797" spans="1:1" ht="13">
      <c r="A797" t="str">
        <f t="shared" si="3"/>
        <v xml:space="preserve"> </v>
      </c>
    </row>
    <row r="798" spans="1:1" ht="13">
      <c r="A798" t="str">
        <f t="shared" si="3"/>
        <v xml:space="preserve"> </v>
      </c>
    </row>
    <row r="799" spans="1:1" ht="13">
      <c r="A799" t="str">
        <f t="shared" si="3"/>
        <v xml:space="preserve"> </v>
      </c>
    </row>
    <row r="800" spans="1:1" ht="13">
      <c r="A800" t="str">
        <f t="shared" si="3"/>
        <v xml:space="preserve"> </v>
      </c>
    </row>
    <row r="801" spans="1:1" ht="13">
      <c r="A801" t="str">
        <f t="shared" si="3"/>
        <v xml:space="preserve"> </v>
      </c>
    </row>
    <row r="802" spans="1:1" ht="13">
      <c r="A802" t="str">
        <f t="shared" si="3"/>
        <v xml:space="preserve"> </v>
      </c>
    </row>
    <row r="803" spans="1:1" ht="13">
      <c r="A803" t="str">
        <f t="shared" si="3"/>
        <v xml:space="preserve"> </v>
      </c>
    </row>
    <row r="804" spans="1:1" ht="13">
      <c r="A804" t="str">
        <f t="shared" si="3"/>
        <v xml:space="preserve"> </v>
      </c>
    </row>
    <row r="805" spans="1:1" ht="13">
      <c r="A805" t="str">
        <f t="shared" si="3"/>
        <v xml:space="preserve"> </v>
      </c>
    </row>
    <row r="806" spans="1:1" ht="13">
      <c r="A806" t="str">
        <f t="shared" si="3"/>
        <v xml:space="preserve"> </v>
      </c>
    </row>
    <row r="807" spans="1:1" ht="13">
      <c r="A807" t="str">
        <f t="shared" si="3"/>
        <v xml:space="preserve"> </v>
      </c>
    </row>
    <row r="808" spans="1:1" ht="13">
      <c r="A808" t="str">
        <f t="shared" si="3"/>
        <v xml:space="preserve"> </v>
      </c>
    </row>
    <row r="809" spans="1:1" ht="13">
      <c r="A809" t="str">
        <f t="shared" si="3"/>
        <v xml:space="preserve"> </v>
      </c>
    </row>
    <row r="810" spans="1:1" ht="13">
      <c r="A810" t="str">
        <f t="shared" si="3"/>
        <v xml:space="preserve"> </v>
      </c>
    </row>
    <row r="811" spans="1:1" ht="13">
      <c r="A811" t="str">
        <f t="shared" si="3"/>
        <v xml:space="preserve"> </v>
      </c>
    </row>
    <row r="812" spans="1:1" ht="13">
      <c r="A812" t="str">
        <f t="shared" si="3"/>
        <v xml:space="preserve"> </v>
      </c>
    </row>
    <row r="813" spans="1:1" ht="13">
      <c r="A813" t="str">
        <f t="shared" si="3"/>
        <v xml:space="preserve"> </v>
      </c>
    </row>
    <row r="814" spans="1:1" ht="13">
      <c r="A814" t="str">
        <f t="shared" si="3"/>
        <v xml:space="preserve"> </v>
      </c>
    </row>
    <row r="815" spans="1:1" ht="13">
      <c r="A815" t="str">
        <f t="shared" si="3"/>
        <v xml:space="preserve"> </v>
      </c>
    </row>
    <row r="816" spans="1:1" ht="13">
      <c r="A816" t="str">
        <f t="shared" si="3"/>
        <v xml:space="preserve"> </v>
      </c>
    </row>
    <row r="817" spans="1:1" ht="13">
      <c r="A817" t="str">
        <f t="shared" si="3"/>
        <v xml:space="preserve"> </v>
      </c>
    </row>
    <row r="818" spans="1:1" ht="13">
      <c r="A818" t="str">
        <f t="shared" si="3"/>
        <v xml:space="preserve"> </v>
      </c>
    </row>
    <row r="819" spans="1:1" ht="13">
      <c r="A819" t="str">
        <f t="shared" si="3"/>
        <v xml:space="preserve"> </v>
      </c>
    </row>
    <row r="820" spans="1:1" ht="13">
      <c r="A820" t="str">
        <f t="shared" si="3"/>
        <v xml:space="preserve"> </v>
      </c>
    </row>
    <row r="821" spans="1:1" ht="13">
      <c r="A821" t="str">
        <f t="shared" si="3"/>
        <v xml:space="preserve"> </v>
      </c>
    </row>
    <row r="822" spans="1:1" ht="13">
      <c r="A822" t="str">
        <f t="shared" si="3"/>
        <v xml:space="preserve"> </v>
      </c>
    </row>
    <row r="823" spans="1:1" ht="13">
      <c r="A823" t="str">
        <f t="shared" si="3"/>
        <v xml:space="preserve"> </v>
      </c>
    </row>
    <row r="824" spans="1:1" ht="13">
      <c r="A824" t="str">
        <f t="shared" si="3"/>
        <v xml:space="preserve"> </v>
      </c>
    </row>
    <row r="825" spans="1:1" ht="13">
      <c r="A825" t="str">
        <f t="shared" si="3"/>
        <v xml:space="preserve"> </v>
      </c>
    </row>
    <row r="826" spans="1:1" ht="13">
      <c r="A826" t="str">
        <f t="shared" si="3"/>
        <v xml:space="preserve"> </v>
      </c>
    </row>
    <row r="827" spans="1:1" ht="13">
      <c r="A827" t="str">
        <f t="shared" si="3"/>
        <v xml:space="preserve"> </v>
      </c>
    </row>
    <row r="828" spans="1:1" ht="13">
      <c r="A828" t="str">
        <f t="shared" si="3"/>
        <v xml:space="preserve"> </v>
      </c>
    </row>
    <row r="829" spans="1:1" ht="13">
      <c r="A829" t="str">
        <f t="shared" si="3"/>
        <v xml:space="preserve"> </v>
      </c>
    </row>
    <row r="830" spans="1:1" ht="13">
      <c r="A830" t="str">
        <f t="shared" si="3"/>
        <v xml:space="preserve"> </v>
      </c>
    </row>
    <row r="831" spans="1:1" ht="13">
      <c r="A831" t="str">
        <f t="shared" si="3"/>
        <v xml:space="preserve"> </v>
      </c>
    </row>
    <row r="832" spans="1:1" ht="13">
      <c r="A832" t="str">
        <f t="shared" si="3"/>
        <v xml:space="preserve"> </v>
      </c>
    </row>
    <row r="833" spans="1:1" ht="13">
      <c r="A833" t="str">
        <f t="shared" si="3"/>
        <v xml:space="preserve"> </v>
      </c>
    </row>
    <row r="834" spans="1:1" ht="13">
      <c r="A834" t="str">
        <f t="shared" si="3"/>
        <v xml:space="preserve"> </v>
      </c>
    </row>
    <row r="835" spans="1:1" ht="13">
      <c r="A835" t="str">
        <f t="shared" si="3"/>
        <v xml:space="preserve"> </v>
      </c>
    </row>
    <row r="836" spans="1:1" ht="13">
      <c r="A836" t="str">
        <f t="shared" si="3"/>
        <v xml:space="preserve"> </v>
      </c>
    </row>
    <row r="837" spans="1:1" ht="13">
      <c r="A837" t="str">
        <f t="shared" si="3"/>
        <v xml:space="preserve"> </v>
      </c>
    </row>
    <row r="838" spans="1:1" ht="13">
      <c r="A838" t="str">
        <f t="shared" si="3"/>
        <v xml:space="preserve"> </v>
      </c>
    </row>
    <row r="839" spans="1:1" ht="13">
      <c r="A839" t="str">
        <f t="shared" si="3"/>
        <v xml:space="preserve"> </v>
      </c>
    </row>
    <row r="840" spans="1:1" ht="13">
      <c r="A840" t="str">
        <f t="shared" si="3"/>
        <v xml:space="preserve"> </v>
      </c>
    </row>
    <row r="841" spans="1:1" ht="13">
      <c r="A841" t="str">
        <f t="shared" si="3"/>
        <v xml:space="preserve"> </v>
      </c>
    </row>
    <row r="842" spans="1:1" ht="13">
      <c r="A842" t="str">
        <f t="shared" si="3"/>
        <v xml:space="preserve"> </v>
      </c>
    </row>
    <row r="843" spans="1:1" ht="13">
      <c r="A843" t="str">
        <f t="shared" si="3"/>
        <v xml:space="preserve"> </v>
      </c>
    </row>
    <row r="844" spans="1:1" ht="13">
      <c r="A844" t="str">
        <f t="shared" si="3"/>
        <v xml:space="preserve"> </v>
      </c>
    </row>
    <row r="845" spans="1:1" ht="13">
      <c r="A845" t="str">
        <f t="shared" si="3"/>
        <v xml:space="preserve"> </v>
      </c>
    </row>
    <row r="846" spans="1:1" ht="13">
      <c r="A846" t="str">
        <f t="shared" si="3"/>
        <v xml:space="preserve"> </v>
      </c>
    </row>
    <row r="847" spans="1:1" ht="13">
      <c r="A847" t="str">
        <f t="shared" si="3"/>
        <v xml:space="preserve"> </v>
      </c>
    </row>
    <row r="848" spans="1:1" ht="13">
      <c r="A848" t="str">
        <f t="shared" si="3"/>
        <v xml:space="preserve"> </v>
      </c>
    </row>
    <row r="849" spans="1:1" ht="13">
      <c r="A849" t="str">
        <f t="shared" si="3"/>
        <v xml:space="preserve"> </v>
      </c>
    </row>
    <row r="850" spans="1:1" ht="13">
      <c r="A850" t="str">
        <f t="shared" si="3"/>
        <v xml:space="preserve"> </v>
      </c>
    </row>
    <row r="851" spans="1:1" ht="13">
      <c r="A851" t="str">
        <f t="shared" si="3"/>
        <v xml:space="preserve"> </v>
      </c>
    </row>
    <row r="852" spans="1:1" ht="13">
      <c r="A852" t="str">
        <f t="shared" si="3"/>
        <v xml:space="preserve"> </v>
      </c>
    </row>
    <row r="853" spans="1:1" ht="13">
      <c r="A853" t="str">
        <f t="shared" si="3"/>
        <v xml:space="preserve"> </v>
      </c>
    </row>
    <row r="854" spans="1:1" ht="13">
      <c r="A854" t="str">
        <f t="shared" si="3"/>
        <v xml:space="preserve"> </v>
      </c>
    </row>
    <row r="855" spans="1:1" ht="13">
      <c r="A855" t="str">
        <f t="shared" si="3"/>
        <v xml:space="preserve"> </v>
      </c>
    </row>
    <row r="856" spans="1:1" ht="13">
      <c r="A856" t="str">
        <f t="shared" si="3"/>
        <v xml:space="preserve"> </v>
      </c>
    </row>
    <row r="857" spans="1:1" ht="13">
      <c r="A857" t="str">
        <f t="shared" si="3"/>
        <v xml:space="preserve"> </v>
      </c>
    </row>
    <row r="858" spans="1:1" ht="13">
      <c r="A858" t="str">
        <f t="shared" si="3"/>
        <v xml:space="preserve"> </v>
      </c>
    </row>
    <row r="859" spans="1:1" ht="13">
      <c r="A859" t="str">
        <f t="shared" si="3"/>
        <v xml:space="preserve"> </v>
      </c>
    </row>
    <row r="860" spans="1:1" ht="13">
      <c r="A860" t="str">
        <f t="shared" si="3"/>
        <v xml:space="preserve"> </v>
      </c>
    </row>
    <row r="861" spans="1:1" ht="13">
      <c r="A861" t="str">
        <f t="shared" si="3"/>
        <v xml:space="preserve"> </v>
      </c>
    </row>
    <row r="862" spans="1:1" ht="13">
      <c r="A862" t="str">
        <f t="shared" si="3"/>
        <v xml:space="preserve"> </v>
      </c>
    </row>
    <row r="863" spans="1:1" ht="13">
      <c r="A863" t="str">
        <f t="shared" si="3"/>
        <v xml:space="preserve"> </v>
      </c>
    </row>
    <row r="864" spans="1:1" ht="13">
      <c r="A864" t="str">
        <f t="shared" si="3"/>
        <v xml:space="preserve"> </v>
      </c>
    </row>
    <row r="865" spans="1:1" ht="13">
      <c r="A865" t="str">
        <f t="shared" si="3"/>
        <v xml:space="preserve"> </v>
      </c>
    </row>
    <row r="866" spans="1:1" ht="13">
      <c r="A866" t="str">
        <f t="shared" si="3"/>
        <v xml:space="preserve"> </v>
      </c>
    </row>
    <row r="867" spans="1:1" ht="13">
      <c r="A867" t="str">
        <f t="shared" si="3"/>
        <v xml:space="preserve"> </v>
      </c>
    </row>
    <row r="868" spans="1:1" ht="13">
      <c r="A868" t="str">
        <f t="shared" si="3"/>
        <v xml:space="preserve"> </v>
      </c>
    </row>
    <row r="869" spans="1:1" ht="13">
      <c r="A869" t="str">
        <f t="shared" si="3"/>
        <v xml:space="preserve"> </v>
      </c>
    </row>
    <row r="870" spans="1:1" ht="13">
      <c r="A870" t="str">
        <f t="shared" si="3"/>
        <v xml:space="preserve"> </v>
      </c>
    </row>
    <row r="871" spans="1:1" ht="13">
      <c r="A871" t="str">
        <f t="shared" si="3"/>
        <v xml:space="preserve"> </v>
      </c>
    </row>
    <row r="872" spans="1:1" ht="13">
      <c r="A872" t="str">
        <f t="shared" si="3"/>
        <v xml:space="preserve"> </v>
      </c>
    </row>
    <row r="873" spans="1:1" ht="13">
      <c r="A873" t="str">
        <f t="shared" si="3"/>
        <v xml:space="preserve"> </v>
      </c>
    </row>
    <row r="874" spans="1:1" ht="13">
      <c r="A874" t="str">
        <f t="shared" si="3"/>
        <v xml:space="preserve"> </v>
      </c>
    </row>
    <row r="875" spans="1:1" ht="13">
      <c r="A875" t="str">
        <f t="shared" si="3"/>
        <v xml:space="preserve"> </v>
      </c>
    </row>
    <row r="876" spans="1:1" ht="13">
      <c r="A876" t="str">
        <f t="shared" si="3"/>
        <v xml:space="preserve"> </v>
      </c>
    </row>
    <row r="877" spans="1:1" ht="13">
      <c r="A877" t="str">
        <f t="shared" si="3"/>
        <v xml:space="preserve"> </v>
      </c>
    </row>
    <row r="878" spans="1:1" ht="13">
      <c r="A878" t="str">
        <f t="shared" si="3"/>
        <v xml:space="preserve"> </v>
      </c>
    </row>
    <row r="879" spans="1:1" ht="13">
      <c r="A879" t="str">
        <f t="shared" si="3"/>
        <v xml:space="preserve"> </v>
      </c>
    </row>
    <row r="880" spans="1:1" ht="13">
      <c r="A880" t="str">
        <f t="shared" si="3"/>
        <v xml:space="preserve"> </v>
      </c>
    </row>
    <row r="881" spans="1:1" ht="13">
      <c r="A881" t="str">
        <f t="shared" si="3"/>
        <v xml:space="preserve"> </v>
      </c>
    </row>
    <row r="882" spans="1:1" ht="13">
      <c r="A882" t="str">
        <f t="shared" si="3"/>
        <v xml:space="preserve"> </v>
      </c>
    </row>
    <row r="883" spans="1:1" ht="13">
      <c r="A883" t="str">
        <f t="shared" si="3"/>
        <v xml:space="preserve"> </v>
      </c>
    </row>
    <row r="884" spans="1:1" ht="13">
      <c r="A884" t="str">
        <f t="shared" si="3"/>
        <v xml:space="preserve"> </v>
      </c>
    </row>
    <row r="885" spans="1:1" ht="13">
      <c r="A885" t="str">
        <f t="shared" si="3"/>
        <v xml:space="preserve"> </v>
      </c>
    </row>
    <row r="886" spans="1:1" ht="13">
      <c r="A886" t="str">
        <f t="shared" si="3"/>
        <v xml:space="preserve"> </v>
      </c>
    </row>
    <row r="887" spans="1:1" ht="13">
      <c r="A887" t="str">
        <f t="shared" si="3"/>
        <v xml:space="preserve"> </v>
      </c>
    </row>
    <row r="888" spans="1:1" ht="13">
      <c r="A888" t="str">
        <f t="shared" si="3"/>
        <v xml:space="preserve"> </v>
      </c>
    </row>
    <row r="889" spans="1:1" ht="13">
      <c r="A889" t="str">
        <f t="shared" si="3"/>
        <v xml:space="preserve"> </v>
      </c>
    </row>
    <row r="890" spans="1:1" ht="13">
      <c r="A890" t="str">
        <f t="shared" si="3"/>
        <v xml:space="preserve"> </v>
      </c>
    </row>
    <row r="891" spans="1:1" ht="13">
      <c r="A891" t="str">
        <f t="shared" si="3"/>
        <v xml:space="preserve"> </v>
      </c>
    </row>
    <row r="892" spans="1:1" ht="13">
      <c r="A892" t="str">
        <f t="shared" si="3"/>
        <v xml:space="preserve"> </v>
      </c>
    </row>
    <row r="893" spans="1:1" ht="13">
      <c r="A893" t="str">
        <f t="shared" si="3"/>
        <v xml:space="preserve"> </v>
      </c>
    </row>
    <row r="894" spans="1:1" ht="13">
      <c r="A894" t="str">
        <f t="shared" si="3"/>
        <v xml:space="preserve"> </v>
      </c>
    </row>
    <row r="895" spans="1:1" ht="13">
      <c r="A895" t="str">
        <f t="shared" si="3"/>
        <v xml:space="preserve"> </v>
      </c>
    </row>
    <row r="896" spans="1:1" ht="13">
      <c r="A896" t="str">
        <f t="shared" si="3"/>
        <v xml:space="preserve"> </v>
      </c>
    </row>
    <row r="897" spans="1:1" ht="13">
      <c r="A897" t="str">
        <f t="shared" si="3"/>
        <v xml:space="preserve"> </v>
      </c>
    </row>
    <row r="898" spans="1:1" ht="13">
      <c r="A898" t="str">
        <f t="shared" si="3"/>
        <v xml:space="preserve"> </v>
      </c>
    </row>
    <row r="899" spans="1:1" ht="13">
      <c r="A899" t="str">
        <f t="shared" si="3"/>
        <v xml:space="preserve"> </v>
      </c>
    </row>
    <row r="900" spans="1:1" ht="13">
      <c r="A900" t="str">
        <f t="shared" si="3"/>
        <v xml:space="preserve"> </v>
      </c>
    </row>
    <row r="901" spans="1:1" ht="13">
      <c r="A901" t="str">
        <f t="shared" si="3"/>
        <v xml:space="preserve"> </v>
      </c>
    </row>
    <row r="902" spans="1:1" ht="13">
      <c r="A902" t="str">
        <f t="shared" si="3"/>
        <v xml:space="preserve"> </v>
      </c>
    </row>
    <row r="903" spans="1:1" ht="13">
      <c r="A903" t="str">
        <f t="shared" si="3"/>
        <v xml:space="preserve"> </v>
      </c>
    </row>
    <row r="904" spans="1:1" ht="13">
      <c r="A904" t="str">
        <f t="shared" si="3"/>
        <v xml:space="preserve"> </v>
      </c>
    </row>
    <row r="905" spans="1:1" ht="13">
      <c r="A905" t="str">
        <f t="shared" si="3"/>
        <v xml:space="preserve"> </v>
      </c>
    </row>
    <row r="906" spans="1:1" ht="13">
      <c r="A906" t="str">
        <f t="shared" si="3"/>
        <v xml:space="preserve"> </v>
      </c>
    </row>
    <row r="907" spans="1:1" ht="13">
      <c r="A907" t="str">
        <f t="shared" si="3"/>
        <v xml:space="preserve"> </v>
      </c>
    </row>
    <row r="908" spans="1:1" ht="13">
      <c r="A908" t="str">
        <f t="shared" si="3"/>
        <v xml:space="preserve"> </v>
      </c>
    </row>
    <row r="909" spans="1:1" ht="13">
      <c r="A909" t="str">
        <f t="shared" si="3"/>
        <v xml:space="preserve"> </v>
      </c>
    </row>
    <row r="910" spans="1:1" ht="13">
      <c r="A910" t="str">
        <f t="shared" si="3"/>
        <v xml:space="preserve"> </v>
      </c>
    </row>
    <row r="911" spans="1:1" ht="13">
      <c r="A911" t="str">
        <f t="shared" si="3"/>
        <v xml:space="preserve"> </v>
      </c>
    </row>
    <row r="912" spans="1:1" ht="13">
      <c r="A912" t="str">
        <f t="shared" si="3"/>
        <v xml:space="preserve"> </v>
      </c>
    </row>
    <row r="913" spans="1:1" ht="13">
      <c r="A913" t="str">
        <f t="shared" si="3"/>
        <v xml:space="preserve"> </v>
      </c>
    </row>
    <row r="914" spans="1:1" ht="13">
      <c r="A914" t="str">
        <f t="shared" si="3"/>
        <v xml:space="preserve"> </v>
      </c>
    </row>
    <row r="915" spans="1:1" ht="13">
      <c r="A915" t="str">
        <f t="shared" si="3"/>
        <v xml:space="preserve"> </v>
      </c>
    </row>
    <row r="916" spans="1:1" ht="13">
      <c r="A916" t="str">
        <f t="shared" si="3"/>
        <v xml:space="preserve"> </v>
      </c>
    </row>
    <row r="917" spans="1:1" ht="13">
      <c r="A917" t="str">
        <f t="shared" si="3"/>
        <v xml:space="preserve"> </v>
      </c>
    </row>
    <row r="918" spans="1:1" ht="13">
      <c r="A918" t="str">
        <f t="shared" si="3"/>
        <v xml:space="preserve"> </v>
      </c>
    </row>
    <row r="919" spans="1:1" ht="13">
      <c r="A919" t="str">
        <f t="shared" si="3"/>
        <v xml:space="preserve"> </v>
      </c>
    </row>
    <row r="920" spans="1:1" ht="13">
      <c r="A920" t="str">
        <f t="shared" si="3"/>
        <v xml:space="preserve"> </v>
      </c>
    </row>
    <row r="921" spans="1:1" ht="13">
      <c r="A921" t="str">
        <f t="shared" si="3"/>
        <v xml:space="preserve"> </v>
      </c>
    </row>
    <row r="922" spans="1:1" ht="13">
      <c r="A922" t="str">
        <f t="shared" si="3"/>
        <v xml:space="preserve"> </v>
      </c>
    </row>
    <row r="923" spans="1:1" ht="13">
      <c r="A923" t="str">
        <f t="shared" si="3"/>
        <v xml:space="preserve"> </v>
      </c>
    </row>
    <row r="924" spans="1:1" ht="13">
      <c r="A924" t="str">
        <f t="shared" si="3"/>
        <v xml:space="preserve"> </v>
      </c>
    </row>
    <row r="925" spans="1:1" ht="13">
      <c r="A925" t="str">
        <f t="shared" si="3"/>
        <v xml:space="preserve"> </v>
      </c>
    </row>
    <row r="926" spans="1:1" ht="13">
      <c r="A926" t="str">
        <f t="shared" si="3"/>
        <v xml:space="preserve"> </v>
      </c>
    </row>
    <row r="927" spans="1:1" ht="13">
      <c r="A927" t="str">
        <f t="shared" si="3"/>
        <v xml:space="preserve"> </v>
      </c>
    </row>
    <row r="928" spans="1:1" ht="13">
      <c r="A928" t="str">
        <f t="shared" si="3"/>
        <v xml:space="preserve"> </v>
      </c>
    </row>
    <row r="929" spans="1:1" ht="13">
      <c r="A929" t="str">
        <f t="shared" si="3"/>
        <v xml:space="preserve"> </v>
      </c>
    </row>
    <row r="930" spans="1:1" ht="13">
      <c r="A930" t="str">
        <f t="shared" si="3"/>
        <v xml:space="preserve"> </v>
      </c>
    </row>
    <row r="931" spans="1:1" ht="13">
      <c r="A931" t="str">
        <f t="shared" si="3"/>
        <v xml:space="preserve"> </v>
      </c>
    </row>
    <row r="932" spans="1:1" ht="13">
      <c r="A932" t="str">
        <f t="shared" si="3"/>
        <v xml:space="preserve"> </v>
      </c>
    </row>
    <row r="933" spans="1:1" ht="13">
      <c r="A933" t="str">
        <f t="shared" si="3"/>
        <v xml:space="preserve"> </v>
      </c>
    </row>
    <row r="934" spans="1:1" ht="13">
      <c r="A934" t="str">
        <f t="shared" si="3"/>
        <v xml:space="preserve"> </v>
      </c>
    </row>
    <row r="935" spans="1:1" ht="13">
      <c r="A935" t="str">
        <f t="shared" si="3"/>
        <v xml:space="preserve"> </v>
      </c>
    </row>
    <row r="936" spans="1:1" ht="13">
      <c r="A936" t="str">
        <f t="shared" si="3"/>
        <v xml:space="preserve"> </v>
      </c>
    </row>
    <row r="937" spans="1:1" ht="13">
      <c r="A937" t="str">
        <f t="shared" si="3"/>
        <v xml:space="preserve"> </v>
      </c>
    </row>
    <row r="938" spans="1:1" ht="13">
      <c r="A938" t="str">
        <f t="shared" si="3"/>
        <v xml:space="preserve"> </v>
      </c>
    </row>
    <row r="939" spans="1:1" ht="13">
      <c r="A939" t="str">
        <f t="shared" si="3"/>
        <v xml:space="preserve"> </v>
      </c>
    </row>
    <row r="940" spans="1:1" ht="13">
      <c r="A940" t="str">
        <f t="shared" si="3"/>
        <v xml:space="preserve"> </v>
      </c>
    </row>
    <row r="941" spans="1:1" ht="13">
      <c r="A941" t="str">
        <f t="shared" si="3"/>
        <v xml:space="preserve"> </v>
      </c>
    </row>
    <row r="942" spans="1:1" ht="13">
      <c r="A942" t="str">
        <f t="shared" si="3"/>
        <v xml:space="preserve"> </v>
      </c>
    </row>
    <row r="943" spans="1:1" ht="13">
      <c r="A943" t="str">
        <f t="shared" si="3"/>
        <v xml:space="preserve"> </v>
      </c>
    </row>
    <row r="944" spans="1:1" ht="13">
      <c r="A944" t="str">
        <f t="shared" si="3"/>
        <v xml:space="preserve"> </v>
      </c>
    </row>
    <row r="945" spans="1:1" ht="13">
      <c r="A945" t="str">
        <f t="shared" si="3"/>
        <v xml:space="preserve"> </v>
      </c>
    </row>
    <row r="946" spans="1:1" ht="13">
      <c r="A946" t="str">
        <f t="shared" si="3"/>
        <v xml:space="preserve"> </v>
      </c>
    </row>
    <row r="947" spans="1:1" ht="13">
      <c r="A947" t="str">
        <f t="shared" si="3"/>
        <v xml:space="preserve"> </v>
      </c>
    </row>
    <row r="948" spans="1:1" ht="13">
      <c r="A948" t="str">
        <f t="shared" si="3"/>
        <v xml:space="preserve"> </v>
      </c>
    </row>
    <row r="949" spans="1:1" ht="13">
      <c r="A949" t="str">
        <f t="shared" si="3"/>
        <v xml:space="preserve"> </v>
      </c>
    </row>
    <row r="950" spans="1:1" ht="13">
      <c r="A950" t="str">
        <f t="shared" si="3"/>
        <v xml:space="preserve"> </v>
      </c>
    </row>
    <row r="951" spans="1:1" ht="13">
      <c r="A951" t="str">
        <f t="shared" si="3"/>
        <v xml:space="preserve"> </v>
      </c>
    </row>
    <row r="952" spans="1:1" ht="13">
      <c r="A952" t="str">
        <f t="shared" si="3"/>
        <v xml:space="preserve"> </v>
      </c>
    </row>
    <row r="953" spans="1:1" ht="13">
      <c r="A953" t="str">
        <f t="shared" si="3"/>
        <v xml:space="preserve"> </v>
      </c>
    </row>
    <row r="954" spans="1:1" ht="13">
      <c r="A954" t="str">
        <f t="shared" ref="A954:A999" si="4">IF(G954&gt;0,1+A953," ")</f>
        <v xml:space="preserve"> </v>
      </c>
    </row>
    <row r="955" spans="1:1" ht="13">
      <c r="A955" t="str">
        <f t="shared" si="4"/>
        <v xml:space="preserve"> </v>
      </c>
    </row>
    <row r="956" spans="1:1" ht="13">
      <c r="A956" t="str">
        <f t="shared" si="4"/>
        <v xml:space="preserve"> </v>
      </c>
    </row>
    <row r="957" spans="1:1" ht="13">
      <c r="A957" t="str">
        <f t="shared" si="4"/>
        <v xml:space="preserve"> </v>
      </c>
    </row>
    <row r="958" spans="1:1" ht="13">
      <c r="A958" t="str">
        <f t="shared" si="4"/>
        <v xml:space="preserve"> </v>
      </c>
    </row>
    <row r="959" spans="1:1" ht="13">
      <c r="A959" t="str">
        <f t="shared" si="4"/>
        <v xml:space="preserve"> </v>
      </c>
    </row>
    <row r="960" spans="1:1" ht="13">
      <c r="A960" t="str">
        <f t="shared" si="4"/>
        <v xml:space="preserve"> </v>
      </c>
    </row>
    <row r="961" spans="1:1" ht="13">
      <c r="A961" t="str">
        <f t="shared" si="4"/>
        <v xml:space="preserve"> </v>
      </c>
    </row>
    <row r="962" spans="1:1" ht="13">
      <c r="A962" t="str">
        <f t="shared" si="4"/>
        <v xml:space="preserve"> </v>
      </c>
    </row>
    <row r="963" spans="1:1" ht="13">
      <c r="A963" t="str">
        <f t="shared" si="4"/>
        <v xml:space="preserve"> </v>
      </c>
    </row>
    <row r="964" spans="1:1" ht="13">
      <c r="A964" t="str">
        <f t="shared" si="4"/>
        <v xml:space="preserve"> </v>
      </c>
    </row>
    <row r="965" spans="1:1" ht="13">
      <c r="A965" t="str">
        <f t="shared" si="4"/>
        <v xml:space="preserve"> </v>
      </c>
    </row>
    <row r="966" spans="1:1" ht="13">
      <c r="A966" t="str">
        <f t="shared" si="4"/>
        <v xml:space="preserve"> </v>
      </c>
    </row>
    <row r="967" spans="1:1" ht="13">
      <c r="A967" t="str">
        <f t="shared" si="4"/>
        <v xml:space="preserve"> </v>
      </c>
    </row>
    <row r="968" spans="1:1" ht="13">
      <c r="A968" t="str">
        <f t="shared" si="4"/>
        <v xml:space="preserve"> </v>
      </c>
    </row>
    <row r="969" spans="1:1" ht="13">
      <c r="A969" t="str">
        <f t="shared" si="4"/>
        <v xml:space="preserve"> </v>
      </c>
    </row>
    <row r="970" spans="1:1" ht="13">
      <c r="A970" t="str">
        <f t="shared" si="4"/>
        <v xml:space="preserve"> </v>
      </c>
    </row>
    <row r="971" spans="1:1" ht="13">
      <c r="A971" t="str">
        <f t="shared" si="4"/>
        <v xml:space="preserve"> </v>
      </c>
    </row>
    <row r="972" spans="1:1" ht="13">
      <c r="A972" t="str">
        <f t="shared" si="4"/>
        <v xml:space="preserve"> </v>
      </c>
    </row>
    <row r="973" spans="1:1" ht="13">
      <c r="A973" t="str">
        <f t="shared" si="4"/>
        <v xml:space="preserve"> </v>
      </c>
    </row>
    <row r="974" spans="1:1" ht="13">
      <c r="A974" t="str">
        <f t="shared" si="4"/>
        <v xml:space="preserve"> </v>
      </c>
    </row>
    <row r="975" spans="1:1" ht="13">
      <c r="A975" t="str">
        <f t="shared" si="4"/>
        <v xml:space="preserve"> </v>
      </c>
    </row>
    <row r="976" spans="1:1" ht="13">
      <c r="A976" t="str">
        <f t="shared" si="4"/>
        <v xml:space="preserve"> </v>
      </c>
    </row>
    <row r="977" spans="1:1" ht="13">
      <c r="A977" t="str">
        <f t="shared" si="4"/>
        <v xml:space="preserve"> </v>
      </c>
    </row>
    <row r="978" spans="1:1" ht="13">
      <c r="A978" t="str">
        <f t="shared" si="4"/>
        <v xml:space="preserve"> </v>
      </c>
    </row>
    <row r="979" spans="1:1" ht="13">
      <c r="A979" t="str">
        <f t="shared" si="4"/>
        <v xml:space="preserve"> </v>
      </c>
    </row>
    <row r="980" spans="1:1" ht="13">
      <c r="A980" t="str">
        <f t="shared" si="4"/>
        <v xml:space="preserve"> </v>
      </c>
    </row>
    <row r="981" spans="1:1" ht="13">
      <c r="A981" t="str">
        <f t="shared" si="4"/>
        <v xml:space="preserve"> </v>
      </c>
    </row>
    <row r="982" spans="1:1" ht="13">
      <c r="A982" t="str">
        <f t="shared" si="4"/>
        <v xml:space="preserve"> </v>
      </c>
    </row>
    <row r="983" spans="1:1" ht="13">
      <c r="A983" t="str">
        <f t="shared" si="4"/>
        <v xml:space="preserve"> </v>
      </c>
    </row>
    <row r="984" spans="1:1" ht="13">
      <c r="A984" t="str">
        <f t="shared" si="4"/>
        <v xml:space="preserve"> </v>
      </c>
    </row>
    <row r="985" spans="1:1" ht="13">
      <c r="A985" t="str">
        <f t="shared" si="4"/>
        <v xml:space="preserve"> </v>
      </c>
    </row>
    <row r="986" spans="1:1" ht="13">
      <c r="A986" t="str">
        <f t="shared" si="4"/>
        <v xml:space="preserve"> </v>
      </c>
    </row>
    <row r="987" spans="1:1" ht="13">
      <c r="A987" t="str">
        <f t="shared" si="4"/>
        <v xml:space="preserve"> </v>
      </c>
    </row>
    <row r="988" spans="1:1" ht="13">
      <c r="A988" t="str">
        <f t="shared" si="4"/>
        <v xml:space="preserve"> </v>
      </c>
    </row>
    <row r="989" spans="1:1" ht="13">
      <c r="A989" t="str">
        <f t="shared" si="4"/>
        <v xml:space="preserve"> </v>
      </c>
    </row>
    <row r="990" spans="1:1" ht="13">
      <c r="A990" t="str">
        <f t="shared" si="4"/>
        <v xml:space="preserve"> </v>
      </c>
    </row>
    <row r="991" spans="1:1" ht="13">
      <c r="A991" t="str">
        <f t="shared" si="4"/>
        <v xml:space="preserve"> </v>
      </c>
    </row>
    <row r="992" spans="1:1" ht="13">
      <c r="A992" t="str">
        <f t="shared" si="4"/>
        <v xml:space="preserve"> </v>
      </c>
    </row>
    <row r="993" spans="1:1" ht="13">
      <c r="A993" t="str">
        <f t="shared" si="4"/>
        <v xml:space="preserve"> </v>
      </c>
    </row>
    <row r="994" spans="1:1" ht="13">
      <c r="A994" t="str">
        <f t="shared" si="4"/>
        <v xml:space="preserve"> </v>
      </c>
    </row>
    <row r="995" spans="1:1" ht="13">
      <c r="A995" t="str">
        <f t="shared" si="4"/>
        <v xml:space="preserve"> </v>
      </c>
    </row>
    <row r="996" spans="1:1" ht="13">
      <c r="A996" t="str">
        <f t="shared" si="4"/>
        <v xml:space="preserve"> </v>
      </c>
    </row>
    <row r="997" spans="1:1" ht="13">
      <c r="A997" t="str">
        <f t="shared" si="4"/>
        <v xml:space="preserve"> </v>
      </c>
    </row>
    <row r="998" spans="1:1" ht="13">
      <c r="A998" t="str">
        <f t="shared" si="4"/>
        <v xml:space="preserve"> </v>
      </c>
    </row>
    <row r="999" spans="1:1" ht="13">
      <c r="A999" t="str">
        <f t="shared" si="4"/>
        <v xml:space="preserve"> 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21"/>
  <sheetViews>
    <sheetView workbookViewId="0"/>
  </sheetViews>
  <sheetFormatPr baseColWidth="10" defaultColWidth="12.6640625" defaultRowHeight="15.75" customHeight="1"/>
  <cols>
    <col min="1" max="1" width="20.1640625" customWidth="1"/>
    <col min="6" max="6" width="20.33203125" customWidth="1"/>
    <col min="7" max="7" width="19.83203125" customWidth="1"/>
  </cols>
  <sheetData>
    <row r="1" spans="1:9">
      <c r="A1" s="64" t="s">
        <v>79</v>
      </c>
      <c r="B1" s="64" t="s">
        <v>80</v>
      </c>
      <c r="C1" s="64" t="s">
        <v>81</v>
      </c>
      <c r="D1" s="64" t="s">
        <v>82</v>
      </c>
      <c r="E1" s="64" t="s">
        <v>83</v>
      </c>
      <c r="F1" s="16" t="s">
        <v>84</v>
      </c>
      <c r="G1" s="16" t="s">
        <v>84</v>
      </c>
      <c r="H1" s="16" t="s">
        <v>85</v>
      </c>
      <c r="I1" s="21" t="s">
        <v>86</v>
      </c>
    </row>
    <row r="2" spans="1:9">
      <c r="A2" s="64" t="s">
        <v>36</v>
      </c>
      <c r="B2" s="33">
        <f t="array" ref="B2">(INDEX(megyei!$B:$B,LARGE(IF(megyei!$B:$B&lt;&gt;"",ROW(megyei!$B:$B)),1)))</f>
        <v>110519</v>
      </c>
      <c r="C2" s="65">
        <f t="array" ref="C2">(INDEX(megyei!B:B,LARGE(IF(megyei!B:B&lt;&gt;"",ROW(megyei!B:B)),1)))/502220*100</f>
        <v>22.006092947313928</v>
      </c>
      <c r="D2" s="33">
        <f t="array" ref="D2">(INDEX(megyei!$B:$B,LARGE(IF(megyei!$B:$B&lt;&gt;"",ROW(megyei!$B:$B)),1)))-(INDEX(megyei!$B:$B,LARGE(IF(megyei!$B:$B&lt;&gt;"",ROW(megyei!$B:$B)),2)))</f>
        <v>167</v>
      </c>
      <c r="E2" s="33">
        <f t="array" ref="E2">(INDEX(megyei!$B:$B,LARGE(IF(megyei!$B:$B&lt;&gt;"",ROW(megyei!$B:$B)),1)))-(INDEX(megyei!$B:$B,LARGE(IF(megyei!$B:$B&lt;&gt;"",ROW(megyei!$B:$B)),6)))</f>
        <v>909</v>
      </c>
      <c r="F2" s="65">
        <f t="shared" ref="F2:F21" si="0">D2/H2*100000</f>
        <v>33.557046979865767</v>
      </c>
      <c r="G2" s="65">
        <f t="shared" ref="G2:G21" si="1">E2/H2*100000</f>
        <v>182.65482457902985</v>
      </c>
      <c r="H2" s="27">
        <v>497660</v>
      </c>
      <c r="I2" s="21" t="s">
        <v>87</v>
      </c>
    </row>
    <row r="3" spans="1:9">
      <c r="A3" s="64" t="s">
        <v>38</v>
      </c>
      <c r="B3" s="33">
        <f t="array" ref="B3">(INDEX(megyei!$D:$D,LARGE(IF(megyei!$D:$D&lt;&gt;"",ROW(megyei!$D:$D)),1)))</f>
        <v>67165</v>
      </c>
      <c r="C3" s="65">
        <f t="array" ref="C3">(INDEX(megyei!D:D,LARGE(IF(megyei!D:D&lt;&gt;"",ROW(megyei!D:D)),1)))/330542*100</f>
        <v>20.319656806094233</v>
      </c>
      <c r="D3" s="33">
        <f t="array" ref="D3">(INDEX(megyei!$D:$D,LARGE(IF(megyei!$D:$D&lt;&gt;"",ROW(megyei!$D:$D)),1)))-(INDEX(megyei!$D:$D,LARGE(IF(megyei!$D:$D&lt;&gt;"",ROW(megyei!$D:$D)),2)))</f>
        <v>192</v>
      </c>
      <c r="E3" s="33">
        <f t="array" ref="E3">(INDEX(megyei!$D:$D,LARGE(IF(megyei!$D:$D&lt;&gt;"",ROW(megyei!$D:$D)),1)))-(INDEX(megyei!$D:$D,LARGE(IF(megyei!$D:$D&lt;&gt;"",ROW(megyei!$D:$D)),6)))</f>
        <v>1089</v>
      </c>
      <c r="F3" s="65">
        <f t="shared" si="0"/>
        <v>59.476053144331651</v>
      </c>
      <c r="G3" s="65">
        <f t="shared" si="1"/>
        <v>337.34073892800609</v>
      </c>
      <c r="H3" s="27">
        <v>322819</v>
      </c>
      <c r="I3" s="21" t="s">
        <v>88</v>
      </c>
    </row>
    <row r="4" spans="1:9">
      <c r="A4" s="64" t="s">
        <v>37</v>
      </c>
      <c r="B4" s="33">
        <f t="array" ref="B4">(INDEX(megyei!$C:$C,LARGE(IF(megyei!$C:$C&lt;&gt;"",ROW(megyei!$C:$C)),1)))</f>
        <v>95492</v>
      </c>
      <c r="C4" s="65">
        <f t="array" ref="C4">(INDEX(megyei!$C:$C,LARGE(IF(megyei!$C:$C&lt;&gt;"",ROW(megyei!$C:$C)),1)))/359109*100</f>
        <v>26.591369194311476</v>
      </c>
      <c r="D4" s="33">
        <f t="array" ref="D4">(INDEX(megyei!$C:$C,LARGE(IF(megyei!$C:$C&lt;&gt;"",ROW(megyei!$C:$C)),1)))-(INDEX(megyei!$C:$C,LARGE(IF(megyei!$C:$C&lt;&gt;"",ROW(megyei!$C:$C)),2)))</f>
        <v>301</v>
      </c>
      <c r="E4" s="33">
        <f t="array" ref="E4">(INDEX(megyei!$C:$C,LARGE(IF(megyei!$C:$C&lt;&gt;"",ROW(megyei!$C:$C)),1)))-(INDEX(megyei!$C:$C,LARGE(IF(megyei!$C:$C&lt;&gt;"",ROW(megyei!$C:$C)),6)))</f>
        <v>1262</v>
      </c>
      <c r="F4" s="65">
        <f t="shared" si="0"/>
        <v>84.946421667264019</v>
      </c>
      <c r="G4" s="65">
        <f t="shared" si="1"/>
        <v>356.15410014646909</v>
      </c>
      <c r="H4" s="27">
        <v>354341</v>
      </c>
      <c r="I4" s="21" t="s">
        <v>89</v>
      </c>
    </row>
    <row r="5" spans="1:9">
      <c r="A5" s="64" t="s">
        <v>39</v>
      </c>
      <c r="B5" s="33">
        <f t="array" ref="B5">(INDEX(megyei!$E:$E,LARGE(IF(megyei!$E:$E&lt;&gt;"",ROW(megyei!$E:$E)),1)))</f>
        <v>126321</v>
      </c>
      <c r="C5" s="65">
        <f t="array" ref="C5">(INDEX(megyei!$E:$E,LARGE(IF(megyei!$E:$E&lt;&gt;"",ROW(megyei!$E:$E)),1)))/637064*100</f>
        <v>19.828620044453931</v>
      </c>
      <c r="D5" s="33">
        <f t="array" ref="D5">(INDEX(megyei!$E:$E,LARGE(IF(megyei!$E:$E&lt;&gt;"",ROW(megyei!$E:$E)),1)))-(INDEX(megyei!$E:$E,LARGE(IF(megyei!$E:$E&lt;&gt;"",ROW(megyei!$E:$E)),2)))</f>
        <v>175</v>
      </c>
      <c r="E5" s="33">
        <f t="array" ref="E5">(INDEX(megyei!$E:$E,LARGE(IF(megyei!$E:$E&lt;&gt;"",ROW(megyei!$E:$E)),1)))-(INDEX(megyei!$E:$E,LARGE(IF(megyei!$E:$E&lt;&gt;"",ROW(megyei!$E:$E)),6)))</f>
        <v>907</v>
      </c>
      <c r="F5" s="65">
        <f t="shared" si="0"/>
        <v>27.933986403331645</v>
      </c>
      <c r="G5" s="65">
        <f t="shared" si="1"/>
        <v>144.77786095898173</v>
      </c>
      <c r="H5" s="27">
        <v>626477</v>
      </c>
      <c r="I5" s="21" t="s">
        <v>90</v>
      </c>
    </row>
    <row r="6" spans="1:9">
      <c r="A6" s="64" t="s">
        <v>40</v>
      </c>
      <c r="B6" s="33">
        <f t="array" ref="B6">(INDEX(megyei!$F:$F,LARGE(IF(megyei!$F:$F&lt;&gt;"",ROW(megyei!$F:$F)),1)))</f>
        <v>387189</v>
      </c>
      <c r="C6" s="65">
        <f t="array" ref="C6">(INDEX(megyei!$F:$F,LARGE(IF(megyei!$F:$F&lt;&gt;"",ROW(megyei!$F:$F)),1)))/1750216*100</f>
        <v>22.12235518358877</v>
      </c>
      <c r="D6" s="33">
        <f t="array" ref="D6">(INDEX(megyei!$F:$F,LARGE(IF(megyei!$F:$F&lt;&gt;"",ROW(megyei!$F:$F)),1)))-(INDEX(megyei!$F:$F,LARGE(IF(megyei!$F:$F&lt;&gt;"",ROW(megyei!$F:$F)),2)))</f>
        <v>886</v>
      </c>
      <c r="E6" s="33">
        <f t="array" ref="E6">(INDEX(megyei!$F:$F,LARGE(IF(megyei!$F:$F&lt;&gt;"",ROW(megyei!$F:$F)),1)))-(INDEX(megyei!$F:$F,LARGE(IF(megyei!$F:$F&lt;&gt;"",ROW(megyei!$F:$F)),6)))</f>
        <v>4905</v>
      </c>
      <c r="F6" s="65">
        <f t="shared" si="0"/>
        <v>51.90845598121922</v>
      </c>
      <c r="G6" s="65">
        <f t="shared" si="1"/>
        <v>287.37130540392803</v>
      </c>
      <c r="H6" s="27">
        <v>1706851</v>
      </c>
      <c r="I6" s="21" t="s">
        <v>91</v>
      </c>
    </row>
    <row r="7" spans="1:9">
      <c r="A7" s="64" t="s">
        <v>41</v>
      </c>
      <c r="B7" s="33">
        <f t="array" ref="B7">(INDEX(megyei!$G:$G,LARGE(IF(megyei!$G:$G&lt;&gt;"",ROW(megyei!$G:$G)),1)))</f>
        <v>93763</v>
      </c>
      <c r="C7" s="65">
        <f t="array" ref="C7">(INDEX(megyei!$G:$G,LARGE(IF(megyei!$G:$G&lt;&gt;"",ROW(megyei!$G:$G)),1)))/398332*100</f>
        <v>23.538907243204161</v>
      </c>
      <c r="D7" s="33">
        <f t="array" ref="D7">(INDEX(megyei!$G:$G,LARGE(IF(megyei!$G:$G&lt;&gt;"",ROW(megyei!$G:$G)),1)))-(INDEX(megyei!$G:$G,LARGE(IF(megyei!$G:$G&lt;&gt;"",ROW(megyei!$G:$G)),2)))</f>
        <v>195</v>
      </c>
      <c r="E7" s="33">
        <f t="array" ref="E7">(INDEX(megyei!$G:$G,LARGE(IF(megyei!$G:$G&lt;&gt;"",ROW(megyei!$G:$G)),1)))-(INDEX(megyei!$G:$G,LARGE(IF(megyei!$G:$G&lt;&gt;"",ROW(megyei!$G:$G)),6)))</f>
        <v>1001</v>
      </c>
      <c r="F7" s="65">
        <f t="shared" si="0"/>
        <v>49.60367932111641</v>
      </c>
      <c r="G7" s="65">
        <f t="shared" si="1"/>
        <v>254.63222051506426</v>
      </c>
      <c r="H7" s="27">
        <v>393116</v>
      </c>
      <c r="I7" s="21" t="s">
        <v>92</v>
      </c>
    </row>
    <row r="8" spans="1:9">
      <c r="A8" s="64" t="s">
        <v>42</v>
      </c>
      <c r="B8" s="33">
        <f t="array" ref="B8">(INDEX(megyei!$H:$H,LARGE(IF(megyei!$H:$H&lt;&gt;"",ROW(megyei!$H:$H)),1)))</f>
        <v>88751</v>
      </c>
      <c r="C8" s="65">
        <f t="array" ref="C8">(INDEX(megyei!H:H,LARGE(IF(megyei!H:H&lt;&gt;"",ROW(megyei!H:H)),1)))/418603*100</f>
        <v>21.201711406750547</v>
      </c>
      <c r="D8" s="33">
        <f t="array" ref="D8">(INDEX(megyei!$H:$H,LARGE(IF(megyei!$H:$H&lt;&gt;"",ROW(megyei!$H:$H)),1)))-(INDEX(megyei!$H:$H,LARGE(IF(megyei!$H:$H&lt;&gt;"",ROW(megyei!$H:$H)),2)))</f>
        <v>175</v>
      </c>
      <c r="E8" s="33">
        <f t="array" ref="E8">(INDEX(megyei!$H:$H,LARGE(IF(megyei!$H:$H&lt;&gt;"",ROW(megyei!$H:$H)),1)))-(INDEX(megyei!$H:$H,LARGE(IF(megyei!$H:$H&lt;&gt;"",ROW(megyei!$H:$H)),6)))</f>
        <v>933</v>
      </c>
      <c r="F8" s="65">
        <f t="shared" si="0"/>
        <v>41.810514747165847</v>
      </c>
      <c r="G8" s="65">
        <f t="shared" si="1"/>
        <v>222.90977290917564</v>
      </c>
      <c r="H8" s="27">
        <v>418555</v>
      </c>
      <c r="I8" s="21" t="s">
        <v>93</v>
      </c>
    </row>
    <row r="9" spans="1:9">
      <c r="A9" s="64" t="s">
        <v>43</v>
      </c>
      <c r="B9" s="33">
        <f t="array" ref="B9">(INDEX(megyei!$I:$I,LARGE(IF(megyei!$I:$I&lt;&gt;"",ROW(megyei!$I:$I)),1)))</f>
        <v>117524</v>
      </c>
      <c r="C9" s="65">
        <f t="array" ref="C9">(INDEX(megyei!I:I,LARGE(IF(megyei!I:I&lt;&gt;"",ROW(megyei!I:I)),1)))/473141*100</f>
        <v>24.839107158331235</v>
      </c>
      <c r="D9" s="33">
        <f t="array" ref="D9">(INDEX(megyei!$I:$I,LARGE(IF(megyei!$I:$I&lt;&gt;"",ROW(megyei!$I:$I)),1)))-(INDEX(megyei!$I:$I,LARGE(IF(megyei!$I:$I&lt;&gt;"",ROW(megyei!$I:$I)),2)))</f>
        <v>241</v>
      </c>
      <c r="E9" s="33">
        <f t="array" ref="E9">(INDEX(megyei!$I:$I,LARGE(IF(megyei!$I:$I&lt;&gt;"",ROW(megyei!$I:$I)),1)))-(INDEX(megyei!$I:$I,LARGE(IF(megyei!$I:$I&lt;&gt;"",ROW(megyei!$I:$I)),6)))</f>
        <v>1383</v>
      </c>
      <c r="F9" s="65">
        <f t="shared" si="0"/>
        <v>50.276730635635566</v>
      </c>
      <c r="G9" s="65">
        <f t="shared" si="1"/>
        <v>288.51750402109536</v>
      </c>
      <c r="H9" s="27">
        <v>479347</v>
      </c>
      <c r="I9" s="21" t="s">
        <v>94</v>
      </c>
    </row>
    <row r="10" spans="1:9">
      <c r="A10" s="64" t="s">
        <v>44</v>
      </c>
      <c r="B10" s="33">
        <f t="array" ref="B10">(INDEX(megyei!$J:$J,LARGE(IF(megyei!$J:$J&lt;&gt;"",ROW(megyei!$J:$J)),1)))</f>
        <v>113120</v>
      </c>
      <c r="C10" s="65">
        <f t="array" ref="C10">(INDEX(megyei!$J:$J,LARGE(IF(megyei!$J:$J&lt;&gt;"",ROW(megyei!$J:$J)),1)))/526727*100</f>
        <v>21.47602078496071</v>
      </c>
      <c r="D10" s="33">
        <f t="array" ref="D10">(INDEX(megyei!$J:$J,LARGE(IF(megyei!$J:$J&lt;&gt;"",ROW(megyei!$J:$J)),1)))-(INDEX(megyei!$J:$J,LARGE(IF(megyei!$J:$J&lt;&gt;"",ROW(megyei!$J:$J)),2)))</f>
        <v>184</v>
      </c>
      <c r="E10" s="33">
        <f t="array" ref="E10">(INDEX(megyei!$J:$J,LARGE(IF(megyei!$J:$J&lt;&gt;"",ROW(megyei!$J:$J)),1)))-(INDEX(megyei!$J:$J,LARGE(IF(megyei!$J:$J&lt;&gt;"",ROW(megyei!$J:$J)),6)))</f>
        <v>1079</v>
      </c>
      <c r="F10" s="65">
        <f t="shared" si="0"/>
        <v>35.096285897396768</v>
      </c>
      <c r="G10" s="65">
        <f t="shared" si="1"/>
        <v>205.80919827875607</v>
      </c>
      <c r="H10" s="27">
        <v>524272</v>
      </c>
      <c r="I10" s="21" t="s">
        <v>95</v>
      </c>
    </row>
    <row r="11" spans="1:9">
      <c r="A11" s="64" t="s">
        <v>45</v>
      </c>
      <c r="B11" s="33">
        <f t="array" ref="B11">(INDEX(megyei!$K:$K,LARGE(IF(megyei!$K:$K&lt;&gt;"",ROW(megyei!$K:$K)),1)))</f>
        <v>60658</v>
      </c>
      <c r="C11" s="65">
        <f t="array" ref="C11">(INDEX(megyei!$K:$K,LARGE(IF(megyei!$K:$K&lt;&gt;"",ROW(megyei!$K:$K)),1)))/293421*100</f>
        <v>20.672685322454768</v>
      </c>
      <c r="D11" s="33">
        <f t="array" ref="D11">(INDEX(megyei!$K:$K,LARGE(IF(megyei!$K:$K&lt;&gt;"",ROW(megyei!$K:$K)),1)))-(INDEX(megyei!$K:$K,LARGE(IF(megyei!$K:$K&lt;&gt;"",ROW(megyei!$K:$K)),2)))</f>
        <v>101</v>
      </c>
      <c r="E11" s="33">
        <f t="array" ref="E11">(INDEX(megyei!$K:$K,LARGE(IF(megyei!$K:$K&lt;&gt;"",ROW(megyei!$K:$K)),1)))-(INDEX(megyei!$K:$K,LARGE(IF(megyei!$K:$K&lt;&gt;"",ROW(megyei!$K:$K)),6)))</f>
        <v>581</v>
      </c>
      <c r="F11" s="65">
        <f t="shared" si="0"/>
        <v>34.835033696859334</v>
      </c>
      <c r="G11" s="65">
        <f t="shared" si="1"/>
        <v>200.38766908787395</v>
      </c>
      <c r="H11" s="27">
        <v>289938</v>
      </c>
      <c r="I11" s="21" t="s">
        <v>96</v>
      </c>
    </row>
    <row r="12" spans="1:9">
      <c r="A12" s="64" t="s">
        <v>46</v>
      </c>
      <c r="B12" s="33">
        <f t="array" ref="B12">(INDEX(megyei!$L:$L,LARGE(IF(megyei!$L:$L&lt;&gt;"",ROW(megyei!$L:$L)),1)))</f>
        <v>76852</v>
      </c>
      <c r="C12" s="65">
        <f t="array" ref="C12">(INDEX(megyei!$L:$L,LARGE(IF(megyei!$L:$L&lt;&gt;"",ROW(megyei!$L:$L)),1)))/366905*100</f>
        <v>20.946021449694065</v>
      </c>
      <c r="D12" s="33">
        <f t="array" ref="D12">(INDEX(megyei!$L:$L,LARGE(IF(megyei!$L:$L&lt;&gt;"",ROW(megyei!$L:$L)),1)))-(INDEX(megyei!$L:$L,LARGE(IF(megyei!$L:$L&lt;&gt;"",ROW(megyei!$L:$L)),2)))</f>
        <v>142</v>
      </c>
      <c r="E12" s="33">
        <f t="array" ref="E12">(INDEX(megyei!$L:$L,LARGE(IF(megyei!$L:$L&lt;&gt;"",ROW(megyei!$L:$L)),1)))-(INDEX(megyei!$L:$L,LARGE(IF(megyei!$L:$L&lt;&gt;"",ROW(megyei!$L:$L)),6)))</f>
        <v>747</v>
      </c>
      <c r="F12" s="65">
        <f t="shared" si="0"/>
        <v>39.408757625039549</v>
      </c>
      <c r="G12" s="65">
        <f t="shared" si="1"/>
        <v>207.31226722467989</v>
      </c>
      <c r="H12" s="27">
        <v>360326</v>
      </c>
      <c r="I12" s="21" t="s">
        <v>97</v>
      </c>
    </row>
    <row r="13" spans="1:9">
      <c r="A13" s="64" t="s">
        <v>47</v>
      </c>
      <c r="B13" s="33">
        <f t="array" ref="B13">(INDEX(megyei!$M:$M,LARGE(IF(megyei!$M:$M&lt;&gt;"",ROW(megyei!$M:$M)),1)))</f>
        <v>66136</v>
      </c>
      <c r="C13" s="65">
        <f t="array" ref="C13">(INDEX(megyei!$M:$M,LARGE(IF(megyei!$M:$M&lt;&gt;"",ROW(megyei!$M:$M)),1)))/300995*100</f>
        <v>21.97245801425273</v>
      </c>
      <c r="D13" s="33">
        <f t="array" ref="D13">(INDEX(megyei!$M:$M,LARGE(IF(megyei!$M:$M&lt;&gt;"",ROW(megyei!$M:$M)),1)))-(INDEX(megyei!$M:$M,LARGE(IF(megyei!$M:$M&lt;&gt;"",ROW(megyei!$M:$M)),2)))</f>
        <v>134</v>
      </c>
      <c r="E13" s="33">
        <f t="array" ref="E13">(INDEX(megyei!$M:$M,LARGE(IF(megyei!$M:$M&lt;&gt;"",ROW(megyei!$M:$M)),1)))-(INDEX(megyei!$M:$M,LARGE(IF(megyei!$M:$M&lt;&gt;"",ROW(megyei!$M:$M)),6)))</f>
        <v>669</v>
      </c>
      <c r="F13" s="65">
        <f t="shared" si="0"/>
        <v>44.898793428693011</v>
      </c>
      <c r="G13" s="65">
        <f t="shared" si="1"/>
        <v>224.15890152086286</v>
      </c>
      <c r="H13" s="27">
        <v>298449</v>
      </c>
      <c r="I13" s="21" t="s">
        <v>98</v>
      </c>
    </row>
    <row r="14" spans="1:9">
      <c r="A14" s="64" t="s">
        <v>48</v>
      </c>
      <c r="B14" s="33">
        <f t="array" ref="B14">(INDEX(megyei!$N:$N,LARGE(IF(megyei!$N:$N&lt;&gt;"",ROW(megyei!$N:$N)),1)))</f>
        <v>46521</v>
      </c>
      <c r="C14" s="65">
        <f t="array" ref="C14">(INDEX(megyei!$N:$N,LARGE(IF(megyei!$N:$N&lt;&gt;"",ROW(megyei!$N:$N)),1)))/188092*100</f>
        <v>24.733109329477067</v>
      </c>
      <c r="D14" s="33">
        <f t="array" ref="D14">(INDEX(megyei!$N:$N,LARGE(IF(megyei!$N:$N&lt;&gt;"",ROW(megyei!$N:$N)),1)))-(INDEX(megyei!$N:$N,LARGE(IF(megyei!$N:$N&lt;&gt;"",ROW(megyei!$N:$N)),2)))</f>
        <v>80</v>
      </c>
      <c r="E14" s="33">
        <f t="array" ref="E14">(INDEX(megyei!$N:$N,LARGE(IF(megyei!$N:$N&lt;&gt;"",ROW(megyei!$N:$N)),1)))-(INDEX(megyei!$N:$N,LARGE(IF(megyei!$N:$N&lt;&gt;"",ROW(megyei!$N:$N)),6)))</f>
        <v>421</v>
      </c>
      <c r="F14" s="65">
        <f t="shared" si="0"/>
        <v>43.092071597476959</v>
      </c>
      <c r="G14" s="65">
        <f t="shared" si="1"/>
        <v>226.7720267817225</v>
      </c>
      <c r="H14" s="27">
        <v>185649</v>
      </c>
      <c r="I14" s="21" t="s">
        <v>99</v>
      </c>
    </row>
    <row r="15" spans="1:9">
      <c r="A15" s="64" t="s">
        <v>49</v>
      </c>
      <c r="B15" s="33">
        <f t="array" ref="B15">(INDEX(megyei!$O:$O,LARGE(IF(megyei!$O:$O&lt;&gt;"",ROW(megyei!$O:$O)),1)))</f>
        <v>292963</v>
      </c>
      <c r="C15" s="65">
        <f t="array" ref="C15">(INDEX(megyei!$O:$O,LARGE(IF(megyei!$O:$O&lt;&gt;"",ROW(megyei!$O:$O)),1)))/1297102*100</f>
        <v>22.585964712104367</v>
      </c>
      <c r="D15" s="33">
        <f t="array" ref="D15">(INDEX(megyei!$O:$O,LARGE(IF(megyei!$O:$O&lt;&gt;"",ROW(megyei!$O:$O)),1)))-(INDEX(megyei!$O:$O,LARGE(IF(megyei!$O:$O&lt;&gt;"",ROW(megyei!$O:$O)),2)))</f>
        <v>663</v>
      </c>
      <c r="E15" s="33">
        <f t="array" ref="E15">(INDEX(megyei!$O:$O,LARGE(IF(megyei!$O:$O&lt;&gt;"",ROW(megyei!$O:$O)),1)))-(INDEX(megyei!$O:$O,LARGE(IF(megyei!$O:$O&lt;&gt;"",ROW(megyei!$O:$O)),6)))</f>
        <v>3586</v>
      </c>
      <c r="F15" s="65">
        <f t="shared" si="0"/>
        <v>50.036376370151459</v>
      </c>
      <c r="G15" s="65">
        <f t="shared" si="1"/>
        <v>270.63415635499717</v>
      </c>
      <c r="H15" s="27">
        <v>1325036</v>
      </c>
      <c r="I15" s="21" t="s">
        <v>100</v>
      </c>
    </row>
    <row r="16" spans="1:9">
      <c r="A16" s="64" t="s">
        <v>50</v>
      </c>
      <c r="B16" s="33">
        <f t="array" ref="B16">(INDEX(megyei!$P:$P,LARGE(IF(megyei!$P:$P&lt;&gt;"",ROW(megyei!$P:$P)),1)))</f>
        <v>69586</v>
      </c>
      <c r="C16" s="65">
        <f t="array" ref="C16">(INDEX(megyei!$P:$P,LARGE(IF(megyei!$P:$P&lt;&gt;"",ROW(megyei!$P:$P)),1)))/299950*100</f>
        <v>23.199199866644442</v>
      </c>
      <c r="D16" s="33">
        <f t="array" ref="D16">(INDEX(megyei!$P:$P,LARGE(IF(megyei!$P:$P&lt;&gt;"",ROW(megyei!$P:$P)),1)))-(INDEX(megyei!$P:$P,LARGE(IF(megyei!$P:$P&lt;&gt;"",ROW(megyei!$P:$P)),2)))</f>
        <v>125</v>
      </c>
      <c r="E16" s="33">
        <f t="array" ref="E16">(INDEX(megyei!$P:$P,LARGE(IF(megyei!$P:$P&lt;&gt;"",ROW(megyei!$P:$P)),1)))-(INDEX(megyei!$P:$P,LARGE(IF(megyei!$P:$P&lt;&gt;"",ROW(megyei!$P:$P)),6)))</f>
        <v>672</v>
      </c>
      <c r="F16" s="65">
        <f t="shared" si="0"/>
        <v>41.835962863052487</v>
      </c>
      <c r="G16" s="65">
        <f t="shared" si="1"/>
        <v>224.91013635177015</v>
      </c>
      <c r="H16" s="27">
        <v>298786</v>
      </c>
      <c r="I16" s="21" t="s">
        <v>101</v>
      </c>
    </row>
    <row r="17" spans="1:9">
      <c r="A17" s="64" t="s">
        <v>51</v>
      </c>
      <c r="B17" s="33">
        <f t="array" ref="B17">(INDEX(megyei!$Q:$Q,LARGE(IF(megyei!$Q:$Q&lt;&gt;"",ROW(megyei!$Q:$Q)),1)))</f>
        <v>121684</v>
      </c>
      <c r="C17" s="65">
        <f t="array" ref="C17">(INDEX(megyei!$Q:$Q,LARGE(IF(megyei!$Q:$Q&lt;&gt;"",ROW(megyei!$Q:$Q)),1)))/549028*100</f>
        <v>22.163532643143881</v>
      </c>
      <c r="D17" s="33">
        <f t="array" ref="D17">(INDEX(megyei!$Q:$Q,LARGE(IF(megyei!$Q:$Q&lt;&gt;"",ROW(megyei!$Q:$Q)),1)))-(INDEX(megyei!$Q:$Q,LARGE(IF(megyei!$Q:$Q&lt;&gt;"",ROW(megyei!$Q:$Q)),2)))</f>
        <v>244</v>
      </c>
      <c r="E17" s="33">
        <f t="array" ref="E17">(INDEX(megyei!$Q:$Q,LARGE(IF(megyei!$Q:$Q&lt;&gt;"",ROW(megyei!$Q:$Q)),1)))-(INDEX(megyei!$Q:$Q,LARGE(IF(megyei!$Q:$Q&lt;&gt;"",ROW(megyei!$Q:$Q)),6)))</f>
        <v>1205</v>
      </c>
      <c r="F17" s="65">
        <f t="shared" si="0"/>
        <v>45.256170326419401</v>
      </c>
      <c r="G17" s="65">
        <f t="shared" si="1"/>
        <v>223.49871001366958</v>
      </c>
      <c r="H17" s="27">
        <v>539153</v>
      </c>
      <c r="I17" s="21" t="s">
        <v>102</v>
      </c>
    </row>
    <row r="18" spans="1:9">
      <c r="A18" s="64" t="s">
        <v>52</v>
      </c>
      <c r="B18" s="33">
        <f t="array" ref="B18">(INDEX(megyei!$R:$R,LARGE(IF(megyei!$R:$R&lt;&gt;"",ROW(megyei!$R:$R)),1)))</f>
        <v>47845</v>
      </c>
      <c r="C18" s="65">
        <f t="array" ref="C18">(INDEX(megyei!$R:$R,LARGE(IF(megyei!$R:$R&lt;&gt;"",ROW(megyei!$R:$R)),1)))/215514*100</f>
        <v>22.200413894224969</v>
      </c>
      <c r="D18" s="33">
        <f t="array" ref="D18">(INDEX(megyei!$R:$R,LARGE(IF(megyei!$R:$R&lt;&gt;"",ROW(megyei!$R:$R)),1)))-(INDEX(megyei!$R:$R,LARGE(IF(megyei!$R:$R&lt;&gt;"",ROW(megyei!$R:$R)),2)))</f>
        <v>85</v>
      </c>
      <c r="E18" s="33">
        <f t="array" ref="E18">(INDEX(megyei!$R:$R,LARGE(IF(megyei!$R:$R&lt;&gt;"",ROW(megyei!$R:$R)),1)))-(INDEX(megyei!$R:$R,LARGE(IF(megyei!$R:$R&lt;&gt;"",ROW(megyei!$R:$R)),6)))</f>
        <v>477</v>
      </c>
      <c r="F18" s="65">
        <f t="shared" si="0"/>
        <v>40.2515485007482</v>
      </c>
      <c r="G18" s="65">
        <f t="shared" si="1"/>
        <v>225.8822192336105</v>
      </c>
      <c r="H18" s="27">
        <v>211172</v>
      </c>
      <c r="I18" s="21" t="s">
        <v>103</v>
      </c>
    </row>
    <row r="19" spans="1:9">
      <c r="A19" s="64" t="s">
        <v>53</v>
      </c>
      <c r="B19" s="33">
        <f t="array" ref="B19">(INDEX(megyei!$S:$S,LARGE(IF(megyei!$S:$S&lt;&gt;"",ROW(megyei!$S:$S)),1)))</f>
        <v>60932</v>
      </c>
      <c r="C19" s="65">
        <f t="array" ref="C19">(INDEX(megyei!$S:$S,LARGE(IF(megyei!$S:$S&lt;&gt;"",ROW(megyei!$S:$S)),1)))/254137*100</f>
        <v>23.976044416987687</v>
      </c>
      <c r="D19" s="33">
        <f t="array" ref="D19">(INDEX(megyei!$S:$S,LARGE(IF(megyei!$S:$S&lt;&gt;"",ROW(megyei!$S:$S)),1)))-(INDEX(megyei!$S:$S,LARGE(IF(megyei!$S:$S&lt;&gt;"",ROW(megyei!$S:$S)),2)))</f>
        <v>63</v>
      </c>
      <c r="E19" s="33">
        <f t="array" ref="E19">(INDEX(megyei!$S:$S,LARGE(IF(megyei!$S:$S&lt;&gt;"",ROW(megyei!$S:$S)),1)))-(INDEX(megyei!$S:$S,LARGE(IF(megyei!$S:$S&lt;&gt;"",ROW(megyei!$S:$S)),6)))</f>
        <v>419</v>
      </c>
      <c r="F19" s="65">
        <f t="shared" si="0"/>
        <v>24.859033496561164</v>
      </c>
      <c r="G19" s="65">
        <f t="shared" si="1"/>
        <v>165.33230214379572</v>
      </c>
      <c r="H19" s="27">
        <v>253429</v>
      </c>
      <c r="I19" s="21" t="s">
        <v>104</v>
      </c>
    </row>
    <row r="20" spans="1:9">
      <c r="A20" s="64" t="s">
        <v>54</v>
      </c>
      <c r="B20" s="33">
        <f t="array" ref="B20">(INDEX(megyei!$T:$T,LARGE(IF(megyei!$T:$T&lt;&gt;"",ROW(megyei!$T:$T)),1)))</f>
        <v>83856</v>
      </c>
      <c r="C20" s="65">
        <f t="array" ref="C20">(INDEX(megyei!$T:$T,LARGE(IF(megyei!$T:$T&lt;&gt;"",ROW(megyei!$T:$T)),1)))/341157*100</f>
        <v>24.579885507259121</v>
      </c>
      <c r="D20" s="33">
        <f t="array" ref="D20">(INDEX(megyei!$T:$T,LARGE(IF(megyei!$T:$T&lt;&gt;"",ROW(megyei!$T:$T)),1)))-(INDEX(megyei!$T:$T,LARGE(IF(megyei!$T:$T&lt;&gt;"",ROW(megyei!$T:$T)),2)))</f>
        <v>125</v>
      </c>
      <c r="E20" s="33">
        <f t="array" ref="E20">(INDEX(megyei!$T:$T,LARGE(IF(megyei!$T:$T&lt;&gt;"",ROW(megyei!$T:$T)),1)))-(INDEX(megyei!$T:$T,LARGE(IF(megyei!$T:$T&lt;&gt;"",ROW(megyei!$T:$T)),6)))</f>
        <v>780</v>
      </c>
      <c r="F20" s="65">
        <f t="shared" si="0"/>
        <v>36.841531310880633</v>
      </c>
      <c r="G20" s="65">
        <f t="shared" si="1"/>
        <v>229.89115537989514</v>
      </c>
      <c r="H20" s="27">
        <v>339291</v>
      </c>
      <c r="I20" s="21" t="s">
        <v>105</v>
      </c>
    </row>
    <row r="21" spans="1:9">
      <c r="A21" s="64" t="s">
        <v>55</v>
      </c>
      <c r="B21" s="33">
        <f t="array" ref="B21">(INDEX(megyei!$U:$U,LARGE(IF(megyei!$U:$U&lt;&gt;"",ROW(megyei!$U:$U)),1)))</f>
        <v>58939</v>
      </c>
      <c r="C21" s="65">
        <f t="array" ref="C21">(INDEX(megyei!$U:$U,LARGE(IF(megyei!$U:$U&lt;&gt;"",ROW(megyei!$U:$U)),1)))/267271*100</f>
        <v>22.052149316611231</v>
      </c>
      <c r="D21" s="33">
        <f t="array" ref="D21">(INDEX(megyei!$U:$U,LARGE(IF(megyei!$U:$U&lt;&gt;"",ROW(megyei!$U:$U)),1)))-(INDEX(megyei!$U:$U,LARGE(IF(megyei!$U:$U&lt;&gt;"",ROW(megyei!$U:$U)),2)))</f>
        <v>119</v>
      </c>
      <c r="E21" s="33">
        <f t="array" ref="E21">(INDEX(megyei!$U:$U,LARGE(IF(megyei!$U:$U&lt;&gt;"",ROW(megyei!$U:$U)),1)))-(INDEX(megyei!$U:$U,LARGE(IF(megyei!$U:$U&lt;&gt;"",ROW(megyei!$U:$U)),6)))</f>
        <v>698</v>
      </c>
      <c r="F21" s="65">
        <f t="shared" si="0"/>
        <v>45.017269229750738</v>
      </c>
      <c r="G21" s="65">
        <f t="shared" si="1"/>
        <v>264.05087329719339</v>
      </c>
      <c r="H21" s="27">
        <v>264343</v>
      </c>
      <c r="I21" s="21" t="s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I5"/>
  <sheetViews>
    <sheetView workbookViewId="0"/>
  </sheetViews>
  <sheetFormatPr baseColWidth="10" defaultColWidth="12.6640625" defaultRowHeight="15.75" customHeight="1"/>
  <cols>
    <col min="1" max="1" width="52.1640625" customWidth="1"/>
    <col min="2" max="2" width="54" customWidth="1"/>
    <col min="3" max="3" width="53.1640625" customWidth="1"/>
    <col min="4" max="4" width="50.33203125" customWidth="1"/>
    <col min="5" max="5" width="54" customWidth="1"/>
    <col min="6" max="6" width="55.33203125" customWidth="1"/>
    <col min="9" max="9" width="21.33203125" customWidth="1"/>
  </cols>
  <sheetData>
    <row r="2" spans="1:9" ht="15.75" customHeight="1">
      <c r="A2" s="21" t="str">
        <f>H2&amp;IF(LOOKUP(1000000000/(koronahun!B:B&lt;&gt;""),koronahun!B:B)&gt;10000,(TEXT(LOOKUP(1000000000/(koronahun!B:B&lt;&gt;""),koronahun!B:B),"# ### ###")),(TEXT(LOOKUP(1000000000/(koronahun!B:B&lt;&gt;""),koronahun!B:B),"####")))&amp;"&lt;/p&gt;"</f>
        <v>&lt;p style="font-size:19px;margin-bottom:-4px"&gt;2 185 816&lt;/p&gt;</v>
      </c>
      <c r="B2" s="21" t="str">
        <f>H2&amp;IF(LOOKUP(1000000000/(koronahun!L:L&lt;&gt;""),koronahun!L:L)&gt;10000,(TEXT(LOOKUP(1000000000/(koronahun!L:L&lt;&gt;""),koronahun!L:L),"### ###")),(TEXT(LOOKUP(1000000000/(koronahun!L:L&lt;&gt;""),koronahun!L:L),"####")))&amp;"&lt;/p&gt;"</f>
        <v>&lt;p style="font-size:19px;margin-bottom:-4px"&gt;13 571&lt;/p&gt;</v>
      </c>
      <c r="C2" s="21" t="str">
        <f>H2&amp;IF(LOOKUP(1000000000/(koronahun!B:B&lt;&gt;""),koronahun!E:E)&gt;10000,(TEXT(LOOKUP(1000000000/(koronahun!B:B&lt;&gt;""),koronahun!E:E),"### ###")),(TEXT(LOOKUP(1000000000/(koronahun!B:B&lt;&gt;""),koronahun!E:E),"####")))&amp;"&lt;/p&gt;"</f>
        <v>&lt;p style="font-size:19px;margin-bottom:-4px"&gt;2123 750&lt;/p&gt;</v>
      </c>
      <c r="D2" s="21" t="str">
        <f>H2&amp;IF(LOOKUP(1000000000/(koronahun!C:C&lt;&gt;""),koronahun!D:D)&gt;10000,(TEXT(LOOKUP(1000000000/(koronahun!C:C&lt;&gt;""),koronahun!D:D),"### ###")),(TEXT(LOOKUP(1000000000/(koronahun!C:C&lt;&gt;""),koronahun!D:D),"####")))&amp;"&lt;/p&gt;"</f>
        <v>&lt;p style="font-size:19px;margin-bottom:-4px"&gt;48 495&lt;/p&gt;</v>
      </c>
      <c r="E2" s="21" t="str">
        <f>H2&amp;IF(LOOKUP(1000000000/(koronahun!C:C&lt;&gt;""),koronahun!F:F)&gt;10000,(TEXT(LOOKUP(1000000000/(koronahun!C:C&lt;&gt;""),koronahun!F:F),"### ### ###")),(TEXT(LOOKUP(1000000000/(koronahun!C:C&lt;&gt;""),koronahun!F:F),"####")))&amp;"&lt;/p&gt;"</f>
        <v>&lt;p style="font-size:19px;margin-bottom:-4px"&gt;11 394 556&lt;/p&gt;</v>
      </c>
      <c r="F2" s="21" t="str">
        <f>H2&amp;IF(LOOKUP(1000000000/(koronahun!C:C&lt;&gt;""),koronahun!AG:AG)&gt;10000,(TEXT(LOOKUP(1000000000/(koronahun!C:C&lt;&gt;""),koronahun!AG:AG),"### ### ###")),(TEXT(LOOKUP(1000000000/(koronahun!C:C&lt;&gt;""),koronahun!AG:AG),"####")))&amp;"&lt;/p&gt;"</f>
        <v>&lt;p style="font-size:19px;margin-bottom:-4px"&gt;6 420 813&lt;/p&gt;</v>
      </c>
      <c r="G2" s="60">
        <f t="array" ref="G2">INDEX(koronahun!L:L,LARGE(IF(koronahun!L:L&lt;&gt;"",ROW(koronahun!L:L)),1))</f>
        <v>13571</v>
      </c>
      <c r="H2" s="16" t="s">
        <v>107</v>
      </c>
      <c r="I2">
        <f t="array" ref="I2">INDEX(koronahun!R:R,LARGE(IF(koronahun!R:R&lt;&gt;"",ROW(koronahun!R:R)),1))</f>
        <v>56</v>
      </c>
    </row>
    <row r="3" spans="1:9" ht="15.75" customHeight="1">
      <c r="A3" s="21" t="str">
        <f>H3&amp;IF(LOOKUP(1000000000/(koronahun!C:C&lt;&gt;""),koronahun!C:C)&gt;10000,(TEXT(LOOKUP(1000000000/(koronahun!C:C&lt;&gt;""),koronahun!C:C),"+### ###")),(TEXT(LOOKUP(1000000000/(koronahun!C:C&lt;&gt;""),koronahun!C:C),"+####")))&amp;"&lt;/p&gt;"</f>
        <v>&lt;p style="font-size:15px;margin-top:-6px;margin-bottom:-6px"&gt;+4397&lt;/p&gt;</v>
      </c>
      <c r="B3" s="21" t="str">
        <f>H3&amp;IF(G2-G3&gt;0,"+"&amp;G4,G4)&amp;"&lt;/p&gt;"</f>
        <v>&lt;p style="font-size:15px;margin-top:-6px;margin-bottom:-6px"&gt;-498&lt;/p&gt;</v>
      </c>
      <c r="C3" s="21" t="str">
        <f>H3&amp;IF(LOOKUP(1000000000/(koronahun!B:B&lt;&gt;""),koronahun!S:S)&gt;10000,(TEXT(LOOKUP(1000000000/(koronahun!B:B&lt;&gt;""),koronahun!S:S),"+### ###")),(TEXT(LOOKUP(1000000000/(koronahun!B:B&lt;&gt;""),koronahun!S:S),"+####")))&amp;"&lt;/p&gt;"</f>
        <v>&lt;p style="font-size:15px;margin-top:-6px;margin-bottom:-6px"&gt;+4839&lt;/p&gt;</v>
      </c>
      <c r="D3" s="21" t="str">
        <f>H3&amp;"+"&amp;I2&amp;"&lt;/p&gt;"</f>
        <v>&lt;p style="font-size:15px;margin-top:-6px;margin-bottom:-6px"&gt;+56&lt;/p&gt;</v>
      </c>
      <c r="E3" s="21" t="str">
        <f>H3&amp;IF(LOOKUP(1000000000/(koronahun!C:C&lt;&gt;""),koronahun!P:P)&gt;10000,(TEXT(LOOKUP(1000000000/(koronahun!C:C&lt;&gt;""),koronahun!P:P),"+### ###")),(TEXT(LOOKUP(1000000000/(koronahun!C:C&lt;&gt;""),koronahun!P:P),"+####")))&amp;"&lt;/p&gt;"</f>
        <v>&lt;p style="font-size:15px;margin-top:-6px;margin-bottom:-6px"&gt;+&lt;/p&gt;</v>
      </c>
      <c r="F3" s="21" t="str">
        <f>H3&amp;IF(LOOKUP(1000000000/(koronahun!C:C&lt;&gt;""),koronahun!AH:AH)&gt;10000,(TEXT(LOOKUP(1000000000/(koronahun!C:C&lt;&gt;""),koronahun!AH:AH),"+### ###")),(TEXT(LOOKUP(1000000000/(koronahun!C:C&lt;&gt;""),koronahun!AH:AH),"+####")))&amp;"&lt;/p&gt;"</f>
        <v>&lt;p style="font-size:15px;margin-top:-6px;margin-bottom:-6px"&gt;+113&lt;/p&gt;</v>
      </c>
      <c r="G3">
        <f t="array" ref="G3">INDEX(koronahun!L:L,LARGE(IF(koronahun!L:L&lt;&gt;"",ROW(koronahun!L:L)),2))</f>
        <v>14069</v>
      </c>
      <c r="H3" s="16" t="s">
        <v>108</v>
      </c>
      <c r="I3" t="str">
        <f>IF(LOOKUP(1000000000/(koronahun!C:C&lt;&gt;""),koronahun!R:R)&gt;-1,(TEXT(LOOKUP(1000000000/(koronahun!C:C&lt;&gt;""),koronahun!R:R),"+### ###")),(TEXT(LOOKUP(1000000000/(koronahun!C:C&lt;&gt;""),koronahun!R:R),"+####")))</f>
        <v>+ 56</v>
      </c>
    </row>
    <row r="4" spans="1:9" ht="15.75" customHeight="1">
      <c r="G4" t="str">
        <f>IF(G2-G3&gt;10000,(TEXT(G2-G3,"### ###")),(TEXT(G2-G3,"####")))</f>
        <v>-498</v>
      </c>
    </row>
    <row r="5" spans="1:9" ht="15.75" customHeight="1">
      <c r="G5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koronahun</vt:lpstr>
      <vt:lpstr>tabla</vt:lpstr>
      <vt:lpstr>megyei</vt:lpstr>
      <vt:lpstr>widget</vt:lpstr>
      <vt:lpstr>hullámok2</vt:lpstr>
      <vt:lpstr>hullámok</vt:lpstr>
      <vt:lpstr>megyei2</vt:lpstr>
      <vt:lpstr>napi adatok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István Reguly</cp:lastModifiedBy>
  <dcterms:created xsi:type="dcterms:W3CDTF">2026-09-25T08:36:31Z</dcterms:created>
  <dcterms:modified xsi:type="dcterms:W3CDTF">2026-09-25T08:36:31Z</dcterms:modified>
</cp:coreProperties>
</file>